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1.xml"/>
  <Override ContentType="application/vnd.openxmlformats-officedocument.spreadsheetml.comments+xml" PartName="/xl/comments10.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en Discography" sheetId="1" r:id="rId4"/>
    <sheet state="visible" name="Queen MIDI" sheetId="2" r:id="rId5"/>
    <sheet state="hidden" name="KMeans FS1 Elbow" sheetId="3" r:id="rId6"/>
    <sheet state="hidden" name="KMeans FS1 Silhouette" sheetId="4" r:id="rId7"/>
    <sheet state="visible" name="KMeans FS2 Elbow" sheetId="5" r:id="rId8"/>
    <sheet state="hidden" name="KMeans FS2 Silhouette" sheetId="6" r:id="rId9"/>
    <sheet state="visible" name="AffProg FS1 Davies" sheetId="7" r:id="rId10"/>
    <sheet state="visible" name="AffProg FS1 Silhouette" sheetId="8" r:id="rId11"/>
    <sheet state="visible" name="AffProg FS2 Davies" sheetId="9" r:id="rId12"/>
    <sheet state="visible" name="AffProg FS2 Silhouette" sheetId="10" r:id="rId13"/>
    <sheet state="visible" name="Analysis" sheetId="11" r:id="rId14"/>
    <sheet state="visible" name="Interpretation" sheetId="12" r:id="rId15"/>
    <sheet state="hidden" name="Qualitative Analysis" sheetId="13" r:id="rId16"/>
    <sheet state="hidden" name="Quantitative Analysis" sheetId="14" r:id="rId17"/>
    <sheet state="hidden" name="Feature Set List" sheetId="15" r:id="rId18"/>
  </sheets>
  <definedNames>
    <definedName hidden="1" localSheetId="1" name="_xlnm._FilterDatabase">'Queen MIDI'!$C$3:$F$66</definedName>
    <definedName hidden="1" localSheetId="2" name="_xlnm._FilterDatabase">'KMeans FS1 Elbow'!$C$3:$H$66</definedName>
    <definedName hidden="1" localSheetId="3" name="_xlnm._FilterDatabase">'KMeans FS1 Silhouette'!$C$3:$H$66</definedName>
    <definedName hidden="1" localSheetId="4" name="_xlnm._FilterDatabase">'KMeans FS2 Elbow'!$C$3:$H$66</definedName>
    <definedName hidden="1" localSheetId="5" name="_xlnm._FilterDatabase">'KMeans FS2 Silhouette'!$C$3:$H$66</definedName>
    <definedName hidden="1" localSheetId="6" name="_xlnm._FilterDatabase">'AffProg FS1 Davies'!$C$3:$H$66</definedName>
    <definedName hidden="1" localSheetId="7" name="_xlnm._FilterDatabase">'AffProg FS1 Silhouette'!$C$3:$H$66</definedName>
    <definedName hidden="1" localSheetId="8" name="_xlnm._FilterDatabase">'AffProg FS2 Davies'!$C$3:$H$66</definedName>
    <definedName hidden="1" localSheetId="9" name="_xlnm._FilterDatabase">'AffProg FS2 Silhouette'!$C$3:$H$66</definedName>
    <definedName hidden="1" localSheetId="10" name="_xlnm._FilterDatabase">Analysis!$B$4:$EA$229</definedName>
    <definedName hidden="1" localSheetId="12" name="_xlnm._FilterDatabase">'Qualitative Analysis'!$B$4:$DI$229</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J2">
      <text>
        <t xml:space="preserve">Calculated as:
(average # of songs per album*) / # of songs in album
*in the dataset
Album prominence will no longer be influenced by the number of present songs in the dataset or album.</t>
      </text>
    </comment>
  </commentList>
</comments>
</file>

<file path=xl/comments2.xml><?xml version="1.0" encoding="utf-8"?>
<comments xmlns:r="http://schemas.openxmlformats.org/officeDocument/2006/relationships" xmlns="http://schemas.openxmlformats.org/spreadsheetml/2006/main">
  <authors>
    <author/>
  </authors>
  <commentList>
    <comment authorId="0" ref="AV3">
      <text>
        <t xml:space="preserve">Album with the most songs</t>
      </text>
    </comment>
    <comment authorId="0" ref="AW3">
      <text>
        <t xml:space="preserve">Number of songs in the album with the most songs</t>
      </text>
    </comment>
    <comment authorId="0" ref="AX3">
      <text>
        <t xml:space="preserve">Number of Modes</t>
      </text>
    </comment>
    <comment authorId="0" ref="AY3">
      <text>
        <t xml:space="preserve">Album with the most songs weighted evenly
% of songs present in the dataset in the album</t>
      </text>
    </comment>
    <comment authorId="0" ref="AZ3">
      <text>
        <t xml:space="preserve">number of the songs per album present in the cluster mode normalized</t>
      </text>
    </comment>
    <comment authorId="0" ref="BA3">
      <text>
        <t xml:space="preserve">% of the songs per album present in the cluster mode</t>
      </text>
    </comment>
    <comment authorId="0" ref="BB3">
      <text>
        <t xml:space="preserve">Number of Modes</t>
      </text>
    </comment>
  </commentList>
</comments>
</file>

<file path=xl/comments3.xml><?xml version="1.0" encoding="utf-8"?>
<comments xmlns:r="http://schemas.openxmlformats.org/officeDocument/2006/relationships" xmlns="http://schemas.openxmlformats.org/spreadsheetml/2006/main">
  <authors>
    <author/>
  </authors>
  <commentList>
    <comment authorId="0" ref="AV3">
      <text>
        <t xml:space="preserve">Album with the most songs</t>
      </text>
    </comment>
    <comment authorId="0" ref="AW3">
      <text>
        <t xml:space="preserve">Number of songs in the album with the most songs</t>
      </text>
    </comment>
    <comment authorId="0" ref="AX3">
      <text>
        <t xml:space="preserve">Number of Modes</t>
      </text>
    </comment>
    <comment authorId="0" ref="AY3">
      <text>
        <t xml:space="preserve">Album with the most songs weighted evenly
% of songs present in the dataset in the album</t>
      </text>
    </comment>
    <comment authorId="0" ref="AZ3">
      <text>
        <t xml:space="preserve">number of the songs per album present in the cluster mode normalized</t>
      </text>
    </comment>
    <comment authorId="0" ref="BA3">
      <text>
        <t xml:space="preserve">% of the songs per album present in the cluster mode</t>
      </text>
    </comment>
    <comment authorId="0" ref="BB3">
      <text>
        <t xml:space="preserve">Number of Modes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V3">
      <text>
        <t xml:space="preserve">Album with the most songs</t>
      </text>
    </comment>
    <comment authorId="0" ref="AW3">
      <text>
        <t xml:space="preserve">Number of songs in the album with the most songs</t>
      </text>
    </comment>
    <comment authorId="0" ref="AX3">
      <text>
        <t xml:space="preserve">Number of Modes</t>
      </text>
    </comment>
    <comment authorId="0" ref="AY3">
      <text>
        <t xml:space="preserve">Album with the most songs weighted evenly
% of songs present in the dataset in the album</t>
      </text>
    </comment>
    <comment authorId="0" ref="AZ3">
      <text>
        <t xml:space="preserve">number of the songs per album present in the cluster mode normalized</t>
      </text>
    </comment>
    <comment authorId="0" ref="BA3">
      <text>
        <t xml:space="preserve">% of the songs per album present in the cluster mode</t>
      </text>
    </comment>
    <comment authorId="0" ref="BB3">
      <text>
        <t xml:space="preserve">Number of Modes</t>
      </text>
    </comment>
  </commentList>
</comments>
</file>

<file path=xl/comments5.xml><?xml version="1.0" encoding="utf-8"?>
<comments xmlns:r="http://schemas.openxmlformats.org/officeDocument/2006/relationships" xmlns="http://schemas.openxmlformats.org/spreadsheetml/2006/main">
  <authors>
    <author/>
  </authors>
  <commentList>
    <comment authorId="0" ref="AV3">
      <text>
        <t xml:space="preserve">Album with the most songs</t>
      </text>
    </comment>
    <comment authorId="0" ref="AW3">
      <text>
        <t xml:space="preserve">Number of songs in the album with the most songs</t>
      </text>
    </comment>
    <comment authorId="0" ref="AX3">
      <text>
        <t xml:space="preserve">Number of Modes</t>
      </text>
    </comment>
    <comment authorId="0" ref="AY3">
      <text>
        <t xml:space="preserve">Album with the most songs weighted evenly
% of songs present in the dataset in the album</t>
      </text>
    </comment>
    <comment authorId="0" ref="AZ3">
      <text>
        <t xml:space="preserve">number of the songs per album present in the cluster mode normalized</t>
      </text>
    </comment>
    <comment authorId="0" ref="BA3">
      <text>
        <t xml:space="preserve">% of the songs per album present in the cluster mode</t>
      </text>
    </comment>
    <comment authorId="0" ref="BB3">
      <text>
        <t xml:space="preserve">Number of Modes</t>
      </text>
    </comment>
  </commentList>
</comments>
</file>

<file path=xl/comments6.xml><?xml version="1.0" encoding="utf-8"?>
<comments xmlns:r="http://schemas.openxmlformats.org/officeDocument/2006/relationships" xmlns="http://schemas.openxmlformats.org/spreadsheetml/2006/main">
  <authors>
    <author/>
  </authors>
  <commentList>
    <comment authorId="0" ref="AV3">
      <text>
        <t xml:space="preserve">Album with the most songs</t>
      </text>
    </comment>
    <comment authorId="0" ref="AW3">
      <text>
        <t xml:space="preserve">Number of songs in the album with the most songs</t>
      </text>
    </comment>
    <comment authorId="0" ref="AX3">
      <text>
        <t xml:space="preserve">Number of Modes</t>
      </text>
    </comment>
    <comment authorId="0" ref="AY3">
      <text>
        <t xml:space="preserve">Album with the most songs weighted evenly
% of songs present in the dataset in the album</t>
      </text>
    </comment>
    <comment authorId="0" ref="AZ3">
      <text>
        <t xml:space="preserve">number of the songs per album present in the cluster mode normalized</t>
      </text>
    </comment>
    <comment authorId="0" ref="BA3">
      <text>
        <t xml:space="preserve">% of the songs per album present in the cluster mode</t>
      </text>
    </comment>
    <comment authorId="0" ref="BB3">
      <text>
        <t xml:space="preserve">Number of Modes</t>
      </text>
    </comment>
  </commentList>
</comments>
</file>

<file path=xl/comments7.xml><?xml version="1.0" encoding="utf-8"?>
<comments xmlns:r="http://schemas.openxmlformats.org/officeDocument/2006/relationships" xmlns="http://schemas.openxmlformats.org/spreadsheetml/2006/main">
  <authors>
    <author/>
  </authors>
  <commentList>
    <comment authorId="0" ref="AV3">
      <text>
        <t xml:space="preserve">Album with the most songs</t>
      </text>
    </comment>
    <comment authorId="0" ref="AW3">
      <text>
        <t xml:space="preserve">Number of songs in the album with the most songs</t>
      </text>
    </comment>
    <comment authorId="0" ref="AX3">
      <text>
        <t xml:space="preserve">Number of Modes</t>
      </text>
    </comment>
    <comment authorId="0" ref="AY3">
      <text>
        <t xml:space="preserve">Album with the most songs weighted evenly
% of songs present in the dataset in the album</t>
      </text>
    </comment>
    <comment authorId="0" ref="AZ3">
      <text>
        <t xml:space="preserve">number of the songs per album present in the cluster mode normalized</t>
      </text>
    </comment>
    <comment authorId="0" ref="BA3">
      <text>
        <t xml:space="preserve">% of the songs per album present in the cluster mode</t>
      </text>
    </comment>
    <comment authorId="0" ref="BB3">
      <text>
        <t xml:space="preserve">Number of Modes</t>
      </text>
    </comment>
  </commentList>
</comments>
</file>

<file path=xl/comments8.xml><?xml version="1.0" encoding="utf-8"?>
<comments xmlns:r="http://schemas.openxmlformats.org/officeDocument/2006/relationships" xmlns="http://schemas.openxmlformats.org/spreadsheetml/2006/main">
  <authors>
    <author/>
  </authors>
  <commentList>
    <comment authorId="0" ref="AV3">
      <text>
        <t xml:space="preserve">Album with the most songs</t>
      </text>
    </comment>
    <comment authorId="0" ref="AW3">
      <text>
        <t xml:space="preserve">Number of songs in the album with the most songs</t>
      </text>
    </comment>
    <comment authorId="0" ref="AX3">
      <text>
        <t xml:space="preserve">Number of Modes</t>
      </text>
    </comment>
    <comment authorId="0" ref="AY3">
      <text>
        <t xml:space="preserve">Album with the most songs weighted evenly
% of songs present in the dataset in the album</t>
      </text>
    </comment>
    <comment authorId="0" ref="AZ3">
      <text>
        <t xml:space="preserve">number of the songs per album present in the cluster mode normalized</t>
      </text>
    </comment>
    <comment authorId="0" ref="BA3">
      <text>
        <t xml:space="preserve">% of the songs per album present in the cluster mode</t>
      </text>
    </comment>
    <comment authorId="0" ref="BB3">
      <text>
        <t xml:space="preserve">Number of Modes</t>
      </text>
    </comment>
  </commentList>
</comments>
</file>

<file path=xl/comments9.xml><?xml version="1.0" encoding="utf-8"?>
<comments xmlns:r="http://schemas.openxmlformats.org/officeDocument/2006/relationships" xmlns="http://schemas.openxmlformats.org/spreadsheetml/2006/main">
  <authors>
    <author/>
  </authors>
  <commentList>
    <comment authorId="0" ref="AV3">
      <text>
        <t xml:space="preserve">Album with the most songs</t>
      </text>
    </comment>
    <comment authorId="0" ref="AW3">
      <text>
        <t xml:space="preserve">Number of songs in the album with the most songs</t>
      </text>
    </comment>
    <comment authorId="0" ref="AX3">
      <text>
        <t xml:space="preserve">Number of Modes</t>
      </text>
    </comment>
    <comment authorId="0" ref="AY3">
      <text>
        <t xml:space="preserve">Album with the most songs weighted evenly
% of songs present in the dataset in the album</t>
      </text>
    </comment>
    <comment authorId="0" ref="AZ3">
      <text>
        <t xml:space="preserve">number of the songs per album present in the cluster mode normalized</t>
      </text>
    </comment>
    <comment authorId="0" ref="BA3">
      <text>
        <t xml:space="preserve">% of the songs per album present in the cluster mode</t>
      </text>
    </comment>
    <comment authorId="0" ref="BB3">
      <text>
        <t xml:space="preserve">Number of Modes</t>
      </text>
    </comment>
  </commentList>
</comments>
</file>

<file path=xl/comments10.xml><?xml version="1.0" encoding="utf-8"?>
<comments xmlns:r="http://schemas.openxmlformats.org/officeDocument/2006/relationships" xmlns="http://schemas.openxmlformats.org/spreadsheetml/2006/main">
  <authors>
    <author/>
  </authors>
  <commentList>
    <comment authorId="0" ref="BV1">
      <text>
        <t xml:space="preserve">Change to name of sheet</t>
      </text>
    </comment>
  </commentList>
</comments>
</file>

<file path=xl/comments11.xml><?xml version="1.0" encoding="utf-8"?>
<comments xmlns:r="http://schemas.openxmlformats.org/officeDocument/2006/relationships" xmlns="http://schemas.openxmlformats.org/spreadsheetml/2006/main">
  <authors>
    <author/>
  </authors>
  <commentList>
    <comment authorId="0" ref="BV1">
      <text>
        <t xml:space="preserve">Change to name of sheet</t>
      </text>
    </comment>
  </commentList>
</comments>
</file>

<file path=xl/comments12.xml><?xml version="1.0" encoding="utf-8"?>
<comments xmlns:r="http://schemas.openxmlformats.org/officeDocument/2006/relationships" xmlns="http://schemas.openxmlformats.org/spreadsheetml/2006/main">
  <authors>
    <author/>
  </authors>
  <commentList>
    <comment authorId="0" ref="BU1">
      <text>
        <t xml:space="preserve">Change to name of sheet</t>
      </text>
    </comment>
  </commentList>
</comments>
</file>

<file path=xl/sharedStrings.xml><?xml version="1.0" encoding="utf-8"?>
<sst xmlns="http://schemas.openxmlformats.org/spreadsheetml/2006/main" count="4733" uniqueCount="808">
  <si>
    <t xml:space="preserve"> </t>
  </si>
  <si>
    <t>Queen</t>
  </si>
  <si>
    <t>Queen II</t>
  </si>
  <si>
    <t>Sheer Heart Attack</t>
  </si>
  <si>
    <t>A Night At The Opera</t>
  </si>
  <si>
    <t>A Day At The Races</t>
  </si>
  <si>
    <t>News Of The World</t>
  </si>
  <si>
    <t>Jazz</t>
  </si>
  <si>
    <t>The Game</t>
  </si>
  <si>
    <t>Flash Gordon</t>
  </si>
  <si>
    <t>Hot Space</t>
  </si>
  <si>
    <t>The Works</t>
  </si>
  <si>
    <t>A Kind Of Magic</t>
  </si>
  <si>
    <t>The Miracle</t>
  </si>
  <si>
    <t>Innuendo</t>
  </si>
  <si>
    <t>Made In Heaven</t>
  </si>
  <si>
    <t>Keep Yourself Alive</t>
  </si>
  <si>
    <t>Procession</t>
  </si>
  <si>
    <t>Brighton Rock</t>
  </si>
  <si>
    <t>Death On Two Legs</t>
  </si>
  <si>
    <t>Tie Your Mother Down</t>
  </si>
  <si>
    <t>We Will Rock You</t>
  </si>
  <si>
    <t>Mustapha</t>
  </si>
  <si>
    <t>Play The Game</t>
  </si>
  <si>
    <t>Flash's Theme</t>
  </si>
  <si>
    <t>Staying Power</t>
  </si>
  <si>
    <t>Radio Ga Ga</t>
  </si>
  <si>
    <t>One Vision</t>
  </si>
  <si>
    <t>Party</t>
  </si>
  <si>
    <t>It's A Beautiful Day</t>
  </si>
  <si>
    <t>Doing Alright</t>
  </si>
  <si>
    <t>Father To Son</t>
  </si>
  <si>
    <t>Killer Queen</t>
  </si>
  <si>
    <t>Lazing On A Sunday Afternoon</t>
  </si>
  <si>
    <t>You Take My Breath Away</t>
  </si>
  <si>
    <t>We Are The Champions</t>
  </si>
  <si>
    <t>Fat Bottomed Girls</t>
  </si>
  <si>
    <t>Dragon Attack</t>
  </si>
  <si>
    <t>In The Space Capsule</t>
  </si>
  <si>
    <t>Dancer</t>
  </si>
  <si>
    <t>Tear It Up</t>
  </si>
  <si>
    <t>Khashoggi's Ship</t>
  </si>
  <si>
    <t>I'm Going Slightly Mad</t>
  </si>
  <si>
    <t>Great King Rat</t>
  </si>
  <si>
    <t>White Queen (As It Began)</t>
  </si>
  <si>
    <t>Tenement Funster</t>
  </si>
  <si>
    <t>I'm In Love With My Car</t>
  </si>
  <si>
    <t>Long Away</t>
  </si>
  <si>
    <t>Jealousy</t>
  </si>
  <si>
    <t>Another One Bites The Dust</t>
  </si>
  <si>
    <t>Ming's Theme</t>
  </si>
  <si>
    <t>Back Chat</t>
  </si>
  <si>
    <t>It's A Hard Life</t>
  </si>
  <si>
    <t>One Year Of Love</t>
  </si>
  <si>
    <t>Headlong</t>
  </si>
  <si>
    <t>Let Me Live</t>
  </si>
  <si>
    <t>My Fairy King</t>
  </si>
  <si>
    <t>Some Day One Day</t>
  </si>
  <si>
    <t>Flick Of The Wrist</t>
  </si>
  <si>
    <t>You're My Best Friend</t>
  </si>
  <si>
    <t>The Millionaire Waltz</t>
  </si>
  <si>
    <t>All Dead, All Dead</t>
  </si>
  <si>
    <t>Bicycle Race</t>
  </si>
  <si>
    <t>Need Your Loving Tonight</t>
  </si>
  <si>
    <t>The Ring</t>
  </si>
  <si>
    <t>Body Language</t>
  </si>
  <si>
    <t>Man On The Prowl</t>
  </si>
  <si>
    <t>Pain Is So Close To Pleasure</t>
  </si>
  <si>
    <t>I Want It All</t>
  </si>
  <si>
    <t>I Can't Live With You</t>
  </si>
  <si>
    <t>Mother Love</t>
  </si>
  <si>
    <t>Liar</t>
  </si>
  <si>
    <t>The Loser In The End</t>
  </si>
  <si>
    <t>Lily Of The Valley</t>
  </si>
  <si>
    <t>39</t>
  </si>
  <si>
    <t>You And I</t>
  </si>
  <si>
    <t>Spread Your Wings</t>
  </si>
  <si>
    <t>If You Can't Beat Them</t>
  </si>
  <si>
    <t>Crazy Little Thing Called Love</t>
  </si>
  <si>
    <t>Football Fight</t>
  </si>
  <si>
    <t>Action This Day</t>
  </si>
  <si>
    <t>Machines</t>
  </si>
  <si>
    <t>Friends Will Be Friends</t>
  </si>
  <si>
    <t>The Invisible Man</t>
  </si>
  <si>
    <t>Don't Try So Hard</t>
  </si>
  <si>
    <t>My Life Has Been Saved</t>
  </si>
  <si>
    <t>The Night Comes Down</t>
  </si>
  <si>
    <t>Ogre Battle</t>
  </si>
  <si>
    <t>Now I'm Here</t>
  </si>
  <si>
    <t>Sweet Lady</t>
  </si>
  <si>
    <t>Somebody To Love</t>
  </si>
  <si>
    <t>Fight From The Inside</t>
  </si>
  <si>
    <t>Let Me Entertain You</t>
  </si>
  <si>
    <t>Rock It</t>
  </si>
  <si>
    <t>In The Death Cell</t>
  </si>
  <si>
    <t>Put Out The Fire</t>
  </si>
  <si>
    <t>I Want To Break Free</t>
  </si>
  <si>
    <t>Who Wants To Live Forever</t>
  </si>
  <si>
    <t>Breakthru</t>
  </si>
  <si>
    <t>Ride The Wild Wind</t>
  </si>
  <si>
    <t>I Was Born To Love You</t>
  </si>
  <si>
    <t>Modern Times Rock 'N Roll</t>
  </si>
  <si>
    <t>The Fairy Feller's Master-Stroke</t>
  </si>
  <si>
    <t>In The Lap Of The Gods</t>
  </si>
  <si>
    <t>Seaside Rendezvous</t>
  </si>
  <si>
    <t>White Man</t>
  </si>
  <si>
    <t>Get Down, Make Love</t>
  </si>
  <si>
    <t>Dead On Time</t>
  </si>
  <si>
    <t>Don't Try Suicide</t>
  </si>
  <si>
    <t>Execution Of Flash</t>
  </si>
  <si>
    <t>Life Is Real</t>
  </si>
  <si>
    <t>Keep Passing The Open Windows</t>
  </si>
  <si>
    <t>Gimme The Prize</t>
  </si>
  <si>
    <t>Rain Must Fall</t>
  </si>
  <si>
    <t>All God's People</t>
  </si>
  <si>
    <t>Heaven For Everyone</t>
  </si>
  <si>
    <t>Son And Daughter</t>
  </si>
  <si>
    <t>Nevermore</t>
  </si>
  <si>
    <t>Stone Cold Crazy</t>
  </si>
  <si>
    <t>The Prophet's Song</t>
  </si>
  <si>
    <t>Good Old-Fashioned Lover Boy</t>
  </si>
  <si>
    <t>Sleeping On The Sidewalk</t>
  </si>
  <si>
    <t>In Only Seven Days</t>
  </si>
  <si>
    <t>Sail Away Sweet Sister</t>
  </si>
  <si>
    <t>The Kiss</t>
  </si>
  <si>
    <t>Calling All Girls</t>
  </si>
  <si>
    <t>Hammer To Fall</t>
  </si>
  <si>
    <t>Don't Lose Your Head</t>
  </si>
  <si>
    <t>Scandal</t>
  </si>
  <si>
    <t>These Are The Days Of Our Lives</t>
  </si>
  <si>
    <t>Too Much Love Will Kill You</t>
  </si>
  <si>
    <t>Jesus</t>
  </si>
  <si>
    <t>The March Of The Black Queen</t>
  </si>
  <si>
    <t>Dear Friends</t>
  </si>
  <si>
    <t>Love Of My Life</t>
  </si>
  <si>
    <t>Drowse</t>
  </si>
  <si>
    <t>Who Needs You</t>
  </si>
  <si>
    <t>Dreamer's Ball</t>
  </si>
  <si>
    <t>Coming Soon</t>
  </si>
  <si>
    <t>Arboria</t>
  </si>
  <si>
    <t>Las Palabras De Amor</t>
  </si>
  <si>
    <t>Is This The World We Created...?</t>
  </si>
  <si>
    <t>Princes Of The Universe</t>
  </si>
  <si>
    <t>My Baby Does Me</t>
  </si>
  <si>
    <t>Delilah</t>
  </si>
  <si>
    <t>You Don't Fool Me</t>
  </si>
  <si>
    <t>Seven Seas Of Rhye</t>
  </si>
  <si>
    <t>Funny How Love Is</t>
  </si>
  <si>
    <t>Misfire</t>
  </si>
  <si>
    <t>Good Company</t>
  </si>
  <si>
    <t>Teo Torriatte</t>
  </si>
  <si>
    <t>It's Late</t>
  </si>
  <si>
    <t>Fun It</t>
  </si>
  <si>
    <t>Save Me</t>
  </si>
  <si>
    <t>Escape From The Swamp</t>
  </si>
  <si>
    <t>Cool Cat</t>
  </si>
  <si>
    <t>Was It All Worth It</t>
  </si>
  <si>
    <t>The Hitman</t>
  </si>
  <si>
    <t>A Winter's Tale</t>
  </si>
  <si>
    <t>Seven Seas of Rhye</t>
  </si>
  <si>
    <t>Bring Back That Leroy Brown</t>
  </si>
  <si>
    <t>Bohemian Rhapsody</t>
  </si>
  <si>
    <t>My Melancholy Blues</t>
  </si>
  <si>
    <t>Leaving Home Ain't Easy</t>
  </si>
  <si>
    <t>Flash To The Rescue</t>
  </si>
  <si>
    <t>Under Pressure</t>
  </si>
  <si>
    <t>Bijou</t>
  </si>
  <si>
    <t>It's A Beautiful Day (Reprise)</t>
  </si>
  <si>
    <t>She Makes Me</t>
  </si>
  <si>
    <t>God Save The Queen</t>
  </si>
  <si>
    <t>Don't Stop Me Now</t>
  </si>
  <si>
    <t>Vultan's Theme</t>
  </si>
  <si>
    <t>The Show Must Go On</t>
  </si>
  <si>
    <t>Yeah</t>
  </si>
  <si>
    <t>More Of That Jazz</t>
  </si>
  <si>
    <t>Battle Theme</t>
  </si>
  <si>
    <t>Untitled</t>
  </si>
  <si>
    <t>The Wedding March</t>
  </si>
  <si>
    <t>Marriage Of Dale And Ming</t>
  </si>
  <si>
    <t>Crash Dive On Mingo City</t>
  </si>
  <si>
    <t>Flash's Theme Reprise</t>
  </si>
  <si>
    <t>The Hero</t>
  </si>
  <si>
    <t>SINGLE DATASET</t>
  </si>
  <si>
    <t>Dataset Album Count</t>
  </si>
  <si>
    <t>Weight</t>
  </si>
  <si>
    <t>Song Name</t>
  </si>
  <si>
    <t>File</t>
  </si>
  <si>
    <t>Album</t>
  </si>
  <si>
    <t>Spotify Code</t>
  </si>
  <si>
    <t>Somebody to Love</t>
  </si>
  <si>
    <t>Somebody to Love.3.mid</t>
  </si>
  <si>
    <t>4rDbp1vnvEhieiccprPMdI</t>
  </si>
  <si>
    <t>White Man.mid</t>
  </si>
  <si>
    <t>2ekdPqGg9Ta3jDN1I8dm3z</t>
  </si>
  <si>
    <t>Good Old Fashioned Lover Boy.2.mid</t>
  </si>
  <si>
    <t>1n7xFAY4xoPeqRvrkzAtsw</t>
  </si>
  <si>
    <t>A Kind of Magic</t>
  </si>
  <si>
    <t>A Kind of Magic.1.mid</t>
  </si>
  <si>
    <t>5RYLa5P4qweEAKq5U1gdcK</t>
  </si>
  <si>
    <t>Friends Will Be Friends.2.mid</t>
  </si>
  <si>
    <t>3EGlnkJGcwz73rT0oE0X1X</t>
  </si>
  <si>
    <t>One Year of Love</t>
  </si>
  <si>
    <t>One Year of Love.mid</t>
  </si>
  <si>
    <t>1SvX2R7kPc0JsGnJaJVzZO</t>
  </si>
  <si>
    <t>Who Wants to Live Forever</t>
  </si>
  <si>
    <t>Who Wants to Live Forever.4.mid</t>
  </si>
  <si>
    <t>41kCFJBcaLSt7Ruk5zO3Vr</t>
  </si>
  <si>
    <t>Princes of the Universe</t>
  </si>
  <si>
    <t>Princes of the Universe.1.mid</t>
  </si>
  <si>
    <t>0Uy8lcDHiPDicBQ7rnDgcK</t>
  </si>
  <si>
    <t>_39.mid</t>
  </si>
  <si>
    <t>65NTcXUtOb27NHKQ4fAcw0</t>
  </si>
  <si>
    <t>Bohemian Rhapsody.1.mid</t>
  </si>
  <si>
    <t>4u7EnebtmKWzUH433cf5Qv</t>
  </si>
  <si>
    <t>Love of My Life</t>
  </si>
  <si>
    <t>Love of My Life.3.mid</t>
  </si>
  <si>
    <t>4YJUTdZ0Pgl0ZeNyHYXeLd</t>
  </si>
  <si>
    <t>You_re My Best Friend.mid</t>
  </si>
  <si>
    <t>4vhVDkSx9RSb2k6mWFMYNI</t>
  </si>
  <si>
    <t>Death on Two Legs (Dedicated To...).mid</t>
  </si>
  <si>
    <t>2MvRMWU2ILRcFEU8WWbuP8</t>
  </si>
  <si>
    <t>Under Pressure.7.mid</t>
  </si>
  <si>
    <t>2fuCquhmrzHpu5xcA1ci9x</t>
  </si>
  <si>
    <t>All God_s People.mid</t>
  </si>
  <si>
    <t>6VWhk0VNyGs6o5aTUj4akR</t>
  </si>
  <si>
    <t>Bijou.1.mid</t>
  </si>
  <si>
    <t>3doVdGo0NrKWDuiAUiWyCY</t>
  </si>
  <si>
    <t>NOT FOUND</t>
  </si>
  <si>
    <t>Don_t Try So Hard.2.mid</t>
  </si>
  <si>
    <t>161M6Ul0mY3trIlDxBHyhK</t>
  </si>
  <si>
    <t>TOTAL</t>
  </si>
  <si>
    <t>Headlong.mid</t>
  </si>
  <si>
    <t>6goUTcMn0V30hWtKFIj6Kh</t>
  </si>
  <si>
    <t>I Can_t Live With You.1.mid</t>
  </si>
  <si>
    <t>4HF7ddEW0eadUpIi3iSqiB</t>
  </si>
  <si>
    <t>Ignore Less than</t>
  </si>
  <si>
    <t>I_m Going Slightly Mad.2.mid</t>
  </si>
  <si>
    <t>1pHVfiNHMMZYquR35fTZdM</t>
  </si>
  <si>
    <t>Innuendo.mid</t>
  </si>
  <si>
    <t>0BzhS74ByIVlyz8BedHaYi</t>
  </si>
  <si>
    <t>The Show Must Go On.mid</t>
  </si>
  <si>
    <t>5n6RDaGFSN88oRWuGtYAIN</t>
  </si>
  <si>
    <t>These Are the Days of Our Lives</t>
  </si>
  <si>
    <t>These Are the Days of Our Lives.3.mid</t>
  </si>
  <si>
    <t>5js1JJOAkR5KwlifBpvHMN</t>
  </si>
  <si>
    <t>Bicycle Race.mid</t>
  </si>
  <si>
    <t>5CTAcf8aS0a0sIsDwQRF9C</t>
  </si>
  <si>
    <t>Don_t Stop Me Now.1.mid</t>
  </si>
  <si>
    <t>5T8EDUDqKcs6OSOwEsfqG7</t>
  </si>
  <si>
    <t>Fat Bottomed Girls.mid</t>
  </si>
  <si>
    <t>6IAVxNFi1W88UhDeyvOsdo</t>
  </si>
  <si>
    <t>Fun It.mid</t>
  </si>
  <si>
    <t>6jtctBYvybxCAmlg7nT6CS</t>
  </si>
  <si>
    <t>In Only Seven Days.mid</t>
  </si>
  <si>
    <t>06UXtRLTF6kdMSM3uaVCCU</t>
  </si>
  <si>
    <t>Heaven for Everyone</t>
  </si>
  <si>
    <t>Heaven for Everyone.mid</t>
  </si>
  <si>
    <t>3Klfd4rsRO53fYpxmdQmYV</t>
  </si>
  <si>
    <t>I Was Born to Love You</t>
  </si>
  <si>
    <t>I Was Born to Love You.mid</t>
  </si>
  <si>
    <t>7DtdhIJlSSOaAFNk4JdXCb</t>
  </si>
  <si>
    <t>Made in Heaven</t>
  </si>
  <si>
    <t>Made in Heaven.mid</t>
  </si>
  <si>
    <t>4NTMIFWtDXnWN4hDSBlKOf</t>
  </si>
  <si>
    <t>Mother Love.mid</t>
  </si>
  <si>
    <t>5ShmaPvHBM0lMG5Tj2VtZF</t>
  </si>
  <si>
    <t>My Life Has Been Saved.mid</t>
  </si>
  <si>
    <t>0W6NenBf8U0HUujewiVQ6y</t>
  </si>
  <si>
    <t>Too Much Love Will Kill You.3.mid</t>
  </si>
  <si>
    <t>0W1uTK6I97CbjFKAVtRGfK</t>
  </si>
  <si>
    <t>You Don_t Fool Me.mid</t>
  </si>
  <si>
    <t>1chxAv59LZcOE5FyrlUze2</t>
  </si>
  <si>
    <t>My Melancholy Blues.mid</t>
  </si>
  <si>
    <t>1WttHhgIl0N0vXZYrOxF0C</t>
  </si>
  <si>
    <t>Spread Your Wings.mid</t>
  </si>
  <si>
    <t>0nUCaKwNqO5whVAhEX1A1R</t>
  </si>
  <si>
    <t>We Are The Champions.1.mid</t>
  </si>
  <si>
    <t>1lCRw5FEZ1gPDNPzy1K4zW</t>
  </si>
  <si>
    <t>We Will Rock You.6.mid</t>
  </si>
  <si>
    <t>4pbJqGIASGPr0ZpGpnWkDn</t>
  </si>
  <si>
    <t>Living on My Own</t>
  </si>
  <si>
    <t>Living on My Own.mid</t>
  </si>
  <si>
    <t>2VCB1IOc2oLUkat0YCkTZ6</t>
  </si>
  <si>
    <t>The Great Pretender</t>
  </si>
  <si>
    <t>The Great Pretender.mid</t>
  </si>
  <si>
    <t>4RhkLF7D9fXIxnHNz1x77l</t>
  </si>
  <si>
    <t>Doing All Right.1.mid</t>
  </si>
  <si>
    <t>6PT7wUJefYPEU1lX1lcLRJ</t>
  </si>
  <si>
    <t>Keep Yourself Alive.mid</t>
  </si>
  <si>
    <t>3N25RDKNufh7Sz8v7fwtUP</t>
  </si>
  <si>
    <t>Seven Seas of Rhye.1.mid</t>
  </si>
  <si>
    <t>0sRidOyZHABfl4GS3t4YXg</t>
  </si>
  <si>
    <t>Son and Daughter</t>
  </si>
  <si>
    <t>Son and Daughter.1.mid</t>
  </si>
  <si>
    <t>1zK7i2QyuCmpYE209BMcPZ</t>
  </si>
  <si>
    <t>Never More.mid</t>
  </si>
  <si>
    <t>6n7zeRIrGj8hTFxNWGb9k1</t>
  </si>
  <si>
    <t>Father to Son</t>
  </si>
  <si>
    <t>Father to Son.mid</t>
  </si>
  <si>
    <t>4ODgFAlSa4RSeugPEXJGcQ</t>
  </si>
  <si>
    <t>Procession.mid</t>
  </si>
  <si>
    <t>6Wh3qXoyxfK3KeZG1Hwyik</t>
  </si>
  <si>
    <t>Now I_m Here.4.mid</t>
  </si>
  <si>
    <t>5v1osKVFv3rXWb1VJDO9pW</t>
  </si>
  <si>
    <t>Killer Queen.1.mid</t>
  </si>
  <si>
    <t>4cIPLtg1avt2Jm3ne9S1zy</t>
  </si>
  <si>
    <t>Another One Bites The Dust.1.mid</t>
  </si>
  <si>
    <t>5vdp5UmvTsnMEMESIF2Ym7</t>
  </si>
  <si>
    <t>Crazy Little Thing Called Love.2.mid</t>
  </si>
  <si>
    <t>6xdLJrVj4vIXwhuG8TMopk</t>
  </si>
  <si>
    <t>Play the Game</t>
  </si>
  <si>
    <t>Play the Game.1.mid</t>
  </si>
  <si>
    <t>5p6xhgQCwzX0G9PadMU9GA</t>
  </si>
  <si>
    <t>Save Me.2.mid</t>
  </si>
  <si>
    <t>1pBFEy8cz0Fq4Pru0c4awd</t>
  </si>
  <si>
    <t>I Want It All.mid</t>
  </si>
  <si>
    <t>3Dpyn5Cu7BdURzo2ov4dku</t>
  </si>
  <si>
    <t>Rain Must Fall.mid</t>
  </si>
  <si>
    <t>6jornLGJEzC3wFP2MFFvWg</t>
  </si>
  <si>
    <t>Scandal.mid</t>
  </si>
  <si>
    <t>6ntpR3xo7Zcc9akHgcMbu5</t>
  </si>
  <si>
    <t>The Invisible Man.mid</t>
  </si>
  <si>
    <t>6VoiY3rukFPoqzP4AoGPU8</t>
  </si>
  <si>
    <t>The Miracle.1.mid</t>
  </si>
  <si>
    <t>5EQXJGm08LMM1ZtVmkYJMn</t>
  </si>
  <si>
    <t>Hammer to Fall</t>
  </si>
  <si>
    <t>Hammer to Fall.mid</t>
  </si>
  <si>
    <t>7Im5F8fliiF16D2te5rYNv</t>
  </si>
  <si>
    <t>I Want to Break Free</t>
  </si>
  <si>
    <t>I Want to Break Free.3.mid</t>
  </si>
  <si>
    <t>1MsBRSbt5dqJSw3RxXtvCM</t>
  </si>
  <si>
    <t>It's a Hard Life</t>
  </si>
  <si>
    <t>It_s a Hard Life.mid</t>
  </si>
  <si>
    <t>34MoKBRdC9JDjcL4b4X1Ic</t>
  </si>
  <si>
    <t>Radio Ga Ga.5.mid</t>
  </si>
  <si>
    <t>1nQRg9q9uwALGzouOX5OyQ</t>
  </si>
  <si>
    <t>KMeans FS1 Elbow</t>
  </si>
  <si>
    <t>Cluster Data</t>
  </si>
  <si>
    <t>C</t>
  </si>
  <si>
    <t>Loc</t>
  </si>
  <si>
    <t>Year</t>
  </si>
  <si>
    <t>Cluster</t>
  </si>
  <si>
    <t>Year
(Min)</t>
  </si>
  <si>
    <t>Year
(Max)</t>
  </si>
  <si>
    <t>Year
(Mean)</t>
  </si>
  <si>
    <t>Year
(Med)</t>
  </si>
  <si>
    <t>Year
(Mode)</t>
  </si>
  <si>
    <t>Album
(Mode)</t>
  </si>
  <si>
    <t>Value
(Mode)</t>
  </si>
  <si>
    <t>Count
(Mode)</t>
  </si>
  <si>
    <t>Album
(Mode Normalized)</t>
  </si>
  <si>
    <t>Value
(MN)</t>
  </si>
  <si>
    <t>%
(MN)</t>
  </si>
  <si>
    <t>Count
(MN)</t>
  </si>
  <si>
    <t>Share</t>
  </si>
  <si>
    <t>Songs</t>
  </si>
  <si>
    <t>C:\Users\Earl Felizardo\Documents\Thesis Files\Queen MIDI Dataset (Pruned)\Doing All Right.1.mid</t>
  </si>
  <si>
    <t>N/A</t>
  </si>
  <si>
    <t>C:\Users\Earl Felizardo\Documents\Thesis Files\Queen MIDI Dataset (Pruned)\Keep Yourself Alive.mid</t>
  </si>
  <si>
    <t>C:\Users\Earl Felizardo\Documents\Thesis Files\Queen MIDI Dataset (Pruned)\Seven Seas of Rhye.1.mid</t>
  </si>
  <si>
    <t>C:\Users\Earl Felizardo\Documents\Thesis Files\Queen MIDI Dataset (Pruned)\Son and Daughter.1.mid</t>
  </si>
  <si>
    <t>C:\Users\Earl Felizardo\Documents\Thesis Files\Queen MIDI Dataset (Pruned)\Father to Son.mid</t>
  </si>
  <si>
    <t>C:\Users\Earl Felizardo\Documents\Thesis Files\Queen MIDI Dataset (Pruned)\Never More.mid</t>
  </si>
  <si>
    <t>C:\Users\Earl Felizardo\Documents\Thesis Files\Queen MIDI Dataset (Pruned)\Killer Queen.1.mid</t>
  </si>
  <si>
    <t>C:\Users\Earl Felizardo\Documents\Thesis Files\Queen MIDI Dataset (Pruned)\Now I_m Here.4.mid</t>
  </si>
  <si>
    <t>C:\Users\Earl Felizardo\Documents\Thesis Files\Queen MIDI Dataset (Pruned)\_39.mid</t>
  </si>
  <si>
    <t>C:\Users\Earl Felizardo\Documents\Thesis Files\Queen MIDI Dataset (Pruned)\Bohemian Rhapsody.1.mid</t>
  </si>
  <si>
    <t>C:\Users\Earl Felizardo\Documents\Thesis Files\Queen MIDI Dataset (Pruned)\Death on Two Legs (Dedicated To...).mid</t>
  </si>
  <si>
    <t>C:\Users\Earl Felizardo\Documents\Thesis Files\Queen MIDI Dataset (Pruned)\Love of My Life.3.mid</t>
  </si>
  <si>
    <t>C:\Users\Earl Felizardo\Documents\Thesis Files\Queen MIDI Dataset (Pruned)\You_re My Best Friend.mid</t>
  </si>
  <si>
    <t>C:\Users\Earl Felizardo\Documents\Thesis Files\Queen MIDI Dataset (Pruned)\Good Old Fashioned Lover Boy.2.mid</t>
  </si>
  <si>
    <t>C:\Users\Earl Felizardo\Documents\Thesis Files\Queen MIDI Dataset (Pruned)\Somebody to Love.3.mid</t>
  </si>
  <si>
    <t>C:\Users\Earl Felizardo\Documents\Thesis Files\Queen MIDI Dataset (Pruned)\White Man.mid</t>
  </si>
  <si>
    <t>C:\Users\Earl Felizardo\Documents\Thesis Files\Queen MIDI Dataset (Pruned)\My Melancholy Blues.mid</t>
  </si>
  <si>
    <t>C:\Users\Earl Felizardo\Documents\Thesis Files\Queen MIDI Dataset (Pruned)\Spread Your Wings.mid</t>
  </si>
  <si>
    <t>C:\Users\Earl Felizardo\Documents\Thesis Files\Queen MIDI Dataset (Pruned)\We Are The Champions.1.mid</t>
  </si>
  <si>
    <t>C:\Users\Earl Felizardo\Documents\Thesis Files\Queen MIDI Dataset (Pruned)\Bicycle Race.mid</t>
  </si>
  <si>
    <t>C:\Users\Earl Felizardo\Documents\Thesis Files\Queen MIDI Dataset (Pruned)\Don_t Stop Me Now.1.mid</t>
  </si>
  <si>
    <t>C:\Users\Earl Felizardo\Documents\Thesis Files\Queen MIDI Dataset (Pruned)\Fat Bottomed Girls.mid</t>
  </si>
  <si>
    <t>C:\Users\Earl Felizardo\Documents\Thesis Files\Queen MIDI Dataset (Pruned)\Fun It.mid</t>
  </si>
  <si>
    <t>C:\Users\Earl Felizardo\Documents\Thesis Files\Queen MIDI Dataset (Pruned)\In Only Seven Days.mid</t>
  </si>
  <si>
    <t>C:\Users\Earl Felizardo\Documents\Thesis Files\Queen MIDI Dataset (Pruned)\Another One Bites The Dust.1.mid</t>
  </si>
  <si>
    <t>C:\Users\Earl Felizardo\Documents\Thesis Files\Queen MIDI Dataset (Pruned)\Crazy Little Thing Called Love.2.mid</t>
  </si>
  <si>
    <t>C:\Users\Earl Felizardo\Documents\Thesis Files\Queen MIDI Dataset (Pruned)\Play the Game.1.mid</t>
  </si>
  <si>
    <t>C:\Users\Earl Felizardo\Documents\Thesis Files\Queen MIDI Dataset (Pruned)\Save Me.2.mid</t>
  </si>
  <si>
    <t>C:\Users\Earl Felizardo\Documents\Thesis Files\Queen MIDI Dataset (Pruned)\Under Pressure.7.mid</t>
  </si>
  <si>
    <t>C:\Users\Earl Felizardo\Documents\Thesis Files\Queen MIDI Dataset (Pruned)\Hammer to Fall.mid</t>
  </si>
  <si>
    <t>C:\Users\Earl Felizardo\Documents\Thesis Files\Queen MIDI Dataset (Pruned)\I Want to Break Free.3.mid</t>
  </si>
  <si>
    <t>C:\Users\Earl Felizardo\Documents\Thesis Files\Queen MIDI Dataset (Pruned)\It_s a Hard Life.mid</t>
  </si>
  <si>
    <t>C:\Users\Earl Felizardo\Documents\Thesis Files\Queen MIDI Dataset (Pruned)\Radio Ga Ga.5.mid</t>
  </si>
  <si>
    <t>C:\Users\Earl Felizardo\Documents\Thesis Files\Queen MIDI Dataset (Pruned)\A Kind of Magic.1.mid</t>
  </si>
  <si>
    <t>C:\Users\Earl Felizardo\Documents\Thesis Files\Queen MIDI Dataset (Pruned)\Friends Will Be Friends.2.mid</t>
  </si>
  <si>
    <t>C:\Users\Earl Felizardo\Documents\Thesis Files\Queen MIDI Dataset (Pruned)\One Year of Love.mid</t>
  </si>
  <si>
    <t>C:\Users\Earl Felizardo\Documents\Thesis Files\Queen MIDI Dataset (Pruned)\Princes of the Universe.1.mid</t>
  </si>
  <si>
    <t>C:\Users\Earl Felizardo\Documents\Thesis Files\Queen MIDI Dataset (Pruned)\Who Wants to Live Forever.4.mid</t>
  </si>
  <si>
    <t>C:\Users\Earl Felizardo\Documents\Thesis Files\Queen MIDI Dataset (Pruned)\I Want It All.mid</t>
  </si>
  <si>
    <t>C:\Users\Earl Felizardo\Documents\Thesis Files\Queen MIDI Dataset (Pruned)\Rain Must Fall.mid</t>
  </si>
  <si>
    <t>C:\Users\Earl Felizardo\Documents\Thesis Files\Queen MIDI Dataset (Pruned)\Scandal.mid</t>
  </si>
  <si>
    <t>C:\Users\Earl Felizardo\Documents\Thesis Files\Queen MIDI Dataset (Pruned)\The Invisible Man.mid</t>
  </si>
  <si>
    <t>C:\Users\Earl Felizardo\Documents\Thesis Files\Queen MIDI Dataset (Pruned)\The Miracle.1.mid</t>
  </si>
  <si>
    <t>C:\Users\Earl Felizardo\Documents\Thesis Files\Queen MIDI Dataset (Pruned)\All God_s People.mid</t>
  </si>
  <si>
    <t>C:\Users\Earl Felizardo\Documents\Thesis Files\Queen MIDI Dataset (Pruned)\Bijou.1.mid</t>
  </si>
  <si>
    <t>C:\Users\Earl Felizardo\Documents\Thesis Files\Queen MIDI Dataset (Pruned)\Don_t Try So Hard.2.mid</t>
  </si>
  <si>
    <t>C:\Users\Earl Felizardo\Documents\Thesis Files\Queen MIDI Dataset (Pruned)\Headlong.mid</t>
  </si>
  <si>
    <t>C:\Users\Earl Felizardo\Documents\Thesis Files\Queen MIDI Dataset (Pruned)\I Can_t Live With You.1.mid</t>
  </si>
  <si>
    <t>C:\Users\Earl Felizardo\Documents\Thesis Files\Queen MIDI Dataset (Pruned)\I_m Going Slightly Mad.2.mid</t>
  </si>
  <si>
    <t>C:\Users\Earl Felizardo\Documents\Thesis Files\Queen MIDI Dataset (Pruned)\Innuendo.mid</t>
  </si>
  <si>
    <t>C:\Users\Earl Felizardo\Documents\Thesis Files\Queen MIDI Dataset (Pruned)\The Show Must Go On.mid</t>
  </si>
  <si>
    <t>C:\Users\Earl Felizardo\Documents\Thesis Files\Queen MIDI Dataset (Pruned)\These Are the Days of Our Lives.3.mid</t>
  </si>
  <si>
    <t>C:\Users\Earl Felizardo\Documents\Thesis Files\Queen MIDI Dataset (Pruned)\Heaven for Everyone.mid</t>
  </si>
  <si>
    <t>C:\Users\Earl Felizardo\Documents\Thesis Files\Queen MIDI Dataset (Pruned)\I Was Born to Love You.mid</t>
  </si>
  <si>
    <t>C:\Users\Earl Felizardo\Documents\Thesis Files\Queen MIDI Dataset (Pruned)\Made in Heaven.mid</t>
  </si>
  <si>
    <t>C:\Users\Earl Felizardo\Documents\Thesis Files\Queen MIDI Dataset (Pruned)\Mother Love.mid</t>
  </si>
  <si>
    <t>C:\Users\Earl Felizardo\Documents\Thesis Files\Queen MIDI Dataset (Pruned)\My Life Has Been Saved.mid</t>
  </si>
  <si>
    <t>C:\Users\Earl Felizardo\Documents\Thesis Files\Queen MIDI Dataset (Pruned)\Too Much Love Will Kill You.3.mid</t>
  </si>
  <si>
    <t>C:\Users\Earl Felizardo\Documents\Thesis Files\Queen MIDI Dataset (Pruned)\You Don_t Fool Me.mid</t>
  </si>
  <si>
    <t>C:\Users\Earl Felizardo\Documents\Thesis Files\Queen MIDI Dataset (Pruned)\Living on My Own.mid</t>
  </si>
  <si>
    <t>C:\Users\Earl Felizardo\Documents\Thesis Files\Queen MIDI Dataset (Pruned)\Procession.mid</t>
  </si>
  <si>
    <t>C:\Users\Earl Felizardo\Documents\Thesis Files\Queen MIDI Dataset (Pruned)\The Great Pretender.mid</t>
  </si>
  <si>
    <t>C:\Users\Earl Felizardo\Documents\Thesis Files\Queen MIDI Dataset (Pruned)\We Will Rock You.6.mid</t>
  </si>
  <si>
    <t>KMeans FS1 Silhouette</t>
  </si>
  <si>
    <t>KMeans FS2 Elbow</t>
  </si>
  <si>
    <t>KMeans FS2 Silhouette</t>
  </si>
  <si>
    <t>AffProg FS1 Davies</t>
  </si>
  <si>
    <t>AffProg FS1 Silhouette</t>
  </si>
  <si>
    <t>AffProg FS2 Davies</t>
  </si>
  <si>
    <t>AffProg FS2 Silhouette</t>
  </si>
  <si>
    <t>[KMeans] FS2 Elbow</t>
  </si>
  <si>
    <t>[AffProg] FS1 Davies</t>
  </si>
  <si>
    <t>[AffProg] FS1 Silhouette</t>
  </si>
  <si>
    <t>[AffProg] FS2 Davies</t>
  </si>
  <si>
    <t>[AffProg] FS2 Silhouette</t>
  </si>
  <si>
    <t>Multiplier</t>
  </si>
  <si>
    <t>FS1</t>
  </si>
  <si>
    <t>FS2</t>
  </si>
  <si>
    <t>[Data] Population</t>
  </si>
  <si>
    <t>#</t>
  </si>
  <si>
    <t>Feature Class</t>
  </si>
  <si>
    <t>Track Name</t>
  </si>
  <si>
    <t>MEAN</t>
  </si>
  <si>
    <t>AVEDEV</t>
  </si>
  <si>
    <t>MEAN DIFF</t>
  </si>
  <si>
    <t>Pitch</t>
  </si>
  <si>
    <t>Number_of_Pitches</t>
  </si>
  <si>
    <t>x</t>
  </si>
  <si>
    <t>Number_of_Pitch_Classes</t>
  </si>
  <si>
    <t>Number_of_Common_Pitches</t>
  </si>
  <si>
    <t>Number_of_Common_Pitch_Classes</t>
  </si>
  <si>
    <t>Range</t>
  </si>
  <si>
    <t>Importance_of_Bass_Register</t>
  </si>
  <si>
    <t>Importance_of_Middle_Register</t>
  </si>
  <si>
    <t>Importance_of_High_Register</t>
  </si>
  <si>
    <t>Dominant_Spread</t>
  </si>
  <si>
    <t>Strong_Tonal_Centres</t>
  </si>
  <si>
    <t>Mean_Pitch</t>
  </si>
  <si>
    <t>Mean_Pitch_Class</t>
  </si>
  <si>
    <t>Most_Common_Pitch</t>
  </si>
  <si>
    <t>Most_Common_Pitch_Class</t>
  </si>
  <si>
    <t>Prevalence_of_Most_Common_Pitch</t>
  </si>
  <si>
    <t>Prevalence_of_Most_Common_Pitch_Class</t>
  </si>
  <si>
    <t>Relative_Prevalence_of_Top_Pitches</t>
  </si>
  <si>
    <t>Relative_Prevalence_of_Top_Pitch_Classes</t>
  </si>
  <si>
    <t>Interval_Between_Most_Prevalent_Pitches</t>
  </si>
  <si>
    <t>Interval_Between_Most_Prevalent_Pitch_Classes</t>
  </si>
  <si>
    <t>Pitch_Variability</t>
  </si>
  <si>
    <t>Pitch_Class_Variability</t>
  </si>
  <si>
    <t>Pitch_Class_Variability_After_Folding</t>
  </si>
  <si>
    <t>Pitch_Skewness</t>
  </si>
  <si>
    <t>Pitch_Class_Skewness</t>
  </si>
  <si>
    <t>Pitch_Class_Skewness_After_Folding</t>
  </si>
  <si>
    <t>Pitch_Kurtosis</t>
  </si>
  <si>
    <t>Pitch_Class_Kurtosis</t>
  </si>
  <si>
    <t>Pitch_Class_Kurtosis_After_Folding</t>
  </si>
  <si>
    <t>Major_or_Minor</t>
  </si>
  <si>
    <t>First_Pitch</t>
  </si>
  <si>
    <t>First_Pitch_Class</t>
  </si>
  <si>
    <t>Last_Pitch</t>
  </si>
  <si>
    <t>Last_Pitch_Class</t>
  </si>
  <si>
    <t>Glissando_Prevalence</t>
  </si>
  <si>
    <t>Average_Range_of_Glissandos</t>
  </si>
  <si>
    <t>Vibrato_Prevalence</t>
  </si>
  <si>
    <t>Microtone_Prevalence</t>
  </si>
  <si>
    <t>Melody</t>
  </si>
  <si>
    <t>Most_Common_Melodic_Interval</t>
  </si>
  <si>
    <t>Mean_Melodic_Interval</t>
  </si>
  <si>
    <t>Number_of_Common_Melodic_Intervals</t>
  </si>
  <si>
    <t>Distance_Between_Most_Prevalent_Melodic_Intervals</t>
  </si>
  <si>
    <t>Prevalence_of_Most_Common_Melodic_Interval</t>
  </si>
  <si>
    <t>Relative_Prevalence_of_Most_Common_Melodic_Intervals</t>
  </si>
  <si>
    <t>Amount_of_Arpeggiation</t>
  </si>
  <si>
    <t>Repeated_Notes</t>
  </si>
  <si>
    <t>Chromatic_Motion</t>
  </si>
  <si>
    <t>Stepwise_Motion</t>
  </si>
  <si>
    <t>Melodic_Thirds</t>
  </si>
  <si>
    <t>Melodic_Perfect_Fourths</t>
  </si>
  <si>
    <t>Melodic_Tritones</t>
  </si>
  <si>
    <t>Melodic_Perfect_Fifths</t>
  </si>
  <si>
    <t>Melodic_Sixths</t>
  </si>
  <si>
    <t>Melodic_Sevenths</t>
  </si>
  <si>
    <t>Melodic_Octaves</t>
  </si>
  <si>
    <t>Melodic_Large_Intervals</t>
  </si>
  <si>
    <t>Minor_Major_Melodic_Third_Ratio</t>
  </si>
  <si>
    <t>Melodic_Embellishments</t>
  </si>
  <si>
    <t>Direction_of_Melodic_Motion</t>
  </si>
  <si>
    <t>Average_Length_of_Melodic_Arcs</t>
  </si>
  <si>
    <t>Average_Interval_Spanned_by_Melodic_Arcs</t>
  </si>
  <si>
    <t>Melodic_Pitch_Variety</t>
  </si>
  <si>
    <t>Chord</t>
  </si>
  <si>
    <t>Average_Number_of_Simultaneous_Pitch_Classes</t>
  </si>
  <si>
    <t>Variability_of_Number_of_Simultaneous_Pitch_Classes</t>
  </si>
  <si>
    <t>Average_Number_of_Simultaneous_Pitches</t>
  </si>
  <si>
    <t>Variability_of_Number_of_Simultaneous_Pitches</t>
  </si>
  <si>
    <t>Most_Common_Vertical_Interval</t>
  </si>
  <si>
    <t>Second_Most_Common_Vertical_Interval</t>
  </si>
  <si>
    <t>Distance_Between_Two_Most_Common_Vertical_Intervals</t>
  </si>
  <si>
    <t>Prevalence_of_Most_Common_Vertical_Interval</t>
  </si>
  <si>
    <t>Prevalence_of_Second_Most_Common_Vertical_Interval</t>
  </si>
  <si>
    <t>Prevalence_Ratio_of_Two_Most_Common_Vertical_Intervals</t>
  </si>
  <si>
    <t>Vertical_Unisons</t>
  </si>
  <si>
    <t>Vertical_Minor_Seconds</t>
  </si>
  <si>
    <t>Vertical_Thirds</t>
  </si>
  <si>
    <t>Vertical_Tritones</t>
  </si>
  <si>
    <t>Vertical_Perfect_Fourths</t>
  </si>
  <si>
    <t>Vertical_Perfect_Fifths</t>
  </si>
  <si>
    <t>Vertical_Sixths</t>
  </si>
  <si>
    <t>Vertical_Sevenths</t>
  </si>
  <si>
    <t>Vertical_Octaves</t>
  </si>
  <si>
    <t>Perfect_Vertical_Intervals</t>
  </si>
  <si>
    <t>Vertical_Dissonance_Ratio</t>
  </si>
  <si>
    <t>Vertical_Minor_Third_Prevalence</t>
  </si>
  <si>
    <t>Vertical_Major_Third_Prevalence</t>
  </si>
  <si>
    <t>Chord_Duration</t>
  </si>
  <si>
    <t>Partial_Chords</t>
  </si>
  <si>
    <t>Standard_Triads</t>
  </si>
  <si>
    <t>Diminished_and_Augmented_Triads</t>
  </si>
  <si>
    <t>Dominant_Seventh_Chords</t>
  </si>
  <si>
    <t>Seventh_Chords</t>
  </si>
  <si>
    <t>Non-Standard_Chords</t>
  </si>
  <si>
    <t>Complex_Chords</t>
  </si>
  <si>
    <t>Minor_Major_Triad_Ratio</t>
  </si>
  <si>
    <t>Rhythm</t>
  </si>
  <si>
    <t>Simple_Initial_Meter</t>
  </si>
  <si>
    <t>Compound_Initial_Meter</t>
  </si>
  <si>
    <t>Complex_Initial_Meter</t>
  </si>
  <si>
    <t>Duple_Initial_Meter</t>
  </si>
  <si>
    <t>Triple_Initial_Meter</t>
  </si>
  <si>
    <t>Quadruple_Initial_Meter</t>
  </si>
  <si>
    <t>Metrical_Diversity</t>
  </si>
  <si>
    <t>Total_Number_of_Notes</t>
  </si>
  <si>
    <t>Note_Density_per_Quarter_Note</t>
  </si>
  <si>
    <t>Note_Density_per_Quarter_Note_per_Voice</t>
  </si>
  <si>
    <t>Range_of_Rhythmic_Values</t>
  </si>
  <si>
    <t>Number_of_Different_Rhythmic_Values_Present</t>
  </si>
  <si>
    <t>Number_of_Common_Rhythmic_Values_Present</t>
  </si>
  <si>
    <t>Prevalence_of_Very_Short_Rhythmic_Values</t>
  </si>
  <si>
    <t>Prevalence_of_Short_Rhythmic_Values</t>
  </si>
  <si>
    <t>Prevalence_of_Medium_Rhythmic_Values</t>
  </si>
  <si>
    <t>Prevalence_of_Long_Rhythmic_Values</t>
  </si>
  <si>
    <t>Prevalence_of_Very_Long_Rhythmic_Values</t>
  </si>
  <si>
    <t>Prevalence_of_Dotted_Notes</t>
  </si>
  <si>
    <t>Shortest_Rhythmic_Value</t>
  </si>
  <si>
    <t>Longest_Rhythmic_Value</t>
  </si>
  <si>
    <t>Mean_Rhythmic_Value</t>
  </si>
  <si>
    <t>Most_Common_Rhythmic_Value</t>
  </si>
  <si>
    <t>Prevalence_of_Most_Common_Rhythmic_Value</t>
  </si>
  <si>
    <t>Relative_Prevalence_of_Most_Common_Rhythmic_Values</t>
  </si>
  <si>
    <t>Difference_Between_Most_Common_Rhythmic_Values</t>
  </si>
  <si>
    <t>Rhythmic_Value_Variability</t>
  </si>
  <si>
    <t>Rhythmic_Value_Skewness</t>
  </si>
  <si>
    <t>Rhythmic_Value_Kurtosis</t>
  </si>
  <si>
    <t>Mean_Rhythmic_Value_Run_Length</t>
  </si>
  <si>
    <t>Median_Rhythmic_Value_Run_Length</t>
  </si>
  <si>
    <t>Variability_in_Rhythmic_Value_Run_Lengths</t>
  </si>
  <si>
    <t>Mean_Rhythmic_Value_Offset</t>
  </si>
  <si>
    <t>Median_Rhythmic_Value_Offset</t>
  </si>
  <si>
    <t>Variability_of_Rhythmic_Value_Offsets</t>
  </si>
  <si>
    <t>Complete_Rests_Fraction</t>
  </si>
  <si>
    <t>Partial_Rests_Fraction</t>
  </si>
  <si>
    <t>Average_Rest_Fraction_Across_Voices</t>
  </si>
  <si>
    <t>Longest_Complete_Rest</t>
  </si>
  <si>
    <t>Longest_Partial_Rest</t>
  </si>
  <si>
    <t>Mean_Complete_Rest_Duration</t>
  </si>
  <si>
    <t>Mean_Partial_Rest_Duration</t>
  </si>
  <si>
    <t>Median_Complete_Rest_Duration</t>
  </si>
  <si>
    <t>Median_Partial_Rest_Duration</t>
  </si>
  <si>
    <t>Variability_of_Complete_Rest_Durations</t>
  </si>
  <si>
    <t>Variability_of_Partial_Rest_Durations</t>
  </si>
  <si>
    <t>Variability_Across_Voices_of_Combined_Rests</t>
  </si>
  <si>
    <t>Number_of_Strong_Rhythmic_Pulses_-_Tempo_Standardized</t>
  </si>
  <si>
    <t>Number_of_Moderate_Rhythmic_Pulses_-_Tempo_Standardized</t>
  </si>
  <si>
    <t>Number_of_Relatively_Strong_Rhythmic_Pulses_-_Tempo_Standardized</t>
  </si>
  <si>
    <t>Strongest_Rhythmic_Pulse_-_Tempo_Standardized</t>
  </si>
  <si>
    <t>Second_Strongest_Rhythmic_Pulse_-_Tempo_Standardized</t>
  </si>
  <si>
    <t>Harmonicity_of_Two_Strongest_Rhythmic_Pulses_-_Tempo_Standardized</t>
  </si>
  <si>
    <t>Strength_of_Strongest_Rhythmic_Pulse_-_Tempo_Standardized</t>
  </si>
  <si>
    <t>Strength_of_Second_Strongest_Rhythmic_Pulse_-_Tempo_Standardized</t>
  </si>
  <si>
    <t>Strength_Ratio_of_Two_Strongest_Rhythmic_Pulses_-_Tempo_Standardized</t>
  </si>
  <si>
    <t>Combined_Strength_of_Two_Strongest_Rhythmic_Pulses_-_Tempo_Standardized</t>
  </si>
  <si>
    <t>Rhythmic_Variability_-_Tempo_Standardized</t>
  </si>
  <si>
    <t>Rhythmic_Looseness_-_Tempo_Standardized</t>
  </si>
  <si>
    <t>Polyrhythms_-_Tempo_Standardized</t>
  </si>
  <si>
    <t>Rhythm Tempo</t>
  </si>
  <si>
    <t>Initial_Tempo</t>
  </si>
  <si>
    <t>Mean_Tempo</t>
  </si>
  <si>
    <t>Tempo_Variability</t>
  </si>
  <si>
    <t>Duration_in_Seconds</t>
  </si>
  <si>
    <t>Note_Density</t>
  </si>
  <si>
    <t>Note_Density_Variability</t>
  </si>
  <si>
    <t>Average_Time_Between_Attacks</t>
  </si>
  <si>
    <t>Average_Time_Between_Attacks_for_Each_Voice</t>
  </si>
  <si>
    <t>Variability_of_Time_Between_Attacks</t>
  </si>
  <si>
    <t>Average_Variability_of_Time_Between_Attacks_for_Each_Voice</t>
  </si>
  <si>
    <t>Minimum_Note_Duration</t>
  </si>
  <si>
    <t>Maximum_Note_Duration</t>
  </si>
  <si>
    <t>Average_Note_Duration</t>
  </si>
  <si>
    <t>Variability_of_Note_Durations</t>
  </si>
  <si>
    <t>Amount_of_Staccato</t>
  </si>
  <si>
    <t>Number_of_Strong_Rhythmic_Pulses</t>
  </si>
  <si>
    <t>Number_of_Moderate_Rhythmic_Pulses</t>
  </si>
  <si>
    <t>Number_of_Relatively_Strong_Rhythmic_Pulses</t>
  </si>
  <si>
    <t>Strongest_Rhythmic_Pulse</t>
  </si>
  <si>
    <t>Second_Strongest_Rhythmic_Pulse</t>
  </si>
  <si>
    <t>Harmonicity_of_Two_Strongest_Rhythmic_Pulses</t>
  </si>
  <si>
    <t>Strength_of_Strongest_Rhythmic_Pulse</t>
  </si>
  <si>
    <t>Strength_of_Second_Strongest_Rhythmic_Pulse</t>
  </si>
  <si>
    <t>Strength_Ratio_of_Two_Strongest_Rhythmic_Pulses</t>
  </si>
  <si>
    <t>Combined_Strength_of_Two_Strongest_Rhythmic_Pulses</t>
  </si>
  <si>
    <t>Rhythmic_Variability</t>
  </si>
  <si>
    <t>Rhythmic_Looseness</t>
  </si>
  <si>
    <t>Polyrhythms</t>
  </si>
  <si>
    <t>Instrumentation</t>
  </si>
  <si>
    <t>Variability_of_Note_Prevalence_of_Pitched_Instruments</t>
  </si>
  <si>
    <t>Variability_of_Note_Prevalence_of_Unpitched_Instruments</t>
  </si>
  <si>
    <t>Number_of_Pitched_Instruments</t>
  </si>
  <si>
    <t>Number_of_Unpitched_Instruments</t>
  </si>
  <si>
    <t>Unpitched_Percussion_Instrument_Prevalence</t>
  </si>
  <si>
    <t>String_Keyboard_Prevalence</t>
  </si>
  <si>
    <t>Acoustic_Guitar_Prevalence</t>
  </si>
  <si>
    <t>Electric_Guitar_Prevalence</t>
  </si>
  <si>
    <t>Violin_Prevalence</t>
  </si>
  <si>
    <t>Saxophone_Prevalence</t>
  </si>
  <si>
    <t>Brass_Prevalence</t>
  </si>
  <si>
    <t>Woodwinds_Prevalence</t>
  </si>
  <si>
    <t>Orchestral_Strings_Prevalence</t>
  </si>
  <si>
    <t>String_Ensemble_Prevalence</t>
  </si>
  <si>
    <t>Electric_Instrument_Prevalence</t>
  </si>
  <si>
    <t>Musical Texture</t>
  </si>
  <si>
    <t>Maximum_Number_of_Independent_Voices</t>
  </si>
  <si>
    <t>Average_Number_of_Independent_Voices</t>
  </si>
  <si>
    <t>Variability_of_Number_of_Independent_Voices</t>
  </si>
  <si>
    <t>Voice_Equality_-_Number_of_Notes</t>
  </si>
  <si>
    <t>Voice_Equality_-_Note_Duration</t>
  </si>
  <si>
    <t>Voice_Equality_-_Dynamics</t>
  </si>
  <si>
    <t>Voice_Equality_-_Melodic_Leaps</t>
  </si>
  <si>
    <t>Voice_Equality_-_Range</t>
  </si>
  <si>
    <t>Importance_of_Loudest_Voice</t>
  </si>
  <si>
    <t>Relative_Range_of_Loudest_Voice</t>
  </si>
  <si>
    <t>Relative_Range_Isolation_of_Loudest_Voice</t>
  </si>
  <si>
    <t>Relative_Range_of_Highest_Line</t>
  </si>
  <si>
    <t>Relative_Note_Density_of_Highest_Line</t>
  </si>
  <si>
    <t>Relative_Note_Durations_of_Lowest_Line</t>
  </si>
  <si>
    <t>Relative_Size_of_Melodic_Intervals_in_Lowest_Line</t>
  </si>
  <si>
    <t>Voice_Overlap</t>
  </si>
  <si>
    <t>Voice_Separation</t>
  </si>
  <si>
    <t>Variability_of_Voice_Separation</t>
  </si>
  <si>
    <t>Parallel_Motion</t>
  </si>
  <si>
    <t>Similar_Motion</t>
  </si>
  <si>
    <t>Contrary_Motion</t>
  </si>
  <si>
    <t>Oblique_Motion</t>
  </si>
  <si>
    <t>Parallel_Fifths</t>
  </si>
  <si>
    <t>Parallel_Octaves</t>
  </si>
  <si>
    <t>Dynamics</t>
  </si>
  <si>
    <t>Dynamic_Range</t>
  </si>
  <si>
    <t>Variation_of_Dynamics</t>
  </si>
  <si>
    <t>Variation_of_Dynamics_In_Each_Voice</t>
  </si>
  <si>
    <t>Average_Note_to_Note_Change_in_Dynamics</t>
  </si>
  <si>
    <t>Under MEAN FS1</t>
  </si>
  <si>
    <t>Over MEAN FS1</t>
  </si>
  <si>
    <t>Total MEAN FS1</t>
  </si>
  <si>
    <t>Under MEAN FS2</t>
  </si>
  <si>
    <t>Over MEAN FS2</t>
  </si>
  <si>
    <t>Total MEAN FS2</t>
  </si>
  <si>
    <t>Under FS1 - FS2</t>
  </si>
  <si>
    <t>Over FS1 - FS2</t>
  </si>
  <si>
    <t>Total FS1 - FS2</t>
  </si>
  <si>
    <t>MIN</t>
  </si>
  <si>
    <t>MAX</t>
  </si>
  <si>
    <t>Feature Class (FS1)</t>
  </si>
  <si>
    <t>Above</t>
  </si>
  <si>
    <t>Below</t>
  </si>
  <si>
    <t>Simple</t>
  </si>
  <si>
    <t>Complex</t>
  </si>
  <si>
    <t>Feature Class (FS2)</t>
  </si>
  <si>
    <t>[KMeans] FS2 Elbow Cluster 0 (7)</t>
  </si>
  <si>
    <t>[KMeans] FS2 Elbow Cluster 4 (42)</t>
  </si>
  <si>
    <t>[KMeans] FS2 Elbow Cluster 5 (11)</t>
  </si>
  <si>
    <t>[AffProg] FS1 Davies Cluster 2 (16)</t>
  </si>
  <si>
    <t>[AffProg] FS1 Davies Cluster 4 (31)</t>
  </si>
  <si>
    <t>[AffProg] FS1 Davies Cluster 9 (5)</t>
  </si>
  <si>
    <t>[AffProg] FS1 Silhouette Cluster 1 (15)</t>
  </si>
  <si>
    <t>[AffProg] FS1 Silhouette Cluster 2 (39)</t>
  </si>
  <si>
    <t>[AffProg] FS1 Silhouette Cluster 4 (5)</t>
  </si>
  <si>
    <t>[AffProg] FS2 Davies Cluster 1 (14)</t>
  </si>
  <si>
    <t>[AffProg] FS2 Davies Cluster 3 (9)</t>
  </si>
  <si>
    <t>[AffProg] FS2 Davies Cluster 6 (11)</t>
  </si>
  <si>
    <t>[AffProg] FS2 Davies Cluster 7 (2)</t>
  </si>
  <si>
    <t>[AffProg] FS2 Davies Cluster 8 (14)</t>
  </si>
  <si>
    <t>[AffProg] FS2 Silhouette Cluster 1 (30)</t>
  </si>
  <si>
    <t>[AffProg] FS2 Silhouette Cluster 2 (9)</t>
  </si>
  <si>
    <t>[AffProg] FS2 Silhouette Cluster 3 (8)</t>
  </si>
  <si>
    <t>[AffProg] FS2 Silhouette Cluster 5 (9)</t>
  </si>
  <si>
    <t>VERY MUCH BELOW MEAN DIFFERENCE
(A &lt; -0.5)</t>
  </si>
  <si>
    <t>Average_Number_of_Simultaneous_Pitch_Classes
Vertical_Major_Third_Prevalence
Pitch_Class_Variability
Average_Number_of_Simultaneous_Pitches
Range_of_Rhythmic_Values
Number_of_Common_Melodic_Intervals
Vertical_Minor_Third_Prevalence</t>
  </si>
  <si>
    <t>NONE</t>
  </si>
  <si>
    <t>Vertical_Octaves
Variability_of_Number_of_Simultaneous_Pitch_Classes
Relative_Prevalence_of_Most_Common_Rhythmic_Values
Prevalence_of_Very_Short_Rhythmic_Values
Number_of_Common_Rhythmic_Values_Present</t>
  </si>
  <si>
    <t>MUCH BELOW MEAN DIFFERENCE
(-0.1 &gt; A &gt; -0.5)</t>
  </si>
  <si>
    <t>Number_of_Different_Rhythmic_Values_Present
Melodic_Perfect_Fourths
Seventh_Chords
Rhythmic_Value_Variability
Mean_Rhythmic_Value
Complex_Chords
Variability_of_Note_Durations
Importance_of_Middle_Register
Similar_Motion
Prevalence_of_Long_Rhythmic_Values
Prevalence_of_Dotted_Notes
Relative_Prevalence_of_Top_Pitch_Classes
Vertical_Thirds
Variability_of_Number_of_Simultaneous_Pitches
Melodic_Embellishments
Average_Note_Duration
Average_Variability_of_Time_Between_Attacks_for_Each_Voice
Prevalence_Ratio_of_Two_Most_Common_Vertical_Intervals</t>
  </si>
  <si>
    <t>Initial_Tempo
Number_of_Strong_Rhythmic_Pulses
Rhythmic_Variability</t>
  </si>
  <si>
    <t>Vertical_Thirds
Mean_Pitch</t>
  </si>
  <si>
    <t>Amount_of_Arpeggiation
Partial_Chords
Parallel_Octaves
Note_Density_Variability
Melodic_Thirds
Variability_of_Number_of_Simultaneous_Pitches
Prevalence_of_Most_Common_Vertical_Interval
Variability_of_Time_Between_Attacks
Voice_Equality_-_Melodic_Leaps
Amount_of_Staccato
Variability_of_Note_Prevalence_of_Pitched_Instruments
Number_of_Pitch_Classes</t>
  </si>
  <si>
    <t>Range_of_Rhythmic_Values
Mean_Rhythmic_Value</t>
  </si>
  <si>
    <t>SIGNIFICANTLY BELOW MEAN DIFFERENCE
(0 &gt; A &gt; -0.1)</t>
  </si>
  <si>
    <t>Maximum_Number_of_Independent_Voices
Melodic_Pitch_Variety
Number_of_Pitched_Instruments
Melodic_Thirds
Oblique_Motion
Dominant_Spread
Average_Number_of_Independent_Voices</t>
  </si>
  <si>
    <t>Average_Number_of_Independent_Voices
Rhythmic_Variability_-_Tempo_Standardized
Number_of_Strong_Rhythmic_Pulses_-_Tempo_Standardized
Combined_Strength_of_Two_Strongest_Rhythmic_Pulses
Harmonicity_of_Two_Strongest_Rhythmic_Pulses
Average_Time_Between_Attacks
Strength_of_Second_Strongest_Rhythmic_Pulse
Combined_Strength_of_Two_Strongest_Rhythmic_Pulses_-_Tempo_Standardized
Strength_of_Strongest_Rhythmic_Pulse_-_Tempo_Standardized
Strength_of_Strongest_Rhythmic_Pulse
Vertical_Perfect_Fourths
Mean_Rhythmic_Value
Difference_Between_Most_Common_Rhythmic_Values
Strength_of_Second_Strongest_Rhythmic_Pulse_-_Tempo_Standardized</t>
  </si>
  <si>
    <t>Vertical_Tritones
Importance_of_Bass_Register
Number_of_Pitches</t>
  </si>
  <si>
    <t>Number_of_Different_Rhythmic_Values_Present
Relative_Note_Density_of_Highest_Line
Polyrhythms_-_Tempo_Standardized
Rhythmic_Value_Variability
Pitch_Class_Variability_After_Folding</t>
  </si>
  <si>
    <t>SIGNIFICANTLY ABOVE MEAN DIFFERENCE
(0 &lt; A &lt; 0.1)</t>
  </si>
  <si>
    <t>Melodic_Sevenths
Amount_of_Arpeggiation
Number_of_Common_Pitches
Note_Density_per_Quarter_Note_per_Voice
Prevalence_of_Short_Rhythmic_Values
Pitch_Class_Kurtosis_After_Folding</t>
  </si>
  <si>
    <t>Complex_Initial_Meter
Metrical_Diversity</t>
  </si>
  <si>
    <t>Vertical_Dissonance_Ratio
Vertical_Sevenths
Number_of_Common_Rhythmic_Values_Present
Average_Range_of_Glissandos
Rhythmic_Looseness_-_Tempo_Standardized
Variability_of_Number_of_Simultaneous_Pitches</t>
  </si>
  <si>
    <t>Vertical_Octaves
Partial_Chords</t>
  </si>
  <si>
    <t>Triple_Initial_Meter
Dominant_Seventh_Chords
Vertical_Tritones</t>
  </si>
  <si>
    <t>Pitch_Class_Skewness_After_Folding
Most_Common_Rhythmic_Value
Dominant_Spread
Relative_Prevalence_of_Top_Pitch_Classes
Average_Number_of_Simultaneous_Pitch_Classes
Vertical_Unisons</t>
  </si>
  <si>
    <t>Violin_Prevalence
Average_Number_of_Simultaneous_Pitches
Duple_Initial_Meter</t>
  </si>
  <si>
    <t>Number_of_Unpitched_Instruments
Variability_of_Note_Prevalence_of_Pitched_Instruments
Prevalence_of_Short_Rhythmic_Values
Number_of_Common_Pitch_Classes
Total_Number_of_Notes</t>
  </si>
  <si>
    <t>Variability_of_Note_Durations
Vertical_Minor_Third_Prevalence
Stepwise_Motion</t>
  </si>
  <si>
    <t>MUCH ABOVE MEAN DIFFERENCE
(0.1 &lt; A &lt; 0.5)</t>
  </si>
  <si>
    <t>Perfect_Vertical_Intervals
Median_Rhythmic_Value_Run_Length
Pitch_Skewness</t>
  </si>
  <si>
    <t>Most_Common_Vertical_Interval
Brass_Prevalence</t>
  </si>
  <si>
    <t>Note_Density_Variability
Number_of_Common_Melodic_Intervals
Melodic_Tritones
Voice_Equality_-_Melodic_Leaps</t>
  </si>
  <si>
    <t>Pitch_Skewness
Most_Common_Vertical_Interval
Prevalence_of_Second_Most_Common_Vertical_Interval
Vertical_Perfect_Fifths
Importance_of_Bass_Register
Perfect_Vertical_Intervals</t>
  </si>
  <si>
    <t>Note_Density_Variability
Last_Pitch_Class
Number_of_Common_Melodic_Intervals
Melodic_Tritones
Mean_Rhythmic_Value_Offset
Voice_Equality_-_Melodic_Leaps</t>
  </si>
  <si>
    <t>Pitch_Skewness
Variability_in_Rhythmic_Value_Run_Lengths</t>
  </si>
  <si>
    <t>Average_Time_Between_Attacks
Interval_Between_Most_Prevalent_Pitch_Classes
Relative_Note_Density_of_Highest_Line
Vertical_Major_Third_Prevalence
Prevalence_of_Most_Common_Rhythmic_Value
Rhythmic_Value_Variability
Voice_Equality_-_Note_Duration
Difference_Between_Most_Common_Rhythmic_Values
Oblique_Motion
Vertical_Thirds
Mean_Rhythmic_Value
Vertical_Minor_Third_Prevalence
Average_Variability_of_Time_Between_Attacks_for_Each_Voice</t>
  </si>
  <si>
    <t>Brass_Prevalence
Most_Common_Vertical_Interval</t>
  </si>
  <si>
    <t>Perfect_Vertical_Intervals
Distance_Between_Most_Prevalent_Melodic_Intervals
Note_Density
Pitch_Class_Kurtosis_After_Folding</t>
  </si>
  <si>
    <t>Melodic_Pitch_Variety
Oblique_Motion
Rhythmic_Value_Variability</t>
  </si>
  <si>
    <t>VERY MUCH ABOVE MEAN DIFFERENCE
(A &gt; 0.5)</t>
  </si>
  <si>
    <t>Mean_Rhythmic_Value_Run_Length
Prevalence_of_Most_Common_Melodic_Interval
Partial_Chords
Pitch_Class_Skewness
Importance_of_Bass_Register
Repeated_Notes
Prevalence_of_Most_Common_Vertical_Interval
Vertical_Octaves
Parallel_Motion
Parallel_Octaves</t>
  </si>
  <si>
    <t>Variability_of_Number_of_Simultaneous_Pitch_Classes
Variability_of_Note_Durations</t>
  </si>
  <si>
    <t>Variability_of_Number_of_Simultaneous_Pitch_Classes
Rhythmic_Looseness
Variability_of_Note_Durations</t>
  </si>
  <si>
    <t>Standard_Triads
Prevalence_of_Very_Long_Rhythmic_Values
Prevalence_of_Medium_Rhythmic_Values
Stepwise_Motion
Unpitched_Percussion_Instrument_Prevalence</t>
  </si>
  <si>
    <t>Note_Density_per_Quarter_Note
Note_Density_per_Quarter_Note_per_Voice</t>
  </si>
  <si>
    <r>
      <rPr>
        <rFont val="Proxima Nova"/>
        <b/>
        <color theme="1"/>
      </rPr>
      <t xml:space="preserve">--- Vertical_Major_Third_Prevalence
--- Vertical_Minor_Third_Prevalence
-- Vertical_Thirds
-- Complex_Chords
-- Seventh_Chords
</t>
    </r>
    <r>
      <rPr>
        <rFont val="Proxima Nova"/>
        <b val="0"/>
        <color theme="1"/>
      </rPr>
      <t>Chords are usually composed of 3 distinct notes 
Chords usually omit the third and seventh</t>
    </r>
    <r>
      <rPr>
        <rFont val="Proxima Nova"/>
        <b/>
        <color theme="1"/>
      </rPr>
      <t xml:space="preserve">
- Melodic_Thirds
-- Melodic_Perfect_Fourths
+ Melodic_Sevenths
-- Similar_Motion
- Oblique_Motion
- Melodic_Pitch_Variety
- Dominant_Spread
</t>
    </r>
    <r>
      <rPr>
        <rFont val="Proxima Nova"/>
        <b val="0"/>
        <color theme="1"/>
      </rPr>
      <t>Prominence of similar or contrary motion
Prominence of sevenths in the melody
Pitches are notably repeated after just a few notes
Less harmonic tension</t>
    </r>
    <r>
      <rPr>
        <rFont val="Proxima Nova"/>
        <b/>
        <color theme="1"/>
      </rPr>
      <t xml:space="preserve">
+ Number_of_Common_Pitches
</t>
    </r>
    <r>
      <rPr>
        <rFont val="Proxima Nova"/>
        <b val="0"/>
        <color theme="1"/>
      </rPr>
      <t xml:space="preserve">Melodies and Chords are usually composed of the same pitches
</t>
    </r>
    <r>
      <rPr>
        <rFont val="Proxima Nova"/>
        <b/>
        <color theme="1"/>
      </rPr>
      <t xml:space="preserve">
--- Average_Number_of_Simultaneous_Pitch_Classes
--- Average_Number_of_Simultaneous_Pitches
-- Variability_of_Number_of_Simultaneous_Pitches
-- Relative_Prevalence_of_Top_Pitch_Classes
-- Prevalence_Ratio_of_Two_Most_Common_Vertical_Intervals
</t>
    </r>
    <r>
      <rPr>
        <rFont val="Proxima Nova"/>
        <b val="0"/>
        <color theme="1"/>
      </rPr>
      <t>Chords do not include a lot of notes
Top pitch class is prominent as compared to the second top pitch class</t>
    </r>
    <r>
      <rPr>
        <rFont val="Proxima Nova"/>
        <b/>
        <color theme="1"/>
      </rPr>
      <t xml:space="preserve">
--- Pitch_Class_Variability
+++ Pitch_Class_Skewness
--- Number_of_Common_Melodic_Intervals
+ Pitch_Class_Kurtosis_After_Folding
</t>
    </r>
    <r>
      <rPr>
        <rFont val="Proxima Nova"/>
        <b val="0"/>
        <color theme="1"/>
      </rPr>
      <t>Pitches are strongly skewed above the mean note</t>
    </r>
    <r>
      <rPr>
        <rFont val="Proxima Nova"/>
        <b/>
        <color theme="1"/>
      </rPr>
      <t xml:space="preserve">
+++ Vertical_Octaves
+++ Parallel_Motion
+++ Parallel_Octaves
+++ Partial_Chords
++ Perfect_Vertical_Intervals
+++ Prevalence_of_Most_Common_Melodic_Interval
+++ Prevalence_of_Most_Common_Vertical_Interval
</t>
    </r>
    <r>
      <rPr>
        <rFont val="Proxima Nova"/>
        <b val="0"/>
        <color theme="1"/>
      </rPr>
      <t>Prevalence of octaves in chords and melody</t>
    </r>
    <r>
      <rPr>
        <rFont val="Proxima Nova"/>
        <b/>
        <color theme="1"/>
      </rPr>
      <t xml:space="preserve">
+++ Mean_Rhythmic_Value_Run_Length
+ Prevalence_of_Short_Rhythmic_Values
+ Amount_of_Arpeggiation
+++ Repeated_Notes
-- Average_Note_Duration
-- Variability_of_Note_Durations
-- Prevalence_of_Long_Rhythmic_Values
-- Average_Variability_of_Time_Between_Attacks_for_Each_Voice
-- Melodic_Embellishments
</t>
    </r>
    <r>
      <rPr>
        <rFont val="Proxima Nova"/>
        <b val="0"/>
        <color theme="1"/>
      </rPr>
      <t>Rhythmically short notes that run consecutively (likely to be influenced by arpeggiation)
Short gaps in-between notes
Arpeggiation is prominent while embellishments are not</t>
    </r>
    <r>
      <rPr>
        <rFont val="Proxima Nova"/>
        <b/>
        <color theme="1"/>
      </rPr>
      <t xml:space="preserve">
- Average_Number_of_Independent_Voices
- Maximum_Number_of_Independent_Voices
- Number_of_Pitched_Instruments
</t>
    </r>
    <r>
      <rPr>
        <rFont val="Proxima Nova"/>
        <b val="0"/>
        <color theme="1"/>
      </rPr>
      <t xml:space="preserve">Generally less number of tracks sounding simultaneously
</t>
    </r>
    <r>
      <rPr>
        <rFont val="Proxima Nova"/>
        <b/>
        <color theme="1"/>
      </rPr>
      <t xml:space="preserve">++ Pitch_Skewness
+++ Importance_of_Bass_Register
-- Importance_of_Middle_Register
</t>
    </r>
    <r>
      <rPr>
        <rFont val="Proxima Nova"/>
        <b val="0"/>
        <color theme="1"/>
      </rPr>
      <t>Songs are skewed towards the bass</t>
    </r>
    <r>
      <rPr>
        <rFont val="Proxima Nova"/>
        <b/>
        <color theme="1"/>
      </rPr>
      <t xml:space="preserve">
--- Range_of_Rhythmic_Values
-- Prevalence_of_Dotted_Notes
-- Number_of_Different_Rhythmic_Values_Present
-- Rhythmic_Value_Variability
-- Mean_Rhythmic_Value
++ Median_Rhythmic_Value_Run_Length
+ Note_Density_per_Quarter_Note_per_Voice
</t>
    </r>
    <r>
      <rPr>
        <rFont val="Proxima Nova"/>
        <b val="0"/>
        <color theme="1"/>
      </rPr>
      <t>Rhythms are diverse, but a prominent rhythm is present
Quick rhythmic notes 
Notes are dense</t>
    </r>
  </si>
  <si>
    <r>
      <rPr>
        <rFont val="Proxima Nova"/>
        <b/>
        <color theme="1"/>
      </rPr>
      <t xml:space="preserve">--- Average_Time_Between_Attacks
</t>
    </r>
    <r>
      <rPr>
        <rFont val="Proxima Nova"/>
        <b val="0"/>
        <color theme="1"/>
      </rPr>
      <t xml:space="preserve">Very small distance between notes
</t>
    </r>
    <r>
      <rPr>
        <rFont val="Proxima Nova"/>
        <b/>
        <color theme="1"/>
      </rPr>
      <t xml:space="preserve">
+ Melodic_Sixths
++ Most_Common_Vertical_Interval
</t>
    </r>
    <r>
      <rPr>
        <rFont val="Proxima Nova"/>
        <b val="0"/>
        <color theme="1"/>
      </rPr>
      <t>Melody prominently uses sixths</t>
    </r>
    <r>
      <rPr>
        <rFont val="Proxima Nova"/>
        <b/>
        <color theme="1"/>
      </rPr>
      <t xml:space="preserve">
++ Brass_Prevalence
+++ Saxophone_Prevalence
</t>
    </r>
    <r>
      <rPr>
        <rFont val="Proxima Nova"/>
        <b val="0"/>
        <i/>
        <color rgb="FF980000"/>
      </rPr>
      <t>(needs improvement)</t>
    </r>
    <r>
      <rPr>
        <rFont val="Proxima Nova"/>
        <b val="0"/>
        <color theme="1"/>
      </rPr>
      <t xml:space="preserve"> Significant amount of brass instruments (could potentially be an error in the dataset not representing proper instruments)</t>
    </r>
  </si>
  <si>
    <r>
      <rPr>
        <rFont val="Proxima Nova"/>
        <b/>
        <color theme="1"/>
      </rPr>
      <t xml:space="preserve">+ Complex_Initial_Meter
+ Metrical_Diversity
</t>
    </r>
    <r>
      <rPr>
        <rFont val="Proxima Nova"/>
        <b val="0"/>
        <color theme="1"/>
      </rPr>
      <t>Non-standard time signature at the start
Time signature changes throughout the song</t>
    </r>
  </si>
  <si>
    <r>
      <rPr>
        <rFont val="Proxima Nova"/>
        <b/>
        <color theme="1"/>
        <sz val="11.0"/>
      </rPr>
      <t xml:space="preserve">`++ Melodic_Tritones
++ Voice_Equality_-_Melodic_Leaps
++ Number_of_Common_Melodic_Intervals
</t>
    </r>
    <r>
      <rPr>
        <rFont val="Proxima Nova"/>
        <b val="0"/>
        <color theme="1"/>
        <sz val="11.0"/>
      </rPr>
      <t>Notable melodic dissonance</t>
    </r>
    <r>
      <rPr>
        <rFont val="Proxima Nova"/>
        <b/>
        <color theme="1"/>
        <sz val="11.0"/>
      </rPr>
      <t xml:space="preserve">
- Vertical_Perfect_Fourths
+ Vertical_Dissonance_Ratio
+ Vertical_Sevenths
</t>
    </r>
    <r>
      <rPr>
        <rFont val="Proxima Nova"/>
        <b val="0"/>
        <color theme="1"/>
        <sz val="11.0"/>
      </rPr>
      <t>Notably dissonant chords</t>
    </r>
    <r>
      <rPr>
        <rFont val="Proxima Nova"/>
        <b/>
        <color theme="1"/>
        <sz val="11.0"/>
      </rPr>
      <t xml:space="preserve">
- Average_Number_of_Independent_Voices
</t>
    </r>
    <r>
      <rPr>
        <rFont val="Proxima Nova"/>
        <b val="0"/>
        <color theme="1"/>
        <sz val="11.0"/>
      </rPr>
      <t>Generally less number of tracks sounding simultaneously</t>
    </r>
    <r>
      <rPr>
        <rFont val="Proxima Nova"/>
        <b/>
        <color theme="1"/>
        <sz val="11.0"/>
      </rPr>
      <t xml:space="preserve">
-- Rhythmic_Variability
- Rhythmic_Variability_-_Tempo_Standardized
- Mean_Rhythmic_Value
- Difference_Between_Most_Common_Rhythmic_Values
+ Number_of_Common_Rhythmic_Values_Present
</t>
    </r>
    <r>
      <rPr>
        <rFont val="Proxima Nova"/>
        <b val="0"/>
        <color theme="1"/>
        <sz val="11.0"/>
      </rPr>
      <t>Not as much differences in rhythm
Rhythms are generally shorter</t>
    </r>
    <r>
      <rPr>
        <rFont val="Proxima Nova"/>
        <b/>
        <color theme="1"/>
        <sz val="11.0"/>
      </rPr>
      <t xml:space="preserve">
+++ Variability_of_Note_Durations
+ Variability_of_Number_of_Simultaneous_Pitches
+++ Variability_of_Number_of_Simultaneous_Pitch_Classes
</t>
    </r>
    <r>
      <rPr>
        <rFont val="Proxima Nova"/>
        <b val="0"/>
        <color theme="1"/>
        <sz val="11.0"/>
      </rPr>
      <t>Notes are notably changing and different in length
Notes can span large chords and small triads or melodies</t>
    </r>
    <r>
      <rPr>
        <rFont val="Proxima Nova"/>
        <b/>
        <color theme="1"/>
        <sz val="11.0"/>
      </rPr>
      <t xml:space="preserve">
- Average_Time_Between_Attacks
++ Note_Density_Variability
-- Number_of_Strong_Rhythmic_Pulses
- Number_of_Strong_Rhythmic_Pulses_-_Tempo_Standardized
- Combined_Strength_of_Two_Strongest_Rhythmic_Pulses
- Harmonicity_of_Two_Strongest_Rhythmic_Pulses
- Strength_of_Second_Strongest_Rhythmic_Pulse
- Combined_Strength_of_Two_Strongest_Rhythmic_Pulses_-_Tempo_Standardized
- Strength_of_Strongest_Rhythmic_Pulse_-_Tempo_Standardized
- Strength_of_Strongest_Rhythmic_Pulse
- Strength_of_Second_Strongest_Rhythmic_Pulse_-_Tempo_Standardized
</t>
    </r>
    <r>
      <rPr>
        <rFont val="Proxima Nova"/>
        <b val="0"/>
        <i/>
        <color rgb="FF980000"/>
        <sz val="11.0"/>
      </rPr>
      <t>(No benchmark as compared to other FS2 clusters)</t>
    </r>
    <r>
      <rPr>
        <rFont val="Proxima Nova"/>
        <b val="0"/>
        <color theme="1"/>
        <sz val="11.0"/>
      </rPr>
      <t xml:space="preserve"> Relatively weak rhythm velocities</t>
    </r>
    <r>
      <rPr>
        <rFont val="Proxima Nova"/>
        <b/>
        <color theme="1"/>
        <sz val="11.0"/>
      </rPr>
      <t xml:space="preserve">
+ Average_Range_of_Glissandos
+ Rhythmic_Looseness_-_Tempo_Standardized
-- Initial_Tempo
</t>
    </r>
    <r>
      <rPr>
        <rFont val="Proxima Nova"/>
        <b val="0"/>
        <i/>
        <color rgb="FF0000FF"/>
        <sz val="11.0"/>
      </rPr>
      <t>(not analyzable)</t>
    </r>
    <r>
      <rPr>
        <rFont val="Proxima Nova"/>
        <b val="0"/>
        <color theme="1"/>
        <sz val="11.0"/>
      </rPr>
      <t xml:space="preserve"> No benchmark as compared to other FS2 clusters</t>
    </r>
  </si>
  <si>
    <r>
      <rPr>
        <rFont val="Proxima Nova"/>
        <b/>
        <color theme="1"/>
      </rPr>
      <t xml:space="preserve">-- Vertical_Thirds
++ Perfect_Vertical_Intervals
++ Vertical_Perfect_Fifths
+ Vertical_Octaves
+ Partial_Chords
</t>
    </r>
    <r>
      <rPr>
        <rFont val="Proxima Nova"/>
        <b val="0"/>
        <color theme="1"/>
      </rPr>
      <t>Chords make use of a lot of perfect vertical intervals
Notably do not use much thirds
Notably uses a lot of fifths</t>
    </r>
    <r>
      <rPr>
        <rFont val="Proxima Nova"/>
        <b/>
        <color theme="1"/>
      </rPr>
      <t xml:space="preserve">
++ Pitch_Skewness
- Importance_of_Middle_Register
++ Importance_of_Bass_Register
</t>
    </r>
    <r>
      <rPr>
        <rFont val="Proxima Nova"/>
        <b val="0"/>
        <color theme="1"/>
      </rPr>
      <t>Emphasis on the bass register</t>
    </r>
    <r>
      <rPr>
        <rFont val="Proxima Nova"/>
        <b/>
        <color theme="1"/>
      </rPr>
      <t xml:space="preserve">
-- Mean_Pitch
++ Prevalence_of_Second_Most_Common_Vertical_Interval
++ Most_Common_Vertical_Interval
</t>
    </r>
    <r>
      <rPr>
        <rFont val="Proxima Nova"/>
        <b val="0"/>
        <i/>
        <color rgb="FF0000FF"/>
      </rPr>
      <t>(not analyzable)</t>
    </r>
    <r>
      <rPr>
        <rFont val="Proxima Nova"/>
        <b val="0"/>
        <color theme="1"/>
      </rPr>
      <t xml:space="preserve"> No benchmark as compared to other FS2 clusters
</t>
    </r>
    <r>
      <rPr>
        <rFont val="Proxima Nova"/>
        <b val="0"/>
        <i/>
        <color rgb="FF0000FF"/>
      </rPr>
      <t>(not analyzable)</t>
    </r>
    <r>
      <rPr>
        <rFont val="Proxima Nova"/>
        <b val="0"/>
        <color theme="1"/>
      </rPr>
      <t xml:space="preserve"> MCVI is scored via semitones</t>
    </r>
  </si>
  <si>
    <t>Same as A1D9</t>
  </si>
  <si>
    <r>
      <rPr>
        <rFont val="Proxima Nova"/>
        <b/>
        <color theme="1"/>
      </rPr>
      <t xml:space="preserve">+ Triple_Initial_Meter
</t>
    </r>
    <r>
      <rPr>
        <rFont val="Proxima Nova"/>
        <b val="0"/>
        <color theme="1"/>
      </rPr>
      <t xml:space="preserve">Mostly songs with triplets
</t>
    </r>
    <r>
      <rPr>
        <rFont val="Proxima Nova"/>
        <b/>
        <color theme="1"/>
      </rPr>
      <t xml:space="preserve">+ Dominant_Seventh_Chords
+ Vertical_Tritones
- Pitch_Class_Kurtosis_After_Folding
</t>
    </r>
    <r>
      <rPr>
        <rFont val="Proxima Nova"/>
        <b val="0"/>
        <color theme="1"/>
      </rPr>
      <t>Pitch classes are flat from a dominant-tonic perspective</t>
    </r>
    <r>
      <rPr>
        <rFont val="Proxima Nova"/>
        <b/>
        <color theme="1"/>
      </rPr>
      <t xml:space="preserve">
</t>
    </r>
    <r>
      <rPr>
        <rFont val="Proxima Nova"/>
        <b val="0"/>
        <color theme="1"/>
      </rPr>
      <t>Notable dissonance and tension within the song
Can be inferred there is a lot of push and pull in the songs</t>
    </r>
  </si>
  <si>
    <r>
      <rPr>
        <rFont val="Proxima Nova"/>
        <b/>
        <color theme="1"/>
      </rPr>
      <t>- Average_Time_Between_Attacks</t>
    </r>
    <r>
      <rPr>
        <rFont val="Proxima Nova"/>
        <color theme="1"/>
      </rPr>
      <t xml:space="preserve">
lots of notes with short intervals in-between them
</t>
    </r>
    <r>
      <rPr>
        <rFont val="Proxima Nova"/>
        <b/>
        <color theme="1"/>
      </rPr>
      <t xml:space="preserve">+ Melodic_Sixths
</t>
    </r>
    <r>
      <rPr>
        <rFont val="Proxima Nova"/>
        <color theme="1"/>
      </rPr>
      <t xml:space="preserve">- lots of major/minor 6ths
</t>
    </r>
    <r>
      <rPr>
        <rFont val="Proxima Nova"/>
        <b/>
        <color theme="1"/>
      </rPr>
      <t xml:space="preserve">++ Brass_Prevalence
+++ Saxophone_Prevalence
</t>
    </r>
    <r>
      <rPr>
        <rFont val="Proxima Nova"/>
        <color rgb="FF980000"/>
      </rPr>
      <t>(</t>
    </r>
    <r>
      <rPr>
        <rFont val="Proxima Nova"/>
        <i/>
        <color rgb="FF980000"/>
      </rPr>
      <t>needs improvement)</t>
    </r>
    <r>
      <rPr>
        <rFont val="Proxima Nova"/>
        <i/>
        <color theme="1"/>
      </rPr>
      <t xml:space="preserve"> </t>
    </r>
    <r>
      <rPr>
        <rFont val="Proxima Nova"/>
        <color theme="1"/>
      </rPr>
      <t>Significant amount of brass instruments (could potentially be an error in the dataset not representing proper instruments)</t>
    </r>
  </si>
  <si>
    <r>
      <rPr>
        <rFont val="Proxima Nova"/>
        <b/>
        <color theme="1"/>
      </rPr>
      <t xml:space="preserve">- Melodic_Sevenths
</t>
    </r>
    <r>
      <rPr>
        <rFont val="Proxima Nova"/>
        <b val="0"/>
        <color theme="1"/>
      </rPr>
      <t xml:space="preserve">Hard to infer without the context of the other melodic intervals
</t>
    </r>
    <r>
      <rPr>
        <rFont val="Proxima Nova"/>
        <b/>
        <color theme="1"/>
      </rPr>
      <t xml:space="preserve">
+ Pitch_Skewness
</t>
    </r>
    <r>
      <rPr>
        <rFont val="Proxima Nova"/>
        <b val="0"/>
        <color theme="1"/>
      </rPr>
      <t>Notes are usually higher than the mean pitch</t>
    </r>
    <r>
      <rPr>
        <rFont val="Proxima Nova"/>
        <b/>
        <color theme="1"/>
      </rPr>
      <t xml:space="preserve">
+ Variability_in_Rhythmic_Value_Run_Lengths
</t>
    </r>
    <r>
      <rPr>
        <rFont val="Proxima Nova"/>
        <b val="0"/>
        <color theme="1"/>
      </rPr>
      <t>Notes are close to or usually the same length</t>
    </r>
  </si>
  <si>
    <r>
      <rPr>
        <rFont val="Proxima Nova"/>
        <b/>
        <color theme="1"/>
      </rPr>
      <t xml:space="preserve">GENERAL
</t>
    </r>
    <r>
      <rPr>
        <rFont val="Proxima Nova"/>
        <b val="0"/>
        <i/>
        <color rgb="FF980000"/>
      </rPr>
      <t>(needs improvement)</t>
    </r>
    <r>
      <rPr>
        <rFont val="Proxima Nova"/>
        <b val="0"/>
        <i/>
        <color theme="1"/>
      </rPr>
      <t xml:space="preserve"> </t>
    </r>
    <r>
      <rPr>
        <rFont val="Proxima Nova"/>
        <b val="0"/>
        <color theme="1"/>
      </rPr>
      <t>small sample yields skewed sample mean</t>
    </r>
    <r>
      <rPr>
        <rFont val="Proxima Nova"/>
        <b/>
        <color theme="1"/>
      </rPr>
      <t xml:space="preserve">
--- Vertical_Octaves
--- Variability_of_Number_of_Simultaneous_Pitch_Classes
-- Parallel_Octaves
</t>
    </r>
    <r>
      <rPr>
        <rFont val="Proxima Nova"/>
        <b val="0"/>
        <color theme="1"/>
      </rPr>
      <t>Very few no octaves</t>
    </r>
    <r>
      <rPr>
        <rFont val="Proxima Nova"/>
        <b/>
        <color theme="1"/>
      </rPr>
      <t xml:space="preserve">
--- Prevalence_of_Very_Short_Rhythmic_Values
-- Amount_of_Arpeggiation
-- Amount_of_Staccato
--- Relative_Prevalence_of_Most_Common_Rhythmic_Values
--- Number_of_Common_Rhythmic_Values_Present
+++ Prevalence_of_Very_Long_Rhythmic_Values
+++ Prevalence_of_Medium_Rhythmic_Values
++ Mean_Rhythmic_Value
++ Rhythmic_Value_Variability
++ Relative_Note_Density_of_Highest_Line
</t>
    </r>
    <r>
      <rPr>
        <rFont val="Proxima Nova"/>
        <b val="0"/>
        <color theme="1"/>
      </rPr>
      <t>Medium to long notes
Little to no short notes
Notes are most dense in 1 track than the others</t>
    </r>
    <r>
      <rPr>
        <rFont val="Proxima Nova"/>
        <b/>
        <color theme="1"/>
      </rPr>
      <t xml:space="preserve">
- Vertical_Tritones
+ Vertical_Unisons
++ Vertical_Thirds
++ Vertical_Major_Third_Prevalence
++ Vertical_Minor_Third_Prevalence
+++ Standard_Triads
-- Partial_Chords
+ Dominant_Spread
-- Variability_of_Number_of_Simultaneous_Pitches
-- Number_of_Pitch_Classes
- Number_of_Pitches
-- Note_Density_Variability
++ Oblique_Motion
-- Prevalence_of_Most_Common_Vertical_Interval
++ Average_Time_Between_Attacks
+ Relative_Prevalence_of_Top_Pitch_Classes
+ Average_Number_of_Simultaneous_Pitch_Classes
++ Interval_Between_Most_Prevalent_Pitch_Classes
</t>
    </r>
    <r>
      <rPr>
        <rFont val="Proxima Nova"/>
        <b val="0"/>
        <color theme="1"/>
      </rPr>
      <t>Intervals are constantly changing with steps, likely with a common root</t>
    </r>
    <r>
      <rPr>
        <rFont val="Proxima Nova"/>
        <b/>
        <color theme="1"/>
      </rPr>
      <t xml:space="preserve">
</t>
    </r>
    <r>
      <rPr>
        <rFont val="Proxima Nova"/>
        <b val="0"/>
        <color theme="1"/>
      </rPr>
      <t>Very harmonic - little to no chord dissonance
Simple, yet large and changing, full-sounding chords
Strongly rooted in thirds</t>
    </r>
    <r>
      <rPr>
        <rFont val="Proxima Nova"/>
        <b/>
        <color theme="1"/>
      </rPr>
      <t xml:space="preserve">
++ Average_Variability_of_Time_Between_Attacks_for_Each_Voice
-- Variability_of_Time_Between_Attacks
++ Voice_Equality_-_Note_Duration
++ Prevalence_of_Most_Common_Rhythmic_Value
+ Most_Common_Rhythmic_Value
++ Difference_Between_Most_Common_Rhythmic_Values
</t>
    </r>
    <r>
      <rPr>
        <rFont val="Proxima Nova"/>
        <b val="0"/>
        <color theme="1"/>
      </rPr>
      <t xml:space="preserve">Ever-changing timings between each note per instrument, yet consistent timing in-between instruments
Rhythm is consistent, but differs at some points
Same length of notes
</t>
    </r>
    <r>
      <rPr>
        <rFont val="Proxima Nova"/>
        <b/>
        <color theme="1"/>
      </rPr>
      <t xml:space="preserve">-- Melodic_Thirds
-- Voice_Equality_-_Melodic_Leaps
+++ Stepwise_Motion
</t>
    </r>
    <r>
      <rPr>
        <rFont val="Proxima Nova"/>
        <b val="0"/>
        <color theme="1"/>
      </rPr>
      <t xml:space="preserve">Melodies generally do not do leaps for all melodic tracks
Melodies promiently done through steps in the key rather than drastic intervals
</t>
    </r>
    <r>
      <rPr>
        <rFont val="Proxima Nova"/>
        <b/>
        <color theme="1"/>
      </rPr>
      <t>-- Variability_of_Note_Prevalence_of_Pitched_Instruments</t>
    </r>
    <r>
      <rPr>
        <rFont val="Proxima Nova"/>
        <b val="0"/>
        <color theme="1"/>
      </rPr>
      <t xml:space="preserve">
Notes are spread around each instrument
</t>
    </r>
    <r>
      <rPr>
        <rFont val="Proxima Nova"/>
        <b/>
        <color theme="1"/>
      </rPr>
      <t xml:space="preserve">
+++ Unpitched_Percussion_Instrument_Prevalence
</t>
    </r>
    <r>
      <rPr>
        <rFont val="Proxima Nova"/>
        <b val="0"/>
        <color theme="1"/>
      </rPr>
      <t>Lots of percussion (These Are The Days Of Our Lives)</t>
    </r>
    <r>
      <rPr>
        <rFont val="Proxima Nova"/>
        <b/>
        <color theme="1"/>
      </rPr>
      <t xml:space="preserve">
+ Pitch_Class_Skewness_After_Folding
- Importance_of_Bass_Register
</t>
    </r>
    <r>
      <rPr>
        <rFont val="Proxima Nova"/>
        <b val="0"/>
        <color theme="1"/>
      </rPr>
      <t>Not as much low notes</t>
    </r>
  </si>
  <si>
    <r>
      <rPr>
        <rFont val="Proxima Nova"/>
        <b/>
        <color theme="1"/>
      </rPr>
      <t xml:space="preserve">+ Violin_Prevalence
</t>
    </r>
    <r>
      <rPr>
        <rFont val="Proxima Nova"/>
        <b val="0"/>
        <i/>
        <color rgb="FF980000"/>
      </rPr>
      <t>(needs improvement)</t>
    </r>
    <r>
      <rPr>
        <rFont val="Proxima Nova"/>
        <b val="0"/>
        <color theme="1"/>
      </rPr>
      <t xml:space="preserve"> Could potentially be an error in the dataset not representing proper instruments
</t>
    </r>
    <r>
      <rPr>
        <rFont val="Proxima Nova"/>
        <b/>
        <color theme="1"/>
      </rPr>
      <t xml:space="preserve">
+ Average_Number_of_Simultaneous_Pitches
</t>
    </r>
    <r>
      <rPr>
        <rFont val="Proxima Nova"/>
        <b val="0"/>
        <color theme="1"/>
      </rPr>
      <t xml:space="preserve">Strong number of octaves and simultaneous notes on different tracks (potentially tonal centers)
</t>
    </r>
    <r>
      <rPr>
        <rFont val="Proxima Nova"/>
        <b/>
        <color theme="1"/>
      </rPr>
      <t xml:space="preserve">
+ Duple_Initial_Meter
</t>
    </r>
    <r>
      <rPr>
        <rFont val="Proxima Nova"/>
        <b val="0"/>
        <color theme="1"/>
      </rPr>
      <t>Stronger feels on the 2 or 6, depending on the track rather than 4 or 12 (may not be noticable on MIDI)</t>
    </r>
  </si>
  <si>
    <r>
      <rPr>
        <rFont val="Proxima Nova"/>
        <b/>
        <color theme="1"/>
      </rPr>
      <t xml:space="preserve">- Average_Time_Between_Attacks
</t>
    </r>
    <r>
      <rPr>
        <rFont val="Proxima Nova"/>
        <b val="0"/>
        <color theme="1"/>
      </rPr>
      <t>short intervals in-between notes</t>
    </r>
    <r>
      <rPr>
        <rFont val="Proxima Nova"/>
        <b/>
        <color theme="1"/>
      </rPr>
      <t xml:space="preserve">
++ Most_Common_Vertical_Interval
</t>
    </r>
    <r>
      <rPr>
        <rFont val="Proxima Nova"/>
        <b val="0"/>
        <i/>
        <color rgb="FF0000FF"/>
      </rPr>
      <t>(not analyzable)</t>
    </r>
    <r>
      <rPr>
        <rFont val="Proxima Nova"/>
        <b val="0"/>
        <color theme="1"/>
      </rPr>
      <t xml:space="preserve"> MCVI is scored via semitones</t>
    </r>
    <r>
      <rPr>
        <rFont val="Proxima Nova"/>
        <b/>
        <color theme="1"/>
      </rPr>
      <t xml:space="preserve">
++ Brass_Prevalence
+++ Saxophone_Prevalence
</t>
    </r>
    <r>
      <rPr>
        <rFont val="Proxima Nova"/>
        <b val="0"/>
        <i/>
        <color rgb="FF980000"/>
      </rPr>
      <t>(needs improvement)</t>
    </r>
    <r>
      <rPr>
        <rFont val="Proxima Nova"/>
        <b val="0"/>
        <color theme="1"/>
      </rPr>
      <t xml:space="preserve"> Significant amount of brass instruments (could potentially be an error in the dataset not representing proper instruments)</t>
    </r>
  </si>
  <si>
    <r>
      <rPr>
        <rFont val="Proxima Nova"/>
        <b/>
        <color theme="1"/>
      </rPr>
      <t xml:space="preserve">- Pitch_Class_Variability_After_Folding
++ Pitch_Class_Kurtosis_After_Folding
+ Number_of_Common_Pitch_Classes
++ Distance_Between_Most_Prevalent_Melodic_Intervals
++ Perfect_Vertical_Intervals
</t>
    </r>
    <r>
      <rPr>
        <rFont val="Proxima Nova"/>
        <b val="0"/>
        <color theme="1"/>
      </rPr>
      <t>Notes tend to center close to the song's common key
Likely to have lots of perfect fourths, fifths, and prominent octaves (high melodic distance)</t>
    </r>
    <r>
      <rPr>
        <rFont val="Proxima Nova"/>
        <b/>
        <color theme="1"/>
      </rPr>
      <t xml:space="preserve">
+ Variability_of_Note_Prevalence_of_Pitched_Instruments
</t>
    </r>
    <r>
      <rPr>
        <rFont val="Proxima Nova"/>
        <b val="0"/>
        <color theme="1"/>
      </rPr>
      <t>Many tracks are not as utilized as others quantitity-note-wise</t>
    </r>
    <r>
      <rPr>
        <rFont val="Proxima Nova"/>
        <b/>
        <color theme="1"/>
      </rPr>
      <t xml:space="preserve">
+ Total_Number_of_Notes
+++ Note_Density_per_Quarter_Note
+++ Note_Density_per_Quarter_Note_per_Voice
++ Note_Density
- Relative_Note_Density_of_Highest_Line
++ Perfect_Vertical_Intervals
</t>
    </r>
    <r>
      <rPr>
        <rFont val="Proxima Nova"/>
        <b val="0"/>
        <color theme="1"/>
      </rPr>
      <t xml:space="preserve">Notes are densely populated
Music is very consonant (not dissonant, less bluesy)
High notes are emphasized by being played sparingly
</t>
    </r>
    <r>
      <rPr>
        <rFont val="Proxima Nova"/>
        <b/>
        <color theme="1"/>
      </rPr>
      <t xml:space="preserve">
- Polyrhythms_-_Tempo_Standardized
-- Range_of_Rhythmic_Values
-- Mean_Rhythmic_Value
- Rhythmic_Value_Variability
+ Prevalence_of_Short_Rhythmic_Values
- Number_of_Different_Rhythmic_Values_Present
</t>
    </r>
    <r>
      <rPr>
        <rFont val="Proxima Nova"/>
        <b val="0"/>
        <color theme="1"/>
      </rPr>
      <t>Consistent, simple, and repetitive beats &amp; rhythm</t>
    </r>
    <r>
      <rPr>
        <rFont val="Proxima Nova"/>
        <b/>
        <color theme="1"/>
      </rPr>
      <t xml:space="preserve">
+++ Note_Density_per_Quarter_Note
+++ Note_Density_per_Quarter_Note_per_Voice
++ Note_Density
+ Number_of_Unpitched_Instruments
</t>
    </r>
    <r>
      <rPr>
        <rFont val="Proxima Nova"/>
        <b val="0"/>
        <color theme="1"/>
      </rPr>
      <t>Notes are densely populated, in each track, both based per bar and per minute (indicating fast BPM tracks)
Likely to be rhythmic instruments (drums, percussion, etc.)
Makes sense in Somebody To Love, Don't Stop Me Now, A Kind of Magic (4 on floor)</t>
    </r>
  </si>
  <si>
    <r>
      <rPr>
        <rFont val="Proxima Nova"/>
        <b/>
        <color theme="1"/>
      </rPr>
      <t xml:space="preserve">+ Variability_of_Note_Durations
+++ Prevalence_of_Very_Long_Rhythmic_Values
</t>
    </r>
    <r>
      <rPr>
        <rFont val="Proxima Nova"/>
        <b val="0"/>
        <color theme="1"/>
      </rPr>
      <t xml:space="preserve">Notes are varied in duration but are prominently long
</t>
    </r>
    <r>
      <rPr>
        <rFont val="Proxima Nova"/>
        <b/>
        <color theme="1"/>
      </rPr>
      <t xml:space="preserve">
- Number_of_Common_Rhythmic_Values_Present
++ Rhythmic_Value_Variability
</t>
    </r>
    <r>
      <rPr>
        <rFont val="Proxima Nova"/>
        <b val="0"/>
        <color theme="1"/>
      </rPr>
      <t xml:space="preserve">Song contains a lot of different changing rhythms (likely syncopation)
</t>
    </r>
    <r>
      <rPr>
        <rFont val="Proxima Nova"/>
        <b/>
        <color theme="1"/>
      </rPr>
      <t xml:space="preserve">
+ Vertical_Minor_Third_Prevalence
++ Oblique Motion
+++ Prevalence_of_Very_Long_Rhythmic_Values
</t>
    </r>
    <r>
      <rPr>
        <rFont val="Proxima Nova"/>
        <b val="0"/>
        <color theme="1"/>
      </rPr>
      <t xml:space="preserve">Uses a lot of chords with the minor third
Base is usually kept when chords change
</t>
    </r>
    <r>
      <rPr>
        <rFont val="Proxima Nova"/>
        <b/>
        <color theme="1"/>
      </rPr>
      <t xml:space="preserve">++ Melodic_Pitch_Variety
+ Stepwise Motion
</t>
    </r>
    <r>
      <rPr>
        <rFont val="Proxima Nova"/>
        <b val="0"/>
        <color theme="1"/>
      </rPr>
      <t>Notes of the same pitch are not close together
Melodies go up a lot and down a lot, not much repetition within 16 notes</t>
    </r>
  </si>
  <si>
    <t>Track file</t>
  </si>
  <si>
    <t>[KMeans] FS2 Elbow
Cluster 0 (7)</t>
  </si>
  <si>
    <t>[KMeans] FS2 Elbow
Cluster 4 (42)</t>
  </si>
  <si>
    <t>[KMeans] FS2 Elbow
Cluster 5 (11)</t>
  </si>
  <si>
    <t>[AffProg] FS1 Davies
Cluster 2 (16)</t>
  </si>
  <si>
    <t>[AffProg] FS1 Davies
Cluster 4 (31)</t>
  </si>
  <si>
    <t>[AffProg] FS1 Davies
Cluster 9 (5)</t>
  </si>
  <si>
    <t>[AffProg] FS1 Silhouette
Cluster 1 (15)</t>
  </si>
  <si>
    <t>[AffProg] FS1 Silhouette
Cluster 2 (39)</t>
  </si>
  <si>
    <t>[AffProg] FS1 Silhouette
Cluster 4 (5)</t>
  </si>
  <si>
    <t>[AffProg] FS2 Davies
Cluster 1 (14)</t>
  </si>
  <si>
    <t>[AffProg] FS2 Davies
Cluster 3 (9)</t>
  </si>
  <si>
    <t>[AffProg] FS2 Davies
Cluster 6 (11)</t>
  </si>
  <si>
    <t>[AffProg] FS2 Davies
Cluster 7 (2)</t>
  </si>
  <si>
    <t>[AffProg] FS2 Davies
Cluster 8 (14)</t>
  </si>
  <si>
    <t>[AffProg] FS2 Silhouette
Cluster 1 (30)</t>
  </si>
  <si>
    <t>[AffProg] FS2 Silhouette
Cluster 2 (9)</t>
  </si>
  <si>
    <t>[AffProg] FS2 Silhouette
Cluster 3 (8)</t>
  </si>
  <si>
    <t>[AffProg] FS2 Silhouette
Cluster 5 (9)</t>
  </si>
  <si>
    <t>I</t>
  </si>
  <si>
    <t>Data
MEAN</t>
  </si>
  <si>
    <t>Data
AVEDEV</t>
  </si>
  <si>
    <t>Feature Classification</t>
  </si>
  <si>
    <r>
      <rPr>
        <rFont val="Proxima Nova"/>
        <b/>
        <color rgb="FF000000"/>
        <sz val="10.0"/>
      </rPr>
      <t>Formatting:</t>
    </r>
    <r>
      <rPr>
        <rFont val="Proxima Nova"/>
        <color rgb="FF000000"/>
        <sz val="10.0"/>
      </rPr>
      <t xml:space="preserve"> (FS1, FS2)
</t>
    </r>
    <r>
      <rPr>
        <rFont val="Proxima Nova"/>
        <b/>
        <color rgb="FF000000"/>
        <sz val="10.0"/>
      </rPr>
      <t>Complex:</t>
    </r>
    <r>
      <rPr>
        <rFont val="Proxima Nova"/>
        <color rgb="FF000000"/>
        <sz val="10.0"/>
      </rPr>
      <t xml:space="preserve"> Mean is significantly above Population Mean
</t>
    </r>
    <r>
      <rPr>
        <rFont val="Proxima Nova"/>
        <b/>
        <color rgb="FF000000"/>
        <sz val="10.0"/>
      </rPr>
      <t>Simple:</t>
    </r>
    <r>
      <rPr>
        <rFont val="Proxima Nova"/>
        <color rgb="FF000000"/>
        <sz val="10.0"/>
      </rPr>
      <t xml:space="preserve"> Mean is significantly below Population Mean</t>
    </r>
  </si>
  <si>
    <t>Sample
AVEDEV</t>
  </si>
  <si>
    <t>Under AVEDEV FS1</t>
  </si>
  <si>
    <t>A &lt; 1</t>
  </si>
  <si>
    <t>Over AVEDEV FS1</t>
  </si>
  <si>
    <t>Total AVEDEV FS1</t>
  </si>
  <si>
    <t>1 &lt; A &lt; 2</t>
  </si>
  <si>
    <t>Under AVEDEV FS2</t>
  </si>
  <si>
    <t>Over AVEDEV FS2</t>
  </si>
  <si>
    <t>2 &lt; A &lt; 3</t>
  </si>
  <si>
    <t>Total AVEDEV FS2</t>
  </si>
  <si>
    <t>Under AVEDEV FS1 - FS2</t>
  </si>
  <si>
    <t>3 &lt; A &lt; 4</t>
  </si>
  <si>
    <t>Over AVEDEV FS1 - FS2</t>
  </si>
  <si>
    <t>Total AVEDEV FS1 - FS2</t>
  </si>
  <si>
    <t>4 &lt; A</t>
  </si>
  <si>
    <t>Cluster Size</t>
  </si>
  <si>
    <t>Note_Density_per_Quarter_Note_Variability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</si>
</sst>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0"/>
  </numFmts>
  <fonts count="26">
    <font>
      <sz val="10.0"/>
      <color rgb="FF000000"/>
      <name val="Arial"/>
      <scheme val="minor"/>
    </font>
    <font>
      <color theme="1"/>
      <name val="Proxima Nova"/>
    </font>
    <font>
      <b/>
      <color theme="1"/>
      <name val="Proxima Nova"/>
    </font>
    <font/>
    <font>
      <u/>
      <color rgb="FF000000"/>
      <name val="Proxima Nova"/>
    </font>
    <font>
      <u/>
      <color rgb="FF0000FF"/>
      <name val="Proxima Nova"/>
    </font>
    <font>
      <b/>
      <color rgb="FFFFFFFF"/>
      <name val="Proxima Nova"/>
    </font>
    <font>
      <color rgb="FF000000"/>
      <name val="Proxima Nova"/>
    </font>
    <font>
      <b/>
      <sz val="24.0"/>
      <color theme="1"/>
      <name val="Proxima Nova"/>
    </font>
    <font>
      <b/>
      <color rgb="FF000000"/>
      <name val="Proxima Nova"/>
    </font>
    <font>
      <b/>
      <sz val="6.0"/>
      <color theme="1"/>
      <name val="Proxima Nova"/>
    </font>
    <font>
      <color rgb="FF434343"/>
      <name val="Proxima Nova"/>
    </font>
    <font>
      <color theme="1"/>
      <name val="Arial"/>
    </font>
    <font>
      <b/>
      <sz val="24.0"/>
      <color theme="1"/>
      <name val="&quot;Proxima Nova&quot;"/>
    </font>
    <font>
      <color rgb="FFFFFFFF"/>
      <name val="Proxima Nova"/>
    </font>
    <font>
      <sz val="10.0"/>
      <color theme="1"/>
      <name val="Proxima Nova"/>
    </font>
    <font>
      <sz val="10.0"/>
      <color rgb="FF000000"/>
      <name val="Proxima Nova"/>
    </font>
    <font>
      <b/>
      <sz val="10.0"/>
      <color rgb="FF000000"/>
      <name val="Proxima Nova"/>
    </font>
    <font>
      <b/>
      <sz val="8.0"/>
      <color rgb="FF000000"/>
      <name val="Proxima Nova"/>
    </font>
    <font>
      <b/>
      <sz val="10.0"/>
      <color theme="1"/>
      <name val="Proxima Nova"/>
    </font>
    <font>
      <b/>
      <sz val="9.0"/>
      <color rgb="FF000000"/>
      <name val="Proxima Nova"/>
    </font>
    <font>
      <b/>
      <sz val="10.0"/>
      <color rgb="FF674EA7"/>
      <name val="Proxima Nova"/>
    </font>
    <font>
      <b/>
      <sz val="12.0"/>
      <color theme="1"/>
      <name val="Proxima Nova"/>
    </font>
    <font>
      <sz val="10.0"/>
      <color theme="1"/>
      <name val="Arial"/>
    </font>
    <font>
      <b/>
      <sz val="10.0"/>
      <color rgb="FF999999"/>
      <name val="Proxima Nova"/>
    </font>
    <font>
      <b/>
      <color theme="1"/>
      <name val="Arial"/>
    </font>
  </fonts>
  <fills count="24">
    <fill>
      <patternFill patternType="none"/>
    </fill>
    <fill>
      <patternFill patternType="lightGray"/>
    </fill>
    <fill>
      <patternFill patternType="solid">
        <fgColor rgb="FF000000"/>
        <bgColor rgb="FF000000"/>
      </patternFill>
    </fill>
    <fill>
      <patternFill patternType="solid">
        <fgColor rgb="FFE6B8AF"/>
        <bgColor rgb="FFE6B8AF"/>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EAD1DC"/>
        <bgColor rgb="FFEAD1DC"/>
      </patternFill>
    </fill>
    <fill>
      <patternFill patternType="solid">
        <fgColor rgb="FFEA9999"/>
        <bgColor rgb="FFEA9999"/>
      </patternFill>
    </fill>
    <fill>
      <patternFill patternType="solid">
        <fgColor rgb="FFF9CB9C"/>
        <bgColor rgb="FFF9CB9C"/>
      </patternFill>
    </fill>
    <fill>
      <patternFill patternType="solid">
        <fgColor rgb="FFFFE599"/>
        <bgColor rgb="FFFFE599"/>
      </patternFill>
    </fill>
    <fill>
      <patternFill patternType="solid">
        <fgColor rgb="FFB6D7A8"/>
        <bgColor rgb="FFB6D7A8"/>
      </patternFill>
    </fill>
    <fill>
      <patternFill patternType="solid">
        <fgColor rgb="FFA2C4C9"/>
        <bgColor rgb="FFA2C4C9"/>
      </patternFill>
    </fill>
    <fill>
      <patternFill patternType="solid">
        <fgColor rgb="FFFFFFFF"/>
        <bgColor rgb="FFFFFFFF"/>
      </patternFill>
    </fill>
    <fill>
      <patternFill patternType="solid">
        <fgColor theme="0"/>
        <bgColor theme="0"/>
      </patternFill>
    </fill>
    <fill>
      <patternFill patternType="solid">
        <fgColor rgb="FFCC0000"/>
        <bgColor rgb="FFCC0000"/>
      </patternFill>
    </fill>
    <fill>
      <patternFill patternType="solid">
        <fgColor rgb="FFEFEFEF"/>
        <bgColor rgb="FFEFEFEF"/>
      </patternFill>
    </fill>
    <fill>
      <patternFill patternType="solid">
        <fgColor rgb="FFB7E1CD"/>
        <bgColor rgb="FFB7E1CD"/>
      </patternFill>
    </fill>
    <fill>
      <patternFill patternType="solid">
        <fgColor rgb="FFFCE8B2"/>
        <bgColor rgb="FFFCE8B2"/>
      </patternFill>
    </fill>
  </fills>
  <borders count="12">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border>
    <border>
      <right style="thick">
        <color rgb="FF000000"/>
      </right>
    </border>
    <border>
      <left style="thin">
        <color rgb="FF000000"/>
      </left>
    </border>
    <border>
      <right style="thin">
        <color rgb="FF000000"/>
      </right>
    </border>
    <border>
      <right style="thin">
        <color rgb="FF000000"/>
      </right>
      <bottom style="thin">
        <color rgb="FF000000"/>
      </bottom>
    </border>
  </borders>
  <cellStyleXfs count="1">
    <xf borderId="0" fillId="0" fontId="0" numFmtId="0" applyAlignment="1" applyFont="1"/>
  </cellStyleXfs>
  <cellXfs count="277">
    <xf borderId="0" fillId="0" fontId="0" numFmtId="0" xfId="0" applyAlignment="1" applyFont="1">
      <alignment readingOrder="0" shrinkToFit="0" vertical="bottom" wrapText="0"/>
    </xf>
    <xf borderId="0" fillId="2" fontId="1" numFmtId="0" xfId="0" applyAlignment="1" applyFill="1" applyFont="1">
      <alignment horizontal="center"/>
    </xf>
    <xf borderId="0" fillId="2" fontId="1" numFmtId="0" xfId="0" applyAlignment="1" applyFont="1">
      <alignment horizontal="center" vertical="center"/>
    </xf>
    <xf borderId="1" fillId="0" fontId="2" numFmtId="0" xfId="0" applyAlignment="1" applyBorder="1" applyFont="1">
      <alignment horizontal="center" vertical="center"/>
    </xf>
    <xf borderId="2" fillId="3" fontId="2" numFmtId="0" xfId="0" applyAlignment="1" applyBorder="1" applyFill="1" applyFont="1">
      <alignment horizontal="center" vertical="center"/>
    </xf>
    <xf borderId="2" fillId="4" fontId="2" numFmtId="0" xfId="0" applyAlignment="1" applyBorder="1" applyFill="1" applyFont="1">
      <alignment horizontal="center" vertical="center"/>
    </xf>
    <xf borderId="2" fillId="5" fontId="2" numFmtId="0" xfId="0" applyAlignment="1" applyBorder="1" applyFill="1" applyFont="1">
      <alignment horizontal="center" vertical="center"/>
    </xf>
    <xf borderId="2" fillId="6" fontId="2" numFmtId="0" xfId="0" applyAlignment="1" applyBorder="1" applyFill="1" applyFont="1">
      <alignment horizontal="center" vertical="center"/>
    </xf>
    <xf borderId="2" fillId="7" fontId="2" numFmtId="0" xfId="0" applyAlignment="1" applyBorder="1" applyFill="1" applyFont="1">
      <alignment horizontal="center" vertical="center"/>
    </xf>
    <xf borderId="2" fillId="8" fontId="2" numFmtId="0" xfId="0" applyAlignment="1" applyBorder="1" applyFill="1" applyFont="1">
      <alignment horizontal="center" vertical="center"/>
    </xf>
    <xf borderId="2" fillId="9" fontId="2" numFmtId="0" xfId="0" applyAlignment="1" applyBorder="1" applyFill="1" applyFont="1">
      <alignment horizontal="center" vertical="center"/>
    </xf>
    <xf borderId="2" fillId="10" fontId="2" numFmtId="0" xfId="0" applyAlignment="1" applyBorder="1" applyFill="1" applyFont="1">
      <alignment horizontal="center" vertical="center"/>
    </xf>
    <xf borderId="2" fillId="11" fontId="2" numFmtId="0" xfId="0" applyAlignment="1" applyBorder="1" applyFill="1" applyFont="1">
      <alignment horizontal="center" vertical="center"/>
    </xf>
    <xf borderId="2" fillId="12" fontId="2" numFmtId="0" xfId="0" applyAlignment="1" applyBorder="1" applyFill="1" applyFont="1">
      <alignment horizontal="center" vertical="center"/>
    </xf>
    <xf borderId="2" fillId="13" fontId="2" numFmtId="0" xfId="0" applyAlignment="1" applyBorder="1" applyFill="1" applyFont="1">
      <alignment horizontal="center" vertical="center"/>
    </xf>
    <xf borderId="2" fillId="14" fontId="2" numFmtId="0" xfId="0" applyAlignment="1" applyBorder="1" applyFill="1" applyFont="1">
      <alignment horizontal="center" vertical="center"/>
    </xf>
    <xf borderId="2" fillId="15" fontId="2" numFmtId="0" xfId="0" applyAlignment="1" applyBorder="1" applyFill="1" applyFont="1">
      <alignment horizontal="center" vertical="center"/>
    </xf>
    <xf borderId="2" fillId="16" fontId="2" numFmtId="0" xfId="0" applyAlignment="1" applyBorder="1" applyFill="1" applyFont="1">
      <alignment horizontal="center" vertical="center"/>
    </xf>
    <xf borderId="3" fillId="17" fontId="2" numFmtId="0" xfId="0" applyAlignment="1" applyBorder="1" applyFill="1" applyFont="1">
      <alignment horizontal="center" vertical="center"/>
    </xf>
    <xf borderId="0" fillId="2" fontId="2" numFmtId="0" xfId="0" applyAlignment="1" applyFont="1">
      <alignment horizontal="center" vertical="center"/>
    </xf>
    <xf borderId="4" fillId="0" fontId="2" numFmtId="0" xfId="0" applyAlignment="1" applyBorder="1" applyFont="1">
      <alignment horizontal="center" shrinkToFit="0" vertical="center" wrapText="1"/>
    </xf>
    <xf borderId="5" fillId="3" fontId="2" numFmtId="0" xfId="0" applyAlignment="1" applyBorder="1" applyFont="1">
      <alignment horizontal="center" vertical="center"/>
    </xf>
    <xf borderId="5" fillId="4" fontId="2" numFmtId="0" xfId="0" applyAlignment="1" applyBorder="1" applyFont="1">
      <alignment horizontal="center" vertical="center"/>
    </xf>
    <xf borderId="5" fillId="5" fontId="2" numFmtId="0" xfId="0" applyAlignment="1" applyBorder="1" applyFont="1">
      <alignment horizontal="center" vertical="center"/>
    </xf>
    <xf borderId="5" fillId="6" fontId="2" numFmtId="0" xfId="0" applyAlignment="1" applyBorder="1" applyFont="1">
      <alignment horizontal="center" vertical="center"/>
    </xf>
    <xf borderId="5" fillId="7" fontId="2" numFmtId="0" xfId="0" applyAlignment="1" applyBorder="1" applyFont="1">
      <alignment horizontal="center" vertical="center"/>
    </xf>
    <xf borderId="5" fillId="8" fontId="2" numFmtId="0" xfId="0" applyAlignment="1" applyBorder="1" applyFont="1">
      <alignment horizontal="center" vertical="center"/>
    </xf>
    <xf borderId="5" fillId="9" fontId="2" numFmtId="0" xfId="0" applyAlignment="1" applyBorder="1" applyFont="1">
      <alignment horizontal="center" vertical="center"/>
    </xf>
    <xf borderId="5" fillId="10" fontId="2" numFmtId="0" xfId="0" applyAlignment="1" applyBorder="1" applyFont="1">
      <alignment horizontal="center" vertical="center"/>
    </xf>
    <xf borderId="5" fillId="11" fontId="2" numFmtId="0" xfId="0" applyAlignment="1" applyBorder="1" applyFont="1">
      <alignment horizontal="center" vertical="center"/>
    </xf>
    <xf borderId="5" fillId="12" fontId="2" numFmtId="0" xfId="0" applyAlignment="1" applyBorder="1" applyFont="1">
      <alignment horizontal="center" vertical="center"/>
    </xf>
    <xf borderId="5" fillId="13" fontId="2" numFmtId="0" xfId="0" applyAlignment="1" applyBorder="1" applyFont="1">
      <alignment horizontal="center" vertical="center"/>
    </xf>
    <xf borderId="5" fillId="14" fontId="2" numFmtId="0" xfId="0" applyAlignment="1" applyBorder="1" applyFont="1">
      <alignment horizontal="center" vertical="center"/>
    </xf>
    <xf borderId="5" fillId="15" fontId="2" numFmtId="0" xfId="0" applyAlignment="1" applyBorder="1" applyFont="1">
      <alignment horizontal="center" vertical="center"/>
    </xf>
    <xf borderId="5" fillId="16" fontId="2" numFmtId="0" xfId="0" applyAlignment="1" applyBorder="1" applyFont="1">
      <alignment horizontal="center" vertical="center"/>
    </xf>
    <xf borderId="6" fillId="17" fontId="2" numFmtId="0" xfId="0" applyAlignment="1" applyBorder="1" applyFont="1">
      <alignment horizontal="center" vertical="center"/>
    </xf>
    <xf borderId="5" fillId="2" fontId="2" numFmtId="0" xfId="0" applyAlignment="1" applyBorder="1" applyFont="1">
      <alignment horizontal="center" vertical="center"/>
    </xf>
    <xf borderId="7" fillId="0" fontId="2" numFmtId="0" xfId="0" applyAlignment="1" applyBorder="1" applyFont="1">
      <alignment horizontal="center" vertical="center"/>
    </xf>
    <xf borderId="0" fillId="3" fontId="1" numFmtId="0" xfId="0" applyAlignment="1" applyFont="1">
      <alignment horizontal="center"/>
    </xf>
    <xf borderId="0" fillId="4" fontId="1" numFmtId="0" xfId="0" applyAlignment="1" applyFont="1">
      <alignment horizontal="center"/>
    </xf>
    <xf borderId="0" fillId="5" fontId="1" numFmtId="0" xfId="0" applyAlignment="1" applyFont="1">
      <alignment horizontal="center"/>
    </xf>
    <xf borderId="0" fillId="6" fontId="1" numFmtId="0" xfId="0" applyAlignment="1" applyFont="1">
      <alignment horizontal="center"/>
    </xf>
    <xf borderId="0" fillId="7" fontId="1" numFmtId="0" xfId="0" applyAlignment="1" applyFont="1">
      <alignment horizontal="center"/>
    </xf>
    <xf borderId="0" fillId="8" fontId="1" numFmtId="0" xfId="0" applyAlignment="1" applyFont="1">
      <alignment horizontal="center"/>
    </xf>
    <xf borderId="0" fillId="9" fontId="1" numFmtId="0" xfId="0" applyAlignment="1" applyFont="1">
      <alignment horizontal="center"/>
    </xf>
    <xf borderId="0" fillId="10" fontId="1" numFmtId="0" xfId="0" applyAlignment="1" applyFont="1">
      <alignment horizontal="center"/>
    </xf>
    <xf borderId="0" fillId="11" fontId="1" numFmtId="0" xfId="0" applyAlignment="1" applyFont="1">
      <alignment horizontal="center"/>
    </xf>
    <xf borderId="0" fillId="12" fontId="1" numFmtId="0" xfId="0" applyAlignment="1" applyFont="1">
      <alignment horizontal="center"/>
    </xf>
    <xf borderId="0" fillId="13" fontId="1" numFmtId="0" xfId="0" applyAlignment="1" applyFont="1">
      <alignment horizontal="center"/>
    </xf>
    <xf borderId="0" fillId="14" fontId="1" numFmtId="0" xfId="0" applyAlignment="1" applyFont="1">
      <alignment horizontal="center"/>
    </xf>
    <xf borderId="0" fillId="15" fontId="1" numFmtId="0" xfId="0" applyAlignment="1" applyFont="1">
      <alignment horizontal="center"/>
    </xf>
    <xf borderId="0" fillId="16" fontId="1" numFmtId="0" xfId="0" applyAlignment="1" applyFont="1">
      <alignment horizontal="center"/>
    </xf>
    <xf borderId="8" fillId="17" fontId="1" numFmtId="0" xfId="0" applyAlignment="1" applyBorder="1" applyFont="1">
      <alignment horizontal="center"/>
    </xf>
    <xf borderId="7" fillId="0" fontId="3" numFmtId="0" xfId="0" applyBorder="1" applyFont="1"/>
    <xf quotePrefix="1" borderId="0" fillId="6" fontId="1" numFmtId="0" xfId="0" applyAlignment="1" applyFont="1">
      <alignment horizontal="center"/>
    </xf>
    <xf borderId="0" fillId="14" fontId="1" numFmtId="0" xfId="0" applyAlignment="1" applyFont="1">
      <alignment horizontal="center" readingOrder="0"/>
    </xf>
    <xf borderId="0" fillId="0" fontId="2" numFmtId="0" xfId="0" applyAlignment="1" applyFont="1">
      <alignment horizontal="center" vertical="center"/>
    </xf>
    <xf borderId="7" fillId="18" fontId="2" numFmtId="0" xfId="0" applyAlignment="1" applyBorder="1" applyFill="1" applyFont="1">
      <alignment horizontal="center" vertical="center"/>
    </xf>
    <xf borderId="8" fillId="0" fontId="3" numFmtId="0" xfId="0" applyBorder="1" applyFont="1"/>
    <xf borderId="0" fillId="18" fontId="2" numFmtId="0" xfId="0" applyAlignment="1" applyFont="1">
      <alignment horizontal="center" readingOrder="0" vertical="center"/>
    </xf>
    <xf borderId="5" fillId="0" fontId="2" numFmtId="0" xfId="0" applyAlignment="1" applyBorder="1" applyFont="1">
      <alignment horizontal="center" shrinkToFit="0" vertical="center" wrapText="1"/>
    </xf>
    <xf borderId="5" fillId="0" fontId="2" numFmtId="0" xfId="0" applyAlignment="1" applyBorder="1" applyFont="1">
      <alignment horizontal="center" vertical="center"/>
    </xf>
    <xf borderId="5" fillId="0" fontId="2" numFmtId="0" xfId="0" applyAlignment="1" applyBorder="1" applyFont="1">
      <alignment horizontal="center" readingOrder="0" vertical="center"/>
    </xf>
    <xf borderId="4" fillId="0" fontId="3" numFmtId="0" xfId="0" applyBorder="1" applyFont="1"/>
    <xf borderId="6" fillId="0" fontId="3" numFmtId="0" xfId="0" applyBorder="1" applyFont="1"/>
    <xf borderId="5" fillId="0" fontId="3" numFmtId="0" xfId="0" applyBorder="1" applyFont="1"/>
    <xf borderId="0" fillId="0" fontId="1" numFmtId="0" xfId="0" applyFont="1"/>
    <xf borderId="0" fillId="0" fontId="4" numFmtId="0" xfId="0" applyFont="1"/>
    <xf borderId="0" fillId="0" fontId="1" numFmtId="0" xfId="0" applyAlignment="1" applyFont="1">
      <alignment readingOrder="0"/>
    </xf>
    <xf borderId="8" fillId="18" fontId="1" numFmtId="0" xfId="0" applyAlignment="1" applyBorder="1" applyFont="1">
      <alignment horizontal="center"/>
    </xf>
    <xf borderId="0" fillId="18" fontId="1" numFmtId="2" xfId="0" applyAlignment="1" applyFont="1" applyNumberFormat="1">
      <alignment horizontal="center"/>
    </xf>
    <xf borderId="0" fillId="0" fontId="5" numFmtId="0" xfId="0" applyFont="1"/>
    <xf borderId="0" fillId="7" fontId="1" numFmtId="0" xfId="0" applyAlignment="1" applyFont="1">
      <alignment horizontal="left"/>
    </xf>
    <xf borderId="0" fillId="0" fontId="1" numFmtId="0" xfId="0" applyAlignment="1" applyFont="1">
      <alignment horizontal="left" readingOrder="0"/>
    </xf>
    <xf borderId="0" fillId="6" fontId="1" numFmtId="0" xfId="0" applyAlignment="1" applyFont="1">
      <alignment horizontal="left"/>
    </xf>
    <xf borderId="7" fillId="0" fontId="2" numFmtId="0" xfId="0" applyAlignment="1" applyBorder="1" applyFont="1">
      <alignment horizontal="center"/>
    </xf>
    <xf borderId="4" fillId="18" fontId="2" numFmtId="0" xfId="0" applyAlignment="1" applyBorder="1" applyFont="1">
      <alignment horizontal="center"/>
    </xf>
    <xf borderId="6" fillId="18" fontId="1" numFmtId="0" xfId="0" applyAlignment="1" applyBorder="1" applyFont="1">
      <alignment horizontal="center"/>
    </xf>
    <xf borderId="0" fillId="0" fontId="1" numFmtId="2" xfId="0" applyAlignment="1" applyFont="1" applyNumberFormat="1">
      <alignment horizontal="center"/>
    </xf>
    <xf borderId="0" fillId="2" fontId="6" numFmtId="0" xfId="0" applyAlignment="1" applyFont="1">
      <alignment horizontal="center" readingOrder="0"/>
    </xf>
    <xf borderId="0" fillId="10" fontId="1" numFmtId="0" xfId="0" applyFont="1"/>
    <xf borderId="0" fillId="10" fontId="1" numFmtId="0" xfId="0" applyAlignment="1" applyFont="1">
      <alignment horizontal="left"/>
    </xf>
    <xf borderId="0" fillId="0" fontId="7" numFmtId="0" xfId="0" applyFont="1"/>
    <xf borderId="0" fillId="3" fontId="1" numFmtId="0" xfId="0" applyAlignment="1" applyFont="1">
      <alignment horizontal="left"/>
    </xf>
    <xf borderId="0" fillId="4" fontId="1" numFmtId="0" xfId="0" applyAlignment="1" applyFont="1">
      <alignment horizontal="left"/>
    </xf>
    <xf borderId="0" fillId="0" fontId="1" numFmtId="0" xfId="0" applyAlignment="1" applyFont="1">
      <alignment horizontal="left"/>
    </xf>
    <xf borderId="0" fillId="2" fontId="1" numFmtId="0" xfId="0" applyAlignment="1" applyFont="1">
      <alignment horizontal="center" shrinkToFit="0" wrapText="0"/>
    </xf>
    <xf borderId="0" fillId="2" fontId="7" numFmtId="0" xfId="0" applyAlignment="1" applyFont="1">
      <alignment horizontal="center"/>
    </xf>
    <xf borderId="0" fillId="0" fontId="8" numFmtId="0" xfId="0" applyAlignment="1" applyFont="1">
      <alignment horizontal="center" readingOrder="0" vertical="center"/>
    </xf>
    <xf borderId="2" fillId="18" fontId="8" numFmtId="0" xfId="0" applyAlignment="1" applyBorder="1" applyFont="1">
      <alignment horizontal="center" readingOrder="0" vertical="center"/>
    </xf>
    <xf borderId="2" fillId="0" fontId="3" numFmtId="0" xfId="0" applyBorder="1" applyFont="1"/>
    <xf borderId="5" fillId="0" fontId="2" numFmtId="0" xfId="0" applyAlignment="1" applyBorder="1" applyFont="1">
      <alignment horizontal="center" shrinkToFit="0" vertical="center" wrapText="0"/>
    </xf>
    <xf borderId="5" fillId="18" fontId="2" numFmtId="0" xfId="0" applyAlignment="1" applyBorder="1" applyFont="1">
      <alignment horizontal="center" readingOrder="0" vertical="center"/>
    </xf>
    <xf borderId="5" fillId="18" fontId="9" numFmtId="0" xfId="0" applyAlignment="1" applyBorder="1" applyFont="1">
      <alignment horizontal="center" readingOrder="0" vertical="center"/>
    </xf>
    <xf borderId="5" fillId="18" fontId="10" numFmtId="0" xfId="0" applyAlignment="1" applyBorder="1" applyFont="1">
      <alignment horizontal="center" readingOrder="0" shrinkToFit="0" vertical="center" wrapText="1"/>
    </xf>
    <xf borderId="0" fillId="0" fontId="1" numFmtId="0" xfId="0" applyAlignment="1" applyFont="1">
      <alignment horizontal="center" shrinkToFit="0" wrapText="0"/>
    </xf>
    <xf borderId="0" fillId="0" fontId="1" numFmtId="0" xfId="0" applyAlignment="1" applyFont="1">
      <alignment shrinkToFit="0" wrapText="0"/>
    </xf>
    <xf borderId="0" fillId="0" fontId="1" numFmtId="0" xfId="0" applyAlignment="1" applyFont="1">
      <alignment horizontal="center"/>
    </xf>
    <xf borderId="0" fillId="18" fontId="1" numFmtId="0" xfId="0" applyAlignment="1" applyFont="1">
      <alignment horizontal="center" readingOrder="0" shrinkToFit="0" wrapText="0"/>
    </xf>
    <xf borderId="0" fillId="18" fontId="1" numFmtId="0" xfId="0" applyAlignment="1" applyFont="1">
      <alignment horizontal="center" shrinkToFit="0" wrapText="0"/>
    </xf>
    <xf borderId="0" fillId="18" fontId="7" numFmtId="0" xfId="0" applyAlignment="1" applyFont="1">
      <alignment horizontal="center" shrinkToFit="0" wrapText="0"/>
    </xf>
    <xf borderId="0" fillId="18" fontId="1" numFmtId="2" xfId="0" applyAlignment="1" applyFont="1" applyNumberFormat="1">
      <alignment horizontal="center" shrinkToFit="0" wrapText="0"/>
    </xf>
    <xf borderId="0" fillId="18" fontId="1" numFmtId="2" xfId="0" applyAlignment="1" applyFont="1" applyNumberFormat="1">
      <alignment horizontal="center" readingOrder="0" shrinkToFit="0" wrapText="0"/>
    </xf>
    <xf borderId="0" fillId="18" fontId="1" numFmtId="164" xfId="0" applyAlignment="1" applyFont="1" applyNumberFormat="1">
      <alignment horizontal="center" shrinkToFit="0" wrapText="0"/>
    </xf>
    <xf borderId="0" fillId="19" fontId="1" numFmtId="2" xfId="0" applyAlignment="1" applyFill="1" applyFont="1" applyNumberFormat="1">
      <alignment horizontal="center" shrinkToFit="0" wrapText="0"/>
    </xf>
    <xf borderId="0" fillId="18" fontId="1" numFmtId="9" xfId="0" applyAlignment="1" applyFont="1" applyNumberFormat="1">
      <alignment horizontal="center" shrinkToFit="0" wrapText="0"/>
    </xf>
    <xf borderId="0" fillId="0" fontId="1" numFmtId="0" xfId="0" applyAlignment="1" applyFont="1">
      <alignment horizontal="center" shrinkToFit="0" wrapText="0"/>
    </xf>
    <xf borderId="0" fillId="2" fontId="2" numFmtId="0" xfId="0" applyAlignment="1" applyFont="1">
      <alignment horizontal="center" readingOrder="0"/>
    </xf>
    <xf borderId="0" fillId="2" fontId="6" numFmtId="0" xfId="0" applyAlignment="1" applyFont="1">
      <alignment horizontal="center"/>
    </xf>
    <xf borderId="0" fillId="18" fontId="2" numFmtId="0" xfId="0" applyAlignment="1" applyFont="1">
      <alignment horizontal="center" readingOrder="0"/>
    </xf>
    <xf borderId="0" fillId="18" fontId="1" numFmtId="0" xfId="0" applyAlignment="1" applyFont="1">
      <alignment horizontal="center"/>
    </xf>
    <xf borderId="0" fillId="2" fontId="11" numFmtId="0" xfId="0" applyAlignment="1" applyFont="1">
      <alignment horizontal="center" readingOrder="0"/>
    </xf>
    <xf borderId="0" fillId="2" fontId="8" numFmtId="0" xfId="0" applyAlignment="1" applyFont="1">
      <alignment horizontal="center" readingOrder="0"/>
    </xf>
    <xf borderId="0" fillId="2" fontId="1" numFmtId="0" xfId="0" applyAlignment="1" applyFont="1">
      <alignment horizontal="center" readingOrder="0"/>
    </xf>
    <xf borderId="0" fillId="2" fontId="12" numFmtId="0" xfId="0" applyAlignment="1" applyFont="1">
      <alignment vertical="bottom"/>
    </xf>
    <xf borderId="0" fillId="0" fontId="13" numFmtId="0" xfId="0" applyAlignment="1" applyFont="1">
      <alignment horizontal="center" vertical="center"/>
    </xf>
    <xf borderId="5" fillId="0" fontId="2" numFmtId="0" xfId="0" applyAlignment="1" applyBorder="1" applyFont="1">
      <alignment horizontal="center" vertical="center"/>
    </xf>
    <xf borderId="0" fillId="0" fontId="1" numFmtId="0" xfId="0" applyAlignment="1" applyFont="1">
      <alignment horizontal="center" readingOrder="0" shrinkToFit="0" wrapText="0"/>
    </xf>
    <xf borderId="0" fillId="0" fontId="1" numFmtId="0" xfId="0" applyAlignment="1" applyFont="1">
      <alignment readingOrder="0" shrinkToFit="0" wrapText="0"/>
    </xf>
    <xf borderId="0" fillId="6" fontId="1" numFmtId="0" xfId="0" applyAlignment="1" applyFont="1">
      <alignment horizontal="center" vertical="bottom"/>
    </xf>
    <xf borderId="0" fillId="16" fontId="1" numFmtId="0" xfId="0" applyAlignment="1" applyFont="1">
      <alignment horizontal="center" vertical="bottom"/>
    </xf>
    <xf borderId="0" fillId="7" fontId="1" numFmtId="0" xfId="0" applyAlignment="1" applyFont="1">
      <alignment horizontal="center" vertical="bottom"/>
    </xf>
    <xf borderId="0" fillId="8" fontId="1" numFmtId="0" xfId="0" applyAlignment="1" applyFont="1">
      <alignment horizontal="center" vertical="bottom"/>
    </xf>
    <xf borderId="0" fillId="4" fontId="1" numFmtId="0" xfId="0" applyAlignment="1" applyFont="1">
      <alignment horizontal="center" vertical="bottom"/>
    </xf>
    <xf borderId="0" fillId="17" fontId="1" numFmtId="0" xfId="0" applyAlignment="1" applyFont="1">
      <alignment horizontal="center" vertical="bottom"/>
    </xf>
    <xf borderId="0" fillId="15" fontId="1" numFmtId="0" xfId="0" applyAlignment="1" applyFont="1">
      <alignment horizontal="center" vertical="bottom"/>
    </xf>
    <xf borderId="0" fillId="3" fontId="1" numFmtId="0" xfId="0" applyAlignment="1" applyFont="1">
      <alignment horizontal="center" vertical="bottom"/>
    </xf>
    <xf borderId="0" fillId="14" fontId="1" numFmtId="0" xfId="0" applyAlignment="1" applyFont="1">
      <alignment horizontal="center" vertical="bottom"/>
    </xf>
    <xf borderId="0" fillId="13" fontId="1" numFmtId="0" xfId="0" applyAlignment="1" applyFont="1">
      <alignment horizontal="center" vertical="bottom"/>
    </xf>
    <xf borderId="0" fillId="10" fontId="1" numFmtId="0" xfId="0" applyAlignment="1" applyFont="1">
      <alignment horizontal="center" vertical="bottom"/>
    </xf>
    <xf borderId="0" fillId="5" fontId="1" numFmtId="0" xfId="0" applyAlignment="1" applyFont="1">
      <alignment horizontal="center" vertical="bottom"/>
    </xf>
    <xf borderId="0" fillId="9" fontId="1" numFmtId="0" xfId="0" applyAlignment="1" applyFont="1">
      <alignment horizontal="center" vertical="bottom"/>
    </xf>
    <xf borderId="0" fillId="12" fontId="1" numFmtId="0" xfId="0" applyAlignment="1" applyFont="1">
      <alignment horizontal="center" vertical="bottom"/>
    </xf>
    <xf borderId="0" fillId="20" fontId="14" numFmtId="0" xfId="0" applyAlignment="1" applyFill="1" applyFont="1">
      <alignment horizontal="center" vertical="bottom"/>
    </xf>
    <xf borderId="2" fillId="3" fontId="1" numFmtId="0" xfId="0" applyAlignment="1" applyBorder="1" applyFont="1">
      <alignment horizontal="center" vertical="bottom"/>
    </xf>
    <xf borderId="2" fillId="3" fontId="1" numFmtId="0" xfId="0" applyAlignment="1" applyBorder="1" applyFont="1">
      <alignment vertical="bottom"/>
    </xf>
    <xf borderId="0" fillId="8" fontId="1" numFmtId="0" xfId="0" applyAlignment="1" applyFont="1">
      <alignment horizontal="center" vertical="bottom"/>
    </xf>
    <xf borderId="0" fillId="8" fontId="1" numFmtId="0" xfId="0" applyAlignment="1" applyFont="1">
      <alignment vertical="bottom"/>
    </xf>
    <xf borderId="0" fillId="9" fontId="1" numFmtId="0" xfId="0" applyAlignment="1" applyFont="1">
      <alignment horizontal="center" vertical="bottom"/>
    </xf>
    <xf borderId="0" fillId="9" fontId="1" numFmtId="0" xfId="0" applyAlignment="1" applyFont="1">
      <alignment vertical="bottom"/>
    </xf>
    <xf borderId="0" fillId="15" fontId="1" numFmtId="0" xfId="0" applyAlignment="1" applyFont="1">
      <alignment horizontal="center" vertical="bottom"/>
    </xf>
    <xf borderId="0" fillId="15" fontId="1" numFmtId="0" xfId="0" applyAlignment="1" applyFont="1">
      <alignment vertical="bottom"/>
    </xf>
    <xf borderId="0" fillId="16" fontId="1" numFmtId="0" xfId="0" applyAlignment="1" applyFont="1">
      <alignment horizontal="center" vertical="bottom"/>
    </xf>
    <xf borderId="0" fillId="16" fontId="1" numFmtId="0" xfId="0" applyAlignment="1" applyFont="1">
      <alignment vertical="bottom"/>
    </xf>
    <xf borderId="0" fillId="20" fontId="6" numFmtId="0" xfId="0" applyAlignment="1" applyFont="1">
      <alignment horizontal="center" vertical="bottom"/>
    </xf>
    <xf borderId="0" fillId="20" fontId="6" numFmtId="0" xfId="0" applyAlignment="1" applyFont="1">
      <alignment vertical="bottom"/>
    </xf>
    <xf borderId="0" fillId="4" fontId="1" numFmtId="0" xfId="0" applyAlignment="1" applyFont="1">
      <alignment horizontal="center" vertical="bottom"/>
    </xf>
    <xf borderId="0" fillId="4" fontId="1" numFmtId="0" xfId="0" applyAlignment="1" applyFont="1">
      <alignment vertical="bottom"/>
    </xf>
    <xf borderId="0" fillId="10" fontId="1" numFmtId="0" xfId="0" applyAlignment="1" applyFont="1">
      <alignment horizontal="center" vertical="bottom"/>
    </xf>
    <xf borderId="0" fillId="10" fontId="1" numFmtId="0" xfId="0" applyAlignment="1" applyFont="1">
      <alignment vertical="bottom"/>
    </xf>
    <xf borderId="0" fillId="3" fontId="1" numFmtId="0" xfId="0" applyAlignment="1" applyFont="1">
      <alignment horizontal="center" vertical="bottom"/>
    </xf>
    <xf borderId="0" fillId="3" fontId="1" numFmtId="0" xfId="0" applyAlignment="1" applyFont="1">
      <alignment vertical="bottom"/>
    </xf>
    <xf borderId="0" fillId="5" fontId="1" numFmtId="0" xfId="0" applyAlignment="1" applyFont="1">
      <alignment horizontal="center" vertical="bottom"/>
    </xf>
    <xf borderId="0" fillId="5" fontId="1" numFmtId="0" xfId="0" applyAlignment="1" applyFont="1">
      <alignment vertical="bottom"/>
    </xf>
    <xf borderId="0" fillId="6" fontId="1" numFmtId="0" xfId="0" applyAlignment="1" applyFont="1">
      <alignment horizontal="center" vertical="bottom"/>
    </xf>
    <xf borderId="0" fillId="6" fontId="1" numFmtId="0" xfId="0" applyAlignment="1" applyFont="1">
      <alignment vertical="bottom"/>
    </xf>
    <xf borderId="0" fillId="7" fontId="1" numFmtId="0" xfId="0" applyAlignment="1" applyFont="1">
      <alignment horizontal="center" vertical="bottom"/>
    </xf>
    <xf borderId="0" fillId="7" fontId="1" numFmtId="0" xfId="0" applyAlignment="1" applyFont="1">
      <alignment vertical="bottom"/>
    </xf>
    <xf borderId="0" fillId="12" fontId="1" numFmtId="0" xfId="0" applyAlignment="1" applyFont="1">
      <alignment horizontal="center" vertical="bottom"/>
    </xf>
    <xf borderId="0" fillId="12" fontId="1" numFmtId="0" xfId="0" applyAlignment="1" applyFont="1">
      <alignment vertical="bottom"/>
    </xf>
    <xf borderId="0" fillId="13" fontId="1" numFmtId="0" xfId="0" applyAlignment="1" applyFont="1">
      <alignment horizontal="center" vertical="bottom"/>
    </xf>
    <xf borderId="0" fillId="13" fontId="1" numFmtId="0" xfId="0" applyAlignment="1" applyFont="1">
      <alignment vertical="bottom"/>
    </xf>
    <xf borderId="0" fillId="14" fontId="1" numFmtId="0" xfId="0" applyAlignment="1" applyFont="1">
      <alignment horizontal="center" vertical="bottom"/>
    </xf>
    <xf borderId="0" fillId="14" fontId="1" numFmtId="0" xfId="0" applyAlignment="1" applyFont="1">
      <alignment vertical="bottom"/>
    </xf>
    <xf borderId="0" fillId="17" fontId="1" numFmtId="0" xfId="0" applyAlignment="1" applyFont="1">
      <alignment horizontal="center" vertical="bottom"/>
    </xf>
    <xf borderId="0" fillId="17" fontId="1" numFmtId="0" xfId="0" applyAlignment="1" applyFont="1">
      <alignment vertical="bottom"/>
    </xf>
    <xf borderId="5" fillId="18" fontId="2" numFmtId="164" xfId="0" applyAlignment="1" applyBorder="1" applyFont="1" applyNumberFormat="1">
      <alignment horizontal="center" readingOrder="0" vertical="center"/>
    </xf>
    <xf borderId="0" fillId="0" fontId="13" numFmtId="0" xfId="0" applyAlignment="1" applyFont="1">
      <alignment horizontal="center" vertical="center"/>
    </xf>
    <xf borderId="2" fillId="10" fontId="1" numFmtId="0" xfId="0" applyAlignment="1" applyBorder="1" applyFont="1">
      <alignment horizontal="center" vertical="bottom"/>
    </xf>
    <xf borderId="2" fillId="10" fontId="1" numFmtId="0" xfId="0" applyAlignment="1" applyBorder="1" applyFont="1">
      <alignment vertical="bottom"/>
    </xf>
    <xf borderId="2" fillId="21" fontId="1" numFmtId="164" xfId="0" applyAlignment="1" applyBorder="1" applyFill="1" applyFont="1" applyNumberFormat="1">
      <alignment horizontal="center" shrinkToFit="0" vertical="bottom" wrapText="0"/>
    </xf>
    <xf borderId="0" fillId="0" fontId="1" numFmtId="164" xfId="0" applyAlignment="1" applyFont="1" applyNumberFormat="1">
      <alignment horizontal="center" shrinkToFit="0" vertical="bottom" wrapText="0"/>
    </xf>
    <xf borderId="0" fillId="18" fontId="1" numFmtId="164" xfId="0" applyAlignment="1" applyFont="1" applyNumberFormat="1">
      <alignment horizontal="center" shrinkToFit="0" vertical="bottom" wrapText="0"/>
    </xf>
    <xf borderId="0" fillId="21" fontId="1" numFmtId="164" xfId="0" applyAlignment="1" applyFont="1" applyNumberFormat="1">
      <alignment horizontal="center" shrinkToFit="0" vertical="bottom" wrapText="0"/>
    </xf>
    <xf borderId="0" fillId="2" fontId="1" numFmtId="164" xfId="0" applyAlignment="1" applyFont="1" applyNumberFormat="1">
      <alignment horizontal="center" shrinkToFit="0" vertical="bottom" wrapText="0"/>
    </xf>
    <xf borderId="0" fillId="0" fontId="13" numFmtId="0" xfId="0" applyAlignment="1" applyFont="1">
      <alignment horizontal="center" readingOrder="0" vertical="center"/>
    </xf>
    <xf borderId="2" fillId="0" fontId="8" numFmtId="0" xfId="0" applyAlignment="1" applyBorder="1" applyFont="1">
      <alignment horizontal="center" readingOrder="0" vertical="center"/>
    </xf>
    <xf borderId="5" fillId="0" fontId="10" numFmtId="0" xfId="0" applyAlignment="1" applyBorder="1" applyFont="1">
      <alignment horizontal="center" readingOrder="0" shrinkToFit="0" vertical="center" wrapText="1"/>
    </xf>
    <xf borderId="9" fillId="0" fontId="1" numFmtId="0" xfId="0" applyAlignment="1" applyBorder="1" applyFont="1">
      <alignment horizontal="center" readingOrder="0" shrinkToFit="0" wrapText="0"/>
    </xf>
    <xf borderId="0" fillId="0" fontId="1" numFmtId="2" xfId="0" applyAlignment="1" applyFont="1" applyNumberFormat="1">
      <alignment horizontal="center" shrinkToFit="0" wrapText="0"/>
    </xf>
    <xf borderId="0" fillId="0" fontId="1" numFmtId="2" xfId="0" applyAlignment="1" applyFont="1" applyNumberFormat="1">
      <alignment horizontal="center" readingOrder="0" shrinkToFit="0" wrapText="0"/>
    </xf>
    <xf borderId="2" fillId="0" fontId="1" numFmtId="164" xfId="0" applyAlignment="1" applyBorder="1" applyFont="1" applyNumberFormat="1">
      <alignment horizontal="center" shrinkToFit="0" vertical="bottom" wrapText="0"/>
    </xf>
    <xf borderId="0" fillId="0" fontId="1" numFmtId="164" xfId="0" applyAlignment="1" applyFont="1" applyNumberFormat="1">
      <alignment horizontal="center" shrinkToFit="0" wrapText="0"/>
    </xf>
    <xf borderId="0" fillId="0" fontId="1" numFmtId="0" xfId="0" applyAlignment="1" applyFont="1">
      <alignment horizontal="center" readingOrder="0" shrinkToFit="0" wrapText="0"/>
    </xf>
    <xf borderId="0" fillId="2" fontId="15" numFmtId="0" xfId="0" applyAlignment="1" applyFont="1">
      <alignment horizontal="center" vertical="center"/>
    </xf>
    <xf borderId="0" fillId="2" fontId="16" numFmtId="0" xfId="0" applyAlignment="1" applyFont="1">
      <alignment horizontal="center" vertical="center"/>
    </xf>
    <xf borderId="0" fillId="2" fontId="16" numFmtId="0" xfId="0" applyAlignment="1" applyFont="1">
      <alignment readingOrder="0" shrinkToFit="0" vertical="center" wrapText="0"/>
    </xf>
    <xf borderId="0" fillId="2" fontId="16" numFmtId="0" xfId="0" applyAlignment="1" applyFont="1">
      <alignment horizontal="center" readingOrder="0" shrinkToFit="0" vertical="center" wrapText="0"/>
    </xf>
    <xf borderId="0" fillId="2" fontId="16" numFmtId="0" xfId="0" applyAlignment="1" applyFont="1">
      <alignment readingOrder="0" shrinkToFit="0" vertical="center" wrapText="0"/>
    </xf>
    <xf borderId="0" fillId="2" fontId="16" numFmtId="0" xfId="0" applyAlignment="1" applyFont="1">
      <alignment horizontal="center" readingOrder="0" shrinkToFit="0" vertical="center" wrapText="0"/>
    </xf>
    <xf borderId="0" fillId="2" fontId="1" numFmtId="0" xfId="0" applyAlignment="1" applyFont="1">
      <alignment readingOrder="0" vertical="center"/>
    </xf>
    <xf borderId="0" fillId="2" fontId="1" numFmtId="0" xfId="0" applyAlignment="1" applyFont="1">
      <alignment vertical="center"/>
    </xf>
    <xf borderId="0" fillId="2" fontId="17" numFmtId="0" xfId="0" applyAlignment="1" applyFont="1">
      <alignment readingOrder="0" shrinkToFit="0" vertical="center" wrapText="0"/>
    </xf>
    <xf borderId="0" fillId="2" fontId="16" numFmtId="0" xfId="0" applyAlignment="1" applyFont="1">
      <alignment horizontal="right" readingOrder="0" shrinkToFit="0" vertical="center" wrapText="0"/>
    </xf>
    <xf borderId="0" fillId="0" fontId="16" numFmtId="0" xfId="0" applyAlignment="1" applyFont="1">
      <alignment horizontal="right" readingOrder="0" shrinkToFit="0" vertical="center" wrapText="0"/>
    </xf>
    <xf borderId="0" fillId="18" fontId="18" numFmtId="0" xfId="0" applyAlignment="1" applyFont="1">
      <alignment horizontal="left" readingOrder="0" shrinkToFit="0" vertical="center" wrapText="0"/>
    </xf>
    <xf borderId="0" fillId="18" fontId="16" numFmtId="0" xfId="0" applyAlignment="1" applyFont="1">
      <alignment readingOrder="0" shrinkToFit="0" vertical="center" wrapText="0"/>
    </xf>
    <xf borderId="0" fillId="18" fontId="16" numFmtId="0" xfId="0" applyAlignment="1" applyFont="1">
      <alignment horizontal="center" readingOrder="0" shrinkToFit="0" vertical="center" wrapText="0"/>
    </xf>
    <xf borderId="0" fillId="18" fontId="1" numFmtId="0" xfId="0" applyAlignment="1" applyFont="1">
      <alignment horizontal="right" readingOrder="0" vertical="center"/>
    </xf>
    <xf borderId="0" fillId="2" fontId="19" numFmtId="0" xfId="0" applyAlignment="1" applyFont="1">
      <alignment horizontal="center" shrinkToFit="0" vertical="center" wrapText="1"/>
    </xf>
    <xf borderId="0" fillId="2" fontId="17" numFmtId="0" xfId="0" applyAlignment="1" applyFont="1">
      <alignment horizontal="center" readingOrder="0" shrinkToFit="0" vertical="center" wrapText="1"/>
    </xf>
    <xf borderId="0" fillId="18" fontId="20"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18" fontId="17" numFmtId="0" xfId="0" applyAlignment="1" applyFont="1">
      <alignment horizontal="center" readingOrder="0" shrinkToFit="0" vertical="center" wrapText="1"/>
    </xf>
    <xf borderId="0" fillId="0" fontId="17" numFmtId="0" xfId="0" applyAlignment="1" applyFont="1">
      <alignment readingOrder="0" shrinkToFit="0" vertical="center" wrapText="0"/>
    </xf>
    <xf borderId="0" fillId="0" fontId="16" numFmtId="0" xfId="0" applyAlignment="1" applyFont="1">
      <alignment horizontal="center" readingOrder="0" shrinkToFit="0" vertical="center" wrapText="0"/>
    </xf>
    <xf borderId="0" fillId="2" fontId="16" numFmtId="0" xfId="0" applyAlignment="1" applyFont="1">
      <alignment horizontal="right" readingOrder="0" shrinkToFit="0" vertical="center" wrapText="0"/>
    </xf>
    <xf borderId="0" fillId="18" fontId="16" numFmtId="165" xfId="0" applyAlignment="1" applyFont="1" applyNumberFormat="1">
      <alignment horizontal="center" readingOrder="0" shrinkToFit="0" vertical="center" wrapText="0"/>
    </xf>
    <xf borderId="0" fillId="10" fontId="16" numFmtId="165" xfId="0" applyAlignment="1" applyFont="1" applyNumberFormat="1">
      <alignment horizontal="center" readingOrder="0" shrinkToFit="0" vertical="center" wrapText="0"/>
    </xf>
    <xf borderId="0" fillId="2" fontId="16" numFmtId="165" xfId="0" applyAlignment="1" applyFont="1" applyNumberFormat="1">
      <alignment horizontal="center" readingOrder="0" shrinkToFit="0" vertical="center" wrapText="0"/>
    </xf>
    <xf borderId="0" fillId="10" fontId="1" numFmtId="165" xfId="0" applyAlignment="1" applyFont="1" applyNumberFormat="1">
      <alignment horizontal="center" vertical="center"/>
    </xf>
    <xf borderId="0" fillId="22" fontId="1" numFmtId="165" xfId="0" applyAlignment="1" applyFill="1" applyFont="1" applyNumberFormat="1">
      <alignment horizontal="center" vertical="center"/>
    </xf>
    <xf borderId="0" fillId="4" fontId="1" numFmtId="165" xfId="0" applyAlignment="1" applyFont="1" applyNumberFormat="1">
      <alignment horizontal="center" vertical="center"/>
    </xf>
    <xf borderId="0" fillId="2" fontId="16" numFmtId="11" xfId="0" applyAlignment="1" applyFont="1" applyNumberFormat="1">
      <alignment horizontal="right" readingOrder="0" shrinkToFit="0" vertical="center" wrapText="0"/>
    </xf>
    <xf borderId="0" fillId="2" fontId="1" numFmtId="11" xfId="0" applyAlignment="1" applyFont="1" applyNumberFormat="1">
      <alignment vertical="center"/>
    </xf>
    <xf borderId="0" fillId="0" fontId="16" numFmtId="11" xfId="0" applyAlignment="1" applyFont="1" applyNumberFormat="1">
      <alignment horizontal="center" readingOrder="0" shrinkToFit="0" vertical="center" wrapText="0"/>
    </xf>
    <xf borderId="0" fillId="2" fontId="17" numFmtId="0" xfId="0" applyAlignment="1" applyFont="1">
      <alignment horizontal="right" readingOrder="0" shrinkToFit="0" vertical="center" wrapText="0"/>
    </xf>
    <xf borderId="0" fillId="18" fontId="17" numFmtId="0" xfId="0" applyAlignment="1" applyFont="1">
      <alignment horizontal="right" readingOrder="0" shrinkToFit="0" vertical="center" wrapText="0"/>
    </xf>
    <xf borderId="0" fillId="0" fontId="17" numFmtId="0" xfId="0" applyAlignment="1" applyFont="1">
      <alignment horizontal="center" readingOrder="0" shrinkToFit="0" vertical="center" wrapText="0"/>
    </xf>
    <xf borderId="0" fillId="0" fontId="19" numFmtId="0" xfId="0" applyAlignment="1" applyFont="1">
      <alignment horizontal="center" readingOrder="0" shrinkToFit="0" vertical="center" wrapText="0"/>
    </xf>
    <xf borderId="0" fillId="2" fontId="21" numFmtId="0" xfId="0" applyAlignment="1" applyFont="1">
      <alignment horizontal="center" readingOrder="0" shrinkToFit="0" vertical="center" wrapText="0"/>
    </xf>
    <xf borderId="0" fillId="2" fontId="19" numFmtId="0" xfId="0" applyAlignment="1" applyFont="1">
      <alignment horizontal="center" readingOrder="0" shrinkToFit="0" vertical="center" wrapText="0"/>
    </xf>
    <xf borderId="0" fillId="0" fontId="2" numFmtId="0" xfId="0" applyAlignment="1" applyFont="1">
      <alignment horizontal="center" vertical="center"/>
    </xf>
    <xf borderId="0" fillId="2" fontId="17" numFmtId="0" xfId="0" applyAlignment="1" applyFont="1">
      <alignment horizontal="center" readingOrder="0" shrinkToFit="0" vertical="center" wrapText="0"/>
    </xf>
    <xf borderId="0" fillId="18" fontId="9" numFmtId="0" xfId="0" applyAlignment="1" applyFont="1">
      <alignment horizontal="center" readingOrder="0" vertical="center"/>
    </xf>
    <xf borderId="0" fillId="18" fontId="17" numFmtId="0" xfId="0" applyAlignment="1" applyFont="1">
      <alignment horizontal="center" readingOrder="0" shrinkToFit="0" vertical="center" wrapText="0"/>
    </xf>
    <xf borderId="0" fillId="18" fontId="2" numFmtId="0" xfId="0" applyAlignment="1" applyFont="1">
      <alignment horizontal="center" vertical="center"/>
    </xf>
    <xf borderId="0" fillId="18" fontId="17" numFmtId="0" xfId="0" applyAlignment="1" applyFont="1">
      <alignment horizontal="center" shrinkToFit="0" vertical="center" wrapText="0"/>
    </xf>
    <xf borderId="0" fillId="2" fontId="1" numFmtId="0" xfId="0" applyAlignment="1" applyFont="1">
      <alignment horizontal="center" vertical="center"/>
    </xf>
    <xf borderId="0" fillId="2" fontId="22" numFmtId="0" xfId="0" applyAlignment="1" applyFont="1">
      <alignment horizontal="center" vertical="center"/>
    </xf>
    <xf borderId="0" fillId="2" fontId="22" numFmtId="0" xfId="0" applyAlignment="1" applyFont="1">
      <alignment horizontal="center" readingOrder="0" vertical="center"/>
    </xf>
    <xf borderId="0" fillId="0" fontId="22" numFmtId="0" xfId="0" applyAlignment="1" applyFont="1">
      <alignment horizontal="center" readingOrder="0" vertical="center"/>
    </xf>
    <xf borderId="0" fillId="0" fontId="2" numFmtId="0" xfId="0" applyAlignment="1" applyFont="1">
      <alignment horizontal="center" readingOrder="0" vertical="center"/>
    </xf>
    <xf borderId="0" fillId="0" fontId="1" numFmtId="0" xfId="0" applyAlignment="1" applyFont="1">
      <alignment horizontal="left" readingOrder="0" vertical="top"/>
    </xf>
    <xf borderId="0" fillId="0" fontId="2" numFmtId="0" xfId="0" applyAlignment="1" applyFont="1">
      <alignment horizontal="left" readingOrder="0" vertical="top"/>
    </xf>
    <xf borderId="0" fillId="0" fontId="1" numFmtId="0" xfId="0" applyAlignment="1" applyFont="1">
      <alignment horizontal="left" readingOrder="0" vertical="top"/>
    </xf>
    <xf borderId="0" fillId="2" fontId="1" numFmtId="0" xfId="0" applyAlignment="1" applyFont="1">
      <alignment horizontal="left" vertical="top"/>
    </xf>
    <xf borderId="0" fillId="2" fontId="1" numFmtId="0" xfId="0" applyAlignment="1" applyFont="1">
      <alignment horizontal="left" shrinkToFit="0" vertical="top" wrapText="1"/>
    </xf>
    <xf borderId="0" fillId="0" fontId="2" numFmtId="0" xfId="0" applyAlignment="1" applyFont="1">
      <alignment horizontal="left" readingOrder="0" shrinkToFit="0" vertical="top" wrapText="1"/>
    </xf>
    <xf borderId="0" fillId="0" fontId="1" numFmtId="0" xfId="0" applyAlignment="1" applyFont="1">
      <alignment horizontal="left" readingOrder="0" shrinkToFit="0" vertical="top" wrapText="1"/>
    </xf>
    <xf quotePrefix="1" borderId="0" fillId="0" fontId="2" numFmtId="0" xfId="0" applyAlignment="1" applyFont="1">
      <alignment horizontal="left" readingOrder="0" shrinkToFit="0" vertical="top" wrapText="1"/>
    </xf>
    <xf borderId="0" fillId="2" fontId="1" numFmtId="0" xfId="0" applyAlignment="1" applyFont="1">
      <alignment horizontal="center" shrinkToFit="0" vertical="center" wrapText="1"/>
    </xf>
    <xf borderId="0" fillId="2" fontId="1" numFmtId="0" xfId="0" applyAlignment="1" applyFont="1">
      <alignment horizontal="center" readingOrder="0" shrinkToFit="0" vertical="center" wrapText="1"/>
    </xf>
    <xf borderId="0" fillId="2" fontId="12" numFmtId="0" xfId="0" applyAlignment="1" applyFont="1">
      <alignment vertical="center"/>
    </xf>
    <xf borderId="0" fillId="18" fontId="1" numFmtId="0" xfId="0" applyAlignment="1" applyFont="1">
      <alignment horizontal="right" vertical="center"/>
    </xf>
    <xf borderId="0" fillId="18" fontId="12" numFmtId="0" xfId="0" applyAlignment="1" applyFont="1">
      <alignment vertical="center"/>
    </xf>
    <xf borderId="0" fillId="2" fontId="20" numFmtId="0" xfId="0" applyAlignment="1" applyFont="1">
      <alignment horizontal="center" readingOrder="0" shrinkToFit="0" vertical="center" wrapText="1"/>
    </xf>
    <xf borderId="0" fillId="18" fontId="2" numFmtId="0" xfId="0" applyAlignment="1" applyFont="1">
      <alignment horizontal="center" readingOrder="0" shrinkToFit="0" vertical="center" wrapText="1"/>
    </xf>
    <xf borderId="0" fillId="18" fontId="2" numFmtId="0" xfId="0" applyAlignment="1" applyFont="1">
      <alignment horizontal="center" shrinkToFit="0" vertical="center" wrapText="1"/>
    </xf>
    <xf borderId="0" fillId="0" fontId="20" numFmtId="0" xfId="0" applyAlignment="1" applyFont="1">
      <alignment horizontal="center" readingOrder="0" shrinkToFit="0" vertical="center" wrapText="1"/>
    </xf>
    <xf borderId="0" fillId="18" fontId="16" numFmtId="2" xfId="0" applyAlignment="1" applyFont="1" applyNumberFormat="1">
      <alignment horizontal="center" readingOrder="0" shrinkToFit="0" vertical="center" wrapText="0"/>
    </xf>
    <xf borderId="0" fillId="10" fontId="1" numFmtId="165" xfId="0" applyAlignment="1" applyFont="1" applyNumberFormat="1">
      <alignment horizontal="center"/>
    </xf>
    <xf borderId="0" fillId="2" fontId="12" numFmtId="0" xfId="0" applyFont="1"/>
    <xf borderId="0" fillId="22" fontId="1" numFmtId="165" xfId="0" applyAlignment="1" applyFont="1" applyNumberFormat="1">
      <alignment horizontal="center"/>
    </xf>
    <xf borderId="0" fillId="4" fontId="1" numFmtId="165" xfId="0" applyAlignment="1" applyFont="1" applyNumberFormat="1">
      <alignment horizontal="center"/>
    </xf>
    <xf borderId="0" fillId="2" fontId="12" numFmtId="11" xfId="0" applyFont="1" applyNumberFormat="1"/>
    <xf borderId="0" fillId="2" fontId="12" numFmtId="11" xfId="0" applyAlignment="1" applyFont="1" applyNumberFormat="1">
      <alignment vertical="center"/>
    </xf>
    <xf borderId="0" fillId="2" fontId="1" numFmtId="0" xfId="0" applyAlignment="1" applyFont="1">
      <alignment horizontal="center" vertical="center"/>
    </xf>
    <xf borderId="0" fillId="18" fontId="2" numFmtId="0" xfId="0" applyAlignment="1" applyFont="1">
      <alignment horizontal="center" readingOrder="0" vertical="center"/>
    </xf>
    <xf borderId="0" fillId="18" fontId="1" numFmtId="0" xfId="0" applyAlignment="1" applyFont="1">
      <alignment horizontal="center" vertical="center"/>
    </xf>
    <xf borderId="0" fillId="2" fontId="23" numFmtId="0" xfId="0" applyAlignment="1" applyFont="1">
      <alignment horizontal="center" vertical="center"/>
    </xf>
    <xf borderId="0" fillId="2" fontId="1" numFmtId="0" xfId="0" applyAlignment="1" applyFont="1">
      <alignment readingOrder="0"/>
    </xf>
    <xf borderId="0" fillId="2" fontId="1" numFmtId="0" xfId="0" applyFont="1"/>
    <xf borderId="0" fillId="18" fontId="1" numFmtId="0" xfId="0" applyAlignment="1" applyFont="1">
      <alignment horizontal="right" readingOrder="0"/>
    </xf>
    <xf borderId="0" fillId="2" fontId="23" numFmtId="0" xfId="0" applyFont="1"/>
    <xf borderId="10" fillId="2" fontId="16" numFmtId="0" xfId="0" applyAlignment="1" applyBorder="1" applyFont="1">
      <alignment horizontal="right" readingOrder="0" shrinkToFit="0" vertical="center" wrapText="0"/>
    </xf>
    <xf borderId="0" fillId="21" fontId="24" numFmtId="0" xfId="0" applyAlignment="1" applyFont="1">
      <alignment horizontal="center" readingOrder="0" shrinkToFit="0" vertical="center" wrapText="0"/>
    </xf>
    <xf borderId="0" fillId="18" fontId="21" numFmtId="0" xfId="0" applyAlignment="1" applyFont="1">
      <alignment horizontal="center" readingOrder="0" shrinkToFit="0" vertical="center" wrapText="0"/>
    </xf>
    <xf borderId="10" fillId="2" fontId="17" numFmtId="0" xfId="0" applyAlignment="1" applyBorder="1" applyFont="1">
      <alignment horizontal="center" readingOrder="0" shrinkToFit="0" vertical="center" wrapText="0"/>
    </xf>
    <xf borderId="10" fillId="2" fontId="25" numFmtId="0" xfId="0" applyAlignment="1" applyBorder="1" applyFont="1">
      <alignment horizontal="center"/>
    </xf>
    <xf borderId="10" fillId="2" fontId="19" numFmtId="0" xfId="0" applyAlignment="1" applyBorder="1" applyFont="1">
      <alignment horizontal="center" readingOrder="0" shrinkToFit="0" vertical="center" wrapText="0"/>
    </xf>
    <xf borderId="0" fillId="0" fontId="2" numFmtId="0" xfId="0" applyAlignment="1" applyFont="1">
      <alignment horizontal="center"/>
    </xf>
    <xf borderId="11" fillId="2" fontId="25" numFmtId="0" xfId="0" applyAlignment="1" applyBorder="1" applyFont="1">
      <alignment horizontal="center"/>
    </xf>
    <xf borderId="0" fillId="0" fontId="15" numFmtId="0" xfId="0" applyAlignment="1" applyFont="1">
      <alignment shrinkToFit="0" wrapText="0"/>
    </xf>
    <xf borderId="0" fillId="23" fontId="15" numFmtId="0" xfId="0" applyAlignment="1" applyFill="1" applyFont="1">
      <alignment horizontal="center"/>
    </xf>
    <xf borderId="0" fillId="4" fontId="15" numFmtId="0" xfId="0" applyAlignment="1" applyFont="1">
      <alignment horizontal="center"/>
    </xf>
    <xf borderId="0" fillId="22" fontId="15" numFmtId="0" xfId="0" applyAlignment="1" applyFont="1">
      <alignment horizontal="center"/>
    </xf>
  </cellXfs>
  <cellStyles count="1">
    <cellStyle xfId="0" name="Normal" builtinId="0"/>
  </cellStyles>
  <dxfs count="30">
    <dxf>
      <font>
        <b/>
        <color rgb="FFFFFFFF"/>
      </font>
      <fill>
        <patternFill patternType="solid">
          <fgColor rgb="FFCC0000"/>
          <bgColor rgb="FFCC0000"/>
        </patternFill>
      </fill>
      <border/>
    </dxf>
    <dxf>
      <font>
        <color rgb="FF000000"/>
      </font>
      <fill>
        <patternFill patternType="solid">
          <fgColor rgb="FFE6B8AF"/>
          <bgColor rgb="FFE6B8AF"/>
        </patternFill>
      </fill>
      <border/>
    </dxf>
    <dxf>
      <font>
        <color rgb="FF000000"/>
      </font>
      <fill>
        <patternFill patternType="solid">
          <fgColor rgb="FFF4CCCC"/>
          <bgColor rgb="FFF4CCCC"/>
        </patternFill>
      </fill>
      <border/>
    </dxf>
    <dxf>
      <font>
        <color rgb="FF000000"/>
      </font>
      <fill>
        <patternFill patternType="solid">
          <fgColor rgb="FFFCE5CD"/>
          <bgColor rgb="FFFCE5CD"/>
        </patternFill>
      </fill>
      <border/>
    </dxf>
    <dxf>
      <font>
        <color rgb="FF000000"/>
      </font>
      <fill>
        <patternFill patternType="solid">
          <fgColor rgb="FFFFF2CC"/>
          <bgColor rgb="FFFFF2CC"/>
        </patternFill>
      </fill>
      <border/>
    </dxf>
    <dxf>
      <font>
        <color rgb="FF000000"/>
      </font>
      <fill>
        <patternFill patternType="solid">
          <fgColor rgb="FFD9EAD3"/>
          <bgColor rgb="FFD9EAD3"/>
        </patternFill>
      </fill>
      <border/>
    </dxf>
    <dxf>
      <font>
        <color rgb="FF000000"/>
      </font>
      <fill>
        <patternFill patternType="solid">
          <fgColor rgb="FFD0E0E3"/>
          <bgColor rgb="FFD0E0E3"/>
        </patternFill>
      </fill>
      <border/>
    </dxf>
    <dxf>
      <font>
        <color rgb="FF000000"/>
      </font>
      <fill>
        <patternFill patternType="solid">
          <fgColor rgb="FFC9DAF8"/>
          <bgColor rgb="FFC9DAF8"/>
        </patternFill>
      </fill>
      <border/>
    </dxf>
    <dxf>
      <font>
        <color rgb="FF000000"/>
      </font>
      <fill>
        <patternFill patternType="solid">
          <fgColor rgb="FFCFE2F3"/>
          <bgColor rgb="FFCFE2F3"/>
        </patternFill>
      </fill>
      <border/>
    </dxf>
    <dxf>
      <font>
        <color rgb="FF000000"/>
      </font>
      <fill>
        <patternFill patternType="solid">
          <fgColor rgb="FFD9D2E9"/>
          <bgColor rgb="FFD9D2E9"/>
        </patternFill>
      </fill>
      <border/>
    </dxf>
    <dxf>
      <font>
        <color rgb="FF000000"/>
      </font>
      <fill>
        <patternFill patternType="solid">
          <fgColor rgb="FFEAD1DC"/>
          <bgColor rgb="FFEAD1DC"/>
        </patternFill>
      </fill>
      <border/>
    </dxf>
    <dxf>
      <font>
        <color rgb="FF000000"/>
      </font>
      <fill>
        <patternFill patternType="solid">
          <fgColor rgb="FFEA9999"/>
          <bgColor rgb="FFEA9999"/>
        </patternFill>
      </fill>
      <border/>
    </dxf>
    <dxf>
      <font>
        <color rgb="FF000000"/>
      </font>
      <fill>
        <patternFill patternType="solid">
          <fgColor rgb="FFF9CB9C"/>
          <bgColor rgb="FFF9CB9C"/>
        </patternFill>
      </fill>
      <border/>
    </dxf>
    <dxf>
      <font>
        <color rgb="FF000000"/>
      </font>
      <fill>
        <patternFill patternType="solid">
          <fgColor rgb="FFFFE599"/>
          <bgColor rgb="FFFFE599"/>
        </patternFill>
      </fill>
      <border/>
    </dxf>
    <dxf>
      <font>
        <color rgb="FF000000"/>
      </font>
      <fill>
        <patternFill patternType="solid">
          <fgColor rgb="FFB6D7A8"/>
          <bgColor rgb="FFB6D7A8"/>
        </patternFill>
      </fill>
      <border/>
    </dxf>
    <dxf>
      <font>
        <color rgb="FF000000"/>
      </font>
      <fill>
        <patternFill patternType="solid">
          <fgColor rgb="FFA2C4C9"/>
          <bgColor rgb="FFA2C4C9"/>
        </patternFill>
      </fill>
      <border/>
    </dxf>
    <dxf>
      <font/>
      <fill>
        <patternFill patternType="solid">
          <fgColor rgb="FF000000"/>
          <bgColor rgb="FF000000"/>
        </patternFill>
      </fill>
      <border/>
    </dxf>
    <dxf>
      <font>
        <b/>
        <color rgb="FFFF9900"/>
      </font>
      <fill>
        <patternFill patternType="solid">
          <fgColor rgb="FFEFEFEF"/>
          <bgColor rgb="FFEFEFEF"/>
        </patternFill>
      </fill>
      <border/>
    </dxf>
    <dxf>
      <font>
        <b/>
        <color rgb="FFFF0000"/>
      </font>
      <fill>
        <patternFill patternType="solid">
          <fgColor rgb="FFEFEFEF"/>
          <bgColor rgb="FFEFEFEF"/>
        </patternFill>
      </fill>
      <border/>
    </dxf>
    <dxf>
      <font>
        <color rgb="FF999999"/>
      </font>
      <fill>
        <patternFill patternType="solid">
          <fgColor rgb="FFEFEFEF"/>
          <bgColor rgb="FFEFEFEF"/>
        </patternFill>
      </fill>
      <border/>
    </dxf>
    <dxf>
      <font>
        <b/>
        <color rgb="FFFF0000"/>
      </font>
      <fill>
        <patternFill patternType="none"/>
      </fill>
      <border/>
    </dxf>
    <dxf>
      <font>
        <b/>
        <color rgb="FFFF9900"/>
      </font>
      <fill>
        <patternFill patternType="none"/>
      </fill>
      <border/>
    </dxf>
    <dxf>
      <font/>
      <fill>
        <patternFill patternType="solid">
          <fgColor rgb="FFB7E1CD"/>
          <bgColor rgb="FFB7E1CD"/>
        </patternFill>
      </fill>
      <border/>
    </dxf>
    <dxf>
      <font/>
      <fill>
        <patternFill patternType="solid">
          <fgColor rgb="FFF4CCCC"/>
          <bgColor rgb="FFF4CCCC"/>
        </patternFill>
      </fill>
      <border/>
    </dxf>
    <dxf>
      <font/>
      <fill>
        <patternFill patternType="solid">
          <fgColor rgb="FFCFE2F3"/>
          <bgColor rgb="FFCFE2F3"/>
        </patternFill>
      </fill>
      <border/>
    </dxf>
    <dxf>
      <font/>
      <fill>
        <patternFill patternType="solid">
          <fgColor rgb="FFFFF2CC"/>
          <bgColor rgb="FFFFF2CC"/>
        </patternFill>
      </fill>
      <border/>
    </dxf>
    <dxf>
      <font/>
      <fill>
        <patternFill patternType="solid">
          <fgColor rgb="FFFCE5CD"/>
          <bgColor rgb="FFFCE5CD"/>
        </patternFill>
      </fill>
      <border/>
    </dxf>
    <dxf>
      <font>
        <color rgb="FF666666"/>
      </font>
      <fill>
        <patternFill patternType="solid">
          <fgColor rgb="FFEFEFEF"/>
          <bgColor rgb="FFEFEFEF"/>
        </patternFill>
      </fill>
      <border/>
    </dxf>
    <dxf>
      <font>
        <b/>
        <color rgb="FF666666"/>
      </font>
      <fill>
        <patternFill patternType="solid">
          <fgColor rgb="FFEFEFEF"/>
          <bgColor rgb="FFEFEFEF"/>
        </patternFill>
      </fill>
      <border/>
    </dxf>
    <dxf>
      <font>
        <color rgb="FF000000"/>
      </font>
      <fill>
        <patternFill patternType="solid">
          <fgColor rgb="FFFFFFFF"/>
          <bgColor rgb="FFFFFFFF"/>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[KMeans] FS2 Elbow Cluster Share</a:t>
            </a:r>
          </a:p>
        </c:rich>
      </c:tx>
      <c:overlay val="0"/>
    </c:title>
    <c:plotArea>
      <c:layout/>
      <c:pieChart>
        <c:varyColors val="1"/>
        <c:ser>
          <c:idx val="0"/>
          <c:order val="0"/>
          <c:tx>
            <c:strRef>
              <c:f>'KMeans FS2 Elbow'!$BD$3</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Lbls>
            <c:showLegendKey val="0"/>
            <c:showVal val="0"/>
            <c:showCatName val="0"/>
            <c:showSerName val="0"/>
            <c:showPercent val="1"/>
            <c:showBubbleSize val="0"/>
            <c:showLeaderLines val="1"/>
          </c:dLbls>
          <c:cat>
            <c:strRef>
              <c:f>'KMeans FS2 Elbow'!$J$4:$J$9</c:f>
            </c:strRef>
          </c:cat>
          <c:val>
            <c:numRef>
              <c:f>'KMeans FS2 Elbow'!$BD$4:$BD$9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[AffProg] FS1 Davies Cluster Share</a:t>
            </a:r>
          </a:p>
        </c:rich>
      </c:tx>
      <c:overlay val="0"/>
    </c:title>
    <c:plotArea>
      <c:layout/>
      <c:pieChart>
        <c:varyColors val="1"/>
        <c:ser>
          <c:idx val="0"/>
          <c:order val="0"/>
          <c:tx>
            <c:strRef>
              <c:f>'AffProg FS1 Davies'!$BD$3</c:f>
            </c:strRef>
          </c:tx>
          <c:dPt>
            <c:idx val="0"/>
            <c:explosion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Lbls>
            <c:showLegendKey val="0"/>
            <c:showVal val="0"/>
            <c:showCatName val="0"/>
            <c:showSerName val="0"/>
            <c:showPercent val="1"/>
            <c:showBubbleSize val="0"/>
            <c:showLeaderLines val="1"/>
          </c:dLbls>
          <c:cat>
            <c:strRef>
              <c:f>'AffProg FS1 Davies'!$J$4:$J$17</c:f>
            </c:strRef>
          </c:cat>
          <c:val>
            <c:numRef>
              <c:f>'AffProg FS1 Davies'!$BD$4:$BD$17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[AffProg] FS1 Silhouette Cluster Share</a:t>
            </a:r>
          </a:p>
        </c:rich>
      </c:tx>
      <c:overlay val="0"/>
    </c:title>
    <c:plotArea>
      <c:layout/>
      <c:pieChart>
        <c:varyColors val="1"/>
        <c:ser>
          <c:idx val="0"/>
          <c:order val="0"/>
          <c:tx>
            <c:strRef>
              <c:f>'AffProg FS1 Silhouette'!$BD$3</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Lbls>
            <c:showLegendKey val="0"/>
            <c:showVal val="0"/>
            <c:showCatName val="0"/>
            <c:showSerName val="0"/>
            <c:showPercent val="1"/>
            <c:showBubbleSize val="0"/>
            <c:showLeaderLines val="1"/>
          </c:dLbls>
          <c:cat>
            <c:strRef>
              <c:f>'AffProg FS1 Silhouette'!$J$4:$J$10</c:f>
            </c:strRef>
          </c:cat>
          <c:val>
            <c:numRef>
              <c:f>'AffProg FS1 Silhouette'!$BD$4:$BD$10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[AffProg] FS2 Davies Cluster Share</a:t>
            </a:r>
          </a:p>
        </c:rich>
      </c:tx>
      <c:overlay val="0"/>
    </c:title>
    <c:plotArea>
      <c:layout/>
      <c:pieChart>
        <c:varyColors val="1"/>
        <c:ser>
          <c:idx val="0"/>
          <c:order val="0"/>
          <c:tx>
            <c:strRef>
              <c:f>'AffProg FS2 Davies'!$BD$3</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Lbls>
            <c:showLegendKey val="0"/>
            <c:showVal val="0"/>
            <c:showCatName val="0"/>
            <c:showSerName val="0"/>
            <c:showPercent val="1"/>
            <c:showBubbleSize val="0"/>
            <c:showLeaderLines val="1"/>
          </c:dLbls>
          <c:cat>
            <c:strRef>
              <c:f>'AffProg FS2 Davies'!$J$4:$J$21</c:f>
            </c:strRef>
          </c:cat>
          <c:val>
            <c:numRef>
              <c:f>'AffProg FS2 Davies'!$BD$4:$BD$21</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[AffProg] FS2 Silhouette Cluster Share</a:t>
            </a:r>
          </a:p>
        </c:rich>
      </c:tx>
      <c:overlay val="0"/>
    </c:title>
    <c:plotArea>
      <c:layout/>
      <c:pieChart>
        <c:varyColors val="1"/>
        <c:ser>
          <c:idx val="0"/>
          <c:order val="0"/>
          <c:tx>
            <c:strRef>
              <c:f>'AffProg FS2 Silhouette'!$BD$3</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Lbls>
            <c:showLegendKey val="0"/>
            <c:showVal val="0"/>
            <c:showCatName val="0"/>
            <c:showSerName val="0"/>
            <c:showPercent val="1"/>
            <c:showBubbleSize val="0"/>
            <c:showLeaderLines val="1"/>
          </c:dLbls>
          <c:cat>
            <c:strRef>
              <c:f>'AffProg FS2 Silhouette'!$J$4:$J$14</c:f>
            </c:strRef>
          </c:cat>
          <c:val>
            <c:numRef>
              <c:f>'AffProg FS2 Silhouette'!$BD$4:$BD$14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19050</xdr:colOff>
      <xdr:row>9</xdr:row>
      <xdr:rowOff>57150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18</xdr:row>
      <xdr:rowOff>9525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190500</xdr:colOff>
      <xdr:row>10</xdr:row>
      <xdr:rowOff>95250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190500</xdr:colOff>
      <xdr:row>21</xdr:row>
      <xdr:rowOff>47625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14</xdr:row>
      <xdr:rowOff>76200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rive.google.com/open?id=1jQfpHiCNcLUiD5UNl3oWoHZ1XpHzVSUn&amp;usp=drive_copy" TargetMode="External"/><Relationship Id="rId42" Type="http://schemas.openxmlformats.org/officeDocument/2006/relationships/hyperlink" Target="https://drive.google.com/open?id=1wxog7p8vQcqtcNqPxmYF3lMoZvt2d8s1&amp;usp=drive_copy" TargetMode="External"/><Relationship Id="rId41" Type="http://schemas.openxmlformats.org/officeDocument/2006/relationships/hyperlink" Target="https://drive.google.com/open?id=1jbMgY--TeXE1AvSljRdnGzOz2KzBkhdr&amp;usp=drive_copy" TargetMode="External"/><Relationship Id="rId44" Type="http://schemas.openxmlformats.org/officeDocument/2006/relationships/hyperlink" Target="https://drive.google.com/open?id=1KzPd8MWsRoAebrcj-VslGWi0OdIZcEQO&amp;usp=drive_copy" TargetMode="External"/><Relationship Id="rId43" Type="http://schemas.openxmlformats.org/officeDocument/2006/relationships/hyperlink" Target="https://drive.google.com/open?id=1xkOhhMnGyboLjUdS-4xZsi5j1ODsfXhv&amp;usp=drive_copy" TargetMode="External"/><Relationship Id="rId46" Type="http://schemas.openxmlformats.org/officeDocument/2006/relationships/hyperlink" Target="https://drive.google.com/open?id=1NyqXiZeltcQD89EAl-5RXs47IOnOYhe9&amp;usp=drive_copy" TargetMode="External"/><Relationship Id="rId45" Type="http://schemas.openxmlformats.org/officeDocument/2006/relationships/hyperlink" Target="https://drive.google.com/open?id=1ivria04DEiRXkGVABlg7ALVaIMmeLGQY&amp;usp=drive_copy" TargetMode="External"/><Relationship Id="rId1" Type="http://schemas.openxmlformats.org/officeDocument/2006/relationships/comments" Target="../comments1.xml"/><Relationship Id="rId2" Type="http://schemas.openxmlformats.org/officeDocument/2006/relationships/hyperlink" Target="https://drive.google.com/open?id=1W86NhTx6I2hsw56EAcW6RGH8B6vNMAi5&amp;usp=drive_copy" TargetMode="External"/><Relationship Id="rId3" Type="http://schemas.openxmlformats.org/officeDocument/2006/relationships/hyperlink" Target="https://drive.google.com/open?id=1vNOdGpqJ0BM5VcIJa1uI_eOtkoyevbBw&amp;usp=drive_copy" TargetMode="External"/><Relationship Id="rId4" Type="http://schemas.openxmlformats.org/officeDocument/2006/relationships/hyperlink" Target="https://drive.google.com/open?id=1IhIQTN5RoB2y1dIUxZ0s5ScL2wPc0Woi&amp;usp=drive_copy" TargetMode="External"/><Relationship Id="rId9" Type="http://schemas.openxmlformats.org/officeDocument/2006/relationships/hyperlink" Target="https://drive.google.com/open?id=178UolXUe3PAAjN6aFmYTWFuAzBWrUIAb&amp;usp=drive_copy" TargetMode="External"/><Relationship Id="rId48" Type="http://schemas.openxmlformats.org/officeDocument/2006/relationships/hyperlink" Target="https://drive.google.com/open?id=1-uetMjslnRpRryhdfcQkilqszRQErn-w&amp;usp=drive_copy" TargetMode="External"/><Relationship Id="rId47" Type="http://schemas.openxmlformats.org/officeDocument/2006/relationships/hyperlink" Target="https://drive.google.com/open?id=1-XOJcUk-JH7Uq0nPI7DAK08Bssx4Oadr&amp;usp=drive_copy" TargetMode="External"/><Relationship Id="rId49" Type="http://schemas.openxmlformats.org/officeDocument/2006/relationships/hyperlink" Target="https://drive.google.com/open?id=1vRMURxZ7Rc6jzwUierdjm6XCSC49Fuj8&amp;usp=drive_copy" TargetMode="External"/><Relationship Id="rId5" Type="http://schemas.openxmlformats.org/officeDocument/2006/relationships/hyperlink" Target="https://drive.google.com/open?id=1DRxqwQt_SZnLxSl3uB8bIdyS20bCyCia&amp;usp=drive_copy" TargetMode="External"/><Relationship Id="rId6" Type="http://schemas.openxmlformats.org/officeDocument/2006/relationships/hyperlink" Target="https://drive.google.com/open?id=1KuCAL2WFWc1TzdlRmARpZje1q-otj7Bi&amp;usp=drive_copy" TargetMode="External"/><Relationship Id="rId7" Type="http://schemas.openxmlformats.org/officeDocument/2006/relationships/hyperlink" Target="https://drive.google.com/open?id=1wbYpZ3mrZgTNZxCCRQ-fR-KAU2-HBFoG&amp;usp=drive_copy" TargetMode="External"/><Relationship Id="rId8" Type="http://schemas.openxmlformats.org/officeDocument/2006/relationships/hyperlink" Target="https://drive.google.com/open?id=1sLMYmOY_hfsmpIgzH2PbMRbIBEV5MibL&amp;usp=drive_copy" TargetMode="External"/><Relationship Id="rId31" Type="http://schemas.openxmlformats.org/officeDocument/2006/relationships/hyperlink" Target="https://drive.google.com/open?id=1GTU25uW7qG-wJIauDF5paC4iEqJpFZ-U&amp;usp=drive_copy" TargetMode="External"/><Relationship Id="rId30" Type="http://schemas.openxmlformats.org/officeDocument/2006/relationships/hyperlink" Target="https://drive.google.com/open?id=1KdfP2jvMVs25JCchXOJgj_ZeyNulyP2i&amp;usp=drive_copy" TargetMode="External"/><Relationship Id="rId33" Type="http://schemas.openxmlformats.org/officeDocument/2006/relationships/hyperlink" Target="https://drive.google.com/open?id=10ouH1Wek5uLVqey4VpP-_gd_yUmE_dip&amp;usp=drive_copy" TargetMode="External"/><Relationship Id="rId32" Type="http://schemas.openxmlformats.org/officeDocument/2006/relationships/hyperlink" Target="https://drive.google.com/open?id=1rVNnFfyH-lDWTYPJTgGC0j8zCNLwXnXQ&amp;usp=drive_copy" TargetMode="External"/><Relationship Id="rId35" Type="http://schemas.openxmlformats.org/officeDocument/2006/relationships/hyperlink" Target="https://drive.google.com/open?id=1pe3XnPCzkL-Hr1VJVVOelyL5UR3nVSuu&amp;usp=drive_copy" TargetMode="External"/><Relationship Id="rId34" Type="http://schemas.openxmlformats.org/officeDocument/2006/relationships/hyperlink" Target="https://drive.google.com/open?id=1zavk9Qvb-TGKVCy1HAYIOr_wignQtqIK&amp;usp=drive_copy" TargetMode="External"/><Relationship Id="rId37" Type="http://schemas.openxmlformats.org/officeDocument/2006/relationships/hyperlink" Target="https://drive.google.com/open?id=1syGUq0O5tTFEKxMX9bx1wQuReuKwJNK3&amp;usp=drive_copy" TargetMode="External"/><Relationship Id="rId36" Type="http://schemas.openxmlformats.org/officeDocument/2006/relationships/hyperlink" Target="https://drive.google.com/open?id=1m6KibrOp_PLTDqWn3Q8Ffz1V-jBHYwgF&amp;usp=drive_copy" TargetMode="External"/><Relationship Id="rId39" Type="http://schemas.openxmlformats.org/officeDocument/2006/relationships/hyperlink" Target="https://drive.google.com/open?id=1fWsUtSRmbh6W-UUKMKiciCus60uMOGum&amp;usp=drive_copy" TargetMode="External"/><Relationship Id="rId38" Type="http://schemas.openxmlformats.org/officeDocument/2006/relationships/hyperlink" Target="https://drive.google.com/open?id=1vUSaOUykzgW7omZInJFz7qtvexsCLDoH&amp;usp=drive_copy" TargetMode="External"/><Relationship Id="rId62" Type="http://schemas.openxmlformats.org/officeDocument/2006/relationships/hyperlink" Target="https://drive.google.com/open?id=14UyfbVtI2UDblI71Qx7wngFm5hi2slW5&amp;usp=drive_copy" TargetMode="External"/><Relationship Id="rId61" Type="http://schemas.openxmlformats.org/officeDocument/2006/relationships/hyperlink" Target="https://drive.google.com/open?id=1abQAvQPLYL3ld6QHm93Y8tsESEB252oE&amp;usp=drive_copy" TargetMode="External"/><Relationship Id="rId20" Type="http://schemas.openxmlformats.org/officeDocument/2006/relationships/hyperlink" Target="https://drive.google.com/open?id=1tcHUyAW2q6y31fzbsrHZILmii-Y8ckOX&amp;usp=drive_copy" TargetMode="External"/><Relationship Id="rId64" Type="http://schemas.openxmlformats.org/officeDocument/2006/relationships/hyperlink" Target="https://drive.google.com/open?id=16Zz0JVfjPFTxQ6BbxUvizcQfQ1V0lLPY&amp;usp=drive_copy" TargetMode="External"/><Relationship Id="rId63" Type="http://schemas.openxmlformats.org/officeDocument/2006/relationships/hyperlink" Target="https://drive.google.com/open?id=1Z-cWZd6lCn1tVW7EUo8QWWzCOaK7crfw&amp;usp=drive_copy" TargetMode="External"/><Relationship Id="rId22" Type="http://schemas.openxmlformats.org/officeDocument/2006/relationships/hyperlink" Target="https://drive.google.com/open?id=1ZRV4piIXgiU8mYe8ghNezPC5RA8o3eZE&amp;usp=drive_copy" TargetMode="External"/><Relationship Id="rId66" Type="http://schemas.openxmlformats.org/officeDocument/2006/relationships/vmlDrawing" Target="../drawings/vmlDrawing1.vml"/><Relationship Id="rId21" Type="http://schemas.openxmlformats.org/officeDocument/2006/relationships/hyperlink" Target="https://drive.google.com/open?id=1IFaPN9mtoCpMmA8h3dkniSauTsHPg7r5&amp;usp=drive_copy" TargetMode="External"/><Relationship Id="rId65" Type="http://schemas.openxmlformats.org/officeDocument/2006/relationships/drawing" Target="../drawings/drawing2.xml"/><Relationship Id="rId24" Type="http://schemas.openxmlformats.org/officeDocument/2006/relationships/hyperlink" Target="https://drive.google.com/open?id=1YQbYevWX2pM2j9dSaM_Pu4V_AsVCgPnc&amp;usp=drive_copy" TargetMode="External"/><Relationship Id="rId23" Type="http://schemas.openxmlformats.org/officeDocument/2006/relationships/hyperlink" Target="https://drive.google.com/open?id=1WUdRc0kkLW0QkfkcC3h988hUVdj5Kb6e&amp;usp=drive_copy" TargetMode="External"/><Relationship Id="rId60" Type="http://schemas.openxmlformats.org/officeDocument/2006/relationships/hyperlink" Target="https://drive.google.com/open?id=1dz_TKeXFZdZETcbrtBulMOS_-jMoj48U&amp;usp=drive_copy" TargetMode="External"/><Relationship Id="rId26" Type="http://schemas.openxmlformats.org/officeDocument/2006/relationships/hyperlink" Target="https://drive.google.com/open?id=1yq5XrddF29cDeSG-UlDvwp3y6Kw6uRdY&amp;usp=drive_copy" TargetMode="External"/><Relationship Id="rId25" Type="http://schemas.openxmlformats.org/officeDocument/2006/relationships/hyperlink" Target="https://drive.google.com/open?id=1SsCibstatffSuExMpoPM_JjbNJovhgme&amp;usp=drive_copy" TargetMode="External"/><Relationship Id="rId28" Type="http://schemas.openxmlformats.org/officeDocument/2006/relationships/hyperlink" Target="https://drive.google.com/open?id=1t60xHaq117aZDPS8DkxoxYUxgxiTx_iH&amp;usp=drive_copy" TargetMode="External"/><Relationship Id="rId27" Type="http://schemas.openxmlformats.org/officeDocument/2006/relationships/hyperlink" Target="https://drive.google.com/open?id=1UAlkv8YMGUsO19xT5vX0bcCBCrrm65uZ&amp;usp=drive_copy" TargetMode="External"/><Relationship Id="rId29" Type="http://schemas.openxmlformats.org/officeDocument/2006/relationships/hyperlink" Target="https://drive.google.com/open?id=11xzS-wT2WVgjN5Sx4ZqB-i_1EncIVVPe&amp;usp=drive_copy" TargetMode="External"/><Relationship Id="rId51" Type="http://schemas.openxmlformats.org/officeDocument/2006/relationships/hyperlink" Target="https://drive.google.com/open?id=1DUvefYcs_lJO_oHGrOBTpWkXhKLBNpyN&amp;usp=drive_copy" TargetMode="External"/><Relationship Id="rId50" Type="http://schemas.openxmlformats.org/officeDocument/2006/relationships/hyperlink" Target="https://drive.google.com/open?id=1BFc3b1eNRJlFfdOvpN0cijMKT--33s44&amp;usp=drive_copy" TargetMode="External"/><Relationship Id="rId53" Type="http://schemas.openxmlformats.org/officeDocument/2006/relationships/hyperlink" Target="https://drive.google.com/open?id=19K-ujr8cmSKuFmzry4bXmTGO2hyF_hVg&amp;usp=drive_copy" TargetMode="External"/><Relationship Id="rId52" Type="http://schemas.openxmlformats.org/officeDocument/2006/relationships/hyperlink" Target="https://drive.google.com/open?id=1nx-u8v4muhHU8oMCiXzubfOSi4JotzED&amp;usp=drive_copy" TargetMode="External"/><Relationship Id="rId11" Type="http://schemas.openxmlformats.org/officeDocument/2006/relationships/hyperlink" Target="https://drive.google.com/open?id=1XPfOcLxoXQW8-aRtTDuRqqa86Hq6FGEX&amp;usp=drive_copy" TargetMode="External"/><Relationship Id="rId55" Type="http://schemas.openxmlformats.org/officeDocument/2006/relationships/hyperlink" Target="https://drive.google.com/open?id=1XYnDuoGBCJUGuWwf6lAOHHaeeZ5ZqB-8&amp;usp=drive_copy" TargetMode="External"/><Relationship Id="rId10" Type="http://schemas.openxmlformats.org/officeDocument/2006/relationships/hyperlink" Target="https://drive.google.com/open?id=1IHsI2bqTkithPyPSDA4XWQntLskZwrVs&amp;usp=drive_copy" TargetMode="External"/><Relationship Id="rId54" Type="http://schemas.openxmlformats.org/officeDocument/2006/relationships/hyperlink" Target="https://drive.google.com/open?id=1secOp7dzwm4v6HMqcW7vBai6HLgy3ISi&amp;usp=drive_copy" TargetMode="External"/><Relationship Id="rId13" Type="http://schemas.openxmlformats.org/officeDocument/2006/relationships/hyperlink" Target="https://drive.google.com/open?id=1mu4PtZ02tjVOO4ArESV4Ol0xHSbEEse1&amp;usp=drive_copy" TargetMode="External"/><Relationship Id="rId57" Type="http://schemas.openxmlformats.org/officeDocument/2006/relationships/hyperlink" Target="https://drive.google.com/open?id=1e6gUFPCnhjCX8C927yCp2yBFOo-2vfdm&amp;usp=drive_copy" TargetMode="External"/><Relationship Id="rId12" Type="http://schemas.openxmlformats.org/officeDocument/2006/relationships/hyperlink" Target="https://drive.google.com/open?id=1aeabMMaQbkT96gjH06z5WAjUTG6pVWH5&amp;usp=drive_copy" TargetMode="External"/><Relationship Id="rId56" Type="http://schemas.openxmlformats.org/officeDocument/2006/relationships/hyperlink" Target="https://drive.google.com/open?id=1QstexnNIBZZQCoPEXMDHPz82SaRr9J57&amp;usp=drive_copy" TargetMode="External"/><Relationship Id="rId15" Type="http://schemas.openxmlformats.org/officeDocument/2006/relationships/hyperlink" Target="https://drive.google.com/open?id=1EaEwJYdHYBEoRxMty3i4ZYYRMp4NmW3B&amp;usp=drive_copy" TargetMode="External"/><Relationship Id="rId59" Type="http://schemas.openxmlformats.org/officeDocument/2006/relationships/hyperlink" Target="https://drive.google.com/open?id=1G0Z8RA9XmWGuH1fNczwpEKE3HI9HzkhW&amp;usp=drive_copy" TargetMode="External"/><Relationship Id="rId14" Type="http://schemas.openxmlformats.org/officeDocument/2006/relationships/hyperlink" Target="https://drive.google.com/open?id=1Md3UwOrvDFvdRtfBtpOhuoPesX2ofj-k&amp;usp=drive_copy" TargetMode="External"/><Relationship Id="rId58" Type="http://schemas.openxmlformats.org/officeDocument/2006/relationships/hyperlink" Target="https://drive.google.com/open?id=1D4oI-Qn6W28nXk7l3eNY77MwZJoyfHbf&amp;usp=drive_copy" TargetMode="External"/><Relationship Id="rId17" Type="http://schemas.openxmlformats.org/officeDocument/2006/relationships/hyperlink" Target="https://drive.google.com/open?id=1Z8TurZQwGOXcidBAEYEVd-NAOVuPwEm2&amp;usp=drive_copy" TargetMode="External"/><Relationship Id="rId16" Type="http://schemas.openxmlformats.org/officeDocument/2006/relationships/hyperlink" Target="https://drive.google.com/open?id=13B_IkYxd9c7TVgFbddh55CoD8aP6Thxi&amp;usp=drive_copy" TargetMode="External"/><Relationship Id="rId19" Type="http://schemas.openxmlformats.org/officeDocument/2006/relationships/hyperlink" Target="https://drive.google.com/open?id=1rm16SABrLCvmuvGLuWLchxvlmvt2lULn&amp;usp=drive_copy" TargetMode="External"/><Relationship Id="rId18" Type="http://schemas.openxmlformats.org/officeDocument/2006/relationships/hyperlink" Target="https://drive.google.com/open?id=1NkqBNxX_Mfh5nZWkbDKEZKqHfUjwRmep&amp;usp=drive_copy"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3.xml"/><Relationship Id="rId3"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4.xml"/><Relationship Id="rId3"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0"/>
  <cols>
    <col customWidth="1" min="1" max="1" width="2.75"/>
    <col customWidth="1" min="3" max="17" width="26.38"/>
    <col customWidth="1" min="18" max="18" width="2.75"/>
  </cols>
  <sheetData>
    <row r="1">
      <c r="A1" s="1" t="s">
        <v>0</v>
      </c>
      <c r="B1" s="1"/>
      <c r="C1" s="1"/>
      <c r="D1" s="1"/>
      <c r="E1" s="1"/>
      <c r="F1" s="1"/>
      <c r="G1" s="1"/>
      <c r="H1" s="1"/>
      <c r="I1" s="1"/>
      <c r="J1" s="1"/>
      <c r="K1" s="1"/>
      <c r="L1" s="1"/>
      <c r="M1" s="1"/>
      <c r="N1" s="1"/>
      <c r="O1" s="1"/>
      <c r="P1" s="1"/>
      <c r="Q1" s="1">
        <v>1995.0</v>
      </c>
      <c r="R1" s="1"/>
    </row>
    <row r="2" ht="31.5" customHeight="1">
      <c r="A2" s="2"/>
      <c r="B2" s="3" t="str">
        <f>CONCATENATE("Album Names",CHAR(10),"(",COUNTA(C2:Q2),")")</f>
        <v>Album Names
(15)</v>
      </c>
      <c r="C2" s="4" t="s">
        <v>1</v>
      </c>
      <c r="D2" s="5" t="s">
        <v>2</v>
      </c>
      <c r="E2" s="6" t="s">
        <v>3</v>
      </c>
      <c r="F2" s="7" t="s">
        <v>4</v>
      </c>
      <c r="G2" s="8" t="s">
        <v>5</v>
      </c>
      <c r="H2" s="9" t="s">
        <v>6</v>
      </c>
      <c r="I2" s="10" t="s">
        <v>7</v>
      </c>
      <c r="J2" s="11" t="s">
        <v>8</v>
      </c>
      <c r="K2" s="12" t="s">
        <v>9</v>
      </c>
      <c r="L2" s="13" t="s">
        <v>10</v>
      </c>
      <c r="M2" s="14" t="s">
        <v>11</v>
      </c>
      <c r="N2" s="15" t="s">
        <v>12</v>
      </c>
      <c r="O2" s="16" t="s">
        <v>13</v>
      </c>
      <c r="P2" s="17" t="s">
        <v>14</v>
      </c>
      <c r="Q2" s="18" t="s">
        <v>15</v>
      </c>
      <c r="R2" s="19"/>
    </row>
    <row r="3" ht="31.5" customHeight="1">
      <c r="A3" s="2"/>
      <c r="B3" s="20" t="str">
        <f>CONCATENATE("Years",CHAR(10),"(",C3," - ",Q3,")")</f>
        <v>Years
(1973 - 1995)</v>
      </c>
      <c r="C3" s="21">
        <v>1973.0</v>
      </c>
      <c r="D3" s="22">
        <v>1974.0</v>
      </c>
      <c r="E3" s="23">
        <v>1974.0</v>
      </c>
      <c r="F3" s="24">
        <v>1975.0</v>
      </c>
      <c r="G3" s="25">
        <v>1976.0</v>
      </c>
      <c r="H3" s="26">
        <v>1977.0</v>
      </c>
      <c r="I3" s="27">
        <v>1978.0</v>
      </c>
      <c r="J3" s="28">
        <v>1980.0</v>
      </c>
      <c r="K3" s="29">
        <v>1980.0</v>
      </c>
      <c r="L3" s="30">
        <v>1982.0</v>
      </c>
      <c r="M3" s="31">
        <v>1984.0</v>
      </c>
      <c r="N3" s="32">
        <v>1986.0</v>
      </c>
      <c r="O3" s="33">
        <v>1989.0</v>
      </c>
      <c r="P3" s="34">
        <v>1991.0</v>
      </c>
      <c r="Q3" s="35">
        <v>1995.0</v>
      </c>
      <c r="R3" s="36"/>
    </row>
    <row r="4">
      <c r="A4" s="1"/>
      <c r="B4" s="37" t="str">
        <f>CONCATENATE("Songs",CHAR(10),"(",COUNTA(C4:Q22),")")</f>
        <v>Songs
(171)</v>
      </c>
      <c r="C4" s="38" t="s">
        <v>16</v>
      </c>
      <c r="D4" s="39" t="s">
        <v>17</v>
      </c>
      <c r="E4" s="40" t="s">
        <v>18</v>
      </c>
      <c r="F4" s="41" t="s">
        <v>19</v>
      </c>
      <c r="G4" s="42" t="s">
        <v>20</v>
      </c>
      <c r="H4" s="43" t="s">
        <v>21</v>
      </c>
      <c r="I4" s="44" t="s">
        <v>22</v>
      </c>
      <c r="J4" s="45" t="s">
        <v>23</v>
      </c>
      <c r="K4" s="46" t="s">
        <v>24</v>
      </c>
      <c r="L4" s="47" t="s">
        <v>25</v>
      </c>
      <c r="M4" s="48" t="s">
        <v>26</v>
      </c>
      <c r="N4" s="49" t="s">
        <v>27</v>
      </c>
      <c r="O4" s="50" t="s">
        <v>28</v>
      </c>
      <c r="P4" s="51" t="s">
        <v>14</v>
      </c>
      <c r="Q4" s="52" t="s">
        <v>29</v>
      </c>
      <c r="R4" s="1"/>
    </row>
    <row r="5">
      <c r="A5" s="1"/>
      <c r="B5" s="53"/>
      <c r="C5" s="38" t="s">
        <v>30</v>
      </c>
      <c r="D5" s="39" t="s">
        <v>31</v>
      </c>
      <c r="E5" s="40" t="s">
        <v>32</v>
      </c>
      <c r="F5" s="41" t="s">
        <v>33</v>
      </c>
      <c r="G5" s="42" t="s">
        <v>34</v>
      </c>
      <c r="H5" s="43" t="s">
        <v>35</v>
      </c>
      <c r="I5" s="44" t="s">
        <v>36</v>
      </c>
      <c r="J5" s="45" t="s">
        <v>37</v>
      </c>
      <c r="K5" s="46" t="s">
        <v>38</v>
      </c>
      <c r="L5" s="47" t="s">
        <v>39</v>
      </c>
      <c r="M5" s="48" t="s">
        <v>40</v>
      </c>
      <c r="N5" s="49" t="s">
        <v>12</v>
      </c>
      <c r="O5" s="50" t="s">
        <v>41</v>
      </c>
      <c r="P5" s="51" t="s">
        <v>42</v>
      </c>
      <c r="Q5" s="52" t="s">
        <v>15</v>
      </c>
      <c r="R5" s="1"/>
    </row>
    <row r="6">
      <c r="A6" s="1"/>
      <c r="B6" s="53"/>
      <c r="C6" s="38" t="s">
        <v>43</v>
      </c>
      <c r="D6" s="39" t="s">
        <v>44</v>
      </c>
      <c r="E6" s="40" t="s">
        <v>45</v>
      </c>
      <c r="F6" s="41" t="s">
        <v>46</v>
      </c>
      <c r="G6" s="42" t="s">
        <v>47</v>
      </c>
      <c r="H6" s="43" t="s">
        <v>3</v>
      </c>
      <c r="I6" s="44" t="s">
        <v>48</v>
      </c>
      <c r="J6" s="45" t="s">
        <v>49</v>
      </c>
      <c r="K6" s="46" t="s">
        <v>50</v>
      </c>
      <c r="L6" s="47" t="s">
        <v>51</v>
      </c>
      <c r="M6" s="48" t="s">
        <v>52</v>
      </c>
      <c r="N6" s="49" t="s">
        <v>53</v>
      </c>
      <c r="O6" s="50" t="s">
        <v>13</v>
      </c>
      <c r="P6" s="51" t="s">
        <v>54</v>
      </c>
      <c r="Q6" s="52" t="s">
        <v>55</v>
      </c>
      <c r="R6" s="1"/>
    </row>
    <row r="7">
      <c r="A7" s="1"/>
      <c r="B7" s="53"/>
      <c r="C7" s="38" t="s">
        <v>56</v>
      </c>
      <c r="D7" s="39" t="s">
        <v>57</v>
      </c>
      <c r="E7" s="40" t="s">
        <v>58</v>
      </c>
      <c r="F7" s="41" t="s">
        <v>59</v>
      </c>
      <c r="G7" s="42" t="s">
        <v>60</v>
      </c>
      <c r="H7" s="43" t="s">
        <v>61</v>
      </c>
      <c r="I7" s="44" t="s">
        <v>62</v>
      </c>
      <c r="J7" s="45" t="s">
        <v>63</v>
      </c>
      <c r="K7" s="46" t="s">
        <v>64</v>
      </c>
      <c r="L7" s="47" t="s">
        <v>65</v>
      </c>
      <c r="M7" s="48" t="s">
        <v>66</v>
      </c>
      <c r="N7" s="49" t="s">
        <v>67</v>
      </c>
      <c r="O7" s="50" t="s">
        <v>68</v>
      </c>
      <c r="P7" s="51" t="s">
        <v>69</v>
      </c>
      <c r="Q7" s="52" t="s">
        <v>70</v>
      </c>
      <c r="R7" s="1"/>
    </row>
    <row r="8">
      <c r="A8" s="1"/>
      <c r="B8" s="53"/>
      <c r="C8" s="38" t="s">
        <v>71</v>
      </c>
      <c r="D8" s="39" t="s">
        <v>72</v>
      </c>
      <c r="E8" s="40" t="s">
        <v>73</v>
      </c>
      <c r="F8" s="54" t="s">
        <v>74</v>
      </c>
      <c r="G8" s="42" t="s">
        <v>75</v>
      </c>
      <c r="H8" s="43" t="s">
        <v>76</v>
      </c>
      <c r="I8" s="44" t="s">
        <v>77</v>
      </c>
      <c r="J8" s="45" t="s">
        <v>78</v>
      </c>
      <c r="K8" s="46" t="s">
        <v>79</v>
      </c>
      <c r="L8" s="47" t="s">
        <v>80</v>
      </c>
      <c r="M8" s="48" t="s">
        <v>81</v>
      </c>
      <c r="N8" s="49" t="s">
        <v>82</v>
      </c>
      <c r="O8" s="50" t="s">
        <v>83</v>
      </c>
      <c r="P8" s="51" t="s">
        <v>84</v>
      </c>
      <c r="Q8" s="52" t="s">
        <v>85</v>
      </c>
      <c r="R8" s="1"/>
    </row>
    <row r="9">
      <c r="A9" s="1"/>
      <c r="B9" s="53"/>
      <c r="C9" s="38" t="s">
        <v>86</v>
      </c>
      <c r="D9" s="39" t="s">
        <v>87</v>
      </c>
      <c r="E9" s="40" t="s">
        <v>88</v>
      </c>
      <c r="F9" s="41" t="s">
        <v>89</v>
      </c>
      <c r="G9" s="42" t="s">
        <v>90</v>
      </c>
      <c r="H9" s="43" t="s">
        <v>91</v>
      </c>
      <c r="I9" s="44" t="s">
        <v>92</v>
      </c>
      <c r="J9" s="45" t="s">
        <v>93</v>
      </c>
      <c r="K9" s="46" t="s">
        <v>94</v>
      </c>
      <c r="L9" s="47" t="s">
        <v>95</v>
      </c>
      <c r="M9" s="48" t="s">
        <v>96</v>
      </c>
      <c r="N9" s="49" t="s">
        <v>97</v>
      </c>
      <c r="O9" s="50" t="s">
        <v>98</v>
      </c>
      <c r="P9" s="51" t="s">
        <v>99</v>
      </c>
      <c r="Q9" s="52" t="s">
        <v>100</v>
      </c>
      <c r="R9" s="1"/>
    </row>
    <row r="10">
      <c r="A10" s="1"/>
      <c r="B10" s="53"/>
      <c r="C10" s="38" t="s">
        <v>101</v>
      </c>
      <c r="D10" s="39" t="s">
        <v>102</v>
      </c>
      <c r="E10" s="40" t="s">
        <v>103</v>
      </c>
      <c r="F10" s="41" t="s">
        <v>104</v>
      </c>
      <c r="G10" s="42" t="s">
        <v>105</v>
      </c>
      <c r="H10" s="43" t="s">
        <v>106</v>
      </c>
      <c r="I10" s="44" t="s">
        <v>107</v>
      </c>
      <c r="J10" s="45" t="s">
        <v>108</v>
      </c>
      <c r="K10" s="46" t="s">
        <v>109</v>
      </c>
      <c r="L10" s="47" t="s">
        <v>110</v>
      </c>
      <c r="M10" s="48" t="s">
        <v>111</v>
      </c>
      <c r="N10" s="49" t="s">
        <v>112</v>
      </c>
      <c r="O10" s="50" t="s">
        <v>113</v>
      </c>
      <c r="P10" s="51" t="s">
        <v>114</v>
      </c>
      <c r="Q10" s="52" t="s">
        <v>115</v>
      </c>
      <c r="R10" s="1"/>
    </row>
    <row r="11">
      <c r="A11" s="1"/>
      <c r="B11" s="53"/>
      <c r="C11" s="38" t="s">
        <v>116</v>
      </c>
      <c r="D11" s="39" t="s">
        <v>117</v>
      </c>
      <c r="E11" s="40" t="s">
        <v>118</v>
      </c>
      <c r="F11" s="41" t="s">
        <v>119</v>
      </c>
      <c r="G11" s="42" t="s">
        <v>120</v>
      </c>
      <c r="H11" s="43" t="s">
        <v>121</v>
      </c>
      <c r="I11" s="44" t="s">
        <v>122</v>
      </c>
      <c r="J11" s="45" t="s">
        <v>123</v>
      </c>
      <c r="K11" s="46" t="s">
        <v>124</v>
      </c>
      <c r="L11" s="47" t="s">
        <v>125</v>
      </c>
      <c r="M11" s="48" t="s">
        <v>126</v>
      </c>
      <c r="N11" s="49" t="s">
        <v>127</v>
      </c>
      <c r="O11" s="50" t="s">
        <v>128</v>
      </c>
      <c r="P11" s="51" t="s">
        <v>129</v>
      </c>
      <c r="Q11" s="52" t="s">
        <v>130</v>
      </c>
      <c r="R11" s="1"/>
    </row>
    <row r="12">
      <c r="A12" s="1"/>
      <c r="B12" s="53"/>
      <c r="C12" s="38" t="s">
        <v>131</v>
      </c>
      <c r="D12" s="39" t="s">
        <v>132</v>
      </c>
      <c r="E12" s="40" t="s">
        <v>133</v>
      </c>
      <c r="F12" s="41" t="s">
        <v>134</v>
      </c>
      <c r="G12" s="42" t="s">
        <v>135</v>
      </c>
      <c r="H12" s="43" t="s">
        <v>136</v>
      </c>
      <c r="I12" s="44" t="s">
        <v>137</v>
      </c>
      <c r="J12" s="45" t="s">
        <v>138</v>
      </c>
      <c r="K12" s="46" t="s">
        <v>139</v>
      </c>
      <c r="L12" s="47" t="s">
        <v>140</v>
      </c>
      <c r="M12" s="48" t="s">
        <v>141</v>
      </c>
      <c r="N12" s="55" t="s">
        <v>142</v>
      </c>
      <c r="O12" s="50" t="s">
        <v>143</v>
      </c>
      <c r="P12" s="51" t="s">
        <v>144</v>
      </c>
      <c r="Q12" s="52" t="s">
        <v>145</v>
      </c>
      <c r="R12" s="1"/>
    </row>
    <row r="13">
      <c r="A13" s="1"/>
      <c r="B13" s="53"/>
      <c r="C13" s="38" t="s">
        <v>146</v>
      </c>
      <c r="D13" s="39" t="s">
        <v>147</v>
      </c>
      <c r="E13" s="40" t="s">
        <v>148</v>
      </c>
      <c r="F13" s="41" t="s">
        <v>149</v>
      </c>
      <c r="G13" s="42" t="s">
        <v>150</v>
      </c>
      <c r="H13" s="43" t="s">
        <v>151</v>
      </c>
      <c r="I13" s="44" t="s">
        <v>152</v>
      </c>
      <c r="J13" s="45" t="s">
        <v>153</v>
      </c>
      <c r="K13" s="46" t="s">
        <v>154</v>
      </c>
      <c r="L13" s="47" t="s">
        <v>155</v>
      </c>
      <c r="M13" s="48"/>
      <c r="N13" s="49"/>
      <c r="O13" s="50" t="s">
        <v>156</v>
      </c>
      <c r="P13" s="51" t="s">
        <v>157</v>
      </c>
      <c r="Q13" s="52" t="s">
        <v>158</v>
      </c>
      <c r="R13" s="1"/>
    </row>
    <row r="14">
      <c r="A14" s="1"/>
      <c r="B14" s="53"/>
      <c r="C14" s="38"/>
      <c r="D14" s="39" t="s">
        <v>159</v>
      </c>
      <c r="E14" s="40" t="s">
        <v>160</v>
      </c>
      <c r="F14" s="41" t="s">
        <v>161</v>
      </c>
      <c r="G14" s="42"/>
      <c r="H14" s="43" t="s">
        <v>162</v>
      </c>
      <c r="I14" s="44" t="s">
        <v>163</v>
      </c>
      <c r="J14" s="45"/>
      <c r="K14" s="46" t="s">
        <v>164</v>
      </c>
      <c r="L14" s="47" t="s">
        <v>165</v>
      </c>
      <c r="M14" s="48"/>
      <c r="N14" s="49"/>
      <c r="O14" s="50"/>
      <c r="P14" s="51" t="s">
        <v>166</v>
      </c>
      <c r="Q14" s="52" t="s">
        <v>167</v>
      </c>
      <c r="R14" s="1"/>
    </row>
    <row r="15">
      <c r="A15" s="1"/>
      <c r="B15" s="53"/>
      <c r="C15" s="38"/>
      <c r="D15" s="39"/>
      <c r="E15" s="40" t="s">
        <v>168</v>
      </c>
      <c r="F15" s="41" t="s">
        <v>169</v>
      </c>
      <c r="G15" s="42"/>
      <c r="H15" s="43"/>
      <c r="I15" s="44" t="s">
        <v>170</v>
      </c>
      <c r="J15" s="45"/>
      <c r="K15" s="46" t="s">
        <v>171</v>
      </c>
      <c r="L15" s="47"/>
      <c r="M15" s="48"/>
      <c r="N15" s="49"/>
      <c r="O15" s="50"/>
      <c r="P15" s="51" t="s">
        <v>172</v>
      </c>
      <c r="Q15" s="52" t="s">
        <v>173</v>
      </c>
      <c r="R15" s="1"/>
    </row>
    <row r="16">
      <c r="A16" s="1"/>
      <c r="B16" s="53"/>
      <c r="C16" s="38"/>
      <c r="D16" s="39"/>
      <c r="E16" s="40"/>
      <c r="F16" s="41"/>
      <c r="G16" s="42"/>
      <c r="H16" s="43"/>
      <c r="I16" s="44" t="s">
        <v>174</v>
      </c>
      <c r="J16" s="45"/>
      <c r="K16" s="46" t="s">
        <v>175</v>
      </c>
      <c r="L16" s="47"/>
      <c r="M16" s="48"/>
      <c r="N16" s="49"/>
      <c r="O16" s="50"/>
      <c r="P16" s="51"/>
      <c r="Q16" s="52" t="s">
        <v>176</v>
      </c>
      <c r="R16" s="1"/>
    </row>
    <row r="17">
      <c r="A17" s="1"/>
      <c r="B17" s="53"/>
      <c r="C17" s="38"/>
      <c r="D17" s="39"/>
      <c r="E17" s="40"/>
      <c r="F17" s="41"/>
      <c r="G17" s="42"/>
      <c r="H17" s="43"/>
      <c r="I17" s="44"/>
      <c r="J17" s="45"/>
      <c r="K17" s="46" t="s">
        <v>177</v>
      </c>
      <c r="L17" s="47"/>
      <c r="M17" s="48"/>
      <c r="N17" s="49"/>
      <c r="O17" s="50"/>
      <c r="P17" s="51"/>
      <c r="Q17" s="52"/>
      <c r="R17" s="1"/>
    </row>
    <row r="18">
      <c r="A18" s="1"/>
      <c r="B18" s="53"/>
      <c r="C18" s="38"/>
      <c r="D18" s="39"/>
      <c r="E18" s="40"/>
      <c r="F18" s="41"/>
      <c r="G18" s="42"/>
      <c r="H18" s="43"/>
      <c r="I18" s="44"/>
      <c r="J18" s="45"/>
      <c r="K18" s="46" t="s">
        <v>178</v>
      </c>
      <c r="L18" s="47"/>
      <c r="M18" s="48"/>
      <c r="N18" s="49"/>
      <c r="O18" s="50"/>
      <c r="P18" s="51"/>
      <c r="Q18" s="52"/>
      <c r="R18" s="1"/>
    </row>
    <row r="19">
      <c r="A19" s="1"/>
      <c r="B19" s="53"/>
      <c r="C19" s="38"/>
      <c r="D19" s="39"/>
      <c r="E19" s="40"/>
      <c r="F19" s="41"/>
      <c r="G19" s="42"/>
      <c r="H19" s="43"/>
      <c r="I19" s="44"/>
      <c r="J19" s="45"/>
      <c r="K19" s="46" t="s">
        <v>179</v>
      </c>
      <c r="L19" s="47"/>
      <c r="M19" s="48"/>
      <c r="N19" s="49"/>
      <c r="O19" s="50"/>
      <c r="P19" s="51"/>
      <c r="Q19" s="52"/>
      <c r="R19" s="1"/>
    </row>
    <row r="20">
      <c r="A20" s="1"/>
      <c r="B20" s="53"/>
      <c r="C20" s="38"/>
      <c r="D20" s="39"/>
      <c r="E20" s="40"/>
      <c r="F20" s="41"/>
      <c r="G20" s="42"/>
      <c r="H20" s="43"/>
      <c r="I20" s="44"/>
      <c r="J20" s="45"/>
      <c r="K20" s="46" t="s">
        <v>180</v>
      </c>
      <c r="L20" s="47"/>
      <c r="M20" s="48"/>
      <c r="N20" s="49"/>
      <c r="O20" s="50"/>
      <c r="P20" s="51"/>
      <c r="Q20" s="52"/>
      <c r="R20" s="1"/>
    </row>
    <row r="21">
      <c r="A21" s="1"/>
      <c r="B21" s="53"/>
      <c r="C21" s="38"/>
      <c r="D21" s="39"/>
      <c r="E21" s="40"/>
      <c r="F21" s="41"/>
      <c r="G21" s="42"/>
      <c r="H21" s="43"/>
      <c r="I21" s="44"/>
      <c r="J21" s="45"/>
      <c r="K21" s="46"/>
      <c r="L21" s="47"/>
      <c r="M21" s="48"/>
      <c r="N21" s="49"/>
      <c r="O21" s="50"/>
      <c r="P21" s="51"/>
      <c r="Q21" s="52"/>
      <c r="R21" s="1"/>
    </row>
    <row r="22">
      <c r="A22" s="1"/>
      <c r="B22" s="53"/>
      <c r="C22" s="38"/>
      <c r="D22" s="39"/>
      <c r="E22" s="40"/>
      <c r="F22" s="41"/>
      <c r="G22" s="42"/>
      <c r="H22" s="43"/>
      <c r="I22" s="44"/>
      <c r="J22" s="45"/>
      <c r="K22" s="46" t="s">
        <v>181</v>
      </c>
      <c r="L22" s="47"/>
      <c r="M22" s="48"/>
      <c r="N22" s="49"/>
      <c r="O22" s="50"/>
      <c r="P22" s="51"/>
      <c r="Q22" s="52"/>
      <c r="R22" s="1"/>
    </row>
    <row r="23">
      <c r="A23" s="1"/>
      <c r="B23" s="19"/>
      <c r="C23" s="1"/>
      <c r="D23" s="1"/>
      <c r="E23" s="1"/>
      <c r="F23" s="1"/>
      <c r="G23" s="1"/>
      <c r="H23" s="1"/>
      <c r="I23" s="1"/>
      <c r="J23" s="1"/>
      <c r="K23" s="1"/>
      <c r="L23" s="1"/>
      <c r="M23" s="1"/>
      <c r="N23" s="1"/>
      <c r="O23" s="1"/>
      <c r="P23" s="1"/>
      <c r="Q23" s="1"/>
      <c r="R23" s="1"/>
    </row>
  </sheetData>
  <mergeCells count="1">
    <mergeCell ref="B4:B2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0"/>
  <cols>
    <col customWidth="1" min="1" max="1" width="2.75"/>
    <col customWidth="1" min="3" max="3" width="24.63"/>
    <col customWidth="1" min="4" max="4" width="30.25"/>
    <col customWidth="1" min="5" max="5" width="16.75"/>
    <col customWidth="1" min="6" max="6" width="23.88"/>
    <col customWidth="1" min="7" max="7" width="2.75"/>
    <col customWidth="1" min="8" max="8" width="19.13"/>
    <col customWidth="1" min="9" max="9" width="5.0"/>
    <col customWidth="1" min="10" max="10" width="6.25"/>
    <col customWidth="1" min="11" max="11" width="2.75"/>
  </cols>
  <sheetData>
    <row r="1">
      <c r="A1" s="1" t="s">
        <v>0</v>
      </c>
      <c r="B1" s="1"/>
      <c r="C1" s="1"/>
      <c r="D1" s="1"/>
      <c r="E1" s="1"/>
      <c r="F1" s="1"/>
      <c r="G1" s="1"/>
      <c r="H1" s="1"/>
      <c r="I1" s="1"/>
      <c r="J1" s="1"/>
      <c r="K1" s="1"/>
    </row>
    <row r="2" ht="31.5" customHeight="1">
      <c r="A2" s="2"/>
      <c r="B2" s="56"/>
      <c r="C2" s="56" t="s">
        <v>182</v>
      </c>
      <c r="G2" s="19"/>
      <c r="H2" s="57" t="s">
        <v>183</v>
      </c>
      <c r="I2" s="58"/>
      <c r="J2" s="59" t="s">
        <v>184</v>
      </c>
      <c r="K2" s="19"/>
    </row>
    <row r="3" ht="31.5" customHeight="1">
      <c r="A3" s="2"/>
      <c r="B3" s="60"/>
      <c r="C3" s="61" t="s">
        <v>185</v>
      </c>
      <c r="D3" s="61" t="s">
        <v>186</v>
      </c>
      <c r="E3" s="61" t="s">
        <v>187</v>
      </c>
      <c r="F3" s="62" t="s">
        <v>188</v>
      </c>
      <c r="G3" s="36"/>
      <c r="H3" s="63"/>
      <c r="I3" s="64"/>
      <c r="J3" s="65"/>
      <c r="K3" s="19"/>
    </row>
    <row r="4">
      <c r="A4" s="1"/>
      <c r="B4" s="56" t="str">
        <f>CONCATENATE("Songs",CHAR(10),"(",COUNTA(C4:C66),")")</f>
        <v>Songs
(63)</v>
      </c>
      <c r="C4" s="66" t="s">
        <v>189</v>
      </c>
      <c r="D4" s="67" t="s">
        <v>190</v>
      </c>
      <c r="E4" s="66" t="str">
        <f>IF(COUNTIF('Queen Discography'!$C$4:$C$22,C4)&gt;0,"Queen",
IF(COUNTIF('Queen Discography'!$D$4:$D$22,C4)&gt;0,"Queen II",
IF(COUNTIF('Queen Discography'!$E$4:$E$22,C4)&gt;0,"Sheer Heart Attack",
IF(COUNTIF('Queen Discography'!$F$4:$F$22,C4)&gt;0,"A Night At The Opera",
IF(COUNTIF('Queen Discography'!$G$4:$G$22,C4)&gt;0,"A Day At The Races",
IF(COUNTIF('Queen Discography'!$H$4:$H$22,C4)&gt;0,"News Of The World",
IF(COUNTIF('Queen Discography'!$I$4:$I$22,C4)&gt;0,"Jazz",
IF(COUNTIF('Queen Discography'!$J$4:$J$22,C4)&gt;0,"The Game",
IF(COUNTIF('Queen Discography'!$K$4:$K$22,C4)&gt;0,"Flash Gordon",
IF(COUNTIF('Queen Discography'!$L$4:$L$22,C4)&gt;0,"Hot Space",
IF(COUNTIF('Queen Discography'!$M$4:$M$22,C4)&gt;0,"The Works",
IF(COUNTIF('Queen Discography'!$N$4:$N$22,C4)&gt;0,"A Kind Of Magic",
IF(COUNTIF('Queen Discography'!$O$4:$O$22,C4)&gt;0,"The Miracle",
IF(COUNTIF('Queen Discography'!$P$4:$P$22,C4)&gt;0,"Innuendo",
IF(COUNTIF('Queen Discography'!$Q$4:$Q$22,C4)&gt;0,"Made In Heaven","NOT FOUND")))))))))))))))</f>
        <v>A Day At The Races</v>
      </c>
      <c r="F4" s="68" t="s">
        <v>191</v>
      </c>
      <c r="G4" s="1"/>
      <c r="H4" s="37" t="s">
        <v>1</v>
      </c>
      <c r="I4" s="69">
        <f t="shared" ref="I4:I19" si="1">COUNTIF($E$4:$E$66,H4)</f>
        <v>4</v>
      </c>
      <c r="J4" s="70">
        <f t="shared" ref="J4:J19" si="2">IFERROR($J$20/I4, "N/A")</f>
        <v>0.984375</v>
      </c>
      <c r="K4" s="1"/>
    </row>
    <row r="5">
      <c r="A5" s="1"/>
      <c r="C5" s="66" t="s">
        <v>105</v>
      </c>
      <c r="D5" s="71" t="s">
        <v>192</v>
      </c>
      <c r="E5" s="66" t="str">
        <f>IF(COUNTIF('Queen Discography'!$C$4:$C$22,C5)&gt;0,"Queen",
IF(COUNTIF('Queen Discography'!$D$4:$D$22,C5)&gt;0,"Queen II",
IF(COUNTIF('Queen Discography'!$E$4:$E$22,C5)&gt;0,"Sheer Heart Attack",
IF(COUNTIF('Queen Discography'!$F$4:$F$22,C5)&gt;0,"A Night At The Opera",
IF(COUNTIF('Queen Discography'!$G$4:$G$22,C5)&gt;0,"A Day At The Races",
IF(COUNTIF('Queen Discography'!$H$4:$H$22,C5)&gt;0,"News Of The World",
IF(COUNTIF('Queen Discography'!$I$4:$I$22,C5)&gt;0,"Jazz",
IF(COUNTIF('Queen Discography'!$J$4:$J$22,C5)&gt;0,"The Game",
IF(COUNTIF('Queen Discography'!$K$4:$K$22,C5)&gt;0,"Flash Gordon",
IF(COUNTIF('Queen Discography'!$L$4:$L$22,C5)&gt;0,"Hot Space",
IF(COUNTIF('Queen Discography'!$M$4:$M$22,C5)&gt;0,"The Works",
IF(COUNTIF('Queen Discography'!$N$4:$N$22,C5)&gt;0,"A Kind Of Magic",
IF(COUNTIF('Queen Discography'!$O$4:$O$22,C5)&gt;0,"The Miracle",
IF(COUNTIF('Queen Discography'!$P$4:$P$22,C5)&gt;0,"Innuendo",
IF(COUNTIF('Queen Discography'!$Q$4:$Q$22,C5)&gt;0,"Made In Heaven","NOT FOUND")))))))))))))))</f>
        <v>A Day At The Races</v>
      </c>
      <c r="F5" s="68" t="s">
        <v>193</v>
      </c>
      <c r="G5" s="1"/>
      <c r="H5" s="37" t="s">
        <v>2</v>
      </c>
      <c r="I5" s="69">
        <f t="shared" si="1"/>
        <v>3</v>
      </c>
      <c r="J5" s="70">
        <f t="shared" si="2"/>
        <v>1.3125</v>
      </c>
      <c r="K5" s="1"/>
    </row>
    <row r="6">
      <c r="A6" s="1"/>
      <c r="C6" s="72" t="s">
        <v>120</v>
      </c>
      <c r="D6" s="71" t="s">
        <v>194</v>
      </c>
      <c r="E6" s="66" t="str">
        <f>IF(COUNTIF('Queen Discography'!$C$4:$C$22,C6)&gt;0,"Queen",
IF(COUNTIF('Queen Discography'!$D$4:$D$22,C6)&gt;0,"Queen II",
IF(COUNTIF('Queen Discography'!$E$4:$E$22,C6)&gt;0,"Sheer Heart Attack",
IF(COUNTIF('Queen Discography'!$F$4:$F$22,C6)&gt;0,"A Night At The Opera",
IF(COUNTIF('Queen Discography'!$G$4:$G$22,C6)&gt;0,"A Day At The Races",
IF(COUNTIF('Queen Discography'!$H$4:$H$22,C6)&gt;0,"News Of The World",
IF(COUNTIF('Queen Discography'!$I$4:$I$22,C6)&gt;0,"Jazz",
IF(COUNTIF('Queen Discography'!$J$4:$J$22,C6)&gt;0,"The Game",
IF(COUNTIF('Queen Discography'!$K$4:$K$22,C6)&gt;0,"Flash Gordon",
IF(COUNTIF('Queen Discography'!$L$4:$L$22,C6)&gt;0,"Hot Space",
IF(COUNTIF('Queen Discography'!$M$4:$M$22,C6)&gt;0,"The Works",
IF(COUNTIF('Queen Discography'!$N$4:$N$22,C6)&gt;0,"A Kind Of Magic",
IF(COUNTIF('Queen Discography'!$O$4:$O$22,C6)&gt;0,"The Miracle",
IF(COUNTIF('Queen Discography'!$P$4:$P$22,C6)&gt;0,"Innuendo",
IF(COUNTIF('Queen Discography'!$Q$4:$Q$22,C6)&gt;0,"Made In Heaven","NOT FOUND")))))))))))))))</f>
        <v>A Day At The Races</v>
      </c>
      <c r="F6" s="68" t="s">
        <v>195</v>
      </c>
      <c r="G6" s="1"/>
      <c r="H6" s="37" t="s">
        <v>3</v>
      </c>
      <c r="I6" s="69">
        <f t="shared" si="1"/>
        <v>2</v>
      </c>
      <c r="J6" s="70">
        <f t="shared" si="2"/>
        <v>1.96875</v>
      </c>
      <c r="K6" s="1"/>
    </row>
    <row r="7">
      <c r="A7" s="1"/>
      <c r="C7" s="66" t="s">
        <v>196</v>
      </c>
      <c r="D7" s="71" t="s">
        <v>197</v>
      </c>
      <c r="E7" s="66" t="str">
        <f>IF(COUNTIF('Queen Discography'!$C$4:$C$22,C7)&gt;0,"Queen",
IF(COUNTIF('Queen Discography'!$D$4:$D$22,C7)&gt;0,"Queen II",
IF(COUNTIF('Queen Discography'!$E$4:$E$22,C7)&gt;0,"Sheer Heart Attack",
IF(COUNTIF('Queen Discography'!$F$4:$F$22,C7)&gt;0,"A Night At The Opera",
IF(COUNTIF('Queen Discography'!$G$4:$G$22,C7)&gt;0,"A Day At The Races",
IF(COUNTIF('Queen Discography'!$H$4:$H$22,C7)&gt;0,"News Of The World",
IF(COUNTIF('Queen Discography'!$I$4:$I$22,C7)&gt;0,"Jazz",
IF(COUNTIF('Queen Discography'!$J$4:$J$22,C7)&gt;0,"The Game",
IF(COUNTIF('Queen Discography'!$K$4:$K$22,C7)&gt;0,"Flash Gordon",
IF(COUNTIF('Queen Discography'!$L$4:$L$22,C7)&gt;0,"Hot Space",
IF(COUNTIF('Queen Discography'!$M$4:$M$22,C7)&gt;0,"The Works",
IF(COUNTIF('Queen Discography'!$N$4:$N$22,C7)&gt;0,"A Kind Of Magic",
IF(COUNTIF('Queen Discography'!$O$4:$O$22,C7)&gt;0,"The Miracle",
IF(COUNTIF('Queen Discography'!$P$4:$P$22,C7)&gt;0,"Innuendo",
IF(COUNTIF('Queen Discography'!$Q$4:$Q$22,C7)&gt;0,"Made In Heaven","NOT FOUND")))))))))))))))</f>
        <v>A Kind Of Magic</v>
      </c>
      <c r="F7" s="68" t="s">
        <v>198</v>
      </c>
      <c r="G7" s="1"/>
      <c r="H7" s="37" t="s">
        <v>4</v>
      </c>
      <c r="I7" s="69">
        <f t="shared" si="1"/>
        <v>5</v>
      </c>
      <c r="J7" s="70">
        <f t="shared" si="2"/>
        <v>0.7875</v>
      </c>
      <c r="K7" s="1"/>
    </row>
    <row r="8">
      <c r="A8" s="1"/>
      <c r="C8" s="66" t="s">
        <v>82</v>
      </c>
      <c r="D8" s="71" t="s">
        <v>199</v>
      </c>
      <c r="E8" s="66" t="str">
        <f>IF(COUNTIF('Queen Discography'!$C$4:$C$22,C8)&gt;0,"Queen",
IF(COUNTIF('Queen Discography'!$D$4:$D$22,C8)&gt;0,"Queen II",
IF(COUNTIF('Queen Discography'!$E$4:$E$22,C8)&gt;0,"Sheer Heart Attack",
IF(COUNTIF('Queen Discography'!$F$4:$F$22,C8)&gt;0,"A Night At The Opera",
IF(COUNTIF('Queen Discography'!$G$4:$G$22,C8)&gt;0,"A Day At The Races",
IF(COUNTIF('Queen Discography'!$H$4:$H$22,C8)&gt;0,"News Of The World",
IF(COUNTIF('Queen Discography'!$I$4:$I$22,C8)&gt;0,"Jazz",
IF(COUNTIF('Queen Discography'!$J$4:$J$22,C8)&gt;0,"The Game",
IF(COUNTIF('Queen Discography'!$K$4:$K$22,C8)&gt;0,"Flash Gordon",
IF(COUNTIF('Queen Discography'!$L$4:$L$22,C8)&gt;0,"Hot Space",
IF(COUNTIF('Queen Discography'!$M$4:$M$22,C8)&gt;0,"The Works",
IF(COUNTIF('Queen Discography'!$N$4:$N$22,C8)&gt;0,"A Kind Of Magic",
IF(COUNTIF('Queen Discography'!$O$4:$O$22,C8)&gt;0,"The Miracle",
IF(COUNTIF('Queen Discography'!$P$4:$P$22,C8)&gt;0,"Innuendo",
IF(COUNTIF('Queen Discography'!$Q$4:$Q$22,C8)&gt;0,"Made In Heaven","NOT FOUND")))))))))))))))</f>
        <v>A Kind Of Magic</v>
      </c>
      <c r="F8" s="68" t="s">
        <v>200</v>
      </c>
      <c r="G8" s="1"/>
      <c r="H8" s="37" t="s">
        <v>5</v>
      </c>
      <c r="I8" s="69">
        <f t="shared" si="1"/>
        <v>3</v>
      </c>
      <c r="J8" s="70">
        <f t="shared" si="2"/>
        <v>1.3125</v>
      </c>
      <c r="K8" s="1"/>
    </row>
    <row r="9">
      <c r="A9" s="1"/>
      <c r="C9" s="66" t="s">
        <v>201</v>
      </c>
      <c r="D9" s="71" t="s">
        <v>202</v>
      </c>
      <c r="E9" s="66" t="str">
        <f>IF(COUNTIF('Queen Discography'!$C$4:$C$22,C9)&gt;0,"Queen",
IF(COUNTIF('Queen Discography'!$D$4:$D$22,C9)&gt;0,"Queen II",
IF(COUNTIF('Queen Discography'!$E$4:$E$22,C9)&gt;0,"Sheer Heart Attack",
IF(COUNTIF('Queen Discography'!$F$4:$F$22,C9)&gt;0,"A Night At The Opera",
IF(COUNTIF('Queen Discography'!$G$4:$G$22,C9)&gt;0,"A Day At The Races",
IF(COUNTIF('Queen Discography'!$H$4:$H$22,C9)&gt;0,"News Of The World",
IF(COUNTIF('Queen Discography'!$I$4:$I$22,C9)&gt;0,"Jazz",
IF(COUNTIF('Queen Discography'!$J$4:$J$22,C9)&gt;0,"The Game",
IF(COUNTIF('Queen Discography'!$K$4:$K$22,C9)&gt;0,"Flash Gordon",
IF(COUNTIF('Queen Discography'!$L$4:$L$22,C9)&gt;0,"Hot Space",
IF(COUNTIF('Queen Discography'!$M$4:$M$22,C9)&gt;0,"The Works",
IF(COUNTIF('Queen Discography'!$N$4:$N$22,C9)&gt;0,"A Kind Of Magic",
IF(COUNTIF('Queen Discography'!$O$4:$O$22,C9)&gt;0,"The Miracle",
IF(COUNTIF('Queen Discography'!$P$4:$P$22,C9)&gt;0,"Innuendo",
IF(COUNTIF('Queen Discography'!$Q$4:$Q$22,C9)&gt;0,"Made In Heaven","NOT FOUND")))))))))))))))</f>
        <v>A Kind Of Magic</v>
      </c>
      <c r="F9" s="68" t="s">
        <v>203</v>
      </c>
      <c r="G9" s="1"/>
      <c r="H9" s="37" t="s">
        <v>6</v>
      </c>
      <c r="I9" s="69">
        <f t="shared" si="1"/>
        <v>4</v>
      </c>
      <c r="J9" s="70">
        <f t="shared" si="2"/>
        <v>0.984375</v>
      </c>
      <c r="K9" s="1"/>
    </row>
    <row r="10">
      <c r="A10" s="1"/>
      <c r="C10" s="66" t="s">
        <v>204</v>
      </c>
      <c r="D10" s="71" t="s">
        <v>205</v>
      </c>
      <c r="E10" s="66" t="str">
        <f>IF(COUNTIF('Queen Discography'!$C$4:$C$22,C10)&gt;0,"Queen",
IF(COUNTIF('Queen Discography'!$D$4:$D$22,C10)&gt;0,"Queen II",
IF(COUNTIF('Queen Discography'!$E$4:$E$22,C10)&gt;0,"Sheer Heart Attack",
IF(COUNTIF('Queen Discography'!$F$4:$F$22,C10)&gt;0,"A Night At The Opera",
IF(COUNTIF('Queen Discography'!$G$4:$G$22,C10)&gt;0,"A Day At The Races",
IF(COUNTIF('Queen Discography'!$H$4:$H$22,C10)&gt;0,"News Of The World",
IF(COUNTIF('Queen Discography'!$I$4:$I$22,C10)&gt;0,"Jazz",
IF(COUNTIF('Queen Discography'!$J$4:$J$22,C10)&gt;0,"The Game",
IF(COUNTIF('Queen Discography'!$K$4:$K$22,C10)&gt;0,"Flash Gordon",
IF(COUNTIF('Queen Discography'!$L$4:$L$22,C10)&gt;0,"Hot Space",
IF(COUNTIF('Queen Discography'!$M$4:$M$22,C10)&gt;0,"The Works",
IF(COUNTIF('Queen Discography'!$N$4:$N$22,C10)&gt;0,"A Kind Of Magic",
IF(COUNTIF('Queen Discography'!$O$4:$O$22,C10)&gt;0,"The Miracle",
IF(COUNTIF('Queen Discography'!$P$4:$P$22,C10)&gt;0,"Innuendo",
IF(COUNTIF('Queen Discography'!$Q$4:$Q$22,C10)&gt;0,"Made In Heaven","NOT FOUND")))))))))))))))</f>
        <v>A Kind Of Magic</v>
      </c>
      <c r="F10" s="68" t="s">
        <v>206</v>
      </c>
      <c r="G10" s="1"/>
      <c r="H10" s="37" t="s">
        <v>7</v>
      </c>
      <c r="I10" s="69">
        <f t="shared" si="1"/>
        <v>5</v>
      </c>
      <c r="J10" s="70">
        <f t="shared" si="2"/>
        <v>0.7875</v>
      </c>
      <c r="K10" s="1"/>
    </row>
    <row r="11">
      <c r="A11" s="1"/>
      <c r="C11" s="73" t="s">
        <v>207</v>
      </c>
      <c r="D11" s="71" t="s">
        <v>208</v>
      </c>
      <c r="E11" s="66" t="str">
        <f>IF(COUNTIF('Queen Discography'!$C$4:$C$22,C11)&gt;0,"Queen",
IF(COUNTIF('Queen Discography'!$D$4:$D$22,C11)&gt;0,"Queen II",
IF(COUNTIF('Queen Discography'!$E$4:$E$22,C11)&gt;0,"Sheer Heart Attack",
IF(COUNTIF('Queen Discography'!$F$4:$F$22,C11)&gt;0,"A Night At The Opera",
IF(COUNTIF('Queen Discography'!$G$4:$G$22,C11)&gt;0,"A Day At The Races",
IF(COUNTIF('Queen Discography'!$H$4:$H$22,C11)&gt;0,"News Of The World",
IF(COUNTIF('Queen Discography'!$I$4:$I$22,C11)&gt;0,"Jazz",
IF(COUNTIF('Queen Discography'!$J$4:$J$22,C11)&gt;0,"The Game",
IF(COUNTIF('Queen Discography'!$K$4:$K$22,C11)&gt;0,"Flash Gordon",
IF(COUNTIF('Queen Discography'!$L$4:$L$22,C11)&gt;0,"Hot Space",
IF(COUNTIF('Queen Discography'!$M$4:$M$22,C11)&gt;0,"The Works",
IF(COUNTIF('Queen Discography'!$N$4:$N$22,C11)&gt;0,"A Kind Of Magic",
IF(COUNTIF('Queen Discography'!$O$4:$O$22,C11)&gt;0,"The Miracle",
IF(COUNTIF('Queen Discography'!$P$4:$P$22,C11)&gt;0,"Innuendo",
IF(COUNTIF('Queen Discography'!$Q$4:$Q$22,C11)&gt;0,"Made In Heaven","NOT FOUND")))))))))))))))</f>
        <v>A Kind Of Magic</v>
      </c>
      <c r="F11" s="68" t="s">
        <v>209</v>
      </c>
      <c r="G11" s="1"/>
      <c r="H11" s="37" t="s">
        <v>8</v>
      </c>
      <c r="I11" s="69">
        <f t="shared" si="1"/>
        <v>4</v>
      </c>
      <c r="J11" s="70">
        <f t="shared" si="2"/>
        <v>0.984375</v>
      </c>
      <c r="K11" s="1"/>
    </row>
    <row r="12">
      <c r="A12" s="1"/>
      <c r="C12" s="66" t="s">
        <v>74</v>
      </c>
      <c r="D12" s="67" t="s">
        <v>210</v>
      </c>
      <c r="E12" s="66" t="str">
        <f>IF(COUNTIF('Queen Discography'!$C$4:$C$22,C12)&gt;0,"Queen",
IF(COUNTIF('Queen Discography'!$D$4:$D$22,C12)&gt;0,"Queen II",
IF(COUNTIF('Queen Discography'!$E$4:$E$22,C12)&gt;0,"Sheer Heart Attack",
IF(COUNTIF('Queen Discography'!$F$4:$F$22,C12)&gt;0,"A Night At The Opera",
IF(COUNTIF('Queen Discography'!$G$4:$G$22,C12)&gt;0,"A Day At The Races",
IF(COUNTIF('Queen Discography'!$H$4:$H$22,C12)&gt;0,"News Of The World",
IF(COUNTIF('Queen Discography'!$I$4:$I$22,C12)&gt;0,"Jazz",
IF(COUNTIF('Queen Discography'!$J$4:$J$22,C12)&gt;0,"The Game",
IF(COUNTIF('Queen Discography'!$K$4:$K$22,C12)&gt;0,"Flash Gordon",
IF(COUNTIF('Queen Discography'!$L$4:$L$22,C12)&gt;0,"Hot Space",
IF(COUNTIF('Queen Discography'!$M$4:$M$22,C12)&gt;0,"The Works",
IF(COUNTIF('Queen Discography'!$N$4:$N$22,C12)&gt;0,"A Kind Of Magic",
IF(COUNTIF('Queen Discography'!$O$4:$O$22,C12)&gt;0,"The Miracle",
IF(COUNTIF('Queen Discography'!$P$4:$P$22,C12)&gt;0,"Innuendo",
IF(COUNTIF('Queen Discography'!$Q$4:$Q$22,C12)&gt;0,"Made In Heaven","NOT FOUND")))))))))))))))</f>
        <v>A Night At The Opera</v>
      </c>
      <c r="F12" s="68" t="s">
        <v>211</v>
      </c>
      <c r="G12" s="1"/>
      <c r="H12" s="37" t="s">
        <v>9</v>
      </c>
      <c r="I12" s="69">
        <f t="shared" si="1"/>
        <v>0</v>
      </c>
      <c r="J12" s="70" t="str">
        <f t="shared" si="2"/>
        <v>N/A</v>
      </c>
      <c r="K12" s="1"/>
    </row>
    <row r="13">
      <c r="A13" s="1"/>
      <c r="C13" s="66" t="s">
        <v>161</v>
      </c>
      <c r="D13" s="71" t="s">
        <v>212</v>
      </c>
      <c r="E13" s="66" t="str">
        <f>IF(COUNTIF('Queen Discography'!$C$4:$C$22,C13)&gt;0,"Queen",
IF(COUNTIF('Queen Discography'!$D$4:$D$22,C13)&gt;0,"Queen II",
IF(COUNTIF('Queen Discography'!$E$4:$E$22,C13)&gt;0,"Sheer Heart Attack",
IF(COUNTIF('Queen Discography'!$F$4:$F$22,C13)&gt;0,"A Night At The Opera",
IF(COUNTIF('Queen Discography'!$G$4:$G$22,C13)&gt;0,"A Day At The Races",
IF(COUNTIF('Queen Discography'!$H$4:$H$22,C13)&gt;0,"News Of The World",
IF(COUNTIF('Queen Discography'!$I$4:$I$22,C13)&gt;0,"Jazz",
IF(COUNTIF('Queen Discography'!$J$4:$J$22,C13)&gt;0,"The Game",
IF(COUNTIF('Queen Discography'!$K$4:$K$22,C13)&gt;0,"Flash Gordon",
IF(COUNTIF('Queen Discography'!$L$4:$L$22,C13)&gt;0,"Hot Space",
IF(COUNTIF('Queen Discography'!$M$4:$M$22,C13)&gt;0,"The Works",
IF(COUNTIF('Queen Discography'!$N$4:$N$22,C13)&gt;0,"A Kind Of Magic",
IF(COUNTIF('Queen Discography'!$O$4:$O$22,C13)&gt;0,"The Miracle",
IF(COUNTIF('Queen Discography'!$P$4:$P$22,C13)&gt;0,"Innuendo",
IF(COUNTIF('Queen Discography'!$Q$4:$Q$22,C13)&gt;0,"Made In Heaven","NOT FOUND")))))))))))))))</f>
        <v>A Night At The Opera</v>
      </c>
      <c r="F13" s="68" t="s">
        <v>213</v>
      </c>
      <c r="G13" s="1"/>
      <c r="H13" s="37" t="s">
        <v>10</v>
      </c>
      <c r="I13" s="69">
        <f t="shared" si="1"/>
        <v>1</v>
      </c>
      <c r="J13" s="70">
        <f t="shared" si="2"/>
        <v>3.9375</v>
      </c>
      <c r="K13" s="1"/>
    </row>
    <row r="14">
      <c r="A14" s="1"/>
      <c r="C14" s="66" t="s">
        <v>214</v>
      </c>
      <c r="D14" s="71" t="s">
        <v>215</v>
      </c>
      <c r="E14" s="66" t="str">
        <f>IF(COUNTIF('Queen Discography'!$C$4:$C$22,C14)&gt;0,"Queen",
IF(COUNTIF('Queen Discography'!$D$4:$D$22,C14)&gt;0,"Queen II",
IF(COUNTIF('Queen Discography'!$E$4:$E$22,C14)&gt;0,"Sheer Heart Attack",
IF(COUNTIF('Queen Discography'!$F$4:$F$22,C14)&gt;0,"A Night At The Opera",
IF(COUNTIF('Queen Discography'!$G$4:$G$22,C14)&gt;0,"A Day At The Races",
IF(COUNTIF('Queen Discography'!$H$4:$H$22,C14)&gt;0,"News Of The World",
IF(COUNTIF('Queen Discography'!$I$4:$I$22,C14)&gt;0,"Jazz",
IF(COUNTIF('Queen Discography'!$J$4:$J$22,C14)&gt;0,"The Game",
IF(COUNTIF('Queen Discography'!$K$4:$K$22,C14)&gt;0,"Flash Gordon",
IF(COUNTIF('Queen Discography'!$L$4:$L$22,C14)&gt;0,"Hot Space",
IF(COUNTIF('Queen Discography'!$M$4:$M$22,C14)&gt;0,"The Works",
IF(COUNTIF('Queen Discography'!$N$4:$N$22,C14)&gt;0,"A Kind Of Magic",
IF(COUNTIF('Queen Discography'!$O$4:$O$22,C14)&gt;0,"The Miracle",
IF(COUNTIF('Queen Discography'!$P$4:$P$22,C14)&gt;0,"Innuendo",
IF(COUNTIF('Queen Discography'!$Q$4:$Q$22,C14)&gt;0,"Made In Heaven","NOT FOUND")))))))))))))))</f>
        <v>A Night At The Opera</v>
      </c>
      <c r="F14" s="68" t="s">
        <v>216</v>
      </c>
      <c r="G14" s="1"/>
      <c r="H14" s="37" t="s">
        <v>11</v>
      </c>
      <c r="I14" s="69">
        <f t="shared" si="1"/>
        <v>4</v>
      </c>
      <c r="J14" s="70">
        <f t="shared" si="2"/>
        <v>0.984375</v>
      </c>
      <c r="K14" s="1"/>
    </row>
    <row r="15">
      <c r="A15" s="1"/>
      <c r="C15" s="66" t="s">
        <v>59</v>
      </c>
      <c r="D15" s="67" t="s">
        <v>217</v>
      </c>
      <c r="E15" s="66" t="str">
        <f>IF(COUNTIF('Queen Discography'!$C$4:$C$22,C15)&gt;0,"Queen",
IF(COUNTIF('Queen Discography'!$D$4:$D$22,C15)&gt;0,"Queen II",
IF(COUNTIF('Queen Discography'!$E$4:$E$22,C15)&gt;0,"Sheer Heart Attack",
IF(COUNTIF('Queen Discography'!$F$4:$F$22,C15)&gt;0,"A Night At The Opera",
IF(COUNTIF('Queen Discography'!$G$4:$G$22,C15)&gt;0,"A Day At The Races",
IF(COUNTIF('Queen Discography'!$H$4:$H$22,C15)&gt;0,"News Of The World",
IF(COUNTIF('Queen Discography'!$I$4:$I$22,C15)&gt;0,"Jazz",
IF(COUNTIF('Queen Discography'!$J$4:$J$22,C15)&gt;0,"The Game",
IF(COUNTIF('Queen Discography'!$K$4:$K$22,C15)&gt;0,"Flash Gordon",
IF(COUNTIF('Queen Discography'!$L$4:$L$22,C15)&gt;0,"Hot Space",
IF(COUNTIF('Queen Discography'!$M$4:$M$22,C15)&gt;0,"The Works",
IF(COUNTIF('Queen Discography'!$N$4:$N$22,C15)&gt;0,"A Kind Of Magic",
IF(COUNTIF('Queen Discography'!$O$4:$O$22,C15)&gt;0,"The Miracle",
IF(COUNTIF('Queen Discography'!$P$4:$P$22,C15)&gt;0,"Innuendo",
IF(COUNTIF('Queen Discography'!$Q$4:$Q$22,C15)&gt;0,"Made In Heaven","NOT FOUND")))))))))))))))</f>
        <v>A Night At The Opera</v>
      </c>
      <c r="F15" s="68" t="s">
        <v>218</v>
      </c>
      <c r="G15" s="1"/>
      <c r="H15" s="37" t="s">
        <v>12</v>
      </c>
      <c r="I15" s="69">
        <f t="shared" si="1"/>
        <v>5</v>
      </c>
      <c r="J15" s="70">
        <f t="shared" si="2"/>
        <v>0.7875</v>
      </c>
      <c r="K15" s="1"/>
    </row>
    <row r="16">
      <c r="A16" s="1"/>
      <c r="C16" s="74" t="s">
        <v>19</v>
      </c>
      <c r="D16" s="71" t="s">
        <v>219</v>
      </c>
      <c r="E16" s="66" t="str">
        <f>IF(COUNTIF('Queen Discography'!$C$4:$C$22,C16)&gt;0,"Queen",
IF(COUNTIF('Queen Discography'!$D$4:$D$22,C16)&gt;0,"Queen II",
IF(COUNTIF('Queen Discography'!$E$4:$E$22,C16)&gt;0,"Sheer Heart Attack",
IF(COUNTIF('Queen Discography'!$F$4:$F$22,C16)&gt;0,"A Night At The Opera",
IF(COUNTIF('Queen Discography'!$G$4:$G$22,C16)&gt;0,"A Day At The Races",
IF(COUNTIF('Queen Discography'!$H$4:$H$22,C16)&gt;0,"News Of The World",
IF(COUNTIF('Queen Discography'!$I$4:$I$22,C16)&gt;0,"Jazz",
IF(COUNTIF('Queen Discography'!$J$4:$J$22,C16)&gt;0,"The Game",
IF(COUNTIF('Queen Discography'!$K$4:$K$22,C16)&gt;0,"Flash Gordon",
IF(COUNTIF('Queen Discography'!$L$4:$L$22,C16)&gt;0,"Hot Space",
IF(COUNTIF('Queen Discography'!$M$4:$M$22,C16)&gt;0,"The Works",
IF(COUNTIF('Queen Discography'!$N$4:$N$22,C16)&gt;0,"A Kind Of Magic",
IF(COUNTIF('Queen Discography'!$O$4:$O$22,C16)&gt;0,"The Miracle",
IF(COUNTIF('Queen Discography'!$P$4:$P$22,C16)&gt;0,"Innuendo",
IF(COUNTIF('Queen Discography'!$Q$4:$Q$22,C16)&gt;0,"Made In Heaven","NOT FOUND")))))))))))))))</f>
        <v>A Night At The Opera</v>
      </c>
      <c r="F16" s="68" t="s">
        <v>220</v>
      </c>
      <c r="G16" s="1"/>
      <c r="H16" s="37" t="s">
        <v>13</v>
      </c>
      <c r="I16" s="69">
        <f t="shared" si="1"/>
        <v>5</v>
      </c>
      <c r="J16" s="70">
        <f t="shared" si="2"/>
        <v>0.7875</v>
      </c>
      <c r="K16" s="1"/>
    </row>
    <row r="17">
      <c r="A17" s="1"/>
      <c r="C17" s="66" t="s">
        <v>165</v>
      </c>
      <c r="D17" s="71" t="s">
        <v>221</v>
      </c>
      <c r="E17" s="66" t="str">
        <f>IF(COUNTIF('Queen Discography'!$C$4:$C$22,C17)&gt;0,"Queen",
IF(COUNTIF('Queen Discography'!$D$4:$D$22,C17)&gt;0,"Queen II",
IF(COUNTIF('Queen Discography'!$E$4:$E$22,C17)&gt;0,"Sheer Heart Attack",
IF(COUNTIF('Queen Discography'!$F$4:$F$22,C17)&gt;0,"A Night At The Opera",
IF(COUNTIF('Queen Discography'!$G$4:$G$22,C17)&gt;0,"A Day At The Races",
IF(COUNTIF('Queen Discography'!$H$4:$H$22,C17)&gt;0,"News Of The World",
IF(COUNTIF('Queen Discography'!$I$4:$I$22,C17)&gt;0,"Jazz",
IF(COUNTIF('Queen Discography'!$J$4:$J$22,C17)&gt;0,"The Game",
IF(COUNTIF('Queen Discography'!$K$4:$K$22,C17)&gt;0,"Flash Gordon",
IF(COUNTIF('Queen Discography'!$L$4:$L$22,C17)&gt;0,"Hot Space",
IF(COUNTIF('Queen Discography'!$M$4:$M$22,C17)&gt;0,"The Works",
IF(COUNTIF('Queen Discography'!$N$4:$N$22,C17)&gt;0,"A Kind Of Magic",
IF(COUNTIF('Queen Discography'!$O$4:$O$22,C17)&gt;0,"The Miracle",
IF(COUNTIF('Queen Discography'!$P$4:$P$22,C17)&gt;0,"Innuendo",
IF(COUNTIF('Queen Discography'!$Q$4:$Q$22,C17)&gt;0,"Made In Heaven","NOT FOUND")))))))))))))))</f>
        <v>Hot Space</v>
      </c>
      <c r="F17" s="68" t="s">
        <v>222</v>
      </c>
      <c r="G17" s="1"/>
      <c r="H17" s="37" t="s">
        <v>14</v>
      </c>
      <c r="I17" s="69">
        <f t="shared" si="1"/>
        <v>9</v>
      </c>
      <c r="J17" s="70">
        <f t="shared" si="2"/>
        <v>0.4375</v>
      </c>
      <c r="K17" s="1"/>
    </row>
    <row r="18">
      <c r="A18" s="1"/>
      <c r="C18" s="66" t="s">
        <v>114</v>
      </c>
      <c r="D18" s="67" t="s">
        <v>223</v>
      </c>
      <c r="E18" s="66" t="str">
        <f>IF(COUNTIF('Queen Discography'!$C$4:$C$22,C18)&gt;0,"Queen",
IF(COUNTIF('Queen Discography'!$D$4:$D$22,C18)&gt;0,"Queen II",
IF(COUNTIF('Queen Discography'!$E$4:$E$22,C18)&gt;0,"Sheer Heart Attack",
IF(COUNTIF('Queen Discography'!$F$4:$F$22,C18)&gt;0,"A Night At The Opera",
IF(COUNTIF('Queen Discography'!$G$4:$G$22,C18)&gt;0,"A Day At The Races",
IF(COUNTIF('Queen Discography'!$H$4:$H$22,C18)&gt;0,"News Of The World",
IF(COUNTIF('Queen Discography'!$I$4:$I$22,C18)&gt;0,"Jazz",
IF(COUNTIF('Queen Discography'!$J$4:$J$22,C18)&gt;0,"The Game",
IF(COUNTIF('Queen Discography'!$K$4:$K$22,C18)&gt;0,"Flash Gordon",
IF(COUNTIF('Queen Discography'!$L$4:$L$22,C18)&gt;0,"Hot Space",
IF(COUNTIF('Queen Discography'!$M$4:$M$22,C18)&gt;0,"The Works",
IF(COUNTIF('Queen Discography'!$N$4:$N$22,C18)&gt;0,"A Kind Of Magic",
IF(COUNTIF('Queen Discography'!$O$4:$O$22,C18)&gt;0,"The Miracle",
IF(COUNTIF('Queen Discography'!$P$4:$P$22,C18)&gt;0,"Innuendo",
IF(COUNTIF('Queen Discography'!$Q$4:$Q$22,C18)&gt;0,"Made In Heaven","NOT FOUND")))))))))))))))</f>
        <v>Innuendo</v>
      </c>
      <c r="F18" s="68" t="s">
        <v>224</v>
      </c>
      <c r="G18" s="1"/>
      <c r="H18" s="37" t="s">
        <v>15</v>
      </c>
      <c r="I18" s="69">
        <f t="shared" si="1"/>
        <v>7</v>
      </c>
      <c r="J18" s="70">
        <f t="shared" si="2"/>
        <v>0.5625</v>
      </c>
      <c r="K18" s="1"/>
    </row>
    <row r="19">
      <c r="A19" s="1"/>
      <c r="C19" s="66" t="s">
        <v>166</v>
      </c>
      <c r="D19" s="71" t="s">
        <v>225</v>
      </c>
      <c r="E19" s="66" t="str">
        <f>IF(COUNTIF('Queen Discography'!$C$4:$C$22,C19)&gt;0,"Queen",
IF(COUNTIF('Queen Discography'!$D$4:$D$22,C19)&gt;0,"Queen II",
IF(COUNTIF('Queen Discography'!$E$4:$E$22,C19)&gt;0,"Sheer Heart Attack",
IF(COUNTIF('Queen Discography'!$F$4:$F$22,C19)&gt;0,"A Night At The Opera",
IF(COUNTIF('Queen Discography'!$G$4:$G$22,C19)&gt;0,"A Day At The Races",
IF(COUNTIF('Queen Discography'!$H$4:$H$22,C19)&gt;0,"News Of The World",
IF(COUNTIF('Queen Discography'!$I$4:$I$22,C19)&gt;0,"Jazz",
IF(COUNTIF('Queen Discography'!$J$4:$J$22,C19)&gt;0,"The Game",
IF(COUNTIF('Queen Discography'!$K$4:$K$22,C19)&gt;0,"Flash Gordon",
IF(COUNTIF('Queen Discography'!$L$4:$L$22,C19)&gt;0,"Hot Space",
IF(COUNTIF('Queen Discography'!$M$4:$M$22,C19)&gt;0,"The Works",
IF(COUNTIF('Queen Discography'!$N$4:$N$22,C19)&gt;0,"A Kind Of Magic",
IF(COUNTIF('Queen Discography'!$O$4:$O$22,C19)&gt;0,"The Miracle",
IF(COUNTIF('Queen Discography'!$P$4:$P$22,C19)&gt;0,"Innuendo",
IF(COUNTIF('Queen Discography'!$Q$4:$Q$22,C19)&gt;0,"Made In Heaven","NOT FOUND")))))))))))))))</f>
        <v>Innuendo</v>
      </c>
      <c r="F19" s="68" t="s">
        <v>226</v>
      </c>
      <c r="G19" s="1"/>
      <c r="H19" s="75" t="s">
        <v>227</v>
      </c>
      <c r="I19" s="69">
        <f t="shared" si="1"/>
        <v>2</v>
      </c>
      <c r="J19" s="70">
        <f t="shared" si="2"/>
        <v>1.96875</v>
      </c>
      <c r="K19" s="1"/>
    </row>
    <row r="20">
      <c r="A20" s="1"/>
      <c r="C20" s="66" t="s">
        <v>84</v>
      </c>
      <c r="D20" s="67" t="s">
        <v>228</v>
      </c>
      <c r="E20" s="66" t="str">
        <f>IF(COUNTIF('Queen Discography'!$C$4:$C$22,C20)&gt;0,"Queen",
IF(COUNTIF('Queen Discography'!$D$4:$D$22,C20)&gt;0,"Queen II",
IF(COUNTIF('Queen Discography'!$E$4:$E$22,C20)&gt;0,"Sheer Heart Attack",
IF(COUNTIF('Queen Discography'!$F$4:$F$22,C20)&gt;0,"A Night At The Opera",
IF(COUNTIF('Queen Discography'!$G$4:$G$22,C20)&gt;0,"A Day At The Races",
IF(COUNTIF('Queen Discography'!$H$4:$H$22,C20)&gt;0,"News Of The World",
IF(COUNTIF('Queen Discography'!$I$4:$I$22,C20)&gt;0,"Jazz",
IF(COUNTIF('Queen Discography'!$J$4:$J$22,C20)&gt;0,"The Game",
IF(COUNTIF('Queen Discography'!$K$4:$K$22,C20)&gt;0,"Flash Gordon",
IF(COUNTIF('Queen Discography'!$L$4:$L$22,C20)&gt;0,"Hot Space",
IF(COUNTIF('Queen Discography'!$M$4:$M$22,C20)&gt;0,"The Works",
IF(COUNTIF('Queen Discography'!$N$4:$N$22,C20)&gt;0,"A Kind Of Magic",
IF(COUNTIF('Queen Discography'!$O$4:$O$22,C20)&gt;0,"The Miracle",
IF(COUNTIF('Queen Discography'!$P$4:$P$22,C20)&gt;0,"Innuendo",
IF(COUNTIF('Queen Discography'!$Q$4:$Q$22,C20)&gt;0,"Made In Heaven","NOT FOUND")))))))))))))))</f>
        <v>Innuendo</v>
      </c>
      <c r="F20" s="68" t="s">
        <v>229</v>
      </c>
      <c r="G20" s="1"/>
      <c r="H20" s="76" t="s">
        <v>230</v>
      </c>
      <c r="I20" s="77">
        <f>SUM(I4:I19)</f>
        <v>63</v>
      </c>
      <c r="J20" s="78">
        <f>I20/COUNTA(H4:H19)</f>
        <v>3.9375</v>
      </c>
      <c r="K20" s="1"/>
    </row>
    <row r="21">
      <c r="A21" s="1"/>
      <c r="C21" s="66" t="s">
        <v>54</v>
      </c>
      <c r="D21" s="71" t="s">
        <v>231</v>
      </c>
      <c r="E21" s="66" t="str">
        <f>IF(COUNTIF('Queen Discography'!$C$4:$C$22,C21)&gt;0,"Queen",
IF(COUNTIF('Queen Discography'!$D$4:$D$22,C21)&gt;0,"Queen II",
IF(COUNTIF('Queen Discography'!$E$4:$E$22,C21)&gt;0,"Sheer Heart Attack",
IF(COUNTIF('Queen Discography'!$F$4:$F$22,C21)&gt;0,"A Night At The Opera",
IF(COUNTIF('Queen Discography'!$G$4:$G$22,C21)&gt;0,"A Day At The Races",
IF(COUNTIF('Queen Discography'!$H$4:$H$22,C21)&gt;0,"News Of The World",
IF(COUNTIF('Queen Discography'!$I$4:$I$22,C21)&gt;0,"Jazz",
IF(COUNTIF('Queen Discography'!$J$4:$J$22,C21)&gt;0,"The Game",
IF(COUNTIF('Queen Discography'!$K$4:$K$22,C21)&gt;0,"Flash Gordon",
IF(COUNTIF('Queen Discography'!$L$4:$L$22,C21)&gt;0,"Hot Space",
IF(COUNTIF('Queen Discography'!$M$4:$M$22,C21)&gt;0,"The Works",
IF(COUNTIF('Queen Discography'!$N$4:$N$22,C21)&gt;0,"A Kind Of Magic",
IF(COUNTIF('Queen Discography'!$O$4:$O$22,C21)&gt;0,"The Miracle",
IF(COUNTIF('Queen Discography'!$P$4:$P$22,C21)&gt;0,"Innuendo",
IF(COUNTIF('Queen Discography'!$Q$4:$Q$22,C21)&gt;0,"Made In Heaven","NOT FOUND")))))))))))))))</f>
        <v>Innuendo</v>
      </c>
      <c r="F21" s="68" t="s">
        <v>232</v>
      </c>
      <c r="G21" s="1"/>
      <c r="H21" s="1"/>
      <c r="I21" s="1"/>
      <c r="J21" s="1"/>
      <c r="K21" s="1"/>
    </row>
    <row r="22">
      <c r="A22" s="1"/>
      <c r="C22" s="66" t="s">
        <v>69</v>
      </c>
      <c r="D22" s="67" t="s">
        <v>233</v>
      </c>
      <c r="E22" s="66" t="str">
        <f>IF(COUNTIF('Queen Discography'!$C$4:$C$22,C22)&gt;0,"Queen",
IF(COUNTIF('Queen Discography'!$D$4:$D$22,C22)&gt;0,"Queen II",
IF(COUNTIF('Queen Discography'!$E$4:$E$22,C22)&gt;0,"Sheer Heart Attack",
IF(COUNTIF('Queen Discography'!$F$4:$F$22,C22)&gt;0,"A Night At The Opera",
IF(COUNTIF('Queen Discography'!$G$4:$G$22,C22)&gt;0,"A Day At The Races",
IF(COUNTIF('Queen Discography'!$H$4:$H$22,C22)&gt;0,"News Of The World",
IF(COUNTIF('Queen Discography'!$I$4:$I$22,C22)&gt;0,"Jazz",
IF(COUNTIF('Queen Discography'!$J$4:$J$22,C22)&gt;0,"The Game",
IF(COUNTIF('Queen Discography'!$K$4:$K$22,C22)&gt;0,"Flash Gordon",
IF(COUNTIF('Queen Discography'!$L$4:$L$22,C22)&gt;0,"Hot Space",
IF(COUNTIF('Queen Discography'!$M$4:$M$22,C22)&gt;0,"The Works",
IF(COUNTIF('Queen Discography'!$N$4:$N$22,C22)&gt;0,"A Kind Of Magic",
IF(COUNTIF('Queen Discography'!$O$4:$O$22,C22)&gt;0,"The Miracle",
IF(COUNTIF('Queen Discography'!$P$4:$P$22,C22)&gt;0,"Innuendo",
IF(COUNTIF('Queen Discography'!$Q$4:$Q$22,C22)&gt;0,"Made In Heaven","NOT FOUND")))))))))))))))</f>
        <v>Innuendo</v>
      </c>
      <c r="F22" s="68" t="s">
        <v>234</v>
      </c>
      <c r="G22" s="1"/>
      <c r="H22" s="79" t="s">
        <v>235</v>
      </c>
      <c r="I22" s="79">
        <v>2.0</v>
      </c>
      <c r="J22" s="1"/>
      <c r="K22" s="1"/>
    </row>
    <row r="23">
      <c r="A23" s="1"/>
      <c r="C23" s="66" t="s">
        <v>42</v>
      </c>
      <c r="D23" s="67" t="s">
        <v>236</v>
      </c>
      <c r="E23" s="66" t="str">
        <f>IF(COUNTIF('Queen Discography'!$C$4:$C$22,C23)&gt;0,"Queen",
IF(COUNTIF('Queen Discography'!$D$4:$D$22,C23)&gt;0,"Queen II",
IF(COUNTIF('Queen Discography'!$E$4:$E$22,C23)&gt;0,"Sheer Heart Attack",
IF(COUNTIF('Queen Discography'!$F$4:$F$22,C23)&gt;0,"A Night At The Opera",
IF(COUNTIF('Queen Discography'!$G$4:$G$22,C23)&gt;0,"A Day At The Races",
IF(COUNTIF('Queen Discography'!$H$4:$H$22,C23)&gt;0,"News Of The World",
IF(COUNTIF('Queen Discography'!$I$4:$I$22,C23)&gt;0,"Jazz",
IF(COUNTIF('Queen Discography'!$J$4:$J$22,C23)&gt;0,"The Game",
IF(COUNTIF('Queen Discography'!$K$4:$K$22,C23)&gt;0,"Flash Gordon",
IF(COUNTIF('Queen Discography'!$L$4:$L$22,C23)&gt;0,"Hot Space",
IF(COUNTIF('Queen Discography'!$M$4:$M$22,C23)&gt;0,"The Works",
IF(COUNTIF('Queen Discography'!$N$4:$N$22,C23)&gt;0,"A Kind Of Magic",
IF(COUNTIF('Queen Discography'!$O$4:$O$22,C23)&gt;0,"The Miracle",
IF(COUNTIF('Queen Discography'!$P$4:$P$22,C23)&gt;0,"Innuendo",
IF(COUNTIF('Queen Discography'!$Q$4:$Q$22,C23)&gt;0,"Made In Heaven","NOT FOUND")))))))))))))))</f>
        <v>Innuendo</v>
      </c>
      <c r="F23" s="68" t="s">
        <v>237</v>
      </c>
      <c r="G23" s="1"/>
      <c r="H23" s="1"/>
      <c r="I23" s="1"/>
      <c r="J23" s="1"/>
      <c r="K23" s="1"/>
    </row>
    <row r="24">
      <c r="A24" s="1"/>
      <c r="C24" s="66" t="s">
        <v>14</v>
      </c>
      <c r="D24" s="71" t="s">
        <v>238</v>
      </c>
      <c r="E24" s="66" t="str">
        <f>IF(COUNTIF('Queen Discography'!$C$4:$C$22,C24)&gt;0,"Queen",
IF(COUNTIF('Queen Discography'!$D$4:$D$22,C24)&gt;0,"Queen II",
IF(COUNTIF('Queen Discography'!$E$4:$E$22,C24)&gt;0,"Sheer Heart Attack",
IF(COUNTIF('Queen Discography'!$F$4:$F$22,C24)&gt;0,"A Night At The Opera",
IF(COUNTIF('Queen Discography'!$G$4:$G$22,C24)&gt;0,"A Day At The Races",
IF(COUNTIF('Queen Discography'!$H$4:$H$22,C24)&gt;0,"News Of The World",
IF(COUNTIF('Queen Discography'!$I$4:$I$22,C24)&gt;0,"Jazz",
IF(COUNTIF('Queen Discography'!$J$4:$J$22,C24)&gt;0,"The Game",
IF(COUNTIF('Queen Discography'!$K$4:$K$22,C24)&gt;0,"Flash Gordon",
IF(COUNTIF('Queen Discography'!$L$4:$L$22,C24)&gt;0,"Hot Space",
IF(COUNTIF('Queen Discography'!$M$4:$M$22,C24)&gt;0,"The Works",
IF(COUNTIF('Queen Discography'!$N$4:$N$22,C24)&gt;0,"A Kind Of Magic",
IF(COUNTIF('Queen Discography'!$O$4:$O$22,C24)&gt;0,"The Miracle",
IF(COUNTIF('Queen Discography'!$P$4:$P$22,C24)&gt;0,"Innuendo",
IF(COUNTIF('Queen Discography'!$Q$4:$Q$22,C24)&gt;0,"Made In Heaven","NOT FOUND")))))))))))))))</f>
        <v>Innuendo</v>
      </c>
      <c r="F24" s="68" t="s">
        <v>239</v>
      </c>
      <c r="G24" s="1"/>
      <c r="H24" s="1"/>
      <c r="I24" s="1"/>
      <c r="J24" s="1"/>
      <c r="K24" s="1"/>
    </row>
    <row r="25">
      <c r="A25" s="1"/>
      <c r="C25" s="66" t="s">
        <v>172</v>
      </c>
      <c r="D25" s="71" t="s">
        <v>240</v>
      </c>
      <c r="E25" s="66" t="str">
        <f>IF(COUNTIF('Queen Discography'!$C$4:$C$22,C25)&gt;0,"Queen",
IF(COUNTIF('Queen Discography'!$D$4:$D$22,C25)&gt;0,"Queen II",
IF(COUNTIF('Queen Discography'!$E$4:$E$22,C25)&gt;0,"Sheer Heart Attack",
IF(COUNTIF('Queen Discography'!$F$4:$F$22,C25)&gt;0,"A Night At The Opera",
IF(COUNTIF('Queen Discography'!$G$4:$G$22,C25)&gt;0,"A Day At The Races",
IF(COUNTIF('Queen Discography'!$H$4:$H$22,C25)&gt;0,"News Of The World",
IF(COUNTIF('Queen Discography'!$I$4:$I$22,C25)&gt;0,"Jazz",
IF(COUNTIF('Queen Discography'!$J$4:$J$22,C25)&gt;0,"The Game",
IF(COUNTIF('Queen Discography'!$K$4:$K$22,C25)&gt;0,"Flash Gordon",
IF(COUNTIF('Queen Discography'!$L$4:$L$22,C25)&gt;0,"Hot Space",
IF(COUNTIF('Queen Discography'!$M$4:$M$22,C25)&gt;0,"The Works",
IF(COUNTIF('Queen Discography'!$N$4:$N$22,C25)&gt;0,"A Kind Of Magic",
IF(COUNTIF('Queen Discography'!$O$4:$O$22,C25)&gt;0,"The Miracle",
IF(COUNTIF('Queen Discography'!$P$4:$P$22,C25)&gt;0,"Innuendo",
IF(COUNTIF('Queen Discography'!$Q$4:$Q$22,C25)&gt;0,"Made In Heaven","NOT FOUND")))))))))))))))</f>
        <v>Innuendo</v>
      </c>
      <c r="F25" s="68" t="s">
        <v>241</v>
      </c>
      <c r="G25" s="1"/>
      <c r="H25" s="1"/>
      <c r="I25" s="1"/>
      <c r="J25" s="1"/>
      <c r="K25" s="1"/>
    </row>
    <row r="26">
      <c r="A26" s="1"/>
      <c r="C26" s="66" t="s">
        <v>242</v>
      </c>
      <c r="D26" s="71" t="s">
        <v>243</v>
      </c>
      <c r="E26" s="66" t="str">
        <f>IF(COUNTIF('Queen Discography'!$C$4:$C$22,C26)&gt;0,"Queen",
IF(COUNTIF('Queen Discography'!$D$4:$D$22,C26)&gt;0,"Queen II",
IF(COUNTIF('Queen Discography'!$E$4:$E$22,C26)&gt;0,"Sheer Heart Attack",
IF(COUNTIF('Queen Discography'!$F$4:$F$22,C26)&gt;0,"A Night At The Opera",
IF(COUNTIF('Queen Discography'!$G$4:$G$22,C26)&gt;0,"A Day At The Races",
IF(COUNTIF('Queen Discography'!$H$4:$H$22,C26)&gt;0,"News Of The World",
IF(COUNTIF('Queen Discography'!$I$4:$I$22,C26)&gt;0,"Jazz",
IF(COUNTIF('Queen Discography'!$J$4:$J$22,C26)&gt;0,"The Game",
IF(COUNTIF('Queen Discography'!$K$4:$K$22,C26)&gt;0,"Flash Gordon",
IF(COUNTIF('Queen Discography'!$L$4:$L$22,C26)&gt;0,"Hot Space",
IF(COUNTIF('Queen Discography'!$M$4:$M$22,C26)&gt;0,"The Works",
IF(COUNTIF('Queen Discography'!$N$4:$N$22,C26)&gt;0,"A Kind Of Magic",
IF(COUNTIF('Queen Discography'!$O$4:$O$22,C26)&gt;0,"The Miracle",
IF(COUNTIF('Queen Discography'!$P$4:$P$22,C26)&gt;0,"Innuendo",
IF(COUNTIF('Queen Discography'!$Q$4:$Q$22,C26)&gt;0,"Made In Heaven","NOT FOUND")))))))))))))))</f>
        <v>Innuendo</v>
      </c>
      <c r="F26" s="68" t="s">
        <v>244</v>
      </c>
      <c r="G26" s="1"/>
      <c r="H26" s="1"/>
      <c r="I26" s="1"/>
      <c r="J26" s="1"/>
      <c r="K26" s="1"/>
    </row>
    <row r="27">
      <c r="A27" s="1"/>
      <c r="C27" s="66" t="s">
        <v>62</v>
      </c>
      <c r="D27" s="71" t="s">
        <v>245</v>
      </c>
      <c r="E27" s="66" t="str">
        <f>IF(COUNTIF('Queen Discography'!$C$4:$C$22,C27)&gt;0,"Queen",
IF(COUNTIF('Queen Discography'!$D$4:$D$22,C27)&gt;0,"Queen II",
IF(COUNTIF('Queen Discography'!$E$4:$E$22,C27)&gt;0,"Sheer Heart Attack",
IF(COUNTIF('Queen Discography'!$F$4:$F$22,C27)&gt;0,"A Night At The Opera",
IF(COUNTIF('Queen Discography'!$G$4:$G$22,C27)&gt;0,"A Day At The Races",
IF(COUNTIF('Queen Discography'!$H$4:$H$22,C27)&gt;0,"News Of The World",
IF(COUNTIF('Queen Discography'!$I$4:$I$22,C27)&gt;0,"Jazz",
IF(COUNTIF('Queen Discography'!$J$4:$J$22,C27)&gt;0,"The Game",
IF(COUNTIF('Queen Discography'!$K$4:$K$22,C27)&gt;0,"Flash Gordon",
IF(COUNTIF('Queen Discography'!$L$4:$L$22,C27)&gt;0,"Hot Space",
IF(COUNTIF('Queen Discography'!$M$4:$M$22,C27)&gt;0,"The Works",
IF(COUNTIF('Queen Discography'!$N$4:$N$22,C27)&gt;0,"A Kind Of Magic",
IF(COUNTIF('Queen Discography'!$O$4:$O$22,C27)&gt;0,"The Miracle",
IF(COUNTIF('Queen Discography'!$P$4:$P$22,C27)&gt;0,"Innuendo",
IF(COUNTIF('Queen Discography'!$Q$4:$Q$22,C27)&gt;0,"Made In Heaven","NOT FOUND")))))))))))))))</f>
        <v>Jazz</v>
      </c>
      <c r="F27" s="68" t="s">
        <v>246</v>
      </c>
      <c r="G27" s="1"/>
      <c r="H27" s="1"/>
      <c r="I27" s="1"/>
      <c r="J27" s="1"/>
      <c r="K27" s="1"/>
    </row>
    <row r="28">
      <c r="A28" s="1"/>
      <c r="C28" s="66" t="s">
        <v>170</v>
      </c>
      <c r="D28" s="67" t="s">
        <v>247</v>
      </c>
      <c r="E28" s="66" t="str">
        <f>IF(COUNTIF('Queen Discography'!$C$4:$C$22,C28)&gt;0,"Queen",
IF(COUNTIF('Queen Discography'!$D$4:$D$22,C28)&gt;0,"Queen II",
IF(COUNTIF('Queen Discography'!$E$4:$E$22,C28)&gt;0,"Sheer Heart Attack",
IF(COUNTIF('Queen Discography'!$F$4:$F$22,C28)&gt;0,"A Night At The Opera",
IF(COUNTIF('Queen Discography'!$G$4:$G$22,C28)&gt;0,"A Day At The Races",
IF(COUNTIF('Queen Discography'!$H$4:$H$22,C28)&gt;0,"News Of The World",
IF(COUNTIF('Queen Discography'!$I$4:$I$22,C28)&gt;0,"Jazz",
IF(COUNTIF('Queen Discography'!$J$4:$J$22,C28)&gt;0,"The Game",
IF(COUNTIF('Queen Discography'!$K$4:$K$22,C28)&gt;0,"Flash Gordon",
IF(COUNTIF('Queen Discography'!$L$4:$L$22,C28)&gt;0,"Hot Space",
IF(COUNTIF('Queen Discography'!$M$4:$M$22,C28)&gt;0,"The Works",
IF(COUNTIF('Queen Discography'!$N$4:$N$22,C28)&gt;0,"A Kind Of Magic",
IF(COUNTIF('Queen Discography'!$O$4:$O$22,C28)&gt;0,"The Miracle",
IF(COUNTIF('Queen Discography'!$P$4:$P$22,C28)&gt;0,"Innuendo",
IF(COUNTIF('Queen Discography'!$Q$4:$Q$22,C28)&gt;0,"Made In Heaven","NOT FOUND")))))))))))))))</f>
        <v>Jazz</v>
      </c>
      <c r="F28" s="68" t="s">
        <v>248</v>
      </c>
      <c r="G28" s="1"/>
      <c r="H28" s="1"/>
      <c r="I28" s="1"/>
      <c r="J28" s="1"/>
      <c r="K28" s="1"/>
    </row>
    <row r="29">
      <c r="A29" s="1"/>
      <c r="C29" s="66" t="s">
        <v>36</v>
      </c>
      <c r="D29" s="71" t="s">
        <v>249</v>
      </c>
      <c r="E29" s="66" t="str">
        <f>IF(COUNTIF('Queen Discography'!$C$4:$C$22,C29)&gt;0,"Queen",
IF(COUNTIF('Queen Discography'!$D$4:$D$22,C29)&gt;0,"Queen II",
IF(COUNTIF('Queen Discography'!$E$4:$E$22,C29)&gt;0,"Sheer Heart Attack",
IF(COUNTIF('Queen Discography'!$F$4:$F$22,C29)&gt;0,"A Night At The Opera",
IF(COUNTIF('Queen Discography'!$G$4:$G$22,C29)&gt;0,"A Day At The Races",
IF(COUNTIF('Queen Discography'!$H$4:$H$22,C29)&gt;0,"News Of The World",
IF(COUNTIF('Queen Discography'!$I$4:$I$22,C29)&gt;0,"Jazz",
IF(COUNTIF('Queen Discography'!$J$4:$J$22,C29)&gt;0,"The Game",
IF(COUNTIF('Queen Discography'!$K$4:$K$22,C29)&gt;0,"Flash Gordon",
IF(COUNTIF('Queen Discography'!$L$4:$L$22,C29)&gt;0,"Hot Space",
IF(COUNTIF('Queen Discography'!$M$4:$M$22,C29)&gt;0,"The Works",
IF(COUNTIF('Queen Discography'!$N$4:$N$22,C29)&gt;0,"A Kind Of Magic",
IF(COUNTIF('Queen Discography'!$O$4:$O$22,C29)&gt;0,"The Miracle",
IF(COUNTIF('Queen Discography'!$P$4:$P$22,C29)&gt;0,"Innuendo",
IF(COUNTIF('Queen Discography'!$Q$4:$Q$22,C29)&gt;0,"Made In Heaven","NOT FOUND")))))))))))))))</f>
        <v>Jazz</v>
      </c>
      <c r="F29" s="68" t="s">
        <v>250</v>
      </c>
      <c r="G29" s="1"/>
      <c r="H29" s="1"/>
      <c r="I29" s="1"/>
      <c r="J29" s="1"/>
      <c r="K29" s="1"/>
    </row>
    <row r="30">
      <c r="A30" s="1"/>
      <c r="C30" s="66" t="s">
        <v>152</v>
      </c>
      <c r="D30" s="71" t="s">
        <v>251</v>
      </c>
      <c r="E30" s="66" t="str">
        <f>IF(COUNTIF('Queen Discography'!$C$4:$C$22,C30)&gt;0,"Queen",
IF(COUNTIF('Queen Discography'!$D$4:$D$22,C30)&gt;0,"Queen II",
IF(COUNTIF('Queen Discography'!$E$4:$E$22,C30)&gt;0,"Sheer Heart Attack",
IF(COUNTIF('Queen Discography'!$F$4:$F$22,C30)&gt;0,"A Night At The Opera",
IF(COUNTIF('Queen Discography'!$G$4:$G$22,C30)&gt;0,"A Day At The Races",
IF(COUNTIF('Queen Discography'!$H$4:$H$22,C30)&gt;0,"News Of The World",
IF(COUNTIF('Queen Discography'!$I$4:$I$22,C30)&gt;0,"Jazz",
IF(COUNTIF('Queen Discography'!$J$4:$J$22,C30)&gt;0,"The Game",
IF(COUNTIF('Queen Discography'!$K$4:$K$22,C30)&gt;0,"Flash Gordon",
IF(COUNTIF('Queen Discography'!$L$4:$L$22,C30)&gt;0,"Hot Space",
IF(COUNTIF('Queen Discography'!$M$4:$M$22,C30)&gt;0,"The Works",
IF(COUNTIF('Queen Discography'!$N$4:$N$22,C30)&gt;0,"A Kind Of Magic",
IF(COUNTIF('Queen Discography'!$O$4:$O$22,C30)&gt;0,"The Miracle",
IF(COUNTIF('Queen Discography'!$P$4:$P$22,C30)&gt;0,"Innuendo",
IF(COUNTIF('Queen Discography'!$Q$4:$Q$22,C30)&gt;0,"Made In Heaven","NOT FOUND")))))))))))))))</f>
        <v>Jazz</v>
      </c>
      <c r="F30" s="68" t="s">
        <v>252</v>
      </c>
      <c r="G30" s="1"/>
      <c r="H30" s="1"/>
      <c r="I30" s="1"/>
      <c r="J30" s="1"/>
      <c r="K30" s="1"/>
    </row>
    <row r="31">
      <c r="A31" s="1"/>
      <c r="C31" s="66" t="s">
        <v>122</v>
      </c>
      <c r="D31" s="71" t="s">
        <v>253</v>
      </c>
      <c r="E31" s="66" t="str">
        <f>IF(COUNTIF('Queen Discography'!$C$4:$C$22,C31)&gt;0,"Queen",
IF(COUNTIF('Queen Discography'!$D$4:$D$22,C31)&gt;0,"Queen II",
IF(COUNTIF('Queen Discography'!$E$4:$E$22,C31)&gt;0,"Sheer Heart Attack",
IF(COUNTIF('Queen Discography'!$F$4:$F$22,C31)&gt;0,"A Night At The Opera",
IF(COUNTIF('Queen Discography'!$G$4:$G$22,C31)&gt;0,"A Day At The Races",
IF(COUNTIF('Queen Discography'!$H$4:$H$22,C31)&gt;0,"News Of The World",
IF(COUNTIF('Queen Discography'!$I$4:$I$22,C31)&gt;0,"Jazz",
IF(COUNTIF('Queen Discography'!$J$4:$J$22,C31)&gt;0,"The Game",
IF(COUNTIF('Queen Discography'!$K$4:$K$22,C31)&gt;0,"Flash Gordon",
IF(COUNTIF('Queen Discography'!$L$4:$L$22,C31)&gt;0,"Hot Space",
IF(COUNTIF('Queen Discography'!$M$4:$M$22,C31)&gt;0,"The Works",
IF(COUNTIF('Queen Discography'!$N$4:$N$22,C31)&gt;0,"A Kind Of Magic",
IF(COUNTIF('Queen Discography'!$O$4:$O$22,C31)&gt;0,"The Miracle",
IF(COUNTIF('Queen Discography'!$P$4:$P$22,C31)&gt;0,"Innuendo",
IF(COUNTIF('Queen Discography'!$Q$4:$Q$22,C31)&gt;0,"Made In Heaven","NOT FOUND")))))))))))))))</f>
        <v>Jazz</v>
      </c>
      <c r="F31" s="68" t="s">
        <v>254</v>
      </c>
      <c r="G31" s="1"/>
      <c r="H31" s="1"/>
      <c r="I31" s="1"/>
      <c r="J31" s="1"/>
      <c r="K31" s="1"/>
    </row>
    <row r="32">
      <c r="A32" s="1"/>
      <c r="C32" s="66" t="s">
        <v>255</v>
      </c>
      <c r="D32" s="71" t="s">
        <v>256</v>
      </c>
      <c r="E32" s="66" t="str">
        <f>IF(COUNTIF('Queen Discography'!$C$4:$C$22,C32)&gt;0,"Queen",
IF(COUNTIF('Queen Discography'!$D$4:$D$22,C32)&gt;0,"Queen II",
IF(COUNTIF('Queen Discography'!$E$4:$E$22,C32)&gt;0,"Sheer Heart Attack",
IF(COUNTIF('Queen Discography'!$F$4:$F$22,C32)&gt;0,"A Night At The Opera",
IF(COUNTIF('Queen Discography'!$G$4:$G$22,C32)&gt;0,"A Day At The Races",
IF(COUNTIF('Queen Discography'!$H$4:$H$22,C32)&gt;0,"News Of The World",
IF(COUNTIF('Queen Discography'!$I$4:$I$22,C32)&gt;0,"Jazz",
IF(COUNTIF('Queen Discography'!$J$4:$J$22,C32)&gt;0,"The Game",
IF(COUNTIF('Queen Discography'!$K$4:$K$22,C32)&gt;0,"Flash Gordon",
IF(COUNTIF('Queen Discography'!$L$4:$L$22,C32)&gt;0,"Hot Space",
IF(COUNTIF('Queen Discography'!$M$4:$M$22,C32)&gt;0,"The Works",
IF(COUNTIF('Queen Discography'!$N$4:$N$22,C32)&gt;0,"A Kind Of Magic",
IF(COUNTIF('Queen Discography'!$O$4:$O$22,C32)&gt;0,"The Miracle",
IF(COUNTIF('Queen Discography'!$P$4:$P$22,C32)&gt;0,"Innuendo",
IF(COUNTIF('Queen Discography'!$Q$4:$Q$22,C32)&gt;0,"Made In Heaven","NOT FOUND")))))))))))))))</f>
        <v>Made In Heaven</v>
      </c>
      <c r="F32" s="68" t="s">
        <v>257</v>
      </c>
      <c r="G32" s="1"/>
      <c r="H32" s="1"/>
      <c r="I32" s="1"/>
      <c r="J32" s="1"/>
      <c r="K32" s="1"/>
    </row>
    <row r="33">
      <c r="A33" s="1"/>
      <c r="C33" s="66" t="s">
        <v>258</v>
      </c>
      <c r="D33" s="71" t="s">
        <v>259</v>
      </c>
      <c r="E33" s="66" t="str">
        <f>IF(COUNTIF('Queen Discography'!$C$4:$C$22,C33)&gt;0,"Queen",
IF(COUNTIF('Queen Discography'!$D$4:$D$22,C33)&gt;0,"Queen II",
IF(COUNTIF('Queen Discography'!$E$4:$E$22,C33)&gt;0,"Sheer Heart Attack",
IF(COUNTIF('Queen Discography'!$F$4:$F$22,C33)&gt;0,"A Night At The Opera",
IF(COUNTIF('Queen Discography'!$G$4:$G$22,C33)&gt;0,"A Day At The Races",
IF(COUNTIF('Queen Discography'!$H$4:$H$22,C33)&gt;0,"News Of The World",
IF(COUNTIF('Queen Discography'!$I$4:$I$22,C33)&gt;0,"Jazz",
IF(COUNTIF('Queen Discography'!$J$4:$J$22,C33)&gt;0,"The Game",
IF(COUNTIF('Queen Discography'!$K$4:$K$22,C33)&gt;0,"Flash Gordon",
IF(COUNTIF('Queen Discography'!$L$4:$L$22,C33)&gt;0,"Hot Space",
IF(COUNTIF('Queen Discography'!$M$4:$M$22,C33)&gt;0,"The Works",
IF(COUNTIF('Queen Discography'!$N$4:$N$22,C33)&gt;0,"A Kind Of Magic",
IF(COUNTIF('Queen Discography'!$O$4:$O$22,C33)&gt;0,"The Miracle",
IF(COUNTIF('Queen Discography'!$P$4:$P$22,C33)&gt;0,"Innuendo",
IF(COUNTIF('Queen Discography'!$Q$4:$Q$22,C33)&gt;0,"Made In Heaven","NOT FOUND")))))))))))))))</f>
        <v>Made In Heaven</v>
      </c>
      <c r="F33" s="68" t="s">
        <v>260</v>
      </c>
      <c r="G33" s="1"/>
      <c r="H33" s="1"/>
      <c r="I33" s="1"/>
      <c r="J33" s="1"/>
      <c r="K33" s="1"/>
    </row>
    <row r="34">
      <c r="A34" s="1"/>
      <c r="C34" s="66" t="s">
        <v>261</v>
      </c>
      <c r="D34" s="71" t="s">
        <v>262</v>
      </c>
      <c r="E34" s="66" t="str">
        <f>IF(COUNTIF('Queen Discography'!$C$4:$C$22,C34)&gt;0,"Queen",
IF(COUNTIF('Queen Discography'!$D$4:$D$22,C34)&gt;0,"Queen II",
IF(COUNTIF('Queen Discography'!$E$4:$E$22,C34)&gt;0,"Sheer Heart Attack",
IF(COUNTIF('Queen Discography'!$F$4:$F$22,C34)&gt;0,"A Night At The Opera",
IF(COUNTIF('Queen Discography'!$G$4:$G$22,C34)&gt;0,"A Day At The Races",
IF(COUNTIF('Queen Discography'!$H$4:$H$22,C34)&gt;0,"News Of The World",
IF(COUNTIF('Queen Discography'!$I$4:$I$22,C34)&gt;0,"Jazz",
IF(COUNTIF('Queen Discography'!$J$4:$J$22,C34)&gt;0,"The Game",
IF(COUNTIF('Queen Discography'!$K$4:$K$22,C34)&gt;0,"Flash Gordon",
IF(COUNTIF('Queen Discography'!$L$4:$L$22,C34)&gt;0,"Hot Space",
IF(COUNTIF('Queen Discography'!$M$4:$M$22,C34)&gt;0,"The Works",
IF(COUNTIF('Queen Discography'!$N$4:$N$22,C34)&gt;0,"A Kind Of Magic",
IF(COUNTIF('Queen Discography'!$O$4:$O$22,C34)&gt;0,"The Miracle",
IF(COUNTIF('Queen Discography'!$P$4:$P$22,C34)&gt;0,"Innuendo",
IF(COUNTIF('Queen Discography'!$Q$4:$Q$22,C34)&gt;0,"Made In Heaven","NOT FOUND")))))))))))))))</f>
        <v>Made In Heaven</v>
      </c>
      <c r="F34" s="68" t="s">
        <v>263</v>
      </c>
      <c r="G34" s="1"/>
      <c r="H34" s="1"/>
      <c r="I34" s="1"/>
      <c r="J34" s="1"/>
      <c r="K34" s="1"/>
    </row>
    <row r="35">
      <c r="A35" s="1"/>
      <c r="C35" s="66" t="s">
        <v>70</v>
      </c>
      <c r="D35" s="71" t="s">
        <v>264</v>
      </c>
      <c r="E35" s="66" t="str">
        <f>IF(COUNTIF('Queen Discography'!$C$4:$C$22,C35)&gt;0,"Queen",
IF(COUNTIF('Queen Discography'!$D$4:$D$22,C35)&gt;0,"Queen II",
IF(COUNTIF('Queen Discography'!$E$4:$E$22,C35)&gt;0,"Sheer Heart Attack",
IF(COUNTIF('Queen Discography'!$F$4:$F$22,C35)&gt;0,"A Night At The Opera",
IF(COUNTIF('Queen Discography'!$G$4:$G$22,C35)&gt;0,"A Day At The Races",
IF(COUNTIF('Queen Discography'!$H$4:$H$22,C35)&gt;0,"News Of The World",
IF(COUNTIF('Queen Discography'!$I$4:$I$22,C35)&gt;0,"Jazz",
IF(COUNTIF('Queen Discography'!$J$4:$J$22,C35)&gt;0,"The Game",
IF(COUNTIF('Queen Discography'!$K$4:$K$22,C35)&gt;0,"Flash Gordon",
IF(COUNTIF('Queen Discography'!$L$4:$L$22,C35)&gt;0,"Hot Space",
IF(COUNTIF('Queen Discography'!$M$4:$M$22,C35)&gt;0,"The Works",
IF(COUNTIF('Queen Discography'!$N$4:$N$22,C35)&gt;0,"A Kind Of Magic",
IF(COUNTIF('Queen Discography'!$O$4:$O$22,C35)&gt;0,"The Miracle",
IF(COUNTIF('Queen Discography'!$P$4:$P$22,C35)&gt;0,"Innuendo",
IF(COUNTIF('Queen Discography'!$Q$4:$Q$22,C35)&gt;0,"Made In Heaven","NOT FOUND")))))))))))))))</f>
        <v>Made In Heaven</v>
      </c>
      <c r="F35" s="68" t="s">
        <v>265</v>
      </c>
      <c r="G35" s="1"/>
      <c r="H35" s="1"/>
      <c r="I35" s="1"/>
      <c r="J35" s="1"/>
      <c r="K35" s="1"/>
    </row>
    <row r="36">
      <c r="A36" s="1"/>
      <c r="C36" s="66" t="s">
        <v>85</v>
      </c>
      <c r="D36" s="71" t="s">
        <v>266</v>
      </c>
      <c r="E36" s="66" t="str">
        <f>IF(COUNTIF('Queen Discography'!$C$4:$C$22,C36)&gt;0,"Queen",
IF(COUNTIF('Queen Discography'!$D$4:$D$22,C36)&gt;0,"Queen II",
IF(COUNTIF('Queen Discography'!$E$4:$E$22,C36)&gt;0,"Sheer Heart Attack",
IF(COUNTIF('Queen Discography'!$F$4:$F$22,C36)&gt;0,"A Night At The Opera",
IF(COUNTIF('Queen Discography'!$G$4:$G$22,C36)&gt;0,"A Day At The Races",
IF(COUNTIF('Queen Discography'!$H$4:$H$22,C36)&gt;0,"News Of The World",
IF(COUNTIF('Queen Discography'!$I$4:$I$22,C36)&gt;0,"Jazz",
IF(COUNTIF('Queen Discography'!$J$4:$J$22,C36)&gt;0,"The Game",
IF(COUNTIF('Queen Discography'!$K$4:$K$22,C36)&gt;0,"Flash Gordon",
IF(COUNTIF('Queen Discography'!$L$4:$L$22,C36)&gt;0,"Hot Space",
IF(COUNTIF('Queen Discography'!$M$4:$M$22,C36)&gt;0,"The Works",
IF(COUNTIF('Queen Discography'!$N$4:$N$22,C36)&gt;0,"A Kind Of Magic",
IF(COUNTIF('Queen Discography'!$O$4:$O$22,C36)&gt;0,"The Miracle",
IF(COUNTIF('Queen Discography'!$P$4:$P$22,C36)&gt;0,"Innuendo",
IF(COUNTIF('Queen Discography'!$Q$4:$Q$22,C36)&gt;0,"Made In Heaven","NOT FOUND")))))))))))))))</f>
        <v>Made In Heaven</v>
      </c>
      <c r="F36" s="68" t="s">
        <v>267</v>
      </c>
      <c r="G36" s="1"/>
      <c r="H36" s="1"/>
      <c r="I36" s="1"/>
      <c r="J36" s="1"/>
      <c r="K36" s="1"/>
    </row>
    <row r="37">
      <c r="A37" s="1"/>
      <c r="C37" s="66" t="s">
        <v>130</v>
      </c>
      <c r="D37" s="71" t="s">
        <v>268</v>
      </c>
      <c r="E37" s="66" t="str">
        <f>IF(COUNTIF('Queen Discography'!$C$4:$C$22,C37)&gt;0,"Queen",
IF(COUNTIF('Queen Discography'!$D$4:$D$22,C37)&gt;0,"Queen II",
IF(COUNTIF('Queen Discography'!$E$4:$E$22,C37)&gt;0,"Sheer Heart Attack",
IF(COUNTIF('Queen Discography'!$F$4:$F$22,C37)&gt;0,"A Night At The Opera",
IF(COUNTIF('Queen Discography'!$G$4:$G$22,C37)&gt;0,"A Day At The Races",
IF(COUNTIF('Queen Discography'!$H$4:$H$22,C37)&gt;0,"News Of The World",
IF(COUNTIF('Queen Discography'!$I$4:$I$22,C37)&gt;0,"Jazz",
IF(COUNTIF('Queen Discography'!$J$4:$J$22,C37)&gt;0,"The Game",
IF(COUNTIF('Queen Discography'!$K$4:$K$22,C37)&gt;0,"Flash Gordon",
IF(COUNTIF('Queen Discography'!$L$4:$L$22,C37)&gt;0,"Hot Space",
IF(COUNTIF('Queen Discography'!$M$4:$M$22,C37)&gt;0,"The Works",
IF(COUNTIF('Queen Discography'!$N$4:$N$22,C37)&gt;0,"A Kind Of Magic",
IF(COUNTIF('Queen Discography'!$O$4:$O$22,C37)&gt;0,"The Miracle",
IF(COUNTIF('Queen Discography'!$P$4:$P$22,C37)&gt;0,"Innuendo",
IF(COUNTIF('Queen Discography'!$Q$4:$Q$22,C37)&gt;0,"Made In Heaven","NOT FOUND")))))))))))))))</f>
        <v>Made In Heaven</v>
      </c>
      <c r="F37" s="68" t="s">
        <v>269</v>
      </c>
      <c r="G37" s="1"/>
      <c r="H37" s="1"/>
      <c r="I37" s="1"/>
      <c r="J37" s="1"/>
      <c r="K37" s="1"/>
    </row>
    <row r="38">
      <c r="A38" s="1"/>
      <c r="C38" s="66" t="s">
        <v>145</v>
      </c>
      <c r="D38" s="67" t="s">
        <v>270</v>
      </c>
      <c r="E38" s="66" t="str">
        <f>IF(COUNTIF('Queen Discography'!$C$4:$C$22,C38)&gt;0,"Queen",
IF(COUNTIF('Queen Discography'!$D$4:$D$22,C38)&gt;0,"Queen II",
IF(COUNTIF('Queen Discography'!$E$4:$E$22,C38)&gt;0,"Sheer Heart Attack",
IF(COUNTIF('Queen Discography'!$F$4:$F$22,C38)&gt;0,"A Night At The Opera",
IF(COUNTIF('Queen Discography'!$G$4:$G$22,C38)&gt;0,"A Day At The Races",
IF(COUNTIF('Queen Discography'!$H$4:$H$22,C38)&gt;0,"News Of The World",
IF(COUNTIF('Queen Discography'!$I$4:$I$22,C38)&gt;0,"Jazz",
IF(COUNTIF('Queen Discography'!$J$4:$J$22,C38)&gt;0,"The Game",
IF(COUNTIF('Queen Discography'!$K$4:$K$22,C38)&gt;0,"Flash Gordon",
IF(COUNTIF('Queen Discography'!$L$4:$L$22,C38)&gt;0,"Hot Space",
IF(COUNTIF('Queen Discography'!$M$4:$M$22,C38)&gt;0,"The Works",
IF(COUNTIF('Queen Discography'!$N$4:$N$22,C38)&gt;0,"A Kind Of Magic",
IF(COUNTIF('Queen Discography'!$O$4:$O$22,C38)&gt;0,"The Miracle",
IF(COUNTIF('Queen Discography'!$P$4:$P$22,C38)&gt;0,"Innuendo",
IF(COUNTIF('Queen Discography'!$Q$4:$Q$22,C38)&gt;0,"Made In Heaven","NOT FOUND")))))))))))))))</f>
        <v>Made In Heaven</v>
      </c>
      <c r="F38" s="68" t="s">
        <v>271</v>
      </c>
      <c r="G38" s="1"/>
      <c r="H38" s="1"/>
      <c r="I38" s="1"/>
      <c r="J38" s="1"/>
      <c r="K38" s="1"/>
    </row>
    <row r="39">
      <c r="A39" s="1"/>
      <c r="C39" s="66" t="s">
        <v>162</v>
      </c>
      <c r="D39" s="71" t="s">
        <v>272</v>
      </c>
      <c r="E39" s="66" t="str">
        <f>IF(COUNTIF('Queen Discography'!$C$4:$C$22,C39)&gt;0,"Queen",
IF(COUNTIF('Queen Discography'!$D$4:$D$22,C39)&gt;0,"Queen II",
IF(COUNTIF('Queen Discography'!$E$4:$E$22,C39)&gt;0,"Sheer Heart Attack",
IF(COUNTIF('Queen Discography'!$F$4:$F$22,C39)&gt;0,"A Night At The Opera",
IF(COUNTIF('Queen Discography'!$G$4:$G$22,C39)&gt;0,"A Day At The Races",
IF(COUNTIF('Queen Discography'!$H$4:$H$22,C39)&gt;0,"News Of The World",
IF(COUNTIF('Queen Discography'!$I$4:$I$22,C39)&gt;0,"Jazz",
IF(COUNTIF('Queen Discography'!$J$4:$J$22,C39)&gt;0,"The Game",
IF(COUNTIF('Queen Discography'!$K$4:$K$22,C39)&gt;0,"Flash Gordon",
IF(COUNTIF('Queen Discography'!$L$4:$L$22,C39)&gt;0,"Hot Space",
IF(COUNTIF('Queen Discography'!$M$4:$M$22,C39)&gt;0,"The Works",
IF(COUNTIF('Queen Discography'!$N$4:$N$22,C39)&gt;0,"A Kind Of Magic",
IF(COUNTIF('Queen Discography'!$O$4:$O$22,C39)&gt;0,"The Miracle",
IF(COUNTIF('Queen Discography'!$P$4:$P$22,C39)&gt;0,"Innuendo",
IF(COUNTIF('Queen Discography'!$Q$4:$Q$22,C39)&gt;0,"Made In Heaven","NOT FOUND")))))))))))))))</f>
        <v>News Of The World</v>
      </c>
      <c r="F39" s="68" t="s">
        <v>273</v>
      </c>
      <c r="G39" s="1"/>
      <c r="H39" s="1"/>
      <c r="I39" s="1"/>
      <c r="J39" s="1"/>
      <c r="K39" s="1"/>
    </row>
    <row r="40">
      <c r="A40" s="1"/>
      <c r="C40" s="80" t="s">
        <v>76</v>
      </c>
      <c r="D40" s="71" t="s">
        <v>274</v>
      </c>
      <c r="E40" s="66" t="str">
        <f>IF(COUNTIF('Queen Discography'!$C$4:$C$22,C40)&gt;0,"Queen",
IF(COUNTIF('Queen Discography'!$D$4:$D$22,C40)&gt;0,"Queen II",
IF(COUNTIF('Queen Discography'!$E$4:$E$22,C40)&gt;0,"Sheer Heart Attack",
IF(COUNTIF('Queen Discography'!$F$4:$F$22,C40)&gt;0,"A Night At The Opera",
IF(COUNTIF('Queen Discography'!$G$4:$G$22,C40)&gt;0,"A Day At The Races",
IF(COUNTIF('Queen Discography'!$H$4:$H$22,C40)&gt;0,"News Of The World",
IF(COUNTIF('Queen Discography'!$I$4:$I$22,C40)&gt;0,"Jazz",
IF(COUNTIF('Queen Discography'!$J$4:$J$22,C40)&gt;0,"The Game",
IF(COUNTIF('Queen Discography'!$K$4:$K$22,C40)&gt;0,"Flash Gordon",
IF(COUNTIF('Queen Discography'!$L$4:$L$22,C40)&gt;0,"Hot Space",
IF(COUNTIF('Queen Discography'!$M$4:$M$22,C40)&gt;0,"The Works",
IF(COUNTIF('Queen Discography'!$N$4:$N$22,C40)&gt;0,"A Kind Of Magic",
IF(COUNTIF('Queen Discography'!$O$4:$O$22,C40)&gt;0,"The Miracle",
IF(COUNTIF('Queen Discography'!$P$4:$P$22,C40)&gt;0,"Innuendo",
IF(COUNTIF('Queen Discography'!$Q$4:$Q$22,C40)&gt;0,"Made In Heaven","NOT FOUND")))))))))))))))</f>
        <v>News Of The World</v>
      </c>
      <c r="F40" s="68" t="s">
        <v>275</v>
      </c>
      <c r="G40" s="1"/>
      <c r="H40" s="1"/>
      <c r="I40" s="1"/>
      <c r="J40" s="1"/>
      <c r="K40" s="1"/>
    </row>
    <row r="41">
      <c r="A41" s="1"/>
      <c r="C41" s="80" t="s">
        <v>35</v>
      </c>
      <c r="D41" s="71" t="s">
        <v>276</v>
      </c>
      <c r="E41" s="66" t="str">
        <f>IF(COUNTIF('Queen Discography'!$C$4:$C$22,C41)&gt;0,"Queen",
IF(COUNTIF('Queen Discography'!$D$4:$D$22,C41)&gt;0,"Queen II",
IF(COUNTIF('Queen Discography'!$E$4:$E$22,C41)&gt;0,"Sheer Heart Attack",
IF(COUNTIF('Queen Discography'!$F$4:$F$22,C41)&gt;0,"A Night At The Opera",
IF(COUNTIF('Queen Discography'!$G$4:$G$22,C41)&gt;0,"A Day At The Races",
IF(COUNTIF('Queen Discography'!$H$4:$H$22,C41)&gt;0,"News Of The World",
IF(COUNTIF('Queen Discography'!$I$4:$I$22,C41)&gt;0,"Jazz",
IF(COUNTIF('Queen Discography'!$J$4:$J$22,C41)&gt;0,"The Game",
IF(COUNTIF('Queen Discography'!$K$4:$K$22,C41)&gt;0,"Flash Gordon",
IF(COUNTIF('Queen Discography'!$L$4:$L$22,C41)&gt;0,"Hot Space",
IF(COUNTIF('Queen Discography'!$M$4:$M$22,C41)&gt;0,"The Works",
IF(COUNTIF('Queen Discography'!$N$4:$N$22,C41)&gt;0,"A Kind Of Magic",
IF(COUNTIF('Queen Discography'!$O$4:$O$22,C41)&gt;0,"The Miracle",
IF(COUNTIF('Queen Discography'!$P$4:$P$22,C41)&gt;0,"Innuendo",
IF(COUNTIF('Queen Discography'!$Q$4:$Q$22,C41)&gt;0,"Made In Heaven","NOT FOUND")))))))))))))))</f>
        <v>News Of The World</v>
      </c>
      <c r="F41" s="68" t="s">
        <v>277</v>
      </c>
      <c r="G41" s="1"/>
      <c r="H41" s="1"/>
      <c r="I41" s="1"/>
      <c r="J41" s="1"/>
      <c r="K41" s="1"/>
    </row>
    <row r="42">
      <c r="A42" s="1"/>
      <c r="C42" s="80" t="s">
        <v>21</v>
      </c>
      <c r="D42" s="71" t="s">
        <v>278</v>
      </c>
      <c r="E42" s="66" t="str">
        <f>IF(COUNTIF('Queen Discography'!$C$4:$C$22,C42)&gt;0,"Queen",
IF(COUNTIF('Queen Discography'!$D$4:$D$22,C42)&gt;0,"Queen II",
IF(COUNTIF('Queen Discography'!$E$4:$E$22,C42)&gt;0,"Sheer Heart Attack",
IF(COUNTIF('Queen Discography'!$F$4:$F$22,C42)&gt;0,"A Night At The Opera",
IF(COUNTIF('Queen Discography'!$G$4:$G$22,C42)&gt;0,"A Day At The Races",
IF(COUNTIF('Queen Discography'!$H$4:$H$22,C42)&gt;0,"News Of The World",
IF(COUNTIF('Queen Discography'!$I$4:$I$22,C42)&gt;0,"Jazz",
IF(COUNTIF('Queen Discography'!$J$4:$J$22,C42)&gt;0,"The Game",
IF(COUNTIF('Queen Discography'!$K$4:$K$22,C42)&gt;0,"Flash Gordon",
IF(COUNTIF('Queen Discography'!$L$4:$L$22,C42)&gt;0,"Hot Space",
IF(COUNTIF('Queen Discography'!$M$4:$M$22,C42)&gt;0,"The Works",
IF(COUNTIF('Queen Discography'!$N$4:$N$22,C42)&gt;0,"A Kind Of Magic",
IF(COUNTIF('Queen Discography'!$O$4:$O$22,C42)&gt;0,"The Miracle",
IF(COUNTIF('Queen Discography'!$P$4:$P$22,C42)&gt;0,"Innuendo",
IF(COUNTIF('Queen Discography'!$Q$4:$Q$22,C42)&gt;0,"Made In Heaven","NOT FOUND")))))))))))))))</f>
        <v>News Of The World</v>
      </c>
      <c r="F42" s="68" t="s">
        <v>279</v>
      </c>
      <c r="G42" s="1"/>
      <c r="H42" s="1"/>
      <c r="I42" s="1"/>
      <c r="J42" s="1"/>
      <c r="K42" s="1"/>
    </row>
    <row r="43">
      <c r="A43" s="1"/>
      <c r="C43" s="81" t="s">
        <v>280</v>
      </c>
      <c r="D43" s="71" t="s">
        <v>281</v>
      </c>
      <c r="E43" s="66" t="str">
        <f>IF(COUNTIF('Queen Discography'!$C$4:$C$22,C43)&gt;0,"Queen",
IF(COUNTIF('Queen Discography'!$D$4:$D$22,C43)&gt;0,"Queen II",
IF(COUNTIF('Queen Discography'!$E$4:$E$22,C43)&gt;0,"Sheer Heart Attack",
IF(COUNTIF('Queen Discography'!$F$4:$F$22,C43)&gt;0,"A Night At The Opera",
IF(COUNTIF('Queen Discography'!$G$4:$G$22,C43)&gt;0,"A Day At The Races",
IF(COUNTIF('Queen Discography'!$H$4:$H$22,C43)&gt;0,"News Of The World",
IF(COUNTIF('Queen Discography'!$I$4:$I$22,C43)&gt;0,"Jazz",
IF(COUNTIF('Queen Discography'!$J$4:$J$22,C43)&gt;0,"The Game",
IF(COUNTIF('Queen Discography'!$K$4:$K$22,C43)&gt;0,"Flash Gordon",
IF(COUNTIF('Queen Discography'!$L$4:$L$22,C43)&gt;0,"Hot Space",
IF(COUNTIF('Queen Discography'!$M$4:$M$22,C43)&gt;0,"The Works",
IF(COUNTIF('Queen Discography'!$N$4:$N$22,C43)&gt;0,"A Kind Of Magic",
IF(COUNTIF('Queen Discography'!$O$4:$O$22,C43)&gt;0,"The Miracle",
IF(COUNTIF('Queen Discography'!$P$4:$P$22,C43)&gt;0,"Innuendo",
IF(COUNTIF('Queen Discography'!$Q$4:$Q$22,C43)&gt;0,"Made In Heaven","NOT FOUND")))))))))))))))</f>
        <v>NOT FOUND</v>
      </c>
      <c r="F43" s="68" t="s">
        <v>282</v>
      </c>
      <c r="G43" s="1"/>
      <c r="H43" s="1"/>
      <c r="I43" s="1"/>
      <c r="J43" s="1"/>
      <c r="K43" s="1"/>
    </row>
    <row r="44">
      <c r="A44" s="1"/>
      <c r="C44" s="82" t="s">
        <v>283</v>
      </c>
      <c r="D44" s="71" t="s">
        <v>284</v>
      </c>
      <c r="E44" s="66" t="str">
        <f>IF(COUNTIF('Queen Discography'!$C$4:$C$22,C44)&gt;0,"Queen",
IF(COUNTIF('Queen Discography'!$D$4:$D$22,C44)&gt;0,"Queen II",
IF(COUNTIF('Queen Discography'!$E$4:$E$22,C44)&gt;0,"Sheer Heart Attack",
IF(COUNTIF('Queen Discography'!$F$4:$F$22,C44)&gt;0,"A Night At The Opera",
IF(COUNTIF('Queen Discography'!$G$4:$G$22,C44)&gt;0,"A Day At The Races",
IF(COUNTIF('Queen Discography'!$H$4:$H$22,C44)&gt;0,"News Of The World",
IF(COUNTIF('Queen Discography'!$I$4:$I$22,C44)&gt;0,"Jazz",
IF(COUNTIF('Queen Discography'!$J$4:$J$22,C44)&gt;0,"The Game",
IF(COUNTIF('Queen Discography'!$K$4:$K$22,C44)&gt;0,"Flash Gordon",
IF(COUNTIF('Queen Discography'!$L$4:$L$22,C44)&gt;0,"Hot Space",
IF(COUNTIF('Queen Discography'!$M$4:$M$22,C44)&gt;0,"The Works",
IF(COUNTIF('Queen Discography'!$N$4:$N$22,C44)&gt;0,"A Kind Of Magic",
IF(COUNTIF('Queen Discography'!$O$4:$O$22,C44)&gt;0,"The Miracle",
IF(COUNTIF('Queen Discography'!$P$4:$P$22,C44)&gt;0,"Innuendo",
IF(COUNTIF('Queen Discography'!$Q$4:$Q$22,C44)&gt;0,"Made In Heaven","NOT FOUND")))))))))))))))</f>
        <v>NOT FOUND</v>
      </c>
      <c r="F44" s="68" t="s">
        <v>285</v>
      </c>
      <c r="G44" s="1"/>
      <c r="H44" s="1"/>
      <c r="I44" s="1"/>
      <c r="J44" s="1"/>
      <c r="K44" s="1"/>
    </row>
    <row r="45">
      <c r="A45" s="1"/>
      <c r="C45" s="83" t="s">
        <v>30</v>
      </c>
      <c r="D45" s="71" t="s">
        <v>286</v>
      </c>
      <c r="E45" s="66" t="str">
        <f>IF(COUNTIF('Queen Discography'!$C$4:$C$22,C45)&gt;0,"Queen",
IF(COUNTIF('Queen Discography'!$D$4:$D$22,C45)&gt;0,"Queen II",
IF(COUNTIF('Queen Discography'!$E$4:$E$22,C45)&gt;0,"Sheer Heart Attack",
IF(COUNTIF('Queen Discography'!$F$4:$F$22,C45)&gt;0,"A Night At The Opera",
IF(COUNTIF('Queen Discography'!$G$4:$G$22,C45)&gt;0,"A Day At The Races",
IF(COUNTIF('Queen Discography'!$H$4:$H$22,C45)&gt;0,"News Of The World",
IF(COUNTIF('Queen Discography'!$I$4:$I$22,C45)&gt;0,"Jazz",
IF(COUNTIF('Queen Discography'!$J$4:$J$22,C45)&gt;0,"The Game",
IF(COUNTIF('Queen Discography'!$K$4:$K$22,C45)&gt;0,"Flash Gordon",
IF(COUNTIF('Queen Discography'!$L$4:$L$22,C45)&gt;0,"Hot Space",
IF(COUNTIF('Queen Discography'!$M$4:$M$22,C45)&gt;0,"The Works",
IF(COUNTIF('Queen Discography'!$N$4:$N$22,C45)&gt;0,"A Kind Of Magic",
IF(COUNTIF('Queen Discography'!$O$4:$O$22,C45)&gt;0,"The Miracle",
IF(COUNTIF('Queen Discography'!$P$4:$P$22,C45)&gt;0,"Innuendo",
IF(COUNTIF('Queen Discography'!$Q$4:$Q$22,C45)&gt;0,"Made In Heaven","NOT FOUND")))))))))))))))</f>
        <v>Queen</v>
      </c>
      <c r="F45" s="68" t="s">
        <v>287</v>
      </c>
      <c r="G45" s="1"/>
      <c r="H45" s="1"/>
      <c r="I45" s="1"/>
      <c r="J45" s="1"/>
      <c r="K45" s="1"/>
    </row>
    <row r="46">
      <c r="A46" s="1"/>
      <c r="C46" s="66" t="s">
        <v>16</v>
      </c>
      <c r="D46" s="71" t="s">
        <v>288</v>
      </c>
      <c r="E46" s="66" t="str">
        <f>IF(COUNTIF('Queen Discography'!$C$4:$C$22,C46)&gt;0,"Queen",
IF(COUNTIF('Queen Discography'!$D$4:$D$22,C46)&gt;0,"Queen II",
IF(COUNTIF('Queen Discography'!$E$4:$E$22,C46)&gt;0,"Sheer Heart Attack",
IF(COUNTIF('Queen Discography'!$F$4:$F$22,C46)&gt;0,"A Night At The Opera",
IF(COUNTIF('Queen Discography'!$G$4:$G$22,C46)&gt;0,"A Day At The Races",
IF(COUNTIF('Queen Discography'!$H$4:$H$22,C46)&gt;0,"News Of The World",
IF(COUNTIF('Queen Discography'!$I$4:$I$22,C46)&gt;0,"Jazz",
IF(COUNTIF('Queen Discography'!$J$4:$J$22,C46)&gt;0,"The Game",
IF(COUNTIF('Queen Discography'!$K$4:$K$22,C46)&gt;0,"Flash Gordon",
IF(COUNTIF('Queen Discography'!$L$4:$L$22,C46)&gt;0,"Hot Space",
IF(COUNTIF('Queen Discography'!$M$4:$M$22,C46)&gt;0,"The Works",
IF(COUNTIF('Queen Discography'!$N$4:$N$22,C46)&gt;0,"A Kind Of Magic",
IF(COUNTIF('Queen Discography'!$O$4:$O$22,C46)&gt;0,"The Miracle",
IF(COUNTIF('Queen Discography'!$P$4:$P$22,C46)&gt;0,"Innuendo",
IF(COUNTIF('Queen Discography'!$Q$4:$Q$22,C46)&gt;0,"Made In Heaven","NOT FOUND")))))))))))))))</f>
        <v>Queen</v>
      </c>
      <c r="F46" s="68" t="s">
        <v>289</v>
      </c>
      <c r="G46" s="1"/>
      <c r="H46" s="1"/>
      <c r="I46" s="1"/>
      <c r="J46" s="1"/>
      <c r="K46" s="1"/>
    </row>
    <row r="47">
      <c r="A47" s="1"/>
      <c r="C47" s="66" t="s">
        <v>159</v>
      </c>
      <c r="D47" s="71" t="s">
        <v>290</v>
      </c>
      <c r="E47" s="66" t="str">
        <f>IF(COUNTIF('Queen Discography'!$C$4:$C$22,C47)&gt;0,"Queen",
IF(COUNTIF('Queen Discography'!$D$4:$D$22,C47)&gt;0,"Queen II",
IF(COUNTIF('Queen Discography'!$E$4:$E$22,C47)&gt;0,"Sheer Heart Attack",
IF(COUNTIF('Queen Discography'!$F$4:$F$22,C47)&gt;0,"A Night At The Opera",
IF(COUNTIF('Queen Discography'!$G$4:$G$22,C47)&gt;0,"A Day At The Races",
IF(COUNTIF('Queen Discography'!$H$4:$H$22,C47)&gt;0,"News Of The World",
IF(COUNTIF('Queen Discography'!$I$4:$I$22,C47)&gt;0,"Jazz",
IF(COUNTIF('Queen Discography'!$J$4:$J$22,C47)&gt;0,"The Game",
IF(COUNTIF('Queen Discography'!$K$4:$K$22,C47)&gt;0,"Flash Gordon",
IF(COUNTIF('Queen Discography'!$L$4:$L$22,C47)&gt;0,"Hot Space",
IF(COUNTIF('Queen Discography'!$M$4:$M$22,C47)&gt;0,"The Works",
IF(COUNTIF('Queen Discography'!$N$4:$N$22,C47)&gt;0,"A Kind Of Magic",
IF(COUNTIF('Queen Discography'!$O$4:$O$22,C47)&gt;0,"The Miracle",
IF(COUNTIF('Queen Discography'!$P$4:$P$22,C47)&gt;0,"Innuendo",
IF(COUNTIF('Queen Discography'!$Q$4:$Q$22,C47)&gt;0,"Made In Heaven","NOT FOUND")))))))))))))))</f>
        <v>Queen</v>
      </c>
      <c r="F47" s="68" t="s">
        <v>291</v>
      </c>
      <c r="G47" s="1"/>
      <c r="H47" s="1"/>
      <c r="I47" s="1"/>
      <c r="J47" s="1"/>
      <c r="K47" s="1"/>
    </row>
    <row r="48">
      <c r="A48" s="1"/>
      <c r="C48" s="66" t="s">
        <v>292</v>
      </c>
      <c r="D48" s="71" t="s">
        <v>293</v>
      </c>
      <c r="E48" s="66" t="str">
        <f>IF(COUNTIF('Queen Discography'!$C$4:$C$22,C48)&gt;0,"Queen",
IF(COUNTIF('Queen Discography'!$D$4:$D$22,C48)&gt;0,"Queen II",
IF(COUNTIF('Queen Discography'!$E$4:$E$22,C48)&gt;0,"Sheer Heart Attack",
IF(COUNTIF('Queen Discography'!$F$4:$F$22,C48)&gt;0,"A Night At The Opera",
IF(COUNTIF('Queen Discography'!$G$4:$G$22,C48)&gt;0,"A Day At The Races",
IF(COUNTIF('Queen Discography'!$H$4:$H$22,C48)&gt;0,"News Of The World",
IF(COUNTIF('Queen Discography'!$I$4:$I$22,C48)&gt;0,"Jazz",
IF(COUNTIF('Queen Discography'!$J$4:$J$22,C48)&gt;0,"The Game",
IF(COUNTIF('Queen Discography'!$K$4:$K$22,C48)&gt;0,"Flash Gordon",
IF(COUNTIF('Queen Discography'!$L$4:$L$22,C48)&gt;0,"Hot Space",
IF(COUNTIF('Queen Discography'!$M$4:$M$22,C48)&gt;0,"The Works",
IF(COUNTIF('Queen Discography'!$N$4:$N$22,C48)&gt;0,"A Kind Of Magic",
IF(COUNTIF('Queen Discography'!$O$4:$O$22,C48)&gt;0,"The Miracle",
IF(COUNTIF('Queen Discography'!$P$4:$P$22,C48)&gt;0,"Innuendo",
IF(COUNTIF('Queen Discography'!$Q$4:$Q$22,C48)&gt;0,"Made In Heaven","NOT FOUND")))))))))))))))</f>
        <v>Queen</v>
      </c>
      <c r="F48" s="68" t="s">
        <v>294</v>
      </c>
      <c r="G48" s="1"/>
      <c r="H48" s="1"/>
      <c r="I48" s="1"/>
      <c r="J48" s="1"/>
      <c r="K48" s="1"/>
    </row>
    <row r="49">
      <c r="A49" s="1"/>
      <c r="C49" s="84" t="s">
        <v>117</v>
      </c>
      <c r="D49" s="71" t="s">
        <v>295</v>
      </c>
      <c r="E49" s="66" t="str">
        <f>IF(COUNTIF('Queen Discography'!$C$4:$C$22,C49)&gt;0,"Queen",
IF(COUNTIF('Queen Discography'!$D$4:$D$22,C49)&gt;0,"Queen II",
IF(COUNTIF('Queen Discography'!$E$4:$E$22,C49)&gt;0,"Sheer Heart Attack",
IF(COUNTIF('Queen Discography'!$F$4:$F$22,C49)&gt;0,"A Night At The Opera",
IF(COUNTIF('Queen Discography'!$G$4:$G$22,C49)&gt;0,"A Day At The Races",
IF(COUNTIF('Queen Discography'!$H$4:$H$22,C49)&gt;0,"News Of The World",
IF(COUNTIF('Queen Discography'!$I$4:$I$22,C49)&gt;0,"Jazz",
IF(COUNTIF('Queen Discography'!$J$4:$J$22,C49)&gt;0,"The Game",
IF(COUNTIF('Queen Discography'!$K$4:$K$22,C49)&gt;0,"Flash Gordon",
IF(COUNTIF('Queen Discography'!$L$4:$L$22,C49)&gt;0,"Hot Space",
IF(COUNTIF('Queen Discography'!$M$4:$M$22,C49)&gt;0,"The Works",
IF(COUNTIF('Queen Discography'!$N$4:$N$22,C49)&gt;0,"A Kind Of Magic",
IF(COUNTIF('Queen Discography'!$O$4:$O$22,C49)&gt;0,"The Miracle",
IF(COUNTIF('Queen Discography'!$P$4:$P$22,C49)&gt;0,"Innuendo",
IF(COUNTIF('Queen Discography'!$Q$4:$Q$22,C49)&gt;0,"Made In Heaven","NOT FOUND")))))))))))))))</f>
        <v>Queen II</v>
      </c>
      <c r="F49" s="68" t="s">
        <v>296</v>
      </c>
      <c r="G49" s="1"/>
      <c r="H49" s="1"/>
      <c r="I49" s="1"/>
      <c r="J49" s="1"/>
      <c r="K49" s="1"/>
    </row>
    <row r="50">
      <c r="A50" s="1"/>
      <c r="C50" s="66" t="s">
        <v>297</v>
      </c>
      <c r="D50" s="71" t="s">
        <v>298</v>
      </c>
      <c r="E50" s="66" t="str">
        <f>IF(COUNTIF('Queen Discography'!$C$4:$C$22,C50)&gt;0,"Queen",
IF(COUNTIF('Queen Discography'!$D$4:$D$22,C50)&gt;0,"Queen II",
IF(COUNTIF('Queen Discography'!$E$4:$E$22,C50)&gt;0,"Sheer Heart Attack",
IF(COUNTIF('Queen Discography'!$F$4:$F$22,C50)&gt;0,"A Night At The Opera",
IF(COUNTIF('Queen Discography'!$G$4:$G$22,C50)&gt;0,"A Day At The Races",
IF(COUNTIF('Queen Discography'!$H$4:$H$22,C50)&gt;0,"News Of The World",
IF(COUNTIF('Queen Discography'!$I$4:$I$22,C50)&gt;0,"Jazz",
IF(COUNTIF('Queen Discography'!$J$4:$J$22,C50)&gt;0,"The Game",
IF(COUNTIF('Queen Discography'!$K$4:$K$22,C50)&gt;0,"Flash Gordon",
IF(COUNTIF('Queen Discography'!$L$4:$L$22,C50)&gt;0,"Hot Space",
IF(COUNTIF('Queen Discography'!$M$4:$M$22,C50)&gt;0,"The Works",
IF(COUNTIF('Queen Discography'!$N$4:$N$22,C50)&gt;0,"A Kind Of Magic",
IF(COUNTIF('Queen Discography'!$O$4:$O$22,C50)&gt;0,"The Miracle",
IF(COUNTIF('Queen Discography'!$P$4:$P$22,C50)&gt;0,"Innuendo",
IF(COUNTIF('Queen Discography'!$Q$4:$Q$22,C50)&gt;0,"Made In Heaven","NOT FOUND")))))))))))))))</f>
        <v>Queen II</v>
      </c>
      <c r="F50" s="68" t="s">
        <v>299</v>
      </c>
      <c r="G50" s="1"/>
      <c r="H50" s="1"/>
      <c r="I50" s="1"/>
      <c r="J50" s="1"/>
      <c r="K50" s="1"/>
    </row>
    <row r="51">
      <c r="A51" s="1"/>
      <c r="C51" s="66" t="s">
        <v>17</v>
      </c>
      <c r="D51" s="71" t="s">
        <v>300</v>
      </c>
      <c r="E51" s="66" t="str">
        <f>IF(COUNTIF('Queen Discography'!$C$4:$C$22,C51)&gt;0,"Queen",
IF(COUNTIF('Queen Discography'!$D$4:$D$22,C51)&gt;0,"Queen II",
IF(COUNTIF('Queen Discography'!$E$4:$E$22,C51)&gt;0,"Sheer Heart Attack",
IF(COUNTIF('Queen Discography'!$F$4:$F$22,C51)&gt;0,"A Night At The Opera",
IF(COUNTIF('Queen Discography'!$G$4:$G$22,C51)&gt;0,"A Day At The Races",
IF(COUNTIF('Queen Discography'!$H$4:$H$22,C51)&gt;0,"News Of The World",
IF(COUNTIF('Queen Discography'!$I$4:$I$22,C51)&gt;0,"Jazz",
IF(COUNTIF('Queen Discography'!$J$4:$J$22,C51)&gt;0,"The Game",
IF(COUNTIF('Queen Discography'!$K$4:$K$22,C51)&gt;0,"Flash Gordon",
IF(COUNTIF('Queen Discography'!$L$4:$L$22,C51)&gt;0,"Hot Space",
IF(COUNTIF('Queen Discography'!$M$4:$M$22,C51)&gt;0,"The Works",
IF(COUNTIF('Queen Discography'!$N$4:$N$22,C51)&gt;0,"A Kind Of Magic",
IF(COUNTIF('Queen Discography'!$O$4:$O$22,C51)&gt;0,"The Miracle",
IF(COUNTIF('Queen Discography'!$P$4:$P$22,C51)&gt;0,"Innuendo",
IF(COUNTIF('Queen Discography'!$Q$4:$Q$22,C51)&gt;0,"Made In Heaven","NOT FOUND")))))))))))))))</f>
        <v>Queen II</v>
      </c>
      <c r="F51" s="68" t="s">
        <v>301</v>
      </c>
      <c r="G51" s="1"/>
      <c r="H51" s="1"/>
      <c r="I51" s="1"/>
      <c r="J51" s="1"/>
      <c r="K51" s="1"/>
    </row>
    <row r="52">
      <c r="A52" s="1"/>
      <c r="C52" s="85" t="s">
        <v>88</v>
      </c>
      <c r="D52" s="67" t="s">
        <v>302</v>
      </c>
      <c r="E52" s="66" t="str">
        <f>IF(COUNTIF('Queen Discography'!$C$4:$C$22,C52)&gt;0,"Queen",
IF(COUNTIF('Queen Discography'!$D$4:$D$22,C52)&gt;0,"Queen II",
IF(COUNTIF('Queen Discography'!$E$4:$E$22,C52)&gt;0,"Sheer Heart Attack",
IF(COUNTIF('Queen Discography'!$F$4:$F$22,C52)&gt;0,"A Night At The Opera",
IF(COUNTIF('Queen Discography'!$G$4:$G$22,C52)&gt;0,"A Day At The Races",
IF(COUNTIF('Queen Discography'!$H$4:$H$22,C52)&gt;0,"News Of The World",
IF(COUNTIF('Queen Discography'!$I$4:$I$22,C52)&gt;0,"Jazz",
IF(COUNTIF('Queen Discography'!$J$4:$J$22,C52)&gt;0,"The Game",
IF(COUNTIF('Queen Discography'!$K$4:$K$22,C52)&gt;0,"Flash Gordon",
IF(COUNTIF('Queen Discography'!$L$4:$L$22,C52)&gt;0,"Hot Space",
IF(COUNTIF('Queen Discography'!$M$4:$M$22,C52)&gt;0,"The Works",
IF(COUNTIF('Queen Discography'!$N$4:$N$22,C52)&gt;0,"A Kind Of Magic",
IF(COUNTIF('Queen Discography'!$O$4:$O$22,C52)&gt;0,"The Miracle",
IF(COUNTIF('Queen Discography'!$P$4:$P$22,C52)&gt;0,"Innuendo",
IF(COUNTIF('Queen Discography'!$Q$4:$Q$22,C52)&gt;0,"Made In Heaven","NOT FOUND")))))))))))))))</f>
        <v>Sheer Heart Attack</v>
      </c>
      <c r="F52" s="68" t="s">
        <v>303</v>
      </c>
      <c r="G52" s="1"/>
      <c r="H52" s="1"/>
      <c r="I52" s="1"/>
      <c r="J52" s="1"/>
      <c r="K52" s="1"/>
    </row>
    <row r="53">
      <c r="A53" s="1"/>
      <c r="C53" s="66" t="s">
        <v>32</v>
      </c>
      <c r="D53" s="71" t="s">
        <v>304</v>
      </c>
      <c r="E53" s="66" t="str">
        <f>IF(COUNTIF('Queen Discography'!$C$4:$C$22,C53)&gt;0,"Queen",
IF(COUNTIF('Queen Discography'!$D$4:$D$22,C53)&gt;0,"Queen II",
IF(COUNTIF('Queen Discography'!$E$4:$E$22,C53)&gt;0,"Sheer Heart Attack",
IF(COUNTIF('Queen Discography'!$F$4:$F$22,C53)&gt;0,"A Night At The Opera",
IF(COUNTIF('Queen Discography'!$G$4:$G$22,C53)&gt;0,"A Day At The Races",
IF(COUNTIF('Queen Discography'!$H$4:$H$22,C53)&gt;0,"News Of The World",
IF(COUNTIF('Queen Discography'!$I$4:$I$22,C53)&gt;0,"Jazz",
IF(COUNTIF('Queen Discography'!$J$4:$J$22,C53)&gt;0,"The Game",
IF(COUNTIF('Queen Discography'!$K$4:$K$22,C53)&gt;0,"Flash Gordon",
IF(COUNTIF('Queen Discography'!$L$4:$L$22,C53)&gt;0,"Hot Space",
IF(COUNTIF('Queen Discography'!$M$4:$M$22,C53)&gt;0,"The Works",
IF(COUNTIF('Queen Discography'!$N$4:$N$22,C53)&gt;0,"A Kind Of Magic",
IF(COUNTIF('Queen Discography'!$O$4:$O$22,C53)&gt;0,"The Miracle",
IF(COUNTIF('Queen Discography'!$P$4:$P$22,C53)&gt;0,"Innuendo",
IF(COUNTIF('Queen Discography'!$Q$4:$Q$22,C53)&gt;0,"Made In Heaven","NOT FOUND")))))))))))))))</f>
        <v>Sheer Heart Attack</v>
      </c>
      <c r="F53" s="68" t="s">
        <v>305</v>
      </c>
      <c r="G53" s="1"/>
      <c r="H53" s="1"/>
      <c r="I53" s="1"/>
      <c r="J53" s="1"/>
      <c r="K53" s="1"/>
    </row>
    <row r="54">
      <c r="A54" s="1"/>
      <c r="C54" s="66" t="s">
        <v>49</v>
      </c>
      <c r="D54" s="71" t="s">
        <v>306</v>
      </c>
      <c r="E54" s="66" t="str">
        <f>IF(COUNTIF('Queen Discography'!$C$4:$C$22,C54)&gt;0,"Queen",
IF(COUNTIF('Queen Discography'!$D$4:$D$22,C54)&gt;0,"Queen II",
IF(COUNTIF('Queen Discography'!$E$4:$E$22,C54)&gt;0,"Sheer Heart Attack",
IF(COUNTIF('Queen Discography'!$F$4:$F$22,C54)&gt;0,"A Night At The Opera",
IF(COUNTIF('Queen Discography'!$G$4:$G$22,C54)&gt;0,"A Day At The Races",
IF(COUNTIF('Queen Discography'!$H$4:$H$22,C54)&gt;0,"News Of The World",
IF(COUNTIF('Queen Discography'!$I$4:$I$22,C54)&gt;0,"Jazz",
IF(COUNTIF('Queen Discography'!$J$4:$J$22,C54)&gt;0,"The Game",
IF(COUNTIF('Queen Discography'!$K$4:$K$22,C54)&gt;0,"Flash Gordon",
IF(COUNTIF('Queen Discography'!$L$4:$L$22,C54)&gt;0,"Hot Space",
IF(COUNTIF('Queen Discography'!$M$4:$M$22,C54)&gt;0,"The Works",
IF(COUNTIF('Queen Discography'!$N$4:$N$22,C54)&gt;0,"A Kind Of Magic",
IF(COUNTIF('Queen Discography'!$O$4:$O$22,C54)&gt;0,"The Miracle",
IF(COUNTIF('Queen Discography'!$P$4:$P$22,C54)&gt;0,"Innuendo",
IF(COUNTIF('Queen Discography'!$Q$4:$Q$22,C54)&gt;0,"Made In Heaven","NOT FOUND")))))))))))))))</f>
        <v>The Game</v>
      </c>
      <c r="F54" s="68" t="s">
        <v>307</v>
      </c>
      <c r="G54" s="1"/>
      <c r="H54" s="1"/>
      <c r="I54" s="1"/>
      <c r="J54" s="1"/>
      <c r="K54" s="1"/>
    </row>
    <row r="55">
      <c r="A55" s="1"/>
      <c r="C55" s="66" t="s">
        <v>78</v>
      </c>
      <c r="D55" s="71" t="s">
        <v>308</v>
      </c>
      <c r="E55" s="66" t="str">
        <f>IF(COUNTIF('Queen Discography'!$C$4:$C$22,C55)&gt;0,"Queen",
IF(COUNTIF('Queen Discography'!$D$4:$D$22,C55)&gt;0,"Queen II",
IF(COUNTIF('Queen Discography'!$E$4:$E$22,C55)&gt;0,"Sheer Heart Attack",
IF(COUNTIF('Queen Discography'!$F$4:$F$22,C55)&gt;0,"A Night At The Opera",
IF(COUNTIF('Queen Discography'!$G$4:$G$22,C55)&gt;0,"A Day At The Races",
IF(COUNTIF('Queen Discography'!$H$4:$H$22,C55)&gt;0,"News Of The World",
IF(COUNTIF('Queen Discography'!$I$4:$I$22,C55)&gt;0,"Jazz",
IF(COUNTIF('Queen Discography'!$J$4:$J$22,C55)&gt;0,"The Game",
IF(COUNTIF('Queen Discography'!$K$4:$K$22,C55)&gt;0,"Flash Gordon",
IF(COUNTIF('Queen Discography'!$L$4:$L$22,C55)&gt;0,"Hot Space",
IF(COUNTIF('Queen Discography'!$M$4:$M$22,C55)&gt;0,"The Works",
IF(COUNTIF('Queen Discography'!$N$4:$N$22,C55)&gt;0,"A Kind Of Magic",
IF(COUNTIF('Queen Discography'!$O$4:$O$22,C55)&gt;0,"The Miracle",
IF(COUNTIF('Queen Discography'!$P$4:$P$22,C55)&gt;0,"Innuendo",
IF(COUNTIF('Queen Discography'!$Q$4:$Q$22,C55)&gt;0,"Made In Heaven","NOT FOUND")))))))))))))))</f>
        <v>The Game</v>
      </c>
      <c r="F55" s="68" t="s">
        <v>309</v>
      </c>
      <c r="G55" s="1"/>
      <c r="H55" s="1"/>
      <c r="I55" s="1"/>
      <c r="J55" s="1"/>
      <c r="K55" s="1"/>
    </row>
    <row r="56">
      <c r="A56" s="1"/>
      <c r="C56" s="66" t="s">
        <v>310</v>
      </c>
      <c r="D56" s="71" t="s">
        <v>311</v>
      </c>
      <c r="E56" s="66" t="str">
        <f>IF(COUNTIF('Queen Discography'!$C$4:$C$22,C56)&gt;0,"Queen",
IF(COUNTIF('Queen Discography'!$D$4:$D$22,C56)&gt;0,"Queen II",
IF(COUNTIF('Queen Discography'!$E$4:$E$22,C56)&gt;0,"Sheer Heart Attack",
IF(COUNTIF('Queen Discography'!$F$4:$F$22,C56)&gt;0,"A Night At The Opera",
IF(COUNTIF('Queen Discography'!$G$4:$G$22,C56)&gt;0,"A Day At The Races",
IF(COUNTIF('Queen Discography'!$H$4:$H$22,C56)&gt;0,"News Of The World",
IF(COUNTIF('Queen Discography'!$I$4:$I$22,C56)&gt;0,"Jazz",
IF(COUNTIF('Queen Discography'!$J$4:$J$22,C56)&gt;0,"The Game",
IF(COUNTIF('Queen Discography'!$K$4:$K$22,C56)&gt;0,"Flash Gordon",
IF(COUNTIF('Queen Discography'!$L$4:$L$22,C56)&gt;0,"Hot Space",
IF(COUNTIF('Queen Discography'!$M$4:$M$22,C56)&gt;0,"The Works",
IF(COUNTIF('Queen Discography'!$N$4:$N$22,C56)&gt;0,"A Kind Of Magic",
IF(COUNTIF('Queen Discography'!$O$4:$O$22,C56)&gt;0,"The Miracle",
IF(COUNTIF('Queen Discography'!$P$4:$P$22,C56)&gt;0,"Innuendo",
IF(COUNTIF('Queen Discography'!$Q$4:$Q$22,C56)&gt;0,"Made In Heaven","NOT FOUND")))))))))))))))</f>
        <v>The Game</v>
      </c>
      <c r="F56" s="68" t="s">
        <v>312</v>
      </c>
      <c r="G56" s="1"/>
      <c r="H56" s="1"/>
      <c r="I56" s="1"/>
      <c r="J56" s="1"/>
      <c r="K56" s="1"/>
    </row>
    <row r="57">
      <c r="A57" s="1"/>
      <c r="C57" s="66" t="s">
        <v>153</v>
      </c>
      <c r="D57" s="71" t="s">
        <v>313</v>
      </c>
      <c r="E57" s="66" t="str">
        <f>IF(COUNTIF('Queen Discography'!$C$4:$C$22,C57)&gt;0,"Queen",
IF(COUNTIF('Queen Discography'!$D$4:$D$22,C57)&gt;0,"Queen II",
IF(COUNTIF('Queen Discography'!$E$4:$E$22,C57)&gt;0,"Sheer Heart Attack",
IF(COUNTIF('Queen Discography'!$F$4:$F$22,C57)&gt;0,"A Night At The Opera",
IF(COUNTIF('Queen Discography'!$G$4:$G$22,C57)&gt;0,"A Day At The Races",
IF(COUNTIF('Queen Discography'!$H$4:$H$22,C57)&gt;0,"News Of The World",
IF(COUNTIF('Queen Discography'!$I$4:$I$22,C57)&gt;0,"Jazz",
IF(COUNTIF('Queen Discography'!$J$4:$J$22,C57)&gt;0,"The Game",
IF(COUNTIF('Queen Discography'!$K$4:$K$22,C57)&gt;0,"Flash Gordon",
IF(COUNTIF('Queen Discography'!$L$4:$L$22,C57)&gt;0,"Hot Space",
IF(COUNTIF('Queen Discography'!$M$4:$M$22,C57)&gt;0,"The Works",
IF(COUNTIF('Queen Discography'!$N$4:$N$22,C57)&gt;0,"A Kind Of Magic",
IF(COUNTIF('Queen Discography'!$O$4:$O$22,C57)&gt;0,"The Miracle",
IF(COUNTIF('Queen Discography'!$P$4:$P$22,C57)&gt;0,"Innuendo",
IF(COUNTIF('Queen Discography'!$Q$4:$Q$22,C57)&gt;0,"Made In Heaven","NOT FOUND")))))))))))))))</f>
        <v>The Game</v>
      </c>
      <c r="F57" s="68" t="s">
        <v>314</v>
      </c>
      <c r="G57" s="1"/>
      <c r="H57" s="1"/>
      <c r="I57" s="1"/>
      <c r="J57" s="1"/>
      <c r="K57" s="1"/>
    </row>
    <row r="58">
      <c r="A58" s="1"/>
      <c r="C58" s="66" t="s">
        <v>68</v>
      </c>
      <c r="D58" s="71" t="s">
        <v>315</v>
      </c>
      <c r="E58" s="66" t="str">
        <f>IF(COUNTIF('Queen Discography'!$C$4:$C$22,C58)&gt;0,"Queen",
IF(COUNTIF('Queen Discography'!$D$4:$D$22,C58)&gt;0,"Queen II",
IF(COUNTIF('Queen Discography'!$E$4:$E$22,C58)&gt;0,"Sheer Heart Attack",
IF(COUNTIF('Queen Discography'!$F$4:$F$22,C58)&gt;0,"A Night At The Opera",
IF(COUNTIF('Queen Discography'!$G$4:$G$22,C58)&gt;0,"A Day At The Races",
IF(COUNTIF('Queen Discography'!$H$4:$H$22,C58)&gt;0,"News Of The World",
IF(COUNTIF('Queen Discography'!$I$4:$I$22,C58)&gt;0,"Jazz",
IF(COUNTIF('Queen Discography'!$J$4:$J$22,C58)&gt;0,"The Game",
IF(COUNTIF('Queen Discography'!$K$4:$K$22,C58)&gt;0,"Flash Gordon",
IF(COUNTIF('Queen Discography'!$L$4:$L$22,C58)&gt;0,"Hot Space",
IF(COUNTIF('Queen Discography'!$M$4:$M$22,C58)&gt;0,"The Works",
IF(COUNTIF('Queen Discography'!$N$4:$N$22,C58)&gt;0,"A Kind Of Magic",
IF(COUNTIF('Queen Discography'!$O$4:$O$22,C58)&gt;0,"The Miracle",
IF(COUNTIF('Queen Discography'!$P$4:$P$22,C58)&gt;0,"Innuendo",
IF(COUNTIF('Queen Discography'!$Q$4:$Q$22,C58)&gt;0,"Made In Heaven","NOT FOUND")))))))))))))))</f>
        <v>The Miracle</v>
      </c>
      <c r="F58" s="68" t="s">
        <v>316</v>
      </c>
      <c r="G58" s="1"/>
      <c r="H58" s="1"/>
      <c r="I58" s="1"/>
      <c r="J58" s="1"/>
      <c r="K58" s="1"/>
    </row>
    <row r="59">
      <c r="A59" s="1"/>
      <c r="C59" s="66" t="s">
        <v>113</v>
      </c>
      <c r="D59" s="71" t="s">
        <v>317</v>
      </c>
      <c r="E59" s="66" t="str">
        <f>IF(COUNTIF('Queen Discography'!$C$4:$C$22,C59)&gt;0,"Queen",
IF(COUNTIF('Queen Discography'!$D$4:$D$22,C59)&gt;0,"Queen II",
IF(COUNTIF('Queen Discography'!$E$4:$E$22,C59)&gt;0,"Sheer Heart Attack",
IF(COUNTIF('Queen Discography'!$F$4:$F$22,C59)&gt;0,"A Night At The Opera",
IF(COUNTIF('Queen Discography'!$G$4:$G$22,C59)&gt;0,"A Day At The Races",
IF(COUNTIF('Queen Discography'!$H$4:$H$22,C59)&gt;0,"News Of The World",
IF(COUNTIF('Queen Discography'!$I$4:$I$22,C59)&gt;0,"Jazz",
IF(COUNTIF('Queen Discography'!$J$4:$J$22,C59)&gt;0,"The Game",
IF(COUNTIF('Queen Discography'!$K$4:$K$22,C59)&gt;0,"Flash Gordon",
IF(COUNTIF('Queen Discography'!$L$4:$L$22,C59)&gt;0,"Hot Space",
IF(COUNTIF('Queen Discography'!$M$4:$M$22,C59)&gt;0,"The Works",
IF(COUNTIF('Queen Discography'!$N$4:$N$22,C59)&gt;0,"A Kind Of Magic",
IF(COUNTIF('Queen Discography'!$O$4:$O$22,C59)&gt;0,"The Miracle",
IF(COUNTIF('Queen Discography'!$P$4:$P$22,C59)&gt;0,"Innuendo",
IF(COUNTIF('Queen Discography'!$Q$4:$Q$22,C59)&gt;0,"Made In Heaven","NOT FOUND")))))))))))))))</f>
        <v>The Miracle</v>
      </c>
      <c r="F59" s="68" t="s">
        <v>318</v>
      </c>
      <c r="G59" s="1"/>
      <c r="H59" s="1"/>
      <c r="I59" s="1"/>
      <c r="J59" s="1"/>
      <c r="K59" s="1"/>
    </row>
    <row r="60">
      <c r="A60" s="1"/>
      <c r="C60" s="66" t="s">
        <v>128</v>
      </c>
      <c r="D60" s="71" t="s">
        <v>319</v>
      </c>
      <c r="E60" s="66" t="str">
        <f>IF(COUNTIF('Queen Discography'!$C$4:$C$22,C60)&gt;0,"Queen",
IF(COUNTIF('Queen Discography'!$D$4:$D$22,C60)&gt;0,"Queen II",
IF(COUNTIF('Queen Discography'!$E$4:$E$22,C60)&gt;0,"Sheer Heart Attack",
IF(COUNTIF('Queen Discography'!$F$4:$F$22,C60)&gt;0,"A Night At The Opera",
IF(COUNTIF('Queen Discography'!$G$4:$G$22,C60)&gt;0,"A Day At The Races",
IF(COUNTIF('Queen Discography'!$H$4:$H$22,C60)&gt;0,"News Of The World",
IF(COUNTIF('Queen Discography'!$I$4:$I$22,C60)&gt;0,"Jazz",
IF(COUNTIF('Queen Discography'!$J$4:$J$22,C60)&gt;0,"The Game",
IF(COUNTIF('Queen Discography'!$K$4:$K$22,C60)&gt;0,"Flash Gordon",
IF(COUNTIF('Queen Discography'!$L$4:$L$22,C60)&gt;0,"Hot Space",
IF(COUNTIF('Queen Discography'!$M$4:$M$22,C60)&gt;0,"The Works",
IF(COUNTIF('Queen Discography'!$N$4:$N$22,C60)&gt;0,"A Kind Of Magic",
IF(COUNTIF('Queen Discography'!$O$4:$O$22,C60)&gt;0,"The Miracle",
IF(COUNTIF('Queen Discography'!$P$4:$P$22,C60)&gt;0,"Innuendo",
IF(COUNTIF('Queen Discography'!$Q$4:$Q$22,C60)&gt;0,"Made In Heaven","NOT FOUND")))))))))))))))</f>
        <v>The Miracle</v>
      </c>
      <c r="F60" s="68" t="s">
        <v>320</v>
      </c>
      <c r="G60" s="1"/>
      <c r="H60" s="1"/>
      <c r="I60" s="1"/>
      <c r="J60" s="1"/>
      <c r="K60" s="1"/>
    </row>
    <row r="61">
      <c r="A61" s="1"/>
      <c r="C61" s="66" t="s">
        <v>83</v>
      </c>
      <c r="D61" s="71" t="s">
        <v>321</v>
      </c>
      <c r="E61" s="66" t="str">
        <f>IF(COUNTIF('Queen Discography'!$C$4:$C$22,C61)&gt;0,"Queen",
IF(COUNTIF('Queen Discography'!$D$4:$D$22,C61)&gt;0,"Queen II",
IF(COUNTIF('Queen Discography'!$E$4:$E$22,C61)&gt;0,"Sheer Heart Attack",
IF(COUNTIF('Queen Discography'!$F$4:$F$22,C61)&gt;0,"A Night At The Opera",
IF(COUNTIF('Queen Discography'!$G$4:$G$22,C61)&gt;0,"A Day At The Races",
IF(COUNTIF('Queen Discography'!$H$4:$H$22,C61)&gt;0,"News Of The World",
IF(COUNTIF('Queen Discography'!$I$4:$I$22,C61)&gt;0,"Jazz",
IF(COUNTIF('Queen Discography'!$J$4:$J$22,C61)&gt;0,"The Game",
IF(COUNTIF('Queen Discography'!$K$4:$K$22,C61)&gt;0,"Flash Gordon",
IF(COUNTIF('Queen Discography'!$L$4:$L$22,C61)&gt;0,"Hot Space",
IF(COUNTIF('Queen Discography'!$M$4:$M$22,C61)&gt;0,"The Works",
IF(COUNTIF('Queen Discography'!$N$4:$N$22,C61)&gt;0,"A Kind Of Magic",
IF(COUNTIF('Queen Discography'!$O$4:$O$22,C61)&gt;0,"The Miracle",
IF(COUNTIF('Queen Discography'!$P$4:$P$22,C61)&gt;0,"Innuendo",
IF(COUNTIF('Queen Discography'!$Q$4:$Q$22,C61)&gt;0,"Made In Heaven","NOT FOUND")))))))))))))))</f>
        <v>The Miracle</v>
      </c>
      <c r="F61" s="68" t="s">
        <v>322</v>
      </c>
      <c r="G61" s="1"/>
      <c r="H61" s="1"/>
      <c r="I61" s="1"/>
      <c r="J61" s="1"/>
      <c r="K61" s="1"/>
    </row>
    <row r="62">
      <c r="A62" s="1"/>
      <c r="C62" s="66" t="s">
        <v>13</v>
      </c>
      <c r="D62" s="71" t="s">
        <v>323</v>
      </c>
      <c r="E62" s="66" t="str">
        <f>IF(COUNTIF('Queen Discography'!$C$4:$C$22,C62)&gt;0,"Queen",
IF(COUNTIF('Queen Discography'!$D$4:$D$22,C62)&gt;0,"Queen II",
IF(COUNTIF('Queen Discography'!$E$4:$E$22,C62)&gt;0,"Sheer Heart Attack",
IF(COUNTIF('Queen Discography'!$F$4:$F$22,C62)&gt;0,"A Night At The Opera",
IF(COUNTIF('Queen Discography'!$G$4:$G$22,C62)&gt;0,"A Day At The Races",
IF(COUNTIF('Queen Discography'!$H$4:$H$22,C62)&gt;0,"News Of The World",
IF(COUNTIF('Queen Discography'!$I$4:$I$22,C62)&gt;0,"Jazz",
IF(COUNTIF('Queen Discography'!$J$4:$J$22,C62)&gt;0,"The Game",
IF(COUNTIF('Queen Discography'!$K$4:$K$22,C62)&gt;0,"Flash Gordon",
IF(COUNTIF('Queen Discography'!$L$4:$L$22,C62)&gt;0,"Hot Space",
IF(COUNTIF('Queen Discography'!$M$4:$M$22,C62)&gt;0,"The Works",
IF(COUNTIF('Queen Discography'!$N$4:$N$22,C62)&gt;0,"A Kind Of Magic",
IF(COUNTIF('Queen Discography'!$O$4:$O$22,C62)&gt;0,"The Miracle",
IF(COUNTIF('Queen Discography'!$P$4:$P$22,C62)&gt;0,"Innuendo",
IF(COUNTIF('Queen Discography'!$Q$4:$Q$22,C62)&gt;0,"Made In Heaven","NOT FOUND")))))))))))))))</f>
        <v>The Miracle</v>
      </c>
      <c r="F62" s="68" t="s">
        <v>324</v>
      </c>
      <c r="G62" s="1"/>
      <c r="H62" s="1"/>
      <c r="I62" s="1"/>
      <c r="J62" s="1"/>
      <c r="K62" s="1"/>
    </row>
    <row r="63">
      <c r="A63" s="1"/>
      <c r="C63" s="66" t="s">
        <v>325</v>
      </c>
      <c r="D63" s="71" t="s">
        <v>326</v>
      </c>
      <c r="E63" s="66" t="str">
        <f>IF(COUNTIF('Queen Discography'!$C$4:$C$22,C63)&gt;0,"Queen",
IF(COUNTIF('Queen Discography'!$D$4:$D$22,C63)&gt;0,"Queen II",
IF(COUNTIF('Queen Discography'!$E$4:$E$22,C63)&gt;0,"Sheer Heart Attack",
IF(COUNTIF('Queen Discography'!$F$4:$F$22,C63)&gt;0,"A Night At The Opera",
IF(COUNTIF('Queen Discography'!$G$4:$G$22,C63)&gt;0,"A Day At The Races",
IF(COUNTIF('Queen Discography'!$H$4:$H$22,C63)&gt;0,"News Of The World",
IF(COUNTIF('Queen Discography'!$I$4:$I$22,C63)&gt;0,"Jazz",
IF(COUNTIF('Queen Discography'!$J$4:$J$22,C63)&gt;0,"The Game",
IF(COUNTIF('Queen Discography'!$K$4:$K$22,C63)&gt;0,"Flash Gordon",
IF(COUNTIF('Queen Discography'!$L$4:$L$22,C63)&gt;0,"Hot Space",
IF(COUNTIF('Queen Discography'!$M$4:$M$22,C63)&gt;0,"The Works",
IF(COUNTIF('Queen Discography'!$N$4:$N$22,C63)&gt;0,"A Kind Of Magic",
IF(COUNTIF('Queen Discography'!$O$4:$O$22,C63)&gt;0,"The Miracle",
IF(COUNTIF('Queen Discography'!$P$4:$P$22,C63)&gt;0,"Innuendo",
IF(COUNTIF('Queen Discography'!$Q$4:$Q$22,C63)&gt;0,"Made In Heaven","NOT FOUND")))))))))))))))</f>
        <v>The Works</v>
      </c>
      <c r="F63" s="68" t="s">
        <v>327</v>
      </c>
      <c r="G63" s="1"/>
      <c r="H63" s="1"/>
      <c r="I63" s="1"/>
      <c r="J63" s="1"/>
      <c r="K63" s="1"/>
    </row>
    <row r="64">
      <c r="A64" s="1"/>
      <c r="C64" s="66" t="s">
        <v>328</v>
      </c>
      <c r="D64" s="71" t="s">
        <v>329</v>
      </c>
      <c r="E64" s="66" t="str">
        <f>IF(COUNTIF('Queen Discography'!$C$4:$C$22,C64)&gt;0,"Queen",
IF(COUNTIF('Queen Discography'!$D$4:$D$22,C64)&gt;0,"Queen II",
IF(COUNTIF('Queen Discography'!$E$4:$E$22,C64)&gt;0,"Sheer Heart Attack",
IF(COUNTIF('Queen Discography'!$F$4:$F$22,C64)&gt;0,"A Night At The Opera",
IF(COUNTIF('Queen Discography'!$G$4:$G$22,C64)&gt;0,"A Day At The Races",
IF(COUNTIF('Queen Discography'!$H$4:$H$22,C64)&gt;0,"News Of The World",
IF(COUNTIF('Queen Discography'!$I$4:$I$22,C64)&gt;0,"Jazz",
IF(COUNTIF('Queen Discography'!$J$4:$J$22,C64)&gt;0,"The Game",
IF(COUNTIF('Queen Discography'!$K$4:$K$22,C64)&gt;0,"Flash Gordon",
IF(COUNTIF('Queen Discography'!$L$4:$L$22,C64)&gt;0,"Hot Space",
IF(COUNTIF('Queen Discography'!$M$4:$M$22,C64)&gt;0,"The Works",
IF(COUNTIF('Queen Discography'!$N$4:$N$22,C64)&gt;0,"A Kind Of Magic",
IF(COUNTIF('Queen Discography'!$O$4:$O$22,C64)&gt;0,"The Miracle",
IF(COUNTIF('Queen Discography'!$P$4:$P$22,C64)&gt;0,"Innuendo",
IF(COUNTIF('Queen Discography'!$Q$4:$Q$22,C64)&gt;0,"Made In Heaven","NOT FOUND")))))))))))))))</f>
        <v>The Works</v>
      </c>
      <c r="F64" s="68" t="s">
        <v>330</v>
      </c>
      <c r="G64" s="1"/>
      <c r="H64" s="1"/>
      <c r="I64" s="1"/>
      <c r="J64" s="1"/>
      <c r="K64" s="1"/>
    </row>
    <row r="65">
      <c r="A65" s="1"/>
      <c r="C65" s="66" t="s">
        <v>331</v>
      </c>
      <c r="D65" s="67" t="s">
        <v>332</v>
      </c>
      <c r="E65" s="66" t="str">
        <f>IF(COUNTIF('Queen Discography'!$C$4:$C$22,C65)&gt;0,"Queen",
IF(COUNTIF('Queen Discography'!$D$4:$D$22,C65)&gt;0,"Queen II",
IF(COUNTIF('Queen Discography'!$E$4:$E$22,C65)&gt;0,"Sheer Heart Attack",
IF(COUNTIF('Queen Discography'!$F$4:$F$22,C65)&gt;0,"A Night At The Opera",
IF(COUNTIF('Queen Discography'!$G$4:$G$22,C65)&gt;0,"A Day At The Races",
IF(COUNTIF('Queen Discography'!$H$4:$H$22,C65)&gt;0,"News Of The World",
IF(COUNTIF('Queen Discography'!$I$4:$I$22,C65)&gt;0,"Jazz",
IF(COUNTIF('Queen Discography'!$J$4:$J$22,C65)&gt;0,"The Game",
IF(COUNTIF('Queen Discography'!$K$4:$K$22,C65)&gt;0,"Flash Gordon",
IF(COUNTIF('Queen Discography'!$L$4:$L$22,C65)&gt;0,"Hot Space",
IF(COUNTIF('Queen Discography'!$M$4:$M$22,C65)&gt;0,"The Works",
IF(COUNTIF('Queen Discography'!$N$4:$N$22,C65)&gt;0,"A Kind Of Magic",
IF(COUNTIF('Queen Discography'!$O$4:$O$22,C65)&gt;0,"The Miracle",
IF(COUNTIF('Queen Discography'!$P$4:$P$22,C65)&gt;0,"Innuendo",
IF(COUNTIF('Queen Discography'!$Q$4:$Q$22,C65)&gt;0,"Made In Heaven","NOT FOUND")))))))))))))))</f>
        <v>The Works</v>
      </c>
      <c r="F65" s="68" t="s">
        <v>333</v>
      </c>
      <c r="G65" s="1"/>
      <c r="H65" s="1"/>
      <c r="I65" s="1"/>
      <c r="J65" s="1"/>
      <c r="K65" s="1"/>
    </row>
    <row r="66">
      <c r="A66" s="1"/>
      <c r="C66" s="66" t="s">
        <v>26</v>
      </c>
      <c r="D66" s="71" t="s">
        <v>334</v>
      </c>
      <c r="E66" s="66" t="str">
        <f>IF(COUNTIF('Queen Discography'!$C$4:$C$22,C66)&gt;0,"Queen",
IF(COUNTIF('Queen Discography'!$D$4:$D$22,C66)&gt;0,"Queen II",
IF(COUNTIF('Queen Discography'!$E$4:$E$22,C66)&gt;0,"Sheer Heart Attack",
IF(COUNTIF('Queen Discography'!$F$4:$F$22,C66)&gt;0,"A Night At The Opera",
IF(COUNTIF('Queen Discography'!$G$4:$G$22,C66)&gt;0,"A Day At The Races",
IF(COUNTIF('Queen Discography'!$H$4:$H$22,C66)&gt;0,"News Of The World",
IF(COUNTIF('Queen Discography'!$I$4:$I$22,C66)&gt;0,"Jazz",
IF(COUNTIF('Queen Discography'!$J$4:$J$22,C66)&gt;0,"The Game",
IF(COUNTIF('Queen Discography'!$K$4:$K$22,C66)&gt;0,"Flash Gordon",
IF(COUNTIF('Queen Discography'!$L$4:$L$22,C66)&gt;0,"Hot Space",
IF(COUNTIF('Queen Discography'!$M$4:$M$22,C66)&gt;0,"The Works",
IF(COUNTIF('Queen Discography'!$N$4:$N$22,C66)&gt;0,"A Kind Of Magic",
IF(COUNTIF('Queen Discography'!$O$4:$O$22,C66)&gt;0,"The Miracle",
IF(COUNTIF('Queen Discography'!$P$4:$P$22,C66)&gt;0,"Innuendo",
IF(COUNTIF('Queen Discography'!$Q$4:$Q$22,C66)&gt;0,"Made In Heaven","NOT FOUND")))))))))))))))</f>
        <v>The Works</v>
      </c>
      <c r="F66" s="68" t="s">
        <v>335</v>
      </c>
      <c r="G66" s="1"/>
      <c r="H66" s="1"/>
      <c r="I66" s="1"/>
      <c r="J66" s="1"/>
      <c r="K66" s="1"/>
    </row>
    <row r="67">
      <c r="A67" s="1"/>
      <c r="B67" s="19"/>
      <c r="C67" s="1"/>
      <c r="D67" s="1"/>
      <c r="E67" s="1"/>
      <c r="F67" s="1"/>
      <c r="G67" s="1"/>
      <c r="H67" s="1"/>
      <c r="I67" s="1"/>
      <c r="J67" s="1"/>
      <c r="K67" s="1"/>
    </row>
  </sheetData>
  <autoFilter ref="$C$3:$F$66"/>
  <mergeCells count="4">
    <mergeCell ref="C2:F2"/>
    <mergeCell ref="H2:I3"/>
    <mergeCell ref="J2:J3"/>
    <mergeCell ref="B4:B66"/>
  </mergeCells>
  <conditionalFormatting sqref="C4:C39 C43:C66 D4:F66">
    <cfRule type="expression" dxfId="0" priority="1">
      <formula>$E4="NOT FOUND"</formula>
    </cfRule>
  </conditionalFormatting>
  <conditionalFormatting sqref="C4:C39 C43:C66 D4:F66">
    <cfRule type="expression" dxfId="1" priority="2">
      <formula>$E4="Queen"</formula>
    </cfRule>
  </conditionalFormatting>
  <conditionalFormatting sqref="C4:C39 C43:C66 D4:F66">
    <cfRule type="expression" dxfId="2" priority="3">
      <formula>$E4="Queen II"</formula>
    </cfRule>
  </conditionalFormatting>
  <conditionalFormatting sqref="C4:C39 C43:C66 D4:F66">
    <cfRule type="expression" dxfId="3" priority="4">
      <formula>$E4="Sheer Heart Attack"</formula>
    </cfRule>
  </conditionalFormatting>
  <conditionalFormatting sqref="C4:C39 C43:C66 D4:F66">
    <cfRule type="expression" dxfId="4" priority="5">
      <formula>$E4="A Night At The Opera"</formula>
    </cfRule>
  </conditionalFormatting>
  <conditionalFormatting sqref="C4:C39 C43:C66 D4:F66">
    <cfRule type="expression" dxfId="5" priority="6">
      <formula>$E4="A Day At The Races"</formula>
    </cfRule>
  </conditionalFormatting>
  <conditionalFormatting sqref="C4:C39 C43:C66 D4:F66">
    <cfRule type="expression" dxfId="6" priority="7">
      <formula>$E4="News Of The World"</formula>
    </cfRule>
  </conditionalFormatting>
  <conditionalFormatting sqref="C4:C39 C43:C66 D4:F66">
    <cfRule type="expression" dxfId="7" priority="8">
      <formula>$E4="Jazz"</formula>
    </cfRule>
  </conditionalFormatting>
  <conditionalFormatting sqref="C4:C39 C43:C66 D4:F66">
    <cfRule type="expression" dxfId="8" priority="9">
      <formula>$E4="The Game"</formula>
    </cfRule>
  </conditionalFormatting>
  <conditionalFormatting sqref="C4:C39 C43:C66 D4:F66">
    <cfRule type="expression" dxfId="9" priority="10">
      <formula>$E4="Flash Gordon"</formula>
    </cfRule>
  </conditionalFormatting>
  <conditionalFormatting sqref="C4:C39 C43:C66 D4:F66">
    <cfRule type="expression" dxfId="10" priority="11">
      <formula>$E4="Hot Space"</formula>
    </cfRule>
  </conditionalFormatting>
  <conditionalFormatting sqref="C4:C39 C43:C66 D4:F66">
    <cfRule type="expression" dxfId="11" priority="12">
      <formula>$E4="The Works"</formula>
    </cfRule>
  </conditionalFormatting>
  <conditionalFormatting sqref="C4:C39 C43:C66 D4:F66">
    <cfRule type="expression" dxfId="12" priority="13">
      <formula>$E4="A Kind Of Magic"</formula>
    </cfRule>
  </conditionalFormatting>
  <conditionalFormatting sqref="C4:C39 C43:C66 D4:F66">
    <cfRule type="expression" dxfId="13" priority="14">
      <formula>$E4="The Miracle"</formula>
    </cfRule>
  </conditionalFormatting>
  <conditionalFormatting sqref="C4:C39 C43:C66 D4:F66">
    <cfRule type="expression" dxfId="14" priority="15">
      <formula>$E4="Innuendo"</formula>
    </cfRule>
  </conditionalFormatting>
  <conditionalFormatting sqref="C4:C39 C43:C66 D4:F66">
    <cfRule type="expression" dxfId="15" priority="16">
      <formula>$E4="Made In Heaven"</formula>
    </cfRule>
  </conditionalFormatting>
  <hyperlinks>
    <hyperlink r:id="rId2" ref="D4"/>
    <hyperlink r:id="rId3" ref="D5"/>
    <hyperlink r:id="rId4" ref="D6"/>
    <hyperlink r:id="rId5" ref="D7"/>
    <hyperlink r:id="rId6" ref="D8"/>
    <hyperlink r:id="rId7" ref="D9"/>
    <hyperlink r:id="rId8" ref="D10"/>
    <hyperlink r:id="rId9" ref="D11"/>
    <hyperlink r:id="rId10" ref="D12"/>
    <hyperlink r:id="rId11" ref="D13"/>
    <hyperlink r:id="rId12" ref="D14"/>
    <hyperlink r:id="rId13" ref="D15"/>
    <hyperlink r:id="rId14" ref="D16"/>
    <hyperlink r:id="rId15" ref="D17"/>
    <hyperlink r:id="rId16" ref="D18"/>
    <hyperlink r:id="rId17" ref="D19"/>
    <hyperlink r:id="rId18" ref="D20"/>
    <hyperlink r:id="rId19" ref="D21"/>
    <hyperlink r:id="rId20" ref="D22"/>
    <hyperlink r:id="rId21" ref="D23"/>
    <hyperlink r:id="rId22" ref="D24"/>
    <hyperlink r:id="rId23" ref="D25"/>
    <hyperlink r:id="rId24" ref="D26"/>
    <hyperlink r:id="rId25" ref="D27"/>
    <hyperlink r:id="rId26" ref="D28"/>
    <hyperlink r:id="rId27" ref="D29"/>
    <hyperlink r:id="rId28" ref="D30"/>
    <hyperlink r:id="rId29" ref="D31"/>
    <hyperlink r:id="rId30" ref="D32"/>
    <hyperlink r:id="rId31" ref="D33"/>
    <hyperlink r:id="rId32" ref="D34"/>
    <hyperlink r:id="rId33" ref="D35"/>
    <hyperlink r:id="rId34" ref="D36"/>
    <hyperlink r:id="rId35" ref="D37"/>
    <hyperlink r:id="rId36" ref="D38"/>
    <hyperlink r:id="rId37" ref="D39"/>
    <hyperlink r:id="rId38" ref="D40"/>
    <hyperlink r:id="rId39" ref="D41"/>
    <hyperlink r:id="rId40" ref="D42"/>
    <hyperlink r:id="rId41" ref="D43"/>
    <hyperlink r:id="rId42" ref="D44"/>
    <hyperlink r:id="rId43" ref="D45"/>
    <hyperlink r:id="rId44" ref="D46"/>
    <hyperlink r:id="rId45" ref="D47"/>
    <hyperlink r:id="rId46" ref="D48"/>
    <hyperlink r:id="rId47" ref="D49"/>
    <hyperlink r:id="rId48" ref="D50"/>
    <hyperlink r:id="rId49" ref="D51"/>
    <hyperlink r:id="rId50" ref="D52"/>
    <hyperlink r:id="rId51" ref="D53"/>
    <hyperlink r:id="rId52" ref="D54"/>
    <hyperlink r:id="rId53" ref="D55"/>
    <hyperlink r:id="rId54" ref="D56"/>
    <hyperlink r:id="rId55" ref="D57"/>
    <hyperlink r:id="rId56" ref="D58"/>
    <hyperlink r:id="rId57" ref="D59"/>
    <hyperlink r:id="rId58" ref="D60"/>
    <hyperlink r:id="rId59" ref="D61"/>
    <hyperlink r:id="rId60" ref="D62"/>
    <hyperlink r:id="rId61" ref="D63"/>
    <hyperlink r:id="rId62" ref="D64"/>
    <hyperlink r:id="rId63" ref="D65"/>
    <hyperlink r:id="rId64" ref="D66"/>
  </hyperlinks>
  <drawing r:id="rId65"/>
  <legacyDrawing r:id="rId6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outlineLevelCol="1"/>
  <cols>
    <col customWidth="1" min="1" max="1" width="2.75"/>
    <col customWidth="1" min="3" max="3" width="24.63"/>
    <col collapsed="1" customWidth="1" min="4" max="4" width="2.5"/>
    <col customWidth="1" hidden="1" min="5" max="5" width="2.5" outlineLevel="1"/>
    <col customWidth="1" hidden="1" min="6" max="6" width="30.25" outlineLevel="1"/>
    <col customWidth="1" min="7" max="7" width="6.75"/>
    <col customWidth="1" min="8" max="8" width="16.75"/>
    <col customWidth="1" min="9" max="9" width="2.75"/>
    <col customWidth="1" min="10" max="10" width="6.38"/>
    <col customWidth="1" min="11" max="14" width="5.75"/>
    <col collapsed="1" customWidth="1" min="15" max="15" width="5.75"/>
    <col customWidth="1" hidden="1" min="16" max="47" width="5.75" outlineLevel="1"/>
    <col customWidth="1" min="48" max="48" width="17.63"/>
    <col customWidth="1" min="49" max="50" width="6.38"/>
    <col customWidth="1" min="51" max="51" width="15.38"/>
    <col customWidth="1" min="52" max="54" width="6.38"/>
    <col customWidth="1" min="55" max="56" width="5.75"/>
    <col customWidth="1" min="57" max="57" width="2.75"/>
  </cols>
  <sheetData>
    <row r="1">
      <c r="A1" s="1" t="s">
        <v>0</v>
      </c>
      <c r="B1" s="1"/>
      <c r="C1" s="1"/>
      <c r="D1" s="1"/>
      <c r="E1" s="86"/>
      <c r="F1" s="1"/>
      <c r="G1" s="1"/>
      <c r="H1" s="1"/>
      <c r="I1" s="1"/>
      <c r="J1" s="1"/>
      <c r="K1" s="1"/>
      <c r="L1" s="1"/>
      <c r="M1" s="1"/>
      <c r="N1" s="87"/>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ht="31.5" customHeight="1">
      <c r="A2" s="2"/>
      <c r="B2" s="56"/>
      <c r="C2" s="88" t="s">
        <v>336</v>
      </c>
      <c r="I2" s="19"/>
      <c r="J2" s="89" t="s">
        <v>337</v>
      </c>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19"/>
    </row>
    <row r="3" ht="31.5" customHeight="1">
      <c r="A3" s="2"/>
      <c r="B3" s="60"/>
      <c r="C3" s="61" t="s">
        <v>185</v>
      </c>
      <c r="D3" s="61" t="s">
        <v>338</v>
      </c>
      <c r="E3" s="91" t="s">
        <v>339</v>
      </c>
      <c r="F3" s="61" t="s">
        <v>186</v>
      </c>
      <c r="G3" s="62" t="s">
        <v>340</v>
      </c>
      <c r="H3" s="61" t="s">
        <v>187</v>
      </c>
      <c r="I3" s="36"/>
      <c r="J3" s="92" t="s">
        <v>341</v>
      </c>
      <c r="K3" s="92" t="s">
        <v>342</v>
      </c>
      <c r="L3" s="92" t="s">
        <v>343</v>
      </c>
      <c r="M3" s="92" t="s">
        <v>344</v>
      </c>
      <c r="N3" s="93" t="s">
        <v>345</v>
      </c>
      <c r="O3" s="92" t="s">
        <v>346</v>
      </c>
      <c r="P3" s="94" t="str">
        <f t="array" ref="P3:AE3">TRANSPOSE('Queen MIDI'!$H$4:$H$19)</f>
        <v>Queen</v>
      </c>
      <c r="Q3" s="94" t="s">
        <v>2</v>
      </c>
      <c r="R3" s="94" t="s">
        <v>3</v>
      </c>
      <c r="S3" s="94" t="s">
        <v>4</v>
      </c>
      <c r="T3" s="94" t="s">
        <v>5</v>
      </c>
      <c r="U3" s="94" t="s">
        <v>6</v>
      </c>
      <c r="V3" s="94" t="s">
        <v>7</v>
      </c>
      <c r="W3" s="94" t="s">
        <v>8</v>
      </c>
      <c r="X3" s="94" t="s">
        <v>9</v>
      </c>
      <c r="Y3" s="94" t="s">
        <v>10</v>
      </c>
      <c r="Z3" s="94" t="s">
        <v>11</v>
      </c>
      <c r="AA3" s="94" t="s">
        <v>12</v>
      </c>
      <c r="AB3" s="94" t="s">
        <v>13</v>
      </c>
      <c r="AC3" s="94" t="s">
        <v>14</v>
      </c>
      <c r="AD3" s="94" t="s">
        <v>15</v>
      </c>
      <c r="AE3" s="94" t="s">
        <v>227</v>
      </c>
      <c r="AF3" s="94" t="str">
        <f t="array" ref="AF3:AU3">TRANSPOSE('Queen MIDI'!$H$4:$H$19)</f>
        <v>Queen</v>
      </c>
      <c r="AG3" s="94" t="s">
        <v>2</v>
      </c>
      <c r="AH3" s="94" t="s">
        <v>3</v>
      </c>
      <c r="AI3" s="94" t="s">
        <v>4</v>
      </c>
      <c r="AJ3" s="94" t="s">
        <v>5</v>
      </c>
      <c r="AK3" s="94" t="s">
        <v>6</v>
      </c>
      <c r="AL3" s="94" t="s">
        <v>7</v>
      </c>
      <c r="AM3" s="94" t="s">
        <v>8</v>
      </c>
      <c r="AN3" s="94" t="s">
        <v>9</v>
      </c>
      <c r="AO3" s="94" t="s">
        <v>10</v>
      </c>
      <c r="AP3" s="94" t="s">
        <v>11</v>
      </c>
      <c r="AQ3" s="94" t="s">
        <v>12</v>
      </c>
      <c r="AR3" s="94" t="s">
        <v>13</v>
      </c>
      <c r="AS3" s="94" t="s">
        <v>14</v>
      </c>
      <c r="AT3" s="94" t="s">
        <v>15</v>
      </c>
      <c r="AU3" s="94" t="s">
        <v>227</v>
      </c>
      <c r="AV3" s="92" t="s">
        <v>347</v>
      </c>
      <c r="AW3" s="92" t="s">
        <v>348</v>
      </c>
      <c r="AX3" s="92" t="s">
        <v>349</v>
      </c>
      <c r="AY3" s="92" t="s">
        <v>350</v>
      </c>
      <c r="AZ3" s="92" t="s">
        <v>351</v>
      </c>
      <c r="BA3" s="92" t="s">
        <v>352</v>
      </c>
      <c r="BB3" s="92" t="s">
        <v>353</v>
      </c>
      <c r="BC3" s="92" t="s">
        <v>354</v>
      </c>
      <c r="BD3" s="92" t="s">
        <v>355</v>
      </c>
      <c r="BE3" s="36"/>
    </row>
    <row r="4">
      <c r="A4" s="1"/>
      <c r="B4" s="56" t="str">
        <f>CONCATENATE("Songs",CHAR(10),"(",COUNTA(C4:C66),")")</f>
        <v>Songs
(63)</v>
      </c>
      <c r="C4" s="66" t="str">
        <f t="array" ref="C4">INDEX('Queen MIDI'!$C$4:$C$66,MATCH(F4,'Queen MIDI'!$D$4:$D$66,0))</f>
        <v>Doing Alright</v>
      </c>
      <c r="D4" s="95">
        <v>0.0</v>
      </c>
      <c r="E4" s="96" t="s">
        <v>356</v>
      </c>
      <c r="F4" s="66" t="str">
        <f t="shared" ref="F4:F66" si="2">RIGHT(E4,LEN(E4)-75)</f>
        <v>Doing All Right.1.mid</v>
      </c>
      <c r="G4" s="97">
        <f>HLOOKUP(H4,'Queen Discography'!$C$2:$Q$3,2,FALSE)</f>
        <v>1973</v>
      </c>
      <c r="H4" s="66" t="str">
        <f>IF(COUNTIF('Queen Discography'!$C$4:$C$22,C4)&gt;0,"Queen",
IF(COUNTIF('Queen Discography'!$D$4:$D$22,C4)&gt;0,"Queen II",
IF(COUNTIF('Queen Discography'!$E$4:$E$22,C4)&gt;0,"Sheer Heart Attack",
IF(COUNTIF('Queen Discography'!$F$4:$F$22,C4)&gt;0,"A Night At The Opera",
IF(COUNTIF('Queen Discography'!$G$4:$G$22,C4)&gt;0,"A Day At The Races",
IF(COUNTIF('Queen Discography'!$H$4:$H$22,C4)&gt;0,"News Of The World",
IF(COUNTIF('Queen Discography'!$I$4:$I$22,C4)&gt;0,"Jazz",
IF(COUNTIF('Queen Discography'!$J$4:$J$22,C4)&gt;0,"The Game",
IF(COUNTIF('Queen Discography'!$K$4:$K$22,C4)&gt;0,"Flash Gordon",
IF(COUNTIF('Queen Discography'!$L$4:$L$22,C4)&gt;0,"Hot Space",
IF(COUNTIF('Queen Discography'!$M$4:$M$22,C4)&gt;0,"The Works",
IF(COUNTIF('Queen Discography'!$N$4:$N$22,C4)&gt;0,"A Kind Of Magic",
IF(COUNTIF('Queen Discography'!$O$4:$O$22,C4)&gt;0,"The Miracle",
IF(COUNTIF('Queen Discography'!$P$4:$P$22,C4)&gt;0,"Innuendo",
IF(COUNTIF('Queen Discography'!$Q$4:$Q$22,C4)&gt;0,"Made In Heaven","NOT FOUND")))))))))))))))</f>
        <v>Queen</v>
      </c>
      <c r="I4" s="1"/>
      <c r="J4" s="98">
        <v>0.0</v>
      </c>
      <c r="K4" s="99">
        <f>IF(MINIFS($G$4:$G$66,$D$4:$D$66,$J4,$G$4:$G$66,"&lt;&gt;#N/A")=0,"N/A",MINIFS($G$4:$G$66,$D$4:$D$66,$J4,$G$4:$G$66,"&lt;&gt;#N/A"))</f>
        <v>1973</v>
      </c>
      <c r="L4" s="99">
        <f t="shared" ref="L4:L21" si="3">IF(MAXIFS($G$4:$G$66,$D$4:$D$66,$J4,$G$4:$G$66,"&lt;&gt;#N/A")=0,"N/A",MAXIFS($G$4:$G$66,$D$4:$D$66,$J4,$G$4:$G$66,"&lt;&gt;#N/A"))</f>
        <v>1995</v>
      </c>
      <c r="M4" s="99">
        <f t="shared" ref="M4:M21" si="4">IFERROR(ROUND(AVERAGEIFS($G$4:$G$66,$D$4:$D$66,$J4,$G$4:$G$66,"&lt;&gt;#N/A"),0),"N/A")</f>
        <v>1983</v>
      </c>
      <c r="N4" s="100">
        <f>IFERROR(__xludf.DUMMYFUNCTION("IFERROR(MEDIAN(FILTER($G$4:$G$66,$D$4:$D$66=$J4,ISNUMBER($G$4:$G$66))),""N/A"")"),1984.0)</f>
        <v>1984</v>
      </c>
      <c r="O4" s="99">
        <f>IFERROR(__xludf.DUMMYFUNCTION("IFERROR(MODE(FILTER($G$4:$G$66,$D$4:$D$66=$J4,ISNUMBER($G$4:$G$66))),""N/A"")"),1991.0)</f>
        <v>1991</v>
      </c>
      <c r="P4" s="99">
        <f t="shared" ref="P4:AE4" si="1">COUNTIFS($H$4:$H$66,P$3,$D$4:$D$66,$J4)</f>
        <v>4</v>
      </c>
      <c r="Q4" s="99">
        <f t="shared" si="1"/>
        <v>2</v>
      </c>
      <c r="R4" s="99">
        <f t="shared" si="1"/>
        <v>2</v>
      </c>
      <c r="S4" s="99">
        <f t="shared" si="1"/>
        <v>5</v>
      </c>
      <c r="T4" s="99">
        <f t="shared" si="1"/>
        <v>3</v>
      </c>
      <c r="U4" s="99">
        <f t="shared" si="1"/>
        <v>3</v>
      </c>
      <c r="V4" s="99">
        <f t="shared" si="1"/>
        <v>5</v>
      </c>
      <c r="W4" s="99">
        <f t="shared" si="1"/>
        <v>4</v>
      </c>
      <c r="X4" s="99">
        <f t="shared" si="1"/>
        <v>0</v>
      </c>
      <c r="Y4" s="99">
        <f t="shared" si="1"/>
        <v>1</v>
      </c>
      <c r="Z4" s="99">
        <f t="shared" si="1"/>
        <v>4</v>
      </c>
      <c r="AA4" s="99">
        <f t="shared" si="1"/>
        <v>5</v>
      </c>
      <c r="AB4" s="99">
        <f t="shared" si="1"/>
        <v>5</v>
      </c>
      <c r="AC4" s="99">
        <f t="shared" si="1"/>
        <v>9</v>
      </c>
      <c r="AD4" s="99">
        <f t="shared" si="1"/>
        <v>7</v>
      </c>
      <c r="AE4" s="99">
        <f t="shared" si="1"/>
        <v>1</v>
      </c>
      <c r="AF4" s="101">
        <f t="array" ref="AF4:AU4">IFERROR(P4:AE4*TRANSPOSE('Queen MIDI'!$J$4:$J$19),"N/A")</f>
        <v>3.9375</v>
      </c>
      <c r="AG4" s="101">
        <v>2.625</v>
      </c>
      <c r="AH4" s="101">
        <v>3.9375</v>
      </c>
      <c r="AI4" s="101">
        <v>3.9375</v>
      </c>
      <c r="AJ4" s="101">
        <v>3.9375</v>
      </c>
      <c r="AK4" s="101">
        <v>2.953125</v>
      </c>
      <c r="AL4" s="101">
        <v>3.9375</v>
      </c>
      <c r="AM4" s="101">
        <v>3.9375</v>
      </c>
      <c r="AN4" s="101" t="s">
        <v>357</v>
      </c>
      <c r="AO4" s="101">
        <v>3.9375</v>
      </c>
      <c r="AP4" s="101">
        <v>3.9375</v>
      </c>
      <c r="AQ4" s="102">
        <v>3.9375</v>
      </c>
      <c r="AR4" s="102">
        <v>3.9375</v>
      </c>
      <c r="AS4" s="102">
        <v>3.9375</v>
      </c>
      <c r="AT4" s="101">
        <v>3.9375</v>
      </c>
      <c r="AU4" s="101">
        <v>1.96875</v>
      </c>
      <c r="AV4" s="99" t="str">
        <f>IFERROR(__xludf.DUMMYFUNCTION("JOIN("", "",FILTER($P$3:$AE$3,$P4:$AE4=MAX($P4:$AE4)))"),"Innuendo")</f>
        <v>Innuendo</v>
      </c>
      <c r="AW4" s="99">
        <f t="shared" ref="AW4:AW21" si="6">MAX($P4:$AE4)</f>
        <v>9</v>
      </c>
      <c r="AX4" s="99">
        <f>IFERROR(__xludf.DUMMYFUNCTION("COUNTA(FILTER($P$3:$AE$3,$P4:$AE4=MAX($P4:$AE4)))"),1.0)</f>
        <v>1</v>
      </c>
      <c r="AY4" s="99" t="str">
        <f>IFERROR(__xludf.DUMMYFUNCTION("IFERROR(JOIN("", "",FILTER($AF$3:$AU$3,$AF4:$AU4=MAXIFS($AF4:$AU4,$AF$23:$AU$23,TRUE),$AF$23:$AU$23)),""N/A"")"),"Queen, Sheer Heart Attack, A Night At The Opera, A Day At The Races, Jazz, The Game, The Works, A Kind Of Magic, The Miracle, Innuendo, Made In Heaven")</f>
        <v>Queen, Sheer Heart Attack, A Night At The Opera, A Day At The Races, Jazz, The Game, The Works, A Kind Of Magic, The Miracle, Innuendo, Made In Heaven</v>
      </c>
      <c r="AZ4" s="103" t="str">
        <f>IFERROR(__xludf.DUMMYFUNCTION("IFERROR(JOIN("", "",FILTER($P4:$AE4,$AF4:$AU4=MAXIFS($AF4:$AU4,$AF$23:$AU$23,TRUE),$AF$23:$AU$23)),""N/A"")"),"4, 2, 5, 3, 5, 4, 4, 5, 5, 9, 7")</f>
        <v>4, 2, 5, 3, 5, 4, 4, 5, 5, 9, 7</v>
      </c>
      <c r="BA4" s="103">
        <f>MAXIFS(AF4:AU4,$AF$23:$AU$23,TRUE)/'Queen MIDI'!$J$20</f>
        <v>1</v>
      </c>
      <c r="BB4" s="98">
        <f>IFERROR(__xludf.DUMMYFUNCTION("COUNTA(IFERROR(FILTER($AF$3:$AU$3,$AF4:$AU4=MAXIFS($AF4:$AU4,$AF$23:$AU$23,TRUE),$AF$23:$AU$23),))"),11.0)</f>
        <v>11</v>
      </c>
      <c r="BC4" s="103">
        <f t="shared" ref="BC4:BC21" si="7">$BD4/$BD$22</f>
        <v>0.9523809524</v>
      </c>
      <c r="BD4" s="99">
        <f t="shared" ref="BD4:BD21" si="8">COUNTIF($D$4:$D$66,J4)</f>
        <v>60</v>
      </c>
      <c r="BE4" s="1"/>
    </row>
    <row r="5">
      <c r="A5" s="1"/>
      <c r="C5" s="66" t="str">
        <f t="array" ref="C5">INDEX('Queen MIDI'!$C$4:$C$66,MATCH(F5,'Queen MIDI'!$D$4:$D$66,0))</f>
        <v>Keep Yourself Alive</v>
      </c>
      <c r="D5" s="95">
        <v>0.0</v>
      </c>
      <c r="E5" s="96" t="s">
        <v>358</v>
      </c>
      <c r="F5" s="66" t="str">
        <f t="shared" si="2"/>
        <v>Keep Yourself Alive.mid</v>
      </c>
      <c r="G5" s="97">
        <f>HLOOKUP(H5,'Queen Discography'!$C$2:$Q$3,2,FALSE)</f>
        <v>1973</v>
      </c>
      <c r="H5" s="66" t="str">
        <f>IF(COUNTIF('Queen Discography'!$C$4:$C$22,C5)&gt;0,"Queen",
IF(COUNTIF('Queen Discography'!$D$4:$D$22,C5)&gt;0,"Queen II",
IF(COUNTIF('Queen Discography'!$E$4:$E$22,C5)&gt;0,"Sheer Heart Attack",
IF(COUNTIF('Queen Discography'!$F$4:$F$22,C5)&gt;0,"A Night At The Opera",
IF(COUNTIF('Queen Discography'!$G$4:$G$22,C5)&gt;0,"A Day At The Races",
IF(COUNTIF('Queen Discography'!$H$4:$H$22,C5)&gt;0,"News Of The World",
IF(COUNTIF('Queen Discography'!$I$4:$I$22,C5)&gt;0,"Jazz",
IF(COUNTIF('Queen Discography'!$J$4:$J$22,C5)&gt;0,"The Game",
IF(COUNTIF('Queen Discography'!$K$4:$K$22,C5)&gt;0,"Flash Gordon",
IF(COUNTIF('Queen Discography'!$L$4:$L$22,C5)&gt;0,"Hot Space",
IF(COUNTIF('Queen Discography'!$M$4:$M$22,C5)&gt;0,"The Works",
IF(COUNTIF('Queen Discography'!$N$4:$N$22,C5)&gt;0,"A Kind Of Magic",
IF(COUNTIF('Queen Discography'!$O$4:$O$22,C5)&gt;0,"The Miracle",
IF(COUNTIF('Queen Discography'!$P$4:$P$22,C5)&gt;0,"Innuendo",
IF(COUNTIF('Queen Discography'!$Q$4:$Q$22,C5)&gt;0,"Made In Heaven","NOT FOUND")))))))))))))))</f>
        <v>Queen</v>
      </c>
      <c r="I5" s="1"/>
      <c r="J5" s="98">
        <v>1.0</v>
      </c>
      <c r="K5" s="99">
        <f t="shared" ref="K5:K21" si="9">IF(MINIFS($G$4:$G$66,$D$4:$D$66,J5,$G$4:$G$66,"&lt;&gt;#N/A")=0,"N/A",MINIFS($G$4:$G$66,$D$4:$D$66,J5,$G$4:$G$66,"&lt;&gt;#N/A"))</f>
        <v>1974</v>
      </c>
      <c r="L5" s="99">
        <f t="shared" si="3"/>
        <v>1974</v>
      </c>
      <c r="M5" s="99">
        <f t="shared" si="4"/>
        <v>1974</v>
      </c>
      <c r="N5" s="99">
        <f>IFERROR(ROUND(AVERAGEIFS($G$4:$G$66,$D$4:$D$66,$J5,$G$4:$G$66,"&lt;&gt;#N/A"),0),"N/A")</f>
        <v>1974</v>
      </c>
      <c r="O5" s="99" t="str">
        <f>IFERROR(__xludf.DUMMYFUNCTION("IFERROR(MODE(FILTER($G$4:$G$66,$D$4:$D$66=$J5,ISNUMBER($G$4:$G$66))),""N/A"")"),"N/A")</f>
        <v>N/A</v>
      </c>
      <c r="P5" s="99">
        <f t="shared" ref="P5:AE5" si="5">COUNTIFS($H$4:$H$66,P$3,$D$4:$D$66,$J5)</f>
        <v>0</v>
      </c>
      <c r="Q5" s="99">
        <f t="shared" si="5"/>
        <v>1</v>
      </c>
      <c r="R5" s="99">
        <f t="shared" si="5"/>
        <v>0</v>
      </c>
      <c r="S5" s="99">
        <f t="shared" si="5"/>
        <v>0</v>
      </c>
      <c r="T5" s="99">
        <f t="shared" si="5"/>
        <v>0</v>
      </c>
      <c r="U5" s="99">
        <f t="shared" si="5"/>
        <v>0</v>
      </c>
      <c r="V5" s="99">
        <f t="shared" si="5"/>
        <v>0</v>
      </c>
      <c r="W5" s="99">
        <f t="shared" si="5"/>
        <v>0</v>
      </c>
      <c r="X5" s="99">
        <f t="shared" si="5"/>
        <v>0</v>
      </c>
      <c r="Y5" s="99">
        <f t="shared" si="5"/>
        <v>0</v>
      </c>
      <c r="Z5" s="99">
        <f t="shared" si="5"/>
        <v>0</v>
      </c>
      <c r="AA5" s="99">
        <f t="shared" si="5"/>
        <v>0</v>
      </c>
      <c r="AB5" s="99">
        <f t="shared" si="5"/>
        <v>0</v>
      </c>
      <c r="AC5" s="99">
        <f t="shared" si="5"/>
        <v>0</v>
      </c>
      <c r="AD5" s="99">
        <f t="shared" si="5"/>
        <v>0</v>
      </c>
      <c r="AE5" s="99">
        <f t="shared" si="5"/>
        <v>0</v>
      </c>
      <c r="AF5" s="101">
        <f t="array" ref="AF5:AU5">IFERROR(P5:AE5*TRANSPOSE('Queen MIDI'!$J$4:$J$19),"N/A")</f>
        <v>0</v>
      </c>
      <c r="AG5" s="101">
        <v>1.3125</v>
      </c>
      <c r="AH5" s="101">
        <v>0.0</v>
      </c>
      <c r="AI5" s="101">
        <v>0.0</v>
      </c>
      <c r="AJ5" s="101">
        <v>0.0</v>
      </c>
      <c r="AK5" s="101">
        <v>0.0</v>
      </c>
      <c r="AL5" s="101">
        <v>0.0</v>
      </c>
      <c r="AM5" s="101">
        <v>0.0</v>
      </c>
      <c r="AN5" s="101" t="s">
        <v>357</v>
      </c>
      <c r="AO5" s="101">
        <v>0.0</v>
      </c>
      <c r="AP5" s="101">
        <v>0.0</v>
      </c>
      <c r="AQ5" s="101">
        <v>0.0</v>
      </c>
      <c r="AR5" s="101">
        <v>0.0</v>
      </c>
      <c r="AS5" s="101">
        <v>0.0</v>
      </c>
      <c r="AT5" s="101">
        <v>0.0</v>
      </c>
      <c r="AU5" s="101">
        <v>0.0</v>
      </c>
      <c r="AV5" s="99" t="str">
        <f>IFERROR(__xludf.DUMMYFUNCTION("JOIN("", "",FILTER($P$3:$AE$3,$P5:$AE5=MAX($P5:$AE5)))"),"Queen II")</f>
        <v>Queen II</v>
      </c>
      <c r="AW5" s="99">
        <f t="shared" si="6"/>
        <v>1</v>
      </c>
      <c r="AX5" s="99">
        <f>IFERROR(__xludf.DUMMYFUNCTION("COUNTA(FILTER($P$3:$AE$3,$P5:$AE5=MAX($P5:$AE5)))"),1.0)</f>
        <v>1</v>
      </c>
      <c r="AY5" s="99" t="str">
        <f>IFERROR(__xludf.DUMMYFUNCTION("IFERROR(JOIN("", "",FILTER($AF$3:$AU$3,$AF5:$AU5=MAXIFS($AF5:$AU5,$AF$23:$AU$23,TRUE),$AF$23:$AU$23)),""N/A"")"),"Queen II")</f>
        <v>Queen II</v>
      </c>
      <c r="AZ5" s="103" t="str">
        <f>IFERROR(__xludf.DUMMYFUNCTION("IFERROR(JOIN("", "",FILTER($P5:$AE5,$AF5:$AU5=MAXIFS($AF5:$AU5,$AF$23:$AU$23,TRUE),$AF$23:$AU$23)),""N/A"")"),"1")</f>
        <v>1</v>
      </c>
      <c r="BA5" s="103">
        <f>MAXIFS(AF5:AU5,$AF$23:$AU$23,TRUE)/'Queen MIDI'!$J$20</f>
        <v>0.3333333333</v>
      </c>
      <c r="BB5" s="98">
        <f>IFERROR(__xludf.DUMMYFUNCTION("COUNTA(IFERROR(FILTER($AF$3:$AU$3,$AF5:$AU5=MAXIFS($AF5:$AU5,$AF$23:$AU$23,TRUE),$AF$23:$AU$23),))"),1.0)</f>
        <v>1</v>
      </c>
      <c r="BC5" s="103">
        <f t="shared" si="7"/>
        <v>0.01587301587</v>
      </c>
      <c r="BD5" s="99">
        <f t="shared" si="8"/>
        <v>1</v>
      </c>
      <c r="BE5" s="1"/>
    </row>
    <row r="6">
      <c r="A6" s="1"/>
      <c r="C6" s="66" t="str">
        <f t="array" ref="C6">INDEX('Queen MIDI'!$C$4:$C$66,MATCH(F6,'Queen MIDI'!$D$4:$D$66,0))</f>
        <v>Seven Seas of Rhye</v>
      </c>
      <c r="D6" s="95">
        <v>0.0</v>
      </c>
      <c r="E6" s="96" t="s">
        <v>359</v>
      </c>
      <c r="F6" s="66" t="str">
        <f t="shared" si="2"/>
        <v>Seven Seas of Rhye.1.mid</v>
      </c>
      <c r="G6" s="97">
        <f>HLOOKUP(H6,'Queen Discography'!$C$2:$Q$3,2,FALSE)</f>
        <v>1973</v>
      </c>
      <c r="H6" s="66" t="str">
        <f>IF(COUNTIF('Queen Discography'!$C$4:$C$22,C6)&gt;0,"Queen",
IF(COUNTIF('Queen Discography'!$D$4:$D$22,C6)&gt;0,"Queen II",
IF(COUNTIF('Queen Discography'!$E$4:$E$22,C6)&gt;0,"Sheer Heart Attack",
IF(COUNTIF('Queen Discography'!$F$4:$F$22,C6)&gt;0,"A Night At The Opera",
IF(COUNTIF('Queen Discography'!$G$4:$G$22,C6)&gt;0,"A Day At The Races",
IF(COUNTIF('Queen Discography'!$H$4:$H$22,C6)&gt;0,"News Of The World",
IF(COUNTIF('Queen Discography'!$I$4:$I$22,C6)&gt;0,"Jazz",
IF(COUNTIF('Queen Discography'!$J$4:$J$22,C6)&gt;0,"The Game",
IF(COUNTIF('Queen Discography'!$K$4:$K$22,C6)&gt;0,"Flash Gordon",
IF(COUNTIF('Queen Discography'!$L$4:$L$22,C6)&gt;0,"Hot Space",
IF(COUNTIF('Queen Discography'!$M$4:$M$22,C6)&gt;0,"The Works",
IF(COUNTIF('Queen Discography'!$N$4:$N$22,C6)&gt;0,"A Kind Of Magic",
IF(COUNTIF('Queen Discography'!$O$4:$O$22,C6)&gt;0,"The Miracle",
IF(COUNTIF('Queen Discography'!$P$4:$P$22,C6)&gt;0,"Innuendo",
IF(COUNTIF('Queen Discography'!$Q$4:$Q$22,C6)&gt;0,"Made In Heaven","NOT FOUND")))))))))))))))</f>
        <v>Queen</v>
      </c>
      <c r="I6" s="1"/>
      <c r="J6" s="98">
        <v>2.0</v>
      </c>
      <c r="K6" s="99" t="str">
        <f t="shared" si="9"/>
        <v>N/A</v>
      </c>
      <c r="L6" s="99" t="str">
        <f t="shared" si="3"/>
        <v>N/A</v>
      </c>
      <c r="M6" s="99" t="str">
        <f t="shared" si="4"/>
        <v>N/A</v>
      </c>
      <c r="N6" s="100" t="str">
        <f>IFERROR(__xludf.DUMMYFUNCTION("IFERROR(MEDIAN(FILTER($G$4:$G$66,$D$4:$D$66=$J6,ISNUMBER($G$4:$G$66))),""N/A"")"),"N/A")</f>
        <v>N/A</v>
      </c>
      <c r="O6" s="99" t="str">
        <f>IFERROR(__xludf.DUMMYFUNCTION("IFERROR(MODE(FILTER($G$4:$G$66,$D$4:$D$66=$J6,ISNUMBER($G$4:$G$66))),""N/A"")"),"N/A")</f>
        <v>N/A</v>
      </c>
      <c r="P6" s="99">
        <f t="shared" ref="P6:AE6" si="10">COUNTIFS($H$4:$H$66,P$3,$D$4:$D$66,$J6)</f>
        <v>0</v>
      </c>
      <c r="Q6" s="99">
        <f t="shared" si="10"/>
        <v>0</v>
      </c>
      <c r="R6" s="99">
        <f t="shared" si="10"/>
        <v>0</v>
      </c>
      <c r="S6" s="99">
        <f t="shared" si="10"/>
        <v>0</v>
      </c>
      <c r="T6" s="99">
        <f t="shared" si="10"/>
        <v>0</v>
      </c>
      <c r="U6" s="99">
        <f t="shared" si="10"/>
        <v>0</v>
      </c>
      <c r="V6" s="99">
        <f t="shared" si="10"/>
        <v>0</v>
      </c>
      <c r="W6" s="99">
        <f t="shared" si="10"/>
        <v>0</v>
      </c>
      <c r="X6" s="99">
        <f t="shared" si="10"/>
        <v>0</v>
      </c>
      <c r="Y6" s="99">
        <f t="shared" si="10"/>
        <v>0</v>
      </c>
      <c r="Z6" s="99">
        <f t="shared" si="10"/>
        <v>0</v>
      </c>
      <c r="AA6" s="99">
        <f t="shared" si="10"/>
        <v>0</v>
      </c>
      <c r="AB6" s="99">
        <f t="shared" si="10"/>
        <v>0</v>
      </c>
      <c r="AC6" s="99">
        <f t="shared" si="10"/>
        <v>0</v>
      </c>
      <c r="AD6" s="99">
        <f t="shared" si="10"/>
        <v>0</v>
      </c>
      <c r="AE6" s="99">
        <f t="shared" si="10"/>
        <v>1</v>
      </c>
      <c r="AF6" s="101">
        <f t="array" ref="AF6:AU6">IFERROR(P6:AE6*TRANSPOSE('Queen MIDI'!$J$4:$J$19),"N/A")</f>
        <v>0</v>
      </c>
      <c r="AG6" s="101">
        <v>0.0</v>
      </c>
      <c r="AH6" s="101">
        <v>0.0</v>
      </c>
      <c r="AI6" s="101">
        <v>0.0</v>
      </c>
      <c r="AJ6" s="101">
        <v>0.0</v>
      </c>
      <c r="AK6" s="101">
        <v>0.0</v>
      </c>
      <c r="AL6" s="101">
        <v>0.0</v>
      </c>
      <c r="AM6" s="101">
        <v>0.0</v>
      </c>
      <c r="AN6" s="101" t="s">
        <v>357</v>
      </c>
      <c r="AO6" s="101">
        <v>0.0</v>
      </c>
      <c r="AP6" s="101">
        <v>0.0</v>
      </c>
      <c r="AQ6" s="101">
        <v>0.0</v>
      </c>
      <c r="AR6" s="101">
        <v>0.0</v>
      </c>
      <c r="AS6" s="101">
        <v>0.0</v>
      </c>
      <c r="AT6" s="101">
        <v>0.0</v>
      </c>
      <c r="AU6" s="101">
        <v>1.96875</v>
      </c>
      <c r="AV6" s="99" t="str">
        <f>IFERROR(__xludf.DUMMYFUNCTION("JOIN("", "",FILTER($P$3:$AE$3,$P6:$AE6=MAX($P6:$AE6)))"),"NOT FOUND")</f>
        <v>NOT FOUND</v>
      </c>
      <c r="AW6" s="99">
        <f t="shared" si="6"/>
        <v>1</v>
      </c>
      <c r="AX6" s="99">
        <f>IFERROR(__xludf.DUMMYFUNCTION("COUNTA(FILTER($P$3:$AE$3,$P6:$AE6=MAX($P6:$AE6)))"),1.0)</f>
        <v>1</v>
      </c>
      <c r="AY6" s="99" t="str">
        <f>IFERROR(__xludf.DUMMYFUNCTION("IFERROR(JOIN("", "",FILTER($AF$3:$AU$3,$AF6:$AU6=MAXIFS($AF6:$AU6,$AF$23:$AU$23,TRUE),$AF$23:$AU$23)),""N/A"")"),"NOT FOUND")</f>
        <v>NOT FOUND</v>
      </c>
      <c r="AZ6" s="103" t="str">
        <f>IFERROR(__xludf.DUMMYFUNCTION("IFERROR(JOIN("", "",FILTER($P6:$AE6,$AF6:$AU6=MAXIFS($AF6:$AU6,$AF$23:$AU$23,TRUE),$AF$23:$AU$23)),""N/A"")"),"1")</f>
        <v>1</v>
      </c>
      <c r="BA6" s="103">
        <f>MAXIFS(AF6:AU6,$AF$23:$AU$23,TRUE)/'Queen MIDI'!$J$20</f>
        <v>0.5</v>
      </c>
      <c r="BB6" s="98">
        <f>IFERROR(__xludf.DUMMYFUNCTION("COUNTA(IFERROR(FILTER($AF$3:$AU$3,$AF6:$AU6=MAXIFS($AF6:$AU6,$AF$23:$AU$23,TRUE),$AF$23:$AU$23),))"),1.0)</f>
        <v>1</v>
      </c>
      <c r="BC6" s="103">
        <f t="shared" si="7"/>
        <v>0.01587301587</v>
      </c>
      <c r="BD6" s="99">
        <f t="shared" si="8"/>
        <v>1</v>
      </c>
      <c r="BE6" s="1"/>
    </row>
    <row r="7">
      <c r="A7" s="1"/>
      <c r="C7" s="66" t="str">
        <f t="array" ref="C7">INDEX('Queen MIDI'!$C$4:$C$66,MATCH(F7,'Queen MIDI'!$D$4:$D$66,0))</f>
        <v>Son and Daughter</v>
      </c>
      <c r="D7" s="95">
        <v>0.0</v>
      </c>
      <c r="E7" s="96" t="s">
        <v>360</v>
      </c>
      <c r="F7" s="66" t="str">
        <f t="shared" si="2"/>
        <v>Son and Daughter.1.mid</v>
      </c>
      <c r="G7" s="97">
        <f>HLOOKUP(H7,'Queen Discography'!$C$2:$Q$3,2,FALSE)</f>
        <v>1973</v>
      </c>
      <c r="H7" s="66" t="str">
        <f>IF(COUNTIF('Queen Discography'!$C$4:$C$22,C7)&gt;0,"Queen",
IF(COUNTIF('Queen Discography'!$D$4:$D$22,C7)&gt;0,"Queen II",
IF(COUNTIF('Queen Discography'!$E$4:$E$22,C7)&gt;0,"Sheer Heart Attack",
IF(COUNTIF('Queen Discography'!$F$4:$F$22,C7)&gt;0,"A Night At The Opera",
IF(COUNTIF('Queen Discography'!$G$4:$G$22,C7)&gt;0,"A Day At The Races",
IF(COUNTIF('Queen Discography'!$H$4:$H$22,C7)&gt;0,"News Of The World",
IF(COUNTIF('Queen Discography'!$I$4:$I$22,C7)&gt;0,"Jazz",
IF(COUNTIF('Queen Discography'!$J$4:$J$22,C7)&gt;0,"The Game",
IF(COUNTIF('Queen Discography'!$K$4:$K$22,C7)&gt;0,"Flash Gordon",
IF(COUNTIF('Queen Discography'!$L$4:$L$22,C7)&gt;0,"Hot Space",
IF(COUNTIF('Queen Discography'!$M$4:$M$22,C7)&gt;0,"The Works",
IF(COUNTIF('Queen Discography'!$N$4:$N$22,C7)&gt;0,"A Kind Of Magic",
IF(COUNTIF('Queen Discography'!$O$4:$O$22,C7)&gt;0,"The Miracle",
IF(COUNTIF('Queen Discography'!$P$4:$P$22,C7)&gt;0,"Innuendo",
IF(COUNTIF('Queen Discography'!$Q$4:$Q$22,C7)&gt;0,"Made In Heaven","NOT FOUND")))))))))))))))</f>
        <v>Queen</v>
      </c>
      <c r="I7" s="1"/>
      <c r="J7" s="98">
        <v>3.0</v>
      </c>
      <c r="K7" s="99">
        <f t="shared" si="9"/>
        <v>1977</v>
      </c>
      <c r="L7" s="99">
        <f t="shared" si="3"/>
        <v>1977</v>
      </c>
      <c r="M7" s="99">
        <f t="shared" si="4"/>
        <v>1977</v>
      </c>
      <c r="N7" s="100">
        <f>IFERROR(__xludf.DUMMYFUNCTION("IFERROR(MEDIAN(FILTER($G$4:$G$66,$D$4:$D$66=$J7,ISNUMBER($G$4:$G$66))),""N/A"")"),1977.0)</f>
        <v>1977</v>
      </c>
      <c r="O7" s="99" t="str">
        <f>IFERROR(__xludf.DUMMYFUNCTION("IFERROR(MODE(FILTER($G$4:$G$66,$D$4:$D$66=$J7,ISNUMBER($G$4:$G$66))),""N/A"")"),"N/A")</f>
        <v>N/A</v>
      </c>
      <c r="P7" s="99">
        <f t="shared" ref="P7:AE7" si="11">COUNTIFS($H$4:$H$66,P$3,$D$4:$D$66,$J7)</f>
        <v>0</v>
      </c>
      <c r="Q7" s="99">
        <f t="shared" si="11"/>
        <v>0</v>
      </c>
      <c r="R7" s="99">
        <f t="shared" si="11"/>
        <v>0</v>
      </c>
      <c r="S7" s="99">
        <f t="shared" si="11"/>
        <v>0</v>
      </c>
      <c r="T7" s="99">
        <f t="shared" si="11"/>
        <v>0</v>
      </c>
      <c r="U7" s="99">
        <f t="shared" si="11"/>
        <v>1</v>
      </c>
      <c r="V7" s="99">
        <f t="shared" si="11"/>
        <v>0</v>
      </c>
      <c r="W7" s="99">
        <f t="shared" si="11"/>
        <v>0</v>
      </c>
      <c r="X7" s="99">
        <f t="shared" si="11"/>
        <v>0</v>
      </c>
      <c r="Y7" s="99">
        <f t="shared" si="11"/>
        <v>0</v>
      </c>
      <c r="Z7" s="99">
        <f t="shared" si="11"/>
        <v>0</v>
      </c>
      <c r="AA7" s="99">
        <f t="shared" si="11"/>
        <v>0</v>
      </c>
      <c r="AB7" s="99">
        <f t="shared" si="11"/>
        <v>0</v>
      </c>
      <c r="AC7" s="99">
        <f t="shared" si="11"/>
        <v>0</v>
      </c>
      <c r="AD7" s="99">
        <f t="shared" si="11"/>
        <v>0</v>
      </c>
      <c r="AE7" s="99">
        <f t="shared" si="11"/>
        <v>0</v>
      </c>
      <c r="AF7" s="101">
        <f t="array" ref="AF7:AU7">IFERROR(P7:AE7*TRANSPOSE('Queen MIDI'!$J$4:$J$19),"N/A")</f>
        <v>0</v>
      </c>
      <c r="AG7" s="101">
        <v>0.0</v>
      </c>
      <c r="AH7" s="101">
        <v>0.0</v>
      </c>
      <c r="AI7" s="101">
        <v>0.0</v>
      </c>
      <c r="AJ7" s="101">
        <v>0.0</v>
      </c>
      <c r="AK7" s="101">
        <v>0.984375</v>
      </c>
      <c r="AL7" s="101">
        <v>0.0</v>
      </c>
      <c r="AM7" s="101">
        <v>0.0</v>
      </c>
      <c r="AN7" s="101" t="s">
        <v>357</v>
      </c>
      <c r="AO7" s="101">
        <v>0.0</v>
      </c>
      <c r="AP7" s="101">
        <v>0.0</v>
      </c>
      <c r="AQ7" s="101">
        <v>0.0</v>
      </c>
      <c r="AR7" s="101">
        <v>0.0</v>
      </c>
      <c r="AS7" s="101">
        <v>0.0</v>
      </c>
      <c r="AT7" s="101">
        <v>0.0</v>
      </c>
      <c r="AU7" s="101">
        <v>0.0</v>
      </c>
      <c r="AV7" s="99" t="str">
        <f>IFERROR(__xludf.DUMMYFUNCTION("JOIN("", "",FILTER($P$3:$AE$3,$P7:$AE7=MAX($P7:$AE7)))"),"News Of The World")</f>
        <v>News Of The World</v>
      </c>
      <c r="AW7" s="99">
        <f t="shared" si="6"/>
        <v>1</v>
      </c>
      <c r="AX7" s="99">
        <f>IFERROR(__xludf.DUMMYFUNCTION("COUNTA(FILTER($P$3:$AE$3,$P7:$AE7=MAX($P7:$AE7)))"),1.0)</f>
        <v>1</v>
      </c>
      <c r="AY7" s="99" t="str">
        <f>IFERROR(__xludf.DUMMYFUNCTION("IFERROR(JOIN("", "",FILTER($AF$3:$AU$3,$AF7:$AU7=MAXIFS($AF7:$AU7,$AF$23:$AU$23,TRUE),$AF$23:$AU$23)),""N/A"")"),"News Of The World")</f>
        <v>News Of The World</v>
      </c>
      <c r="AZ7" s="103" t="str">
        <f>IFERROR(__xludf.DUMMYFUNCTION("IFERROR(JOIN("", "",FILTER($P7:$AE7,$AF7:$AU7=MAXIFS($AF7:$AU7,$AF$23:$AU$23,TRUE),$AF$23:$AU$23)),""N/A"")"),"1")</f>
        <v>1</v>
      </c>
      <c r="BA7" s="103">
        <f>MAXIFS(AF7:AU7,$AF$23:$AU$23,TRUE)/'Queen MIDI'!$J$20</f>
        <v>0.25</v>
      </c>
      <c r="BB7" s="98">
        <f>IFERROR(__xludf.DUMMYFUNCTION("COUNTA(IFERROR(FILTER($AF$3:$AU$3,$AF7:$AU7=MAXIFS($AF7:$AU7,$AF$23:$AU$23,TRUE),$AF$23:$AU$23),))"),1.0)</f>
        <v>1</v>
      </c>
      <c r="BC7" s="103">
        <f t="shared" si="7"/>
        <v>0.01587301587</v>
      </c>
      <c r="BD7" s="99">
        <f t="shared" si="8"/>
        <v>1</v>
      </c>
      <c r="BE7" s="1"/>
    </row>
    <row r="8">
      <c r="A8" s="1"/>
      <c r="C8" s="66" t="str">
        <f t="array" ref="C8">INDEX('Queen MIDI'!$C$4:$C$66,MATCH(F8,'Queen MIDI'!$D$4:$D$66,0))</f>
        <v>Father to Son</v>
      </c>
      <c r="D8" s="95">
        <v>0.0</v>
      </c>
      <c r="E8" s="96" t="s">
        <v>361</v>
      </c>
      <c r="F8" s="66" t="str">
        <f t="shared" si="2"/>
        <v>Father to Son.mid</v>
      </c>
      <c r="G8" s="97">
        <f>HLOOKUP(H8,'Queen Discography'!$C$2:$Q$3,2,FALSE)</f>
        <v>1974</v>
      </c>
      <c r="H8" s="66" t="str">
        <f>IF(COUNTIF('Queen Discography'!$C$4:$C$22,C8)&gt;0,"Queen",
IF(COUNTIF('Queen Discography'!$D$4:$D$22,C8)&gt;0,"Queen II",
IF(COUNTIF('Queen Discography'!$E$4:$E$22,C8)&gt;0,"Sheer Heart Attack",
IF(COUNTIF('Queen Discography'!$F$4:$F$22,C8)&gt;0,"A Night At The Opera",
IF(COUNTIF('Queen Discography'!$G$4:$G$22,C8)&gt;0,"A Day At The Races",
IF(COUNTIF('Queen Discography'!$H$4:$H$22,C8)&gt;0,"News Of The World",
IF(COUNTIF('Queen Discography'!$I$4:$I$22,C8)&gt;0,"Jazz",
IF(COUNTIF('Queen Discography'!$J$4:$J$22,C8)&gt;0,"The Game",
IF(COUNTIF('Queen Discography'!$K$4:$K$22,C8)&gt;0,"Flash Gordon",
IF(COUNTIF('Queen Discography'!$L$4:$L$22,C8)&gt;0,"Hot Space",
IF(COUNTIF('Queen Discography'!$M$4:$M$22,C8)&gt;0,"The Works",
IF(COUNTIF('Queen Discography'!$N$4:$N$22,C8)&gt;0,"A Kind Of Magic",
IF(COUNTIF('Queen Discography'!$O$4:$O$22,C8)&gt;0,"The Miracle",
IF(COUNTIF('Queen Discography'!$P$4:$P$22,C8)&gt;0,"Innuendo",
IF(COUNTIF('Queen Discography'!$Q$4:$Q$22,C8)&gt;0,"Made In Heaven","NOT FOUND")))))))))))))))</f>
        <v>Queen II</v>
      </c>
      <c r="I8" s="1"/>
      <c r="J8" s="98">
        <v>4.0</v>
      </c>
      <c r="K8" s="99" t="str">
        <f t="shared" si="9"/>
        <v>N/A</v>
      </c>
      <c r="L8" s="99" t="str">
        <f t="shared" si="3"/>
        <v>N/A</v>
      </c>
      <c r="M8" s="99" t="str">
        <f t="shared" si="4"/>
        <v>N/A</v>
      </c>
      <c r="N8" s="100" t="str">
        <f>IFERROR(__xludf.DUMMYFUNCTION("IFERROR(MEDIAN(FILTER($G$4:$G$66,$D$4:$D$66=$J8,ISNUMBER($G$4:$G$66))),""N/A"")"),"N/A")</f>
        <v>N/A</v>
      </c>
      <c r="O8" s="99" t="str">
        <f>IFERROR(__xludf.DUMMYFUNCTION("IFERROR(MODE(FILTER($G$4:$G$66,$D$4:$D$66=$J8,ISNUMBER($G$4:$G$66))),""N/A"")"),"N/A")</f>
        <v>N/A</v>
      </c>
      <c r="P8" s="99">
        <f t="shared" ref="P8:AE8" si="12">COUNTIFS($H$4:$H$66,P$3,$D$4:$D$66,$J8)</f>
        <v>0</v>
      </c>
      <c r="Q8" s="99">
        <f t="shared" si="12"/>
        <v>0</v>
      </c>
      <c r="R8" s="99">
        <f t="shared" si="12"/>
        <v>0</v>
      </c>
      <c r="S8" s="99">
        <f t="shared" si="12"/>
        <v>0</v>
      </c>
      <c r="T8" s="99">
        <f t="shared" si="12"/>
        <v>0</v>
      </c>
      <c r="U8" s="99">
        <f t="shared" si="12"/>
        <v>0</v>
      </c>
      <c r="V8" s="99">
        <f t="shared" si="12"/>
        <v>0</v>
      </c>
      <c r="W8" s="99">
        <f t="shared" si="12"/>
        <v>0</v>
      </c>
      <c r="X8" s="99">
        <f t="shared" si="12"/>
        <v>0</v>
      </c>
      <c r="Y8" s="99">
        <f t="shared" si="12"/>
        <v>0</v>
      </c>
      <c r="Z8" s="99">
        <f t="shared" si="12"/>
        <v>0</v>
      </c>
      <c r="AA8" s="99">
        <f t="shared" si="12"/>
        <v>0</v>
      </c>
      <c r="AB8" s="99">
        <f t="shared" si="12"/>
        <v>0</v>
      </c>
      <c r="AC8" s="99">
        <f t="shared" si="12"/>
        <v>0</v>
      </c>
      <c r="AD8" s="99">
        <f t="shared" si="12"/>
        <v>0</v>
      </c>
      <c r="AE8" s="99">
        <f t="shared" si="12"/>
        <v>0</v>
      </c>
      <c r="AF8" s="104">
        <f t="array" ref="AF8:AU8">IFERROR(P8:AE8*TRANSPOSE('Queen MIDI'!$J$4:$J$19),"N/A")</f>
        <v>0</v>
      </c>
      <c r="AG8" s="104">
        <v>0.0</v>
      </c>
      <c r="AH8" s="104">
        <v>0.0</v>
      </c>
      <c r="AI8" s="104">
        <v>0.0</v>
      </c>
      <c r="AJ8" s="104">
        <v>0.0</v>
      </c>
      <c r="AK8" s="104">
        <v>0.0</v>
      </c>
      <c r="AL8" s="104">
        <v>0.0</v>
      </c>
      <c r="AM8" s="104">
        <v>0.0</v>
      </c>
      <c r="AN8" s="104" t="s">
        <v>357</v>
      </c>
      <c r="AO8" s="104">
        <v>0.0</v>
      </c>
      <c r="AP8" s="104">
        <v>0.0</v>
      </c>
      <c r="AQ8" s="104">
        <v>0.0</v>
      </c>
      <c r="AR8" s="104">
        <v>0.0</v>
      </c>
      <c r="AS8" s="104">
        <v>0.0</v>
      </c>
      <c r="AT8" s="104">
        <v>0.0</v>
      </c>
      <c r="AU8" s="104">
        <v>0.0</v>
      </c>
      <c r="AV8" s="99" t="str">
        <f>IFERROR(__xludf.DUMMYFUNCTION("JOIN("", "",FILTER($P$3:$AE$3,$P8:$AE8=MAX($P8:$AE8)))"),"Queen,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8" s="99">
        <f t="shared" si="6"/>
        <v>0</v>
      </c>
      <c r="AX8" s="99">
        <f>IFERROR(__xludf.DUMMYFUNCTION("COUNTA(FILTER($P$3:$AE$3,$P8:$AE8=MAX($P8:$AE8)))"),16.0)</f>
        <v>16</v>
      </c>
      <c r="AY8" s="99" t="str">
        <f>IFERROR(__xludf.DUMMYFUNCTION("IFERROR(JOIN("", "",FILTER($AF$3:$AU$3,$AF8:$AU8=MAXIFS($AF8:$AU8,$AF$23:$AU$23,TRUE),$AF$23:$AU$23)),""N/A"")"),"Queen,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8" s="103" t="str">
        <f>IFERROR(__xludf.DUMMYFUNCTION("IFERROR(JOIN("", "",FILTER($P8:$AE8,$AF8:$AU8=MAXIFS($AF8:$AU8,$AF$23:$AU$23,TRUE),$AF$23:$AU$23)),""N/A"")"),"0, 0, 0, 0, 0, 0, 0, 0, 0, 0, 0, 0, 0, 0")</f>
        <v>0, 0, 0, 0, 0, 0, 0, 0, 0, 0, 0, 0, 0, 0</v>
      </c>
      <c r="BA8" s="103">
        <f>MAXIFS(AF8:AU8,$AF$23:$AU$23,TRUE)/'Queen MIDI'!$J$20</f>
        <v>0</v>
      </c>
      <c r="BB8" s="98">
        <f>IFERROR(__xludf.DUMMYFUNCTION("COUNTA(IFERROR(FILTER($AF$3:$AU$3,$AF8:$AU8=MAXIFS($AF8:$AU8,$AF$23:$AU$23,TRUE),$AF$23:$AU$23),))"),14.0)</f>
        <v>14</v>
      </c>
      <c r="BC8" s="105">
        <f t="shared" si="7"/>
        <v>0</v>
      </c>
      <c r="BD8" s="99">
        <f t="shared" si="8"/>
        <v>0</v>
      </c>
      <c r="BE8" s="1"/>
    </row>
    <row r="9">
      <c r="A9" s="1"/>
      <c r="C9" s="66" t="str">
        <f t="array" ref="C9">INDEX('Queen MIDI'!$C$4:$C$66,MATCH(F9,'Queen MIDI'!$D$4:$D$66,0))</f>
        <v>Nevermore</v>
      </c>
      <c r="D9" s="95">
        <v>0.0</v>
      </c>
      <c r="E9" s="96" t="s">
        <v>362</v>
      </c>
      <c r="F9" s="66" t="str">
        <f t="shared" si="2"/>
        <v>Never More.mid</v>
      </c>
      <c r="G9" s="97">
        <f>HLOOKUP(H9,'Queen Discography'!$C$2:$Q$3,2,FALSE)</f>
        <v>1974</v>
      </c>
      <c r="H9" s="66" t="str">
        <f>IF(COUNTIF('Queen Discography'!$C$4:$C$22,C9)&gt;0,"Queen",
IF(COUNTIF('Queen Discography'!$D$4:$D$22,C9)&gt;0,"Queen II",
IF(COUNTIF('Queen Discography'!$E$4:$E$22,C9)&gt;0,"Sheer Heart Attack",
IF(COUNTIF('Queen Discography'!$F$4:$F$22,C9)&gt;0,"A Night At The Opera",
IF(COUNTIF('Queen Discography'!$G$4:$G$22,C9)&gt;0,"A Day At The Races",
IF(COUNTIF('Queen Discography'!$H$4:$H$22,C9)&gt;0,"News Of The World",
IF(COUNTIF('Queen Discography'!$I$4:$I$22,C9)&gt;0,"Jazz",
IF(COUNTIF('Queen Discography'!$J$4:$J$22,C9)&gt;0,"The Game",
IF(COUNTIF('Queen Discography'!$K$4:$K$22,C9)&gt;0,"Flash Gordon",
IF(COUNTIF('Queen Discography'!$L$4:$L$22,C9)&gt;0,"Hot Space",
IF(COUNTIF('Queen Discography'!$M$4:$M$22,C9)&gt;0,"The Works",
IF(COUNTIF('Queen Discography'!$N$4:$N$22,C9)&gt;0,"A Kind Of Magic",
IF(COUNTIF('Queen Discography'!$O$4:$O$22,C9)&gt;0,"The Miracle",
IF(COUNTIF('Queen Discography'!$P$4:$P$22,C9)&gt;0,"Innuendo",
IF(COUNTIF('Queen Discography'!$Q$4:$Q$22,C9)&gt;0,"Made In Heaven","NOT FOUND")))))))))))))))</f>
        <v>Queen II</v>
      </c>
      <c r="I9" s="1"/>
      <c r="J9" s="98">
        <v>5.0</v>
      </c>
      <c r="K9" s="99" t="str">
        <f t="shared" si="9"/>
        <v>N/A</v>
      </c>
      <c r="L9" s="99" t="str">
        <f t="shared" si="3"/>
        <v>N/A</v>
      </c>
      <c r="M9" s="99" t="str">
        <f t="shared" si="4"/>
        <v>N/A</v>
      </c>
      <c r="N9" s="100" t="str">
        <f>IFERROR(__xludf.DUMMYFUNCTION("IFERROR(MEDIAN(FILTER($G$4:$G$66,$D$4:$D$66=$J9,ISNUMBER($G$4:$G$66))),""N/A"")"),"N/A")</f>
        <v>N/A</v>
      </c>
      <c r="O9" s="99" t="str">
        <f>IFERROR(__xludf.DUMMYFUNCTION("IFERROR(MODE(FILTER($G$4:$G$66,$D$4:$D$66=$J9,ISNUMBER($G$4:$G$66))),""N/A"")"),"N/A")</f>
        <v>N/A</v>
      </c>
      <c r="P9" s="99">
        <f t="shared" ref="P9:AE9" si="13">COUNTIFS($H$4:$H$66,P$3,$D$4:$D$66,$J9)</f>
        <v>0</v>
      </c>
      <c r="Q9" s="99">
        <f t="shared" si="13"/>
        <v>0</v>
      </c>
      <c r="R9" s="99">
        <f t="shared" si="13"/>
        <v>0</v>
      </c>
      <c r="S9" s="99">
        <f t="shared" si="13"/>
        <v>0</v>
      </c>
      <c r="T9" s="99">
        <f t="shared" si="13"/>
        <v>0</v>
      </c>
      <c r="U9" s="99">
        <f t="shared" si="13"/>
        <v>0</v>
      </c>
      <c r="V9" s="99">
        <f t="shared" si="13"/>
        <v>0</v>
      </c>
      <c r="W9" s="99">
        <f t="shared" si="13"/>
        <v>0</v>
      </c>
      <c r="X9" s="99">
        <f t="shared" si="13"/>
        <v>0</v>
      </c>
      <c r="Y9" s="99">
        <f t="shared" si="13"/>
        <v>0</v>
      </c>
      <c r="Z9" s="99">
        <f t="shared" si="13"/>
        <v>0</v>
      </c>
      <c r="AA9" s="99">
        <f t="shared" si="13"/>
        <v>0</v>
      </c>
      <c r="AB9" s="99">
        <f t="shared" si="13"/>
        <v>0</v>
      </c>
      <c r="AC9" s="99">
        <f t="shared" si="13"/>
        <v>0</v>
      </c>
      <c r="AD9" s="99">
        <f t="shared" si="13"/>
        <v>0</v>
      </c>
      <c r="AE9" s="99">
        <f t="shared" si="13"/>
        <v>0</v>
      </c>
      <c r="AF9" s="104">
        <f t="array" ref="AF9:AU9">IFERROR(P9:AE9*TRANSPOSE('Queen MIDI'!$J$4:$J$19),"N/A")</f>
        <v>0</v>
      </c>
      <c r="AG9" s="104">
        <v>0.0</v>
      </c>
      <c r="AH9" s="104">
        <v>0.0</v>
      </c>
      <c r="AI9" s="104">
        <v>0.0</v>
      </c>
      <c r="AJ9" s="104">
        <v>0.0</v>
      </c>
      <c r="AK9" s="104">
        <v>0.0</v>
      </c>
      <c r="AL9" s="104">
        <v>0.0</v>
      </c>
      <c r="AM9" s="104">
        <v>0.0</v>
      </c>
      <c r="AN9" s="104" t="s">
        <v>357</v>
      </c>
      <c r="AO9" s="104">
        <v>0.0</v>
      </c>
      <c r="AP9" s="104">
        <v>0.0</v>
      </c>
      <c r="AQ9" s="104">
        <v>0.0</v>
      </c>
      <c r="AR9" s="104">
        <v>0.0</v>
      </c>
      <c r="AS9" s="104">
        <v>0.0</v>
      </c>
      <c r="AT9" s="104">
        <v>0.0</v>
      </c>
      <c r="AU9" s="104">
        <v>0.0</v>
      </c>
      <c r="AV9" s="99" t="str">
        <f>IFERROR(__xludf.DUMMYFUNCTION("JOIN("", "",FILTER($P$3:$AE$3,$P9:$AE9=MAX($P9:$AE9)))"),"Queen,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9" s="99">
        <f t="shared" si="6"/>
        <v>0</v>
      </c>
      <c r="AX9" s="99">
        <f>IFERROR(__xludf.DUMMYFUNCTION("COUNTA(FILTER($P$3:$AE$3,$P9:$AE9=MAX($P9:$AE9)))"),16.0)</f>
        <v>16</v>
      </c>
      <c r="AY9" s="99" t="str">
        <f>IFERROR(__xludf.DUMMYFUNCTION("IFERROR(JOIN("", "",FILTER($AF$3:$AU$3,$AF9:$AU9=MAXIFS($AF9:$AU9,$AF$23:$AU$23,TRUE),$AF$23:$AU$23)),""N/A"")"),"Queen,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9" s="103" t="str">
        <f>IFERROR(__xludf.DUMMYFUNCTION("IFERROR(JOIN("", "",FILTER($P9:$AE9,$AF9:$AU9=MAXIFS($AF9:$AU9,$AF$23:$AU$23,TRUE),$AF$23:$AU$23)),""N/A"")"),"0, 0, 0, 0, 0, 0, 0, 0, 0, 0, 0, 0, 0, 0")</f>
        <v>0, 0, 0, 0, 0, 0, 0, 0, 0, 0, 0, 0, 0, 0</v>
      </c>
      <c r="BA9" s="103">
        <f>MAXIFS(AF9:AU9,$AF$23:$AU$23,TRUE)/'Queen MIDI'!$J$20</f>
        <v>0</v>
      </c>
      <c r="BB9" s="98">
        <f>IFERROR(__xludf.DUMMYFUNCTION("COUNTA(IFERROR(FILTER($AF$3:$AU$3,$AF9:$AU9=MAXIFS($AF9:$AU9,$AF$23:$AU$23,TRUE),$AF$23:$AU$23),))"),14.0)</f>
        <v>14</v>
      </c>
      <c r="BC9" s="105">
        <f t="shared" si="7"/>
        <v>0</v>
      </c>
      <c r="BD9" s="99">
        <f t="shared" si="8"/>
        <v>0</v>
      </c>
      <c r="BE9" s="1"/>
    </row>
    <row r="10">
      <c r="A10" s="1"/>
      <c r="C10" s="66" t="str">
        <f t="array" ref="C10">INDEX('Queen MIDI'!$C$4:$C$66,MATCH(F10,'Queen MIDI'!$D$4:$D$66,0))</f>
        <v>Killer Queen</v>
      </c>
      <c r="D10" s="95">
        <v>0.0</v>
      </c>
      <c r="E10" s="96" t="s">
        <v>363</v>
      </c>
      <c r="F10" s="66" t="str">
        <f t="shared" si="2"/>
        <v>Killer Queen.1.mid</v>
      </c>
      <c r="G10" s="97">
        <f>HLOOKUP(H10,'Queen Discography'!$C$2:$Q$3,2,FALSE)</f>
        <v>1974</v>
      </c>
      <c r="H10" s="66" t="str">
        <f>IF(COUNTIF('Queen Discography'!$C$4:$C$22,C10)&gt;0,"Queen",
IF(COUNTIF('Queen Discography'!$D$4:$D$22,C10)&gt;0,"Queen II",
IF(COUNTIF('Queen Discography'!$E$4:$E$22,C10)&gt;0,"Sheer Heart Attack",
IF(COUNTIF('Queen Discography'!$F$4:$F$22,C10)&gt;0,"A Night At The Opera",
IF(COUNTIF('Queen Discography'!$G$4:$G$22,C10)&gt;0,"A Day At The Races",
IF(COUNTIF('Queen Discography'!$H$4:$H$22,C10)&gt;0,"News Of The World",
IF(COUNTIF('Queen Discography'!$I$4:$I$22,C10)&gt;0,"Jazz",
IF(COUNTIF('Queen Discography'!$J$4:$J$22,C10)&gt;0,"The Game",
IF(COUNTIF('Queen Discography'!$K$4:$K$22,C10)&gt;0,"Flash Gordon",
IF(COUNTIF('Queen Discography'!$L$4:$L$22,C10)&gt;0,"Hot Space",
IF(COUNTIF('Queen Discography'!$M$4:$M$22,C10)&gt;0,"The Works",
IF(COUNTIF('Queen Discography'!$N$4:$N$22,C10)&gt;0,"A Kind Of Magic",
IF(COUNTIF('Queen Discography'!$O$4:$O$22,C10)&gt;0,"The Miracle",
IF(COUNTIF('Queen Discography'!$P$4:$P$22,C10)&gt;0,"Innuendo",
IF(COUNTIF('Queen Discography'!$Q$4:$Q$22,C10)&gt;0,"Made In Heaven","NOT FOUND")))))))))))))))</f>
        <v>Sheer Heart Attack</v>
      </c>
      <c r="I10" s="1"/>
      <c r="J10" s="98">
        <v>6.0</v>
      </c>
      <c r="K10" s="99" t="str">
        <f t="shared" si="9"/>
        <v>N/A</v>
      </c>
      <c r="L10" s="99" t="str">
        <f t="shared" si="3"/>
        <v>N/A</v>
      </c>
      <c r="M10" s="99" t="str">
        <f t="shared" si="4"/>
        <v>N/A</v>
      </c>
      <c r="N10" s="100" t="str">
        <f>IFERROR(__xludf.DUMMYFUNCTION("IFERROR(MEDIAN(FILTER($G$4:$G$66,$D$4:$D$66=$J10,ISNUMBER($G$4:$G$66))),""N/A"")"),"N/A")</f>
        <v>N/A</v>
      </c>
      <c r="O10" s="99" t="str">
        <f>IFERROR(__xludf.DUMMYFUNCTION("IFERROR(MODE(FILTER($G$4:$G$66,$D$4:$D$66=$J10,ISNUMBER($G$4:$G$66))),""N/A"")"),"N/A")</f>
        <v>N/A</v>
      </c>
      <c r="P10" s="99">
        <f t="shared" ref="P10:AE10" si="14">COUNTIFS($H$4:$H$66,P$3,$D$4:$D$66,$J10)</f>
        <v>0</v>
      </c>
      <c r="Q10" s="99">
        <f t="shared" si="14"/>
        <v>0</v>
      </c>
      <c r="R10" s="99">
        <f t="shared" si="14"/>
        <v>0</v>
      </c>
      <c r="S10" s="99">
        <f t="shared" si="14"/>
        <v>0</v>
      </c>
      <c r="T10" s="99">
        <f t="shared" si="14"/>
        <v>0</v>
      </c>
      <c r="U10" s="99">
        <f t="shared" si="14"/>
        <v>0</v>
      </c>
      <c r="V10" s="99">
        <f t="shared" si="14"/>
        <v>0</v>
      </c>
      <c r="W10" s="99">
        <f t="shared" si="14"/>
        <v>0</v>
      </c>
      <c r="X10" s="99">
        <f t="shared" si="14"/>
        <v>0</v>
      </c>
      <c r="Y10" s="99">
        <f t="shared" si="14"/>
        <v>0</v>
      </c>
      <c r="Z10" s="99">
        <f t="shared" si="14"/>
        <v>0</v>
      </c>
      <c r="AA10" s="99">
        <f t="shared" si="14"/>
        <v>0</v>
      </c>
      <c r="AB10" s="99">
        <f t="shared" si="14"/>
        <v>0</v>
      </c>
      <c r="AC10" s="99">
        <f t="shared" si="14"/>
        <v>0</v>
      </c>
      <c r="AD10" s="99">
        <f t="shared" si="14"/>
        <v>0</v>
      </c>
      <c r="AE10" s="99">
        <f t="shared" si="14"/>
        <v>0</v>
      </c>
      <c r="AF10" s="104">
        <f t="array" ref="AF10:AU10">IFERROR(P10:AE10*TRANSPOSE('Queen MIDI'!$J$4:$J$19),"N/A")</f>
        <v>0</v>
      </c>
      <c r="AG10" s="104">
        <v>0.0</v>
      </c>
      <c r="AH10" s="104">
        <v>0.0</v>
      </c>
      <c r="AI10" s="104">
        <v>0.0</v>
      </c>
      <c r="AJ10" s="104">
        <v>0.0</v>
      </c>
      <c r="AK10" s="104">
        <v>0.0</v>
      </c>
      <c r="AL10" s="104">
        <v>0.0</v>
      </c>
      <c r="AM10" s="104">
        <v>0.0</v>
      </c>
      <c r="AN10" s="104" t="s">
        <v>357</v>
      </c>
      <c r="AO10" s="104">
        <v>0.0</v>
      </c>
      <c r="AP10" s="104">
        <v>0.0</v>
      </c>
      <c r="AQ10" s="104">
        <v>0.0</v>
      </c>
      <c r="AR10" s="104">
        <v>0.0</v>
      </c>
      <c r="AS10" s="104">
        <v>0.0</v>
      </c>
      <c r="AT10" s="104">
        <v>0.0</v>
      </c>
      <c r="AU10" s="104">
        <v>0.0</v>
      </c>
      <c r="AV10" s="99" t="str">
        <f>IFERROR(__xludf.DUMMYFUNCTION("JOIN("", "",FILTER($P$3:$AE$3,$P10:$AE10=MAX($P10:$AE10)))"),"Queen,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0" s="99">
        <f t="shared" si="6"/>
        <v>0</v>
      </c>
      <c r="AX10" s="99">
        <f>IFERROR(__xludf.DUMMYFUNCTION("COUNTA(FILTER($P$3:$AE$3,$P10:$AE10=MAX($P10:$AE10)))"),16.0)</f>
        <v>16</v>
      </c>
      <c r="AY10" s="99" t="str">
        <f>IFERROR(__xludf.DUMMYFUNCTION("IFERROR(JOIN("", "",FILTER($AF$3:$AU$3,$AF10:$AU10=MAXIFS($AF10:$AU10,$AF$23:$AU$23,TRUE),$AF$23:$AU$23)),""N/A"")"),"Queen,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0" s="103" t="str">
        <f>IFERROR(__xludf.DUMMYFUNCTION("IFERROR(JOIN("", "",FILTER($P10:$AE10,$AF10:$AU10=MAXIFS($AF10:$AU10,$AF$23:$AU$23,TRUE),$AF$23:$AU$23)),""N/A"")"),"0, 0, 0, 0, 0, 0, 0, 0, 0, 0, 0, 0, 0, 0")</f>
        <v>0, 0, 0, 0, 0, 0, 0, 0, 0, 0, 0, 0, 0, 0</v>
      </c>
      <c r="BA10" s="103">
        <f>MAXIFS(AF10:AU10,$AF$23:$AU$23,TRUE)/'Queen MIDI'!$J$20</f>
        <v>0</v>
      </c>
      <c r="BB10" s="98">
        <f>IFERROR(__xludf.DUMMYFUNCTION("COUNTA(IFERROR(FILTER($AF$3:$AU$3,$AF10:$AU10=MAXIFS($AF10:$AU10,$AF$23:$AU$23,TRUE),$AF$23:$AU$23),))"),14.0)</f>
        <v>14</v>
      </c>
      <c r="BC10" s="105">
        <f t="shared" si="7"/>
        <v>0</v>
      </c>
      <c r="BD10" s="99">
        <f t="shared" si="8"/>
        <v>0</v>
      </c>
      <c r="BE10" s="1"/>
    </row>
    <row r="11">
      <c r="A11" s="1"/>
      <c r="C11" s="66" t="str">
        <f t="array" ref="C11">INDEX('Queen MIDI'!$C$4:$C$66,MATCH(F11,'Queen MIDI'!$D$4:$D$66,0))</f>
        <v>Now I'm Here</v>
      </c>
      <c r="D11" s="95">
        <v>0.0</v>
      </c>
      <c r="E11" s="96" t="s">
        <v>364</v>
      </c>
      <c r="F11" s="66" t="str">
        <f t="shared" si="2"/>
        <v>Now I_m Here.4.mid</v>
      </c>
      <c r="G11" s="97">
        <f>HLOOKUP(H11,'Queen Discography'!$C$2:$Q$3,2,FALSE)</f>
        <v>1974</v>
      </c>
      <c r="H11" s="66" t="str">
        <f>IF(COUNTIF('Queen Discography'!$C$4:$C$22,C11)&gt;0,"Queen",
IF(COUNTIF('Queen Discography'!$D$4:$D$22,C11)&gt;0,"Queen II",
IF(COUNTIF('Queen Discography'!$E$4:$E$22,C11)&gt;0,"Sheer Heart Attack",
IF(COUNTIF('Queen Discography'!$F$4:$F$22,C11)&gt;0,"A Night At The Opera",
IF(COUNTIF('Queen Discography'!$G$4:$G$22,C11)&gt;0,"A Day At The Races",
IF(COUNTIF('Queen Discography'!$H$4:$H$22,C11)&gt;0,"News Of The World",
IF(COUNTIF('Queen Discography'!$I$4:$I$22,C11)&gt;0,"Jazz",
IF(COUNTIF('Queen Discography'!$J$4:$J$22,C11)&gt;0,"The Game",
IF(COUNTIF('Queen Discography'!$K$4:$K$22,C11)&gt;0,"Flash Gordon",
IF(COUNTIF('Queen Discography'!$L$4:$L$22,C11)&gt;0,"Hot Space",
IF(COUNTIF('Queen Discography'!$M$4:$M$22,C11)&gt;0,"The Works",
IF(COUNTIF('Queen Discography'!$N$4:$N$22,C11)&gt;0,"A Kind Of Magic",
IF(COUNTIF('Queen Discography'!$O$4:$O$22,C11)&gt;0,"The Miracle",
IF(COUNTIF('Queen Discography'!$P$4:$P$22,C11)&gt;0,"Innuendo",
IF(COUNTIF('Queen Discography'!$Q$4:$Q$22,C11)&gt;0,"Made In Heaven","NOT FOUND")))))))))))))))</f>
        <v>Sheer Heart Attack</v>
      </c>
      <c r="I11" s="1"/>
      <c r="J11" s="98">
        <v>7.0</v>
      </c>
      <c r="K11" s="99" t="str">
        <f t="shared" si="9"/>
        <v>N/A</v>
      </c>
      <c r="L11" s="99" t="str">
        <f t="shared" si="3"/>
        <v>N/A</v>
      </c>
      <c r="M11" s="99" t="str">
        <f t="shared" si="4"/>
        <v>N/A</v>
      </c>
      <c r="N11" s="100" t="str">
        <f>IFERROR(__xludf.DUMMYFUNCTION("IFERROR(MEDIAN(FILTER($G$4:$G$66,$D$4:$D$66=$J11,ISNUMBER($G$4:$G$66))),""N/A"")"),"N/A")</f>
        <v>N/A</v>
      </c>
      <c r="O11" s="99" t="str">
        <f>IFERROR(__xludf.DUMMYFUNCTION("IFERROR(MODE(FILTER($G$4:$G$66,$D$4:$D$66=$J11,ISNUMBER($G$4:$G$66))),""N/A"")"),"N/A")</f>
        <v>N/A</v>
      </c>
      <c r="P11" s="99">
        <f t="shared" ref="P11:AE11" si="15">COUNTIFS($H$4:$H$66,P$3,$D$4:$D$66,$J11)</f>
        <v>0</v>
      </c>
      <c r="Q11" s="99">
        <f t="shared" si="15"/>
        <v>0</v>
      </c>
      <c r="R11" s="99">
        <f t="shared" si="15"/>
        <v>0</v>
      </c>
      <c r="S11" s="99">
        <f t="shared" si="15"/>
        <v>0</v>
      </c>
      <c r="T11" s="99">
        <f t="shared" si="15"/>
        <v>0</v>
      </c>
      <c r="U11" s="99">
        <f t="shared" si="15"/>
        <v>0</v>
      </c>
      <c r="V11" s="99">
        <f t="shared" si="15"/>
        <v>0</v>
      </c>
      <c r="W11" s="99">
        <f t="shared" si="15"/>
        <v>0</v>
      </c>
      <c r="X11" s="99">
        <f t="shared" si="15"/>
        <v>0</v>
      </c>
      <c r="Y11" s="99">
        <f t="shared" si="15"/>
        <v>0</v>
      </c>
      <c r="Z11" s="99">
        <f t="shared" si="15"/>
        <v>0</v>
      </c>
      <c r="AA11" s="99">
        <f t="shared" si="15"/>
        <v>0</v>
      </c>
      <c r="AB11" s="99">
        <f t="shared" si="15"/>
        <v>0</v>
      </c>
      <c r="AC11" s="99">
        <f t="shared" si="15"/>
        <v>0</v>
      </c>
      <c r="AD11" s="99">
        <f t="shared" si="15"/>
        <v>0</v>
      </c>
      <c r="AE11" s="99">
        <f t="shared" si="15"/>
        <v>0</v>
      </c>
      <c r="AF11" s="104">
        <f t="array" ref="AF11:AU11">IFERROR(P11:AE11*TRANSPOSE('Queen MIDI'!$J$4:$J$19),"N/A")</f>
        <v>0</v>
      </c>
      <c r="AG11" s="104">
        <v>0.0</v>
      </c>
      <c r="AH11" s="104">
        <v>0.0</v>
      </c>
      <c r="AI11" s="104">
        <v>0.0</v>
      </c>
      <c r="AJ11" s="104">
        <v>0.0</v>
      </c>
      <c r="AK11" s="104">
        <v>0.0</v>
      </c>
      <c r="AL11" s="104">
        <v>0.0</v>
      </c>
      <c r="AM11" s="104">
        <v>0.0</v>
      </c>
      <c r="AN11" s="104" t="s">
        <v>357</v>
      </c>
      <c r="AO11" s="104">
        <v>0.0</v>
      </c>
      <c r="AP11" s="104">
        <v>0.0</v>
      </c>
      <c r="AQ11" s="104">
        <v>0.0</v>
      </c>
      <c r="AR11" s="104">
        <v>0.0</v>
      </c>
      <c r="AS11" s="104">
        <v>0.0</v>
      </c>
      <c r="AT11" s="104">
        <v>0.0</v>
      </c>
      <c r="AU11" s="104">
        <v>0.0</v>
      </c>
      <c r="AV11" s="99" t="str">
        <f>IFERROR(__xludf.DUMMYFUNCTION("JOIN("", "",FILTER($P$3:$AE$3,$P11:$AE11=MAX($P11:$AE11)))"),"Queen,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1" s="99">
        <f t="shared" si="6"/>
        <v>0</v>
      </c>
      <c r="AX11" s="99">
        <f>IFERROR(__xludf.DUMMYFUNCTION("COUNTA(FILTER($P$3:$AE$3,$P11:$AE11=MAX($P11:$AE11)))"),16.0)</f>
        <v>16</v>
      </c>
      <c r="AY11" s="99" t="str">
        <f>IFERROR(__xludf.DUMMYFUNCTION("IFERROR(JOIN("", "",FILTER($AF$3:$AU$3,$AF11:$AU11=MAXIFS($AF11:$AU11,$AF$23:$AU$23,TRUE),$AF$23:$AU$23)),""N/A"")"),"Queen,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1" s="103" t="str">
        <f>IFERROR(__xludf.DUMMYFUNCTION("IFERROR(JOIN("", "",FILTER($P11:$AE11,$AF11:$AU11=MAXIFS($AF11:$AU11,$AF$23:$AU$23,TRUE),$AF$23:$AU$23)),""N/A"")"),"0, 0, 0, 0, 0, 0, 0, 0, 0, 0, 0, 0, 0, 0")</f>
        <v>0, 0, 0, 0, 0, 0, 0, 0, 0, 0, 0, 0, 0, 0</v>
      </c>
      <c r="BA11" s="103">
        <f>MAXIFS(AF11:AU11,$AF$23:$AU$23,TRUE)/'Queen MIDI'!$J$20</f>
        <v>0</v>
      </c>
      <c r="BB11" s="98">
        <f>IFERROR(__xludf.DUMMYFUNCTION("COUNTA(IFERROR(FILTER($AF$3:$AU$3,$AF11:$AU11=MAXIFS($AF11:$AU11,$AF$23:$AU$23,TRUE),$AF$23:$AU$23),))"),14.0)</f>
        <v>14</v>
      </c>
      <c r="BC11" s="105">
        <f t="shared" si="7"/>
        <v>0</v>
      </c>
      <c r="BD11" s="99">
        <f t="shared" si="8"/>
        <v>0</v>
      </c>
      <c r="BE11" s="1"/>
    </row>
    <row r="12">
      <c r="A12" s="1"/>
      <c r="C12" s="66" t="str">
        <f t="array" ref="C12">INDEX('Queen MIDI'!$C$4:$C$66,MATCH(F12,'Queen MIDI'!$D$4:$D$66,0))</f>
        <v>39</v>
      </c>
      <c r="D12" s="95">
        <v>0.0</v>
      </c>
      <c r="E12" s="96" t="s">
        <v>365</v>
      </c>
      <c r="F12" s="66" t="str">
        <f t="shared" si="2"/>
        <v>_39.mid</v>
      </c>
      <c r="G12" s="97">
        <f>HLOOKUP(H12,'Queen Discography'!$C$2:$Q$3,2,FALSE)</f>
        <v>1975</v>
      </c>
      <c r="H12" s="66" t="str">
        <f>IF(COUNTIF('Queen Discography'!$C$4:$C$22,C12)&gt;0,"Queen",
IF(COUNTIF('Queen Discography'!$D$4:$D$22,C12)&gt;0,"Queen II",
IF(COUNTIF('Queen Discography'!$E$4:$E$22,C12)&gt;0,"Sheer Heart Attack",
IF(COUNTIF('Queen Discography'!$F$4:$F$22,C12)&gt;0,"A Night At The Opera",
IF(COUNTIF('Queen Discography'!$G$4:$G$22,C12)&gt;0,"A Day At The Races",
IF(COUNTIF('Queen Discography'!$H$4:$H$22,C12)&gt;0,"News Of The World",
IF(COUNTIF('Queen Discography'!$I$4:$I$22,C12)&gt;0,"Jazz",
IF(COUNTIF('Queen Discography'!$J$4:$J$22,C12)&gt;0,"The Game",
IF(COUNTIF('Queen Discography'!$K$4:$K$22,C12)&gt;0,"Flash Gordon",
IF(COUNTIF('Queen Discography'!$L$4:$L$22,C12)&gt;0,"Hot Space",
IF(COUNTIF('Queen Discography'!$M$4:$M$22,C12)&gt;0,"The Works",
IF(COUNTIF('Queen Discography'!$N$4:$N$22,C12)&gt;0,"A Kind Of Magic",
IF(COUNTIF('Queen Discography'!$O$4:$O$22,C12)&gt;0,"The Miracle",
IF(COUNTIF('Queen Discography'!$P$4:$P$22,C12)&gt;0,"Innuendo",
IF(COUNTIF('Queen Discography'!$Q$4:$Q$22,C12)&gt;0,"Made In Heaven","NOT FOUND")))))))))))))))</f>
        <v>A Night At The Opera</v>
      </c>
      <c r="I12" s="1"/>
      <c r="J12" s="98">
        <v>8.0</v>
      </c>
      <c r="K12" s="99" t="str">
        <f t="shared" si="9"/>
        <v>N/A</v>
      </c>
      <c r="L12" s="99" t="str">
        <f t="shared" si="3"/>
        <v>N/A</v>
      </c>
      <c r="M12" s="99" t="str">
        <f t="shared" si="4"/>
        <v>N/A</v>
      </c>
      <c r="N12" s="100" t="str">
        <f>IFERROR(__xludf.DUMMYFUNCTION("IFERROR(MEDIAN(FILTER($G$4:$G$66,$D$4:$D$66=$J12,ISNUMBER($G$4:$G$66))),""N/A"")"),"N/A")</f>
        <v>N/A</v>
      </c>
      <c r="O12" s="99" t="str">
        <f>IFERROR(__xludf.DUMMYFUNCTION("IFERROR(MODE(FILTER($G$4:$G$66,$D$4:$D$66=$J12,ISNUMBER($G$4:$G$66))),""N/A"")"),"N/A")</f>
        <v>N/A</v>
      </c>
      <c r="P12" s="99">
        <f t="shared" ref="P12:AE12" si="16">COUNTIFS($H$4:$H$66,P$3,$D$4:$D$66,$J12)</f>
        <v>0</v>
      </c>
      <c r="Q12" s="99">
        <f t="shared" si="16"/>
        <v>0</v>
      </c>
      <c r="R12" s="99">
        <f t="shared" si="16"/>
        <v>0</v>
      </c>
      <c r="S12" s="99">
        <f t="shared" si="16"/>
        <v>0</v>
      </c>
      <c r="T12" s="99">
        <f t="shared" si="16"/>
        <v>0</v>
      </c>
      <c r="U12" s="99">
        <f t="shared" si="16"/>
        <v>0</v>
      </c>
      <c r="V12" s="99">
        <f t="shared" si="16"/>
        <v>0</v>
      </c>
      <c r="W12" s="99">
        <f t="shared" si="16"/>
        <v>0</v>
      </c>
      <c r="X12" s="99">
        <f t="shared" si="16"/>
        <v>0</v>
      </c>
      <c r="Y12" s="99">
        <f t="shared" si="16"/>
        <v>0</v>
      </c>
      <c r="Z12" s="99">
        <f t="shared" si="16"/>
        <v>0</v>
      </c>
      <c r="AA12" s="99">
        <f t="shared" si="16"/>
        <v>0</v>
      </c>
      <c r="AB12" s="99">
        <f t="shared" si="16"/>
        <v>0</v>
      </c>
      <c r="AC12" s="99">
        <f t="shared" si="16"/>
        <v>0</v>
      </c>
      <c r="AD12" s="99">
        <f t="shared" si="16"/>
        <v>0</v>
      </c>
      <c r="AE12" s="99">
        <f t="shared" si="16"/>
        <v>0</v>
      </c>
      <c r="AF12" s="104">
        <f t="array" ref="AF12:AU12">IFERROR(P12:AE12*TRANSPOSE('Queen MIDI'!$J$4:$J$19),"N/A")</f>
        <v>0</v>
      </c>
      <c r="AG12" s="104">
        <v>0.0</v>
      </c>
      <c r="AH12" s="104">
        <v>0.0</v>
      </c>
      <c r="AI12" s="104">
        <v>0.0</v>
      </c>
      <c r="AJ12" s="104">
        <v>0.0</v>
      </c>
      <c r="AK12" s="104">
        <v>0.0</v>
      </c>
      <c r="AL12" s="104">
        <v>0.0</v>
      </c>
      <c r="AM12" s="104">
        <v>0.0</v>
      </c>
      <c r="AN12" s="104" t="s">
        <v>357</v>
      </c>
      <c r="AO12" s="104">
        <v>0.0</v>
      </c>
      <c r="AP12" s="104">
        <v>0.0</v>
      </c>
      <c r="AQ12" s="104">
        <v>0.0</v>
      </c>
      <c r="AR12" s="104">
        <v>0.0</v>
      </c>
      <c r="AS12" s="104">
        <v>0.0</v>
      </c>
      <c r="AT12" s="104">
        <v>0.0</v>
      </c>
      <c r="AU12" s="104">
        <v>0.0</v>
      </c>
      <c r="AV12" s="99" t="str">
        <f>IFERROR(__xludf.DUMMYFUNCTION("JOIN("", "",FILTER($P$3:$AE$3,$P12:$AE12=MAX($P12:$AE12)))"),"Queen,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2" s="99">
        <f t="shared" si="6"/>
        <v>0</v>
      </c>
      <c r="AX12" s="99">
        <f>IFERROR(__xludf.DUMMYFUNCTION("COUNTA(FILTER($P$3:$AE$3,$P12:$AE12=MAX($P12:$AE12)))"),16.0)</f>
        <v>16</v>
      </c>
      <c r="AY12" s="99" t="str">
        <f>IFERROR(__xludf.DUMMYFUNCTION("IFERROR(JOIN("", "",FILTER($AF$3:$AU$3,$AF12:$AU12=MAXIFS($AF12:$AU12,$AF$23:$AU$23,TRUE),$AF$23:$AU$23)),""N/A"")"),"Queen,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2" s="103" t="str">
        <f>IFERROR(__xludf.DUMMYFUNCTION("IFERROR(JOIN("", "",FILTER($P12:$AE12,$AF12:$AU12=MAXIFS($AF12:$AU12,$AF$23:$AU$23,TRUE),$AF$23:$AU$23)),""N/A"")"),"0, 0, 0, 0, 0, 0, 0, 0, 0, 0, 0, 0, 0, 0")</f>
        <v>0, 0, 0, 0, 0, 0, 0, 0, 0, 0, 0, 0, 0, 0</v>
      </c>
      <c r="BA12" s="103">
        <f>MAXIFS(AF12:AU12,$AF$23:$AU$23,TRUE)/'Queen MIDI'!$J$20</f>
        <v>0</v>
      </c>
      <c r="BB12" s="98">
        <f>IFERROR(__xludf.DUMMYFUNCTION("COUNTA(IFERROR(FILTER($AF$3:$AU$3,$AF12:$AU12=MAXIFS($AF12:$AU12,$AF$23:$AU$23,TRUE),$AF$23:$AU$23),))"),14.0)</f>
        <v>14</v>
      </c>
      <c r="BC12" s="105">
        <f t="shared" si="7"/>
        <v>0</v>
      </c>
      <c r="BD12" s="99">
        <f t="shared" si="8"/>
        <v>0</v>
      </c>
      <c r="BE12" s="1"/>
    </row>
    <row r="13">
      <c r="A13" s="1"/>
      <c r="C13" s="66" t="str">
        <f t="array" ref="C13">INDEX('Queen MIDI'!$C$4:$C$66,MATCH(F13,'Queen MIDI'!$D$4:$D$66,0))</f>
        <v>Bohemian Rhapsody</v>
      </c>
      <c r="D13" s="95">
        <v>0.0</v>
      </c>
      <c r="E13" s="96" t="s">
        <v>366</v>
      </c>
      <c r="F13" s="66" t="str">
        <f t="shared" si="2"/>
        <v>Bohemian Rhapsody.1.mid</v>
      </c>
      <c r="G13" s="97">
        <f>HLOOKUP(H13,'Queen Discography'!$C$2:$Q$3,2,FALSE)</f>
        <v>1975</v>
      </c>
      <c r="H13" s="66" t="str">
        <f>IF(COUNTIF('Queen Discography'!$C$4:$C$22,C13)&gt;0,"Queen",
IF(COUNTIF('Queen Discography'!$D$4:$D$22,C13)&gt;0,"Queen II",
IF(COUNTIF('Queen Discography'!$E$4:$E$22,C13)&gt;0,"Sheer Heart Attack",
IF(COUNTIF('Queen Discography'!$F$4:$F$22,C13)&gt;0,"A Night At The Opera",
IF(COUNTIF('Queen Discography'!$G$4:$G$22,C13)&gt;0,"A Day At The Races",
IF(COUNTIF('Queen Discography'!$H$4:$H$22,C13)&gt;0,"News Of The World",
IF(COUNTIF('Queen Discography'!$I$4:$I$22,C13)&gt;0,"Jazz",
IF(COUNTIF('Queen Discography'!$J$4:$J$22,C13)&gt;0,"The Game",
IF(COUNTIF('Queen Discography'!$K$4:$K$22,C13)&gt;0,"Flash Gordon",
IF(COUNTIF('Queen Discography'!$L$4:$L$22,C13)&gt;0,"Hot Space",
IF(COUNTIF('Queen Discography'!$M$4:$M$22,C13)&gt;0,"The Works",
IF(COUNTIF('Queen Discography'!$N$4:$N$22,C13)&gt;0,"A Kind Of Magic",
IF(COUNTIF('Queen Discography'!$O$4:$O$22,C13)&gt;0,"The Miracle",
IF(COUNTIF('Queen Discography'!$P$4:$P$22,C13)&gt;0,"Innuendo",
IF(COUNTIF('Queen Discography'!$Q$4:$Q$22,C13)&gt;0,"Made In Heaven","NOT FOUND")))))))))))))))</f>
        <v>A Night At The Opera</v>
      </c>
      <c r="I13" s="1"/>
      <c r="J13" s="98">
        <v>9.0</v>
      </c>
      <c r="K13" s="99" t="str">
        <f t="shared" si="9"/>
        <v>N/A</v>
      </c>
      <c r="L13" s="99" t="str">
        <f t="shared" si="3"/>
        <v>N/A</v>
      </c>
      <c r="M13" s="99" t="str">
        <f t="shared" si="4"/>
        <v>N/A</v>
      </c>
      <c r="N13" s="100" t="str">
        <f>IFERROR(__xludf.DUMMYFUNCTION("IFERROR(MEDIAN(FILTER($G$4:$G$66,$D$4:$D$66=$J13,ISNUMBER($G$4:$G$66))),""N/A"")"),"N/A")</f>
        <v>N/A</v>
      </c>
      <c r="O13" s="99" t="str">
        <f>IFERROR(__xludf.DUMMYFUNCTION("IFERROR(MODE(FILTER($G$4:$G$66,$D$4:$D$66=$J13,ISNUMBER($G$4:$G$66))),""N/A"")"),"N/A")</f>
        <v>N/A</v>
      </c>
      <c r="P13" s="99">
        <f t="shared" ref="P13:AE13" si="17">COUNTIFS($H$4:$H$66,P$3,$D$4:$D$66,$J13)</f>
        <v>0</v>
      </c>
      <c r="Q13" s="99">
        <f t="shared" si="17"/>
        <v>0</v>
      </c>
      <c r="R13" s="99">
        <f t="shared" si="17"/>
        <v>0</v>
      </c>
      <c r="S13" s="99">
        <f t="shared" si="17"/>
        <v>0</v>
      </c>
      <c r="T13" s="99">
        <f t="shared" si="17"/>
        <v>0</v>
      </c>
      <c r="U13" s="99">
        <f t="shared" si="17"/>
        <v>0</v>
      </c>
      <c r="V13" s="99">
        <f t="shared" si="17"/>
        <v>0</v>
      </c>
      <c r="W13" s="99">
        <f t="shared" si="17"/>
        <v>0</v>
      </c>
      <c r="X13" s="99">
        <f t="shared" si="17"/>
        <v>0</v>
      </c>
      <c r="Y13" s="99">
        <f t="shared" si="17"/>
        <v>0</v>
      </c>
      <c r="Z13" s="99">
        <f t="shared" si="17"/>
        <v>0</v>
      </c>
      <c r="AA13" s="99">
        <f t="shared" si="17"/>
        <v>0</v>
      </c>
      <c r="AB13" s="99">
        <f t="shared" si="17"/>
        <v>0</v>
      </c>
      <c r="AC13" s="99">
        <f t="shared" si="17"/>
        <v>0</v>
      </c>
      <c r="AD13" s="99">
        <f t="shared" si="17"/>
        <v>0</v>
      </c>
      <c r="AE13" s="99">
        <f t="shared" si="17"/>
        <v>0</v>
      </c>
      <c r="AF13" s="104">
        <f t="array" ref="AF13:AU13">IFERROR(P13:AE13*TRANSPOSE('Queen MIDI'!$J$4:$J$19),"N/A")</f>
        <v>0</v>
      </c>
      <c r="AG13" s="104">
        <v>0.0</v>
      </c>
      <c r="AH13" s="104">
        <v>0.0</v>
      </c>
      <c r="AI13" s="104">
        <v>0.0</v>
      </c>
      <c r="AJ13" s="104">
        <v>0.0</v>
      </c>
      <c r="AK13" s="104">
        <v>0.0</v>
      </c>
      <c r="AL13" s="104">
        <v>0.0</v>
      </c>
      <c r="AM13" s="104">
        <v>0.0</v>
      </c>
      <c r="AN13" s="104" t="s">
        <v>357</v>
      </c>
      <c r="AO13" s="104">
        <v>0.0</v>
      </c>
      <c r="AP13" s="104">
        <v>0.0</v>
      </c>
      <c r="AQ13" s="104">
        <v>0.0</v>
      </c>
      <c r="AR13" s="104">
        <v>0.0</v>
      </c>
      <c r="AS13" s="104">
        <v>0.0</v>
      </c>
      <c r="AT13" s="104">
        <v>0.0</v>
      </c>
      <c r="AU13" s="104">
        <v>0.0</v>
      </c>
      <c r="AV13" s="99" t="str">
        <f>IFERROR(__xludf.DUMMYFUNCTION("JOIN("", "",FILTER($P$3:$AE$3,$P13:$AE13=MAX($P13:$AE13)))"),"Queen,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3" s="99">
        <f t="shared" si="6"/>
        <v>0</v>
      </c>
      <c r="AX13" s="99">
        <f>IFERROR(__xludf.DUMMYFUNCTION("COUNTA(FILTER($P$3:$AE$3,$P13:$AE13=MAX($P13:$AE13)))"),16.0)</f>
        <v>16</v>
      </c>
      <c r="AY13" s="99" t="str">
        <f>IFERROR(__xludf.DUMMYFUNCTION("IFERROR(JOIN("", "",FILTER($AF$3:$AU$3,$AF13:$AU13=MAXIFS($AF13:$AU13,$AF$23:$AU$23,TRUE),$AF$23:$AU$23)),""N/A"")"),"Queen,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3" s="103" t="str">
        <f>IFERROR(__xludf.DUMMYFUNCTION("IFERROR(JOIN("", "",FILTER($P13:$AE13,$AF13:$AU13=MAXIFS($AF13:$AU13,$AF$23:$AU$23,TRUE),$AF$23:$AU$23)),""N/A"")"),"0, 0, 0, 0, 0, 0, 0, 0, 0, 0, 0, 0, 0, 0")</f>
        <v>0, 0, 0, 0, 0, 0, 0, 0, 0, 0, 0, 0, 0, 0</v>
      </c>
      <c r="BA13" s="103">
        <f>MAXIFS(AF13:AU13,$AF$23:$AU$23,TRUE)/'Queen MIDI'!$J$20</f>
        <v>0</v>
      </c>
      <c r="BB13" s="98">
        <f>IFERROR(__xludf.DUMMYFUNCTION("COUNTA(IFERROR(FILTER($AF$3:$AU$3,$AF13:$AU13=MAXIFS($AF13:$AU13,$AF$23:$AU$23,TRUE),$AF$23:$AU$23),))"),14.0)</f>
        <v>14</v>
      </c>
      <c r="BC13" s="105">
        <f t="shared" si="7"/>
        <v>0</v>
      </c>
      <c r="BD13" s="99">
        <f t="shared" si="8"/>
        <v>0</v>
      </c>
      <c r="BE13" s="1"/>
    </row>
    <row r="14">
      <c r="A14" s="1"/>
      <c r="C14" s="66" t="str">
        <f t="array" ref="C14">INDEX('Queen MIDI'!$C$4:$C$66,MATCH(F14,'Queen MIDI'!$D$4:$D$66,0))</f>
        <v>Death On Two Legs</v>
      </c>
      <c r="D14" s="95">
        <v>0.0</v>
      </c>
      <c r="E14" s="96" t="s">
        <v>367</v>
      </c>
      <c r="F14" s="66" t="str">
        <f t="shared" si="2"/>
        <v>Death on Two Legs (Dedicated To...).mid</v>
      </c>
      <c r="G14" s="97">
        <f>HLOOKUP(H14,'Queen Discography'!$C$2:$Q$3,2,FALSE)</f>
        <v>1975</v>
      </c>
      <c r="H14" s="66" t="str">
        <f>IF(COUNTIF('Queen Discography'!$C$4:$C$22,C14)&gt;0,"Queen",
IF(COUNTIF('Queen Discography'!$D$4:$D$22,C14)&gt;0,"Queen II",
IF(COUNTIF('Queen Discography'!$E$4:$E$22,C14)&gt;0,"Sheer Heart Attack",
IF(COUNTIF('Queen Discography'!$F$4:$F$22,C14)&gt;0,"A Night At The Opera",
IF(COUNTIF('Queen Discography'!$G$4:$G$22,C14)&gt;0,"A Day At The Races",
IF(COUNTIF('Queen Discography'!$H$4:$H$22,C14)&gt;0,"News Of The World",
IF(COUNTIF('Queen Discography'!$I$4:$I$22,C14)&gt;0,"Jazz",
IF(COUNTIF('Queen Discography'!$J$4:$J$22,C14)&gt;0,"The Game",
IF(COUNTIF('Queen Discography'!$K$4:$K$22,C14)&gt;0,"Flash Gordon",
IF(COUNTIF('Queen Discography'!$L$4:$L$22,C14)&gt;0,"Hot Space",
IF(COUNTIF('Queen Discography'!$M$4:$M$22,C14)&gt;0,"The Works",
IF(COUNTIF('Queen Discography'!$N$4:$N$22,C14)&gt;0,"A Kind Of Magic",
IF(COUNTIF('Queen Discography'!$O$4:$O$22,C14)&gt;0,"The Miracle",
IF(COUNTIF('Queen Discography'!$P$4:$P$22,C14)&gt;0,"Innuendo",
IF(COUNTIF('Queen Discography'!$Q$4:$Q$22,C14)&gt;0,"Made In Heaven","NOT FOUND")))))))))))))))</f>
        <v>A Night At The Opera</v>
      </c>
      <c r="I14" s="1"/>
      <c r="J14" s="98">
        <v>10.0</v>
      </c>
      <c r="K14" s="99" t="str">
        <f t="shared" si="9"/>
        <v>N/A</v>
      </c>
      <c r="L14" s="99" t="str">
        <f t="shared" si="3"/>
        <v>N/A</v>
      </c>
      <c r="M14" s="99" t="str">
        <f t="shared" si="4"/>
        <v>N/A</v>
      </c>
      <c r="N14" s="100" t="str">
        <f>IFERROR(__xludf.DUMMYFUNCTION("IFERROR(MEDIAN(FILTER($G$4:$G$66,$D$4:$D$66=$J14,ISNUMBER($G$4:$G$66))),""N/A"")"),"N/A")</f>
        <v>N/A</v>
      </c>
      <c r="O14" s="99" t="str">
        <f>IFERROR(__xludf.DUMMYFUNCTION("IFERROR(MODE(FILTER($G$4:$G$66,$D$4:$D$66=$J14,ISNUMBER($G$4:$G$66))),""N/A"")"),"N/A")</f>
        <v>N/A</v>
      </c>
      <c r="P14" s="99">
        <f t="shared" ref="P14:AE14" si="18">COUNTIFS($H$4:$H$66,P$3,$D$4:$D$66,$J14)</f>
        <v>0</v>
      </c>
      <c r="Q14" s="99">
        <f t="shared" si="18"/>
        <v>0</v>
      </c>
      <c r="R14" s="99">
        <f t="shared" si="18"/>
        <v>0</v>
      </c>
      <c r="S14" s="99">
        <f t="shared" si="18"/>
        <v>0</v>
      </c>
      <c r="T14" s="99">
        <f t="shared" si="18"/>
        <v>0</v>
      </c>
      <c r="U14" s="99">
        <f t="shared" si="18"/>
        <v>0</v>
      </c>
      <c r="V14" s="99">
        <f t="shared" si="18"/>
        <v>0</v>
      </c>
      <c r="W14" s="99">
        <f t="shared" si="18"/>
        <v>0</v>
      </c>
      <c r="X14" s="99">
        <f t="shared" si="18"/>
        <v>0</v>
      </c>
      <c r="Y14" s="99">
        <f t="shared" si="18"/>
        <v>0</v>
      </c>
      <c r="Z14" s="99">
        <f t="shared" si="18"/>
        <v>0</v>
      </c>
      <c r="AA14" s="99">
        <f t="shared" si="18"/>
        <v>0</v>
      </c>
      <c r="AB14" s="99">
        <f t="shared" si="18"/>
        <v>0</v>
      </c>
      <c r="AC14" s="99">
        <f t="shared" si="18"/>
        <v>0</v>
      </c>
      <c r="AD14" s="99">
        <f t="shared" si="18"/>
        <v>0</v>
      </c>
      <c r="AE14" s="99">
        <f t="shared" si="18"/>
        <v>0</v>
      </c>
      <c r="AF14" s="104">
        <f t="array" ref="AF14:AU14">IFERROR(P14:AE14*TRANSPOSE('Queen MIDI'!$J$4:$J$19),"N/A")</f>
        <v>0</v>
      </c>
      <c r="AG14" s="104">
        <v>0.0</v>
      </c>
      <c r="AH14" s="104">
        <v>0.0</v>
      </c>
      <c r="AI14" s="104">
        <v>0.0</v>
      </c>
      <c r="AJ14" s="104">
        <v>0.0</v>
      </c>
      <c r="AK14" s="104">
        <v>0.0</v>
      </c>
      <c r="AL14" s="104">
        <v>0.0</v>
      </c>
      <c r="AM14" s="104">
        <v>0.0</v>
      </c>
      <c r="AN14" s="104" t="s">
        <v>357</v>
      </c>
      <c r="AO14" s="104">
        <v>0.0</v>
      </c>
      <c r="AP14" s="104">
        <v>0.0</v>
      </c>
      <c r="AQ14" s="104">
        <v>0.0</v>
      </c>
      <c r="AR14" s="104">
        <v>0.0</v>
      </c>
      <c r="AS14" s="104">
        <v>0.0</v>
      </c>
      <c r="AT14" s="104">
        <v>0.0</v>
      </c>
      <c r="AU14" s="104">
        <v>0.0</v>
      </c>
      <c r="AV14" s="99" t="str">
        <f>IFERROR(__xludf.DUMMYFUNCTION("JOIN("", "",FILTER($P$3:$AE$3,$P14:$AE14=MAX($P14:$AE14)))"),"Queen,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4" s="99">
        <f t="shared" si="6"/>
        <v>0</v>
      </c>
      <c r="AX14" s="99">
        <f>IFERROR(__xludf.DUMMYFUNCTION("COUNTA(FILTER($P$3:$AE$3,$P14:$AE14=MAX($P14:$AE14)))"),16.0)</f>
        <v>16</v>
      </c>
      <c r="AY14" s="99" t="str">
        <f>IFERROR(__xludf.DUMMYFUNCTION("IFERROR(JOIN("", "",FILTER($AF$3:$AU$3,$AF14:$AU14=MAXIFS($AF14:$AU14,$AF$23:$AU$23,TRUE),$AF$23:$AU$23)),""N/A"")"),"Queen,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4" s="103" t="str">
        <f>IFERROR(__xludf.DUMMYFUNCTION("IFERROR(JOIN("", "",FILTER($P14:$AE14,$AF14:$AU14=MAXIFS($AF14:$AU14,$AF$23:$AU$23,TRUE),$AF$23:$AU$23)),""N/A"")"),"0, 0, 0, 0, 0, 0, 0, 0, 0, 0, 0, 0, 0, 0")</f>
        <v>0, 0, 0, 0, 0, 0, 0, 0, 0, 0, 0, 0, 0, 0</v>
      </c>
      <c r="BA14" s="103">
        <f>MAXIFS(AF14:AU14,$AF$23:$AU$23,TRUE)/'Queen MIDI'!$J$20</f>
        <v>0</v>
      </c>
      <c r="BB14" s="98">
        <f>IFERROR(__xludf.DUMMYFUNCTION("COUNTA(IFERROR(FILTER($AF$3:$AU$3,$AF14:$AU14=MAXIFS($AF14:$AU14,$AF$23:$AU$23,TRUE),$AF$23:$AU$23),))"),14.0)</f>
        <v>14</v>
      </c>
      <c r="BC14" s="105">
        <f t="shared" si="7"/>
        <v>0</v>
      </c>
      <c r="BD14" s="99">
        <f t="shared" si="8"/>
        <v>0</v>
      </c>
      <c r="BE14" s="1"/>
    </row>
    <row r="15">
      <c r="A15" s="1"/>
      <c r="C15" s="66" t="str">
        <f t="array" ref="C15">INDEX('Queen MIDI'!$C$4:$C$66,MATCH(F15,'Queen MIDI'!$D$4:$D$66,0))</f>
        <v>Love of My Life</v>
      </c>
      <c r="D15" s="95">
        <v>0.0</v>
      </c>
      <c r="E15" s="96" t="s">
        <v>368</v>
      </c>
      <c r="F15" s="66" t="str">
        <f t="shared" si="2"/>
        <v>Love of My Life.3.mid</v>
      </c>
      <c r="G15" s="97">
        <f>HLOOKUP(H15,'Queen Discography'!$C$2:$Q$3,2,FALSE)</f>
        <v>1975</v>
      </c>
      <c r="H15" s="66" t="str">
        <f>IF(COUNTIF('Queen Discography'!$C$4:$C$22,C15)&gt;0,"Queen",
IF(COUNTIF('Queen Discography'!$D$4:$D$22,C15)&gt;0,"Queen II",
IF(COUNTIF('Queen Discography'!$E$4:$E$22,C15)&gt;0,"Sheer Heart Attack",
IF(COUNTIF('Queen Discography'!$F$4:$F$22,C15)&gt;0,"A Night At The Opera",
IF(COUNTIF('Queen Discography'!$G$4:$G$22,C15)&gt;0,"A Day At The Races",
IF(COUNTIF('Queen Discography'!$H$4:$H$22,C15)&gt;0,"News Of The World",
IF(COUNTIF('Queen Discography'!$I$4:$I$22,C15)&gt;0,"Jazz",
IF(COUNTIF('Queen Discography'!$J$4:$J$22,C15)&gt;0,"The Game",
IF(COUNTIF('Queen Discography'!$K$4:$K$22,C15)&gt;0,"Flash Gordon",
IF(COUNTIF('Queen Discography'!$L$4:$L$22,C15)&gt;0,"Hot Space",
IF(COUNTIF('Queen Discography'!$M$4:$M$22,C15)&gt;0,"The Works",
IF(COUNTIF('Queen Discography'!$N$4:$N$22,C15)&gt;0,"A Kind Of Magic",
IF(COUNTIF('Queen Discography'!$O$4:$O$22,C15)&gt;0,"The Miracle",
IF(COUNTIF('Queen Discography'!$P$4:$P$22,C15)&gt;0,"Innuendo",
IF(COUNTIF('Queen Discography'!$Q$4:$Q$22,C15)&gt;0,"Made In Heaven","NOT FOUND")))))))))))))))</f>
        <v>A Night At The Opera</v>
      </c>
      <c r="I15" s="1"/>
      <c r="J15" s="98">
        <v>11.0</v>
      </c>
      <c r="K15" s="99" t="str">
        <f t="shared" si="9"/>
        <v>N/A</v>
      </c>
      <c r="L15" s="99" t="str">
        <f t="shared" si="3"/>
        <v>N/A</v>
      </c>
      <c r="M15" s="99" t="str">
        <f t="shared" si="4"/>
        <v>N/A</v>
      </c>
      <c r="N15" s="100" t="str">
        <f>IFERROR(__xludf.DUMMYFUNCTION("IFERROR(MEDIAN(FILTER($G$4:$G$66,$D$4:$D$66=$J15,ISNUMBER($G$4:$G$66))),""N/A"")"),"N/A")</f>
        <v>N/A</v>
      </c>
      <c r="O15" s="99" t="str">
        <f>IFERROR(__xludf.DUMMYFUNCTION("IFERROR(MODE(FILTER($G$4:$G$66,$D$4:$D$66=$J15,ISNUMBER($G$4:$G$66))),""N/A"")"),"N/A")</f>
        <v>N/A</v>
      </c>
      <c r="P15" s="99">
        <f t="shared" ref="P15:AE15" si="19">COUNTIFS($H$4:$H$66,P$3,$D$4:$D$66,$J15)</f>
        <v>0</v>
      </c>
      <c r="Q15" s="99">
        <f t="shared" si="19"/>
        <v>0</v>
      </c>
      <c r="R15" s="99">
        <f t="shared" si="19"/>
        <v>0</v>
      </c>
      <c r="S15" s="99">
        <f t="shared" si="19"/>
        <v>0</v>
      </c>
      <c r="T15" s="99">
        <f t="shared" si="19"/>
        <v>0</v>
      </c>
      <c r="U15" s="99">
        <f t="shared" si="19"/>
        <v>0</v>
      </c>
      <c r="V15" s="99">
        <f t="shared" si="19"/>
        <v>0</v>
      </c>
      <c r="W15" s="99">
        <f t="shared" si="19"/>
        <v>0</v>
      </c>
      <c r="X15" s="99">
        <f t="shared" si="19"/>
        <v>0</v>
      </c>
      <c r="Y15" s="99">
        <f t="shared" si="19"/>
        <v>0</v>
      </c>
      <c r="Z15" s="99">
        <f t="shared" si="19"/>
        <v>0</v>
      </c>
      <c r="AA15" s="99">
        <f t="shared" si="19"/>
        <v>0</v>
      </c>
      <c r="AB15" s="99">
        <f t="shared" si="19"/>
        <v>0</v>
      </c>
      <c r="AC15" s="99">
        <f t="shared" si="19"/>
        <v>0</v>
      </c>
      <c r="AD15" s="99">
        <f t="shared" si="19"/>
        <v>0</v>
      </c>
      <c r="AE15" s="99">
        <f t="shared" si="19"/>
        <v>0</v>
      </c>
      <c r="AF15" s="104">
        <f t="array" ref="AF15:AU15">IFERROR(P15:AE15*TRANSPOSE('Queen MIDI'!$J$4:$J$19),"N/A")</f>
        <v>0</v>
      </c>
      <c r="AG15" s="104">
        <v>0.0</v>
      </c>
      <c r="AH15" s="104">
        <v>0.0</v>
      </c>
      <c r="AI15" s="104">
        <v>0.0</v>
      </c>
      <c r="AJ15" s="104">
        <v>0.0</v>
      </c>
      <c r="AK15" s="104">
        <v>0.0</v>
      </c>
      <c r="AL15" s="104">
        <v>0.0</v>
      </c>
      <c r="AM15" s="104">
        <v>0.0</v>
      </c>
      <c r="AN15" s="104" t="s">
        <v>357</v>
      </c>
      <c r="AO15" s="104">
        <v>0.0</v>
      </c>
      <c r="AP15" s="104">
        <v>0.0</v>
      </c>
      <c r="AQ15" s="104">
        <v>0.0</v>
      </c>
      <c r="AR15" s="104">
        <v>0.0</v>
      </c>
      <c r="AS15" s="104">
        <v>0.0</v>
      </c>
      <c r="AT15" s="104">
        <v>0.0</v>
      </c>
      <c r="AU15" s="104">
        <v>0.0</v>
      </c>
      <c r="AV15" s="106" t="str">
        <f>IFERROR(__xludf.DUMMYFUNCTION("JOIN("", "",FILTER($P$3:$AE$3,$P15:$AE15=MAX($P15:$AE15)))"),"Queen,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5" s="99">
        <f t="shared" si="6"/>
        <v>0</v>
      </c>
      <c r="AX15" s="99">
        <f>IFERROR(__xludf.DUMMYFUNCTION("COUNTA(FILTER($P$3:$AE$3,$P15:$AE15=MAX($P15:$AE15)))"),16.0)</f>
        <v>16</v>
      </c>
      <c r="AY15" s="99" t="str">
        <f>IFERROR(__xludf.DUMMYFUNCTION("IFERROR(JOIN("", "",FILTER($AF$3:$AU$3,$AF15:$AU15=MAXIFS($AF15:$AU15,$AF$23:$AU$23,TRUE),$AF$23:$AU$23)),""N/A"")"),"Queen,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5" s="103" t="str">
        <f>IFERROR(__xludf.DUMMYFUNCTION("IFERROR(JOIN("", "",FILTER($P15:$AE15,$AF15:$AU15=MAXIFS($AF15:$AU15,$AF$23:$AU$23,TRUE),$AF$23:$AU$23)),""N/A"")"),"0, 0, 0, 0, 0, 0, 0, 0, 0, 0, 0, 0, 0, 0")</f>
        <v>0, 0, 0, 0, 0, 0, 0, 0, 0, 0, 0, 0, 0, 0</v>
      </c>
      <c r="BA15" s="103">
        <f>MAXIFS(AF15:AU15,$AF$23:$AU$23,TRUE)/'Queen MIDI'!$J$20</f>
        <v>0</v>
      </c>
      <c r="BB15" s="98">
        <f>IFERROR(__xludf.DUMMYFUNCTION("COUNTA(IFERROR(FILTER($AF$3:$AU$3,$AF15:$AU15=MAXIFS($AF15:$AU15,$AF$23:$AU$23,TRUE),$AF$23:$AU$23),))"),14.0)</f>
        <v>14</v>
      </c>
      <c r="BC15" s="105">
        <f t="shared" si="7"/>
        <v>0</v>
      </c>
      <c r="BD15" s="99">
        <f t="shared" si="8"/>
        <v>0</v>
      </c>
      <c r="BE15" s="1"/>
    </row>
    <row r="16">
      <c r="A16" s="1"/>
      <c r="C16" s="66" t="str">
        <f t="array" ref="C16">INDEX('Queen MIDI'!$C$4:$C$66,MATCH(F16,'Queen MIDI'!$D$4:$D$66,0))</f>
        <v>You're My Best Friend</v>
      </c>
      <c r="D16" s="95">
        <v>0.0</v>
      </c>
      <c r="E16" s="96" t="s">
        <v>369</v>
      </c>
      <c r="F16" s="66" t="str">
        <f t="shared" si="2"/>
        <v>You_re My Best Friend.mid</v>
      </c>
      <c r="G16" s="97">
        <f>HLOOKUP(H16,'Queen Discography'!$C$2:$Q$3,2,FALSE)</f>
        <v>1975</v>
      </c>
      <c r="H16" s="66" t="str">
        <f>IF(COUNTIF('Queen Discography'!$C$4:$C$22,C16)&gt;0,"Queen",
IF(COUNTIF('Queen Discography'!$D$4:$D$22,C16)&gt;0,"Queen II",
IF(COUNTIF('Queen Discography'!$E$4:$E$22,C16)&gt;0,"Sheer Heart Attack",
IF(COUNTIF('Queen Discography'!$F$4:$F$22,C16)&gt;0,"A Night At The Opera",
IF(COUNTIF('Queen Discography'!$G$4:$G$22,C16)&gt;0,"A Day At The Races",
IF(COUNTIF('Queen Discography'!$H$4:$H$22,C16)&gt;0,"News Of The World",
IF(COUNTIF('Queen Discography'!$I$4:$I$22,C16)&gt;0,"Jazz",
IF(COUNTIF('Queen Discography'!$J$4:$J$22,C16)&gt;0,"The Game",
IF(COUNTIF('Queen Discography'!$K$4:$K$22,C16)&gt;0,"Flash Gordon",
IF(COUNTIF('Queen Discography'!$L$4:$L$22,C16)&gt;0,"Hot Space",
IF(COUNTIF('Queen Discography'!$M$4:$M$22,C16)&gt;0,"The Works",
IF(COUNTIF('Queen Discography'!$N$4:$N$22,C16)&gt;0,"A Kind Of Magic",
IF(COUNTIF('Queen Discography'!$O$4:$O$22,C16)&gt;0,"The Miracle",
IF(COUNTIF('Queen Discography'!$P$4:$P$22,C16)&gt;0,"Innuendo",
IF(COUNTIF('Queen Discography'!$Q$4:$Q$22,C16)&gt;0,"Made In Heaven","NOT FOUND")))))))))))))))</f>
        <v>A Night At The Opera</v>
      </c>
      <c r="I16" s="1"/>
      <c r="J16" s="98">
        <v>12.0</v>
      </c>
      <c r="K16" s="99" t="str">
        <f t="shared" si="9"/>
        <v>N/A</v>
      </c>
      <c r="L16" s="99" t="str">
        <f t="shared" si="3"/>
        <v>N/A</v>
      </c>
      <c r="M16" s="99" t="str">
        <f t="shared" si="4"/>
        <v>N/A</v>
      </c>
      <c r="N16" s="100" t="str">
        <f>IFERROR(__xludf.DUMMYFUNCTION("IFERROR(MEDIAN(FILTER($G$4:$G$66,$D$4:$D$66=$J16,ISNUMBER($G$4:$G$66))),""N/A"")"),"N/A")</f>
        <v>N/A</v>
      </c>
      <c r="O16" s="99" t="str">
        <f>IFERROR(__xludf.DUMMYFUNCTION("IFERROR(MODE(FILTER($G$4:$G$66,$D$4:$D$66=$J16,ISNUMBER($G$4:$G$66))),""N/A"")"),"N/A")</f>
        <v>N/A</v>
      </c>
      <c r="P16" s="99">
        <f t="shared" ref="P16:AE16" si="20">COUNTIFS($H$4:$H$66,P$3,$D$4:$D$66,$J16)</f>
        <v>0</v>
      </c>
      <c r="Q16" s="99">
        <f t="shared" si="20"/>
        <v>0</v>
      </c>
      <c r="R16" s="99">
        <f t="shared" si="20"/>
        <v>0</v>
      </c>
      <c r="S16" s="99">
        <f t="shared" si="20"/>
        <v>0</v>
      </c>
      <c r="T16" s="99">
        <f t="shared" si="20"/>
        <v>0</v>
      </c>
      <c r="U16" s="99">
        <f t="shared" si="20"/>
        <v>0</v>
      </c>
      <c r="V16" s="99">
        <f t="shared" si="20"/>
        <v>0</v>
      </c>
      <c r="W16" s="99">
        <f t="shared" si="20"/>
        <v>0</v>
      </c>
      <c r="X16" s="99">
        <f t="shared" si="20"/>
        <v>0</v>
      </c>
      <c r="Y16" s="99">
        <f t="shared" si="20"/>
        <v>0</v>
      </c>
      <c r="Z16" s="99">
        <f t="shared" si="20"/>
        <v>0</v>
      </c>
      <c r="AA16" s="99">
        <f t="shared" si="20"/>
        <v>0</v>
      </c>
      <c r="AB16" s="99">
        <f t="shared" si="20"/>
        <v>0</v>
      </c>
      <c r="AC16" s="99">
        <f t="shared" si="20"/>
        <v>0</v>
      </c>
      <c r="AD16" s="99">
        <f t="shared" si="20"/>
        <v>0</v>
      </c>
      <c r="AE16" s="99">
        <f t="shared" si="20"/>
        <v>0</v>
      </c>
      <c r="AF16" s="104">
        <f t="array" ref="AF16:AU16">IFERROR(P16:AE16*TRANSPOSE('Queen MIDI'!$J$4:$J$19),"N/A")</f>
        <v>0</v>
      </c>
      <c r="AG16" s="104">
        <v>0.0</v>
      </c>
      <c r="AH16" s="104">
        <v>0.0</v>
      </c>
      <c r="AI16" s="104">
        <v>0.0</v>
      </c>
      <c r="AJ16" s="104">
        <v>0.0</v>
      </c>
      <c r="AK16" s="104">
        <v>0.0</v>
      </c>
      <c r="AL16" s="104">
        <v>0.0</v>
      </c>
      <c r="AM16" s="104">
        <v>0.0</v>
      </c>
      <c r="AN16" s="104" t="s">
        <v>357</v>
      </c>
      <c r="AO16" s="104">
        <v>0.0</v>
      </c>
      <c r="AP16" s="104">
        <v>0.0</v>
      </c>
      <c r="AQ16" s="104">
        <v>0.0</v>
      </c>
      <c r="AR16" s="104">
        <v>0.0</v>
      </c>
      <c r="AS16" s="104">
        <v>0.0</v>
      </c>
      <c r="AT16" s="104">
        <v>0.0</v>
      </c>
      <c r="AU16" s="104">
        <v>0.0</v>
      </c>
      <c r="AV16" s="99" t="str">
        <f>IFERROR(__xludf.DUMMYFUNCTION("JOIN("", "",FILTER($P$3:$AE$3,$P16:$AE16=MAX($P16:$AE16)))"),"Queen,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6" s="99">
        <f t="shared" si="6"/>
        <v>0</v>
      </c>
      <c r="AX16" s="99">
        <f>IFERROR(__xludf.DUMMYFUNCTION("COUNTA(FILTER($P$3:$AE$3,$P16:$AE16=MAX($P16:$AE16)))"),16.0)</f>
        <v>16</v>
      </c>
      <c r="AY16" s="99" t="str">
        <f>IFERROR(__xludf.DUMMYFUNCTION("IFERROR(JOIN("", "",FILTER($AF$3:$AU$3,$AF16:$AU16=MAXIFS($AF16:$AU16,$AF$23:$AU$23,TRUE),$AF$23:$AU$23)),""N/A"")"),"Queen,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6" s="103" t="str">
        <f>IFERROR(__xludf.DUMMYFUNCTION("IFERROR(JOIN("", "",FILTER($P16:$AE16,$AF16:$AU16=MAXIFS($AF16:$AU16,$AF$23:$AU$23,TRUE),$AF$23:$AU$23)),""N/A"")"),"0, 0, 0, 0, 0, 0, 0, 0, 0, 0, 0, 0, 0, 0")</f>
        <v>0, 0, 0, 0, 0, 0, 0, 0, 0, 0, 0, 0, 0, 0</v>
      </c>
      <c r="BA16" s="103">
        <f>MAXIFS(AF16:AU16,$AF$23:$AU$23,TRUE)/'Queen MIDI'!$J$20</f>
        <v>0</v>
      </c>
      <c r="BB16" s="98">
        <f>IFERROR(__xludf.DUMMYFUNCTION("COUNTA(IFERROR(FILTER($AF$3:$AU$3,$AF16:$AU16=MAXIFS($AF16:$AU16,$AF$23:$AU$23,TRUE),$AF$23:$AU$23),))"),14.0)</f>
        <v>14</v>
      </c>
      <c r="BC16" s="105">
        <f t="shared" si="7"/>
        <v>0</v>
      </c>
      <c r="BD16" s="99">
        <f t="shared" si="8"/>
        <v>0</v>
      </c>
      <c r="BE16" s="1"/>
    </row>
    <row r="17">
      <c r="A17" s="1"/>
      <c r="C17" s="66" t="str">
        <f t="array" ref="C17">INDEX('Queen MIDI'!$C$4:$C$66,MATCH(F17,'Queen MIDI'!$D$4:$D$66,0))</f>
        <v>Good Old-Fashioned Lover Boy</v>
      </c>
      <c r="D17" s="95">
        <v>0.0</v>
      </c>
      <c r="E17" s="96" t="s">
        <v>370</v>
      </c>
      <c r="F17" s="66" t="str">
        <f t="shared" si="2"/>
        <v>Good Old Fashioned Lover Boy.2.mid</v>
      </c>
      <c r="G17" s="97">
        <f>HLOOKUP(H17,'Queen Discography'!$C$2:$Q$3,2,FALSE)</f>
        <v>1976</v>
      </c>
      <c r="H17" s="66" t="str">
        <f>IF(COUNTIF('Queen Discography'!$C$4:$C$22,C17)&gt;0,"Queen",
IF(COUNTIF('Queen Discography'!$D$4:$D$22,C17)&gt;0,"Queen II",
IF(COUNTIF('Queen Discography'!$E$4:$E$22,C17)&gt;0,"Sheer Heart Attack",
IF(COUNTIF('Queen Discography'!$F$4:$F$22,C17)&gt;0,"A Night At The Opera",
IF(COUNTIF('Queen Discography'!$G$4:$G$22,C17)&gt;0,"A Day At The Races",
IF(COUNTIF('Queen Discography'!$H$4:$H$22,C17)&gt;0,"News Of The World",
IF(COUNTIF('Queen Discography'!$I$4:$I$22,C17)&gt;0,"Jazz",
IF(COUNTIF('Queen Discography'!$J$4:$J$22,C17)&gt;0,"The Game",
IF(COUNTIF('Queen Discography'!$K$4:$K$22,C17)&gt;0,"Flash Gordon",
IF(COUNTIF('Queen Discography'!$L$4:$L$22,C17)&gt;0,"Hot Space",
IF(COUNTIF('Queen Discography'!$M$4:$M$22,C17)&gt;0,"The Works",
IF(COUNTIF('Queen Discography'!$N$4:$N$22,C17)&gt;0,"A Kind Of Magic",
IF(COUNTIF('Queen Discography'!$O$4:$O$22,C17)&gt;0,"The Miracle",
IF(COUNTIF('Queen Discography'!$P$4:$P$22,C17)&gt;0,"Innuendo",
IF(COUNTIF('Queen Discography'!$Q$4:$Q$22,C17)&gt;0,"Made In Heaven","NOT FOUND")))))))))))))))</f>
        <v>A Day At The Races</v>
      </c>
      <c r="I17" s="1"/>
      <c r="J17" s="98">
        <v>13.0</v>
      </c>
      <c r="K17" s="99" t="str">
        <f t="shared" si="9"/>
        <v>N/A</v>
      </c>
      <c r="L17" s="99" t="str">
        <f t="shared" si="3"/>
        <v>N/A</v>
      </c>
      <c r="M17" s="99" t="str">
        <f t="shared" si="4"/>
        <v>N/A</v>
      </c>
      <c r="N17" s="100" t="str">
        <f>IFERROR(__xludf.DUMMYFUNCTION("IFERROR(MEDIAN(FILTER($G$4:$G$66,$D$4:$D$66=$J17,ISNUMBER($G$4:$G$66))),""N/A"")"),"N/A")</f>
        <v>N/A</v>
      </c>
      <c r="O17" s="99" t="str">
        <f>IFERROR(__xludf.DUMMYFUNCTION("IFERROR(MODE(FILTER($G$4:$G$66,$D$4:$D$66=$J17,ISNUMBER($G$4:$G$66))),""N/A"")"),"N/A")</f>
        <v>N/A</v>
      </c>
      <c r="P17" s="99">
        <f t="shared" ref="P17:AE17" si="21">COUNTIFS($H$4:$H$66,P$3,$D$4:$D$66,$J17)</f>
        <v>0</v>
      </c>
      <c r="Q17" s="99">
        <f t="shared" si="21"/>
        <v>0</v>
      </c>
      <c r="R17" s="99">
        <f t="shared" si="21"/>
        <v>0</v>
      </c>
      <c r="S17" s="99">
        <f t="shared" si="21"/>
        <v>0</v>
      </c>
      <c r="T17" s="99">
        <f t="shared" si="21"/>
        <v>0</v>
      </c>
      <c r="U17" s="99">
        <f t="shared" si="21"/>
        <v>0</v>
      </c>
      <c r="V17" s="99">
        <f t="shared" si="21"/>
        <v>0</v>
      </c>
      <c r="W17" s="99">
        <f t="shared" si="21"/>
        <v>0</v>
      </c>
      <c r="X17" s="99">
        <f t="shared" si="21"/>
        <v>0</v>
      </c>
      <c r="Y17" s="99">
        <f t="shared" si="21"/>
        <v>0</v>
      </c>
      <c r="Z17" s="99">
        <f t="shared" si="21"/>
        <v>0</v>
      </c>
      <c r="AA17" s="99">
        <f t="shared" si="21"/>
        <v>0</v>
      </c>
      <c r="AB17" s="99">
        <f t="shared" si="21"/>
        <v>0</v>
      </c>
      <c r="AC17" s="99">
        <f t="shared" si="21"/>
        <v>0</v>
      </c>
      <c r="AD17" s="99">
        <f t="shared" si="21"/>
        <v>0</v>
      </c>
      <c r="AE17" s="99">
        <f t="shared" si="21"/>
        <v>0</v>
      </c>
      <c r="AF17" s="104">
        <f t="array" ref="AF17:AU17">IFERROR(P17:AE17*TRANSPOSE('Queen MIDI'!$J$4:$J$19),"N/A")</f>
        <v>0</v>
      </c>
      <c r="AG17" s="104">
        <v>0.0</v>
      </c>
      <c r="AH17" s="104">
        <v>0.0</v>
      </c>
      <c r="AI17" s="104">
        <v>0.0</v>
      </c>
      <c r="AJ17" s="104">
        <v>0.0</v>
      </c>
      <c r="AK17" s="104">
        <v>0.0</v>
      </c>
      <c r="AL17" s="104">
        <v>0.0</v>
      </c>
      <c r="AM17" s="104">
        <v>0.0</v>
      </c>
      <c r="AN17" s="104" t="s">
        <v>357</v>
      </c>
      <c r="AO17" s="104">
        <v>0.0</v>
      </c>
      <c r="AP17" s="104">
        <v>0.0</v>
      </c>
      <c r="AQ17" s="104">
        <v>0.0</v>
      </c>
      <c r="AR17" s="104">
        <v>0.0</v>
      </c>
      <c r="AS17" s="104">
        <v>0.0</v>
      </c>
      <c r="AT17" s="104">
        <v>0.0</v>
      </c>
      <c r="AU17" s="104">
        <v>0.0</v>
      </c>
      <c r="AV17" s="99" t="str">
        <f>IFERROR(__xludf.DUMMYFUNCTION("JOIN("", "",FILTER($P$3:$AE$3,$P17:$AE17=MAX($P17:$AE17)))"),"Queen,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7" s="99">
        <f t="shared" si="6"/>
        <v>0</v>
      </c>
      <c r="AX17" s="99">
        <f>IFERROR(__xludf.DUMMYFUNCTION("COUNTA(FILTER($P$3:$AE$3,$P17:$AE17=MAX($P17:$AE17)))"),16.0)</f>
        <v>16</v>
      </c>
      <c r="AY17" s="99" t="str">
        <f>IFERROR(__xludf.DUMMYFUNCTION("IFERROR(JOIN("", "",FILTER($AF$3:$AU$3,$AF17:$AU17=MAXIFS($AF17:$AU17,$AF$23:$AU$23,TRUE),$AF$23:$AU$23)),""N/A"")"),"Queen,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7" s="103" t="str">
        <f>IFERROR(__xludf.DUMMYFUNCTION("IFERROR(JOIN("", "",FILTER($P17:$AE17,$AF17:$AU17=MAXIFS($AF17:$AU17,$AF$23:$AU$23,TRUE),$AF$23:$AU$23)),""N/A"")"),"0, 0, 0, 0, 0, 0, 0, 0, 0, 0, 0, 0, 0, 0")</f>
        <v>0, 0, 0, 0, 0, 0, 0, 0, 0, 0, 0, 0, 0, 0</v>
      </c>
      <c r="BA17" s="103">
        <f>MAXIFS(AF17:AU17,$AF$23:$AU$23,TRUE)/'Queen MIDI'!$J$20</f>
        <v>0</v>
      </c>
      <c r="BB17" s="98">
        <f>IFERROR(__xludf.DUMMYFUNCTION("COUNTA(IFERROR(FILTER($AF$3:$AU$3,$AF17:$AU17=MAXIFS($AF17:$AU17,$AF$23:$AU$23,TRUE),$AF$23:$AU$23),))"),14.0)</f>
        <v>14</v>
      </c>
      <c r="BC17" s="105">
        <f t="shared" si="7"/>
        <v>0</v>
      </c>
      <c r="BD17" s="99">
        <f t="shared" si="8"/>
        <v>0</v>
      </c>
      <c r="BE17" s="1"/>
    </row>
    <row r="18">
      <c r="A18" s="1"/>
      <c r="C18" s="66" t="str">
        <f t="array" ref="C18">INDEX('Queen MIDI'!$C$4:$C$66,MATCH(F18,'Queen MIDI'!$D$4:$D$66,0))</f>
        <v>Somebody to Love</v>
      </c>
      <c r="D18" s="95">
        <v>0.0</v>
      </c>
      <c r="E18" s="96" t="s">
        <v>371</v>
      </c>
      <c r="F18" s="66" t="str">
        <f t="shared" si="2"/>
        <v>Somebody to Love.3.mid</v>
      </c>
      <c r="G18" s="97">
        <f>HLOOKUP(H18,'Queen Discography'!$C$2:$Q$3,2,FALSE)</f>
        <v>1976</v>
      </c>
      <c r="H18" s="66" t="str">
        <f>IF(COUNTIF('Queen Discography'!$C$4:$C$22,C18)&gt;0,"Queen",
IF(COUNTIF('Queen Discography'!$D$4:$D$22,C18)&gt;0,"Queen II",
IF(COUNTIF('Queen Discography'!$E$4:$E$22,C18)&gt;0,"Sheer Heart Attack",
IF(COUNTIF('Queen Discography'!$F$4:$F$22,C18)&gt;0,"A Night At The Opera",
IF(COUNTIF('Queen Discography'!$G$4:$G$22,C18)&gt;0,"A Day At The Races",
IF(COUNTIF('Queen Discography'!$H$4:$H$22,C18)&gt;0,"News Of The World",
IF(COUNTIF('Queen Discography'!$I$4:$I$22,C18)&gt;0,"Jazz",
IF(COUNTIF('Queen Discography'!$J$4:$J$22,C18)&gt;0,"The Game",
IF(COUNTIF('Queen Discography'!$K$4:$K$22,C18)&gt;0,"Flash Gordon",
IF(COUNTIF('Queen Discography'!$L$4:$L$22,C18)&gt;0,"Hot Space",
IF(COUNTIF('Queen Discography'!$M$4:$M$22,C18)&gt;0,"The Works",
IF(COUNTIF('Queen Discography'!$N$4:$N$22,C18)&gt;0,"A Kind Of Magic",
IF(COUNTIF('Queen Discography'!$O$4:$O$22,C18)&gt;0,"The Miracle",
IF(COUNTIF('Queen Discography'!$P$4:$P$22,C18)&gt;0,"Innuendo",
IF(COUNTIF('Queen Discography'!$Q$4:$Q$22,C18)&gt;0,"Made In Heaven","NOT FOUND")))))))))))))))</f>
        <v>A Day At The Races</v>
      </c>
      <c r="I18" s="1"/>
      <c r="J18" s="98">
        <v>14.0</v>
      </c>
      <c r="K18" s="99" t="str">
        <f t="shared" si="9"/>
        <v>N/A</v>
      </c>
      <c r="L18" s="99" t="str">
        <f t="shared" si="3"/>
        <v>N/A</v>
      </c>
      <c r="M18" s="99" t="str">
        <f t="shared" si="4"/>
        <v>N/A</v>
      </c>
      <c r="N18" s="100" t="str">
        <f>IFERROR(__xludf.DUMMYFUNCTION("IFERROR(MEDIAN(FILTER($G$4:$G$66,$D$4:$D$66=$J18,ISNUMBER($G$4:$G$66))),""N/A"")"),"N/A")</f>
        <v>N/A</v>
      </c>
      <c r="O18" s="99" t="str">
        <f>IFERROR(__xludf.DUMMYFUNCTION("IFERROR(MODE(FILTER($G$4:$G$66,$D$4:$D$66=$J18,ISNUMBER($G$4:$G$66))),""N/A"")"),"N/A")</f>
        <v>N/A</v>
      </c>
      <c r="P18" s="99">
        <f t="shared" ref="P18:AE18" si="22">COUNTIFS($H$4:$H$66,P$3,$D$4:$D$66,$J18)</f>
        <v>0</v>
      </c>
      <c r="Q18" s="99">
        <f t="shared" si="22"/>
        <v>0</v>
      </c>
      <c r="R18" s="99">
        <f t="shared" si="22"/>
        <v>0</v>
      </c>
      <c r="S18" s="99">
        <f t="shared" si="22"/>
        <v>0</v>
      </c>
      <c r="T18" s="99">
        <f t="shared" si="22"/>
        <v>0</v>
      </c>
      <c r="U18" s="99">
        <f t="shared" si="22"/>
        <v>0</v>
      </c>
      <c r="V18" s="99">
        <f t="shared" si="22"/>
        <v>0</v>
      </c>
      <c r="W18" s="99">
        <f t="shared" si="22"/>
        <v>0</v>
      </c>
      <c r="X18" s="99">
        <f t="shared" si="22"/>
        <v>0</v>
      </c>
      <c r="Y18" s="99">
        <f t="shared" si="22"/>
        <v>0</v>
      </c>
      <c r="Z18" s="99">
        <f t="shared" si="22"/>
        <v>0</v>
      </c>
      <c r="AA18" s="99">
        <f t="shared" si="22"/>
        <v>0</v>
      </c>
      <c r="AB18" s="99">
        <f t="shared" si="22"/>
        <v>0</v>
      </c>
      <c r="AC18" s="99">
        <f t="shared" si="22"/>
        <v>0</v>
      </c>
      <c r="AD18" s="99">
        <f t="shared" si="22"/>
        <v>0</v>
      </c>
      <c r="AE18" s="99">
        <f t="shared" si="22"/>
        <v>0</v>
      </c>
      <c r="AF18" s="104">
        <f t="array" ref="AF18:AU18">IFERROR(P18:AE18*TRANSPOSE('Queen MIDI'!$J$4:$J$19),"N/A")</f>
        <v>0</v>
      </c>
      <c r="AG18" s="104">
        <v>0.0</v>
      </c>
      <c r="AH18" s="104">
        <v>0.0</v>
      </c>
      <c r="AI18" s="104">
        <v>0.0</v>
      </c>
      <c r="AJ18" s="104">
        <v>0.0</v>
      </c>
      <c r="AK18" s="104">
        <v>0.0</v>
      </c>
      <c r="AL18" s="104">
        <v>0.0</v>
      </c>
      <c r="AM18" s="104">
        <v>0.0</v>
      </c>
      <c r="AN18" s="104" t="s">
        <v>357</v>
      </c>
      <c r="AO18" s="104">
        <v>0.0</v>
      </c>
      <c r="AP18" s="104">
        <v>0.0</v>
      </c>
      <c r="AQ18" s="104">
        <v>0.0</v>
      </c>
      <c r="AR18" s="104">
        <v>0.0</v>
      </c>
      <c r="AS18" s="104">
        <v>0.0</v>
      </c>
      <c r="AT18" s="104">
        <v>0.0</v>
      </c>
      <c r="AU18" s="104">
        <v>0.0</v>
      </c>
      <c r="AV18" s="99" t="str">
        <f>IFERROR(__xludf.DUMMYFUNCTION("JOIN("", "",FILTER($P$3:$AE$3,$P18:$AE18=MAX($P18:$AE18)))"),"Queen,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8" s="99">
        <f t="shared" si="6"/>
        <v>0</v>
      </c>
      <c r="AX18" s="99">
        <f>IFERROR(__xludf.DUMMYFUNCTION("COUNTA(FILTER($P$3:$AE$3,$P18:$AE18=MAX($P18:$AE18)))"),16.0)</f>
        <v>16</v>
      </c>
      <c r="AY18" s="99" t="str">
        <f>IFERROR(__xludf.DUMMYFUNCTION("IFERROR(JOIN("", "",FILTER($AF$3:$AU$3,$AF18:$AU18=MAXIFS($AF18:$AU18,$AF$23:$AU$23,TRUE),$AF$23:$AU$23)),""N/A"")"),"Queen,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8" s="103" t="str">
        <f>IFERROR(__xludf.DUMMYFUNCTION("IFERROR(JOIN("", "",FILTER($P18:$AE18,$AF18:$AU18=MAXIFS($AF18:$AU18,$AF$23:$AU$23,TRUE),$AF$23:$AU$23)),""N/A"")"),"0, 0, 0, 0, 0, 0, 0, 0, 0, 0, 0, 0, 0, 0")</f>
        <v>0, 0, 0, 0, 0, 0, 0, 0, 0, 0, 0, 0, 0, 0</v>
      </c>
      <c r="BA18" s="103">
        <f>MAXIFS(AF18:AU18,$AF$23:$AU$23,TRUE)/'Queen MIDI'!$J$20</f>
        <v>0</v>
      </c>
      <c r="BB18" s="98">
        <f>IFERROR(__xludf.DUMMYFUNCTION("COUNTA(IFERROR(FILTER($AF$3:$AU$3,$AF18:$AU18=MAXIFS($AF18:$AU18,$AF$23:$AU$23,TRUE),$AF$23:$AU$23),))"),14.0)</f>
        <v>14</v>
      </c>
      <c r="BC18" s="105">
        <f t="shared" si="7"/>
        <v>0</v>
      </c>
      <c r="BD18" s="99">
        <f t="shared" si="8"/>
        <v>0</v>
      </c>
      <c r="BE18" s="1"/>
    </row>
    <row r="19">
      <c r="A19" s="1"/>
      <c r="C19" s="66" t="str">
        <f t="array" ref="C19">INDEX('Queen MIDI'!$C$4:$C$66,MATCH(F19,'Queen MIDI'!$D$4:$D$66,0))</f>
        <v>White Man</v>
      </c>
      <c r="D19" s="95">
        <v>0.0</v>
      </c>
      <c r="E19" s="96" t="s">
        <v>372</v>
      </c>
      <c r="F19" s="66" t="str">
        <f t="shared" si="2"/>
        <v>White Man.mid</v>
      </c>
      <c r="G19" s="97">
        <f>HLOOKUP(H19,'Queen Discography'!$C$2:$Q$3,2,FALSE)</f>
        <v>1976</v>
      </c>
      <c r="H19" s="66" t="str">
        <f>IF(COUNTIF('Queen Discography'!$C$4:$C$22,C19)&gt;0,"Queen",
IF(COUNTIF('Queen Discography'!$D$4:$D$22,C19)&gt;0,"Queen II",
IF(COUNTIF('Queen Discography'!$E$4:$E$22,C19)&gt;0,"Sheer Heart Attack",
IF(COUNTIF('Queen Discography'!$F$4:$F$22,C19)&gt;0,"A Night At The Opera",
IF(COUNTIF('Queen Discography'!$G$4:$G$22,C19)&gt;0,"A Day At The Races",
IF(COUNTIF('Queen Discography'!$H$4:$H$22,C19)&gt;0,"News Of The World",
IF(COUNTIF('Queen Discography'!$I$4:$I$22,C19)&gt;0,"Jazz",
IF(COUNTIF('Queen Discography'!$J$4:$J$22,C19)&gt;0,"The Game",
IF(COUNTIF('Queen Discography'!$K$4:$K$22,C19)&gt;0,"Flash Gordon",
IF(COUNTIF('Queen Discography'!$L$4:$L$22,C19)&gt;0,"Hot Space",
IF(COUNTIF('Queen Discography'!$M$4:$M$22,C19)&gt;0,"The Works",
IF(COUNTIF('Queen Discography'!$N$4:$N$22,C19)&gt;0,"A Kind Of Magic",
IF(COUNTIF('Queen Discography'!$O$4:$O$22,C19)&gt;0,"The Miracle",
IF(COUNTIF('Queen Discography'!$P$4:$P$22,C19)&gt;0,"Innuendo",
IF(COUNTIF('Queen Discography'!$Q$4:$Q$22,C19)&gt;0,"Made In Heaven","NOT FOUND")))))))))))))))</f>
        <v>A Day At The Races</v>
      </c>
      <c r="I19" s="1"/>
      <c r="J19" s="98">
        <v>15.0</v>
      </c>
      <c r="K19" s="99" t="str">
        <f t="shared" si="9"/>
        <v>N/A</v>
      </c>
      <c r="L19" s="99" t="str">
        <f t="shared" si="3"/>
        <v>N/A</v>
      </c>
      <c r="M19" s="99" t="str">
        <f t="shared" si="4"/>
        <v>N/A</v>
      </c>
      <c r="N19" s="100" t="str">
        <f>IFERROR(__xludf.DUMMYFUNCTION("IFERROR(MEDIAN(FILTER($G$4:$G$66,$D$4:$D$66=$J19,ISNUMBER($G$4:$G$66))),""N/A"")"),"N/A")</f>
        <v>N/A</v>
      </c>
      <c r="O19" s="99" t="str">
        <f>IFERROR(__xludf.DUMMYFUNCTION("IFERROR(MODE(FILTER($G$4:$G$66,$D$4:$D$66=$J19,ISNUMBER($G$4:$G$66))),""N/A"")"),"N/A")</f>
        <v>N/A</v>
      </c>
      <c r="P19" s="99">
        <f t="shared" ref="P19:AE19" si="23">COUNTIFS($H$4:$H$66,P$3,$D$4:$D$66,$J19)</f>
        <v>0</v>
      </c>
      <c r="Q19" s="99">
        <f t="shared" si="23"/>
        <v>0</v>
      </c>
      <c r="R19" s="99">
        <f t="shared" si="23"/>
        <v>0</v>
      </c>
      <c r="S19" s="99">
        <f t="shared" si="23"/>
        <v>0</v>
      </c>
      <c r="T19" s="99">
        <f t="shared" si="23"/>
        <v>0</v>
      </c>
      <c r="U19" s="99">
        <f t="shared" si="23"/>
        <v>0</v>
      </c>
      <c r="V19" s="99">
        <f t="shared" si="23"/>
        <v>0</v>
      </c>
      <c r="W19" s="99">
        <f t="shared" si="23"/>
        <v>0</v>
      </c>
      <c r="X19" s="99">
        <f t="shared" si="23"/>
        <v>0</v>
      </c>
      <c r="Y19" s="99">
        <f t="shared" si="23"/>
        <v>0</v>
      </c>
      <c r="Z19" s="99">
        <f t="shared" si="23"/>
        <v>0</v>
      </c>
      <c r="AA19" s="99">
        <f t="shared" si="23"/>
        <v>0</v>
      </c>
      <c r="AB19" s="99">
        <f t="shared" si="23"/>
        <v>0</v>
      </c>
      <c r="AC19" s="99">
        <f t="shared" si="23"/>
        <v>0</v>
      </c>
      <c r="AD19" s="99">
        <f t="shared" si="23"/>
        <v>0</v>
      </c>
      <c r="AE19" s="99">
        <f t="shared" si="23"/>
        <v>0</v>
      </c>
      <c r="AF19" s="104">
        <f t="array" ref="AF19:AU19">IFERROR(P19:AE19*TRANSPOSE('Queen MIDI'!$J$4:$J$19),"N/A")</f>
        <v>0</v>
      </c>
      <c r="AG19" s="104">
        <v>0.0</v>
      </c>
      <c r="AH19" s="104">
        <v>0.0</v>
      </c>
      <c r="AI19" s="104">
        <v>0.0</v>
      </c>
      <c r="AJ19" s="104">
        <v>0.0</v>
      </c>
      <c r="AK19" s="104">
        <v>0.0</v>
      </c>
      <c r="AL19" s="104">
        <v>0.0</v>
      </c>
      <c r="AM19" s="104">
        <v>0.0</v>
      </c>
      <c r="AN19" s="104" t="s">
        <v>357</v>
      </c>
      <c r="AO19" s="104">
        <v>0.0</v>
      </c>
      <c r="AP19" s="104">
        <v>0.0</v>
      </c>
      <c r="AQ19" s="104">
        <v>0.0</v>
      </c>
      <c r="AR19" s="104">
        <v>0.0</v>
      </c>
      <c r="AS19" s="104">
        <v>0.0</v>
      </c>
      <c r="AT19" s="104">
        <v>0.0</v>
      </c>
      <c r="AU19" s="104">
        <v>0.0</v>
      </c>
      <c r="AV19" s="99" t="str">
        <f>IFERROR(__xludf.DUMMYFUNCTION("JOIN("", "",FILTER($P$3:$AE$3,$P19:$AE19=MAX($P19:$AE19)))"),"Queen,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9" s="99">
        <f t="shared" si="6"/>
        <v>0</v>
      </c>
      <c r="AX19" s="99">
        <f>IFERROR(__xludf.DUMMYFUNCTION("COUNTA(FILTER($P$3:$AE$3,$P19:$AE19=MAX($P19:$AE19)))"),16.0)</f>
        <v>16</v>
      </c>
      <c r="AY19" s="99" t="str">
        <f>IFERROR(__xludf.DUMMYFUNCTION("IFERROR(JOIN("", "",FILTER($AF$3:$AU$3,$AF19:$AU19=MAXIFS($AF19:$AU19,$AF$23:$AU$23,TRUE),$AF$23:$AU$23)),""N/A"")"),"Queen,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9" s="103" t="str">
        <f>IFERROR(__xludf.DUMMYFUNCTION("IFERROR(JOIN("", "",FILTER($P19:$AE19,$AF19:$AU19=MAXIFS($AF19:$AU19,$AF$23:$AU$23,TRUE),$AF$23:$AU$23)),""N/A"")"),"0, 0, 0, 0, 0, 0, 0, 0, 0, 0, 0, 0, 0, 0")</f>
        <v>0, 0, 0, 0, 0, 0, 0, 0, 0, 0, 0, 0, 0, 0</v>
      </c>
      <c r="BA19" s="103">
        <f>MAXIFS(AF19:AU19,$AF$23:$AU$23,TRUE)/'Queen MIDI'!$J$20</f>
        <v>0</v>
      </c>
      <c r="BB19" s="98">
        <f>IFERROR(__xludf.DUMMYFUNCTION("COUNTA(IFERROR(FILTER($AF$3:$AU$3,$AF19:$AU19=MAXIFS($AF19:$AU19,$AF$23:$AU$23,TRUE),$AF$23:$AU$23),))"),14.0)</f>
        <v>14</v>
      </c>
      <c r="BC19" s="105">
        <f t="shared" si="7"/>
        <v>0</v>
      </c>
      <c r="BD19" s="99">
        <f t="shared" si="8"/>
        <v>0</v>
      </c>
      <c r="BE19" s="1"/>
    </row>
    <row r="20">
      <c r="A20" s="1"/>
      <c r="C20" s="66" t="str">
        <f t="array" ref="C20">INDEX('Queen MIDI'!$C$4:$C$66,MATCH(F20,'Queen MIDI'!$D$4:$D$66,0))</f>
        <v>My Melancholy Blues</v>
      </c>
      <c r="D20" s="95">
        <v>0.0</v>
      </c>
      <c r="E20" s="96" t="s">
        <v>373</v>
      </c>
      <c r="F20" s="66" t="str">
        <f t="shared" si="2"/>
        <v>My Melancholy Blues.mid</v>
      </c>
      <c r="G20" s="97">
        <f>HLOOKUP(H20,'Queen Discography'!$C$2:$Q$3,2,FALSE)</f>
        <v>1977</v>
      </c>
      <c r="H20" s="66" t="str">
        <f>IF(COUNTIF('Queen Discography'!$C$4:$C$22,C20)&gt;0,"Queen",
IF(COUNTIF('Queen Discography'!$D$4:$D$22,C20)&gt;0,"Queen II",
IF(COUNTIF('Queen Discography'!$E$4:$E$22,C20)&gt;0,"Sheer Heart Attack",
IF(COUNTIF('Queen Discography'!$F$4:$F$22,C20)&gt;0,"A Night At The Opera",
IF(COUNTIF('Queen Discography'!$G$4:$G$22,C20)&gt;0,"A Day At The Races",
IF(COUNTIF('Queen Discography'!$H$4:$H$22,C20)&gt;0,"News Of The World",
IF(COUNTIF('Queen Discography'!$I$4:$I$22,C20)&gt;0,"Jazz",
IF(COUNTIF('Queen Discography'!$J$4:$J$22,C20)&gt;0,"The Game",
IF(COUNTIF('Queen Discography'!$K$4:$K$22,C20)&gt;0,"Flash Gordon",
IF(COUNTIF('Queen Discography'!$L$4:$L$22,C20)&gt;0,"Hot Space",
IF(COUNTIF('Queen Discography'!$M$4:$M$22,C20)&gt;0,"The Works",
IF(COUNTIF('Queen Discography'!$N$4:$N$22,C20)&gt;0,"A Kind Of Magic",
IF(COUNTIF('Queen Discography'!$O$4:$O$22,C20)&gt;0,"The Miracle",
IF(COUNTIF('Queen Discography'!$P$4:$P$22,C20)&gt;0,"Innuendo",
IF(COUNTIF('Queen Discography'!$Q$4:$Q$22,C20)&gt;0,"Made In Heaven","NOT FOUND")))))))))))))))</f>
        <v>News Of The World</v>
      </c>
      <c r="I20" s="1"/>
      <c r="J20" s="98">
        <v>16.0</v>
      </c>
      <c r="K20" s="99" t="str">
        <f t="shared" si="9"/>
        <v>N/A</v>
      </c>
      <c r="L20" s="99" t="str">
        <f t="shared" si="3"/>
        <v>N/A</v>
      </c>
      <c r="M20" s="99" t="str">
        <f t="shared" si="4"/>
        <v>N/A</v>
      </c>
      <c r="N20" s="100" t="str">
        <f>IFERROR(__xludf.DUMMYFUNCTION("IFERROR(MEDIAN(FILTER($G$4:$G$66,$D$4:$D$66=$J20,ISNUMBER($G$4:$G$66))),""N/A"")"),"N/A")</f>
        <v>N/A</v>
      </c>
      <c r="O20" s="99" t="str">
        <f>IFERROR(__xludf.DUMMYFUNCTION("IFERROR(MODE(FILTER($G$4:$G$66,$D$4:$D$66=$J20,ISNUMBER($G$4:$G$66))),""N/A"")"),"N/A")</f>
        <v>N/A</v>
      </c>
      <c r="P20" s="99">
        <f t="shared" ref="P20:AE20" si="24">COUNTIFS($H$4:$H$66,P$3,$D$4:$D$66,$J20)</f>
        <v>0</v>
      </c>
      <c r="Q20" s="99">
        <f t="shared" si="24"/>
        <v>0</v>
      </c>
      <c r="R20" s="99">
        <f t="shared" si="24"/>
        <v>0</v>
      </c>
      <c r="S20" s="99">
        <f t="shared" si="24"/>
        <v>0</v>
      </c>
      <c r="T20" s="99">
        <f t="shared" si="24"/>
        <v>0</v>
      </c>
      <c r="U20" s="99">
        <f t="shared" si="24"/>
        <v>0</v>
      </c>
      <c r="V20" s="99">
        <f t="shared" si="24"/>
        <v>0</v>
      </c>
      <c r="W20" s="99">
        <f t="shared" si="24"/>
        <v>0</v>
      </c>
      <c r="X20" s="99">
        <f t="shared" si="24"/>
        <v>0</v>
      </c>
      <c r="Y20" s="99">
        <f t="shared" si="24"/>
        <v>0</v>
      </c>
      <c r="Z20" s="99">
        <f t="shared" si="24"/>
        <v>0</v>
      </c>
      <c r="AA20" s="99">
        <f t="shared" si="24"/>
        <v>0</v>
      </c>
      <c r="AB20" s="99">
        <f t="shared" si="24"/>
        <v>0</v>
      </c>
      <c r="AC20" s="99">
        <f t="shared" si="24"/>
        <v>0</v>
      </c>
      <c r="AD20" s="99">
        <f t="shared" si="24"/>
        <v>0</v>
      </c>
      <c r="AE20" s="99">
        <f t="shared" si="24"/>
        <v>0</v>
      </c>
      <c r="AF20" s="101">
        <f t="array" ref="AF20:AU20">IFERROR(P20:AE20*TRANSPOSE('Queen MIDI'!$J$4:$J$19),"N/A")</f>
        <v>0</v>
      </c>
      <c r="AG20" s="101">
        <v>0.0</v>
      </c>
      <c r="AH20" s="101">
        <v>0.0</v>
      </c>
      <c r="AI20" s="101">
        <v>0.0</v>
      </c>
      <c r="AJ20" s="101">
        <v>0.0</v>
      </c>
      <c r="AK20" s="101">
        <v>0.0</v>
      </c>
      <c r="AL20" s="101">
        <v>0.0</v>
      </c>
      <c r="AM20" s="101">
        <v>0.0</v>
      </c>
      <c r="AN20" s="101" t="s">
        <v>357</v>
      </c>
      <c r="AO20" s="101">
        <v>0.0</v>
      </c>
      <c r="AP20" s="101">
        <v>0.0</v>
      </c>
      <c r="AQ20" s="101">
        <v>0.0</v>
      </c>
      <c r="AR20" s="101">
        <v>0.0</v>
      </c>
      <c r="AS20" s="101">
        <v>0.0</v>
      </c>
      <c r="AT20" s="101">
        <v>0.0</v>
      </c>
      <c r="AU20" s="101">
        <v>0.0</v>
      </c>
      <c r="AV20" s="99" t="str">
        <f>IFERROR(__xludf.DUMMYFUNCTION("JOIN("", "",FILTER($P$3:$AE$3,$P20:$AE20=MAX($P20:$AE20)))"),"Queen,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0" s="99">
        <f t="shared" si="6"/>
        <v>0</v>
      </c>
      <c r="AX20" s="99">
        <f>IFERROR(__xludf.DUMMYFUNCTION("COUNTA(FILTER($P$3:$AE$3,$P20:$AE20=MAX($P20:$AE20)))"),16.0)</f>
        <v>16</v>
      </c>
      <c r="AY20" s="99" t="str">
        <f>IFERROR(__xludf.DUMMYFUNCTION("IFERROR(JOIN("", "",FILTER($AF$3:$AU$3,$AF20:$AU20=MAXIFS($AF20:$AU20,$AF$23:$AU$23,TRUE),$AF$23:$AU$23)),""N/A"")"),"Queen,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0" s="103" t="str">
        <f>IFERROR(__xludf.DUMMYFUNCTION("IFERROR(JOIN("", "",FILTER($P20:$AE20,$AF20:$AU20=MAXIFS($AF20:$AU20,$AF$23:$AU$23,TRUE),$AF$23:$AU$23)),""N/A"")"),"0, 0, 0, 0, 0, 0, 0, 0, 0, 0, 0, 0, 0, 0")</f>
        <v>0, 0, 0, 0, 0, 0, 0, 0, 0, 0, 0, 0, 0, 0</v>
      </c>
      <c r="BA20" s="103">
        <f>MAXIFS(AF20:AU20,$AF$23:$AU$23,TRUE)/'Queen MIDI'!$J$20</f>
        <v>0</v>
      </c>
      <c r="BB20" s="98">
        <f>IFERROR(__xludf.DUMMYFUNCTION("COUNTA(IFERROR(FILTER($AF$3:$AU$3,$AF20:$AU20=MAXIFS($AF20:$AU20,$AF$23:$AU$23,TRUE),$AF$23:$AU$23),))"),14.0)</f>
        <v>14</v>
      </c>
      <c r="BC20" s="105">
        <f t="shared" si="7"/>
        <v>0</v>
      </c>
      <c r="BD20" s="99">
        <f t="shared" si="8"/>
        <v>0</v>
      </c>
      <c r="BE20" s="1"/>
    </row>
    <row r="21">
      <c r="A21" s="1"/>
      <c r="C21" s="66" t="str">
        <f t="array" ref="C21">INDEX('Queen MIDI'!$C$4:$C$66,MATCH(F21,'Queen MIDI'!$D$4:$D$66,0))</f>
        <v>Spread Your Wings</v>
      </c>
      <c r="D21" s="95">
        <v>0.0</v>
      </c>
      <c r="E21" s="96" t="s">
        <v>374</v>
      </c>
      <c r="F21" s="66" t="str">
        <f t="shared" si="2"/>
        <v>Spread Your Wings.mid</v>
      </c>
      <c r="G21" s="97">
        <f>HLOOKUP(H21,'Queen Discography'!$C$2:$Q$3,2,FALSE)</f>
        <v>1977</v>
      </c>
      <c r="H21" s="66" t="str">
        <f>IF(COUNTIF('Queen Discography'!$C$4:$C$22,C21)&gt;0,"Queen",
IF(COUNTIF('Queen Discography'!$D$4:$D$22,C21)&gt;0,"Queen II",
IF(COUNTIF('Queen Discography'!$E$4:$E$22,C21)&gt;0,"Sheer Heart Attack",
IF(COUNTIF('Queen Discography'!$F$4:$F$22,C21)&gt;0,"A Night At The Opera",
IF(COUNTIF('Queen Discography'!$G$4:$G$22,C21)&gt;0,"A Day At The Races",
IF(COUNTIF('Queen Discography'!$H$4:$H$22,C21)&gt;0,"News Of The World",
IF(COUNTIF('Queen Discography'!$I$4:$I$22,C21)&gt;0,"Jazz",
IF(COUNTIF('Queen Discography'!$J$4:$J$22,C21)&gt;0,"The Game",
IF(COUNTIF('Queen Discography'!$K$4:$K$22,C21)&gt;0,"Flash Gordon",
IF(COUNTIF('Queen Discography'!$L$4:$L$22,C21)&gt;0,"Hot Space",
IF(COUNTIF('Queen Discography'!$M$4:$M$22,C21)&gt;0,"The Works",
IF(COUNTIF('Queen Discography'!$N$4:$N$22,C21)&gt;0,"A Kind Of Magic",
IF(COUNTIF('Queen Discography'!$O$4:$O$22,C21)&gt;0,"The Miracle",
IF(COUNTIF('Queen Discography'!$P$4:$P$22,C21)&gt;0,"Innuendo",
IF(COUNTIF('Queen Discography'!$Q$4:$Q$22,C21)&gt;0,"Made In Heaven","NOT FOUND")))))))))))))))</f>
        <v>News Of The World</v>
      </c>
      <c r="I21" s="1"/>
      <c r="J21" s="98">
        <v>17.0</v>
      </c>
      <c r="K21" s="99" t="str">
        <f t="shared" si="9"/>
        <v>N/A</v>
      </c>
      <c r="L21" s="99" t="str">
        <f t="shared" si="3"/>
        <v>N/A</v>
      </c>
      <c r="M21" s="99" t="str">
        <f t="shared" si="4"/>
        <v>N/A</v>
      </c>
      <c r="N21" s="100" t="str">
        <f>IFERROR(__xludf.DUMMYFUNCTION("IFERROR(MEDIAN(FILTER($G$4:$G$66,$D$4:$D$66=$J21,ISNUMBER($G$4:$G$66))),""N/A"")"),"N/A")</f>
        <v>N/A</v>
      </c>
      <c r="O21" s="99" t="str">
        <f>IFERROR(__xludf.DUMMYFUNCTION("IFERROR(MODE(FILTER($G$4:$G$66,$D$4:$D$66=$J21,ISNUMBER($G$4:$G$66))),""N/A"")"),"N/A")</f>
        <v>N/A</v>
      </c>
      <c r="P21" s="99">
        <f t="shared" ref="P21:AE21" si="25">COUNTIFS($H$4:$H$66,P$3,$D$4:$D$66,$J21)</f>
        <v>0</v>
      </c>
      <c r="Q21" s="99">
        <f t="shared" si="25"/>
        <v>0</v>
      </c>
      <c r="R21" s="99">
        <f t="shared" si="25"/>
        <v>0</v>
      </c>
      <c r="S21" s="99">
        <f t="shared" si="25"/>
        <v>0</v>
      </c>
      <c r="T21" s="99">
        <f t="shared" si="25"/>
        <v>0</v>
      </c>
      <c r="U21" s="99">
        <f t="shared" si="25"/>
        <v>0</v>
      </c>
      <c r="V21" s="99">
        <f t="shared" si="25"/>
        <v>0</v>
      </c>
      <c r="W21" s="99">
        <f t="shared" si="25"/>
        <v>0</v>
      </c>
      <c r="X21" s="99">
        <f t="shared" si="25"/>
        <v>0</v>
      </c>
      <c r="Y21" s="99">
        <f t="shared" si="25"/>
        <v>0</v>
      </c>
      <c r="Z21" s="99">
        <f t="shared" si="25"/>
        <v>0</v>
      </c>
      <c r="AA21" s="99">
        <f t="shared" si="25"/>
        <v>0</v>
      </c>
      <c r="AB21" s="99">
        <f t="shared" si="25"/>
        <v>0</v>
      </c>
      <c r="AC21" s="99">
        <f t="shared" si="25"/>
        <v>0</v>
      </c>
      <c r="AD21" s="99">
        <f t="shared" si="25"/>
        <v>0</v>
      </c>
      <c r="AE21" s="99">
        <f t="shared" si="25"/>
        <v>0</v>
      </c>
      <c r="AF21" s="101">
        <f t="array" ref="AF21:AU21">IFERROR(P21:AE21*TRANSPOSE('Queen MIDI'!$J$4:$J$19),"N/A")</f>
        <v>0</v>
      </c>
      <c r="AG21" s="101">
        <v>0.0</v>
      </c>
      <c r="AH21" s="101">
        <v>0.0</v>
      </c>
      <c r="AI21" s="101">
        <v>0.0</v>
      </c>
      <c r="AJ21" s="101">
        <v>0.0</v>
      </c>
      <c r="AK21" s="101">
        <v>0.0</v>
      </c>
      <c r="AL21" s="101">
        <v>0.0</v>
      </c>
      <c r="AM21" s="101">
        <v>0.0</v>
      </c>
      <c r="AN21" s="101" t="s">
        <v>357</v>
      </c>
      <c r="AO21" s="101">
        <v>0.0</v>
      </c>
      <c r="AP21" s="101">
        <v>0.0</v>
      </c>
      <c r="AQ21" s="101">
        <v>0.0</v>
      </c>
      <c r="AR21" s="101">
        <v>0.0</v>
      </c>
      <c r="AS21" s="101">
        <v>0.0</v>
      </c>
      <c r="AT21" s="101">
        <v>0.0</v>
      </c>
      <c r="AU21" s="101">
        <v>0.0</v>
      </c>
      <c r="AV21" s="99" t="str">
        <f>IFERROR(__xludf.DUMMYFUNCTION("JOIN("", "",FILTER($P$3:$AE$3,$P21:$AE21=MAX($P21:$AE21)))"),"Queen,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1" s="99">
        <f t="shared" si="6"/>
        <v>0</v>
      </c>
      <c r="AX21" s="99">
        <f>IFERROR(__xludf.DUMMYFUNCTION("COUNTA(FILTER($P$3:$AE$3,$P21:$AE21=MAX($P21:$AE21)))"),16.0)</f>
        <v>16</v>
      </c>
      <c r="AY21" s="99" t="str">
        <f>IFERROR(__xludf.DUMMYFUNCTION("IFERROR(JOIN("", "",FILTER($AF$3:$AU$3,$AF21:$AU21=MAXIFS($AF21:$AU21,$AF$23:$AU$23,TRUE),$AF$23:$AU$23)),""N/A"")"),"Queen,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1" s="103" t="str">
        <f>IFERROR(__xludf.DUMMYFUNCTION("IFERROR(JOIN("", "",FILTER($P21:$AE21,$AF21:$AU21=MAXIFS($AF21:$AU21,$AF$23:$AU$23,TRUE),$AF$23:$AU$23)),""N/A"")"),"0, 0, 0, 0, 0, 0, 0, 0, 0, 0, 0, 0, 0, 0")</f>
        <v>0, 0, 0, 0, 0, 0, 0, 0, 0, 0, 0, 0, 0, 0</v>
      </c>
      <c r="BA21" s="103">
        <f>MAXIFS(AF21:AU21,$AF$23:$AU$23,TRUE)/'Queen MIDI'!$J$20</f>
        <v>0</v>
      </c>
      <c r="BB21" s="98">
        <f>IFERROR(__xludf.DUMMYFUNCTION("COUNTA(IFERROR(FILTER($AF$3:$AU$3,$AF21:$AU21=MAXIFS($AF21:$AU21,$AF$23:$AU$23,TRUE),$AF$23:$AU$23),))"),14.0)</f>
        <v>14</v>
      </c>
      <c r="BC21" s="105">
        <f t="shared" si="7"/>
        <v>0</v>
      </c>
      <c r="BD21" s="99">
        <f t="shared" si="8"/>
        <v>0</v>
      </c>
      <c r="BE21" s="1"/>
    </row>
    <row r="22">
      <c r="A22" s="1"/>
      <c r="C22" s="66" t="str">
        <f t="array" ref="C22">INDEX('Queen MIDI'!$C$4:$C$66,MATCH(F22,'Queen MIDI'!$D$4:$D$66,0))</f>
        <v>We Are The Champions</v>
      </c>
      <c r="D22" s="95">
        <v>0.0</v>
      </c>
      <c r="E22" s="96" t="s">
        <v>375</v>
      </c>
      <c r="F22" s="66" t="str">
        <f t="shared" si="2"/>
        <v>We Are The Champions.1.mid</v>
      </c>
      <c r="G22" s="97">
        <f>HLOOKUP(H22,'Queen Discography'!$C$2:$Q$3,2,FALSE)</f>
        <v>1977</v>
      </c>
      <c r="H22" s="66" t="str">
        <f>IF(COUNTIF('Queen Discography'!$C$4:$C$22,C22)&gt;0,"Queen",
IF(COUNTIF('Queen Discography'!$D$4:$D$22,C22)&gt;0,"Queen II",
IF(COUNTIF('Queen Discography'!$E$4:$E$22,C22)&gt;0,"Sheer Heart Attack",
IF(COUNTIF('Queen Discography'!$F$4:$F$22,C22)&gt;0,"A Night At The Opera",
IF(COUNTIF('Queen Discography'!$G$4:$G$22,C22)&gt;0,"A Day At The Races",
IF(COUNTIF('Queen Discography'!$H$4:$H$22,C22)&gt;0,"News Of The World",
IF(COUNTIF('Queen Discography'!$I$4:$I$22,C22)&gt;0,"Jazz",
IF(COUNTIF('Queen Discography'!$J$4:$J$22,C22)&gt;0,"The Game",
IF(COUNTIF('Queen Discography'!$K$4:$K$22,C22)&gt;0,"Flash Gordon",
IF(COUNTIF('Queen Discography'!$L$4:$L$22,C22)&gt;0,"Hot Space",
IF(COUNTIF('Queen Discography'!$M$4:$M$22,C22)&gt;0,"The Works",
IF(COUNTIF('Queen Discography'!$N$4:$N$22,C22)&gt;0,"A Kind Of Magic",
IF(COUNTIF('Queen Discography'!$O$4:$O$22,C22)&gt;0,"The Miracle",
IF(COUNTIF('Queen Discography'!$P$4:$P$22,C22)&gt;0,"Innuendo",
IF(COUNTIF('Queen Discography'!$Q$4:$Q$22,C22)&gt;0,"Made In Heaven","NOT FOUND")))))))))))))))</f>
        <v>News Of The World</v>
      </c>
      <c r="I22" s="1"/>
      <c r="J22" s="107"/>
      <c r="K22" s="1"/>
      <c r="L22" s="1"/>
      <c r="M22" s="1"/>
      <c r="N22" s="87"/>
      <c r="O22" s="1"/>
      <c r="P22" s="1"/>
      <c r="Q22" s="1"/>
      <c r="R22" s="1"/>
      <c r="S22" s="1"/>
      <c r="T22" s="1"/>
      <c r="U22" s="1"/>
      <c r="V22" s="1"/>
      <c r="W22" s="1"/>
      <c r="X22" s="1"/>
      <c r="Y22" s="1"/>
      <c r="Z22" s="1"/>
      <c r="AA22" s="1"/>
      <c r="AB22" s="1"/>
      <c r="AC22" s="1"/>
      <c r="AD22" s="1"/>
      <c r="AE22" s="1"/>
      <c r="AF22" s="108">
        <f t="array" ref="AF22:AU22">TRANSPOSE('Queen MIDI'!I4:I19)</f>
        <v>4</v>
      </c>
      <c r="AG22" s="108">
        <v>3.0</v>
      </c>
      <c r="AH22" s="108">
        <v>2.0</v>
      </c>
      <c r="AI22" s="108">
        <v>5.0</v>
      </c>
      <c r="AJ22" s="108">
        <v>3.0</v>
      </c>
      <c r="AK22" s="108">
        <v>4.0</v>
      </c>
      <c r="AL22" s="108">
        <v>5.0</v>
      </c>
      <c r="AM22" s="108">
        <v>4.0</v>
      </c>
      <c r="AN22" s="108">
        <v>0.0</v>
      </c>
      <c r="AO22" s="108">
        <v>1.0</v>
      </c>
      <c r="AP22" s="108">
        <v>4.0</v>
      </c>
      <c r="AQ22" s="108">
        <v>5.0</v>
      </c>
      <c r="AR22" s="108">
        <v>5.0</v>
      </c>
      <c r="AS22" s="108">
        <v>9.0</v>
      </c>
      <c r="AT22" s="108">
        <v>7.0</v>
      </c>
      <c r="AU22" s="108">
        <v>2.0</v>
      </c>
      <c r="AV22" s="79" t="s">
        <v>235</v>
      </c>
      <c r="AW22" s="1"/>
      <c r="AX22" s="1"/>
      <c r="AY22" s="1"/>
      <c r="AZ22" s="107"/>
      <c r="BA22" s="107"/>
      <c r="BB22" s="107"/>
      <c r="BC22" s="109" t="s">
        <v>230</v>
      </c>
      <c r="BD22" s="110">
        <f>SUM(BD4:BD21)</f>
        <v>63</v>
      </c>
      <c r="BE22" s="1"/>
    </row>
    <row r="23">
      <c r="A23" s="1"/>
      <c r="C23" s="66" t="str">
        <f t="array" ref="C23">INDEX('Queen MIDI'!$C$4:$C$66,MATCH(F23,'Queen MIDI'!$D$4:$D$66,0))</f>
        <v>Bicycle Race</v>
      </c>
      <c r="D23" s="95">
        <v>0.0</v>
      </c>
      <c r="E23" s="96" t="s">
        <v>376</v>
      </c>
      <c r="F23" s="66" t="str">
        <f t="shared" si="2"/>
        <v>Bicycle Race.mid</v>
      </c>
      <c r="G23" s="97">
        <f>HLOOKUP(H23,'Queen Discography'!$C$2:$Q$3,2,FALSE)</f>
        <v>1978</v>
      </c>
      <c r="H23" s="66" t="str">
        <f>IF(COUNTIF('Queen Discography'!$C$4:$C$22,C23)&gt;0,"Queen",
IF(COUNTIF('Queen Discography'!$D$4:$D$22,C23)&gt;0,"Queen II",
IF(COUNTIF('Queen Discography'!$E$4:$E$22,C23)&gt;0,"Sheer Heart Attack",
IF(COUNTIF('Queen Discography'!$F$4:$F$22,C23)&gt;0,"A Night At The Opera",
IF(COUNTIF('Queen Discography'!$G$4:$G$22,C23)&gt;0,"A Day At The Races",
IF(COUNTIF('Queen Discography'!$H$4:$H$22,C23)&gt;0,"News Of The World",
IF(COUNTIF('Queen Discography'!$I$4:$I$22,C23)&gt;0,"Jazz",
IF(COUNTIF('Queen Discography'!$J$4:$J$22,C23)&gt;0,"The Game",
IF(COUNTIF('Queen Discography'!$K$4:$K$22,C23)&gt;0,"Flash Gordon",
IF(COUNTIF('Queen Discography'!$L$4:$L$22,C23)&gt;0,"Hot Space",
IF(COUNTIF('Queen Discography'!$M$4:$M$22,C23)&gt;0,"The Works",
IF(COUNTIF('Queen Discography'!$N$4:$N$22,C23)&gt;0,"A Kind Of Magic",
IF(COUNTIF('Queen Discography'!$O$4:$O$22,C23)&gt;0,"The Miracle",
IF(COUNTIF('Queen Discography'!$P$4:$P$22,C23)&gt;0,"Innuendo",
IF(COUNTIF('Queen Discography'!$Q$4:$Q$22,C23)&gt;0,"Made In Heaven","NOT FOUND")))))))))))))))</f>
        <v>Jazz</v>
      </c>
      <c r="I23" s="1"/>
      <c r="J23" s="1"/>
      <c r="K23" s="1"/>
      <c r="L23" s="1"/>
      <c r="M23" s="1"/>
      <c r="N23" s="87"/>
      <c r="O23" s="1"/>
      <c r="P23" s="1"/>
      <c r="Q23" s="1"/>
      <c r="R23" s="1"/>
      <c r="S23" s="1"/>
      <c r="T23" s="1"/>
      <c r="U23" s="1"/>
      <c r="V23" s="1"/>
      <c r="W23" s="1"/>
      <c r="X23" s="1"/>
      <c r="Y23" s="1"/>
      <c r="Z23" s="1"/>
      <c r="AA23" s="1"/>
      <c r="AB23" s="1"/>
      <c r="AC23" s="1"/>
      <c r="AD23" s="1"/>
      <c r="AE23" s="1"/>
      <c r="AF23" s="111" t="b">
        <f t="shared" ref="AF23:AU23" si="26">IF(AF22&gt;=$AV$23,TRUE,FALSE)</f>
        <v>1</v>
      </c>
      <c r="AG23" s="111" t="b">
        <f t="shared" si="26"/>
        <v>1</v>
      </c>
      <c r="AH23" s="111" t="b">
        <f t="shared" si="26"/>
        <v>1</v>
      </c>
      <c r="AI23" s="111" t="b">
        <f t="shared" si="26"/>
        <v>1</v>
      </c>
      <c r="AJ23" s="111" t="b">
        <f t="shared" si="26"/>
        <v>1</v>
      </c>
      <c r="AK23" s="111" t="b">
        <f t="shared" si="26"/>
        <v>1</v>
      </c>
      <c r="AL23" s="111" t="b">
        <f t="shared" si="26"/>
        <v>1</v>
      </c>
      <c r="AM23" s="111" t="b">
        <f t="shared" si="26"/>
        <v>1</v>
      </c>
      <c r="AN23" s="111" t="b">
        <f t="shared" si="26"/>
        <v>0</v>
      </c>
      <c r="AO23" s="111" t="b">
        <f t="shared" si="26"/>
        <v>0</v>
      </c>
      <c r="AP23" s="111" t="b">
        <f t="shared" si="26"/>
        <v>1</v>
      </c>
      <c r="AQ23" s="111" t="b">
        <f t="shared" si="26"/>
        <v>1</v>
      </c>
      <c r="AR23" s="111" t="b">
        <f t="shared" si="26"/>
        <v>1</v>
      </c>
      <c r="AS23" s="111" t="b">
        <f t="shared" si="26"/>
        <v>1</v>
      </c>
      <c r="AT23" s="111" t="b">
        <f t="shared" si="26"/>
        <v>1</v>
      </c>
      <c r="AU23" s="111" t="b">
        <f t="shared" si="26"/>
        <v>1</v>
      </c>
      <c r="AV23" s="79">
        <f>'Queen MIDI'!I22</f>
        <v>2</v>
      </c>
      <c r="AW23" s="1"/>
      <c r="AX23" s="1"/>
      <c r="AY23" s="1"/>
      <c r="AZ23" s="1"/>
      <c r="BA23" s="1"/>
      <c r="BB23" s="1"/>
      <c r="BC23" s="1"/>
      <c r="BD23" s="1"/>
      <c r="BE23" s="1"/>
    </row>
    <row r="24">
      <c r="A24" s="1"/>
      <c r="C24" s="66" t="str">
        <f t="array" ref="C24">INDEX('Queen MIDI'!$C$4:$C$66,MATCH(F24,'Queen MIDI'!$D$4:$D$66,0))</f>
        <v>Don't Stop Me Now</v>
      </c>
      <c r="D24" s="95">
        <v>0.0</v>
      </c>
      <c r="E24" s="96" t="s">
        <v>377</v>
      </c>
      <c r="F24" s="66" t="str">
        <f t="shared" si="2"/>
        <v>Don_t Stop Me Now.1.mid</v>
      </c>
      <c r="G24" s="97">
        <f>HLOOKUP(H24,'Queen Discography'!$C$2:$Q$3,2,FALSE)</f>
        <v>1978</v>
      </c>
      <c r="H24" s="66" t="str">
        <f>IF(COUNTIF('Queen Discography'!$C$4:$C$22,C24)&gt;0,"Queen",
IF(COUNTIF('Queen Discography'!$D$4:$D$22,C24)&gt;0,"Queen II",
IF(COUNTIF('Queen Discography'!$E$4:$E$22,C24)&gt;0,"Sheer Heart Attack",
IF(COUNTIF('Queen Discography'!$F$4:$F$22,C24)&gt;0,"A Night At The Opera",
IF(COUNTIF('Queen Discography'!$G$4:$G$22,C24)&gt;0,"A Day At The Races",
IF(COUNTIF('Queen Discography'!$H$4:$H$22,C24)&gt;0,"News Of The World",
IF(COUNTIF('Queen Discography'!$I$4:$I$22,C24)&gt;0,"Jazz",
IF(COUNTIF('Queen Discography'!$J$4:$J$22,C24)&gt;0,"The Game",
IF(COUNTIF('Queen Discography'!$K$4:$K$22,C24)&gt;0,"Flash Gordon",
IF(COUNTIF('Queen Discography'!$L$4:$L$22,C24)&gt;0,"Hot Space",
IF(COUNTIF('Queen Discography'!$M$4:$M$22,C24)&gt;0,"The Works",
IF(COUNTIF('Queen Discography'!$N$4:$N$22,C24)&gt;0,"A Kind Of Magic",
IF(COUNTIF('Queen Discography'!$O$4:$O$22,C24)&gt;0,"The Miracle",
IF(COUNTIF('Queen Discography'!$P$4:$P$22,C24)&gt;0,"Innuendo",
IF(COUNTIF('Queen Discography'!$Q$4:$Q$22,C24)&gt;0,"Made In Heaven","NOT FOUND")))))))))))))))</f>
        <v>Jazz</v>
      </c>
      <c r="I24" s="1"/>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
    </row>
    <row r="25">
      <c r="A25" s="1"/>
      <c r="C25" s="66" t="str">
        <f t="array" ref="C25">INDEX('Queen MIDI'!$C$4:$C$66,MATCH(F25,'Queen MIDI'!$D$4:$D$66,0))</f>
        <v>Fat Bottomed Girls</v>
      </c>
      <c r="D25" s="95">
        <v>0.0</v>
      </c>
      <c r="E25" s="96" t="s">
        <v>378</v>
      </c>
      <c r="F25" s="66" t="str">
        <f t="shared" si="2"/>
        <v>Fat Bottomed Girls.mid</v>
      </c>
      <c r="G25" s="97">
        <f>HLOOKUP(H25,'Queen Discography'!$C$2:$Q$3,2,FALSE)</f>
        <v>1978</v>
      </c>
      <c r="H25" s="66" t="str">
        <f>IF(COUNTIF('Queen Discography'!$C$4:$C$22,C25)&gt;0,"Queen",
IF(COUNTIF('Queen Discography'!$D$4:$D$22,C25)&gt;0,"Queen II",
IF(COUNTIF('Queen Discography'!$E$4:$E$22,C25)&gt;0,"Sheer Heart Attack",
IF(COUNTIF('Queen Discography'!$F$4:$F$22,C25)&gt;0,"A Night At The Opera",
IF(COUNTIF('Queen Discography'!$G$4:$G$22,C25)&gt;0,"A Day At The Races",
IF(COUNTIF('Queen Discography'!$H$4:$H$22,C25)&gt;0,"News Of The World",
IF(COUNTIF('Queen Discography'!$I$4:$I$22,C25)&gt;0,"Jazz",
IF(COUNTIF('Queen Discography'!$J$4:$J$22,C25)&gt;0,"The Game",
IF(COUNTIF('Queen Discography'!$K$4:$K$22,C25)&gt;0,"Flash Gordon",
IF(COUNTIF('Queen Discography'!$L$4:$L$22,C25)&gt;0,"Hot Space",
IF(COUNTIF('Queen Discography'!$M$4:$M$22,C25)&gt;0,"The Works",
IF(COUNTIF('Queen Discography'!$N$4:$N$22,C25)&gt;0,"A Kind Of Magic",
IF(COUNTIF('Queen Discography'!$O$4:$O$22,C25)&gt;0,"The Miracle",
IF(COUNTIF('Queen Discography'!$P$4:$P$22,C25)&gt;0,"Innuendo",
IF(COUNTIF('Queen Discography'!$Q$4:$Q$22,C25)&gt;0,"Made In Heaven","NOT FOUND")))))))))))))))</f>
        <v>Jazz</v>
      </c>
      <c r="I25" s="1"/>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
    </row>
    <row r="26">
      <c r="A26" s="1"/>
      <c r="C26" s="66" t="str">
        <f t="array" ref="C26">INDEX('Queen MIDI'!$C$4:$C$66,MATCH(F26,'Queen MIDI'!$D$4:$D$66,0))</f>
        <v>Fun It</v>
      </c>
      <c r="D26" s="95">
        <v>0.0</v>
      </c>
      <c r="E26" s="96" t="s">
        <v>379</v>
      </c>
      <c r="F26" s="66" t="str">
        <f t="shared" si="2"/>
        <v>Fun It.mid</v>
      </c>
      <c r="G26" s="97">
        <f>HLOOKUP(H26,'Queen Discography'!$C$2:$Q$3,2,FALSE)</f>
        <v>1978</v>
      </c>
      <c r="H26" s="66" t="str">
        <f>IF(COUNTIF('Queen Discography'!$C$4:$C$22,C26)&gt;0,"Queen",
IF(COUNTIF('Queen Discography'!$D$4:$D$22,C26)&gt;0,"Queen II",
IF(COUNTIF('Queen Discography'!$E$4:$E$22,C26)&gt;0,"Sheer Heart Attack",
IF(COUNTIF('Queen Discography'!$F$4:$F$22,C26)&gt;0,"A Night At The Opera",
IF(COUNTIF('Queen Discography'!$G$4:$G$22,C26)&gt;0,"A Day At The Races",
IF(COUNTIF('Queen Discography'!$H$4:$H$22,C26)&gt;0,"News Of The World",
IF(COUNTIF('Queen Discography'!$I$4:$I$22,C26)&gt;0,"Jazz",
IF(COUNTIF('Queen Discography'!$J$4:$J$22,C26)&gt;0,"The Game",
IF(COUNTIF('Queen Discography'!$K$4:$K$22,C26)&gt;0,"Flash Gordon",
IF(COUNTIF('Queen Discography'!$L$4:$L$22,C26)&gt;0,"Hot Space",
IF(COUNTIF('Queen Discography'!$M$4:$M$22,C26)&gt;0,"The Works",
IF(COUNTIF('Queen Discography'!$N$4:$N$22,C26)&gt;0,"A Kind Of Magic",
IF(COUNTIF('Queen Discography'!$O$4:$O$22,C26)&gt;0,"The Miracle",
IF(COUNTIF('Queen Discography'!$P$4:$P$22,C26)&gt;0,"Innuendo",
IF(COUNTIF('Queen Discography'!$Q$4:$Q$22,C26)&gt;0,"Made In Heaven","NOT FOUND")))))))))))))))</f>
        <v>Jazz</v>
      </c>
      <c r="I26" s="1"/>
      <c r="J26" s="113"/>
      <c r="K26" s="1"/>
      <c r="L26" s="1"/>
      <c r="M26" s="1"/>
      <c r="N26" s="87"/>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row>
    <row r="27">
      <c r="A27" s="1"/>
      <c r="C27" s="66" t="str">
        <f t="array" ref="C27">INDEX('Queen MIDI'!$C$4:$C$66,MATCH(F27,'Queen MIDI'!$D$4:$D$66,0))</f>
        <v>In Only Seven Days</v>
      </c>
      <c r="D27" s="95">
        <v>0.0</v>
      </c>
      <c r="E27" s="96" t="s">
        <v>380</v>
      </c>
      <c r="F27" s="66" t="str">
        <f t="shared" si="2"/>
        <v>In Only Seven Days.mid</v>
      </c>
      <c r="G27" s="97">
        <f>HLOOKUP(H27,'Queen Discography'!$C$2:$Q$3,2,FALSE)</f>
        <v>1978</v>
      </c>
      <c r="H27" s="66" t="str">
        <f>IF(COUNTIF('Queen Discography'!$C$4:$C$22,C27)&gt;0,"Queen",
IF(COUNTIF('Queen Discography'!$D$4:$D$22,C27)&gt;0,"Queen II",
IF(COUNTIF('Queen Discography'!$E$4:$E$22,C27)&gt;0,"Sheer Heart Attack",
IF(COUNTIF('Queen Discography'!$F$4:$F$22,C27)&gt;0,"A Night At The Opera",
IF(COUNTIF('Queen Discography'!$G$4:$G$22,C27)&gt;0,"A Day At The Races",
IF(COUNTIF('Queen Discography'!$H$4:$H$22,C27)&gt;0,"News Of The World",
IF(COUNTIF('Queen Discography'!$I$4:$I$22,C27)&gt;0,"Jazz",
IF(COUNTIF('Queen Discography'!$J$4:$J$22,C27)&gt;0,"The Game",
IF(COUNTIF('Queen Discography'!$K$4:$K$22,C27)&gt;0,"Flash Gordon",
IF(COUNTIF('Queen Discography'!$L$4:$L$22,C27)&gt;0,"Hot Space",
IF(COUNTIF('Queen Discography'!$M$4:$M$22,C27)&gt;0,"The Works",
IF(COUNTIF('Queen Discography'!$N$4:$N$22,C27)&gt;0,"A Kind Of Magic",
IF(COUNTIF('Queen Discography'!$O$4:$O$22,C27)&gt;0,"The Miracle",
IF(COUNTIF('Queen Discography'!$P$4:$P$22,C27)&gt;0,"Innuendo",
IF(COUNTIF('Queen Discography'!$Q$4:$Q$22,C27)&gt;0,"Made In Heaven","NOT FOUND")))))))))))))))</f>
        <v>Jazz</v>
      </c>
      <c r="I27" s="1"/>
      <c r="J27" s="1"/>
      <c r="K27" s="1"/>
      <c r="L27" s="1"/>
      <c r="M27" s="1"/>
      <c r="N27" s="87"/>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row>
    <row r="28">
      <c r="A28" s="1"/>
      <c r="C28" s="66" t="str">
        <f t="array" ref="C28">INDEX('Queen MIDI'!$C$4:$C$66,MATCH(F28,'Queen MIDI'!$D$4:$D$66,0))</f>
        <v>Another One Bites The Dust</v>
      </c>
      <c r="D28" s="95">
        <v>0.0</v>
      </c>
      <c r="E28" s="96" t="s">
        <v>381</v>
      </c>
      <c r="F28" s="66" t="str">
        <f t="shared" si="2"/>
        <v>Another One Bites The Dust.1.mid</v>
      </c>
      <c r="G28" s="97">
        <f>HLOOKUP(H28,'Queen Discography'!$C$2:$Q$3,2,FALSE)</f>
        <v>1980</v>
      </c>
      <c r="H28" s="66" t="str">
        <f>IF(COUNTIF('Queen Discography'!$C$4:$C$22,C28)&gt;0,"Queen",
IF(COUNTIF('Queen Discography'!$D$4:$D$22,C28)&gt;0,"Queen II",
IF(COUNTIF('Queen Discography'!$E$4:$E$22,C28)&gt;0,"Sheer Heart Attack",
IF(COUNTIF('Queen Discography'!$F$4:$F$22,C28)&gt;0,"A Night At The Opera",
IF(COUNTIF('Queen Discography'!$G$4:$G$22,C28)&gt;0,"A Day At The Races",
IF(COUNTIF('Queen Discography'!$H$4:$H$22,C28)&gt;0,"News Of The World",
IF(COUNTIF('Queen Discography'!$I$4:$I$22,C28)&gt;0,"Jazz",
IF(COUNTIF('Queen Discography'!$J$4:$J$22,C28)&gt;0,"The Game",
IF(COUNTIF('Queen Discography'!$K$4:$K$22,C28)&gt;0,"Flash Gordon",
IF(COUNTIF('Queen Discography'!$L$4:$L$22,C28)&gt;0,"Hot Space",
IF(COUNTIF('Queen Discography'!$M$4:$M$22,C28)&gt;0,"The Works",
IF(COUNTIF('Queen Discography'!$N$4:$N$22,C28)&gt;0,"A Kind Of Magic",
IF(COUNTIF('Queen Discography'!$O$4:$O$22,C28)&gt;0,"The Miracle",
IF(COUNTIF('Queen Discography'!$P$4:$P$22,C28)&gt;0,"Innuendo",
IF(COUNTIF('Queen Discography'!$Q$4:$Q$22,C28)&gt;0,"Made In Heaven","NOT FOUND")))))))))))))))</f>
        <v>The Game</v>
      </c>
      <c r="I28" s="1"/>
      <c r="J28" s="1"/>
      <c r="K28" s="1"/>
      <c r="L28" s="1"/>
      <c r="M28" s="1"/>
      <c r="N28" s="87"/>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c r="A29" s="1"/>
      <c r="C29" s="66" t="str">
        <f t="array" ref="C29">INDEX('Queen MIDI'!$C$4:$C$66,MATCH(F29,'Queen MIDI'!$D$4:$D$66,0))</f>
        <v>Crazy Little Thing Called Love</v>
      </c>
      <c r="D29" s="95">
        <v>0.0</v>
      </c>
      <c r="E29" s="96" t="s">
        <v>382</v>
      </c>
      <c r="F29" s="66" t="str">
        <f t="shared" si="2"/>
        <v>Crazy Little Thing Called Love.2.mid</v>
      </c>
      <c r="G29" s="97">
        <f>HLOOKUP(H29,'Queen Discography'!$C$2:$Q$3,2,FALSE)</f>
        <v>1980</v>
      </c>
      <c r="H29" s="66" t="str">
        <f>IF(COUNTIF('Queen Discography'!$C$4:$C$22,C29)&gt;0,"Queen",
IF(COUNTIF('Queen Discography'!$D$4:$D$22,C29)&gt;0,"Queen II",
IF(COUNTIF('Queen Discography'!$E$4:$E$22,C29)&gt;0,"Sheer Heart Attack",
IF(COUNTIF('Queen Discography'!$F$4:$F$22,C29)&gt;0,"A Night At The Opera",
IF(COUNTIF('Queen Discography'!$G$4:$G$22,C29)&gt;0,"A Day At The Races",
IF(COUNTIF('Queen Discography'!$H$4:$H$22,C29)&gt;0,"News Of The World",
IF(COUNTIF('Queen Discography'!$I$4:$I$22,C29)&gt;0,"Jazz",
IF(COUNTIF('Queen Discography'!$J$4:$J$22,C29)&gt;0,"The Game",
IF(COUNTIF('Queen Discography'!$K$4:$K$22,C29)&gt;0,"Flash Gordon",
IF(COUNTIF('Queen Discography'!$L$4:$L$22,C29)&gt;0,"Hot Space",
IF(COUNTIF('Queen Discography'!$M$4:$M$22,C29)&gt;0,"The Works",
IF(COUNTIF('Queen Discography'!$N$4:$N$22,C29)&gt;0,"A Kind Of Magic",
IF(COUNTIF('Queen Discography'!$O$4:$O$22,C29)&gt;0,"The Miracle",
IF(COUNTIF('Queen Discography'!$P$4:$P$22,C29)&gt;0,"Innuendo",
IF(COUNTIF('Queen Discography'!$Q$4:$Q$22,C29)&gt;0,"Made In Heaven","NOT FOUND")))))))))))))))</f>
        <v>The Game</v>
      </c>
      <c r="I29" s="1"/>
      <c r="J29" s="1"/>
      <c r="K29" s="1"/>
      <c r="L29" s="1"/>
      <c r="M29" s="1"/>
      <c r="N29" s="87"/>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row>
    <row r="30">
      <c r="A30" s="1"/>
      <c r="C30" s="66" t="str">
        <f t="array" ref="C30">INDEX('Queen MIDI'!$C$4:$C$66,MATCH(F30,'Queen MIDI'!$D$4:$D$66,0))</f>
        <v>Play the Game</v>
      </c>
      <c r="D30" s="95">
        <v>0.0</v>
      </c>
      <c r="E30" s="96" t="s">
        <v>383</v>
      </c>
      <c r="F30" s="66" t="str">
        <f t="shared" si="2"/>
        <v>Play the Game.1.mid</v>
      </c>
      <c r="G30" s="97">
        <f>HLOOKUP(H30,'Queen Discography'!$C$2:$Q$3,2,FALSE)</f>
        <v>1980</v>
      </c>
      <c r="H30" s="66" t="str">
        <f>IF(COUNTIF('Queen Discography'!$C$4:$C$22,C30)&gt;0,"Queen",
IF(COUNTIF('Queen Discography'!$D$4:$D$22,C30)&gt;0,"Queen II",
IF(COUNTIF('Queen Discography'!$E$4:$E$22,C30)&gt;0,"Sheer Heart Attack",
IF(COUNTIF('Queen Discography'!$F$4:$F$22,C30)&gt;0,"A Night At The Opera",
IF(COUNTIF('Queen Discography'!$G$4:$G$22,C30)&gt;0,"A Day At The Races",
IF(COUNTIF('Queen Discography'!$H$4:$H$22,C30)&gt;0,"News Of The World",
IF(COUNTIF('Queen Discography'!$I$4:$I$22,C30)&gt;0,"Jazz",
IF(COUNTIF('Queen Discography'!$J$4:$J$22,C30)&gt;0,"The Game",
IF(COUNTIF('Queen Discography'!$K$4:$K$22,C30)&gt;0,"Flash Gordon",
IF(COUNTIF('Queen Discography'!$L$4:$L$22,C30)&gt;0,"Hot Space",
IF(COUNTIF('Queen Discography'!$M$4:$M$22,C30)&gt;0,"The Works",
IF(COUNTIF('Queen Discography'!$N$4:$N$22,C30)&gt;0,"A Kind Of Magic",
IF(COUNTIF('Queen Discography'!$O$4:$O$22,C30)&gt;0,"The Miracle",
IF(COUNTIF('Queen Discography'!$P$4:$P$22,C30)&gt;0,"Innuendo",
IF(COUNTIF('Queen Discography'!$Q$4:$Q$22,C30)&gt;0,"Made In Heaven","NOT FOUND")))))))))))))))</f>
        <v>The Game</v>
      </c>
      <c r="I30" s="1"/>
      <c r="J30" s="1"/>
      <c r="K30" s="1"/>
      <c r="L30" s="1"/>
      <c r="M30" s="1"/>
      <c r="N30" s="87"/>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row>
    <row r="31">
      <c r="A31" s="1"/>
      <c r="C31" s="66" t="str">
        <f t="array" ref="C31">INDEX('Queen MIDI'!$C$4:$C$66,MATCH(F31,'Queen MIDI'!$D$4:$D$66,0))</f>
        <v>Save Me</v>
      </c>
      <c r="D31" s="95">
        <v>0.0</v>
      </c>
      <c r="E31" s="96" t="s">
        <v>384</v>
      </c>
      <c r="F31" s="66" t="str">
        <f t="shared" si="2"/>
        <v>Save Me.2.mid</v>
      </c>
      <c r="G31" s="97">
        <f>HLOOKUP(H31,'Queen Discography'!$C$2:$Q$3,2,FALSE)</f>
        <v>1980</v>
      </c>
      <c r="H31" s="66" t="str">
        <f>IF(COUNTIF('Queen Discography'!$C$4:$C$22,C31)&gt;0,"Queen",
IF(COUNTIF('Queen Discography'!$D$4:$D$22,C31)&gt;0,"Queen II",
IF(COUNTIF('Queen Discography'!$E$4:$E$22,C31)&gt;0,"Sheer Heart Attack",
IF(COUNTIF('Queen Discography'!$F$4:$F$22,C31)&gt;0,"A Night At The Opera",
IF(COUNTIF('Queen Discography'!$G$4:$G$22,C31)&gt;0,"A Day At The Races",
IF(COUNTIF('Queen Discography'!$H$4:$H$22,C31)&gt;0,"News Of The World",
IF(COUNTIF('Queen Discography'!$I$4:$I$22,C31)&gt;0,"Jazz",
IF(COUNTIF('Queen Discography'!$J$4:$J$22,C31)&gt;0,"The Game",
IF(COUNTIF('Queen Discography'!$K$4:$K$22,C31)&gt;0,"Flash Gordon",
IF(COUNTIF('Queen Discography'!$L$4:$L$22,C31)&gt;0,"Hot Space",
IF(COUNTIF('Queen Discography'!$M$4:$M$22,C31)&gt;0,"The Works",
IF(COUNTIF('Queen Discography'!$N$4:$N$22,C31)&gt;0,"A Kind Of Magic",
IF(COUNTIF('Queen Discography'!$O$4:$O$22,C31)&gt;0,"The Miracle",
IF(COUNTIF('Queen Discography'!$P$4:$P$22,C31)&gt;0,"Innuendo",
IF(COUNTIF('Queen Discography'!$Q$4:$Q$22,C31)&gt;0,"Made In Heaven","NOT FOUND")))))))))))))))</f>
        <v>The Game</v>
      </c>
      <c r="I31" s="1"/>
      <c r="J31" s="1"/>
      <c r="K31" s="1"/>
      <c r="L31" s="1"/>
      <c r="M31" s="1"/>
      <c r="N31" s="87"/>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c r="A32" s="1"/>
      <c r="C32" s="66" t="str">
        <f t="array" ref="C32">INDEX('Queen MIDI'!$C$4:$C$66,MATCH(F32,'Queen MIDI'!$D$4:$D$66,0))</f>
        <v>Under Pressure</v>
      </c>
      <c r="D32" s="95">
        <v>0.0</v>
      </c>
      <c r="E32" s="96" t="s">
        <v>385</v>
      </c>
      <c r="F32" s="66" t="str">
        <f t="shared" si="2"/>
        <v>Under Pressure.7.mid</v>
      </c>
      <c r="G32" s="97">
        <f>HLOOKUP(H32,'Queen Discography'!$C$2:$Q$3,2,FALSE)</f>
        <v>1982</v>
      </c>
      <c r="H32" s="66" t="str">
        <f>IF(COUNTIF('Queen Discography'!$C$4:$C$22,C32)&gt;0,"Queen",
IF(COUNTIF('Queen Discography'!$D$4:$D$22,C32)&gt;0,"Queen II",
IF(COUNTIF('Queen Discography'!$E$4:$E$22,C32)&gt;0,"Sheer Heart Attack",
IF(COUNTIF('Queen Discography'!$F$4:$F$22,C32)&gt;0,"A Night At The Opera",
IF(COUNTIF('Queen Discography'!$G$4:$G$22,C32)&gt;0,"A Day At The Races",
IF(COUNTIF('Queen Discography'!$H$4:$H$22,C32)&gt;0,"News Of The World",
IF(COUNTIF('Queen Discography'!$I$4:$I$22,C32)&gt;0,"Jazz",
IF(COUNTIF('Queen Discography'!$J$4:$J$22,C32)&gt;0,"The Game",
IF(COUNTIF('Queen Discography'!$K$4:$K$22,C32)&gt;0,"Flash Gordon",
IF(COUNTIF('Queen Discography'!$L$4:$L$22,C32)&gt;0,"Hot Space",
IF(COUNTIF('Queen Discography'!$M$4:$M$22,C32)&gt;0,"The Works",
IF(COUNTIF('Queen Discography'!$N$4:$N$22,C32)&gt;0,"A Kind Of Magic",
IF(COUNTIF('Queen Discography'!$O$4:$O$22,C32)&gt;0,"The Miracle",
IF(COUNTIF('Queen Discography'!$P$4:$P$22,C32)&gt;0,"Innuendo",
IF(COUNTIF('Queen Discography'!$Q$4:$Q$22,C32)&gt;0,"Made In Heaven","NOT FOUND")))))))))))))))</f>
        <v>Hot Space</v>
      </c>
      <c r="I32" s="1"/>
      <c r="J32" s="1"/>
      <c r="K32" s="1"/>
      <c r="L32" s="1"/>
      <c r="M32" s="1"/>
      <c r="N32" s="87"/>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row>
    <row r="33">
      <c r="A33" s="1"/>
      <c r="C33" s="66" t="str">
        <f t="array" ref="C33">INDEX('Queen MIDI'!$C$4:$C$66,MATCH(F33,'Queen MIDI'!$D$4:$D$66,0))</f>
        <v>Hammer to Fall</v>
      </c>
      <c r="D33" s="95">
        <v>0.0</v>
      </c>
      <c r="E33" s="96" t="s">
        <v>386</v>
      </c>
      <c r="F33" s="66" t="str">
        <f t="shared" si="2"/>
        <v>Hammer to Fall.mid</v>
      </c>
      <c r="G33" s="97">
        <f>HLOOKUP(H33,'Queen Discography'!$C$2:$Q$3,2,FALSE)</f>
        <v>1984</v>
      </c>
      <c r="H33" s="66" t="str">
        <f>IF(COUNTIF('Queen Discography'!$C$4:$C$22,C33)&gt;0,"Queen",
IF(COUNTIF('Queen Discography'!$D$4:$D$22,C33)&gt;0,"Queen II",
IF(COUNTIF('Queen Discography'!$E$4:$E$22,C33)&gt;0,"Sheer Heart Attack",
IF(COUNTIF('Queen Discography'!$F$4:$F$22,C33)&gt;0,"A Night At The Opera",
IF(COUNTIF('Queen Discography'!$G$4:$G$22,C33)&gt;0,"A Day At The Races",
IF(COUNTIF('Queen Discography'!$H$4:$H$22,C33)&gt;0,"News Of The World",
IF(COUNTIF('Queen Discography'!$I$4:$I$22,C33)&gt;0,"Jazz",
IF(COUNTIF('Queen Discography'!$J$4:$J$22,C33)&gt;0,"The Game",
IF(COUNTIF('Queen Discography'!$K$4:$K$22,C33)&gt;0,"Flash Gordon",
IF(COUNTIF('Queen Discography'!$L$4:$L$22,C33)&gt;0,"Hot Space",
IF(COUNTIF('Queen Discography'!$M$4:$M$22,C33)&gt;0,"The Works",
IF(COUNTIF('Queen Discography'!$N$4:$N$22,C33)&gt;0,"A Kind Of Magic",
IF(COUNTIF('Queen Discography'!$O$4:$O$22,C33)&gt;0,"The Miracle",
IF(COUNTIF('Queen Discography'!$P$4:$P$22,C33)&gt;0,"Innuendo",
IF(COUNTIF('Queen Discography'!$Q$4:$Q$22,C33)&gt;0,"Made In Heaven","NOT FOUND")))))))))))))))</f>
        <v>The Works</v>
      </c>
      <c r="I33" s="1"/>
      <c r="J33" s="1"/>
      <c r="K33" s="1"/>
      <c r="L33" s="1"/>
      <c r="M33" s="1"/>
      <c r="N33" s="87"/>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row>
    <row r="34">
      <c r="A34" s="1"/>
      <c r="C34" s="66" t="str">
        <f t="array" ref="C34">INDEX('Queen MIDI'!$C$4:$C$66,MATCH(F34,'Queen MIDI'!$D$4:$D$66,0))</f>
        <v>I Want to Break Free</v>
      </c>
      <c r="D34" s="95">
        <v>0.0</v>
      </c>
      <c r="E34" s="96" t="s">
        <v>387</v>
      </c>
      <c r="F34" s="66" t="str">
        <f t="shared" si="2"/>
        <v>I Want to Break Free.3.mid</v>
      </c>
      <c r="G34" s="97">
        <f>HLOOKUP(H34,'Queen Discography'!$C$2:$Q$3,2,FALSE)</f>
        <v>1984</v>
      </c>
      <c r="H34" s="66" t="str">
        <f>IF(COUNTIF('Queen Discography'!$C$4:$C$22,C34)&gt;0,"Queen",
IF(COUNTIF('Queen Discography'!$D$4:$D$22,C34)&gt;0,"Queen II",
IF(COUNTIF('Queen Discography'!$E$4:$E$22,C34)&gt;0,"Sheer Heart Attack",
IF(COUNTIF('Queen Discography'!$F$4:$F$22,C34)&gt;0,"A Night At The Opera",
IF(COUNTIF('Queen Discography'!$G$4:$G$22,C34)&gt;0,"A Day At The Races",
IF(COUNTIF('Queen Discography'!$H$4:$H$22,C34)&gt;0,"News Of The World",
IF(COUNTIF('Queen Discography'!$I$4:$I$22,C34)&gt;0,"Jazz",
IF(COUNTIF('Queen Discography'!$J$4:$J$22,C34)&gt;0,"The Game",
IF(COUNTIF('Queen Discography'!$K$4:$K$22,C34)&gt;0,"Flash Gordon",
IF(COUNTIF('Queen Discography'!$L$4:$L$22,C34)&gt;0,"Hot Space",
IF(COUNTIF('Queen Discography'!$M$4:$M$22,C34)&gt;0,"The Works",
IF(COUNTIF('Queen Discography'!$N$4:$N$22,C34)&gt;0,"A Kind Of Magic",
IF(COUNTIF('Queen Discography'!$O$4:$O$22,C34)&gt;0,"The Miracle",
IF(COUNTIF('Queen Discography'!$P$4:$P$22,C34)&gt;0,"Innuendo",
IF(COUNTIF('Queen Discography'!$Q$4:$Q$22,C34)&gt;0,"Made In Heaven","NOT FOUND")))))))))))))))</f>
        <v>The Works</v>
      </c>
      <c r="I34" s="1"/>
      <c r="J34" s="1"/>
      <c r="K34" s="1"/>
      <c r="L34" s="1"/>
      <c r="M34" s="1"/>
      <c r="N34" s="87"/>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row>
    <row r="35">
      <c r="A35" s="1"/>
      <c r="C35" s="66" t="str">
        <f t="array" ref="C35">INDEX('Queen MIDI'!$C$4:$C$66,MATCH(F35,'Queen MIDI'!$D$4:$D$66,0))</f>
        <v>It's a Hard Life</v>
      </c>
      <c r="D35" s="95">
        <v>0.0</v>
      </c>
      <c r="E35" s="96" t="s">
        <v>388</v>
      </c>
      <c r="F35" s="66" t="str">
        <f t="shared" si="2"/>
        <v>It_s a Hard Life.mid</v>
      </c>
      <c r="G35" s="97">
        <f>HLOOKUP(H35,'Queen Discography'!$C$2:$Q$3,2,FALSE)</f>
        <v>1984</v>
      </c>
      <c r="H35" s="66" t="str">
        <f>IF(COUNTIF('Queen Discography'!$C$4:$C$22,C35)&gt;0,"Queen",
IF(COUNTIF('Queen Discography'!$D$4:$D$22,C35)&gt;0,"Queen II",
IF(COUNTIF('Queen Discography'!$E$4:$E$22,C35)&gt;0,"Sheer Heart Attack",
IF(COUNTIF('Queen Discography'!$F$4:$F$22,C35)&gt;0,"A Night At The Opera",
IF(COUNTIF('Queen Discography'!$G$4:$G$22,C35)&gt;0,"A Day At The Races",
IF(COUNTIF('Queen Discography'!$H$4:$H$22,C35)&gt;0,"News Of The World",
IF(COUNTIF('Queen Discography'!$I$4:$I$22,C35)&gt;0,"Jazz",
IF(COUNTIF('Queen Discography'!$J$4:$J$22,C35)&gt;0,"The Game",
IF(COUNTIF('Queen Discography'!$K$4:$K$22,C35)&gt;0,"Flash Gordon",
IF(COUNTIF('Queen Discography'!$L$4:$L$22,C35)&gt;0,"Hot Space",
IF(COUNTIF('Queen Discography'!$M$4:$M$22,C35)&gt;0,"The Works",
IF(COUNTIF('Queen Discography'!$N$4:$N$22,C35)&gt;0,"A Kind Of Magic",
IF(COUNTIF('Queen Discography'!$O$4:$O$22,C35)&gt;0,"The Miracle",
IF(COUNTIF('Queen Discography'!$P$4:$P$22,C35)&gt;0,"Innuendo",
IF(COUNTIF('Queen Discography'!$Q$4:$Q$22,C35)&gt;0,"Made In Heaven","NOT FOUND")))))))))))))))</f>
        <v>The Works</v>
      </c>
      <c r="I35" s="1"/>
      <c r="J35" s="1"/>
      <c r="K35" s="1"/>
      <c r="L35" s="1"/>
      <c r="M35" s="1"/>
      <c r="N35" s="87"/>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row>
    <row r="36">
      <c r="A36" s="1"/>
      <c r="C36" s="66" t="str">
        <f t="array" ref="C36">INDEX('Queen MIDI'!$C$4:$C$66,MATCH(F36,'Queen MIDI'!$D$4:$D$66,0))</f>
        <v>Radio Ga Ga</v>
      </c>
      <c r="D36" s="95">
        <v>0.0</v>
      </c>
      <c r="E36" s="96" t="s">
        <v>389</v>
      </c>
      <c r="F36" s="66" t="str">
        <f t="shared" si="2"/>
        <v>Radio Ga Ga.5.mid</v>
      </c>
      <c r="G36" s="97">
        <f>HLOOKUP(H36,'Queen Discography'!$C$2:$Q$3,2,FALSE)</f>
        <v>1984</v>
      </c>
      <c r="H36" s="66" t="str">
        <f>IF(COUNTIF('Queen Discography'!$C$4:$C$22,C36)&gt;0,"Queen",
IF(COUNTIF('Queen Discography'!$D$4:$D$22,C36)&gt;0,"Queen II",
IF(COUNTIF('Queen Discography'!$E$4:$E$22,C36)&gt;0,"Sheer Heart Attack",
IF(COUNTIF('Queen Discography'!$F$4:$F$22,C36)&gt;0,"A Night At The Opera",
IF(COUNTIF('Queen Discography'!$G$4:$G$22,C36)&gt;0,"A Day At The Races",
IF(COUNTIF('Queen Discography'!$H$4:$H$22,C36)&gt;0,"News Of The World",
IF(COUNTIF('Queen Discography'!$I$4:$I$22,C36)&gt;0,"Jazz",
IF(COUNTIF('Queen Discography'!$J$4:$J$22,C36)&gt;0,"The Game",
IF(COUNTIF('Queen Discography'!$K$4:$K$22,C36)&gt;0,"Flash Gordon",
IF(COUNTIF('Queen Discography'!$L$4:$L$22,C36)&gt;0,"Hot Space",
IF(COUNTIF('Queen Discography'!$M$4:$M$22,C36)&gt;0,"The Works",
IF(COUNTIF('Queen Discography'!$N$4:$N$22,C36)&gt;0,"A Kind Of Magic",
IF(COUNTIF('Queen Discography'!$O$4:$O$22,C36)&gt;0,"The Miracle",
IF(COUNTIF('Queen Discography'!$P$4:$P$22,C36)&gt;0,"Innuendo",
IF(COUNTIF('Queen Discography'!$Q$4:$Q$22,C36)&gt;0,"Made In Heaven","NOT FOUND")))))))))))))))</f>
        <v>The Works</v>
      </c>
      <c r="I36" s="1"/>
      <c r="J36" s="1"/>
      <c r="K36" s="1"/>
      <c r="L36" s="1"/>
      <c r="M36" s="87"/>
      <c r="N36" s="87"/>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row>
    <row r="37">
      <c r="A37" s="1"/>
      <c r="C37" s="66" t="str">
        <f t="array" ref="C37">INDEX('Queen MIDI'!$C$4:$C$66,MATCH(F37,'Queen MIDI'!$D$4:$D$66,0))</f>
        <v>A Kind of Magic</v>
      </c>
      <c r="D37" s="95">
        <v>0.0</v>
      </c>
      <c r="E37" s="96" t="s">
        <v>390</v>
      </c>
      <c r="F37" s="66" t="str">
        <f t="shared" si="2"/>
        <v>A Kind of Magic.1.mid</v>
      </c>
      <c r="G37" s="97">
        <f>HLOOKUP(H37,'Queen Discography'!$C$2:$Q$3,2,FALSE)</f>
        <v>1986</v>
      </c>
      <c r="H37" s="66" t="str">
        <f>IF(COUNTIF('Queen Discography'!$C$4:$C$22,C37)&gt;0,"Queen",
IF(COUNTIF('Queen Discography'!$D$4:$D$22,C37)&gt;0,"Queen II",
IF(COUNTIF('Queen Discography'!$E$4:$E$22,C37)&gt;0,"Sheer Heart Attack",
IF(COUNTIF('Queen Discography'!$F$4:$F$22,C37)&gt;0,"A Night At The Opera",
IF(COUNTIF('Queen Discography'!$G$4:$G$22,C37)&gt;0,"A Day At The Races",
IF(COUNTIF('Queen Discography'!$H$4:$H$22,C37)&gt;0,"News Of The World",
IF(COUNTIF('Queen Discography'!$I$4:$I$22,C37)&gt;0,"Jazz",
IF(COUNTIF('Queen Discography'!$J$4:$J$22,C37)&gt;0,"The Game",
IF(COUNTIF('Queen Discography'!$K$4:$K$22,C37)&gt;0,"Flash Gordon",
IF(COUNTIF('Queen Discography'!$L$4:$L$22,C37)&gt;0,"Hot Space",
IF(COUNTIF('Queen Discography'!$M$4:$M$22,C37)&gt;0,"The Works",
IF(COUNTIF('Queen Discography'!$N$4:$N$22,C37)&gt;0,"A Kind Of Magic",
IF(COUNTIF('Queen Discography'!$O$4:$O$22,C37)&gt;0,"The Miracle",
IF(COUNTIF('Queen Discography'!$P$4:$P$22,C37)&gt;0,"Innuendo",
IF(COUNTIF('Queen Discography'!$Q$4:$Q$22,C37)&gt;0,"Made In Heaven","NOT FOUND")))))))))))))))</f>
        <v>A Kind Of Magic</v>
      </c>
      <c r="I37" s="1"/>
      <c r="J37" s="1"/>
      <c r="K37" s="1"/>
      <c r="L37" s="1"/>
      <c r="M37" s="87"/>
      <c r="N37" s="87"/>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row>
    <row r="38">
      <c r="A38" s="1"/>
      <c r="C38" s="66" t="str">
        <f t="array" ref="C38">INDEX('Queen MIDI'!$C$4:$C$66,MATCH(F38,'Queen MIDI'!$D$4:$D$66,0))</f>
        <v>Friends Will Be Friends</v>
      </c>
      <c r="D38" s="95">
        <v>0.0</v>
      </c>
      <c r="E38" s="96" t="s">
        <v>391</v>
      </c>
      <c r="F38" s="66" t="str">
        <f t="shared" si="2"/>
        <v>Friends Will Be Friends.2.mid</v>
      </c>
      <c r="G38" s="97">
        <f>HLOOKUP(H38,'Queen Discography'!$C$2:$Q$3,2,FALSE)</f>
        <v>1986</v>
      </c>
      <c r="H38" s="66" t="str">
        <f>IF(COUNTIF('Queen Discography'!$C$4:$C$22,C38)&gt;0,"Queen",
IF(COUNTIF('Queen Discography'!$D$4:$D$22,C38)&gt;0,"Queen II",
IF(COUNTIF('Queen Discography'!$E$4:$E$22,C38)&gt;0,"Sheer Heart Attack",
IF(COUNTIF('Queen Discography'!$F$4:$F$22,C38)&gt;0,"A Night At The Opera",
IF(COUNTIF('Queen Discography'!$G$4:$G$22,C38)&gt;0,"A Day At The Races",
IF(COUNTIF('Queen Discography'!$H$4:$H$22,C38)&gt;0,"News Of The World",
IF(COUNTIF('Queen Discography'!$I$4:$I$22,C38)&gt;0,"Jazz",
IF(COUNTIF('Queen Discography'!$J$4:$J$22,C38)&gt;0,"The Game",
IF(COUNTIF('Queen Discography'!$K$4:$K$22,C38)&gt;0,"Flash Gordon",
IF(COUNTIF('Queen Discography'!$L$4:$L$22,C38)&gt;0,"Hot Space",
IF(COUNTIF('Queen Discography'!$M$4:$M$22,C38)&gt;0,"The Works",
IF(COUNTIF('Queen Discography'!$N$4:$N$22,C38)&gt;0,"A Kind Of Magic",
IF(COUNTIF('Queen Discography'!$O$4:$O$22,C38)&gt;0,"The Miracle",
IF(COUNTIF('Queen Discography'!$P$4:$P$22,C38)&gt;0,"Innuendo",
IF(COUNTIF('Queen Discography'!$Q$4:$Q$22,C38)&gt;0,"Made In Heaven","NOT FOUND")))))))))))))))</f>
        <v>A Kind Of Magic</v>
      </c>
      <c r="I38" s="1"/>
      <c r="J38" s="1"/>
      <c r="K38" s="1"/>
      <c r="L38" s="1"/>
      <c r="M38" s="87"/>
      <c r="N38" s="87"/>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c r="A39" s="1"/>
      <c r="C39" s="66" t="str">
        <f t="array" ref="C39">INDEX('Queen MIDI'!$C$4:$C$66,MATCH(F39,'Queen MIDI'!$D$4:$D$66,0))</f>
        <v>One Year of Love</v>
      </c>
      <c r="D39" s="95">
        <v>0.0</v>
      </c>
      <c r="E39" s="96" t="s">
        <v>392</v>
      </c>
      <c r="F39" s="66" t="str">
        <f t="shared" si="2"/>
        <v>One Year of Love.mid</v>
      </c>
      <c r="G39" s="97">
        <f>HLOOKUP(H39,'Queen Discography'!$C$2:$Q$3,2,FALSE)</f>
        <v>1986</v>
      </c>
      <c r="H39" s="66" t="str">
        <f>IF(COUNTIF('Queen Discography'!$C$4:$C$22,C39)&gt;0,"Queen",
IF(COUNTIF('Queen Discography'!$D$4:$D$22,C39)&gt;0,"Queen II",
IF(COUNTIF('Queen Discography'!$E$4:$E$22,C39)&gt;0,"Sheer Heart Attack",
IF(COUNTIF('Queen Discography'!$F$4:$F$22,C39)&gt;0,"A Night At The Opera",
IF(COUNTIF('Queen Discography'!$G$4:$G$22,C39)&gt;0,"A Day At The Races",
IF(COUNTIF('Queen Discography'!$H$4:$H$22,C39)&gt;0,"News Of The World",
IF(COUNTIF('Queen Discography'!$I$4:$I$22,C39)&gt;0,"Jazz",
IF(COUNTIF('Queen Discography'!$J$4:$J$22,C39)&gt;0,"The Game",
IF(COUNTIF('Queen Discography'!$K$4:$K$22,C39)&gt;0,"Flash Gordon",
IF(COUNTIF('Queen Discography'!$L$4:$L$22,C39)&gt;0,"Hot Space",
IF(COUNTIF('Queen Discography'!$M$4:$M$22,C39)&gt;0,"The Works",
IF(COUNTIF('Queen Discography'!$N$4:$N$22,C39)&gt;0,"A Kind Of Magic",
IF(COUNTIF('Queen Discography'!$O$4:$O$22,C39)&gt;0,"The Miracle",
IF(COUNTIF('Queen Discography'!$P$4:$P$22,C39)&gt;0,"Innuendo",
IF(COUNTIF('Queen Discography'!$Q$4:$Q$22,C39)&gt;0,"Made In Heaven","NOT FOUND")))))))))))))))</f>
        <v>A Kind Of Magic</v>
      </c>
      <c r="I39" s="1"/>
      <c r="J39" s="1"/>
      <c r="K39" s="1"/>
      <c r="L39" s="1"/>
      <c r="M39" s="87"/>
      <c r="N39" s="87"/>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row>
    <row r="40">
      <c r="A40" s="1"/>
      <c r="C40" s="66" t="str">
        <f t="array" ref="C40">INDEX('Queen MIDI'!$C$4:$C$66,MATCH(F40,'Queen MIDI'!$D$4:$D$66,0))</f>
        <v>Princes of the Universe</v>
      </c>
      <c r="D40" s="95">
        <v>0.0</v>
      </c>
      <c r="E40" s="96" t="s">
        <v>393</v>
      </c>
      <c r="F40" s="66" t="str">
        <f t="shared" si="2"/>
        <v>Princes of the Universe.1.mid</v>
      </c>
      <c r="G40" s="97">
        <f>HLOOKUP(H40,'Queen Discography'!$C$2:$Q$3,2,FALSE)</f>
        <v>1986</v>
      </c>
      <c r="H40" s="66" t="str">
        <f>IF(COUNTIF('Queen Discography'!$C$4:$C$22,C40)&gt;0,"Queen",
IF(COUNTIF('Queen Discography'!$D$4:$D$22,C40)&gt;0,"Queen II",
IF(COUNTIF('Queen Discography'!$E$4:$E$22,C40)&gt;0,"Sheer Heart Attack",
IF(COUNTIF('Queen Discography'!$F$4:$F$22,C40)&gt;0,"A Night At The Opera",
IF(COUNTIF('Queen Discography'!$G$4:$G$22,C40)&gt;0,"A Day At The Races",
IF(COUNTIF('Queen Discography'!$H$4:$H$22,C40)&gt;0,"News Of The World",
IF(COUNTIF('Queen Discography'!$I$4:$I$22,C40)&gt;0,"Jazz",
IF(COUNTIF('Queen Discography'!$J$4:$J$22,C40)&gt;0,"The Game",
IF(COUNTIF('Queen Discography'!$K$4:$K$22,C40)&gt;0,"Flash Gordon",
IF(COUNTIF('Queen Discography'!$L$4:$L$22,C40)&gt;0,"Hot Space",
IF(COUNTIF('Queen Discography'!$M$4:$M$22,C40)&gt;0,"The Works",
IF(COUNTIF('Queen Discography'!$N$4:$N$22,C40)&gt;0,"A Kind Of Magic",
IF(COUNTIF('Queen Discography'!$O$4:$O$22,C40)&gt;0,"The Miracle",
IF(COUNTIF('Queen Discography'!$P$4:$P$22,C40)&gt;0,"Innuendo",
IF(COUNTIF('Queen Discography'!$Q$4:$Q$22,C40)&gt;0,"Made In Heaven","NOT FOUND")))))))))))))))</f>
        <v>A Kind Of Magic</v>
      </c>
      <c r="I40" s="1"/>
      <c r="J40" s="1"/>
      <c r="K40" s="1"/>
      <c r="L40" s="1"/>
      <c r="M40" s="87"/>
      <c r="N40" s="87"/>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row>
    <row r="41">
      <c r="A41" s="1"/>
      <c r="C41" s="66" t="str">
        <f t="array" ref="C41">INDEX('Queen MIDI'!$C$4:$C$66,MATCH(F41,'Queen MIDI'!$D$4:$D$66,0))</f>
        <v>Who Wants to Live Forever</v>
      </c>
      <c r="D41" s="95">
        <v>0.0</v>
      </c>
      <c r="E41" s="96" t="s">
        <v>394</v>
      </c>
      <c r="F41" s="66" t="str">
        <f t="shared" si="2"/>
        <v>Who Wants to Live Forever.4.mid</v>
      </c>
      <c r="G41" s="97">
        <f>HLOOKUP(H41,'Queen Discography'!$C$2:$Q$3,2,FALSE)</f>
        <v>1986</v>
      </c>
      <c r="H41" s="66" t="str">
        <f>IF(COUNTIF('Queen Discography'!$C$4:$C$22,C41)&gt;0,"Queen",
IF(COUNTIF('Queen Discography'!$D$4:$D$22,C41)&gt;0,"Queen II",
IF(COUNTIF('Queen Discography'!$E$4:$E$22,C41)&gt;0,"Sheer Heart Attack",
IF(COUNTIF('Queen Discography'!$F$4:$F$22,C41)&gt;0,"A Night At The Opera",
IF(COUNTIF('Queen Discography'!$G$4:$G$22,C41)&gt;0,"A Day At The Races",
IF(COUNTIF('Queen Discography'!$H$4:$H$22,C41)&gt;0,"News Of The World",
IF(COUNTIF('Queen Discography'!$I$4:$I$22,C41)&gt;0,"Jazz",
IF(COUNTIF('Queen Discography'!$J$4:$J$22,C41)&gt;0,"The Game",
IF(COUNTIF('Queen Discography'!$K$4:$K$22,C41)&gt;0,"Flash Gordon",
IF(COUNTIF('Queen Discography'!$L$4:$L$22,C41)&gt;0,"Hot Space",
IF(COUNTIF('Queen Discography'!$M$4:$M$22,C41)&gt;0,"The Works",
IF(COUNTIF('Queen Discography'!$N$4:$N$22,C41)&gt;0,"A Kind Of Magic",
IF(COUNTIF('Queen Discography'!$O$4:$O$22,C41)&gt;0,"The Miracle",
IF(COUNTIF('Queen Discography'!$P$4:$P$22,C41)&gt;0,"Innuendo",
IF(COUNTIF('Queen Discography'!$Q$4:$Q$22,C41)&gt;0,"Made In Heaven","NOT FOUND")))))))))))))))</f>
        <v>A Kind Of Magic</v>
      </c>
      <c r="I41" s="1"/>
      <c r="J41" s="1"/>
      <c r="K41" s="1"/>
      <c r="L41" s="1"/>
      <c r="M41" s="87"/>
      <c r="N41" s="87"/>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row>
    <row r="42">
      <c r="A42" s="1"/>
      <c r="C42" s="66" t="str">
        <f t="array" ref="C42">INDEX('Queen MIDI'!$C$4:$C$66,MATCH(F42,'Queen MIDI'!$D$4:$D$66,0))</f>
        <v>I Want It All</v>
      </c>
      <c r="D42" s="95">
        <v>0.0</v>
      </c>
      <c r="E42" s="96" t="s">
        <v>395</v>
      </c>
      <c r="F42" s="66" t="str">
        <f t="shared" si="2"/>
        <v>I Want It All.mid</v>
      </c>
      <c r="G42" s="97">
        <f>HLOOKUP(H42,'Queen Discography'!$C$2:$Q$3,2,FALSE)</f>
        <v>1989</v>
      </c>
      <c r="H42" s="66" t="str">
        <f>IF(COUNTIF('Queen Discography'!$C$4:$C$22,C42)&gt;0,"Queen",
IF(COUNTIF('Queen Discography'!$D$4:$D$22,C42)&gt;0,"Queen II",
IF(COUNTIF('Queen Discography'!$E$4:$E$22,C42)&gt;0,"Sheer Heart Attack",
IF(COUNTIF('Queen Discography'!$F$4:$F$22,C42)&gt;0,"A Night At The Opera",
IF(COUNTIF('Queen Discography'!$G$4:$G$22,C42)&gt;0,"A Day At The Races",
IF(COUNTIF('Queen Discography'!$H$4:$H$22,C42)&gt;0,"News Of The World",
IF(COUNTIF('Queen Discography'!$I$4:$I$22,C42)&gt;0,"Jazz",
IF(COUNTIF('Queen Discography'!$J$4:$J$22,C42)&gt;0,"The Game",
IF(COUNTIF('Queen Discography'!$K$4:$K$22,C42)&gt;0,"Flash Gordon",
IF(COUNTIF('Queen Discography'!$L$4:$L$22,C42)&gt;0,"Hot Space",
IF(COUNTIF('Queen Discography'!$M$4:$M$22,C42)&gt;0,"The Works",
IF(COUNTIF('Queen Discography'!$N$4:$N$22,C42)&gt;0,"A Kind Of Magic",
IF(COUNTIF('Queen Discography'!$O$4:$O$22,C42)&gt;0,"The Miracle",
IF(COUNTIF('Queen Discography'!$P$4:$P$22,C42)&gt;0,"Innuendo",
IF(COUNTIF('Queen Discography'!$Q$4:$Q$22,C42)&gt;0,"Made In Heaven","NOT FOUND")))))))))))))))</f>
        <v>The Miracle</v>
      </c>
      <c r="I42" s="1"/>
      <c r="J42" s="1"/>
      <c r="K42" s="1"/>
      <c r="L42" s="1"/>
      <c r="M42" s="87"/>
      <c r="N42" s="87"/>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row>
    <row r="43">
      <c r="A43" s="1"/>
      <c r="C43" s="66" t="str">
        <f t="array" ref="C43">INDEX('Queen MIDI'!$C$4:$C$66,MATCH(F43,'Queen MIDI'!$D$4:$D$66,0))</f>
        <v>Rain Must Fall</v>
      </c>
      <c r="D43" s="95">
        <v>0.0</v>
      </c>
      <c r="E43" s="96" t="s">
        <v>396</v>
      </c>
      <c r="F43" s="66" t="str">
        <f t="shared" si="2"/>
        <v>Rain Must Fall.mid</v>
      </c>
      <c r="G43" s="97">
        <f>HLOOKUP(H43,'Queen Discography'!$C$2:$Q$3,2,FALSE)</f>
        <v>1989</v>
      </c>
      <c r="H43" s="66" t="str">
        <f>IF(COUNTIF('Queen Discography'!$C$4:$C$22,C43)&gt;0,"Queen",
IF(COUNTIF('Queen Discography'!$D$4:$D$22,C43)&gt;0,"Queen II",
IF(COUNTIF('Queen Discography'!$E$4:$E$22,C43)&gt;0,"Sheer Heart Attack",
IF(COUNTIF('Queen Discography'!$F$4:$F$22,C43)&gt;0,"A Night At The Opera",
IF(COUNTIF('Queen Discography'!$G$4:$G$22,C43)&gt;0,"A Day At The Races",
IF(COUNTIF('Queen Discography'!$H$4:$H$22,C43)&gt;0,"News Of The World",
IF(COUNTIF('Queen Discography'!$I$4:$I$22,C43)&gt;0,"Jazz",
IF(COUNTIF('Queen Discography'!$J$4:$J$22,C43)&gt;0,"The Game",
IF(COUNTIF('Queen Discography'!$K$4:$K$22,C43)&gt;0,"Flash Gordon",
IF(COUNTIF('Queen Discography'!$L$4:$L$22,C43)&gt;0,"Hot Space",
IF(COUNTIF('Queen Discography'!$M$4:$M$22,C43)&gt;0,"The Works",
IF(COUNTIF('Queen Discography'!$N$4:$N$22,C43)&gt;0,"A Kind Of Magic",
IF(COUNTIF('Queen Discography'!$O$4:$O$22,C43)&gt;0,"The Miracle",
IF(COUNTIF('Queen Discography'!$P$4:$P$22,C43)&gt;0,"Innuendo",
IF(COUNTIF('Queen Discography'!$Q$4:$Q$22,C43)&gt;0,"Made In Heaven","NOT FOUND")))))))))))))))</f>
        <v>The Miracle</v>
      </c>
      <c r="I43" s="1"/>
      <c r="J43" s="1"/>
      <c r="K43" s="1"/>
      <c r="L43" s="1"/>
      <c r="M43" s="87"/>
      <c r="N43" s="87"/>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row>
    <row r="44">
      <c r="A44" s="1"/>
      <c r="C44" s="66" t="str">
        <f t="array" ref="C44">INDEX('Queen MIDI'!$C$4:$C$66,MATCH(F44,'Queen MIDI'!$D$4:$D$66,0))</f>
        <v>Scandal</v>
      </c>
      <c r="D44" s="95">
        <v>0.0</v>
      </c>
      <c r="E44" s="96" t="s">
        <v>397</v>
      </c>
      <c r="F44" s="66" t="str">
        <f t="shared" si="2"/>
        <v>Scandal.mid</v>
      </c>
      <c r="G44" s="97">
        <f>HLOOKUP(H44,'Queen Discography'!$C$2:$Q$3,2,FALSE)</f>
        <v>1989</v>
      </c>
      <c r="H44" s="66" t="str">
        <f>IF(COUNTIF('Queen Discography'!$C$4:$C$22,C44)&gt;0,"Queen",
IF(COUNTIF('Queen Discography'!$D$4:$D$22,C44)&gt;0,"Queen II",
IF(COUNTIF('Queen Discography'!$E$4:$E$22,C44)&gt;0,"Sheer Heart Attack",
IF(COUNTIF('Queen Discography'!$F$4:$F$22,C44)&gt;0,"A Night At The Opera",
IF(COUNTIF('Queen Discography'!$G$4:$G$22,C44)&gt;0,"A Day At The Races",
IF(COUNTIF('Queen Discography'!$H$4:$H$22,C44)&gt;0,"News Of The World",
IF(COUNTIF('Queen Discography'!$I$4:$I$22,C44)&gt;0,"Jazz",
IF(COUNTIF('Queen Discography'!$J$4:$J$22,C44)&gt;0,"The Game",
IF(COUNTIF('Queen Discography'!$K$4:$K$22,C44)&gt;0,"Flash Gordon",
IF(COUNTIF('Queen Discography'!$L$4:$L$22,C44)&gt;0,"Hot Space",
IF(COUNTIF('Queen Discography'!$M$4:$M$22,C44)&gt;0,"The Works",
IF(COUNTIF('Queen Discography'!$N$4:$N$22,C44)&gt;0,"A Kind Of Magic",
IF(COUNTIF('Queen Discography'!$O$4:$O$22,C44)&gt;0,"The Miracle",
IF(COUNTIF('Queen Discography'!$P$4:$P$22,C44)&gt;0,"Innuendo",
IF(COUNTIF('Queen Discography'!$Q$4:$Q$22,C44)&gt;0,"Made In Heaven","NOT FOUND")))))))))))))))</f>
        <v>The Miracle</v>
      </c>
      <c r="I44" s="1"/>
      <c r="J44" s="1"/>
      <c r="K44" s="1"/>
      <c r="L44" s="1"/>
      <c r="M44" s="87"/>
      <c r="N44" s="87"/>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row>
    <row r="45">
      <c r="A45" s="1"/>
      <c r="C45" s="66" t="str">
        <f t="array" ref="C45">INDEX('Queen MIDI'!$C$4:$C$66,MATCH(F45,'Queen MIDI'!$D$4:$D$66,0))</f>
        <v>The Invisible Man</v>
      </c>
      <c r="D45" s="95">
        <v>0.0</v>
      </c>
      <c r="E45" s="96" t="s">
        <v>398</v>
      </c>
      <c r="F45" s="66" t="str">
        <f t="shared" si="2"/>
        <v>The Invisible Man.mid</v>
      </c>
      <c r="G45" s="97">
        <f>HLOOKUP(H45,'Queen Discography'!$C$2:$Q$3,2,FALSE)</f>
        <v>1989</v>
      </c>
      <c r="H45" s="66" t="str">
        <f>IF(COUNTIF('Queen Discography'!$C$4:$C$22,C45)&gt;0,"Queen",
IF(COUNTIF('Queen Discography'!$D$4:$D$22,C45)&gt;0,"Queen II",
IF(COUNTIF('Queen Discography'!$E$4:$E$22,C45)&gt;0,"Sheer Heart Attack",
IF(COUNTIF('Queen Discography'!$F$4:$F$22,C45)&gt;0,"A Night At The Opera",
IF(COUNTIF('Queen Discography'!$G$4:$G$22,C45)&gt;0,"A Day At The Races",
IF(COUNTIF('Queen Discography'!$H$4:$H$22,C45)&gt;0,"News Of The World",
IF(COUNTIF('Queen Discography'!$I$4:$I$22,C45)&gt;0,"Jazz",
IF(COUNTIF('Queen Discography'!$J$4:$J$22,C45)&gt;0,"The Game",
IF(COUNTIF('Queen Discography'!$K$4:$K$22,C45)&gt;0,"Flash Gordon",
IF(COUNTIF('Queen Discography'!$L$4:$L$22,C45)&gt;0,"Hot Space",
IF(COUNTIF('Queen Discography'!$M$4:$M$22,C45)&gt;0,"The Works",
IF(COUNTIF('Queen Discography'!$N$4:$N$22,C45)&gt;0,"A Kind Of Magic",
IF(COUNTIF('Queen Discography'!$O$4:$O$22,C45)&gt;0,"The Miracle",
IF(COUNTIF('Queen Discography'!$P$4:$P$22,C45)&gt;0,"Innuendo",
IF(COUNTIF('Queen Discography'!$Q$4:$Q$22,C45)&gt;0,"Made In Heaven","NOT FOUND")))))))))))))))</f>
        <v>The Miracle</v>
      </c>
      <c r="I45" s="1"/>
      <c r="J45" s="1"/>
      <c r="K45" s="1"/>
      <c r="L45" s="1"/>
      <c r="M45" s="87"/>
      <c r="N45" s="87"/>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row>
    <row r="46">
      <c r="A46" s="1"/>
      <c r="C46" s="66" t="str">
        <f t="array" ref="C46">INDEX('Queen MIDI'!$C$4:$C$66,MATCH(F46,'Queen MIDI'!$D$4:$D$66,0))</f>
        <v>The Miracle</v>
      </c>
      <c r="D46" s="95">
        <v>0.0</v>
      </c>
      <c r="E46" s="96" t="s">
        <v>399</v>
      </c>
      <c r="F46" s="66" t="str">
        <f t="shared" si="2"/>
        <v>The Miracle.1.mid</v>
      </c>
      <c r="G46" s="97">
        <f>HLOOKUP(H46,'Queen Discography'!$C$2:$Q$3,2,FALSE)</f>
        <v>1989</v>
      </c>
      <c r="H46" s="66" t="str">
        <f>IF(COUNTIF('Queen Discography'!$C$4:$C$22,C46)&gt;0,"Queen",
IF(COUNTIF('Queen Discography'!$D$4:$D$22,C46)&gt;0,"Queen II",
IF(COUNTIF('Queen Discography'!$E$4:$E$22,C46)&gt;0,"Sheer Heart Attack",
IF(COUNTIF('Queen Discography'!$F$4:$F$22,C46)&gt;0,"A Night At The Opera",
IF(COUNTIF('Queen Discography'!$G$4:$G$22,C46)&gt;0,"A Day At The Races",
IF(COUNTIF('Queen Discography'!$H$4:$H$22,C46)&gt;0,"News Of The World",
IF(COUNTIF('Queen Discography'!$I$4:$I$22,C46)&gt;0,"Jazz",
IF(COUNTIF('Queen Discography'!$J$4:$J$22,C46)&gt;0,"The Game",
IF(COUNTIF('Queen Discography'!$K$4:$K$22,C46)&gt;0,"Flash Gordon",
IF(COUNTIF('Queen Discography'!$L$4:$L$22,C46)&gt;0,"Hot Space",
IF(COUNTIF('Queen Discography'!$M$4:$M$22,C46)&gt;0,"The Works",
IF(COUNTIF('Queen Discography'!$N$4:$N$22,C46)&gt;0,"A Kind Of Magic",
IF(COUNTIF('Queen Discography'!$O$4:$O$22,C46)&gt;0,"The Miracle",
IF(COUNTIF('Queen Discography'!$P$4:$P$22,C46)&gt;0,"Innuendo",
IF(COUNTIF('Queen Discography'!$Q$4:$Q$22,C46)&gt;0,"Made In Heaven","NOT FOUND")))))))))))))))</f>
        <v>The Miracle</v>
      </c>
      <c r="I46" s="1"/>
      <c r="J46" s="1"/>
      <c r="K46" s="1"/>
      <c r="L46" s="1"/>
      <c r="M46" s="87"/>
      <c r="N46" s="87"/>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row>
    <row r="47">
      <c r="A47" s="1"/>
      <c r="C47" s="66" t="str">
        <f t="array" ref="C47">INDEX('Queen MIDI'!$C$4:$C$66,MATCH(F47,'Queen MIDI'!$D$4:$D$66,0))</f>
        <v>All God's People</v>
      </c>
      <c r="D47" s="95">
        <v>0.0</v>
      </c>
      <c r="E47" s="96" t="s">
        <v>400</v>
      </c>
      <c r="F47" s="66" t="str">
        <f t="shared" si="2"/>
        <v>All God_s People.mid</v>
      </c>
      <c r="G47" s="97">
        <f>HLOOKUP(H47,'Queen Discography'!$C$2:$Q$3,2,FALSE)</f>
        <v>1991</v>
      </c>
      <c r="H47" s="66" t="str">
        <f>IF(COUNTIF('Queen Discography'!$C$4:$C$22,C47)&gt;0,"Queen",
IF(COUNTIF('Queen Discography'!$D$4:$D$22,C47)&gt;0,"Queen II",
IF(COUNTIF('Queen Discography'!$E$4:$E$22,C47)&gt;0,"Sheer Heart Attack",
IF(COUNTIF('Queen Discography'!$F$4:$F$22,C47)&gt;0,"A Night At The Opera",
IF(COUNTIF('Queen Discography'!$G$4:$G$22,C47)&gt;0,"A Day At The Races",
IF(COUNTIF('Queen Discography'!$H$4:$H$22,C47)&gt;0,"News Of The World",
IF(COUNTIF('Queen Discography'!$I$4:$I$22,C47)&gt;0,"Jazz",
IF(COUNTIF('Queen Discography'!$J$4:$J$22,C47)&gt;0,"The Game",
IF(COUNTIF('Queen Discography'!$K$4:$K$22,C47)&gt;0,"Flash Gordon",
IF(COUNTIF('Queen Discography'!$L$4:$L$22,C47)&gt;0,"Hot Space",
IF(COUNTIF('Queen Discography'!$M$4:$M$22,C47)&gt;0,"The Works",
IF(COUNTIF('Queen Discography'!$N$4:$N$22,C47)&gt;0,"A Kind Of Magic",
IF(COUNTIF('Queen Discography'!$O$4:$O$22,C47)&gt;0,"The Miracle",
IF(COUNTIF('Queen Discography'!$P$4:$P$22,C47)&gt;0,"Innuendo",
IF(COUNTIF('Queen Discography'!$Q$4:$Q$22,C47)&gt;0,"Made In Heaven","NOT FOUND")))))))))))))))</f>
        <v>Innuendo</v>
      </c>
      <c r="I47" s="1"/>
      <c r="J47" s="1"/>
      <c r="K47" s="1"/>
      <c r="L47" s="1"/>
      <c r="M47" s="87"/>
      <c r="N47" s="87"/>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row>
    <row r="48">
      <c r="A48" s="1"/>
      <c r="C48" s="66" t="str">
        <f t="array" ref="C48">INDEX('Queen MIDI'!$C$4:$C$66,MATCH(F48,'Queen MIDI'!$D$4:$D$66,0))</f>
        <v>Bijou</v>
      </c>
      <c r="D48" s="95">
        <v>0.0</v>
      </c>
      <c r="E48" s="96" t="s">
        <v>401</v>
      </c>
      <c r="F48" s="66" t="str">
        <f t="shared" si="2"/>
        <v>Bijou.1.mid</v>
      </c>
      <c r="G48" s="97">
        <f>HLOOKUP(H48,'Queen Discography'!$C$2:$Q$3,2,FALSE)</f>
        <v>1991</v>
      </c>
      <c r="H48" s="66" t="str">
        <f>IF(COUNTIF('Queen Discography'!$C$4:$C$22,C48)&gt;0,"Queen",
IF(COUNTIF('Queen Discography'!$D$4:$D$22,C48)&gt;0,"Queen II",
IF(COUNTIF('Queen Discography'!$E$4:$E$22,C48)&gt;0,"Sheer Heart Attack",
IF(COUNTIF('Queen Discography'!$F$4:$F$22,C48)&gt;0,"A Night At The Opera",
IF(COUNTIF('Queen Discography'!$G$4:$G$22,C48)&gt;0,"A Day At The Races",
IF(COUNTIF('Queen Discography'!$H$4:$H$22,C48)&gt;0,"News Of The World",
IF(COUNTIF('Queen Discography'!$I$4:$I$22,C48)&gt;0,"Jazz",
IF(COUNTIF('Queen Discography'!$J$4:$J$22,C48)&gt;0,"The Game",
IF(COUNTIF('Queen Discography'!$K$4:$K$22,C48)&gt;0,"Flash Gordon",
IF(COUNTIF('Queen Discography'!$L$4:$L$22,C48)&gt;0,"Hot Space",
IF(COUNTIF('Queen Discography'!$M$4:$M$22,C48)&gt;0,"The Works",
IF(COUNTIF('Queen Discography'!$N$4:$N$22,C48)&gt;0,"A Kind Of Magic",
IF(COUNTIF('Queen Discography'!$O$4:$O$22,C48)&gt;0,"The Miracle",
IF(COUNTIF('Queen Discography'!$P$4:$P$22,C48)&gt;0,"Innuendo",
IF(COUNTIF('Queen Discography'!$Q$4:$Q$22,C48)&gt;0,"Made In Heaven","NOT FOUND")))))))))))))))</f>
        <v>Innuendo</v>
      </c>
      <c r="I48" s="1"/>
      <c r="J48" s="1"/>
      <c r="K48" s="1"/>
      <c r="L48" s="1"/>
      <c r="M48" s="87"/>
      <c r="N48" s="87"/>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row>
    <row r="49">
      <c r="A49" s="1"/>
      <c r="C49" s="66" t="str">
        <f t="array" ref="C49">INDEX('Queen MIDI'!$C$4:$C$66,MATCH(F49,'Queen MIDI'!$D$4:$D$66,0))</f>
        <v>Don't Try So Hard</v>
      </c>
      <c r="D49" s="95">
        <v>0.0</v>
      </c>
      <c r="E49" s="96" t="s">
        <v>402</v>
      </c>
      <c r="F49" s="66" t="str">
        <f t="shared" si="2"/>
        <v>Don_t Try So Hard.2.mid</v>
      </c>
      <c r="G49" s="97">
        <f>HLOOKUP(H49,'Queen Discography'!$C$2:$Q$3,2,FALSE)</f>
        <v>1991</v>
      </c>
      <c r="H49" s="66" t="str">
        <f>IF(COUNTIF('Queen Discography'!$C$4:$C$22,C49)&gt;0,"Queen",
IF(COUNTIF('Queen Discography'!$D$4:$D$22,C49)&gt;0,"Queen II",
IF(COUNTIF('Queen Discography'!$E$4:$E$22,C49)&gt;0,"Sheer Heart Attack",
IF(COUNTIF('Queen Discography'!$F$4:$F$22,C49)&gt;0,"A Night At The Opera",
IF(COUNTIF('Queen Discography'!$G$4:$G$22,C49)&gt;0,"A Day At The Races",
IF(COUNTIF('Queen Discography'!$H$4:$H$22,C49)&gt;0,"News Of The World",
IF(COUNTIF('Queen Discography'!$I$4:$I$22,C49)&gt;0,"Jazz",
IF(COUNTIF('Queen Discography'!$J$4:$J$22,C49)&gt;0,"The Game",
IF(COUNTIF('Queen Discography'!$K$4:$K$22,C49)&gt;0,"Flash Gordon",
IF(COUNTIF('Queen Discography'!$L$4:$L$22,C49)&gt;0,"Hot Space",
IF(COUNTIF('Queen Discography'!$M$4:$M$22,C49)&gt;0,"The Works",
IF(COUNTIF('Queen Discography'!$N$4:$N$22,C49)&gt;0,"A Kind Of Magic",
IF(COUNTIF('Queen Discography'!$O$4:$O$22,C49)&gt;0,"The Miracle",
IF(COUNTIF('Queen Discography'!$P$4:$P$22,C49)&gt;0,"Innuendo",
IF(COUNTIF('Queen Discography'!$Q$4:$Q$22,C49)&gt;0,"Made In Heaven","NOT FOUND")))))))))))))))</f>
        <v>Innuendo</v>
      </c>
      <c r="I49" s="1"/>
      <c r="J49" s="1"/>
      <c r="K49" s="1"/>
      <c r="L49" s="1"/>
      <c r="M49" s="87"/>
      <c r="N49" s="87"/>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row>
    <row r="50">
      <c r="A50" s="1"/>
      <c r="C50" s="66" t="str">
        <f t="array" ref="C50">INDEX('Queen MIDI'!$C$4:$C$66,MATCH(F50,'Queen MIDI'!$D$4:$D$66,0))</f>
        <v>Headlong</v>
      </c>
      <c r="D50" s="95">
        <v>0.0</v>
      </c>
      <c r="E50" s="96" t="s">
        <v>403</v>
      </c>
      <c r="F50" s="66" t="str">
        <f t="shared" si="2"/>
        <v>Headlong.mid</v>
      </c>
      <c r="G50" s="97">
        <f>HLOOKUP(H50,'Queen Discography'!$C$2:$Q$3,2,FALSE)</f>
        <v>1991</v>
      </c>
      <c r="H50" s="66" t="str">
        <f>IF(COUNTIF('Queen Discography'!$C$4:$C$22,C50)&gt;0,"Queen",
IF(COUNTIF('Queen Discography'!$D$4:$D$22,C50)&gt;0,"Queen II",
IF(COUNTIF('Queen Discography'!$E$4:$E$22,C50)&gt;0,"Sheer Heart Attack",
IF(COUNTIF('Queen Discography'!$F$4:$F$22,C50)&gt;0,"A Night At The Opera",
IF(COUNTIF('Queen Discography'!$G$4:$G$22,C50)&gt;0,"A Day At The Races",
IF(COUNTIF('Queen Discography'!$H$4:$H$22,C50)&gt;0,"News Of The World",
IF(COUNTIF('Queen Discography'!$I$4:$I$22,C50)&gt;0,"Jazz",
IF(COUNTIF('Queen Discography'!$J$4:$J$22,C50)&gt;0,"The Game",
IF(COUNTIF('Queen Discography'!$K$4:$K$22,C50)&gt;0,"Flash Gordon",
IF(COUNTIF('Queen Discography'!$L$4:$L$22,C50)&gt;0,"Hot Space",
IF(COUNTIF('Queen Discography'!$M$4:$M$22,C50)&gt;0,"The Works",
IF(COUNTIF('Queen Discography'!$N$4:$N$22,C50)&gt;0,"A Kind Of Magic",
IF(COUNTIF('Queen Discography'!$O$4:$O$22,C50)&gt;0,"The Miracle",
IF(COUNTIF('Queen Discography'!$P$4:$P$22,C50)&gt;0,"Innuendo",
IF(COUNTIF('Queen Discography'!$Q$4:$Q$22,C50)&gt;0,"Made In Heaven","NOT FOUND")))))))))))))))</f>
        <v>Innuendo</v>
      </c>
      <c r="I50" s="1"/>
      <c r="J50" s="1"/>
      <c r="K50" s="1"/>
      <c r="L50" s="1"/>
      <c r="M50" s="87"/>
      <c r="N50" s="87"/>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c r="A51" s="1"/>
      <c r="C51" s="66" t="str">
        <f t="array" ref="C51">INDEX('Queen MIDI'!$C$4:$C$66,MATCH(F51,'Queen MIDI'!$D$4:$D$66,0))</f>
        <v>I Can't Live With You</v>
      </c>
      <c r="D51" s="95">
        <v>0.0</v>
      </c>
      <c r="E51" s="96" t="s">
        <v>404</v>
      </c>
      <c r="F51" s="66" t="str">
        <f t="shared" si="2"/>
        <v>I Can_t Live With You.1.mid</v>
      </c>
      <c r="G51" s="97">
        <f>HLOOKUP(H51,'Queen Discography'!$C$2:$Q$3,2,FALSE)</f>
        <v>1991</v>
      </c>
      <c r="H51" s="66" t="str">
        <f>IF(COUNTIF('Queen Discography'!$C$4:$C$22,C51)&gt;0,"Queen",
IF(COUNTIF('Queen Discography'!$D$4:$D$22,C51)&gt;0,"Queen II",
IF(COUNTIF('Queen Discography'!$E$4:$E$22,C51)&gt;0,"Sheer Heart Attack",
IF(COUNTIF('Queen Discography'!$F$4:$F$22,C51)&gt;0,"A Night At The Opera",
IF(COUNTIF('Queen Discography'!$G$4:$G$22,C51)&gt;0,"A Day At The Races",
IF(COUNTIF('Queen Discography'!$H$4:$H$22,C51)&gt;0,"News Of The World",
IF(COUNTIF('Queen Discography'!$I$4:$I$22,C51)&gt;0,"Jazz",
IF(COUNTIF('Queen Discography'!$J$4:$J$22,C51)&gt;0,"The Game",
IF(COUNTIF('Queen Discography'!$K$4:$K$22,C51)&gt;0,"Flash Gordon",
IF(COUNTIF('Queen Discography'!$L$4:$L$22,C51)&gt;0,"Hot Space",
IF(COUNTIF('Queen Discography'!$M$4:$M$22,C51)&gt;0,"The Works",
IF(COUNTIF('Queen Discography'!$N$4:$N$22,C51)&gt;0,"A Kind Of Magic",
IF(COUNTIF('Queen Discography'!$O$4:$O$22,C51)&gt;0,"The Miracle",
IF(COUNTIF('Queen Discography'!$P$4:$P$22,C51)&gt;0,"Innuendo",
IF(COUNTIF('Queen Discography'!$Q$4:$Q$22,C51)&gt;0,"Made In Heaven","NOT FOUND")))))))))))))))</f>
        <v>Innuendo</v>
      </c>
      <c r="I51" s="1"/>
      <c r="J51" s="1"/>
      <c r="K51" s="1"/>
      <c r="L51" s="1"/>
      <c r="M51" s="87"/>
      <c r="N51" s="87"/>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row>
    <row r="52">
      <c r="A52" s="1"/>
      <c r="C52" s="66" t="str">
        <f t="array" ref="C52">INDEX('Queen MIDI'!$C$4:$C$66,MATCH(F52,'Queen MIDI'!$D$4:$D$66,0))</f>
        <v>I'm Going Slightly Mad</v>
      </c>
      <c r="D52" s="95">
        <v>0.0</v>
      </c>
      <c r="E52" s="96" t="s">
        <v>405</v>
      </c>
      <c r="F52" s="66" t="str">
        <f t="shared" si="2"/>
        <v>I_m Going Slightly Mad.2.mid</v>
      </c>
      <c r="G52" s="97">
        <f>HLOOKUP(H52,'Queen Discography'!$C$2:$Q$3,2,FALSE)</f>
        <v>1991</v>
      </c>
      <c r="H52" s="66" t="str">
        <f>IF(COUNTIF('Queen Discography'!$C$4:$C$22,C52)&gt;0,"Queen",
IF(COUNTIF('Queen Discography'!$D$4:$D$22,C52)&gt;0,"Queen II",
IF(COUNTIF('Queen Discography'!$E$4:$E$22,C52)&gt;0,"Sheer Heart Attack",
IF(COUNTIF('Queen Discography'!$F$4:$F$22,C52)&gt;0,"A Night At The Opera",
IF(COUNTIF('Queen Discography'!$G$4:$G$22,C52)&gt;0,"A Day At The Races",
IF(COUNTIF('Queen Discography'!$H$4:$H$22,C52)&gt;0,"News Of The World",
IF(COUNTIF('Queen Discography'!$I$4:$I$22,C52)&gt;0,"Jazz",
IF(COUNTIF('Queen Discography'!$J$4:$J$22,C52)&gt;0,"The Game",
IF(COUNTIF('Queen Discography'!$K$4:$K$22,C52)&gt;0,"Flash Gordon",
IF(COUNTIF('Queen Discography'!$L$4:$L$22,C52)&gt;0,"Hot Space",
IF(COUNTIF('Queen Discography'!$M$4:$M$22,C52)&gt;0,"The Works",
IF(COUNTIF('Queen Discography'!$N$4:$N$22,C52)&gt;0,"A Kind Of Magic",
IF(COUNTIF('Queen Discography'!$O$4:$O$22,C52)&gt;0,"The Miracle",
IF(COUNTIF('Queen Discography'!$P$4:$P$22,C52)&gt;0,"Innuendo",
IF(COUNTIF('Queen Discography'!$Q$4:$Q$22,C52)&gt;0,"Made In Heaven","NOT FOUND")))))))))))))))</f>
        <v>Innuendo</v>
      </c>
      <c r="I52" s="1"/>
      <c r="J52" s="1"/>
      <c r="K52" s="1"/>
      <c r="L52" s="1"/>
      <c r="M52" s="87"/>
      <c r="N52" s="87"/>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row>
    <row r="53">
      <c r="A53" s="1"/>
      <c r="C53" s="66" t="str">
        <f t="array" ref="C53">INDEX('Queen MIDI'!$C$4:$C$66,MATCH(F53,'Queen MIDI'!$D$4:$D$66,0))</f>
        <v>Innuendo</v>
      </c>
      <c r="D53" s="95">
        <v>0.0</v>
      </c>
      <c r="E53" s="96" t="s">
        <v>406</v>
      </c>
      <c r="F53" s="66" t="str">
        <f t="shared" si="2"/>
        <v>Innuendo.mid</v>
      </c>
      <c r="G53" s="97">
        <f>HLOOKUP(H53,'Queen Discography'!$C$2:$Q$3,2,FALSE)</f>
        <v>1991</v>
      </c>
      <c r="H53" s="66" t="str">
        <f>IF(COUNTIF('Queen Discography'!$C$4:$C$22,C53)&gt;0,"Queen",
IF(COUNTIF('Queen Discography'!$D$4:$D$22,C53)&gt;0,"Queen II",
IF(COUNTIF('Queen Discography'!$E$4:$E$22,C53)&gt;0,"Sheer Heart Attack",
IF(COUNTIF('Queen Discography'!$F$4:$F$22,C53)&gt;0,"A Night At The Opera",
IF(COUNTIF('Queen Discography'!$G$4:$G$22,C53)&gt;0,"A Day At The Races",
IF(COUNTIF('Queen Discography'!$H$4:$H$22,C53)&gt;0,"News Of The World",
IF(COUNTIF('Queen Discography'!$I$4:$I$22,C53)&gt;0,"Jazz",
IF(COUNTIF('Queen Discography'!$J$4:$J$22,C53)&gt;0,"The Game",
IF(COUNTIF('Queen Discography'!$K$4:$K$22,C53)&gt;0,"Flash Gordon",
IF(COUNTIF('Queen Discography'!$L$4:$L$22,C53)&gt;0,"Hot Space",
IF(COUNTIF('Queen Discography'!$M$4:$M$22,C53)&gt;0,"The Works",
IF(COUNTIF('Queen Discography'!$N$4:$N$22,C53)&gt;0,"A Kind Of Magic",
IF(COUNTIF('Queen Discography'!$O$4:$O$22,C53)&gt;0,"The Miracle",
IF(COUNTIF('Queen Discography'!$P$4:$P$22,C53)&gt;0,"Innuendo",
IF(COUNTIF('Queen Discography'!$Q$4:$Q$22,C53)&gt;0,"Made In Heaven","NOT FOUND")))))))))))))))</f>
        <v>Innuendo</v>
      </c>
      <c r="I53" s="1"/>
      <c r="J53" s="1"/>
      <c r="K53" s="1"/>
      <c r="L53" s="1"/>
      <c r="M53" s="87"/>
      <c r="N53" s="87"/>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row>
    <row r="54">
      <c r="A54" s="1"/>
      <c r="C54" s="66" t="str">
        <f t="array" ref="C54">INDEX('Queen MIDI'!$C$4:$C$66,MATCH(F54,'Queen MIDI'!$D$4:$D$66,0))</f>
        <v>The Show Must Go On</v>
      </c>
      <c r="D54" s="95">
        <v>0.0</v>
      </c>
      <c r="E54" s="96" t="s">
        <v>407</v>
      </c>
      <c r="F54" s="66" t="str">
        <f t="shared" si="2"/>
        <v>The Show Must Go On.mid</v>
      </c>
      <c r="G54" s="97">
        <f>HLOOKUP(H54,'Queen Discography'!$C$2:$Q$3,2,FALSE)</f>
        <v>1991</v>
      </c>
      <c r="H54" s="66" t="str">
        <f>IF(COUNTIF('Queen Discography'!$C$4:$C$22,C54)&gt;0,"Queen",
IF(COUNTIF('Queen Discography'!$D$4:$D$22,C54)&gt;0,"Queen II",
IF(COUNTIF('Queen Discography'!$E$4:$E$22,C54)&gt;0,"Sheer Heart Attack",
IF(COUNTIF('Queen Discography'!$F$4:$F$22,C54)&gt;0,"A Night At The Opera",
IF(COUNTIF('Queen Discography'!$G$4:$G$22,C54)&gt;0,"A Day At The Races",
IF(COUNTIF('Queen Discography'!$H$4:$H$22,C54)&gt;0,"News Of The World",
IF(COUNTIF('Queen Discography'!$I$4:$I$22,C54)&gt;0,"Jazz",
IF(COUNTIF('Queen Discography'!$J$4:$J$22,C54)&gt;0,"The Game",
IF(COUNTIF('Queen Discography'!$K$4:$K$22,C54)&gt;0,"Flash Gordon",
IF(COUNTIF('Queen Discography'!$L$4:$L$22,C54)&gt;0,"Hot Space",
IF(COUNTIF('Queen Discography'!$M$4:$M$22,C54)&gt;0,"The Works",
IF(COUNTIF('Queen Discography'!$N$4:$N$22,C54)&gt;0,"A Kind Of Magic",
IF(COUNTIF('Queen Discography'!$O$4:$O$22,C54)&gt;0,"The Miracle",
IF(COUNTIF('Queen Discography'!$P$4:$P$22,C54)&gt;0,"Innuendo",
IF(COUNTIF('Queen Discography'!$Q$4:$Q$22,C54)&gt;0,"Made In Heaven","NOT FOUND")))))))))))))))</f>
        <v>Innuendo</v>
      </c>
      <c r="I54" s="1"/>
      <c r="J54" s="1"/>
      <c r="K54" s="1"/>
      <c r="L54" s="1"/>
      <c r="M54" s="87"/>
      <c r="N54" s="87"/>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row>
    <row r="55">
      <c r="A55" s="1"/>
      <c r="C55" s="66" t="str">
        <f t="array" ref="C55">INDEX('Queen MIDI'!$C$4:$C$66,MATCH(F55,'Queen MIDI'!$D$4:$D$66,0))</f>
        <v>These Are the Days of Our Lives</v>
      </c>
      <c r="D55" s="95">
        <v>0.0</v>
      </c>
      <c r="E55" s="96" t="s">
        <v>408</v>
      </c>
      <c r="F55" s="66" t="str">
        <f t="shared" si="2"/>
        <v>These Are the Days of Our Lives.3.mid</v>
      </c>
      <c r="G55" s="97">
        <f>HLOOKUP(H55,'Queen Discography'!$C$2:$Q$3,2,FALSE)</f>
        <v>1991</v>
      </c>
      <c r="H55" s="66" t="str">
        <f>IF(COUNTIF('Queen Discography'!$C$4:$C$22,C55)&gt;0,"Queen",
IF(COUNTIF('Queen Discography'!$D$4:$D$22,C55)&gt;0,"Queen II",
IF(COUNTIF('Queen Discography'!$E$4:$E$22,C55)&gt;0,"Sheer Heart Attack",
IF(COUNTIF('Queen Discography'!$F$4:$F$22,C55)&gt;0,"A Night At The Opera",
IF(COUNTIF('Queen Discography'!$G$4:$G$22,C55)&gt;0,"A Day At The Races",
IF(COUNTIF('Queen Discography'!$H$4:$H$22,C55)&gt;0,"News Of The World",
IF(COUNTIF('Queen Discography'!$I$4:$I$22,C55)&gt;0,"Jazz",
IF(COUNTIF('Queen Discography'!$J$4:$J$22,C55)&gt;0,"The Game",
IF(COUNTIF('Queen Discography'!$K$4:$K$22,C55)&gt;0,"Flash Gordon",
IF(COUNTIF('Queen Discography'!$L$4:$L$22,C55)&gt;0,"Hot Space",
IF(COUNTIF('Queen Discography'!$M$4:$M$22,C55)&gt;0,"The Works",
IF(COUNTIF('Queen Discography'!$N$4:$N$22,C55)&gt;0,"A Kind Of Magic",
IF(COUNTIF('Queen Discography'!$O$4:$O$22,C55)&gt;0,"The Miracle",
IF(COUNTIF('Queen Discography'!$P$4:$P$22,C55)&gt;0,"Innuendo",
IF(COUNTIF('Queen Discography'!$Q$4:$Q$22,C55)&gt;0,"Made In Heaven","NOT FOUND")))))))))))))))</f>
        <v>Innuendo</v>
      </c>
      <c r="I55" s="1"/>
      <c r="J55" s="1"/>
      <c r="K55" s="1"/>
      <c r="L55" s="1"/>
      <c r="M55" s="87"/>
      <c r="N55" s="87"/>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row>
    <row r="56">
      <c r="A56" s="1"/>
      <c r="C56" s="66" t="str">
        <f t="array" ref="C56">INDEX('Queen MIDI'!$C$4:$C$66,MATCH(F56,'Queen MIDI'!$D$4:$D$66,0))</f>
        <v>Heaven for Everyone</v>
      </c>
      <c r="D56" s="95">
        <v>0.0</v>
      </c>
      <c r="E56" s="96" t="s">
        <v>409</v>
      </c>
      <c r="F56" s="66" t="str">
        <f t="shared" si="2"/>
        <v>Heaven for Everyone.mid</v>
      </c>
      <c r="G56" s="97">
        <f>HLOOKUP(H56,'Queen Discography'!$C$2:$Q$3,2,FALSE)</f>
        <v>1995</v>
      </c>
      <c r="H56" s="66" t="str">
        <f>IF(COUNTIF('Queen Discography'!$C$4:$C$22,C56)&gt;0,"Queen",
IF(COUNTIF('Queen Discography'!$D$4:$D$22,C56)&gt;0,"Queen II",
IF(COUNTIF('Queen Discography'!$E$4:$E$22,C56)&gt;0,"Sheer Heart Attack",
IF(COUNTIF('Queen Discography'!$F$4:$F$22,C56)&gt;0,"A Night At The Opera",
IF(COUNTIF('Queen Discography'!$G$4:$G$22,C56)&gt;0,"A Day At The Races",
IF(COUNTIF('Queen Discography'!$H$4:$H$22,C56)&gt;0,"News Of The World",
IF(COUNTIF('Queen Discography'!$I$4:$I$22,C56)&gt;0,"Jazz",
IF(COUNTIF('Queen Discography'!$J$4:$J$22,C56)&gt;0,"The Game",
IF(COUNTIF('Queen Discography'!$K$4:$K$22,C56)&gt;0,"Flash Gordon",
IF(COUNTIF('Queen Discography'!$L$4:$L$22,C56)&gt;0,"Hot Space",
IF(COUNTIF('Queen Discography'!$M$4:$M$22,C56)&gt;0,"The Works",
IF(COUNTIF('Queen Discography'!$N$4:$N$22,C56)&gt;0,"A Kind Of Magic",
IF(COUNTIF('Queen Discography'!$O$4:$O$22,C56)&gt;0,"The Miracle",
IF(COUNTIF('Queen Discography'!$P$4:$P$22,C56)&gt;0,"Innuendo",
IF(COUNTIF('Queen Discography'!$Q$4:$Q$22,C56)&gt;0,"Made In Heaven","NOT FOUND")))))))))))))))</f>
        <v>Made In Heaven</v>
      </c>
      <c r="I56" s="1"/>
      <c r="J56" s="1"/>
      <c r="K56" s="1"/>
      <c r="L56" s="1"/>
      <c r="M56" s="87"/>
      <c r="N56" s="87"/>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row>
    <row r="57">
      <c r="A57" s="1"/>
      <c r="C57" s="66" t="str">
        <f t="array" ref="C57">INDEX('Queen MIDI'!$C$4:$C$66,MATCH(F57,'Queen MIDI'!$D$4:$D$66,0))</f>
        <v>I Was Born to Love You</v>
      </c>
      <c r="D57" s="95">
        <v>0.0</v>
      </c>
      <c r="E57" s="96" t="s">
        <v>410</v>
      </c>
      <c r="F57" s="66" t="str">
        <f t="shared" si="2"/>
        <v>I Was Born to Love You.mid</v>
      </c>
      <c r="G57" s="97">
        <f>HLOOKUP(H57,'Queen Discography'!$C$2:$Q$3,2,FALSE)</f>
        <v>1995</v>
      </c>
      <c r="H57" s="66" t="str">
        <f>IF(COUNTIF('Queen Discography'!$C$4:$C$22,C57)&gt;0,"Queen",
IF(COUNTIF('Queen Discography'!$D$4:$D$22,C57)&gt;0,"Queen II",
IF(COUNTIF('Queen Discography'!$E$4:$E$22,C57)&gt;0,"Sheer Heart Attack",
IF(COUNTIF('Queen Discography'!$F$4:$F$22,C57)&gt;0,"A Night At The Opera",
IF(COUNTIF('Queen Discography'!$G$4:$G$22,C57)&gt;0,"A Day At The Races",
IF(COUNTIF('Queen Discography'!$H$4:$H$22,C57)&gt;0,"News Of The World",
IF(COUNTIF('Queen Discography'!$I$4:$I$22,C57)&gt;0,"Jazz",
IF(COUNTIF('Queen Discography'!$J$4:$J$22,C57)&gt;0,"The Game",
IF(COUNTIF('Queen Discography'!$K$4:$K$22,C57)&gt;0,"Flash Gordon",
IF(COUNTIF('Queen Discography'!$L$4:$L$22,C57)&gt;0,"Hot Space",
IF(COUNTIF('Queen Discography'!$M$4:$M$22,C57)&gt;0,"The Works",
IF(COUNTIF('Queen Discography'!$N$4:$N$22,C57)&gt;0,"A Kind Of Magic",
IF(COUNTIF('Queen Discography'!$O$4:$O$22,C57)&gt;0,"The Miracle",
IF(COUNTIF('Queen Discography'!$P$4:$P$22,C57)&gt;0,"Innuendo",
IF(COUNTIF('Queen Discography'!$Q$4:$Q$22,C57)&gt;0,"Made In Heaven","NOT FOUND")))))))))))))))</f>
        <v>Made In Heaven</v>
      </c>
      <c r="I57" s="1"/>
      <c r="J57" s="1"/>
      <c r="K57" s="1"/>
      <c r="L57" s="1"/>
      <c r="M57" s="87"/>
      <c r="N57" s="87"/>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row>
    <row r="58">
      <c r="A58" s="1"/>
      <c r="C58" s="66" t="str">
        <f t="array" ref="C58">INDEX('Queen MIDI'!$C$4:$C$66,MATCH(F58,'Queen MIDI'!$D$4:$D$66,0))</f>
        <v>Made in Heaven</v>
      </c>
      <c r="D58" s="95">
        <v>0.0</v>
      </c>
      <c r="E58" s="96" t="s">
        <v>411</v>
      </c>
      <c r="F58" s="66" t="str">
        <f t="shared" si="2"/>
        <v>Made in Heaven.mid</v>
      </c>
      <c r="G58" s="97">
        <f>HLOOKUP(H58,'Queen Discography'!$C$2:$Q$3,2,FALSE)</f>
        <v>1995</v>
      </c>
      <c r="H58" s="66" t="str">
        <f>IF(COUNTIF('Queen Discography'!$C$4:$C$22,C58)&gt;0,"Queen",
IF(COUNTIF('Queen Discography'!$D$4:$D$22,C58)&gt;0,"Queen II",
IF(COUNTIF('Queen Discography'!$E$4:$E$22,C58)&gt;0,"Sheer Heart Attack",
IF(COUNTIF('Queen Discography'!$F$4:$F$22,C58)&gt;0,"A Night At The Opera",
IF(COUNTIF('Queen Discography'!$G$4:$G$22,C58)&gt;0,"A Day At The Races",
IF(COUNTIF('Queen Discography'!$H$4:$H$22,C58)&gt;0,"News Of The World",
IF(COUNTIF('Queen Discography'!$I$4:$I$22,C58)&gt;0,"Jazz",
IF(COUNTIF('Queen Discography'!$J$4:$J$22,C58)&gt;0,"The Game",
IF(COUNTIF('Queen Discography'!$K$4:$K$22,C58)&gt;0,"Flash Gordon",
IF(COUNTIF('Queen Discography'!$L$4:$L$22,C58)&gt;0,"Hot Space",
IF(COUNTIF('Queen Discography'!$M$4:$M$22,C58)&gt;0,"The Works",
IF(COUNTIF('Queen Discography'!$N$4:$N$22,C58)&gt;0,"A Kind Of Magic",
IF(COUNTIF('Queen Discography'!$O$4:$O$22,C58)&gt;0,"The Miracle",
IF(COUNTIF('Queen Discography'!$P$4:$P$22,C58)&gt;0,"Innuendo",
IF(COUNTIF('Queen Discography'!$Q$4:$Q$22,C58)&gt;0,"Made In Heaven","NOT FOUND")))))))))))))))</f>
        <v>Made In Heaven</v>
      </c>
      <c r="I58" s="1"/>
      <c r="J58" s="1"/>
      <c r="K58" s="1"/>
      <c r="L58" s="1"/>
      <c r="M58" s="87"/>
      <c r="N58" s="87"/>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c r="A59" s="1"/>
      <c r="C59" s="66" t="str">
        <f t="array" ref="C59">INDEX('Queen MIDI'!$C$4:$C$66,MATCH(F59,'Queen MIDI'!$D$4:$D$66,0))</f>
        <v>Mother Love</v>
      </c>
      <c r="D59" s="95">
        <v>0.0</v>
      </c>
      <c r="E59" s="96" t="s">
        <v>412</v>
      </c>
      <c r="F59" s="66" t="str">
        <f t="shared" si="2"/>
        <v>Mother Love.mid</v>
      </c>
      <c r="G59" s="97">
        <f>HLOOKUP(H59,'Queen Discography'!$C$2:$Q$3,2,FALSE)</f>
        <v>1995</v>
      </c>
      <c r="H59" s="66" t="str">
        <f>IF(COUNTIF('Queen Discography'!$C$4:$C$22,C59)&gt;0,"Queen",
IF(COUNTIF('Queen Discography'!$D$4:$D$22,C59)&gt;0,"Queen II",
IF(COUNTIF('Queen Discography'!$E$4:$E$22,C59)&gt;0,"Sheer Heart Attack",
IF(COUNTIF('Queen Discography'!$F$4:$F$22,C59)&gt;0,"A Night At The Opera",
IF(COUNTIF('Queen Discography'!$G$4:$G$22,C59)&gt;0,"A Day At The Races",
IF(COUNTIF('Queen Discography'!$H$4:$H$22,C59)&gt;0,"News Of The World",
IF(COUNTIF('Queen Discography'!$I$4:$I$22,C59)&gt;0,"Jazz",
IF(COUNTIF('Queen Discography'!$J$4:$J$22,C59)&gt;0,"The Game",
IF(COUNTIF('Queen Discography'!$K$4:$K$22,C59)&gt;0,"Flash Gordon",
IF(COUNTIF('Queen Discography'!$L$4:$L$22,C59)&gt;0,"Hot Space",
IF(COUNTIF('Queen Discography'!$M$4:$M$22,C59)&gt;0,"The Works",
IF(COUNTIF('Queen Discography'!$N$4:$N$22,C59)&gt;0,"A Kind Of Magic",
IF(COUNTIF('Queen Discography'!$O$4:$O$22,C59)&gt;0,"The Miracle",
IF(COUNTIF('Queen Discography'!$P$4:$P$22,C59)&gt;0,"Innuendo",
IF(COUNTIF('Queen Discography'!$Q$4:$Q$22,C59)&gt;0,"Made In Heaven","NOT FOUND")))))))))))))))</f>
        <v>Made In Heaven</v>
      </c>
      <c r="I59" s="1"/>
      <c r="J59" s="1"/>
      <c r="K59" s="1"/>
      <c r="L59" s="1"/>
      <c r="M59" s="87"/>
      <c r="N59" s="87"/>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row>
    <row r="60">
      <c r="A60" s="1"/>
      <c r="C60" s="66" t="str">
        <f t="array" ref="C60">INDEX('Queen MIDI'!$C$4:$C$66,MATCH(F60,'Queen MIDI'!$D$4:$D$66,0))</f>
        <v>My Life Has Been Saved</v>
      </c>
      <c r="D60" s="95">
        <v>0.0</v>
      </c>
      <c r="E60" s="96" t="s">
        <v>413</v>
      </c>
      <c r="F60" s="66" t="str">
        <f t="shared" si="2"/>
        <v>My Life Has Been Saved.mid</v>
      </c>
      <c r="G60" s="97">
        <f>HLOOKUP(H60,'Queen Discography'!$C$2:$Q$3,2,FALSE)</f>
        <v>1995</v>
      </c>
      <c r="H60" s="66" t="str">
        <f>IF(COUNTIF('Queen Discography'!$C$4:$C$22,C60)&gt;0,"Queen",
IF(COUNTIF('Queen Discography'!$D$4:$D$22,C60)&gt;0,"Queen II",
IF(COUNTIF('Queen Discography'!$E$4:$E$22,C60)&gt;0,"Sheer Heart Attack",
IF(COUNTIF('Queen Discography'!$F$4:$F$22,C60)&gt;0,"A Night At The Opera",
IF(COUNTIF('Queen Discography'!$G$4:$G$22,C60)&gt;0,"A Day At The Races",
IF(COUNTIF('Queen Discography'!$H$4:$H$22,C60)&gt;0,"News Of The World",
IF(COUNTIF('Queen Discography'!$I$4:$I$22,C60)&gt;0,"Jazz",
IF(COUNTIF('Queen Discography'!$J$4:$J$22,C60)&gt;0,"The Game",
IF(COUNTIF('Queen Discography'!$K$4:$K$22,C60)&gt;0,"Flash Gordon",
IF(COUNTIF('Queen Discography'!$L$4:$L$22,C60)&gt;0,"Hot Space",
IF(COUNTIF('Queen Discography'!$M$4:$M$22,C60)&gt;0,"The Works",
IF(COUNTIF('Queen Discography'!$N$4:$N$22,C60)&gt;0,"A Kind Of Magic",
IF(COUNTIF('Queen Discography'!$O$4:$O$22,C60)&gt;0,"The Miracle",
IF(COUNTIF('Queen Discography'!$P$4:$P$22,C60)&gt;0,"Innuendo",
IF(COUNTIF('Queen Discography'!$Q$4:$Q$22,C60)&gt;0,"Made In Heaven","NOT FOUND")))))))))))))))</f>
        <v>Made In Heaven</v>
      </c>
      <c r="I60" s="1"/>
      <c r="J60" s="1"/>
      <c r="K60" s="1"/>
      <c r="L60" s="1"/>
      <c r="M60" s="87"/>
      <c r="N60" s="87"/>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row>
    <row r="61">
      <c r="A61" s="1"/>
      <c r="C61" s="66" t="str">
        <f t="array" ref="C61">INDEX('Queen MIDI'!$C$4:$C$66,MATCH(F61,'Queen MIDI'!$D$4:$D$66,0))</f>
        <v>Too Much Love Will Kill You</v>
      </c>
      <c r="D61" s="95">
        <v>0.0</v>
      </c>
      <c r="E61" s="96" t="s">
        <v>414</v>
      </c>
      <c r="F61" s="66" t="str">
        <f t="shared" si="2"/>
        <v>Too Much Love Will Kill You.3.mid</v>
      </c>
      <c r="G61" s="97">
        <f>HLOOKUP(H61,'Queen Discography'!$C$2:$Q$3,2,FALSE)</f>
        <v>1995</v>
      </c>
      <c r="H61" s="66" t="str">
        <f>IF(COUNTIF('Queen Discography'!$C$4:$C$22,C61)&gt;0,"Queen",
IF(COUNTIF('Queen Discography'!$D$4:$D$22,C61)&gt;0,"Queen II",
IF(COUNTIF('Queen Discography'!$E$4:$E$22,C61)&gt;0,"Sheer Heart Attack",
IF(COUNTIF('Queen Discography'!$F$4:$F$22,C61)&gt;0,"A Night At The Opera",
IF(COUNTIF('Queen Discography'!$G$4:$G$22,C61)&gt;0,"A Day At The Races",
IF(COUNTIF('Queen Discography'!$H$4:$H$22,C61)&gt;0,"News Of The World",
IF(COUNTIF('Queen Discography'!$I$4:$I$22,C61)&gt;0,"Jazz",
IF(COUNTIF('Queen Discography'!$J$4:$J$22,C61)&gt;0,"The Game",
IF(COUNTIF('Queen Discography'!$K$4:$K$22,C61)&gt;0,"Flash Gordon",
IF(COUNTIF('Queen Discography'!$L$4:$L$22,C61)&gt;0,"Hot Space",
IF(COUNTIF('Queen Discography'!$M$4:$M$22,C61)&gt;0,"The Works",
IF(COUNTIF('Queen Discography'!$N$4:$N$22,C61)&gt;0,"A Kind Of Magic",
IF(COUNTIF('Queen Discography'!$O$4:$O$22,C61)&gt;0,"The Miracle",
IF(COUNTIF('Queen Discography'!$P$4:$P$22,C61)&gt;0,"Innuendo",
IF(COUNTIF('Queen Discography'!$Q$4:$Q$22,C61)&gt;0,"Made In Heaven","NOT FOUND")))))))))))))))</f>
        <v>Made In Heaven</v>
      </c>
      <c r="I61" s="1"/>
      <c r="J61" s="1"/>
      <c r="K61" s="1"/>
      <c r="L61" s="1"/>
      <c r="M61" s="87"/>
      <c r="N61" s="87"/>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row>
    <row r="62">
      <c r="A62" s="1"/>
      <c r="C62" s="66" t="str">
        <f t="array" ref="C62">INDEX('Queen MIDI'!$C$4:$C$66,MATCH(F62,'Queen MIDI'!$D$4:$D$66,0))</f>
        <v>You Don't Fool Me</v>
      </c>
      <c r="D62" s="95">
        <v>0.0</v>
      </c>
      <c r="E62" s="96" t="s">
        <v>415</v>
      </c>
      <c r="F62" s="66" t="str">
        <f t="shared" si="2"/>
        <v>You Don_t Fool Me.mid</v>
      </c>
      <c r="G62" s="97">
        <f>HLOOKUP(H62,'Queen Discography'!$C$2:$Q$3,2,FALSE)</f>
        <v>1995</v>
      </c>
      <c r="H62" s="66" t="str">
        <f>IF(COUNTIF('Queen Discography'!$C$4:$C$22,C62)&gt;0,"Queen",
IF(COUNTIF('Queen Discography'!$D$4:$D$22,C62)&gt;0,"Queen II",
IF(COUNTIF('Queen Discography'!$E$4:$E$22,C62)&gt;0,"Sheer Heart Attack",
IF(COUNTIF('Queen Discography'!$F$4:$F$22,C62)&gt;0,"A Night At The Opera",
IF(COUNTIF('Queen Discography'!$G$4:$G$22,C62)&gt;0,"A Day At The Races",
IF(COUNTIF('Queen Discography'!$H$4:$H$22,C62)&gt;0,"News Of The World",
IF(COUNTIF('Queen Discography'!$I$4:$I$22,C62)&gt;0,"Jazz",
IF(COUNTIF('Queen Discography'!$J$4:$J$22,C62)&gt;0,"The Game",
IF(COUNTIF('Queen Discography'!$K$4:$K$22,C62)&gt;0,"Flash Gordon",
IF(COUNTIF('Queen Discography'!$L$4:$L$22,C62)&gt;0,"Hot Space",
IF(COUNTIF('Queen Discography'!$M$4:$M$22,C62)&gt;0,"The Works",
IF(COUNTIF('Queen Discography'!$N$4:$N$22,C62)&gt;0,"A Kind Of Magic",
IF(COUNTIF('Queen Discography'!$O$4:$O$22,C62)&gt;0,"The Miracle",
IF(COUNTIF('Queen Discography'!$P$4:$P$22,C62)&gt;0,"Innuendo",
IF(COUNTIF('Queen Discography'!$Q$4:$Q$22,C62)&gt;0,"Made In Heaven","NOT FOUND")))))))))))))))</f>
        <v>Made In Heaven</v>
      </c>
      <c r="I62" s="1"/>
      <c r="J62" s="1"/>
      <c r="K62" s="1"/>
      <c r="L62" s="1"/>
      <c r="M62" s="87"/>
      <c r="N62" s="87"/>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c r="A63" s="1"/>
      <c r="C63" s="66" t="str">
        <f t="array" ref="C63">INDEX('Queen MIDI'!$C$4:$C$66,MATCH(F63,'Queen MIDI'!$D$4:$D$66,0))</f>
        <v>Living on My Own</v>
      </c>
      <c r="D63" s="95">
        <v>0.0</v>
      </c>
      <c r="E63" s="96" t="s">
        <v>416</v>
      </c>
      <c r="F63" s="66" t="str">
        <f t="shared" si="2"/>
        <v>Living on My Own.mid</v>
      </c>
      <c r="G63" s="97" t="str">
        <f>HLOOKUP(H63,'Queen Discography'!$C$2:$Q$3,2,FALSE)</f>
        <v>#N/A</v>
      </c>
      <c r="H63" s="66" t="str">
        <f>IF(COUNTIF('Queen Discography'!$C$4:$C$22,C63)&gt;0,"Queen",
IF(COUNTIF('Queen Discography'!$D$4:$D$22,C63)&gt;0,"Queen II",
IF(COUNTIF('Queen Discography'!$E$4:$E$22,C63)&gt;0,"Sheer Heart Attack",
IF(COUNTIF('Queen Discography'!$F$4:$F$22,C63)&gt;0,"A Night At The Opera",
IF(COUNTIF('Queen Discography'!$G$4:$G$22,C63)&gt;0,"A Day At The Races",
IF(COUNTIF('Queen Discography'!$H$4:$H$22,C63)&gt;0,"News Of The World",
IF(COUNTIF('Queen Discography'!$I$4:$I$22,C63)&gt;0,"Jazz",
IF(COUNTIF('Queen Discography'!$J$4:$J$22,C63)&gt;0,"The Game",
IF(COUNTIF('Queen Discography'!$K$4:$K$22,C63)&gt;0,"Flash Gordon",
IF(COUNTIF('Queen Discography'!$L$4:$L$22,C63)&gt;0,"Hot Space",
IF(COUNTIF('Queen Discography'!$M$4:$M$22,C63)&gt;0,"The Works",
IF(COUNTIF('Queen Discography'!$N$4:$N$22,C63)&gt;0,"A Kind Of Magic",
IF(COUNTIF('Queen Discography'!$O$4:$O$22,C63)&gt;0,"The Miracle",
IF(COUNTIF('Queen Discography'!$P$4:$P$22,C63)&gt;0,"Innuendo",
IF(COUNTIF('Queen Discography'!$Q$4:$Q$22,C63)&gt;0,"Made In Heaven","NOT FOUND")))))))))))))))</f>
        <v>NOT FOUND</v>
      </c>
      <c r="I63" s="1"/>
      <c r="J63" s="1"/>
      <c r="K63" s="1"/>
      <c r="L63" s="1"/>
      <c r="M63" s="87"/>
      <c r="N63" s="87"/>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row>
    <row r="64">
      <c r="A64" s="1"/>
      <c r="C64" s="66" t="str">
        <f t="array" ref="C64">INDEX('Queen MIDI'!$C$4:$C$66,MATCH(F64,'Queen MIDI'!$D$4:$D$66,0))</f>
        <v>Procession</v>
      </c>
      <c r="D64" s="95">
        <v>1.0</v>
      </c>
      <c r="E64" s="96" t="s">
        <v>417</v>
      </c>
      <c r="F64" s="66" t="str">
        <f t="shared" si="2"/>
        <v>Procession.mid</v>
      </c>
      <c r="G64" s="97">
        <f>HLOOKUP(H64,'Queen Discography'!$C$2:$Q$3,2,FALSE)</f>
        <v>1974</v>
      </c>
      <c r="H64" s="66" t="str">
        <f>IF(COUNTIF('Queen Discography'!$C$4:$C$22,C64)&gt;0,"Queen",
IF(COUNTIF('Queen Discography'!$D$4:$D$22,C64)&gt;0,"Queen II",
IF(COUNTIF('Queen Discography'!$E$4:$E$22,C64)&gt;0,"Sheer Heart Attack",
IF(COUNTIF('Queen Discography'!$F$4:$F$22,C64)&gt;0,"A Night At The Opera",
IF(COUNTIF('Queen Discography'!$G$4:$G$22,C64)&gt;0,"A Day At The Races",
IF(COUNTIF('Queen Discography'!$H$4:$H$22,C64)&gt;0,"News Of The World",
IF(COUNTIF('Queen Discography'!$I$4:$I$22,C64)&gt;0,"Jazz",
IF(COUNTIF('Queen Discography'!$J$4:$J$22,C64)&gt;0,"The Game",
IF(COUNTIF('Queen Discography'!$K$4:$K$22,C64)&gt;0,"Flash Gordon",
IF(COUNTIF('Queen Discography'!$L$4:$L$22,C64)&gt;0,"Hot Space",
IF(COUNTIF('Queen Discography'!$M$4:$M$22,C64)&gt;0,"The Works",
IF(COUNTIF('Queen Discography'!$N$4:$N$22,C64)&gt;0,"A Kind Of Magic",
IF(COUNTIF('Queen Discography'!$O$4:$O$22,C64)&gt;0,"The Miracle",
IF(COUNTIF('Queen Discography'!$P$4:$P$22,C64)&gt;0,"Innuendo",
IF(COUNTIF('Queen Discography'!$Q$4:$Q$22,C64)&gt;0,"Made In Heaven","NOT FOUND")))))))))))))))</f>
        <v>Queen II</v>
      </c>
      <c r="I64" s="1"/>
      <c r="J64" s="1"/>
      <c r="K64" s="1"/>
      <c r="L64" s="1"/>
      <c r="M64" s="87"/>
      <c r="N64" s="87"/>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row>
    <row r="65">
      <c r="A65" s="1"/>
      <c r="C65" s="66" t="str">
        <f t="array" ref="C65">INDEX('Queen MIDI'!$C$4:$C$66,MATCH(F65,'Queen MIDI'!$D$4:$D$66,0))</f>
        <v>The Great Pretender</v>
      </c>
      <c r="D65" s="95">
        <v>2.0</v>
      </c>
      <c r="E65" s="96" t="s">
        <v>418</v>
      </c>
      <c r="F65" s="66" t="str">
        <f t="shared" si="2"/>
        <v>The Great Pretender.mid</v>
      </c>
      <c r="G65" s="97" t="str">
        <f>HLOOKUP(H65,'Queen Discography'!$C$2:$Q$3,2,FALSE)</f>
        <v>#N/A</v>
      </c>
      <c r="H65" s="66" t="str">
        <f>IF(COUNTIF('Queen Discography'!$C$4:$C$22,C65)&gt;0,"Queen",
IF(COUNTIF('Queen Discography'!$D$4:$D$22,C65)&gt;0,"Queen II",
IF(COUNTIF('Queen Discography'!$E$4:$E$22,C65)&gt;0,"Sheer Heart Attack",
IF(COUNTIF('Queen Discography'!$F$4:$F$22,C65)&gt;0,"A Night At The Opera",
IF(COUNTIF('Queen Discography'!$G$4:$G$22,C65)&gt;0,"A Day At The Races",
IF(COUNTIF('Queen Discography'!$H$4:$H$22,C65)&gt;0,"News Of The World",
IF(COUNTIF('Queen Discography'!$I$4:$I$22,C65)&gt;0,"Jazz",
IF(COUNTIF('Queen Discography'!$J$4:$J$22,C65)&gt;0,"The Game",
IF(COUNTIF('Queen Discography'!$K$4:$K$22,C65)&gt;0,"Flash Gordon",
IF(COUNTIF('Queen Discography'!$L$4:$L$22,C65)&gt;0,"Hot Space",
IF(COUNTIF('Queen Discography'!$M$4:$M$22,C65)&gt;0,"The Works",
IF(COUNTIF('Queen Discography'!$N$4:$N$22,C65)&gt;0,"A Kind Of Magic",
IF(COUNTIF('Queen Discography'!$O$4:$O$22,C65)&gt;0,"The Miracle",
IF(COUNTIF('Queen Discography'!$P$4:$P$22,C65)&gt;0,"Innuendo",
IF(COUNTIF('Queen Discography'!$Q$4:$Q$22,C65)&gt;0,"Made In Heaven","NOT FOUND")))))))))))))))</f>
        <v>NOT FOUND</v>
      </c>
      <c r="I65" s="1"/>
      <c r="J65" s="1"/>
      <c r="K65" s="1"/>
      <c r="L65" s="1"/>
      <c r="M65" s="87"/>
      <c r="N65" s="87"/>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row>
    <row r="66">
      <c r="A66" s="1"/>
      <c r="C66" s="66" t="str">
        <f t="array" ref="C66">INDEX('Queen MIDI'!$C$4:$C$66,MATCH(F66,'Queen MIDI'!$D$4:$D$66,0))</f>
        <v>We Will Rock You</v>
      </c>
      <c r="D66" s="95">
        <v>3.0</v>
      </c>
      <c r="E66" s="96" t="s">
        <v>419</v>
      </c>
      <c r="F66" s="66" t="str">
        <f t="shared" si="2"/>
        <v>We Will Rock You.6.mid</v>
      </c>
      <c r="G66" s="97">
        <f>HLOOKUP(H66,'Queen Discography'!$C$2:$Q$3,2,FALSE)</f>
        <v>1977</v>
      </c>
      <c r="H66" s="66" t="str">
        <f>IF(COUNTIF('Queen Discography'!$C$4:$C$22,C66)&gt;0,"Queen",
IF(COUNTIF('Queen Discography'!$D$4:$D$22,C66)&gt;0,"Queen II",
IF(COUNTIF('Queen Discography'!$E$4:$E$22,C66)&gt;0,"Sheer Heart Attack",
IF(COUNTIF('Queen Discography'!$F$4:$F$22,C66)&gt;0,"A Night At The Opera",
IF(COUNTIF('Queen Discography'!$G$4:$G$22,C66)&gt;0,"A Day At The Races",
IF(COUNTIF('Queen Discography'!$H$4:$H$22,C66)&gt;0,"News Of The World",
IF(COUNTIF('Queen Discography'!$I$4:$I$22,C66)&gt;0,"Jazz",
IF(COUNTIF('Queen Discography'!$J$4:$J$22,C66)&gt;0,"The Game",
IF(COUNTIF('Queen Discography'!$K$4:$K$22,C66)&gt;0,"Flash Gordon",
IF(COUNTIF('Queen Discography'!$L$4:$L$22,C66)&gt;0,"Hot Space",
IF(COUNTIF('Queen Discography'!$M$4:$M$22,C66)&gt;0,"The Works",
IF(COUNTIF('Queen Discography'!$N$4:$N$22,C66)&gt;0,"A Kind Of Magic",
IF(COUNTIF('Queen Discography'!$O$4:$O$22,C66)&gt;0,"The Miracle",
IF(COUNTIF('Queen Discography'!$P$4:$P$22,C66)&gt;0,"Innuendo",
IF(COUNTIF('Queen Discography'!$Q$4:$Q$22,C66)&gt;0,"Made In Heaven","NOT FOUND")))))))))))))))</f>
        <v>News Of The World</v>
      </c>
      <c r="I66" s="1"/>
      <c r="J66" s="1"/>
      <c r="K66" s="1"/>
      <c r="L66" s="1"/>
      <c r="M66" s="87"/>
      <c r="N66" s="87"/>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row>
    <row r="67">
      <c r="A67" s="1"/>
      <c r="B67" s="19"/>
      <c r="C67" s="1"/>
      <c r="D67" s="1"/>
      <c r="E67" s="86"/>
      <c r="F67" s="1"/>
      <c r="G67" s="1"/>
      <c r="H67" s="1"/>
      <c r="I67" s="1"/>
      <c r="J67" s="1"/>
      <c r="K67" s="1"/>
      <c r="L67" s="1"/>
      <c r="M67" s="87"/>
      <c r="N67" s="87"/>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row>
  </sheetData>
  <autoFilter ref="$C$3:$H$66">
    <sortState ref="C3:H66">
      <sortCondition ref="D3:D66"/>
      <sortCondition ref="G3:G66"/>
      <sortCondition ref="H3:H66"/>
      <sortCondition ref="F3:F66"/>
    </sortState>
  </autoFilter>
  <mergeCells count="3">
    <mergeCell ref="C2:H2"/>
    <mergeCell ref="J2:BD2"/>
    <mergeCell ref="B4:B66"/>
  </mergeCells>
  <conditionalFormatting sqref="J4:BD21">
    <cfRule type="expression" dxfId="16" priority="1">
      <formula>$BD4=0</formula>
    </cfRule>
  </conditionalFormatting>
  <conditionalFormatting sqref="AF4:AU21">
    <cfRule type="expression" dxfId="17" priority="2">
      <formula>AND(AF4:AU4=MAX($AF4:$AU4),$BD4&lt;2)</formula>
    </cfRule>
  </conditionalFormatting>
  <conditionalFormatting sqref="P4:AE21">
    <cfRule type="expression" dxfId="18" priority="3">
      <formula>AND(P4:AE4=MAX($P4:$AE4),$BD4&lt;2)</formula>
    </cfRule>
  </conditionalFormatting>
  <conditionalFormatting sqref="J4:BD21">
    <cfRule type="expression" dxfId="19" priority="4">
      <formula>$BD4&lt;2</formula>
    </cfRule>
  </conditionalFormatting>
  <conditionalFormatting sqref="P4:AE21">
    <cfRule type="expression" dxfId="20" priority="5">
      <formula>P4:AE4=MAX($P4:$AE4)</formula>
    </cfRule>
  </conditionalFormatting>
  <conditionalFormatting sqref="AF4:AU21">
    <cfRule type="expression" dxfId="21" priority="6">
      <formula>AF4:AU4=MAX($AF4:$AU4)</formula>
    </cfRule>
  </conditionalFormatting>
  <conditionalFormatting sqref="C4:H66">
    <cfRule type="expression" dxfId="0" priority="7">
      <formula>$H4="NOT FOUND"</formula>
    </cfRule>
  </conditionalFormatting>
  <conditionalFormatting sqref="C4:H66">
    <cfRule type="expression" dxfId="1" priority="8">
      <formula>$H4="Queen"</formula>
    </cfRule>
  </conditionalFormatting>
  <conditionalFormatting sqref="C4:H66">
    <cfRule type="expression" dxfId="2" priority="9">
      <formula>$H4="Queen II"</formula>
    </cfRule>
  </conditionalFormatting>
  <conditionalFormatting sqref="C4:H66">
    <cfRule type="expression" dxfId="3" priority="10">
      <formula>$H4="Sheer Heart Attack"</formula>
    </cfRule>
  </conditionalFormatting>
  <conditionalFormatting sqref="C4:H66">
    <cfRule type="expression" dxfId="4" priority="11">
      <formula>$H4="A Night At The Opera"</formula>
    </cfRule>
  </conditionalFormatting>
  <conditionalFormatting sqref="C4:H66">
    <cfRule type="expression" dxfId="5" priority="12">
      <formula>$H4="A Day At The Races"</formula>
    </cfRule>
  </conditionalFormatting>
  <conditionalFormatting sqref="C4:H66">
    <cfRule type="expression" dxfId="6" priority="13">
      <formula>$H4="News Of The World"</formula>
    </cfRule>
  </conditionalFormatting>
  <conditionalFormatting sqref="C4:H66">
    <cfRule type="expression" dxfId="7" priority="14">
      <formula>$H4="Jazz"</formula>
    </cfRule>
  </conditionalFormatting>
  <conditionalFormatting sqref="C4:H66">
    <cfRule type="expression" dxfId="8" priority="15">
      <formula>$H4="The Game"</formula>
    </cfRule>
  </conditionalFormatting>
  <conditionalFormatting sqref="C4:H66">
    <cfRule type="expression" dxfId="9" priority="16">
      <formula>$H4="Flash Gordon"</formula>
    </cfRule>
  </conditionalFormatting>
  <conditionalFormatting sqref="C4:H66">
    <cfRule type="expression" dxfId="10" priority="17">
      <formula>$H4="Hot Space"</formula>
    </cfRule>
  </conditionalFormatting>
  <conditionalFormatting sqref="C4:H66">
    <cfRule type="expression" dxfId="11" priority="18">
      <formula>$H4="The Works"</formula>
    </cfRule>
  </conditionalFormatting>
  <conditionalFormatting sqref="C4:H66">
    <cfRule type="expression" dxfId="12" priority="19">
      <formula>$H4="A Kind Of Magic"</formula>
    </cfRule>
  </conditionalFormatting>
  <conditionalFormatting sqref="C4:H66">
    <cfRule type="expression" dxfId="13" priority="20">
      <formula>$H4="The Miracle"</formula>
    </cfRule>
  </conditionalFormatting>
  <conditionalFormatting sqref="C4:H66">
    <cfRule type="expression" dxfId="14" priority="21">
      <formula>$H4="Innuendo"</formula>
    </cfRule>
  </conditionalFormatting>
  <conditionalFormatting sqref="C4:H66">
    <cfRule type="expression" dxfId="15" priority="22">
      <formula>$H4="Made In Heaven"</formula>
    </cfRule>
  </conditionalFormatting>
  <conditionalFormatting sqref="G4:G66 H4">
    <cfRule type="expression" dxfId="0" priority="23">
      <formula>$H4="NOT FOUND"</formula>
    </cfRule>
  </conditionalFormatting>
  <printOptions gridLines="1" horizontalCentered="1"/>
  <pageMargins bottom="0.75" footer="0.0" header="0.0" left="0.25" right="0.25" top="0.75"/>
  <pageSetup fitToHeight="0" orientation="landscape" pageOrder="overThenDown" paperHeight="16in" paperWidth="16i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xSplit="2.0" topLeftCell="C1" activePane="topRight" state="frozen"/>
      <selection activeCell="D2" sqref="D2" pane="topRight"/>
    </sheetView>
  </sheetViews>
  <sheetFormatPr customHeight="1" defaultColWidth="12.63" defaultRowHeight="15.0" outlineLevelCol="1"/>
  <cols>
    <col customWidth="1" min="1" max="1" width="2.75"/>
    <col customWidth="1" min="3" max="3" width="24.63"/>
    <col collapsed="1" customWidth="1" min="4" max="4" width="2.5"/>
    <col customWidth="1" hidden="1" min="5" max="5" width="2.5" outlineLevel="1"/>
    <col customWidth="1" hidden="1" min="6" max="6" width="30.25" outlineLevel="1"/>
    <col customWidth="1" min="7" max="7" width="6.75"/>
    <col customWidth="1" min="8" max="8" width="16.75"/>
    <col customWidth="1" min="9" max="9" width="2.75"/>
    <col customWidth="1" min="10" max="10" width="6.38"/>
    <col customWidth="1" min="11" max="14" width="5.75"/>
    <col collapsed="1" customWidth="1" min="15" max="15" width="5.75"/>
    <col customWidth="1" hidden="1" min="16" max="47" width="5.75" outlineLevel="1"/>
    <col customWidth="1" min="48" max="48" width="17.63"/>
    <col customWidth="1" min="49" max="50" width="6.38"/>
    <col customWidth="1" min="51" max="51" width="15.38"/>
    <col customWidth="1" min="52" max="54" width="6.38"/>
    <col customWidth="1" min="55" max="56" width="5.75"/>
    <col customWidth="1" min="57" max="57" width="2.75"/>
  </cols>
  <sheetData>
    <row r="1">
      <c r="A1" s="1" t="s">
        <v>0</v>
      </c>
      <c r="B1" s="1"/>
      <c r="C1" s="1"/>
      <c r="D1" s="1"/>
      <c r="E1" s="1"/>
      <c r="F1" s="1"/>
      <c r="G1" s="114"/>
      <c r="H1" s="1"/>
      <c r="I1" s="1"/>
      <c r="J1" s="1"/>
      <c r="K1" s="1"/>
      <c r="L1" s="1"/>
      <c r="M1" s="1"/>
      <c r="N1" s="87"/>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ht="31.5" customHeight="1">
      <c r="A2" s="2"/>
      <c r="B2" s="56"/>
      <c r="C2" s="115" t="s">
        <v>420</v>
      </c>
      <c r="I2" s="19"/>
      <c r="J2" s="89" t="s">
        <v>337</v>
      </c>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19"/>
    </row>
    <row r="3" ht="31.5" customHeight="1">
      <c r="A3" s="2"/>
      <c r="B3" s="60"/>
      <c r="C3" s="61" t="s">
        <v>185</v>
      </c>
      <c r="D3" s="61" t="s">
        <v>338</v>
      </c>
      <c r="E3" s="61" t="s">
        <v>339</v>
      </c>
      <c r="F3" s="61" t="s">
        <v>186</v>
      </c>
      <c r="G3" s="116" t="s">
        <v>340</v>
      </c>
      <c r="H3" s="61" t="s">
        <v>187</v>
      </c>
      <c r="I3" s="36"/>
      <c r="J3" s="92" t="s">
        <v>341</v>
      </c>
      <c r="K3" s="92" t="s">
        <v>342</v>
      </c>
      <c r="L3" s="92" t="s">
        <v>343</v>
      </c>
      <c r="M3" s="92" t="s">
        <v>344</v>
      </c>
      <c r="N3" s="93" t="s">
        <v>345</v>
      </c>
      <c r="O3" s="92" t="s">
        <v>346</v>
      </c>
      <c r="P3" s="94" t="str">
        <f t="array" ref="P3:AE3">TRANSPOSE('Queen MIDI'!$H$4:$H$19)</f>
        <v>Queen</v>
      </c>
      <c r="Q3" s="94" t="s">
        <v>2</v>
      </c>
      <c r="R3" s="94" t="s">
        <v>3</v>
      </c>
      <c r="S3" s="94" t="s">
        <v>4</v>
      </c>
      <c r="T3" s="94" t="s">
        <v>5</v>
      </c>
      <c r="U3" s="94" t="s">
        <v>6</v>
      </c>
      <c r="V3" s="94" t="s">
        <v>7</v>
      </c>
      <c r="W3" s="94" t="s">
        <v>8</v>
      </c>
      <c r="X3" s="94" t="s">
        <v>9</v>
      </c>
      <c r="Y3" s="94" t="s">
        <v>10</v>
      </c>
      <c r="Z3" s="94" t="s">
        <v>11</v>
      </c>
      <c r="AA3" s="94" t="s">
        <v>12</v>
      </c>
      <c r="AB3" s="94" t="s">
        <v>13</v>
      </c>
      <c r="AC3" s="94" t="s">
        <v>14</v>
      </c>
      <c r="AD3" s="94" t="s">
        <v>15</v>
      </c>
      <c r="AE3" s="94" t="s">
        <v>227</v>
      </c>
      <c r="AF3" s="94" t="str">
        <f t="array" ref="AF3:AU3">TRANSPOSE('Queen MIDI'!$H$4:$H$19)</f>
        <v>Queen</v>
      </c>
      <c r="AG3" s="94" t="s">
        <v>2</v>
      </c>
      <c r="AH3" s="94" t="s">
        <v>3</v>
      </c>
      <c r="AI3" s="94" t="s">
        <v>4</v>
      </c>
      <c r="AJ3" s="94" t="s">
        <v>5</v>
      </c>
      <c r="AK3" s="94" t="s">
        <v>6</v>
      </c>
      <c r="AL3" s="94" t="s">
        <v>7</v>
      </c>
      <c r="AM3" s="94" t="s">
        <v>8</v>
      </c>
      <c r="AN3" s="94" t="s">
        <v>9</v>
      </c>
      <c r="AO3" s="94" t="s">
        <v>10</v>
      </c>
      <c r="AP3" s="94" t="s">
        <v>11</v>
      </c>
      <c r="AQ3" s="94" t="s">
        <v>12</v>
      </c>
      <c r="AR3" s="94" t="s">
        <v>13</v>
      </c>
      <c r="AS3" s="94" t="s">
        <v>14</v>
      </c>
      <c r="AT3" s="94" t="s">
        <v>15</v>
      </c>
      <c r="AU3" s="94" t="s">
        <v>227</v>
      </c>
      <c r="AV3" s="92" t="s">
        <v>347</v>
      </c>
      <c r="AW3" s="92" t="s">
        <v>348</v>
      </c>
      <c r="AX3" s="92" t="s">
        <v>349</v>
      </c>
      <c r="AY3" s="92" t="s">
        <v>350</v>
      </c>
      <c r="AZ3" s="92" t="s">
        <v>351</v>
      </c>
      <c r="BA3" s="92" t="s">
        <v>352</v>
      </c>
      <c r="BB3" s="92" t="s">
        <v>353</v>
      </c>
      <c r="BC3" s="92" t="s">
        <v>354</v>
      </c>
      <c r="BD3" s="92" t="s">
        <v>355</v>
      </c>
      <c r="BE3" s="36"/>
    </row>
    <row r="4">
      <c r="A4" s="1"/>
      <c r="B4" s="56" t="str">
        <f>CONCATENATE("Songs",CHAR(10),"(",COUNTA(C4:C66),")")</f>
        <v>Songs
(63)</v>
      </c>
      <c r="C4" s="66" t="str">
        <f t="array" ref="C4">INDEX('Queen MIDI'!$C$4:$C$66,MATCH(F4,'Queen MIDI'!$D$4:$D$66,0))</f>
        <v>Doing Alright</v>
      </c>
      <c r="D4" s="117">
        <v>0.0</v>
      </c>
      <c r="E4" s="118" t="s">
        <v>356</v>
      </c>
      <c r="F4" s="66" t="str">
        <f t="shared" ref="F4:F66" si="2">RIGHT(E4,LEN(E4)-75)</f>
        <v>Doing All Right.1.mid</v>
      </c>
      <c r="G4" s="119">
        <f>HLOOKUP(H4,'Queen Discography'!$C$2:$Q$3,2,FALSE)</f>
        <v>1973</v>
      </c>
      <c r="H4" s="66" t="str">
        <f>IF(COUNTIF('Queen Discography'!$C$4:$C$22,C4)&gt;0,"Queen",
IF(COUNTIF('Queen Discography'!$D$4:$D$22,C4)&gt;0,"Queen II",
IF(COUNTIF('Queen Discography'!$E$4:$E$22,C4)&gt;0,"Sheer Heart Attack",
IF(COUNTIF('Queen Discography'!$F$4:$F$22,C4)&gt;0,"A Night At The Opera",
IF(COUNTIF('Queen Discography'!$G$4:$G$22,C4)&gt;0,"A Day At The Races",
IF(COUNTIF('Queen Discography'!$H$4:$H$22,C4)&gt;0,"News Of The World",
IF(COUNTIF('Queen Discography'!$I$4:$I$22,C4)&gt;0,"Jazz",
IF(COUNTIF('Queen Discography'!$J$4:$J$22,C4)&gt;0,"The Game",
IF(COUNTIF('Queen Discography'!$K$4:$K$22,C4)&gt;0,"Flash Gordon",
IF(COUNTIF('Queen Discography'!$L$4:$L$22,C4)&gt;0,"Hot Space",
IF(COUNTIF('Queen Discography'!$M$4:$M$22,C4)&gt;0,"The Works",
IF(COUNTIF('Queen Discography'!$N$4:$N$22,C4)&gt;0,"A Kind Of Magic",
IF(COUNTIF('Queen Discography'!$O$4:$O$22,C4)&gt;0,"The Miracle",
IF(COUNTIF('Queen Discography'!$P$4:$P$22,C4)&gt;0,"Innuendo",
IF(COUNTIF('Queen Discography'!$Q$4:$Q$22,C4)&gt;0,"Made In Heaven","NOT FOUND")))))))))))))))</f>
        <v>Queen</v>
      </c>
      <c r="I4" s="1"/>
      <c r="J4" s="98">
        <v>0.0</v>
      </c>
      <c r="K4" s="99">
        <f>IF(MINIFS($G$4:$G$66,$D$4:$D$66,$J4,$G$4:$G$66,"&lt;&gt;#N/A")=0,"N/A",MINIFS($G$4:$G$66,$D$4:$D$66,$J4,$G$4:$G$66,"&lt;&gt;#N/A"))</f>
        <v>1973</v>
      </c>
      <c r="L4" s="99">
        <f t="shared" ref="L4:L21" si="3">IF(MAXIFS($G$4:$G$66,$D$4:$D$66,$J4,$G$4:$G$66,"&lt;&gt;#N/A")=0,"N/A",MAXIFS($G$4:$G$66,$D$4:$D$66,$J4,$G$4:$G$66,"&lt;&gt;#N/A"))</f>
        <v>1995</v>
      </c>
      <c r="M4" s="99">
        <f t="shared" ref="M4:M21" si="4">IFERROR(ROUND(AVERAGEIFS($G$4:$G$66,$D$4:$D$66,$J4,$G$4:$G$66,"&lt;&gt;#N/A"),0),"N/A")</f>
        <v>1983</v>
      </c>
      <c r="N4" s="100">
        <f>IFERROR(__xludf.DUMMYFUNCTION("IFERROR(MEDIAN(FILTER($G$4:$G$66,$D$4:$D$66=$J4,ISNUMBER($G$4:$G$66))),""N/A"")"),1983.0)</f>
        <v>1983</v>
      </c>
      <c r="O4" s="99">
        <f>IFERROR(__xludf.DUMMYFUNCTION("IFERROR(MODE(FILTER($G$4:$G$66,$D$4:$D$66=$J4,ISNUMBER($G$4:$G$66))),""N/A"")"),1991.0)</f>
        <v>1991</v>
      </c>
      <c r="P4" s="99">
        <f t="shared" ref="P4:AE4" si="1">COUNTIFS($H$4:$H$66,P$3,$D$4:$D$66,$J4)</f>
        <v>4</v>
      </c>
      <c r="Q4" s="99">
        <f t="shared" si="1"/>
        <v>2</v>
      </c>
      <c r="R4" s="99">
        <f t="shared" si="1"/>
        <v>2</v>
      </c>
      <c r="S4" s="99">
        <f t="shared" si="1"/>
        <v>5</v>
      </c>
      <c r="T4" s="99">
        <f t="shared" si="1"/>
        <v>3</v>
      </c>
      <c r="U4" s="99">
        <f t="shared" si="1"/>
        <v>4</v>
      </c>
      <c r="V4" s="99">
        <f t="shared" si="1"/>
        <v>5</v>
      </c>
      <c r="W4" s="99">
        <f t="shared" si="1"/>
        <v>4</v>
      </c>
      <c r="X4" s="99">
        <f t="shared" si="1"/>
        <v>0</v>
      </c>
      <c r="Y4" s="99">
        <f t="shared" si="1"/>
        <v>1</v>
      </c>
      <c r="Z4" s="99">
        <f t="shared" si="1"/>
        <v>4</v>
      </c>
      <c r="AA4" s="99">
        <f t="shared" si="1"/>
        <v>5</v>
      </c>
      <c r="AB4" s="99">
        <f t="shared" si="1"/>
        <v>5</v>
      </c>
      <c r="AC4" s="99">
        <f t="shared" si="1"/>
        <v>9</v>
      </c>
      <c r="AD4" s="99">
        <f t="shared" si="1"/>
        <v>7</v>
      </c>
      <c r="AE4" s="99">
        <f t="shared" si="1"/>
        <v>2</v>
      </c>
      <c r="AF4" s="101">
        <f t="array" ref="AF4:AU4">IFERROR(P4:AE4*TRANSPOSE('Queen MIDI'!$J$4:$J$19),"N/A")</f>
        <v>3.9375</v>
      </c>
      <c r="AG4" s="101">
        <v>2.625</v>
      </c>
      <c r="AH4" s="101">
        <v>3.9375</v>
      </c>
      <c r="AI4" s="101">
        <v>3.9375</v>
      </c>
      <c r="AJ4" s="101">
        <v>3.9375</v>
      </c>
      <c r="AK4" s="101">
        <v>3.9375</v>
      </c>
      <c r="AL4" s="101">
        <v>3.9375</v>
      </c>
      <c r="AM4" s="101">
        <v>3.9375</v>
      </c>
      <c r="AN4" s="101" t="s">
        <v>357</v>
      </c>
      <c r="AO4" s="101">
        <v>3.9375</v>
      </c>
      <c r="AP4" s="101">
        <v>3.9375</v>
      </c>
      <c r="AQ4" s="102">
        <v>3.9375</v>
      </c>
      <c r="AR4" s="102">
        <v>3.9375</v>
      </c>
      <c r="AS4" s="102">
        <v>3.9375</v>
      </c>
      <c r="AT4" s="101">
        <v>3.9375</v>
      </c>
      <c r="AU4" s="101">
        <v>3.9375</v>
      </c>
      <c r="AV4" s="99" t="str">
        <f>IFERROR(__xludf.DUMMYFUNCTION("JOIN("", "",FILTER($P$3:$AE$3,$P4:$AE4=MAX($P4:$AE4)))"),"Innuendo")</f>
        <v>Innuendo</v>
      </c>
      <c r="AW4" s="99">
        <f t="shared" ref="AW4:AW21" si="6">MAX($P4:$AE4)</f>
        <v>9</v>
      </c>
      <c r="AX4" s="99">
        <f>IFERROR(__xludf.DUMMYFUNCTION("COUNTA(FILTER($P$3:$AE$3,$P4:$AE4=MAX($P4:$AE4)))"),1.0)</f>
        <v>1</v>
      </c>
      <c r="AY4" s="99" t="str">
        <f>IFERROR(__xludf.DUMMYFUNCTION("IFERROR(JOIN("", "",FILTER($AF$3:$AU$3,$AF4:$AU4=MAXIFS($AF4:$AU4,$AF$23:$AU$23,TRUE),$AF$23:$AU$23)),""N/A"")"),"Queen, Sheer Heart Attack, A Night At The Opera, A Day At The Races, News Of The World, Jazz, The Game, The Works, A Kind Of Magic, The Miracle, Innuendo, Made In Heaven, NOT FOUND")</f>
        <v>Queen, Sheer Heart Attack, A Night At The Opera, A Day At The Races, News Of The World, Jazz, The Game, The Works, A Kind Of Magic, The Miracle, Innuendo, Made In Heaven, NOT FOUND</v>
      </c>
      <c r="AZ4" s="103" t="str">
        <f>IFERROR(__xludf.DUMMYFUNCTION("IFERROR(JOIN("", "",FILTER($P4:$AE4,$AF4:$AU4=MAXIFS($AF4:$AU4,$AF$23:$AU$23,TRUE),$AF$23:$AU$23)),""N/A"")"),"4, 2, 5, 3, 4, 5, 4, 4, 5, 5, 9, 7, 2")</f>
        <v>4, 2, 5, 3, 4, 5, 4, 4, 5, 5, 9, 7, 2</v>
      </c>
      <c r="BA4" s="103">
        <f>MAXIFS(AF4:AU4,$AF$23:$AU$23,TRUE)/'Queen MIDI'!$J$20</f>
        <v>1</v>
      </c>
      <c r="BB4" s="98">
        <f>IFERROR(__xludf.DUMMYFUNCTION("COUNTA(IFERROR(FILTER($AF$3:$AU$3,$AF4:$AU4=MAXIFS($AF4:$AU4,$AF$23:$AU$23,TRUE),$AF$23:$AU$23),))"),13.0)</f>
        <v>13</v>
      </c>
      <c r="BC4" s="103">
        <f t="shared" ref="BC4:BC21" si="7">$BD4/$BD$22</f>
        <v>0.9841269841</v>
      </c>
      <c r="BD4" s="99">
        <f t="shared" ref="BD4:BD21" si="8">COUNTIF($D$4:$D$66,J4)</f>
        <v>62</v>
      </c>
      <c r="BE4" s="1"/>
    </row>
    <row r="5">
      <c r="A5" s="1"/>
      <c r="C5" s="66" t="str">
        <f t="array" ref="C5">INDEX('Queen MIDI'!$C$4:$C$66,MATCH(F5,'Queen MIDI'!$D$4:$D$66,0))</f>
        <v>Keep Yourself Alive</v>
      </c>
      <c r="D5" s="117">
        <v>0.0</v>
      </c>
      <c r="E5" s="118" t="s">
        <v>358</v>
      </c>
      <c r="F5" s="66" t="str">
        <f t="shared" si="2"/>
        <v>Keep Yourself Alive.mid</v>
      </c>
      <c r="G5" s="120">
        <f>HLOOKUP(H5,'Queen Discography'!$C$2:$Q$3,2,FALSE)</f>
        <v>1973</v>
      </c>
      <c r="H5" s="66" t="str">
        <f>IF(COUNTIF('Queen Discography'!$C$4:$C$22,C5)&gt;0,"Queen",
IF(COUNTIF('Queen Discography'!$D$4:$D$22,C5)&gt;0,"Queen II",
IF(COUNTIF('Queen Discography'!$E$4:$E$22,C5)&gt;0,"Sheer Heart Attack",
IF(COUNTIF('Queen Discography'!$F$4:$F$22,C5)&gt;0,"A Night At The Opera",
IF(COUNTIF('Queen Discography'!$G$4:$G$22,C5)&gt;0,"A Day At The Races",
IF(COUNTIF('Queen Discography'!$H$4:$H$22,C5)&gt;0,"News Of The World",
IF(COUNTIF('Queen Discography'!$I$4:$I$22,C5)&gt;0,"Jazz",
IF(COUNTIF('Queen Discography'!$J$4:$J$22,C5)&gt;0,"The Game",
IF(COUNTIF('Queen Discography'!$K$4:$K$22,C5)&gt;0,"Flash Gordon",
IF(COUNTIF('Queen Discography'!$L$4:$L$22,C5)&gt;0,"Hot Space",
IF(COUNTIF('Queen Discography'!$M$4:$M$22,C5)&gt;0,"The Works",
IF(COUNTIF('Queen Discography'!$N$4:$N$22,C5)&gt;0,"A Kind Of Magic",
IF(COUNTIF('Queen Discography'!$O$4:$O$22,C5)&gt;0,"The Miracle",
IF(COUNTIF('Queen Discography'!$P$4:$P$22,C5)&gt;0,"Innuendo",
IF(COUNTIF('Queen Discography'!$Q$4:$Q$22,C5)&gt;0,"Made In Heaven","NOT FOUND")))))))))))))))</f>
        <v>Queen</v>
      </c>
      <c r="I5" s="1"/>
      <c r="J5" s="98">
        <v>1.0</v>
      </c>
      <c r="K5" s="99">
        <f t="shared" ref="K5:K21" si="9">IF(MINIFS($G$4:$G$66,$D$4:$D$66,J5,$G$4:$G$66,"&lt;&gt;#N/A")=0,"N/A",MINIFS($G$4:$G$66,$D$4:$D$66,J5,$G$4:$G$66,"&lt;&gt;#N/A"))</f>
        <v>1974</v>
      </c>
      <c r="L5" s="99">
        <f t="shared" si="3"/>
        <v>1974</v>
      </c>
      <c r="M5" s="99">
        <f t="shared" si="4"/>
        <v>1974</v>
      </c>
      <c r="N5" s="99">
        <f>IFERROR(ROUND(AVERAGEIFS($G$4:$G$66,$D$4:$D$66,$J5,$G$4:$G$66,"&lt;&gt;#N/A"),0),"N/A")</f>
        <v>1974</v>
      </c>
      <c r="O5" s="99" t="str">
        <f>IFERROR(__xludf.DUMMYFUNCTION("IFERROR(MODE(FILTER($G$4:$G$66,$D$4:$D$66=$J5,ISNUMBER($G$4:$G$66))),""N/A"")"),"N/A")</f>
        <v>N/A</v>
      </c>
      <c r="P5" s="99">
        <f t="shared" ref="P5:AE5" si="5">COUNTIFS($H$4:$H$66,P$3,$D$4:$D$66,$J5)</f>
        <v>0</v>
      </c>
      <c r="Q5" s="99">
        <f t="shared" si="5"/>
        <v>1</v>
      </c>
      <c r="R5" s="99">
        <f t="shared" si="5"/>
        <v>0</v>
      </c>
      <c r="S5" s="99">
        <f t="shared" si="5"/>
        <v>0</v>
      </c>
      <c r="T5" s="99">
        <f t="shared" si="5"/>
        <v>0</v>
      </c>
      <c r="U5" s="99">
        <f t="shared" si="5"/>
        <v>0</v>
      </c>
      <c r="V5" s="99">
        <f t="shared" si="5"/>
        <v>0</v>
      </c>
      <c r="W5" s="99">
        <f t="shared" si="5"/>
        <v>0</v>
      </c>
      <c r="X5" s="99">
        <f t="shared" si="5"/>
        <v>0</v>
      </c>
      <c r="Y5" s="99">
        <f t="shared" si="5"/>
        <v>0</v>
      </c>
      <c r="Z5" s="99">
        <f t="shared" si="5"/>
        <v>0</v>
      </c>
      <c r="AA5" s="99">
        <f t="shared" si="5"/>
        <v>0</v>
      </c>
      <c r="AB5" s="99">
        <f t="shared" si="5"/>
        <v>0</v>
      </c>
      <c r="AC5" s="99">
        <f t="shared" si="5"/>
        <v>0</v>
      </c>
      <c r="AD5" s="99">
        <f t="shared" si="5"/>
        <v>0</v>
      </c>
      <c r="AE5" s="99">
        <f t="shared" si="5"/>
        <v>0</v>
      </c>
      <c r="AF5" s="101">
        <f t="array" ref="AF5:AU5">IFERROR(P5:AE5*TRANSPOSE('Queen MIDI'!$J$4:$J$19),"N/A")</f>
        <v>0</v>
      </c>
      <c r="AG5" s="101">
        <v>1.3125</v>
      </c>
      <c r="AH5" s="101">
        <v>0.0</v>
      </c>
      <c r="AI5" s="101">
        <v>0.0</v>
      </c>
      <c r="AJ5" s="101">
        <v>0.0</v>
      </c>
      <c r="AK5" s="101">
        <v>0.0</v>
      </c>
      <c r="AL5" s="101">
        <v>0.0</v>
      </c>
      <c r="AM5" s="101">
        <v>0.0</v>
      </c>
      <c r="AN5" s="101" t="s">
        <v>357</v>
      </c>
      <c r="AO5" s="101">
        <v>0.0</v>
      </c>
      <c r="AP5" s="101">
        <v>0.0</v>
      </c>
      <c r="AQ5" s="101">
        <v>0.0</v>
      </c>
      <c r="AR5" s="101">
        <v>0.0</v>
      </c>
      <c r="AS5" s="101">
        <v>0.0</v>
      </c>
      <c r="AT5" s="101">
        <v>0.0</v>
      </c>
      <c r="AU5" s="101">
        <v>0.0</v>
      </c>
      <c r="AV5" s="99" t="str">
        <f>IFERROR(__xludf.DUMMYFUNCTION("JOIN("", "",FILTER($P$3:$AE$3,$P5:$AE5=MAX($P5:$AE5)))"),"Queen II")</f>
        <v>Queen II</v>
      </c>
      <c r="AW5" s="99">
        <f t="shared" si="6"/>
        <v>1</v>
      </c>
      <c r="AX5" s="99">
        <f>IFERROR(__xludf.DUMMYFUNCTION("COUNTA(FILTER($P$3:$AE$3,$P5:$AE5=MAX($P5:$AE5)))"),1.0)</f>
        <v>1</v>
      </c>
      <c r="AY5" s="99" t="str">
        <f>IFERROR(__xludf.DUMMYFUNCTION("IFERROR(JOIN("", "",FILTER($AF$3:$AU$3,$AF5:$AU5=MAXIFS($AF5:$AU5,$AF$23:$AU$23,TRUE),$AF$23:$AU$23)),""N/A"")"),"Queen II")</f>
        <v>Queen II</v>
      </c>
      <c r="AZ5" s="103" t="str">
        <f>IFERROR(__xludf.DUMMYFUNCTION("IFERROR(JOIN("", "",FILTER($P5:$AE5,$AF5:$AU5=MAXIFS($AF5:$AU5,$AF$23:$AU$23,TRUE),$AF$23:$AU$23)),""N/A"")"),"1")</f>
        <v>1</v>
      </c>
      <c r="BA5" s="103">
        <f>MAXIFS(AF5:AU5,$AF$23:$AU$23,TRUE)/'Queen MIDI'!$J$20</f>
        <v>0.3333333333</v>
      </c>
      <c r="BB5" s="98">
        <f>IFERROR(__xludf.DUMMYFUNCTION("COUNTA(IFERROR(FILTER($AF$3:$AU$3,$AF5:$AU5=MAXIFS($AF5:$AU5,$AF$23:$AU$23,TRUE),$AF$23:$AU$23),))"),1.0)</f>
        <v>1</v>
      </c>
      <c r="BC5" s="103">
        <f t="shared" si="7"/>
        <v>0.01587301587</v>
      </c>
      <c r="BD5" s="99">
        <f t="shared" si="8"/>
        <v>1</v>
      </c>
      <c r="BE5" s="1"/>
    </row>
    <row r="6">
      <c r="A6" s="1"/>
      <c r="C6" s="66" t="str">
        <f t="array" ref="C6">INDEX('Queen MIDI'!$C$4:$C$66,MATCH(F6,'Queen MIDI'!$D$4:$D$66,0))</f>
        <v>Seven Seas of Rhye</v>
      </c>
      <c r="D6" s="117">
        <v>0.0</v>
      </c>
      <c r="E6" s="118" t="s">
        <v>359</v>
      </c>
      <c r="F6" s="66" t="str">
        <f t="shared" si="2"/>
        <v>Seven Seas of Rhye.1.mid</v>
      </c>
      <c r="G6" s="121">
        <f>HLOOKUP(H6,'Queen Discography'!$C$2:$Q$3,2,FALSE)</f>
        <v>1973</v>
      </c>
      <c r="H6" s="66" t="str">
        <f>IF(COUNTIF('Queen Discography'!$C$4:$C$22,C6)&gt;0,"Queen",
IF(COUNTIF('Queen Discography'!$D$4:$D$22,C6)&gt;0,"Queen II",
IF(COUNTIF('Queen Discography'!$E$4:$E$22,C6)&gt;0,"Sheer Heart Attack",
IF(COUNTIF('Queen Discography'!$F$4:$F$22,C6)&gt;0,"A Night At The Opera",
IF(COUNTIF('Queen Discography'!$G$4:$G$22,C6)&gt;0,"A Day At The Races",
IF(COUNTIF('Queen Discography'!$H$4:$H$22,C6)&gt;0,"News Of The World",
IF(COUNTIF('Queen Discography'!$I$4:$I$22,C6)&gt;0,"Jazz",
IF(COUNTIF('Queen Discography'!$J$4:$J$22,C6)&gt;0,"The Game",
IF(COUNTIF('Queen Discography'!$K$4:$K$22,C6)&gt;0,"Flash Gordon",
IF(COUNTIF('Queen Discography'!$L$4:$L$22,C6)&gt;0,"Hot Space",
IF(COUNTIF('Queen Discography'!$M$4:$M$22,C6)&gt;0,"The Works",
IF(COUNTIF('Queen Discography'!$N$4:$N$22,C6)&gt;0,"A Kind Of Magic",
IF(COUNTIF('Queen Discography'!$O$4:$O$22,C6)&gt;0,"The Miracle",
IF(COUNTIF('Queen Discography'!$P$4:$P$22,C6)&gt;0,"Innuendo",
IF(COUNTIF('Queen Discography'!$Q$4:$Q$22,C6)&gt;0,"Made In Heaven","NOT FOUND")))))))))))))))</f>
        <v>Queen</v>
      </c>
      <c r="I6" s="1"/>
      <c r="J6" s="98">
        <v>2.0</v>
      </c>
      <c r="K6" s="99" t="str">
        <f t="shared" si="9"/>
        <v>N/A</v>
      </c>
      <c r="L6" s="99" t="str">
        <f t="shared" si="3"/>
        <v>N/A</v>
      </c>
      <c r="M6" s="99" t="str">
        <f t="shared" si="4"/>
        <v>N/A</v>
      </c>
      <c r="N6" s="100" t="str">
        <f>IFERROR(__xludf.DUMMYFUNCTION("IFERROR(MEDIAN(FILTER($G$4:$G$66,$D$4:$D$66=$J6,ISNUMBER($G$4:$G$66))),""N/A"")"),"N/A")</f>
        <v>N/A</v>
      </c>
      <c r="O6" s="99" t="str">
        <f>IFERROR(__xludf.DUMMYFUNCTION("IFERROR(MODE(FILTER($G$4:$G$66,$D$4:$D$66=$J6,ISNUMBER($G$4:$G$66))),""N/A"")"),"N/A")</f>
        <v>N/A</v>
      </c>
      <c r="P6" s="99">
        <f t="shared" ref="P6:AE6" si="10">COUNTIFS($H$4:$H$66,P$3,$D$4:$D$66,$J6)</f>
        <v>0</v>
      </c>
      <c r="Q6" s="99">
        <f t="shared" si="10"/>
        <v>0</v>
      </c>
      <c r="R6" s="99">
        <f t="shared" si="10"/>
        <v>0</v>
      </c>
      <c r="S6" s="99">
        <f t="shared" si="10"/>
        <v>0</v>
      </c>
      <c r="T6" s="99">
        <f t="shared" si="10"/>
        <v>0</v>
      </c>
      <c r="U6" s="99">
        <f t="shared" si="10"/>
        <v>0</v>
      </c>
      <c r="V6" s="99">
        <f t="shared" si="10"/>
        <v>0</v>
      </c>
      <c r="W6" s="99">
        <f t="shared" si="10"/>
        <v>0</v>
      </c>
      <c r="X6" s="99">
        <f t="shared" si="10"/>
        <v>0</v>
      </c>
      <c r="Y6" s="99">
        <f t="shared" si="10"/>
        <v>0</v>
      </c>
      <c r="Z6" s="99">
        <f t="shared" si="10"/>
        <v>0</v>
      </c>
      <c r="AA6" s="99">
        <f t="shared" si="10"/>
        <v>0</v>
      </c>
      <c r="AB6" s="99">
        <f t="shared" si="10"/>
        <v>0</v>
      </c>
      <c r="AC6" s="99">
        <f t="shared" si="10"/>
        <v>0</v>
      </c>
      <c r="AD6" s="99">
        <f t="shared" si="10"/>
        <v>0</v>
      </c>
      <c r="AE6" s="99">
        <f t="shared" si="10"/>
        <v>0</v>
      </c>
      <c r="AF6" s="101">
        <f t="array" ref="AF6:AU6">IFERROR(P6:AE6*TRANSPOSE('Queen MIDI'!$J$4:$J$19),"N/A")</f>
        <v>0</v>
      </c>
      <c r="AG6" s="101">
        <v>0.0</v>
      </c>
      <c r="AH6" s="101">
        <v>0.0</v>
      </c>
      <c r="AI6" s="101">
        <v>0.0</v>
      </c>
      <c r="AJ6" s="101">
        <v>0.0</v>
      </c>
      <c r="AK6" s="101">
        <v>0.0</v>
      </c>
      <c r="AL6" s="101">
        <v>0.0</v>
      </c>
      <c r="AM6" s="101">
        <v>0.0</v>
      </c>
      <c r="AN6" s="101" t="s">
        <v>357</v>
      </c>
      <c r="AO6" s="101">
        <v>0.0</v>
      </c>
      <c r="AP6" s="101">
        <v>0.0</v>
      </c>
      <c r="AQ6" s="101">
        <v>0.0</v>
      </c>
      <c r="AR6" s="101">
        <v>0.0</v>
      </c>
      <c r="AS6" s="101">
        <v>0.0</v>
      </c>
      <c r="AT6" s="101">
        <v>0.0</v>
      </c>
      <c r="AU6" s="101">
        <v>0.0</v>
      </c>
      <c r="AV6" s="99" t="str">
        <f>IFERROR(__xludf.DUMMYFUNCTION("JOIN("", "",FILTER($P$3:$AE$3,$P6:$AE6=MAX($P6:$AE6)))"),"Queen,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6" s="99">
        <f t="shared" si="6"/>
        <v>0</v>
      </c>
      <c r="AX6" s="99">
        <f>IFERROR(__xludf.DUMMYFUNCTION("COUNTA(FILTER($P$3:$AE$3,$P6:$AE6=MAX($P6:$AE6)))"),16.0)</f>
        <v>16</v>
      </c>
      <c r="AY6" s="99" t="str">
        <f>IFERROR(__xludf.DUMMYFUNCTION("IFERROR(JOIN("", "",FILTER($AF$3:$AU$3,$AF6:$AU6=MAXIFS($AF6:$AU6,$AF$23:$AU$23,TRUE),$AF$23:$AU$23)),""N/A"")"),"Queen,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6" s="103" t="str">
        <f>IFERROR(__xludf.DUMMYFUNCTION("IFERROR(JOIN("", "",FILTER($P6:$AE6,$AF6:$AU6=MAXIFS($AF6:$AU6,$AF$23:$AU$23,TRUE),$AF$23:$AU$23)),""N/A"")"),"0, 0, 0, 0, 0, 0, 0, 0, 0, 0, 0, 0, 0, 0")</f>
        <v>0, 0, 0, 0, 0, 0, 0, 0, 0, 0, 0, 0, 0, 0</v>
      </c>
      <c r="BA6" s="103">
        <f>MAXIFS(AF6:AU6,$AF$23:$AU$23,TRUE)/'Queen MIDI'!$J$20</f>
        <v>0</v>
      </c>
      <c r="BB6" s="98">
        <f>IFERROR(__xludf.DUMMYFUNCTION("COUNTA(IFERROR(FILTER($AF$3:$AU$3,$AF6:$AU6=MAXIFS($AF6:$AU6,$AF$23:$AU$23,TRUE),$AF$23:$AU$23),))"),14.0)</f>
        <v>14</v>
      </c>
      <c r="BC6" s="103">
        <f t="shared" si="7"/>
        <v>0</v>
      </c>
      <c r="BD6" s="99">
        <f t="shared" si="8"/>
        <v>0</v>
      </c>
      <c r="BE6" s="1"/>
    </row>
    <row r="7">
      <c r="A7" s="1"/>
      <c r="C7" s="66" t="str">
        <f t="array" ref="C7">INDEX('Queen MIDI'!$C$4:$C$66,MATCH(F7,'Queen MIDI'!$D$4:$D$66,0))</f>
        <v>Son and Daughter</v>
      </c>
      <c r="D7" s="117">
        <v>0.0</v>
      </c>
      <c r="E7" s="118" t="s">
        <v>360</v>
      </c>
      <c r="F7" s="66" t="str">
        <f t="shared" si="2"/>
        <v>Son and Daughter.1.mid</v>
      </c>
      <c r="G7" s="122">
        <f>HLOOKUP(H7,'Queen Discography'!$C$2:$Q$3,2,FALSE)</f>
        <v>1973</v>
      </c>
      <c r="H7" s="66" t="str">
        <f>IF(COUNTIF('Queen Discography'!$C$4:$C$22,C7)&gt;0,"Queen",
IF(COUNTIF('Queen Discography'!$D$4:$D$22,C7)&gt;0,"Queen II",
IF(COUNTIF('Queen Discography'!$E$4:$E$22,C7)&gt;0,"Sheer Heart Attack",
IF(COUNTIF('Queen Discography'!$F$4:$F$22,C7)&gt;0,"A Night At The Opera",
IF(COUNTIF('Queen Discography'!$G$4:$G$22,C7)&gt;0,"A Day At The Races",
IF(COUNTIF('Queen Discography'!$H$4:$H$22,C7)&gt;0,"News Of The World",
IF(COUNTIF('Queen Discography'!$I$4:$I$22,C7)&gt;0,"Jazz",
IF(COUNTIF('Queen Discography'!$J$4:$J$22,C7)&gt;0,"The Game",
IF(COUNTIF('Queen Discography'!$K$4:$K$22,C7)&gt;0,"Flash Gordon",
IF(COUNTIF('Queen Discography'!$L$4:$L$22,C7)&gt;0,"Hot Space",
IF(COUNTIF('Queen Discography'!$M$4:$M$22,C7)&gt;0,"The Works",
IF(COUNTIF('Queen Discography'!$N$4:$N$22,C7)&gt;0,"A Kind Of Magic",
IF(COUNTIF('Queen Discography'!$O$4:$O$22,C7)&gt;0,"The Miracle",
IF(COUNTIF('Queen Discography'!$P$4:$P$22,C7)&gt;0,"Innuendo",
IF(COUNTIF('Queen Discography'!$Q$4:$Q$22,C7)&gt;0,"Made In Heaven","NOT FOUND")))))))))))))))</f>
        <v>Queen</v>
      </c>
      <c r="I7" s="1"/>
      <c r="J7" s="98">
        <v>3.0</v>
      </c>
      <c r="K7" s="99" t="str">
        <f t="shared" si="9"/>
        <v>N/A</v>
      </c>
      <c r="L7" s="99" t="str">
        <f t="shared" si="3"/>
        <v>N/A</v>
      </c>
      <c r="M7" s="99" t="str">
        <f t="shared" si="4"/>
        <v>N/A</v>
      </c>
      <c r="N7" s="100" t="str">
        <f>IFERROR(__xludf.DUMMYFUNCTION("IFERROR(MEDIAN(FILTER($G$4:$G$66,$D$4:$D$66=$J7,ISNUMBER($G$4:$G$66))),""N/A"")"),"N/A")</f>
        <v>N/A</v>
      </c>
      <c r="O7" s="99" t="str">
        <f>IFERROR(__xludf.DUMMYFUNCTION("IFERROR(MODE(FILTER($G$4:$G$66,$D$4:$D$66=$J7,ISNUMBER($G$4:$G$66))),""N/A"")"),"N/A")</f>
        <v>N/A</v>
      </c>
      <c r="P7" s="99">
        <f t="shared" ref="P7:AE7" si="11">COUNTIFS($H$4:$H$66,P$3,$D$4:$D$66,$J7)</f>
        <v>0</v>
      </c>
      <c r="Q7" s="99">
        <f t="shared" si="11"/>
        <v>0</v>
      </c>
      <c r="R7" s="99">
        <f t="shared" si="11"/>
        <v>0</v>
      </c>
      <c r="S7" s="99">
        <f t="shared" si="11"/>
        <v>0</v>
      </c>
      <c r="T7" s="99">
        <f t="shared" si="11"/>
        <v>0</v>
      </c>
      <c r="U7" s="99">
        <f t="shared" si="11"/>
        <v>0</v>
      </c>
      <c r="V7" s="99">
        <f t="shared" si="11"/>
        <v>0</v>
      </c>
      <c r="W7" s="99">
        <f t="shared" si="11"/>
        <v>0</v>
      </c>
      <c r="X7" s="99">
        <f t="shared" si="11"/>
        <v>0</v>
      </c>
      <c r="Y7" s="99">
        <f t="shared" si="11"/>
        <v>0</v>
      </c>
      <c r="Z7" s="99">
        <f t="shared" si="11"/>
        <v>0</v>
      </c>
      <c r="AA7" s="99">
        <f t="shared" si="11"/>
        <v>0</v>
      </c>
      <c r="AB7" s="99">
        <f t="shared" si="11"/>
        <v>0</v>
      </c>
      <c r="AC7" s="99">
        <f t="shared" si="11"/>
        <v>0</v>
      </c>
      <c r="AD7" s="99">
        <f t="shared" si="11"/>
        <v>0</v>
      </c>
      <c r="AE7" s="99">
        <f t="shared" si="11"/>
        <v>0</v>
      </c>
      <c r="AF7" s="101">
        <f t="array" ref="AF7:AU7">IFERROR(P7:AE7*TRANSPOSE('Queen MIDI'!$J$4:$J$19),"N/A")</f>
        <v>0</v>
      </c>
      <c r="AG7" s="101">
        <v>0.0</v>
      </c>
      <c r="AH7" s="101">
        <v>0.0</v>
      </c>
      <c r="AI7" s="101">
        <v>0.0</v>
      </c>
      <c r="AJ7" s="101">
        <v>0.0</v>
      </c>
      <c r="AK7" s="101">
        <v>0.0</v>
      </c>
      <c r="AL7" s="101">
        <v>0.0</v>
      </c>
      <c r="AM7" s="101">
        <v>0.0</v>
      </c>
      <c r="AN7" s="101" t="s">
        <v>357</v>
      </c>
      <c r="AO7" s="101">
        <v>0.0</v>
      </c>
      <c r="AP7" s="101">
        <v>0.0</v>
      </c>
      <c r="AQ7" s="101">
        <v>0.0</v>
      </c>
      <c r="AR7" s="101">
        <v>0.0</v>
      </c>
      <c r="AS7" s="101">
        <v>0.0</v>
      </c>
      <c r="AT7" s="101">
        <v>0.0</v>
      </c>
      <c r="AU7" s="101">
        <v>0.0</v>
      </c>
      <c r="AV7" s="99" t="str">
        <f>IFERROR(__xludf.DUMMYFUNCTION("JOIN("", "",FILTER($P$3:$AE$3,$P7:$AE7=MAX($P7:$AE7)))"),"Queen,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7" s="99">
        <f t="shared" si="6"/>
        <v>0</v>
      </c>
      <c r="AX7" s="99">
        <f>IFERROR(__xludf.DUMMYFUNCTION("COUNTA(FILTER($P$3:$AE$3,$P7:$AE7=MAX($P7:$AE7)))"),16.0)</f>
        <v>16</v>
      </c>
      <c r="AY7" s="99" t="str">
        <f>IFERROR(__xludf.DUMMYFUNCTION("IFERROR(JOIN("", "",FILTER($AF$3:$AU$3,$AF7:$AU7=MAXIFS($AF7:$AU7,$AF$23:$AU$23,TRUE),$AF$23:$AU$23)),""N/A"")"),"Queen,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7" s="103" t="str">
        <f>IFERROR(__xludf.DUMMYFUNCTION("IFERROR(JOIN("", "",FILTER($P7:$AE7,$AF7:$AU7=MAXIFS($AF7:$AU7,$AF$23:$AU$23,TRUE),$AF$23:$AU$23)),""N/A"")"),"0, 0, 0, 0, 0, 0, 0, 0, 0, 0, 0, 0, 0, 0")</f>
        <v>0, 0, 0, 0, 0, 0, 0, 0, 0, 0, 0, 0, 0, 0</v>
      </c>
      <c r="BA7" s="103">
        <f>MAXIFS(AF7:AU7,$AF$23:$AU$23,TRUE)/'Queen MIDI'!$J$20</f>
        <v>0</v>
      </c>
      <c r="BB7" s="98">
        <f>IFERROR(__xludf.DUMMYFUNCTION("COUNTA(IFERROR(FILTER($AF$3:$AU$3,$AF7:$AU7=MAXIFS($AF7:$AU7,$AF$23:$AU$23,TRUE),$AF$23:$AU$23),))"),14.0)</f>
        <v>14</v>
      </c>
      <c r="BC7" s="103">
        <f t="shared" si="7"/>
        <v>0</v>
      </c>
      <c r="BD7" s="99">
        <f t="shared" si="8"/>
        <v>0</v>
      </c>
      <c r="BE7" s="1"/>
    </row>
    <row r="8">
      <c r="A8" s="1"/>
      <c r="C8" s="66" t="str">
        <f t="array" ref="C8">INDEX('Queen MIDI'!$C$4:$C$66,MATCH(F8,'Queen MIDI'!$D$4:$D$66,0))</f>
        <v>Father to Son</v>
      </c>
      <c r="D8" s="117">
        <v>0.0</v>
      </c>
      <c r="E8" s="118" t="s">
        <v>361</v>
      </c>
      <c r="F8" s="66" t="str">
        <f t="shared" si="2"/>
        <v>Father to Son.mid</v>
      </c>
      <c r="G8" s="119">
        <f>HLOOKUP(H8,'Queen Discography'!$C$2:$Q$3,2,FALSE)</f>
        <v>1974</v>
      </c>
      <c r="H8" s="66" t="str">
        <f>IF(COUNTIF('Queen Discography'!$C$4:$C$22,C8)&gt;0,"Queen",
IF(COUNTIF('Queen Discography'!$D$4:$D$22,C8)&gt;0,"Queen II",
IF(COUNTIF('Queen Discography'!$E$4:$E$22,C8)&gt;0,"Sheer Heart Attack",
IF(COUNTIF('Queen Discography'!$F$4:$F$22,C8)&gt;0,"A Night At The Opera",
IF(COUNTIF('Queen Discography'!$G$4:$G$22,C8)&gt;0,"A Day At The Races",
IF(COUNTIF('Queen Discography'!$H$4:$H$22,C8)&gt;0,"News Of The World",
IF(COUNTIF('Queen Discography'!$I$4:$I$22,C8)&gt;0,"Jazz",
IF(COUNTIF('Queen Discography'!$J$4:$J$22,C8)&gt;0,"The Game",
IF(COUNTIF('Queen Discography'!$K$4:$K$22,C8)&gt;0,"Flash Gordon",
IF(COUNTIF('Queen Discography'!$L$4:$L$22,C8)&gt;0,"Hot Space",
IF(COUNTIF('Queen Discography'!$M$4:$M$22,C8)&gt;0,"The Works",
IF(COUNTIF('Queen Discography'!$N$4:$N$22,C8)&gt;0,"A Kind Of Magic",
IF(COUNTIF('Queen Discography'!$O$4:$O$22,C8)&gt;0,"The Miracle",
IF(COUNTIF('Queen Discography'!$P$4:$P$22,C8)&gt;0,"Innuendo",
IF(COUNTIF('Queen Discography'!$Q$4:$Q$22,C8)&gt;0,"Made In Heaven","NOT FOUND")))))))))))))))</f>
        <v>Queen II</v>
      </c>
      <c r="I8" s="1"/>
      <c r="J8" s="98">
        <v>4.0</v>
      </c>
      <c r="K8" s="99" t="str">
        <f t="shared" si="9"/>
        <v>N/A</v>
      </c>
      <c r="L8" s="99" t="str">
        <f t="shared" si="3"/>
        <v>N/A</v>
      </c>
      <c r="M8" s="99" t="str">
        <f t="shared" si="4"/>
        <v>N/A</v>
      </c>
      <c r="N8" s="100" t="str">
        <f>IFERROR(__xludf.DUMMYFUNCTION("IFERROR(MEDIAN(FILTER($G$4:$G$66,$D$4:$D$66=$J8,ISNUMBER($G$4:$G$66))),""N/A"")"),"N/A")</f>
        <v>N/A</v>
      </c>
      <c r="O8" s="99" t="str">
        <f>IFERROR(__xludf.DUMMYFUNCTION("IFERROR(MODE(FILTER($G$4:$G$66,$D$4:$D$66=$J8,ISNUMBER($G$4:$G$66))),""N/A"")"),"N/A")</f>
        <v>N/A</v>
      </c>
      <c r="P8" s="99">
        <f t="shared" ref="P8:AE8" si="12">COUNTIFS($H$4:$H$66,P$3,$D$4:$D$66,$J8)</f>
        <v>0</v>
      </c>
      <c r="Q8" s="99">
        <f t="shared" si="12"/>
        <v>0</v>
      </c>
      <c r="R8" s="99">
        <f t="shared" si="12"/>
        <v>0</v>
      </c>
      <c r="S8" s="99">
        <f t="shared" si="12"/>
        <v>0</v>
      </c>
      <c r="T8" s="99">
        <f t="shared" si="12"/>
        <v>0</v>
      </c>
      <c r="U8" s="99">
        <f t="shared" si="12"/>
        <v>0</v>
      </c>
      <c r="V8" s="99">
        <f t="shared" si="12"/>
        <v>0</v>
      </c>
      <c r="W8" s="99">
        <f t="shared" si="12"/>
        <v>0</v>
      </c>
      <c r="X8" s="99">
        <f t="shared" si="12"/>
        <v>0</v>
      </c>
      <c r="Y8" s="99">
        <f t="shared" si="12"/>
        <v>0</v>
      </c>
      <c r="Z8" s="99">
        <f t="shared" si="12"/>
        <v>0</v>
      </c>
      <c r="AA8" s="99">
        <f t="shared" si="12"/>
        <v>0</v>
      </c>
      <c r="AB8" s="99">
        <f t="shared" si="12"/>
        <v>0</v>
      </c>
      <c r="AC8" s="99">
        <f t="shared" si="12"/>
        <v>0</v>
      </c>
      <c r="AD8" s="99">
        <f t="shared" si="12"/>
        <v>0</v>
      </c>
      <c r="AE8" s="99">
        <f t="shared" si="12"/>
        <v>0</v>
      </c>
      <c r="AF8" s="104">
        <f t="array" ref="AF8:AU8">IFERROR(P8:AE8*TRANSPOSE('Queen MIDI'!$J$4:$J$19),"N/A")</f>
        <v>0</v>
      </c>
      <c r="AG8" s="104">
        <v>0.0</v>
      </c>
      <c r="AH8" s="104">
        <v>0.0</v>
      </c>
      <c r="AI8" s="104">
        <v>0.0</v>
      </c>
      <c r="AJ8" s="104">
        <v>0.0</v>
      </c>
      <c r="AK8" s="104">
        <v>0.0</v>
      </c>
      <c r="AL8" s="104">
        <v>0.0</v>
      </c>
      <c r="AM8" s="104">
        <v>0.0</v>
      </c>
      <c r="AN8" s="104" t="s">
        <v>357</v>
      </c>
      <c r="AO8" s="104">
        <v>0.0</v>
      </c>
      <c r="AP8" s="104">
        <v>0.0</v>
      </c>
      <c r="AQ8" s="104">
        <v>0.0</v>
      </c>
      <c r="AR8" s="104">
        <v>0.0</v>
      </c>
      <c r="AS8" s="104">
        <v>0.0</v>
      </c>
      <c r="AT8" s="104">
        <v>0.0</v>
      </c>
      <c r="AU8" s="104">
        <v>0.0</v>
      </c>
      <c r="AV8" s="99" t="str">
        <f>IFERROR(__xludf.DUMMYFUNCTION("JOIN("", "",FILTER($P$3:$AE$3,$P8:$AE8=MAX($P8:$AE8)))"),"Queen,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8" s="99">
        <f t="shared" si="6"/>
        <v>0</v>
      </c>
      <c r="AX8" s="99">
        <f>IFERROR(__xludf.DUMMYFUNCTION("COUNTA(FILTER($P$3:$AE$3,$P8:$AE8=MAX($P8:$AE8)))"),16.0)</f>
        <v>16</v>
      </c>
      <c r="AY8" s="99" t="str">
        <f>IFERROR(__xludf.DUMMYFUNCTION("IFERROR(JOIN("", "",FILTER($AF$3:$AU$3,$AF8:$AU8=MAXIFS($AF8:$AU8,$AF$23:$AU$23,TRUE),$AF$23:$AU$23)),""N/A"")"),"Queen,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8" s="103" t="str">
        <f>IFERROR(__xludf.DUMMYFUNCTION("IFERROR(JOIN("", "",FILTER($P8:$AE8,$AF8:$AU8=MAXIFS($AF8:$AU8,$AF$23:$AU$23,TRUE),$AF$23:$AU$23)),""N/A"")"),"0, 0, 0, 0, 0, 0, 0, 0, 0, 0, 0, 0, 0, 0")</f>
        <v>0, 0, 0, 0, 0, 0, 0, 0, 0, 0, 0, 0, 0, 0</v>
      </c>
      <c r="BA8" s="103">
        <f>MAXIFS(AF8:AU8,$AF$23:$AU$23,TRUE)/'Queen MIDI'!$J$20</f>
        <v>0</v>
      </c>
      <c r="BB8" s="98">
        <f>IFERROR(__xludf.DUMMYFUNCTION("COUNTA(IFERROR(FILTER($AF$3:$AU$3,$AF8:$AU8=MAXIFS($AF8:$AU8,$AF$23:$AU$23,TRUE),$AF$23:$AU$23),))"),14.0)</f>
        <v>14</v>
      </c>
      <c r="BC8" s="105">
        <f t="shared" si="7"/>
        <v>0</v>
      </c>
      <c r="BD8" s="99">
        <f t="shared" si="8"/>
        <v>0</v>
      </c>
      <c r="BE8" s="1"/>
    </row>
    <row r="9">
      <c r="A9" s="1"/>
      <c r="C9" s="66" t="str">
        <f t="array" ref="C9">INDEX('Queen MIDI'!$C$4:$C$66,MATCH(F9,'Queen MIDI'!$D$4:$D$66,0))</f>
        <v>Nevermore</v>
      </c>
      <c r="D9" s="117">
        <v>0.0</v>
      </c>
      <c r="E9" s="118" t="s">
        <v>362</v>
      </c>
      <c r="F9" s="66" t="str">
        <f t="shared" si="2"/>
        <v>Never More.mid</v>
      </c>
      <c r="G9" s="123">
        <f>HLOOKUP(H9,'Queen Discography'!$C$2:$Q$3,2,FALSE)</f>
        <v>1974</v>
      </c>
      <c r="H9" s="66" t="str">
        <f>IF(COUNTIF('Queen Discography'!$C$4:$C$22,C9)&gt;0,"Queen",
IF(COUNTIF('Queen Discography'!$D$4:$D$22,C9)&gt;0,"Queen II",
IF(COUNTIF('Queen Discography'!$E$4:$E$22,C9)&gt;0,"Sheer Heart Attack",
IF(COUNTIF('Queen Discography'!$F$4:$F$22,C9)&gt;0,"A Night At The Opera",
IF(COUNTIF('Queen Discography'!$G$4:$G$22,C9)&gt;0,"A Day At The Races",
IF(COUNTIF('Queen Discography'!$H$4:$H$22,C9)&gt;0,"News Of The World",
IF(COUNTIF('Queen Discography'!$I$4:$I$22,C9)&gt;0,"Jazz",
IF(COUNTIF('Queen Discography'!$J$4:$J$22,C9)&gt;0,"The Game",
IF(COUNTIF('Queen Discography'!$K$4:$K$22,C9)&gt;0,"Flash Gordon",
IF(COUNTIF('Queen Discography'!$L$4:$L$22,C9)&gt;0,"Hot Space",
IF(COUNTIF('Queen Discography'!$M$4:$M$22,C9)&gt;0,"The Works",
IF(COUNTIF('Queen Discography'!$N$4:$N$22,C9)&gt;0,"A Kind Of Magic",
IF(COUNTIF('Queen Discography'!$O$4:$O$22,C9)&gt;0,"The Miracle",
IF(COUNTIF('Queen Discography'!$P$4:$P$22,C9)&gt;0,"Innuendo",
IF(COUNTIF('Queen Discography'!$Q$4:$Q$22,C9)&gt;0,"Made In Heaven","NOT FOUND")))))))))))))))</f>
        <v>Queen II</v>
      </c>
      <c r="I9" s="1"/>
      <c r="J9" s="98">
        <v>5.0</v>
      </c>
      <c r="K9" s="99" t="str">
        <f t="shared" si="9"/>
        <v>N/A</v>
      </c>
      <c r="L9" s="99" t="str">
        <f t="shared" si="3"/>
        <v>N/A</v>
      </c>
      <c r="M9" s="99" t="str">
        <f t="shared" si="4"/>
        <v>N/A</v>
      </c>
      <c r="N9" s="100" t="str">
        <f>IFERROR(__xludf.DUMMYFUNCTION("IFERROR(MEDIAN(FILTER($G$4:$G$66,$D$4:$D$66=$J9,ISNUMBER($G$4:$G$66))),""N/A"")"),"N/A")</f>
        <v>N/A</v>
      </c>
      <c r="O9" s="99" t="str">
        <f>IFERROR(__xludf.DUMMYFUNCTION("IFERROR(MODE(FILTER($G$4:$G$66,$D$4:$D$66=$J9,ISNUMBER($G$4:$G$66))),""N/A"")"),"N/A")</f>
        <v>N/A</v>
      </c>
      <c r="P9" s="99">
        <f t="shared" ref="P9:AE9" si="13">COUNTIFS($H$4:$H$66,P$3,$D$4:$D$66,$J9)</f>
        <v>0</v>
      </c>
      <c r="Q9" s="99">
        <f t="shared" si="13"/>
        <v>0</v>
      </c>
      <c r="R9" s="99">
        <f t="shared" si="13"/>
        <v>0</v>
      </c>
      <c r="S9" s="99">
        <f t="shared" si="13"/>
        <v>0</v>
      </c>
      <c r="T9" s="99">
        <f t="shared" si="13"/>
        <v>0</v>
      </c>
      <c r="U9" s="99">
        <f t="shared" si="13"/>
        <v>0</v>
      </c>
      <c r="V9" s="99">
        <f t="shared" si="13"/>
        <v>0</v>
      </c>
      <c r="W9" s="99">
        <f t="shared" si="13"/>
        <v>0</v>
      </c>
      <c r="X9" s="99">
        <f t="shared" si="13"/>
        <v>0</v>
      </c>
      <c r="Y9" s="99">
        <f t="shared" si="13"/>
        <v>0</v>
      </c>
      <c r="Z9" s="99">
        <f t="shared" si="13"/>
        <v>0</v>
      </c>
      <c r="AA9" s="99">
        <f t="shared" si="13"/>
        <v>0</v>
      </c>
      <c r="AB9" s="99">
        <f t="shared" si="13"/>
        <v>0</v>
      </c>
      <c r="AC9" s="99">
        <f t="shared" si="13"/>
        <v>0</v>
      </c>
      <c r="AD9" s="99">
        <f t="shared" si="13"/>
        <v>0</v>
      </c>
      <c r="AE9" s="99">
        <f t="shared" si="13"/>
        <v>0</v>
      </c>
      <c r="AF9" s="104">
        <f t="array" ref="AF9:AU9">IFERROR(P9:AE9*TRANSPOSE('Queen MIDI'!$J$4:$J$19),"N/A")</f>
        <v>0</v>
      </c>
      <c r="AG9" s="104">
        <v>0.0</v>
      </c>
      <c r="AH9" s="104">
        <v>0.0</v>
      </c>
      <c r="AI9" s="104">
        <v>0.0</v>
      </c>
      <c r="AJ9" s="104">
        <v>0.0</v>
      </c>
      <c r="AK9" s="104">
        <v>0.0</v>
      </c>
      <c r="AL9" s="104">
        <v>0.0</v>
      </c>
      <c r="AM9" s="104">
        <v>0.0</v>
      </c>
      <c r="AN9" s="104" t="s">
        <v>357</v>
      </c>
      <c r="AO9" s="104">
        <v>0.0</v>
      </c>
      <c r="AP9" s="104">
        <v>0.0</v>
      </c>
      <c r="AQ9" s="104">
        <v>0.0</v>
      </c>
      <c r="AR9" s="104">
        <v>0.0</v>
      </c>
      <c r="AS9" s="104">
        <v>0.0</v>
      </c>
      <c r="AT9" s="104">
        <v>0.0</v>
      </c>
      <c r="AU9" s="104">
        <v>0.0</v>
      </c>
      <c r="AV9" s="99" t="str">
        <f>IFERROR(__xludf.DUMMYFUNCTION("JOIN("", "",FILTER($P$3:$AE$3,$P9:$AE9=MAX($P9:$AE9)))"),"Queen,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9" s="99">
        <f t="shared" si="6"/>
        <v>0</v>
      </c>
      <c r="AX9" s="99">
        <f>IFERROR(__xludf.DUMMYFUNCTION("COUNTA(FILTER($P$3:$AE$3,$P9:$AE9=MAX($P9:$AE9)))"),16.0)</f>
        <v>16</v>
      </c>
      <c r="AY9" s="99" t="str">
        <f>IFERROR(__xludf.DUMMYFUNCTION("IFERROR(JOIN("", "",FILTER($AF$3:$AU$3,$AF9:$AU9=MAXIFS($AF9:$AU9,$AF$23:$AU$23,TRUE),$AF$23:$AU$23)),""N/A"")"),"Queen,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9" s="103" t="str">
        <f>IFERROR(__xludf.DUMMYFUNCTION("IFERROR(JOIN("", "",FILTER($P9:$AE9,$AF9:$AU9=MAXIFS($AF9:$AU9,$AF$23:$AU$23,TRUE),$AF$23:$AU$23)),""N/A"")"),"0, 0, 0, 0, 0, 0, 0, 0, 0, 0, 0, 0, 0, 0")</f>
        <v>0, 0, 0, 0, 0, 0, 0, 0, 0, 0, 0, 0, 0, 0</v>
      </c>
      <c r="BA9" s="103">
        <f>MAXIFS(AF9:AU9,$AF$23:$AU$23,TRUE)/'Queen MIDI'!$J$20</f>
        <v>0</v>
      </c>
      <c r="BB9" s="98">
        <f>IFERROR(__xludf.DUMMYFUNCTION("COUNTA(IFERROR(FILTER($AF$3:$AU$3,$AF9:$AU9=MAXIFS($AF9:$AU9,$AF$23:$AU$23,TRUE),$AF$23:$AU$23),))"),14.0)</f>
        <v>14</v>
      </c>
      <c r="BC9" s="105">
        <f t="shared" si="7"/>
        <v>0</v>
      </c>
      <c r="BD9" s="99">
        <f t="shared" si="8"/>
        <v>0</v>
      </c>
      <c r="BE9" s="1"/>
    </row>
    <row r="10">
      <c r="A10" s="1"/>
      <c r="C10" s="66" t="str">
        <f t="array" ref="C10">INDEX('Queen MIDI'!$C$4:$C$66,MATCH(F10,'Queen MIDI'!$D$4:$D$66,0))</f>
        <v>Killer Queen</v>
      </c>
      <c r="D10" s="117">
        <v>0.0</v>
      </c>
      <c r="E10" s="118" t="s">
        <v>363</v>
      </c>
      <c r="F10" s="66" t="str">
        <f t="shared" si="2"/>
        <v>Killer Queen.1.mid</v>
      </c>
      <c r="G10" s="124">
        <f>HLOOKUP(H10,'Queen Discography'!$C$2:$Q$3,2,FALSE)</f>
        <v>1974</v>
      </c>
      <c r="H10" s="66" t="str">
        <f>IF(COUNTIF('Queen Discography'!$C$4:$C$22,C10)&gt;0,"Queen",
IF(COUNTIF('Queen Discography'!$D$4:$D$22,C10)&gt;0,"Queen II",
IF(COUNTIF('Queen Discography'!$E$4:$E$22,C10)&gt;0,"Sheer Heart Attack",
IF(COUNTIF('Queen Discography'!$F$4:$F$22,C10)&gt;0,"A Night At The Opera",
IF(COUNTIF('Queen Discography'!$G$4:$G$22,C10)&gt;0,"A Day At The Races",
IF(COUNTIF('Queen Discography'!$H$4:$H$22,C10)&gt;0,"News Of The World",
IF(COUNTIF('Queen Discography'!$I$4:$I$22,C10)&gt;0,"Jazz",
IF(COUNTIF('Queen Discography'!$J$4:$J$22,C10)&gt;0,"The Game",
IF(COUNTIF('Queen Discography'!$K$4:$K$22,C10)&gt;0,"Flash Gordon",
IF(COUNTIF('Queen Discography'!$L$4:$L$22,C10)&gt;0,"Hot Space",
IF(COUNTIF('Queen Discography'!$M$4:$M$22,C10)&gt;0,"The Works",
IF(COUNTIF('Queen Discography'!$N$4:$N$22,C10)&gt;0,"A Kind Of Magic",
IF(COUNTIF('Queen Discography'!$O$4:$O$22,C10)&gt;0,"The Miracle",
IF(COUNTIF('Queen Discography'!$P$4:$P$22,C10)&gt;0,"Innuendo",
IF(COUNTIF('Queen Discography'!$Q$4:$Q$22,C10)&gt;0,"Made In Heaven","NOT FOUND")))))))))))))))</f>
        <v>Sheer Heart Attack</v>
      </c>
      <c r="I10" s="1"/>
      <c r="J10" s="98">
        <v>6.0</v>
      </c>
      <c r="K10" s="99" t="str">
        <f t="shared" si="9"/>
        <v>N/A</v>
      </c>
      <c r="L10" s="99" t="str">
        <f t="shared" si="3"/>
        <v>N/A</v>
      </c>
      <c r="M10" s="99" t="str">
        <f t="shared" si="4"/>
        <v>N/A</v>
      </c>
      <c r="N10" s="100" t="str">
        <f>IFERROR(__xludf.DUMMYFUNCTION("IFERROR(MEDIAN(FILTER($G$4:$G$66,$D$4:$D$66=$J10,ISNUMBER($G$4:$G$66))),""N/A"")"),"N/A")</f>
        <v>N/A</v>
      </c>
      <c r="O10" s="99" t="str">
        <f>IFERROR(__xludf.DUMMYFUNCTION("IFERROR(MODE(FILTER($G$4:$G$66,$D$4:$D$66=$J10,ISNUMBER($G$4:$G$66))),""N/A"")"),"N/A")</f>
        <v>N/A</v>
      </c>
      <c r="P10" s="99">
        <f t="shared" ref="P10:AE10" si="14">COUNTIFS($H$4:$H$66,P$3,$D$4:$D$66,$J10)</f>
        <v>0</v>
      </c>
      <c r="Q10" s="99">
        <f t="shared" si="14"/>
        <v>0</v>
      </c>
      <c r="R10" s="99">
        <f t="shared" si="14"/>
        <v>0</v>
      </c>
      <c r="S10" s="99">
        <f t="shared" si="14"/>
        <v>0</v>
      </c>
      <c r="T10" s="99">
        <f t="shared" si="14"/>
        <v>0</v>
      </c>
      <c r="U10" s="99">
        <f t="shared" si="14"/>
        <v>0</v>
      </c>
      <c r="V10" s="99">
        <f t="shared" si="14"/>
        <v>0</v>
      </c>
      <c r="W10" s="99">
        <f t="shared" si="14"/>
        <v>0</v>
      </c>
      <c r="X10" s="99">
        <f t="shared" si="14"/>
        <v>0</v>
      </c>
      <c r="Y10" s="99">
        <f t="shared" si="14"/>
        <v>0</v>
      </c>
      <c r="Z10" s="99">
        <f t="shared" si="14"/>
        <v>0</v>
      </c>
      <c r="AA10" s="99">
        <f t="shared" si="14"/>
        <v>0</v>
      </c>
      <c r="AB10" s="99">
        <f t="shared" si="14"/>
        <v>0</v>
      </c>
      <c r="AC10" s="99">
        <f t="shared" si="14"/>
        <v>0</v>
      </c>
      <c r="AD10" s="99">
        <f t="shared" si="14"/>
        <v>0</v>
      </c>
      <c r="AE10" s="99">
        <f t="shared" si="14"/>
        <v>0</v>
      </c>
      <c r="AF10" s="104">
        <f t="array" ref="AF10:AU10">IFERROR(P10:AE10*TRANSPOSE('Queen MIDI'!$J$4:$J$19),"N/A")</f>
        <v>0</v>
      </c>
      <c r="AG10" s="104">
        <v>0.0</v>
      </c>
      <c r="AH10" s="104">
        <v>0.0</v>
      </c>
      <c r="AI10" s="104">
        <v>0.0</v>
      </c>
      <c r="AJ10" s="104">
        <v>0.0</v>
      </c>
      <c r="AK10" s="104">
        <v>0.0</v>
      </c>
      <c r="AL10" s="104">
        <v>0.0</v>
      </c>
      <c r="AM10" s="104">
        <v>0.0</v>
      </c>
      <c r="AN10" s="104" t="s">
        <v>357</v>
      </c>
      <c r="AO10" s="104">
        <v>0.0</v>
      </c>
      <c r="AP10" s="104">
        <v>0.0</v>
      </c>
      <c r="AQ10" s="104">
        <v>0.0</v>
      </c>
      <c r="AR10" s="104">
        <v>0.0</v>
      </c>
      <c r="AS10" s="104">
        <v>0.0</v>
      </c>
      <c r="AT10" s="104">
        <v>0.0</v>
      </c>
      <c r="AU10" s="104">
        <v>0.0</v>
      </c>
      <c r="AV10" s="99" t="str">
        <f>IFERROR(__xludf.DUMMYFUNCTION("JOIN("", "",FILTER($P$3:$AE$3,$P10:$AE10=MAX($P10:$AE10)))"),"Queen,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0" s="99">
        <f t="shared" si="6"/>
        <v>0</v>
      </c>
      <c r="AX10" s="99">
        <f>IFERROR(__xludf.DUMMYFUNCTION("COUNTA(FILTER($P$3:$AE$3,$P10:$AE10=MAX($P10:$AE10)))"),16.0)</f>
        <v>16</v>
      </c>
      <c r="AY10" s="99" t="str">
        <f>IFERROR(__xludf.DUMMYFUNCTION("IFERROR(JOIN("", "",FILTER($AF$3:$AU$3,$AF10:$AU10=MAXIFS($AF10:$AU10,$AF$23:$AU$23,TRUE),$AF$23:$AU$23)),""N/A"")"),"Queen,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0" s="103" t="str">
        <f>IFERROR(__xludf.DUMMYFUNCTION("IFERROR(JOIN("", "",FILTER($P10:$AE10,$AF10:$AU10=MAXIFS($AF10:$AU10,$AF$23:$AU$23,TRUE),$AF$23:$AU$23)),""N/A"")"),"0, 0, 0, 0, 0, 0, 0, 0, 0, 0, 0, 0, 0, 0")</f>
        <v>0, 0, 0, 0, 0, 0, 0, 0, 0, 0, 0, 0, 0, 0</v>
      </c>
      <c r="BA10" s="103">
        <f>MAXIFS(AF10:AU10,$AF$23:$AU$23,TRUE)/'Queen MIDI'!$J$20</f>
        <v>0</v>
      </c>
      <c r="BB10" s="98">
        <f>IFERROR(__xludf.DUMMYFUNCTION("COUNTA(IFERROR(FILTER($AF$3:$AU$3,$AF10:$AU10=MAXIFS($AF10:$AU10,$AF$23:$AU$23,TRUE),$AF$23:$AU$23),))"),14.0)</f>
        <v>14</v>
      </c>
      <c r="BC10" s="105">
        <f t="shared" si="7"/>
        <v>0</v>
      </c>
      <c r="BD10" s="99">
        <f t="shared" si="8"/>
        <v>0</v>
      </c>
      <c r="BE10" s="1"/>
    </row>
    <row r="11">
      <c r="A11" s="1"/>
      <c r="C11" s="66" t="str">
        <f t="array" ref="C11">INDEX('Queen MIDI'!$C$4:$C$66,MATCH(F11,'Queen MIDI'!$D$4:$D$66,0))</f>
        <v>Now I'm Here</v>
      </c>
      <c r="D11" s="117">
        <v>0.0</v>
      </c>
      <c r="E11" s="118" t="s">
        <v>364</v>
      </c>
      <c r="F11" s="66" t="str">
        <f t="shared" si="2"/>
        <v>Now I_m Here.4.mid</v>
      </c>
      <c r="G11" s="123">
        <f>HLOOKUP(H11,'Queen Discography'!$C$2:$Q$3,2,FALSE)</f>
        <v>1974</v>
      </c>
      <c r="H11" s="66" t="str">
        <f>IF(COUNTIF('Queen Discography'!$C$4:$C$22,C11)&gt;0,"Queen",
IF(COUNTIF('Queen Discography'!$D$4:$D$22,C11)&gt;0,"Queen II",
IF(COUNTIF('Queen Discography'!$E$4:$E$22,C11)&gt;0,"Sheer Heart Attack",
IF(COUNTIF('Queen Discography'!$F$4:$F$22,C11)&gt;0,"A Night At The Opera",
IF(COUNTIF('Queen Discography'!$G$4:$G$22,C11)&gt;0,"A Day At The Races",
IF(COUNTIF('Queen Discography'!$H$4:$H$22,C11)&gt;0,"News Of The World",
IF(COUNTIF('Queen Discography'!$I$4:$I$22,C11)&gt;0,"Jazz",
IF(COUNTIF('Queen Discography'!$J$4:$J$22,C11)&gt;0,"The Game",
IF(COUNTIF('Queen Discography'!$K$4:$K$22,C11)&gt;0,"Flash Gordon",
IF(COUNTIF('Queen Discography'!$L$4:$L$22,C11)&gt;0,"Hot Space",
IF(COUNTIF('Queen Discography'!$M$4:$M$22,C11)&gt;0,"The Works",
IF(COUNTIF('Queen Discography'!$N$4:$N$22,C11)&gt;0,"A Kind Of Magic",
IF(COUNTIF('Queen Discography'!$O$4:$O$22,C11)&gt;0,"The Miracle",
IF(COUNTIF('Queen Discography'!$P$4:$P$22,C11)&gt;0,"Innuendo",
IF(COUNTIF('Queen Discography'!$Q$4:$Q$22,C11)&gt;0,"Made In Heaven","NOT FOUND")))))))))))))))</f>
        <v>Sheer Heart Attack</v>
      </c>
      <c r="I11" s="1"/>
      <c r="J11" s="98">
        <v>7.0</v>
      </c>
      <c r="K11" s="99" t="str">
        <f t="shared" si="9"/>
        <v>N/A</v>
      </c>
      <c r="L11" s="99" t="str">
        <f t="shared" si="3"/>
        <v>N/A</v>
      </c>
      <c r="M11" s="99" t="str">
        <f t="shared" si="4"/>
        <v>N/A</v>
      </c>
      <c r="N11" s="100" t="str">
        <f>IFERROR(__xludf.DUMMYFUNCTION("IFERROR(MEDIAN(FILTER($G$4:$G$66,$D$4:$D$66=$J11,ISNUMBER($G$4:$G$66))),""N/A"")"),"N/A")</f>
        <v>N/A</v>
      </c>
      <c r="O11" s="99" t="str">
        <f>IFERROR(__xludf.DUMMYFUNCTION("IFERROR(MODE(FILTER($G$4:$G$66,$D$4:$D$66=$J11,ISNUMBER($G$4:$G$66))),""N/A"")"),"N/A")</f>
        <v>N/A</v>
      </c>
      <c r="P11" s="99">
        <f t="shared" ref="P11:AE11" si="15">COUNTIFS($H$4:$H$66,P$3,$D$4:$D$66,$J11)</f>
        <v>0</v>
      </c>
      <c r="Q11" s="99">
        <f t="shared" si="15"/>
        <v>0</v>
      </c>
      <c r="R11" s="99">
        <f t="shared" si="15"/>
        <v>0</v>
      </c>
      <c r="S11" s="99">
        <f t="shared" si="15"/>
        <v>0</v>
      </c>
      <c r="T11" s="99">
        <f t="shared" si="15"/>
        <v>0</v>
      </c>
      <c r="U11" s="99">
        <f t="shared" si="15"/>
        <v>0</v>
      </c>
      <c r="V11" s="99">
        <f t="shared" si="15"/>
        <v>0</v>
      </c>
      <c r="W11" s="99">
        <f t="shared" si="15"/>
        <v>0</v>
      </c>
      <c r="X11" s="99">
        <f t="shared" si="15"/>
        <v>0</v>
      </c>
      <c r="Y11" s="99">
        <f t="shared" si="15"/>
        <v>0</v>
      </c>
      <c r="Z11" s="99">
        <f t="shared" si="15"/>
        <v>0</v>
      </c>
      <c r="AA11" s="99">
        <f t="shared" si="15"/>
        <v>0</v>
      </c>
      <c r="AB11" s="99">
        <f t="shared" si="15"/>
        <v>0</v>
      </c>
      <c r="AC11" s="99">
        <f t="shared" si="15"/>
        <v>0</v>
      </c>
      <c r="AD11" s="99">
        <f t="shared" si="15"/>
        <v>0</v>
      </c>
      <c r="AE11" s="99">
        <f t="shared" si="15"/>
        <v>0</v>
      </c>
      <c r="AF11" s="104">
        <f t="array" ref="AF11:AU11">IFERROR(P11:AE11*TRANSPOSE('Queen MIDI'!$J$4:$J$19),"N/A")</f>
        <v>0</v>
      </c>
      <c r="AG11" s="104">
        <v>0.0</v>
      </c>
      <c r="AH11" s="104">
        <v>0.0</v>
      </c>
      <c r="AI11" s="104">
        <v>0.0</v>
      </c>
      <c r="AJ11" s="104">
        <v>0.0</v>
      </c>
      <c r="AK11" s="104">
        <v>0.0</v>
      </c>
      <c r="AL11" s="104">
        <v>0.0</v>
      </c>
      <c r="AM11" s="104">
        <v>0.0</v>
      </c>
      <c r="AN11" s="104" t="s">
        <v>357</v>
      </c>
      <c r="AO11" s="104">
        <v>0.0</v>
      </c>
      <c r="AP11" s="104">
        <v>0.0</v>
      </c>
      <c r="AQ11" s="104">
        <v>0.0</v>
      </c>
      <c r="AR11" s="104">
        <v>0.0</v>
      </c>
      <c r="AS11" s="104">
        <v>0.0</v>
      </c>
      <c r="AT11" s="104">
        <v>0.0</v>
      </c>
      <c r="AU11" s="104">
        <v>0.0</v>
      </c>
      <c r="AV11" s="99" t="str">
        <f>IFERROR(__xludf.DUMMYFUNCTION("JOIN("", "",FILTER($P$3:$AE$3,$P11:$AE11=MAX($P11:$AE11)))"),"Queen,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1" s="99">
        <f t="shared" si="6"/>
        <v>0</v>
      </c>
      <c r="AX11" s="99">
        <f>IFERROR(__xludf.DUMMYFUNCTION("COUNTA(FILTER($P$3:$AE$3,$P11:$AE11=MAX($P11:$AE11)))"),16.0)</f>
        <v>16</v>
      </c>
      <c r="AY11" s="99" t="str">
        <f>IFERROR(__xludf.DUMMYFUNCTION("IFERROR(JOIN("", "",FILTER($AF$3:$AU$3,$AF11:$AU11=MAXIFS($AF11:$AU11,$AF$23:$AU$23,TRUE),$AF$23:$AU$23)),""N/A"")"),"Queen,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1" s="103" t="str">
        <f>IFERROR(__xludf.DUMMYFUNCTION("IFERROR(JOIN("", "",FILTER($P11:$AE11,$AF11:$AU11=MAXIFS($AF11:$AU11,$AF$23:$AU$23,TRUE),$AF$23:$AU$23)),""N/A"")"),"0, 0, 0, 0, 0, 0, 0, 0, 0, 0, 0, 0, 0, 0")</f>
        <v>0, 0, 0, 0, 0, 0, 0, 0, 0, 0, 0, 0, 0, 0</v>
      </c>
      <c r="BA11" s="103">
        <f>MAXIFS(AF11:AU11,$AF$23:$AU$23,TRUE)/'Queen MIDI'!$J$20</f>
        <v>0</v>
      </c>
      <c r="BB11" s="98">
        <f>IFERROR(__xludf.DUMMYFUNCTION("COUNTA(IFERROR(FILTER($AF$3:$AU$3,$AF11:$AU11=MAXIFS($AF11:$AU11,$AF$23:$AU$23,TRUE),$AF$23:$AU$23),))"),14.0)</f>
        <v>14</v>
      </c>
      <c r="BC11" s="105">
        <f t="shared" si="7"/>
        <v>0</v>
      </c>
      <c r="BD11" s="99">
        <f t="shared" si="8"/>
        <v>0</v>
      </c>
      <c r="BE11" s="1"/>
    </row>
    <row r="12">
      <c r="A12" s="1"/>
      <c r="C12" s="66" t="str">
        <f t="array" ref="C12">INDEX('Queen MIDI'!$C$4:$C$66,MATCH(F12,'Queen MIDI'!$D$4:$D$66,0))</f>
        <v>Bohemian Rhapsody</v>
      </c>
      <c r="D12" s="117">
        <v>0.0</v>
      </c>
      <c r="E12" s="118" t="s">
        <v>366</v>
      </c>
      <c r="F12" s="66" t="str">
        <f t="shared" si="2"/>
        <v>Bohemian Rhapsody.1.mid</v>
      </c>
      <c r="G12" s="120">
        <f>HLOOKUP(H12,'Queen Discography'!$C$2:$Q$3,2,FALSE)</f>
        <v>1975</v>
      </c>
      <c r="H12" s="66" t="str">
        <f>IF(COUNTIF('Queen Discography'!$C$4:$C$22,C12)&gt;0,"Queen",
IF(COUNTIF('Queen Discography'!$D$4:$D$22,C12)&gt;0,"Queen II",
IF(COUNTIF('Queen Discography'!$E$4:$E$22,C12)&gt;0,"Sheer Heart Attack",
IF(COUNTIF('Queen Discography'!$F$4:$F$22,C12)&gt;0,"A Night At The Opera",
IF(COUNTIF('Queen Discography'!$G$4:$G$22,C12)&gt;0,"A Day At The Races",
IF(COUNTIF('Queen Discography'!$H$4:$H$22,C12)&gt;0,"News Of The World",
IF(COUNTIF('Queen Discography'!$I$4:$I$22,C12)&gt;0,"Jazz",
IF(COUNTIF('Queen Discography'!$J$4:$J$22,C12)&gt;0,"The Game",
IF(COUNTIF('Queen Discography'!$K$4:$K$22,C12)&gt;0,"Flash Gordon",
IF(COUNTIF('Queen Discography'!$L$4:$L$22,C12)&gt;0,"Hot Space",
IF(COUNTIF('Queen Discography'!$M$4:$M$22,C12)&gt;0,"The Works",
IF(COUNTIF('Queen Discography'!$N$4:$N$22,C12)&gt;0,"A Kind Of Magic",
IF(COUNTIF('Queen Discography'!$O$4:$O$22,C12)&gt;0,"The Miracle",
IF(COUNTIF('Queen Discography'!$P$4:$P$22,C12)&gt;0,"Innuendo",
IF(COUNTIF('Queen Discography'!$Q$4:$Q$22,C12)&gt;0,"Made In Heaven","NOT FOUND")))))))))))))))</f>
        <v>A Night At The Opera</v>
      </c>
      <c r="I12" s="1"/>
      <c r="J12" s="98">
        <v>8.0</v>
      </c>
      <c r="K12" s="99" t="str">
        <f t="shared" si="9"/>
        <v>N/A</v>
      </c>
      <c r="L12" s="99" t="str">
        <f t="shared" si="3"/>
        <v>N/A</v>
      </c>
      <c r="M12" s="99" t="str">
        <f t="shared" si="4"/>
        <v>N/A</v>
      </c>
      <c r="N12" s="100" t="str">
        <f>IFERROR(__xludf.DUMMYFUNCTION("IFERROR(MEDIAN(FILTER($G$4:$G$66,$D$4:$D$66=$J12,ISNUMBER($G$4:$G$66))),""N/A"")"),"N/A")</f>
        <v>N/A</v>
      </c>
      <c r="O12" s="99" t="str">
        <f>IFERROR(__xludf.DUMMYFUNCTION("IFERROR(MODE(FILTER($G$4:$G$66,$D$4:$D$66=$J12,ISNUMBER($G$4:$G$66))),""N/A"")"),"N/A")</f>
        <v>N/A</v>
      </c>
      <c r="P12" s="99">
        <f t="shared" ref="P12:AE12" si="16">COUNTIFS($H$4:$H$66,P$3,$D$4:$D$66,$J12)</f>
        <v>0</v>
      </c>
      <c r="Q12" s="99">
        <f t="shared" si="16"/>
        <v>0</v>
      </c>
      <c r="R12" s="99">
        <f t="shared" si="16"/>
        <v>0</v>
      </c>
      <c r="S12" s="99">
        <f t="shared" si="16"/>
        <v>0</v>
      </c>
      <c r="T12" s="99">
        <f t="shared" si="16"/>
        <v>0</v>
      </c>
      <c r="U12" s="99">
        <f t="shared" si="16"/>
        <v>0</v>
      </c>
      <c r="V12" s="99">
        <f t="shared" si="16"/>
        <v>0</v>
      </c>
      <c r="W12" s="99">
        <f t="shared" si="16"/>
        <v>0</v>
      </c>
      <c r="X12" s="99">
        <f t="shared" si="16"/>
        <v>0</v>
      </c>
      <c r="Y12" s="99">
        <f t="shared" si="16"/>
        <v>0</v>
      </c>
      <c r="Z12" s="99">
        <f t="shared" si="16"/>
        <v>0</v>
      </c>
      <c r="AA12" s="99">
        <f t="shared" si="16"/>
        <v>0</v>
      </c>
      <c r="AB12" s="99">
        <f t="shared" si="16"/>
        <v>0</v>
      </c>
      <c r="AC12" s="99">
        <f t="shared" si="16"/>
        <v>0</v>
      </c>
      <c r="AD12" s="99">
        <f t="shared" si="16"/>
        <v>0</v>
      </c>
      <c r="AE12" s="99">
        <f t="shared" si="16"/>
        <v>0</v>
      </c>
      <c r="AF12" s="104">
        <f t="array" ref="AF12:AU12">IFERROR(P12:AE12*TRANSPOSE('Queen MIDI'!$J$4:$J$19),"N/A")</f>
        <v>0</v>
      </c>
      <c r="AG12" s="104">
        <v>0.0</v>
      </c>
      <c r="AH12" s="104">
        <v>0.0</v>
      </c>
      <c r="AI12" s="104">
        <v>0.0</v>
      </c>
      <c r="AJ12" s="104">
        <v>0.0</v>
      </c>
      <c r="AK12" s="104">
        <v>0.0</v>
      </c>
      <c r="AL12" s="104">
        <v>0.0</v>
      </c>
      <c r="AM12" s="104">
        <v>0.0</v>
      </c>
      <c r="AN12" s="104" t="s">
        <v>357</v>
      </c>
      <c r="AO12" s="104">
        <v>0.0</v>
      </c>
      <c r="AP12" s="104">
        <v>0.0</v>
      </c>
      <c r="AQ12" s="104">
        <v>0.0</v>
      </c>
      <c r="AR12" s="104">
        <v>0.0</v>
      </c>
      <c r="AS12" s="104">
        <v>0.0</v>
      </c>
      <c r="AT12" s="104">
        <v>0.0</v>
      </c>
      <c r="AU12" s="104">
        <v>0.0</v>
      </c>
      <c r="AV12" s="99" t="str">
        <f>IFERROR(__xludf.DUMMYFUNCTION("JOIN("", "",FILTER($P$3:$AE$3,$P12:$AE12=MAX($P12:$AE12)))"),"Queen,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2" s="99">
        <f t="shared" si="6"/>
        <v>0</v>
      </c>
      <c r="AX12" s="99">
        <f>IFERROR(__xludf.DUMMYFUNCTION("COUNTA(FILTER($P$3:$AE$3,$P12:$AE12=MAX($P12:$AE12)))"),16.0)</f>
        <v>16</v>
      </c>
      <c r="AY12" s="99" t="str">
        <f>IFERROR(__xludf.DUMMYFUNCTION("IFERROR(JOIN("", "",FILTER($AF$3:$AU$3,$AF12:$AU12=MAXIFS($AF12:$AU12,$AF$23:$AU$23,TRUE),$AF$23:$AU$23)),""N/A"")"),"Queen,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2" s="103" t="str">
        <f>IFERROR(__xludf.DUMMYFUNCTION("IFERROR(JOIN("", "",FILTER($P12:$AE12,$AF12:$AU12=MAXIFS($AF12:$AU12,$AF$23:$AU$23,TRUE),$AF$23:$AU$23)),""N/A"")"),"0, 0, 0, 0, 0, 0, 0, 0, 0, 0, 0, 0, 0, 0")</f>
        <v>0, 0, 0, 0, 0, 0, 0, 0, 0, 0, 0, 0, 0, 0</v>
      </c>
      <c r="BA12" s="103">
        <f>MAXIFS(AF12:AU12,$AF$23:$AU$23,TRUE)/'Queen MIDI'!$J$20</f>
        <v>0</v>
      </c>
      <c r="BB12" s="98">
        <f>IFERROR(__xludf.DUMMYFUNCTION("COUNTA(IFERROR(FILTER($AF$3:$AU$3,$AF12:$AU12=MAXIFS($AF12:$AU12,$AF$23:$AU$23,TRUE),$AF$23:$AU$23),))"),14.0)</f>
        <v>14</v>
      </c>
      <c r="BC12" s="105">
        <f t="shared" si="7"/>
        <v>0</v>
      </c>
      <c r="BD12" s="99">
        <f t="shared" si="8"/>
        <v>0</v>
      </c>
      <c r="BE12" s="1"/>
    </row>
    <row r="13">
      <c r="A13" s="1"/>
      <c r="C13" s="66" t="str">
        <f t="array" ref="C13">INDEX('Queen MIDI'!$C$4:$C$66,MATCH(F13,'Queen MIDI'!$D$4:$D$66,0))</f>
        <v>Death On Two Legs</v>
      </c>
      <c r="D13" s="117">
        <v>0.0</v>
      </c>
      <c r="E13" s="118" t="s">
        <v>367</v>
      </c>
      <c r="F13" s="66" t="str">
        <f t="shared" si="2"/>
        <v>Death on Two Legs (Dedicated To...).mid</v>
      </c>
      <c r="G13" s="120">
        <f>HLOOKUP(H13,'Queen Discography'!$C$2:$Q$3,2,FALSE)</f>
        <v>1975</v>
      </c>
      <c r="H13" s="66" t="str">
        <f>IF(COUNTIF('Queen Discography'!$C$4:$C$22,C13)&gt;0,"Queen",
IF(COUNTIF('Queen Discography'!$D$4:$D$22,C13)&gt;0,"Queen II",
IF(COUNTIF('Queen Discography'!$E$4:$E$22,C13)&gt;0,"Sheer Heart Attack",
IF(COUNTIF('Queen Discography'!$F$4:$F$22,C13)&gt;0,"A Night At The Opera",
IF(COUNTIF('Queen Discography'!$G$4:$G$22,C13)&gt;0,"A Day At The Races",
IF(COUNTIF('Queen Discography'!$H$4:$H$22,C13)&gt;0,"News Of The World",
IF(COUNTIF('Queen Discography'!$I$4:$I$22,C13)&gt;0,"Jazz",
IF(COUNTIF('Queen Discography'!$J$4:$J$22,C13)&gt;0,"The Game",
IF(COUNTIF('Queen Discography'!$K$4:$K$22,C13)&gt;0,"Flash Gordon",
IF(COUNTIF('Queen Discography'!$L$4:$L$22,C13)&gt;0,"Hot Space",
IF(COUNTIF('Queen Discography'!$M$4:$M$22,C13)&gt;0,"The Works",
IF(COUNTIF('Queen Discography'!$N$4:$N$22,C13)&gt;0,"A Kind Of Magic",
IF(COUNTIF('Queen Discography'!$O$4:$O$22,C13)&gt;0,"The Miracle",
IF(COUNTIF('Queen Discography'!$P$4:$P$22,C13)&gt;0,"Innuendo",
IF(COUNTIF('Queen Discography'!$Q$4:$Q$22,C13)&gt;0,"Made In Heaven","NOT FOUND")))))))))))))))</f>
        <v>A Night At The Opera</v>
      </c>
      <c r="I13" s="1"/>
      <c r="J13" s="98">
        <v>9.0</v>
      </c>
      <c r="K13" s="99" t="str">
        <f t="shared" si="9"/>
        <v>N/A</v>
      </c>
      <c r="L13" s="99" t="str">
        <f t="shared" si="3"/>
        <v>N/A</v>
      </c>
      <c r="M13" s="99" t="str">
        <f t="shared" si="4"/>
        <v>N/A</v>
      </c>
      <c r="N13" s="100" t="str">
        <f>IFERROR(__xludf.DUMMYFUNCTION("IFERROR(MEDIAN(FILTER($G$4:$G$66,$D$4:$D$66=$J13,ISNUMBER($G$4:$G$66))),""N/A"")"),"N/A")</f>
        <v>N/A</v>
      </c>
      <c r="O13" s="99" t="str">
        <f>IFERROR(__xludf.DUMMYFUNCTION("IFERROR(MODE(FILTER($G$4:$G$66,$D$4:$D$66=$J13,ISNUMBER($G$4:$G$66))),""N/A"")"),"N/A")</f>
        <v>N/A</v>
      </c>
      <c r="P13" s="99">
        <f t="shared" ref="P13:AE13" si="17">COUNTIFS($H$4:$H$66,P$3,$D$4:$D$66,$J13)</f>
        <v>0</v>
      </c>
      <c r="Q13" s="99">
        <f t="shared" si="17"/>
        <v>0</v>
      </c>
      <c r="R13" s="99">
        <f t="shared" si="17"/>
        <v>0</v>
      </c>
      <c r="S13" s="99">
        <f t="shared" si="17"/>
        <v>0</v>
      </c>
      <c r="T13" s="99">
        <f t="shared" si="17"/>
        <v>0</v>
      </c>
      <c r="U13" s="99">
        <f t="shared" si="17"/>
        <v>0</v>
      </c>
      <c r="V13" s="99">
        <f t="shared" si="17"/>
        <v>0</v>
      </c>
      <c r="W13" s="99">
        <f t="shared" si="17"/>
        <v>0</v>
      </c>
      <c r="X13" s="99">
        <f t="shared" si="17"/>
        <v>0</v>
      </c>
      <c r="Y13" s="99">
        <f t="shared" si="17"/>
        <v>0</v>
      </c>
      <c r="Z13" s="99">
        <f t="shared" si="17"/>
        <v>0</v>
      </c>
      <c r="AA13" s="99">
        <f t="shared" si="17"/>
        <v>0</v>
      </c>
      <c r="AB13" s="99">
        <f t="shared" si="17"/>
        <v>0</v>
      </c>
      <c r="AC13" s="99">
        <f t="shared" si="17"/>
        <v>0</v>
      </c>
      <c r="AD13" s="99">
        <f t="shared" si="17"/>
        <v>0</v>
      </c>
      <c r="AE13" s="99">
        <f t="shared" si="17"/>
        <v>0</v>
      </c>
      <c r="AF13" s="104">
        <f t="array" ref="AF13:AU13">IFERROR(P13:AE13*TRANSPOSE('Queen MIDI'!$J$4:$J$19),"N/A")</f>
        <v>0</v>
      </c>
      <c r="AG13" s="104">
        <v>0.0</v>
      </c>
      <c r="AH13" s="104">
        <v>0.0</v>
      </c>
      <c r="AI13" s="104">
        <v>0.0</v>
      </c>
      <c r="AJ13" s="104">
        <v>0.0</v>
      </c>
      <c r="AK13" s="104">
        <v>0.0</v>
      </c>
      <c r="AL13" s="104">
        <v>0.0</v>
      </c>
      <c r="AM13" s="104">
        <v>0.0</v>
      </c>
      <c r="AN13" s="104" t="s">
        <v>357</v>
      </c>
      <c r="AO13" s="104">
        <v>0.0</v>
      </c>
      <c r="AP13" s="104">
        <v>0.0</v>
      </c>
      <c r="AQ13" s="104">
        <v>0.0</v>
      </c>
      <c r="AR13" s="104">
        <v>0.0</v>
      </c>
      <c r="AS13" s="104">
        <v>0.0</v>
      </c>
      <c r="AT13" s="104">
        <v>0.0</v>
      </c>
      <c r="AU13" s="104">
        <v>0.0</v>
      </c>
      <c r="AV13" s="99" t="str">
        <f>IFERROR(__xludf.DUMMYFUNCTION("JOIN("", "",FILTER($P$3:$AE$3,$P13:$AE13=MAX($P13:$AE13)))"),"Queen,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3" s="99">
        <f t="shared" si="6"/>
        <v>0</v>
      </c>
      <c r="AX13" s="99">
        <f>IFERROR(__xludf.DUMMYFUNCTION("COUNTA(FILTER($P$3:$AE$3,$P13:$AE13=MAX($P13:$AE13)))"),16.0)</f>
        <v>16</v>
      </c>
      <c r="AY13" s="99" t="str">
        <f>IFERROR(__xludf.DUMMYFUNCTION("IFERROR(JOIN("", "",FILTER($AF$3:$AU$3,$AF13:$AU13=MAXIFS($AF13:$AU13,$AF$23:$AU$23,TRUE),$AF$23:$AU$23)),""N/A"")"),"Queen,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3" s="103" t="str">
        <f>IFERROR(__xludf.DUMMYFUNCTION("IFERROR(JOIN("", "",FILTER($P13:$AE13,$AF13:$AU13=MAXIFS($AF13:$AU13,$AF$23:$AU$23,TRUE),$AF$23:$AU$23)),""N/A"")"),"0, 0, 0, 0, 0, 0, 0, 0, 0, 0, 0, 0, 0, 0")</f>
        <v>0, 0, 0, 0, 0, 0, 0, 0, 0, 0, 0, 0, 0, 0</v>
      </c>
      <c r="BA13" s="103">
        <f>MAXIFS(AF13:AU13,$AF$23:$AU$23,TRUE)/'Queen MIDI'!$J$20</f>
        <v>0</v>
      </c>
      <c r="BB13" s="98">
        <f>IFERROR(__xludf.DUMMYFUNCTION("COUNTA(IFERROR(FILTER($AF$3:$AU$3,$AF13:$AU13=MAXIFS($AF13:$AU13,$AF$23:$AU$23,TRUE),$AF$23:$AU$23),))"),14.0)</f>
        <v>14</v>
      </c>
      <c r="BC13" s="105">
        <f t="shared" si="7"/>
        <v>0</v>
      </c>
      <c r="BD13" s="99">
        <f t="shared" si="8"/>
        <v>0</v>
      </c>
      <c r="BE13" s="1"/>
    </row>
    <row r="14">
      <c r="A14" s="1"/>
      <c r="C14" s="66" t="str">
        <f t="array" ref="C14">INDEX('Queen MIDI'!$C$4:$C$66,MATCH(F14,'Queen MIDI'!$D$4:$D$66,0))</f>
        <v>Love of My Life</v>
      </c>
      <c r="D14" s="117">
        <v>0.0</v>
      </c>
      <c r="E14" s="118" t="s">
        <v>368</v>
      </c>
      <c r="F14" s="66" t="str">
        <f t="shared" si="2"/>
        <v>Love of My Life.3.mid</v>
      </c>
      <c r="G14" s="124">
        <f>HLOOKUP(H14,'Queen Discography'!$C$2:$Q$3,2,FALSE)</f>
        <v>1975</v>
      </c>
      <c r="H14" s="66" t="str">
        <f>IF(COUNTIF('Queen Discography'!$C$4:$C$22,C14)&gt;0,"Queen",
IF(COUNTIF('Queen Discography'!$D$4:$D$22,C14)&gt;0,"Queen II",
IF(COUNTIF('Queen Discography'!$E$4:$E$22,C14)&gt;0,"Sheer Heart Attack",
IF(COUNTIF('Queen Discography'!$F$4:$F$22,C14)&gt;0,"A Night At The Opera",
IF(COUNTIF('Queen Discography'!$G$4:$G$22,C14)&gt;0,"A Day At The Races",
IF(COUNTIF('Queen Discography'!$H$4:$H$22,C14)&gt;0,"News Of The World",
IF(COUNTIF('Queen Discography'!$I$4:$I$22,C14)&gt;0,"Jazz",
IF(COUNTIF('Queen Discography'!$J$4:$J$22,C14)&gt;0,"The Game",
IF(COUNTIF('Queen Discography'!$K$4:$K$22,C14)&gt;0,"Flash Gordon",
IF(COUNTIF('Queen Discography'!$L$4:$L$22,C14)&gt;0,"Hot Space",
IF(COUNTIF('Queen Discography'!$M$4:$M$22,C14)&gt;0,"The Works",
IF(COUNTIF('Queen Discography'!$N$4:$N$22,C14)&gt;0,"A Kind Of Magic",
IF(COUNTIF('Queen Discography'!$O$4:$O$22,C14)&gt;0,"The Miracle",
IF(COUNTIF('Queen Discography'!$P$4:$P$22,C14)&gt;0,"Innuendo",
IF(COUNTIF('Queen Discography'!$Q$4:$Q$22,C14)&gt;0,"Made In Heaven","NOT FOUND")))))))))))))))</f>
        <v>A Night At The Opera</v>
      </c>
      <c r="I14" s="1"/>
      <c r="J14" s="98">
        <v>10.0</v>
      </c>
      <c r="K14" s="99" t="str">
        <f t="shared" si="9"/>
        <v>N/A</v>
      </c>
      <c r="L14" s="99" t="str">
        <f t="shared" si="3"/>
        <v>N/A</v>
      </c>
      <c r="M14" s="99" t="str">
        <f t="shared" si="4"/>
        <v>N/A</v>
      </c>
      <c r="N14" s="100" t="str">
        <f>IFERROR(__xludf.DUMMYFUNCTION("IFERROR(MEDIAN(FILTER($G$4:$G$66,$D$4:$D$66=$J14,ISNUMBER($G$4:$G$66))),""N/A"")"),"N/A")</f>
        <v>N/A</v>
      </c>
      <c r="O14" s="99" t="str">
        <f>IFERROR(__xludf.DUMMYFUNCTION("IFERROR(MODE(FILTER($G$4:$G$66,$D$4:$D$66=$J14,ISNUMBER($G$4:$G$66))),""N/A"")"),"N/A")</f>
        <v>N/A</v>
      </c>
      <c r="P14" s="99">
        <f t="shared" ref="P14:AE14" si="18">COUNTIFS($H$4:$H$66,P$3,$D$4:$D$66,$J14)</f>
        <v>0</v>
      </c>
      <c r="Q14" s="99">
        <f t="shared" si="18"/>
        <v>0</v>
      </c>
      <c r="R14" s="99">
        <f t="shared" si="18"/>
        <v>0</v>
      </c>
      <c r="S14" s="99">
        <f t="shared" si="18"/>
        <v>0</v>
      </c>
      <c r="T14" s="99">
        <f t="shared" si="18"/>
        <v>0</v>
      </c>
      <c r="U14" s="99">
        <f t="shared" si="18"/>
        <v>0</v>
      </c>
      <c r="V14" s="99">
        <f t="shared" si="18"/>
        <v>0</v>
      </c>
      <c r="W14" s="99">
        <f t="shared" si="18"/>
        <v>0</v>
      </c>
      <c r="X14" s="99">
        <f t="shared" si="18"/>
        <v>0</v>
      </c>
      <c r="Y14" s="99">
        <f t="shared" si="18"/>
        <v>0</v>
      </c>
      <c r="Z14" s="99">
        <f t="shared" si="18"/>
        <v>0</v>
      </c>
      <c r="AA14" s="99">
        <f t="shared" si="18"/>
        <v>0</v>
      </c>
      <c r="AB14" s="99">
        <f t="shared" si="18"/>
        <v>0</v>
      </c>
      <c r="AC14" s="99">
        <f t="shared" si="18"/>
        <v>0</v>
      </c>
      <c r="AD14" s="99">
        <f t="shared" si="18"/>
        <v>0</v>
      </c>
      <c r="AE14" s="99">
        <f t="shared" si="18"/>
        <v>0</v>
      </c>
      <c r="AF14" s="104">
        <f t="array" ref="AF14:AU14">IFERROR(P14:AE14*TRANSPOSE('Queen MIDI'!$J$4:$J$19),"N/A")</f>
        <v>0</v>
      </c>
      <c r="AG14" s="104">
        <v>0.0</v>
      </c>
      <c r="AH14" s="104">
        <v>0.0</v>
      </c>
      <c r="AI14" s="104">
        <v>0.0</v>
      </c>
      <c r="AJ14" s="104">
        <v>0.0</v>
      </c>
      <c r="AK14" s="104">
        <v>0.0</v>
      </c>
      <c r="AL14" s="104">
        <v>0.0</v>
      </c>
      <c r="AM14" s="104">
        <v>0.0</v>
      </c>
      <c r="AN14" s="104" t="s">
        <v>357</v>
      </c>
      <c r="AO14" s="104">
        <v>0.0</v>
      </c>
      <c r="AP14" s="104">
        <v>0.0</v>
      </c>
      <c r="AQ14" s="104">
        <v>0.0</v>
      </c>
      <c r="AR14" s="104">
        <v>0.0</v>
      </c>
      <c r="AS14" s="104">
        <v>0.0</v>
      </c>
      <c r="AT14" s="104">
        <v>0.0</v>
      </c>
      <c r="AU14" s="104">
        <v>0.0</v>
      </c>
      <c r="AV14" s="99" t="str">
        <f>IFERROR(__xludf.DUMMYFUNCTION("JOIN("", "",FILTER($P$3:$AE$3,$P14:$AE14=MAX($P14:$AE14)))"),"Queen,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4" s="99">
        <f t="shared" si="6"/>
        <v>0</v>
      </c>
      <c r="AX14" s="99">
        <f>IFERROR(__xludf.DUMMYFUNCTION("COUNTA(FILTER($P$3:$AE$3,$P14:$AE14=MAX($P14:$AE14)))"),16.0)</f>
        <v>16</v>
      </c>
      <c r="AY14" s="99" t="str">
        <f>IFERROR(__xludf.DUMMYFUNCTION("IFERROR(JOIN("", "",FILTER($AF$3:$AU$3,$AF14:$AU14=MAXIFS($AF14:$AU14,$AF$23:$AU$23,TRUE),$AF$23:$AU$23)),""N/A"")"),"Queen,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4" s="103" t="str">
        <f>IFERROR(__xludf.DUMMYFUNCTION("IFERROR(JOIN("", "",FILTER($P14:$AE14,$AF14:$AU14=MAXIFS($AF14:$AU14,$AF$23:$AU$23,TRUE),$AF$23:$AU$23)),""N/A"")"),"0, 0, 0, 0, 0, 0, 0, 0, 0, 0, 0, 0, 0, 0")</f>
        <v>0, 0, 0, 0, 0, 0, 0, 0, 0, 0, 0, 0, 0, 0</v>
      </c>
      <c r="BA14" s="103">
        <f>MAXIFS(AF14:AU14,$AF$23:$AU$23,TRUE)/'Queen MIDI'!$J$20</f>
        <v>0</v>
      </c>
      <c r="BB14" s="98">
        <f>IFERROR(__xludf.DUMMYFUNCTION("COUNTA(IFERROR(FILTER($AF$3:$AU$3,$AF14:$AU14=MAXIFS($AF14:$AU14,$AF$23:$AU$23,TRUE),$AF$23:$AU$23),))"),14.0)</f>
        <v>14</v>
      </c>
      <c r="BC14" s="105">
        <f t="shared" si="7"/>
        <v>0</v>
      </c>
      <c r="BD14" s="99">
        <f t="shared" si="8"/>
        <v>0</v>
      </c>
      <c r="BE14" s="1"/>
    </row>
    <row r="15">
      <c r="A15" s="1"/>
      <c r="C15" s="66" t="str">
        <f t="array" ref="C15">INDEX('Queen MIDI'!$C$4:$C$66,MATCH(F15,'Queen MIDI'!$D$4:$D$66,0))</f>
        <v>You're My Best Friend</v>
      </c>
      <c r="D15" s="117">
        <v>0.0</v>
      </c>
      <c r="E15" s="118" t="s">
        <v>369</v>
      </c>
      <c r="F15" s="66" t="str">
        <f t="shared" si="2"/>
        <v>You_re My Best Friend.mid</v>
      </c>
      <c r="G15" s="125">
        <f>HLOOKUP(H15,'Queen Discography'!$C$2:$Q$3,2,FALSE)</f>
        <v>1975</v>
      </c>
      <c r="H15" s="66" t="str">
        <f>IF(COUNTIF('Queen Discography'!$C$4:$C$22,C15)&gt;0,"Queen",
IF(COUNTIF('Queen Discography'!$D$4:$D$22,C15)&gt;0,"Queen II",
IF(COUNTIF('Queen Discography'!$E$4:$E$22,C15)&gt;0,"Sheer Heart Attack",
IF(COUNTIF('Queen Discography'!$F$4:$F$22,C15)&gt;0,"A Night At The Opera",
IF(COUNTIF('Queen Discography'!$G$4:$G$22,C15)&gt;0,"A Day At The Races",
IF(COUNTIF('Queen Discography'!$H$4:$H$22,C15)&gt;0,"News Of The World",
IF(COUNTIF('Queen Discography'!$I$4:$I$22,C15)&gt;0,"Jazz",
IF(COUNTIF('Queen Discography'!$J$4:$J$22,C15)&gt;0,"The Game",
IF(COUNTIF('Queen Discography'!$K$4:$K$22,C15)&gt;0,"Flash Gordon",
IF(COUNTIF('Queen Discography'!$L$4:$L$22,C15)&gt;0,"Hot Space",
IF(COUNTIF('Queen Discography'!$M$4:$M$22,C15)&gt;0,"The Works",
IF(COUNTIF('Queen Discography'!$N$4:$N$22,C15)&gt;0,"A Kind Of Magic",
IF(COUNTIF('Queen Discography'!$O$4:$O$22,C15)&gt;0,"The Miracle",
IF(COUNTIF('Queen Discography'!$P$4:$P$22,C15)&gt;0,"Innuendo",
IF(COUNTIF('Queen Discography'!$Q$4:$Q$22,C15)&gt;0,"Made In Heaven","NOT FOUND")))))))))))))))</f>
        <v>A Night At The Opera</v>
      </c>
      <c r="I15" s="1"/>
      <c r="J15" s="98">
        <v>11.0</v>
      </c>
      <c r="K15" s="99" t="str">
        <f t="shared" si="9"/>
        <v>N/A</v>
      </c>
      <c r="L15" s="99" t="str">
        <f t="shared" si="3"/>
        <v>N/A</v>
      </c>
      <c r="M15" s="99" t="str">
        <f t="shared" si="4"/>
        <v>N/A</v>
      </c>
      <c r="N15" s="100" t="str">
        <f>IFERROR(__xludf.DUMMYFUNCTION("IFERROR(MEDIAN(FILTER($G$4:$G$66,$D$4:$D$66=$J15,ISNUMBER($G$4:$G$66))),""N/A"")"),"N/A")</f>
        <v>N/A</v>
      </c>
      <c r="O15" s="99" t="str">
        <f>IFERROR(__xludf.DUMMYFUNCTION("IFERROR(MODE(FILTER($G$4:$G$66,$D$4:$D$66=$J15,ISNUMBER($G$4:$G$66))),""N/A"")"),"N/A")</f>
        <v>N/A</v>
      </c>
      <c r="P15" s="99">
        <f t="shared" ref="P15:AE15" si="19">COUNTIFS($H$4:$H$66,P$3,$D$4:$D$66,$J15)</f>
        <v>0</v>
      </c>
      <c r="Q15" s="99">
        <f t="shared" si="19"/>
        <v>0</v>
      </c>
      <c r="R15" s="99">
        <f t="shared" si="19"/>
        <v>0</v>
      </c>
      <c r="S15" s="99">
        <f t="shared" si="19"/>
        <v>0</v>
      </c>
      <c r="T15" s="99">
        <f t="shared" si="19"/>
        <v>0</v>
      </c>
      <c r="U15" s="99">
        <f t="shared" si="19"/>
        <v>0</v>
      </c>
      <c r="V15" s="99">
        <f t="shared" si="19"/>
        <v>0</v>
      </c>
      <c r="W15" s="99">
        <f t="shared" si="19"/>
        <v>0</v>
      </c>
      <c r="X15" s="99">
        <f t="shared" si="19"/>
        <v>0</v>
      </c>
      <c r="Y15" s="99">
        <f t="shared" si="19"/>
        <v>0</v>
      </c>
      <c r="Z15" s="99">
        <f t="shared" si="19"/>
        <v>0</v>
      </c>
      <c r="AA15" s="99">
        <f t="shared" si="19"/>
        <v>0</v>
      </c>
      <c r="AB15" s="99">
        <f t="shared" si="19"/>
        <v>0</v>
      </c>
      <c r="AC15" s="99">
        <f t="shared" si="19"/>
        <v>0</v>
      </c>
      <c r="AD15" s="99">
        <f t="shared" si="19"/>
        <v>0</v>
      </c>
      <c r="AE15" s="99">
        <f t="shared" si="19"/>
        <v>0</v>
      </c>
      <c r="AF15" s="104">
        <f t="array" ref="AF15:AU15">IFERROR(P15:AE15*TRANSPOSE('Queen MIDI'!$J$4:$J$19),"N/A")</f>
        <v>0</v>
      </c>
      <c r="AG15" s="104">
        <v>0.0</v>
      </c>
      <c r="AH15" s="104">
        <v>0.0</v>
      </c>
      <c r="AI15" s="104">
        <v>0.0</v>
      </c>
      <c r="AJ15" s="104">
        <v>0.0</v>
      </c>
      <c r="AK15" s="104">
        <v>0.0</v>
      </c>
      <c r="AL15" s="104">
        <v>0.0</v>
      </c>
      <c r="AM15" s="104">
        <v>0.0</v>
      </c>
      <c r="AN15" s="104" t="s">
        <v>357</v>
      </c>
      <c r="AO15" s="104">
        <v>0.0</v>
      </c>
      <c r="AP15" s="104">
        <v>0.0</v>
      </c>
      <c r="AQ15" s="104">
        <v>0.0</v>
      </c>
      <c r="AR15" s="104">
        <v>0.0</v>
      </c>
      <c r="AS15" s="104">
        <v>0.0</v>
      </c>
      <c r="AT15" s="104">
        <v>0.0</v>
      </c>
      <c r="AU15" s="104">
        <v>0.0</v>
      </c>
      <c r="AV15" s="106" t="str">
        <f>IFERROR(__xludf.DUMMYFUNCTION("JOIN("", "",FILTER($P$3:$AE$3,$P15:$AE15=MAX($P15:$AE15)))"),"Queen,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5" s="99">
        <f t="shared" si="6"/>
        <v>0</v>
      </c>
      <c r="AX15" s="99">
        <f>IFERROR(__xludf.DUMMYFUNCTION("COUNTA(FILTER($P$3:$AE$3,$P15:$AE15=MAX($P15:$AE15)))"),16.0)</f>
        <v>16</v>
      </c>
      <c r="AY15" s="99" t="str">
        <f>IFERROR(__xludf.DUMMYFUNCTION("IFERROR(JOIN("", "",FILTER($AF$3:$AU$3,$AF15:$AU15=MAXIFS($AF15:$AU15,$AF$23:$AU$23,TRUE),$AF$23:$AU$23)),""N/A"")"),"Queen,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5" s="103" t="str">
        <f>IFERROR(__xludf.DUMMYFUNCTION("IFERROR(JOIN("", "",FILTER($P15:$AE15,$AF15:$AU15=MAXIFS($AF15:$AU15,$AF$23:$AU$23,TRUE),$AF$23:$AU$23)),""N/A"")"),"0, 0, 0, 0, 0, 0, 0, 0, 0, 0, 0, 0, 0, 0")</f>
        <v>0, 0, 0, 0, 0, 0, 0, 0, 0, 0, 0, 0, 0, 0</v>
      </c>
      <c r="BA15" s="103">
        <f>MAXIFS(AF15:AU15,$AF$23:$AU$23,TRUE)/'Queen MIDI'!$J$20</f>
        <v>0</v>
      </c>
      <c r="BB15" s="98">
        <f>IFERROR(__xludf.DUMMYFUNCTION("COUNTA(IFERROR(FILTER($AF$3:$AU$3,$AF15:$AU15=MAXIFS($AF15:$AU15,$AF$23:$AU$23,TRUE),$AF$23:$AU$23),))"),14.0)</f>
        <v>14</v>
      </c>
      <c r="BC15" s="105">
        <f t="shared" si="7"/>
        <v>0</v>
      </c>
      <c r="BD15" s="99">
        <f t="shared" si="8"/>
        <v>0</v>
      </c>
      <c r="BE15" s="1"/>
    </row>
    <row r="16">
      <c r="A16" s="1"/>
      <c r="C16" s="66" t="str">
        <f t="array" ref="C16">INDEX('Queen MIDI'!$C$4:$C$66,MATCH(F16,'Queen MIDI'!$D$4:$D$66,0))</f>
        <v>39</v>
      </c>
      <c r="D16" s="117">
        <v>0.0</v>
      </c>
      <c r="E16" s="118" t="s">
        <v>365</v>
      </c>
      <c r="F16" s="66" t="str">
        <f t="shared" si="2"/>
        <v>_39.mid</v>
      </c>
      <c r="G16" s="122">
        <f>HLOOKUP(H16,'Queen Discography'!$C$2:$Q$3,2,FALSE)</f>
        <v>1975</v>
      </c>
      <c r="H16" s="66" t="str">
        <f>IF(COUNTIF('Queen Discography'!$C$4:$C$22,C16)&gt;0,"Queen",
IF(COUNTIF('Queen Discography'!$D$4:$D$22,C16)&gt;0,"Queen II",
IF(COUNTIF('Queen Discography'!$E$4:$E$22,C16)&gt;0,"Sheer Heart Attack",
IF(COUNTIF('Queen Discography'!$F$4:$F$22,C16)&gt;0,"A Night At The Opera",
IF(COUNTIF('Queen Discography'!$G$4:$G$22,C16)&gt;0,"A Day At The Races",
IF(COUNTIF('Queen Discography'!$H$4:$H$22,C16)&gt;0,"News Of The World",
IF(COUNTIF('Queen Discography'!$I$4:$I$22,C16)&gt;0,"Jazz",
IF(COUNTIF('Queen Discography'!$J$4:$J$22,C16)&gt;0,"The Game",
IF(COUNTIF('Queen Discography'!$K$4:$K$22,C16)&gt;0,"Flash Gordon",
IF(COUNTIF('Queen Discography'!$L$4:$L$22,C16)&gt;0,"Hot Space",
IF(COUNTIF('Queen Discography'!$M$4:$M$22,C16)&gt;0,"The Works",
IF(COUNTIF('Queen Discography'!$N$4:$N$22,C16)&gt;0,"A Kind Of Magic",
IF(COUNTIF('Queen Discography'!$O$4:$O$22,C16)&gt;0,"The Miracle",
IF(COUNTIF('Queen Discography'!$P$4:$P$22,C16)&gt;0,"Innuendo",
IF(COUNTIF('Queen Discography'!$Q$4:$Q$22,C16)&gt;0,"Made In Heaven","NOT FOUND")))))))))))))))</f>
        <v>A Night At The Opera</v>
      </c>
      <c r="I16" s="1"/>
      <c r="J16" s="98">
        <v>12.0</v>
      </c>
      <c r="K16" s="99" t="str">
        <f t="shared" si="9"/>
        <v>N/A</v>
      </c>
      <c r="L16" s="99" t="str">
        <f t="shared" si="3"/>
        <v>N/A</v>
      </c>
      <c r="M16" s="99" t="str">
        <f t="shared" si="4"/>
        <v>N/A</v>
      </c>
      <c r="N16" s="100" t="str">
        <f>IFERROR(__xludf.DUMMYFUNCTION("IFERROR(MEDIAN(FILTER($G$4:$G$66,$D$4:$D$66=$J16,ISNUMBER($G$4:$G$66))),""N/A"")"),"N/A")</f>
        <v>N/A</v>
      </c>
      <c r="O16" s="99" t="str">
        <f>IFERROR(__xludf.DUMMYFUNCTION("IFERROR(MODE(FILTER($G$4:$G$66,$D$4:$D$66=$J16,ISNUMBER($G$4:$G$66))),""N/A"")"),"N/A")</f>
        <v>N/A</v>
      </c>
      <c r="P16" s="99">
        <f t="shared" ref="P16:AE16" si="20">COUNTIFS($H$4:$H$66,P$3,$D$4:$D$66,$J16)</f>
        <v>0</v>
      </c>
      <c r="Q16" s="99">
        <f t="shared" si="20"/>
        <v>0</v>
      </c>
      <c r="R16" s="99">
        <f t="shared" si="20"/>
        <v>0</v>
      </c>
      <c r="S16" s="99">
        <f t="shared" si="20"/>
        <v>0</v>
      </c>
      <c r="T16" s="99">
        <f t="shared" si="20"/>
        <v>0</v>
      </c>
      <c r="U16" s="99">
        <f t="shared" si="20"/>
        <v>0</v>
      </c>
      <c r="V16" s="99">
        <f t="shared" si="20"/>
        <v>0</v>
      </c>
      <c r="W16" s="99">
        <f t="shared" si="20"/>
        <v>0</v>
      </c>
      <c r="X16" s="99">
        <f t="shared" si="20"/>
        <v>0</v>
      </c>
      <c r="Y16" s="99">
        <f t="shared" si="20"/>
        <v>0</v>
      </c>
      <c r="Z16" s="99">
        <f t="shared" si="20"/>
        <v>0</v>
      </c>
      <c r="AA16" s="99">
        <f t="shared" si="20"/>
        <v>0</v>
      </c>
      <c r="AB16" s="99">
        <f t="shared" si="20"/>
        <v>0</v>
      </c>
      <c r="AC16" s="99">
        <f t="shared" si="20"/>
        <v>0</v>
      </c>
      <c r="AD16" s="99">
        <f t="shared" si="20"/>
        <v>0</v>
      </c>
      <c r="AE16" s="99">
        <f t="shared" si="20"/>
        <v>0</v>
      </c>
      <c r="AF16" s="104">
        <f t="array" ref="AF16:AU16">IFERROR(P16:AE16*TRANSPOSE('Queen MIDI'!$J$4:$J$19),"N/A")</f>
        <v>0</v>
      </c>
      <c r="AG16" s="104">
        <v>0.0</v>
      </c>
      <c r="AH16" s="104">
        <v>0.0</v>
      </c>
      <c r="AI16" s="104">
        <v>0.0</v>
      </c>
      <c r="AJ16" s="104">
        <v>0.0</v>
      </c>
      <c r="AK16" s="104">
        <v>0.0</v>
      </c>
      <c r="AL16" s="104">
        <v>0.0</v>
      </c>
      <c r="AM16" s="104">
        <v>0.0</v>
      </c>
      <c r="AN16" s="104" t="s">
        <v>357</v>
      </c>
      <c r="AO16" s="104">
        <v>0.0</v>
      </c>
      <c r="AP16" s="104">
        <v>0.0</v>
      </c>
      <c r="AQ16" s="104">
        <v>0.0</v>
      </c>
      <c r="AR16" s="104">
        <v>0.0</v>
      </c>
      <c r="AS16" s="104">
        <v>0.0</v>
      </c>
      <c r="AT16" s="104">
        <v>0.0</v>
      </c>
      <c r="AU16" s="104">
        <v>0.0</v>
      </c>
      <c r="AV16" s="99" t="str">
        <f>IFERROR(__xludf.DUMMYFUNCTION("JOIN("", "",FILTER($P$3:$AE$3,$P16:$AE16=MAX($P16:$AE16)))"),"Queen,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6" s="99">
        <f t="shared" si="6"/>
        <v>0</v>
      </c>
      <c r="AX16" s="99">
        <f>IFERROR(__xludf.DUMMYFUNCTION("COUNTA(FILTER($P$3:$AE$3,$P16:$AE16=MAX($P16:$AE16)))"),16.0)</f>
        <v>16</v>
      </c>
      <c r="AY16" s="99" t="str">
        <f>IFERROR(__xludf.DUMMYFUNCTION("IFERROR(JOIN("", "",FILTER($AF$3:$AU$3,$AF16:$AU16=MAXIFS($AF16:$AU16,$AF$23:$AU$23,TRUE),$AF$23:$AU$23)),""N/A"")"),"Queen,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6" s="103" t="str">
        <f>IFERROR(__xludf.DUMMYFUNCTION("IFERROR(JOIN("", "",FILTER($P16:$AE16,$AF16:$AU16=MAXIFS($AF16:$AU16,$AF$23:$AU$23,TRUE),$AF$23:$AU$23)),""N/A"")"),"0, 0, 0, 0, 0, 0, 0, 0, 0, 0, 0, 0, 0, 0")</f>
        <v>0, 0, 0, 0, 0, 0, 0, 0, 0, 0, 0, 0, 0, 0</v>
      </c>
      <c r="BA16" s="103">
        <f>MAXIFS(AF16:AU16,$AF$23:$AU$23,TRUE)/'Queen MIDI'!$J$20</f>
        <v>0</v>
      </c>
      <c r="BB16" s="98">
        <f>IFERROR(__xludf.DUMMYFUNCTION("COUNTA(IFERROR(FILTER($AF$3:$AU$3,$AF16:$AU16=MAXIFS($AF16:$AU16,$AF$23:$AU$23,TRUE),$AF$23:$AU$23),))"),14.0)</f>
        <v>14</v>
      </c>
      <c r="BC16" s="105">
        <f t="shared" si="7"/>
        <v>0</v>
      </c>
      <c r="BD16" s="99">
        <f t="shared" si="8"/>
        <v>0</v>
      </c>
      <c r="BE16" s="1"/>
    </row>
    <row r="17">
      <c r="A17" s="1"/>
      <c r="C17" s="66" t="str">
        <f t="array" ref="C17">INDEX('Queen MIDI'!$C$4:$C$66,MATCH(F17,'Queen MIDI'!$D$4:$D$66,0))</f>
        <v>Good Old-Fashioned Lover Boy</v>
      </c>
      <c r="D17" s="117">
        <v>0.0</v>
      </c>
      <c r="E17" s="118" t="s">
        <v>370</v>
      </c>
      <c r="F17" s="66" t="str">
        <f t="shared" si="2"/>
        <v>Good Old Fashioned Lover Boy.2.mid</v>
      </c>
      <c r="G17" s="126">
        <f>HLOOKUP(H17,'Queen Discography'!$C$2:$Q$3,2,FALSE)</f>
        <v>1976</v>
      </c>
      <c r="H17" s="66" t="str">
        <f>IF(COUNTIF('Queen Discography'!$C$4:$C$22,C17)&gt;0,"Queen",
IF(COUNTIF('Queen Discography'!$D$4:$D$22,C17)&gt;0,"Queen II",
IF(COUNTIF('Queen Discography'!$E$4:$E$22,C17)&gt;0,"Sheer Heart Attack",
IF(COUNTIF('Queen Discography'!$F$4:$F$22,C17)&gt;0,"A Night At The Opera",
IF(COUNTIF('Queen Discography'!$G$4:$G$22,C17)&gt;0,"A Day At The Races",
IF(COUNTIF('Queen Discography'!$H$4:$H$22,C17)&gt;0,"News Of The World",
IF(COUNTIF('Queen Discography'!$I$4:$I$22,C17)&gt;0,"Jazz",
IF(COUNTIF('Queen Discography'!$J$4:$J$22,C17)&gt;0,"The Game",
IF(COUNTIF('Queen Discography'!$K$4:$K$22,C17)&gt;0,"Flash Gordon",
IF(COUNTIF('Queen Discography'!$L$4:$L$22,C17)&gt;0,"Hot Space",
IF(COUNTIF('Queen Discography'!$M$4:$M$22,C17)&gt;0,"The Works",
IF(COUNTIF('Queen Discography'!$N$4:$N$22,C17)&gt;0,"A Kind Of Magic",
IF(COUNTIF('Queen Discography'!$O$4:$O$22,C17)&gt;0,"The Miracle",
IF(COUNTIF('Queen Discography'!$P$4:$P$22,C17)&gt;0,"Innuendo",
IF(COUNTIF('Queen Discography'!$Q$4:$Q$22,C17)&gt;0,"Made In Heaven","NOT FOUND")))))))))))))))</f>
        <v>A Day At The Races</v>
      </c>
      <c r="I17" s="1"/>
      <c r="J17" s="98">
        <v>13.0</v>
      </c>
      <c r="K17" s="99" t="str">
        <f t="shared" si="9"/>
        <v>N/A</v>
      </c>
      <c r="L17" s="99" t="str">
        <f t="shared" si="3"/>
        <v>N/A</v>
      </c>
      <c r="M17" s="99" t="str">
        <f t="shared" si="4"/>
        <v>N/A</v>
      </c>
      <c r="N17" s="100" t="str">
        <f>IFERROR(__xludf.DUMMYFUNCTION("IFERROR(MEDIAN(FILTER($G$4:$G$66,$D$4:$D$66=$J17,ISNUMBER($G$4:$G$66))),""N/A"")"),"N/A")</f>
        <v>N/A</v>
      </c>
      <c r="O17" s="99" t="str">
        <f>IFERROR(__xludf.DUMMYFUNCTION("IFERROR(MODE(FILTER($G$4:$G$66,$D$4:$D$66=$J17,ISNUMBER($G$4:$G$66))),""N/A"")"),"N/A")</f>
        <v>N/A</v>
      </c>
      <c r="P17" s="99">
        <f t="shared" ref="P17:AE17" si="21">COUNTIFS($H$4:$H$66,P$3,$D$4:$D$66,$J17)</f>
        <v>0</v>
      </c>
      <c r="Q17" s="99">
        <f t="shared" si="21"/>
        <v>0</v>
      </c>
      <c r="R17" s="99">
        <f t="shared" si="21"/>
        <v>0</v>
      </c>
      <c r="S17" s="99">
        <f t="shared" si="21"/>
        <v>0</v>
      </c>
      <c r="T17" s="99">
        <f t="shared" si="21"/>
        <v>0</v>
      </c>
      <c r="U17" s="99">
        <f t="shared" si="21"/>
        <v>0</v>
      </c>
      <c r="V17" s="99">
        <f t="shared" si="21"/>
        <v>0</v>
      </c>
      <c r="W17" s="99">
        <f t="shared" si="21"/>
        <v>0</v>
      </c>
      <c r="X17" s="99">
        <f t="shared" si="21"/>
        <v>0</v>
      </c>
      <c r="Y17" s="99">
        <f t="shared" si="21"/>
        <v>0</v>
      </c>
      <c r="Z17" s="99">
        <f t="shared" si="21"/>
        <v>0</v>
      </c>
      <c r="AA17" s="99">
        <f t="shared" si="21"/>
        <v>0</v>
      </c>
      <c r="AB17" s="99">
        <f t="shared" si="21"/>
        <v>0</v>
      </c>
      <c r="AC17" s="99">
        <f t="shared" si="21"/>
        <v>0</v>
      </c>
      <c r="AD17" s="99">
        <f t="shared" si="21"/>
        <v>0</v>
      </c>
      <c r="AE17" s="99">
        <f t="shared" si="21"/>
        <v>0</v>
      </c>
      <c r="AF17" s="104">
        <f t="array" ref="AF17:AU17">IFERROR(P17:AE17*TRANSPOSE('Queen MIDI'!$J$4:$J$19),"N/A")</f>
        <v>0</v>
      </c>
      <c r="AG17" s="104">
        <v>0.0</v>
      </c>
      <c r="AH17" s="104">
        <v>0.0</v>
      </c>
      <c r="AI17" s="104">
        <v>0.0</v>
      </c>
      <c r="AJ17" s="104">
        <v>0.0</v>
      </c>
      <c r="AK17" s="104">
        <v>0.0</v>
      </c>
      <c r="AL17" s="104">
        <v>0.0</v>
      </c>
      <c r="AM17" s="104">
        <v>0.0</v>
      </c>
      <c r="AN17" s="104" t="s">
        <v>357</v>
      </c>
      <c r="AO17" s="104">
        <v>0.0</v>
      </c>
      <c r="AP17" s="104">
        <v>0.0</v>
      </c>
      <c r="AQ17" s="104">
        <v>0.0</v>
      </c>
      <c r="AR17" s="104">
        <v>0.0</v>
      </c>
      <c r="AS17" s="104">
        <v>0.0</v>
      </c>
      <c r="AT17" s="104">
        <v>0.0</v>
      </c>
      <c r="AU17" s="104">
        <v>0.0</v>
      </c>
      <c r="AV17" s="99" t="str">
        <f>IFERROR(__xludf.DUMMYFUNCTION("JOIN("", "",FILTER($P$3:$AE$3,$P17:$AE17=MAX($P17:$AE17)))"),"Queen,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7" s="99">
        <f t="shared" si="6"/>
        <v>0</v>
      </c>
      <c r="AX17" s="99">
        <f>IFERROR(__xludf.DUMMYFUNCTION("COUNTA(FILTER($P$3:$AE$3,$P17:$AE17=MAX($P17:$AE17)))"),16.0)</f>
        <v>16</v>
      </c>
      <c r="AY17" s="99" t="str">
        <f>IFERROR(__xludf.DUMMYFUNCTION("IFERROR(JOIN("", "",FILTER($AF$3:$AU$3,$AF17:$AU17=MAXIFS($AF17:$AU17,$AF$23:$AU$23,TRUE),$AF$23:$AU$23)),""N/A"")"),"Queen,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7" s="103" t="str">
        <f>IFERROR(__xludf.DUMMYFUNCTION("IFERROR(JOIN("", "",FILTER($P17:$AE17,$AF17:$AU17=MAXIFS($AF17:$AU17,$AF$23:$AU$23,TRUE),$AF$23:$AU$23)),""N/A"")"),"0, 0, 0, 0, 0, 0, 0, 0, 0, 0, 0, 0, 0, 0")</f>
        <v>0, 0, 0, 0, 0, 0, 0, 0, 0, 0, 0, 0, 0, 0</v>
      </c>
      <c r="BA17" s="103">
        <f>MAXIFS(AF17:AU17,$AF$23:$AU$23,TRUE)/'Queen MIDI'!$J$20</f>
        <v>0</v>
      </c>
      <c r="BB17" s="98">
        <f>IFERROR(__xludf.DUMMYFUNCTION("COUNTA(IFERROR(FILTER($AF$3:$AU$3,$AF17:$AU17=MAXIFS($AF17:$AU17,$AF$23:$AU$23,TRUE),$AF$23:$AU$23),))"),14.0)</f>
        <v>14</v>
      </c>
      <c r="BC17" s="105">
        <f t="shared" si="7"/>
        <v>0</v>
      </c>
      <c r="BD17" s="99">
        <f t="shared" si="8"/>
        <v>0</v>
      </c>
      <c r="BE17" s="1"/>
    </row>
    <row r="18">
      <c r="A18" s="1"/>
      <c r="C18" s="66" t="str">
        <f t="array" ref="C18">INDEX('Queen MIDI'!$C$4:$C$66,MATCH(F18,'Queen MIDI'!$D$4:$D$66,0))</f>
        <v>Somebody to Love</v>
      </c>
      <c r="D18" s="117">
        <v>0.0</v>
      </c>
      <c r="E18" s="118" t="s">
        <v>371</v>
      </c>
      <c r="F18" s="66" t="str">
        <f t="shared" si="2"/>
        <v>Somebody to Love.3.mid</v>
      </c>
      <c r="G18" s="122">
        <f>HLOOKUP(H18,'Queen Discography'!$C$2:$Q$3,2,FALSE)</f>
        <v>1976</v>
      </c>
      <c r="H18" s="66" t="str">
        <f>IF(COUNTIF('Queen Discography'!$C$4:$C$22,C18)&gt;0,"Queen",
IF(COUNTIF('Queen Discography'!$D$4:$D$22,C18)&gt;0,"Queen II",
IF(COUNTIF('Queen Discography'!$E$4:$E$22,C18)&gt;0,"Sheer Heart Attack",
IF(COUNTIF('Queen Discography'!$F$4:$F$22,C18)&gt;0,"A Night At The Opera",
IF(COUNTIF('Queen Discography'!$G$4:$G$22,C18)&gt;0,"A Day At The Races",
IF(COUNTIF('Queen Discography'!$H$4:$H$22,C18)&gt;0,"News Of The World",
IF(COUNTIF('Queen Discography'!$I$4:$I$22,C18)&gt;0,"Jazz",
IF(COUNTIF('Queen Discography'!$J$4:$J$22,C18)&gt;0,"The Game",
IF(COUNTIF('Queen Discography'!$K$4:$K$22,C18)&gt;0,"Flash Gordon",
IF(COUNTIF('Queen Discography'!$L$4:$L$22,C18)&gt;0,"Hot Space",
IF(COUNTIF('Queen Discography'!$M$4:$M$22,C18)&gt;0,"The Works",
IF(COUNTIF('Queen Discography'!$N$4:$N$22,C18)&gt;0,"A Kind Of Magic",
IF(COUNTIF('Queen Discography'!$O$4:$O$22,C18)&gt;0,"The Miracle",
IF(COUNTIF('Queen Discography'!$P$4:$P$22,C18)&gt;0,"Innuendo",
IF(COUNTIF('Queen Discography'!$Q$4:$Q$22,C18)&gt;0,"Made In Heaven","NOT FOUND")))))))))))))))</f>
        <v>A Day At The Races</v>
      </c>
      <c r="I18" s="1"/>
      <c r="J18" s="98">
        <v>14.0</v>
      </c>
      <c r="K18" s="99" t="str">
        <f t="shared" si="9"/>
        <v>N/A</v>
      </c>
      <c r="L18" s="99" t="str">
        <f t="shared" si="3"/>
        <v>N/A</v>
      </c>
      <c r="M18" s="99" t="str">
        <f t="shared" si="4"/>
        <v>N/A</v>
      </c>
      <c r="N18" s="100" t="str">
        <f>IFERROR(__xludf.DUMMYFUNCTION("IFERROR(MEDIAN(FILTER($G$4:$G$66,$D$4:$D$66=$J18,ISNUMBER($G$4:$G$66))),""N/A"")"),"N/A")</f>
        <v>N/A</v>
      </c>
      <c r="O18" s="99" t="str">
        <f>IFERROR(__xludf.DUMMYFUNCTION("IFERROR(MODE(FILTER($G$4:$G$66,$D$4:$D$66=$J18,ISNUMBER($G$4:$G$66))),""N/A"")"),"N/A")</f>
        <v>N/A</v>
      </c>
      <c r="P18" s="99">
        <f t="shared" ref="P18:AE18" si="22">COUNTIFS($H$4:$H$66,P$3,$D$4:$D$66,$J18)</f>
        <v>0</v>
      </c>
      <c r="Q18" s="99">
        <f t="shared" si="22"/>
        <v>0</v>
      </c>
      <c r="R18" s="99">
        <f t="shared" si="22"/>
        <v>0</v>
      </c>
      <c r="S18" s="99">
        <f t="shared" si="22"/>
        <v>0</v>
      </c>
      <c r="T18" s="99">
        <f t="shared" si="22"/>
        <v>0</v>
      </c>
      <c r="U18" s="99">
        <f t="shared" si="22"/>
        <v>0</v>
      </c>
      <c r="V18" s="99">
        <f t="shared" si="22"/>
        <v>0</v>
      </c>
      <c r="W18" s="99">
        <f t="shared" si="22"/>
        <v>0</v>
      </c>
      <c r="X18" s="99">
        <f t="shared" si="22"/>
        <v>0</v>
      </c>
      <c r="Y18" s="99">
        <f t="shared" si="22"/>
        <v>0</v>
      </c>
      <c r="Z18" s="99">
        <f t="shared" si="22"/>
        <v>0</v>
      </c>
      <c r="AA18" s="99">
        <f t="shared" si="22"/>
        <v>0</v>
      </c>
      <c r="AB18" s="99">
        <f t="shared" si="22"/>
        <v>0</v>
      </c>
      <c r="AC18" s="99">
        <f t="shared" si="22"/>
        <v>0</v>
      </c>
      <c r="AD18" s="99">
        <f t="shared" si="22"/>
        <v>0</v>
      </c>
      <c r="AE18" s="99">
        <f t="shared" si="22"/>
        <v>0</v>
      </c>
      <c r="AF18" s="104">
        <f t="array" ref="AF18:AU18">IFERROR(P18:AE18*TRANSPOSE('Queen MIDI'!$J$4:$J$19),"N/A")</f>
        <v>0</v>
      </c>
      <c r="AG18" s="104">
        <v>0.0</v>
      </c>
      <c r="AH18" s="104">
        <v>0.0</v>
      </c>
      <c r="AI18" s="104">
        <v>0.0</v>
      </c>
      <c r="AJ18" s="104">
        <v>0.0</v>
      </c>
      <c r="AK18" s="104">
        <v>0.0</v>
      </c>
      <c r="AL18" s="104">
        <v>0.0</v>
      </c>
      <c r="AM18" s="104">
        <v>0.0</v>
      </c>
      <c r="AN18" s="104" t="s">
        <v>357</v>
      </c>
      <c r="AO18" s="104">
        <v>0.0</v>
      </c>
      <c r="AP18" s="104">
        <v>0.0</v>
      </c>
      <c r="AQ18" s="104">
        <v>0.0</v>
      </c>
      <c r="AR18" s="104">
        <v>0.0</v>
      </c>
      <c r="AS18" s="104">
        <v>0.0</v>
      </c>
      <c r="AT18" s="104">
        <v>0.0</v>
      </c>
      <c r="AU18" s="104">
        <v>0.0</v>
      </c>
      <c r="AV18" s="99" t="str">
        <f>IFERROR(__xludf.DUMMYFUNCTION("JOIN("", "",FILTER($P$3:$AE$3,$P18:$AE18=MAX($P18:$AE18)))"),"Queen,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8" s="99">
        <f t="shared" si="6"/>
        <v>0</v>
      </c>
      <c r="AX18" s="99">
        <f>IFERROR(__xludf.DUMMYFUNCTION("COUNTA(FILTER($P$3:$AE$3,$P18:$AE18=MAX($P18:$AE18)))"),16.0)</f>
        <v>16</v>
      </c>
      <c r="AY18" s="99" t="str">
        <f>IFERROR(__xludf.DUMMYFUNCTION("IFERROR(JOIN("", "",FILTER($AF$3:$AU$3,$AF18:$AU18=MAXIFS($AF18:$AU18,$AF$23:$AU$23,TRUE),$AF$23:$AU$23)),""N/A"")"),"Queen,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8" s="103" t="str">
        <f>IFERROR(__xludf.DUMMYFUNCTION("IFERROR(JOIN("", "",FILTER($P18:$AE18,$AF18:$AU18=MAXIFS($AF18:$AU18,$AF$23:$AU$23,TRUE),$AF$23:$AU$23)),""N/A"")"),"0, 0, 0, 0, 0, 0, 0, 0, 0, 0, 0, 0, 0, 0")</f>
        <v>0, 0, 0, 0, 0, 0, 0, 0, 0, 0, 0, 0, 0, 0</v>
      </c>
      <c r="BA18" s="103">
        <f>MAXIFS(AF18:AU18,$AF$23:$AU$23,TRUE)/'Queen MIDI'!$J$20</f>
        <v>0</v>
      </c>
      <c r="BB18" s="98">
        <f>IFERROR(__xludf.DUMMYFUNCTION("COUNTA(IFERROR(FILTER($AF$3:$AU$3,$AF18:$AU18=MAXIFS($AF18:$AU18,$AF$23:$AU$23,TRUE),$AF$23:$AU$23),))"),14.0)</f>
        <v>14</v>
      </c>
      <c r="BC18" s="105">
        <f t="shared" si="7"/>
        <v>0</v>
      </c>
      <c r="BD18" s="99">
        <f t="shared" si="8"/>
        <v>0</v>
      </c>
      <c r="BE18" s="1"/>
    </row>
    <row r="19">
      <c r="A19" s="1"/>
      <c r="C19" s="66" t="str">
        <f t="array" ref="C19">INDEX('Queen MIDI'!$C$4:$C$66,MATCH(F19,'Queen MIDI'!$D$4:$D$66,0))</f>
        <v>White Man</v>
      </c>
      <c r="D19" s="117">
        <v>0.0</v>
      </c>
      <c r="E19" s="118" t="s">
        <v>372</v>
      </c>
      <c r="F19" s="66" t="str">
        <f t="shared" si="2"/>
        <v>White Man.mid</v>
      </c>
      <c r="G19" s="127">
        <f>HLOOKUP(H19,'Queen Discography'!$C$2:$Q$3,2,FALSE)</f>
        <v>1976</v>
      </c>
      <c r="H19" s="66" t="str">
        <f>IF(COUNTIF('Queen Discography'!$C$4:$C$22,C19)&gt;0,"Queen",
IF(COUNTIF('Queen Discography'!$D$4:$D$22,C19)&gt;0,"Queen II",
IF(COUNTIF('Queen Discography'!$E$4:$E$22,C19)&gt;0,"Sheer Heart Attack",
IF(COUNTIF('Queen Discography'!$F$4:$F$22,C19)&gt;0,"A Night At The Opera",
IF(COUNTIF('Queen Discography'!$G$4:$G$22,C19)&gt;0,"A Day At The Races",
IF(COUNTIF('Queen Discography'!$H$4:$H$22,C19)&gt;0,"News Of The World",
IF(COUNTIF('Queen Discography'!$I$4:$I$22,C19)&gt;0,"Jazz",
IF(COUNTIF('Queen Discography'!$J$4:$J$22,C19)&gt;0,"The Game",
IF(COUNTIF('Queen Discography'!$K$4:$K$22,C19)&gt;0,"Flash Gordon",
IF(COUNTIF('Queen Discography'!$L$4:$L$22,C19)&gt;0,"Hot Space",
IF(COUNTIF('Queen Discography'!$M$4:$M$22,C19)&gt;0,"The Works",
IF(COUNTIF('Queen Discography'!$N$4:$N$22,C19)&gt;0,"A Kind Of Magic",
IF(COUNTIF('Queen Discography'!$O$4:$O$22,C19)&gt;0,"The Miracle",
IF(COUNTIF('Queen Discography'!$P$4:$P$22,C19)&gt;0,"Innuendo",
IF(COUNTIF('Queen Discography'!$Q$4:$Q$22,C19)&gt;0,"Made In Heaven","NOT FOUND")))))))))))))))</f>
        <v>A Day At The Races</v>
      </c>
      <c r="I19" s="1"/>
      <c r="J19" s="98">
        <v>15.0</v>
      </c>
      <c r="K19" s="99" t="str">
        <f t="shared" si="9"/>
        <v>N/A</v>
      </c>
      <c r="L19" s="99" t="str">
        <f t="shared" si="3"/>
        <v>N/A</v>
      </c>
      <c r="M19" s="99" t="str">
        <f t="shared" si="4"/>
        <v>N/A</v>
      </c>
      <c r="N19" s="100" t="str">
        <f>IFERROR(__xludf.DUMMYFUNCTION("IFERROR(MEDIAN(FILTER($G$4:$G$66,$D$4:$D$66=$J19,ISNUMBER($G$4:$G$66))),""N/A"")"),"N/A")</f>
        <v>N/A</v>
      </c>
      <c r="O19" s="99" t="str">
        <f>IFERROR(__xludf.DUMMYFUNCTION("IFERROR(MODE(FILTER($G$4:$G$66,$D$4:$D$66=$J19,ISNUMBER($G$4:$G$66))),""N/A"")"),"N/A")</f>
        <v>N/A</v>
      </c>
      <c r="P19" s="99">
        <f t="shared" ref="P19:AE19" si="23">COUNTIFS($H$4:$H$66,P$3,$D$4:$D$66,$J19)</f>
        <v>0</v>
      </c>
      <c r="Q19" s="99">
        <f t="shared" si="23"/>
        <v>0</v>
      </c>
      <c r="R19" s="99">
        <f t="shared" si="23"/>
        <v>0</v>
      </c>
      <c r="S19" s="99">
        <f t="shared" si="23"/>
        <v>0</v>
      </c>
      <c r="T19" s="99">
        <f t="shared" si="23"/>
        <v>0</v>
      </c>
      <c r="U19" s="99">
        <f t="shared" si="23"/>
        <v>0</v>
      </c>
      <c r="V19" s="99">
        <f t="shared" si="23"/>
        <v>0</v>
      </c>
      <c r="W19" s="99">
        <f t="shared" si="23"/>
        <v>0</v>
      </c>
      <c r="X19" s="99">
        <f t="shared" si="23"/>
        <v>0</v>
      </c>
      <c r="Y19" s="99">
        <f t="shared" si="23"/>
        <v>0</v>
      </c>
      <c r="Z19" s="99">
        <f t="shared" si="23"/>
        <v>0</v>
      </c>
      <c r="AA19" s="99">
        <f t="shared" si="23"/>
        <v>0</v>
      </c>
      <c r="AB19" s="99">
        <f t="shared" si="23"/>
        <v>0</v>
      </c>
      <c r="AC19" s="99">
        <f t="shared" si="23"/>
        <v>0</v>
      </c>
      <c r="AD19" s="99">
        <f t="shared" si="23"/>
        <v>0</v>
      </c>
      <c r="AE19" s="99">
        <f t="shared" si="23"/>
        <v>0</v>
      </c>
      <c r="AF19" s="104">
        <f t="array" ref="AF19:AU19">IFERROR(P19:AE19*TRANSPOSE('Queen MIDI'!$J$4:$J$19),"N/A")</f>
        <v>0</v>
      </c>
      <c r="AG19" s="104">
        <v>0.0</v>
      </c>
      <c r="AH19" s="104">
        <v>0.0</v>
      </c>
      <c r="AI19" s="104">
        <v>0.0</v>
      </c>
      <c r="AJ19" s="104">
        <v>0.0</v>
      </c>
      <c r="AK19" s="104">
        <v>0.0</v>
      </c>
      <c r="AL19" s="104">
        <v>0.0</v>
      </c>
      <c r="AM19" s="104">
        <v>0.0</v>
      </c>
      <c r="AN19" s="104" t="s">
        <v>357</v>
      </c>
      <c r="AO19" s="104">
        <v>0.0</v>
      </c>
      <c r="AP19" s="104">
        <v>0.0</v>
      </c>
      <c r="AQ19" s="104">
        <v>0.0</v>
      </c>
      <c r="AR19" s="104">
        <v>0.0</v>
      </c>
      <c r="AS19" s="104">
        <v>0.0</v>
      </c>
      <c r="AT19" s="104">
        <v>0.0</v>
      </c>
      <c r="AU19" s="104">
        <v>0.0</v>
      </c>
      <c r="AV19" s="99" t="str">
        <f>IFERROR(__xludf.DUMMYFUNCTION("JOIN("", "",FILTER($P$3:$AE$3,$P19:$AE19=MAX($P19:$AE19)))"),"Queen,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9" s="99">
        <f t="shared" si="6"/>
        <v>0</v>
      </c>
      <c r="AX19" s="99">
        <f>IFERROR(__xludf.DUMMYFUNCTION("COUNTA(FILTER($P$3:$AE$3,$P19:$AE19=MAX($P19:$AE19)))"),16.0)</f>
        <v>16</v>
      </c>
      <c r="AY19" s="99" t="str">
        <f>IFERROR(__xludf.DUMMYFUNCTION("IFERROR(JOIN("", "",FILTER($AF$3:$AU$3,$AF19:$AU19=MAXIFS($AF19:$AU19,$AF$23:$AU$23,TRUE),$AF$23:$AU$23)),""N/A"")"),"Queen,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9" s="103" t="str">
        <f>IFERROR(__xludf.DUMMYFUNCTION("IFERROR(JOIN("", "",FILTER($P19:$AE19,$AF19:$AU19=MAXIFS($AF19:$AU19,$AF$23:$AU$23,TRUE),$AF$23:$AU$23)),""N/A"")"),"0, 0, 0, 0, 0, 0, 0, 0, 0, 0, 0, 0, 0, 0")</f>
        <v>0, 0, 0, 0, 0, 0, 0, 0, 0, 0, 0, 0, 0, 0</v>
      </c>
      <c r="BA19" s="103">
        <f>MAXIFS(AF19:AU19,$AF$23:$AU$23,TRUE)/'Queen MIDI'!$J$20</f>
        <v>0</v>
      </c>
      <c r="BB19" s="98">
        <f>IFERROR(__xludf.DUMMYFUNCTION("COUNTA(IFERROR(FILTER($AF$3:$AU$3,$AF19:$AU19=MAXIFS($AF19:$AU19,$AF$23:$AU$23,TRUE),$AF$23:$AU$23),))"),14.0)</f>
        <v>14</v>
      </c>
      <c r="BC19" s="105">
        <f t="shared" si="7"/>
        <v>0</v>
      </c>
      <c r="BD19" s="99">
        <f t="shared" si="8"/>
        <v>0</v>
      </c>
      <c r="BE19" s="1"/>
    </row>
    <row r="20">
      <c r="A20" s="1"/>
      <c r="C20" s="66" t="str">
        <f t="array" ref="C20">INDEX('Queen MIDI'!$C$4:$C$66,MATCH(F20,'Queen MIDI'!$D$4:$D$66,0))</f>
        <v>My Melancholy Blues</v>
      </c>
      <c r="D20" s="117">
        <v>0.0</v>
      </c>
      <c r="E20" s="118" t="s">
        <v>373</v>
      </c>
      <c r="F20" s="66" t="str">
        <f t="shared" si="2"/>
        <v>My Melancholy Blues.mid</v>
      </c>
      <c r="G20" s="126">
        <f>HLOOKUP(H20,'Queen Discography'!$C$2:$Q$3,2,FALSE)</f>
        <v>1977</v>
      </c>
      <c r="H20" s="66" t="str">
        <f>IF(COUNTIF('Queen Discography'!$C$4:$C$22,C20)&gt;0,"Queen",
IF(COUNTIF('Queen Discography'!$D$4:$D$22,C20)&gt;0,"Queen II",
IF(COUNTIF('Queen Discography'!$E$4:$E$22,C20)&gt;0,"Sheer Heart Attack",
IF(COUNTIF('Queen Discography'!$F$4:$F$22,C20)&gt;0,"A Night At The Opera",
IF(COUNTIF('Queen Discography'!$G$4:$G$22,C20)&gt;0,"A Day At The Races",
IF(COUNTIF('Queen Discography'!$H$4:$H$22,C20)&gt;0,"News Of The World",
IF(COUNTIF('Queen Discography'!$I$4:$I$22,C20)&gt;0,"Jazz",
IF(COUNTIF('Queen Discography'!$J$4:$J$22,C20)&gt;0,"The Game",
IF(COUNTIF('Queen Discography'!$K$4:$K$22,C20)&gt;0,"Flash Gordon",
IF(COUNTIF('Queen Discography'!$L$4:$L$22,C20)&gt;0,"Hot Space",
IF(COUNTIF('Queen Discography'!$M$4:$M$22,C20)&gt;0,"The Works",
IF(COUNTIF('Queen Discography'!$N$4:$N$22,C20)&gt;0,"A Kind Of Magic",
IF(COUNTIF('Queen Discography'!$O$4:$O$22,C20)&gt;0,"The Miracle",
IF(COUNTIF('Queen Discography'!$P$4:$P$22,C20)&gt;0,"Innuendo",
IF(COUNTIF('Queen Discography'!$Q$4:$Q$22,C20)&gt;0,"Made In Heaven","NOT FOUND")))))))))))))))</f>
        <v>News Of The World</v>
      </c>
      <c r="I20" s="1"/>
      <c r="J20" s="98">
        <v>16.0</v>
      </c>
      <c r="K20" s="99" t="str">
        <f t="shared" si="9"/>
        <v>N/A</v>
      </c>
      <c r="L20" s="99" t="str">
        <f t="shared" si="3"/>
        <v>N/A</v>
      </c>
      <c r="M20" s="99" t="str">
        <f t="shared" si="4"/>
        <v>N/A</v>
      </c>
      <c r="N20" s="100" t="str">
        <f>IFERROR(__xludf.DUMMYFUNCTION("IFERROR(MEDIAN(FILTER($G$4:$G$66,$D$4:$D$66=$J20,ISNUMBER($G$4:$G$66))),""N/A"")"),"N/A")</f>
        <v>N/A</v>
      </c>
      <c r="O20" s="99" t="str">
        <f>IFERROR(__xludf.DUMMYFUNCTION("IFERROR(MODE(FILTER($G$4:$G$66,$D$4:$D$66=$J20,ISNUMBER($G$4:$G$66))),""N/A"")"),"N/A")</f>
        <v>N/A</v>
      </c>
      <c r="P20" s="99">
        <f t="shared" ref="P20:AE20" si="24">COUNTIFS($H$4:$H$66,P$3,$D$4:$D$66,$J20)</f>
        <v>0</v>
      </c>
      <c r="Q20" s="99">
        <f t="shared" si="24"/>
        <v>0</v>
      </c>
      <c r="R20" s="99">
        <f t="shared" si="24"/>
        <v>0</v>
      </c>
      <c r="S20" s="99">
        <f t="shared" si="24"/>
        <v>0</v>
      </c>
      <c r="T20" s="99">
        <f t="shared" si="24"/>
        <v>0</v>
      </c>
      <c r="U20" s="99">
        <f t="shared" si="24"/>
        <v>0</v>
      </c>
      <c r="V20" s="99">
        <f t="shared" si="24"/>
        <v>0</v>
      </c>
      <c r="W20" s="99">
        <f t="shared" si="24"/>
        <v>0</v>
      </c>
      <c r="X20" s="99">
        <f t="shared" si="24"/>
        <v>0</v>
      </c>
      <c r="Y20" s="99">
        <f t="shared" si="24"/>
        <v>0</v>
      </c>
      <c r="Z20" s="99">
        <f t="shared" si="24"/>
        <v>0</v>
      </c>
      <c r="AA20" s="99">
        <f t="shared" si="24"/>
        <v>0</v>
      </c>
      <c r="AB20" s="99">
        <f t="shared" si="24"/>
        <v>0</v>
      </c>
      <c r="AC20" s="99">
        <f t="shared" si="24"/>
        <v>0</v>
      </c>
      <c r="AD20" s="99">
        <f t="shared" si="24"/>
        <v>0</v>
      </c>
      <c r="AE20" s="99">
        <f t="shared" si="24"/>
        <v>0</v>
      </c>
      <c r="AF20" s="101">
        <f t="array" ref="AF20:AU20">IFERROR(P20:AE20*TRANSPOSE('Queen MIDI'!$J$4:$J$19),"N/A")</f>
        <v>0</v>
      </c>
      <c r="AG20" s="101">
        <v>0.0</v>
      </c>
      <c r="AH20" s="101">
        <v>0.0</v>
      </c>
      <c r="AI20" s="101">
        <v>0.0</v>
      </c>
      <c r="AJ20" s="101">
        <v>0.0</v>
      </c>
      <c r="AK20" s="101">
        <v>0.0</v>
      </c>
      <c r="AL20" s="101">
        <v>0.0</v>
      </c>
      <c r="AM20" s="101">
        <v>0.0</v>
      </c>
      <c r="AN20" s="101" t="s">
        <v>357</v>
      </c>
      <c r="AO20" s="101">
        <v>0.0</v>
      </c>
      <c r="AP20" s="101">
        <v>0.0</v>
      </c>
      <c r="AQ20" s="101">
        <v>0.0</v>
      </c>
      <c r="AR20" s="101">
        <v>0.0</v>
      </c>
      <c r="AS20" s="101">
        <v>0.0</v>
      </c>
      <c r="AT20" s="101">
        <v>0.0</v>
      </c>
      <c r="AU20" s="101">
        <v>0.0</v>
      </c>
      <c r="AV20" s="99" t="str">
        <f>IFERROR(__xludf.DUMMYFUNCTION("JOIN("", "",FILTER($P$3:$AE$3,$P20:$AE20=MAX($P20:$AE20)))"),"Queen,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0" s="99">
        <f t="shared" si="6"/>
        <v>0</v>
      </c>
      <c r="AX20" s="99">
        <f>IFERROR(__xludf.DUMMYFUNCTION("COUNTA(FILTER($P$3:$AE$3,$P20:$AE20=MAX($P20:$AE20)))"),16.0)</f>
        <v>16</v>
      </c>
      <c r="AY20" s="99" t="str">
        <f>IFERROR(__xludf.DUMMYFUNCTION("IFERROR(JOIN("", "",FILTER($AF$3:$AU$3,$AF20:$AU20=MAXIFS($AF20:$AU20,$AF$23:$AU$23,TRUE),$AF$23:$AU$23)),""N/A"")"),"Queen,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0" s="103" t="str">
        <f>IFERROR(__xludf.DUMMYFUNCTION("IFERROR(JOIN("", "",FILTER($P20:$AE20,$AF20:$AU20=MAXIFS($AF20:$AU20,$AF$23:$AU$23,TRUE),$AF$23:$AU$23)),""N/A"")"),"0, 0, 0, 0, 0, 0, 0, 0, 0, 0, 0, 0, 0, 0")</f>
        <v>0, 0, 0, 0, 0, 0, 0, 0, 0, 0, 0, 0, 0, 0</v>
      </c>
      <c r="BA20" s="103">
        <f>MAXIFS(AF20:AU20,$AF$23:$AU$23,TRUE)/'Queen MIDI'!$J$20</f>
        <v>0</v>
      </c>
      <c r="BB20" s="98">
        <f>IFERROR(__xludf.DUMMYFUNCTION("COUNTA(IFERROR(FILTER($AF$3:$AU$3,$AF20:$AU20=MAXIFS($AF20:$AU20,$AF$23:$AU$23,TRUE),$AF$23:$AU$23),))"),14.0)</f>
        <v>14</v>
      </c>
      <c r="BC20" s="105">
        <f t="shared" si="7"/>
        <v>0</v>
      </c>
      <c r="BD20" s="99">
        <f t="shared" si="8"/>
        <v>0</v>
      </c>
      <c r="BE20" s="1"/>
    </row>
    <row r="21">
      <c r="A21" s="1"/>
      <c r="C21" s="66" t="str">
        <f t="array" ref="C21">INDEX('Queen MIDI'!$C$4:$C$66,MATCH(F21,'Queen MIDI'!$D$4:$D$66,0))</f>
        <v>Spread Your Wings</v>
      </c>
      <c r="D21" s="117">
        <v>0.0</v>
      </c>
      <c r="E21" s="118" t="s">
        <v>374</v>
      </c>
      <c r="F21" s="66" t="str">
        <f t="shared" si="2"/>
        <v>Spread Your Wings.mid</v>
      </c>
      <c r="G21" s="122">
        <f>HLOOKUP(H21,'Queen Discography'!$C$2:$Q$3,2,FALSE)</f>
        <v>1977</v>
      </c>
      <c r="H21" s="66" t="str">
        <f>IF(COUNTIF('Queen Discography'!$C$4:$C$22,C21)&gt;0,"Queen",
IF(COUNTIF('Queen Discography'!$D$4:$D$22,C21)&gt;0,"Queen II",
IF(COUNTIF('Queen Discography'!$E$4:$E$22,C21)&gt;0,"Sheer Heart Attack",
IF(COUNTIF('Queen Discography'!$F$4:$F$22,C21)&gt;0,"A Night At The Opera",
IF(COUNTIF('Queen Discography'!$G$4:$G$22,C21)&gt;0,"A Day At The Races",
IF(COUNTIF('Queen Discography'!$H$4:$H$22,C21)&gt;0,"News Of The World",
IF(COUNTIF('Queen Discography'!$I$4:$I$22,C21)&gt;0,"Jazz",
IF(COUNTIF('Queen Discography'!$J$4:$J$22,C21)&gt;0,"The Game",
IF(COUNTIF('Queen Discography'!$K$4:$K$22,C21)&gt;0,"Flash Gordon",
IF(COUNTIF('Queen Discography'!$L$4:$L$22,C21)&gt;0,"Hot Space",
IF(COUNTIF('Queen Discography'!$M$4:$M$22,C21)&gt;0,"The Works",
IF(COUNTIF('Queen Discography'!$N$4:$N$22,C21)&gt;0,"A Kind Of Magic",
IF(COUNTIF('Queen Discography'!$O$4:$O$22,C21)&gt;0,"The Miracle",
IF(COUNTIF('Queen Discography'!$P$4:$P$22,C21)&gt;0,"Innuendo",
IF(COUNTIF('Queen Discography'!$Q$4:$Q$22,C21)&gt;0,"Made In Heaven","NOT FOUND")))))))))))))))</f>
        <v>News Of The World</v>
      </c>
      <c r="I21" s="1"/>
      <c r="J21" s="98">
        <v>17.0</v>
      </c>
      <c r="K21" s="99" t="str">
        <f t="shared" si="9"/>
        <v>N/A</v>
      </c>
      <c r="L21" s="99" t="str">
        <f t="shared" si="3"/>
        <v>N/A</v>
      </c>
      <c r="M21" s="99" t="str">
        <f t="shared" si="4"/>
        <v>N/A</v>
      </c>
      <c r="N21" s="100" t="str">
        <f>IFERROR(__xludf.DUMMYFUNCTION("IFERROR(MEDIAN(FILTER($G$4:$G$66,$D$4:$D$66=$J21,ISNUMBER($G$4:$G$66))),""N/A"")"),"N/A")</f>
        <v>N/A</v>
      </c>
      <c r="O21" s="99" t="str">
        <f>IFERROR(__xludf.DUMMYFUNCTION("IFERROR(MODE(FILTER($G$4:$G$66,$D$4:$D$66=$J21,ISNUMBER($G$4:$G$66))),""N/A"")"),"N/A")</f>
        <v>N/A</v>
      </c>
      <c r="P21" s="99">
        <f t="shared" ref="P21:AE21" si="25">COUNTIFS($H$4:$H$66,P$3,$D$4:$D$66,$J21)</f>
        <v>0</v>
      </c>
      <c r="Q21" s="99">
        <f t="shared" si="25"/>
        <v>0</v>
      </c>
      <c r="R21" s="99">
        <f t="shared" si="25"/>
        <v>0</v>
      </c>
      <c r="S21" s="99">
        <f t="shared" si="25"/>
        <v>0</v>
      </c>
      <c r="T21" s="99">
        <f t="shared" si="25"/>
        <v>0</v>
      </c>
      <c r="U21" s="99">
        <f t="shared" si="25"/>
        <v>0</v>
      </c>
      <c r="V21" s="99">
        <f t="shared" si="25"/>
        <v>0</v>
      </c>
      <c r="W21" s="99">
        <f t="shared" si="25"/>
        <v>0</v>
      </c>
      <c r="X21" s="99">
        <f t="shared" si="25"/>
        <v>0</v>
      </c>
      <c r="Y21" s="99">
        <f t="shared" si="25"/>
        <v>0</v>
      </c>
      <c r="Z21" s="99">
        <f t="shared" si="25"/>
        <v>0</v>
      </c>
      <c r="AA21" s="99">
        <f t="shared" si="25"/>
        <v>0</v>
      </c>
      <c r="AB21" s="99">
        <f t="shared" si="25"/>
        <v>0</v>
      </c>
      <c r="AC21" s="99">
        <f t="shared" si="25"/>
        <v>0</v>
      </c>
      <c r="AD21" s="99">
        <f t="shared" si="25"/>
        <v>0</v>
      </c>
      <c r="AE21" s="99">
        <f t="shared" si="25"/>
        <v>0</v>
      </c>
      <c r="AF21" s="101">
        <f t="array" ref="AF21:AU21">IFERROR(P21:AE21*TRANSPOSE('Queen MIDI'!$J$4:$J$19),"N/A")</f>
        <v>0</v>
      </c>
      <c r="AG21" s="101">
        <v>0.0</v>
      </c>
      <c r="AH21" s="101">
        <v>0.0</v>
      </c>
      <c r="AI21" s="101">
        <v>0.0</v>
      </c>
      <c r="AJ21" s="101">
        <v>0.0</v>
      </c>
      <c r="AK21" s="101">
        <v>0.0</v>
      </c>
      <c r="AL21" s="101">
        <v>0.0</v>
      </c>
      <c r="AM21" s="101">
        <v>0.0</v>
      </c>
      <c r="AN21" s="101" t="s">
        <v>357</v>
      </c>
      <c r="AO21" s="101">
        <v>0.0</v>
      </c>
      <c r="AP21" s="101">
        <v>0.0</v>
      </c>
      <c r="AQ21" s="101">
        <v>0.0</v>
      </c>
      <c r="AR21" s="101">
        <v>0.0</v>
      </c>
      <c r="AS21" s="101">
        <v>0.0</v>
      </c>
      <c r="AT21" s="101">
        <v>0.0</v>
      </c>
      <c r="AU21" s="101">
        <v>0.0</v>
      </c>
      <c r="AV21" s="99" t="str">
        <f>IFERROR(__xludf.DUMMYFUNCTION("JOIN("", "",FILTER($P$3:$AE$3,$P21:$AE21=MAX($P21:$AE21)))"),"Queen,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1" s="99">
        <f t="shared" si="6"/>
        <v>0</v>
      </c>
      <c r="AX21" s="99">
        <f>IFERROR(__xludf.DUMMYFUNCTION("COUNTA(FILTER($P$3:$AE$3,$P21:$AE21=MAX($P21:$AE21)))"),16.0)</f>
        <v>16</v>
      </c>
      <c r="AY21" s="99" t="str">
        <f>IFERROR(__xludf.DUMMYFUNCTION("IFERROR(JOIN("", "",FILTER($AF$3:$AU$3,$AF21:$AU21=MAXIFS($AF21:$AU21,$AF$23:$AU$23,TRUE),$AF$23:$AU$23)),""N/A"")"),"Queen,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1" s="103" t="str">
        <f>IFERROR(__xludf.DUMMYFUNCTION("IFERROR(JOIN("", "",FILTER($P21:$AE21,$AF21:$AU21=MAXIFS($AF21:$AU21,$AF$23:$AU$23,TRUE),$AF$23:$AU$23)),""N/A"")"),"0, 0, 0, 0, 0, 0, 0, 0, 0, 0, 0, 0, 0, 0")</f>
        <v>0, 0, 0, 0, 0, 0, 0, 0, 0, 0, 0, 0, 0, 0</v>
      </c>
      <c r="BA21" s="103">
        <f>MAXIFS(AF21:AU21,$AF$23:$AU$23,TRUE)/'Queen MIDI'!$J$20</f>
        <v>0</v>
      </c>
      <c r="BB21" s="98">
        <f>IFERROR(__xludf.DUMMYFUNCTION("COUNTA(IFERROR(FILTER($AF$3:$AU$3,$AF21:$AU21=MAXIFS($AF21:$AU21,$AF$23:$AU$23,TRUE),$AF$23:$AU$23),))"),14.0)</f>
        <v>14</v>
      </c>
      <c r="BC21" s="105">
        <f t="shared" si="7"/>
        <v>0</v>
      </c>
      <c r="BD21" s="99">
        <f t="shared" si="8"/>
        <v>0</v>
      </c>
      <c r="BE21" s="1"/>
    </row>
    <row r="22">
      <c r="A22" s="1"/>
      <c r="C22" s="66" t="str">
        <f t="array" ref="C22">INDEX('Queen MIDI'!$C$4:$C$66,MATCH(F22,'Queen MIDI'!$D$4:$D$66,0))</f>
        <v>We Are The Champions</v>
      </c>
      <c r="D22" s="117">
        <v>0.0</v>
      </c>
      <c r="E22" s="118" t="s">
        <v>375</v>
      </c>
      <c r="F22" s="66" t="str">
        <f t="shared" si="2"/>
        <v>We Are The Champions.1.mid</v>
      </c>
      <c r="G22" s="128">
        <f>HLOOKUP(H22,'Queen Discography'!$C$2:$Q$3,2,FALSE)</f>
        <v>1977</v>
      </c>
      <c r="H22" s="66" t="str">
        <f>IF(COUNTIF('Queen Discography'!$C$4:$C$22,C22)&gt;0,"Queen",
IF(COUNTIF('Queen Discography'!$D$4:$D$22,C22)&gt;0,"Queen II",
IF(COUNTIF('Queen Discography'!$E$4:$E$22,C22)&gt;0,"Sheer Heart Attack",
IF(COUNTIF('Queen Discography'!$F$4:$F$22,C22)&gt;0,"A Night At The Opera",
IF(COUNTIF('Queen Discography'!$G$4:$G$22,C22)&gt;0,"A Day At The Races",
IF(COUNTIF('Queen Discography'!$H$4:$H$22,C22)&gt;0,"News Of The World",
IF(COUNTIF('Queen Discography'!$I$4:$I$22,C22)&gt;0,"Jazz",
IF(COUNTIF('Queen Discography'!$J$4:$J$22,C22)&gt;0,"The Game",
IF(COUNTIF('Queen Discography'!$K$4:$K$22,C22)&gt;0,"Flash Gordon",
IF(COUNTIF('Queen Discography'!$L$4:$L$22,C22)&gt;0,"Hot Space",
IF(COUNTIF('Queen Discography'!$M$4:$M$22,C22)&gt;0,"The Works",
IF(COUNTIF('Queen Discography'!$N$4:$N$22,C22)&gt;0,"A Kind Of Magic",
IF(COUNTIF('Queen Discography'!$O$4:$O$22,C22)&gt;0,"The Miracle",
IF(COUNTIF('Queen Discography'!$P$4:$P$22,C22)&gt;0,"Innuendo",
IF(COUNTIF('Queen Discography'!$Q$4:$Q$22,C22)&gt;0,"Made In Heaven","NOT FOUND")))))))))))))))</f>
        <v>News Of The World</v>
      </c>
      <c r="I22" s="1"/>
      <c r="J22" s="107"/>
      <c r="K22" s="1"/>
      <c r="L22" s="1"/>
      <c r="M22" s="1"/>
      <c r="N22" s="87"/>
      <c r="O22" s="1"/>
      <c r="P22" s="1"/>
      <c r="Q22" s="1"/>
      <c r="R22" s="1"/>
      <c r="S22" s="1"/>
      <c r="T22" s="1"/>
      <c r="U22" s="1"/>
      <c r="V22" s="1"/>
      <c r="W22" s="1"/>
      <c r="X22" s="1"/>
      <c r="Y22" s="1"/>
      <c r="Z22" s="1"/>
      <c r="AA22" s="1"/>
      <c r="AB22" s="1"/>
      <c r="AC22" s="1"/>
      <c r="AD22" s="1"/>
      <c r="AE22" s="1"/>
      <c r="AF22" s="108">
        <f t="array" ref="AF22:AU22">TRANSPOSE('Queen MIDI'!I4:I19)</f>
        <v>4</v>
      </c>
      <c r="AG22" s="108">
        <v>3.0</v>
      </c>
      <c r="AH22" s="108">
        <v>2.0</v>
      </c>
      <c r="AI22" s="108">
        <v>5.0</v>
      </c>
      <c r="AJ22" s="108">
        <v>3.0</v>
      </c>
      <c r="AK22" s="108">
        <v>4.0</v>
      </c>
      <c r="AL22" s="108">
        <v>5.0</v>
      </c>
      <c r="AM22" s="108">
        <v>4.0</v>
      </c>
      <c r="AN22" s="108">
        <v>0.0</v>
      </c>
      <c r="AO22" s="108">
        <v>1.0</v>
      </c>
      <c r="AP22" s="108">
        <v>4.0</v>
      </c>
      <c r="AQ22" s="108">
        <v>5.0</v>
      </c>
      <c r="AR22" s="108">
        <v>5.0</v>
      </c>
      <c r="AS22" s="108">
        <v>9.0</v>
      </c>
      <c r="AT22" s="108">
        <v>7.0</v>
      </c>
      <c r="AU22" s="108">
        <v>2.0</v>
      </c>
      <c r="AV22" s="79" t="s">
        <v>235</v>
      </c>
      <c r="AW22" s="1"/>
      <c r="AX22" s="1"/>
      <c r="AY22" s="1"/>
      <c r="AZ22" s="107"/>
      <c r="BA22" s="107"/>
      <c r="BB22" s="107"/>
      <c r="BC22" s="109" t="s">
        <v>230</v>
      </c>
      <c r="BD22" s="110">
        <f>SUM(BD4:BD21)</f>
        <v>63</v>
      </c>
      <c r="BE22" s="1"/>
    </row>
    <row r="23">
      <c r="A23" s="1"/>
      <c r="C23" s="66" t="str">
        <f t="array" ref="C23">INDEX('Queen MIDI'!$C$4:$C$66,MATCH(F23,'Queen MIDI'!$D$4:$D$66,0))</f>
        <v>We Will Rock You</v>
      </c>
      <c r="D23" s="117">
        <v>0.0</v>
      </c>
      <c r="E23" s="118" t="s">
        <v>419</v>
      </c>
      <c r="F23" s="66" t="str">
        <f t="shared" si="2"/>
        <v>We Will Rock You.6.mid</v>
      </c>
      <c r="G23" s="128">
        <f>HLOOKUP(H23,'Queen Discography'!$C$2:$Q$3,2,FALSE)</f>
        <v>1977</v>
      </c>
      <c r="H23" s="66" t="str">
        <f>IF(COUNTIF('Queen Discography'!$C$4:$C$22,C23)&gt;0,"Queen",
IF(COUNTIF('Queen Discography'!$D$4:$D$22,C23)&gt;0,"Queen II",
IF(COUNTIF('Queen Discography'!$E$4:$E$22,C23)&gt;0,"Sheer Heart Attack",
IF(COUNTIF('Queen Discography'!$F$4:$F$22,C23)&gt;0,"A Night At The Opera",
IF(COUNTIF('Queen Discography'!$G$4:$G$22,C23)&gt;0,"A Day At The Races",
IF(COUNTIF('Queen Discography'!$H$4:$H$22,C23)&gt;0,"News Of The World",
IF(COUNTIF('Queen Discography'!$I$4:$I$22,C23)&gt;0,"Jazz",
IF(COUNTIF('Queen Discography'!$J$4:$J$22,C23)&gt;0,"The Game",
IF(COUNTIF('Queen Discography'!$K$4:$K$22,C23)&gt;0,"Flash Gordon",
IF(COUNTIF('Queen Discography'!$L$4:$L$22,C23)&gt;0,"Hot Space",
IF(COUNTIF('Queen Discography'!$M$4:$M$22,C23)&gt;0,"The Works",
IF(COUNTIF('Queen Discography'!$N$4:$N$22,C23)&gt;0,"A Kind Of Magic",
IF(COUNTIF('Queen Discography'!$O$4:$O$22,C23)&gt;0,"The Miracle",
IF(COUNTIF('Queen Discography'!$P$4:$P$22,C23)&gt;0,"Innuendo",
IF(COUNTIF('Queen Discography'!$Q$4:$Q$22,C23)&gt;0,"Made In Heaven","NOT FOUND")))))))))))))))</f>
        <v>News Of The World</v>
      </c>
      <c r="I23" s="1"/>
      <c r="J23" s="1"/>
      <c r="K23" s="1"/>
      <c r="L23" s="1"/>
      <c r="M23" s="1"/>
      <c r="N23" s="87"/>
      <c r="O23" s="1"/>
      <c r="P23" s="1"/>
      <c r="Q23" s="1"/>
      <c r="R23" s="1"/>
      <c r="S23" s="1"/>
      <c r="T23" s="1"/>
      <c r="U23" s="1"/>
      <c r="V23" s="1"/>
      <c r="W23" s="1"/>
      <c r="X23" s="1"/>
      <c r="Y23" s="1"/>
      <c r="Z23" s="1"/>
      <c r="AA23" s="1"/>
      <c r="AB23" s="1"/>
      <c r="AC23" s="1"/>
      <c r="AD23" s="1"/>
      <c r="AE23" s="1"/>
      <c r="AF23" s="111" t="b">
        <f t="shared" ref="AF23:AU23" si="26">IF(AF22&gt;=$AV$23,TRUE,FALSE)</f>
        <v>1</v>
      </c>
      <c r="AG23" s="111" t="b">
        <f t="shared" si="26"/>
        <v>1</v>
      </c>
      <c r="AH23" s="111" t="b">
        <f t="shared" si="26"/>
        <v>1</v>
      </c>
      <c r="AI23" s="111" t="b">
        <f t="shared" si="26"/>
        <v>1</v>
      </c>
      <c r="AJ23" s="111" t="b">
        <f t="shared" si="26"/>
        <v>1</v>
      </c>
      <c r="AK23" s="111" t="b">
        <f t="shared" si="26"/>
        <v>1</v>
      </c>
      <c r="AL23" s="111" t="b">
        <f t="shared" si="26"/>
        <v>1</v>
      </c>
      <c r="AM23" s="111" t="b">
        <f t="shared" si="26"/>
        <v>1</v>
      </c>
      <c r="AN23" s="111" t="b">
        <f t="shared" si="26"/>
        <v>0</v>
      </c>
      <c r="AO23" s="111" t="b">
        <f t="shared" si="26"/>
        <v>0</v>
      </c>
      <c r="AP23" s="111" t="b">
        <f t="shared" si="26"/>
        <v>1</v>
      </c>
      <c r="AQ23" s="111" t="b">
        <f t="shared" si="26"/>
        <v>1</v>
      </c>
      <c r="AR23" s="111" t="b">
        <f t="shared" si="26"/>
        <v>1</v>
      </c>
      <c r="AS23" s="111" t="b">
        <f t="shared" si="26"/>
        <v>1</v>
      </c>
      <c r="AT23" s="111" t="b">
        <f t="shared" si="26"/>
        <v>1</v>
      </c>
      <c r="AU23" s="111" t="b">
        <f t="shared" si="26"/>
        <v>1</v>
      </c>
      <c r="AV23" s="79">
        <f>'Queen MIDI'!I22</f>
        <v>2</v>
      </c>
      <c r="AW23" s="1"/>
      <c r="AX23" s="1"/>
      <c r="AY23" s="1"/>
      <c r="AZ23" s="1"/>
      <c r="BA23" s="1"/>
      <c r="BB23" s="1"/>
      <c r="BC23" s="1"/>
      <c r="BD23" s="1"/>
      <c r="BE23" s="1"/>
    </row>
    <row r="24">
      <c r="A24" s="1"/>
      <c r="C24" s="66" t="str">
        <f t="array" ref="C24">INDEX('Queen MIDI'!$C$4:$C$66,MATCH(F24,'Queen MIDI'!$D$4:$D$66,0))</f>
        <v>Bicycle Race</v>
      </c>
      <c r="D24" s="117">
        <v>0.0</v>
      </c>
      <c r="E24" s="118" t="s">
        <v>376</v>
      </c>
      <c r="F24" s="66" t="str">
        <f t="shared" si="2"/>
        <v>Bicycle Race.mid</v>
      </c>
      <c r="G24" s="120">
        <f>HLOOKUP(H24,'Queen Discography'!$C$2:$Q$3,2,FALSE)</f>
        <v>1978</v>
      </c>
      <c r="H24" s="66" t="str">
        <f>IF(COUNTIF('Queen Discography'!$C$4:$C$22,C24)&gt;0,"Queen",
IF(COUNTIF('Queen Discography'!$D$4:$D$22,C24)&gt;0,"Queen II",
IF(COUNTIF('Queen Discography'!$E$4:$E$22,C24)&gt;0,"Sheer Heart Attack",
IF(COUNTIF('Queen Discography'!$F$4:$F$22,C24)&gt;0,"A Night At The Opera",
IF(COUNTIF('Queen Discography'!$G$4:$G$22,C24)&gt;0,"A Day At The Races",
IF(COUNTIF('Queen Discography'!$H$4:$H$22,C24)&gt;0,"News Of The World",
IF(COUNTIF('Queen Discography'!$I$4:$I$22,C24)&gt;0,"Jazz",
IF(COUNTIF('Queen Discography'!$J$4:$J$22,C24)&gt;0,"The Game",
IF(COUNTIF('Queen Discography'!$K$4:$K$22,C24)&gt;0,"Flash Gordon",
IF(COUNTIF('Queen Discography'!$L$4:$L$22,C24)&gt;0,"Hot Space",
IF(COUNTIF('Queen Discography'!$M$4:$M$22,C24)&gt;0,"The Works",
IF(COUNTIF('Queen Discography'!$N$4:$N$22,C24)&gt;0,"A Kind Of Magic",
IF(COUNTIF('Queen Discography'!$O$4:$O$22,C24)&gt;0,"The Miracle",
IF(COUNTIF('Queen Discography'!$P$4:$P$22,C24)&gt;0,"Innuendo",
IF(COUNTIF('Queen Discography'!$Q$4:$Q$22,C24)&gt;0,"Made In Heaven","NOT FOUND")))))))))))))))</f>
        <v>Jazz</v>
      </c>
      <c r="I24" s="1"/>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
    </row>
    <row r="25">
      <c r="A25" s="1"/>
      <c r="C25" s="66" t="str">
        <f t="array" ref="C25">INDEX('Queen MIDI'!$C$4:$C$66,MATCH(F25,'Queen MIDI'!$D$4:$D$66,0))</f>
        <v>Don't Stop Me Now</v>
      </c>
      <c r="D25" s="117">
        <v>0.0</v>
      </c>
      <c r="E25" s="118" t="s">
        <v>377</v>
      </c>
      <c r="F25" s="66" t="str">
        <f t="shared" si="2"/>
        <v>Don_t Stop Me Now.1.mid</v>
      </c>
      <c r="G25" s="119">
        <f>HLOOKUP(H25,'Queen Discography'!$C$2:$Q$3,2,FALSE)</f>
        <v>1978</v>
      </c>
      <c r="H25" s="66" t="str">
        <f>IF(COUNTIF('Queen Discography'!$C$4:$C$22,C25)&gt;0,"Queen",
IF(COUNTIF('Queen Discography'!$D$4:$D$22,C25)&gt;0,"Queen II",
IF(COUNTIF('Queen Discography'!$E$4:$E$22,C25)&gt;0,"Sheer Heart Attack",
IF(COUNTIF('Queen Discography'!$F$4:$F$22,C25)&gt;0,"A Night At The Opera",
IF(COUNTIF('Queen Discography'!$G$4:$G$22,C25)&gt;0,"A Day At The Races",
IF(COUNTIF('Queen Discography'!$H$4:$H$22,C25)&gt;0,"News Of The World",
IF(COUNTIF('Queen Discography'!$I$4:$I$22,C25)&gt;0,"Jazz",
IF(COUNTIF('Queen Discography'!$J$4:$J$22,C25)&gt;0,"The Game",
IF(COUNTIF('Queen Discography'!$K$4:$K$22,C25)&gt;0,"Flash Gordon",
IF(COUNTIF('Queen Discography'!$L$4:$L$22,C25)&gt;0,"Hot Space",
IF(COUNTIF('Queen Discography'!$M$4:$M$22,C25)&gt;0,"The Works",
IF(COUNTIF('Queen Discography'!$N$4:$N$22,C25)&gt;0,"A Kind Of Magic",
IF(COUNTIF('Queen Discography'!$O$4:$O$22,C25)&gt;0,"The Miracle",
IF(COUNTIF('Queen Discography'!$P$4:$P$22,C25)&gt;0,"Innuendo",
IF(COUNTIF('Queen Discography'!$Q$4:$Q$22,C25)&gt;0,"Made In Heaven","NOT FOUND")))))))))))))))</f>
        <v>Jazz</v>
      </c>
      <c r="I25" s="1"/>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
    </row>
    <row r="26">
      <c r="A26" s="1"/>
      <c r="C26" s="66" t="str">
        <f t="array" ref="C26">INDEX('Queen MIDI'!$C$4:$C$66,MATCH(F26,'Queen MIDI'!$D$4:$D$66,0))</f>
        <v>Fat Bottomed Girls</v>
      </c>
      <c r="D26" s="117">
        <v>0.0</v>
      </c>
      <c r="E26" s="118" t="s">
        <v>378</v>
      </c>
      <c r="F26" s="66" t="str">
        <f t="shared" si="2"/>
        <v>Fat Bottomed Girls.mid</v>
      </c>
      <c r="G26" s="119">
        <f>HLOOKUP(H26,'Queen Discography'!$C$2:$Q$3,2,FALSE)</f>
        <v>1978</v>
      </c>
      <c r="H26" s="66" t="str">
        <f>IF(COUNTIF('Queen Discography'!$C$4:$C$22,C26)&gt;0,"Queen",
IF(COUNTIF('Queen Discography'!$D$4:$D$22,C26)&gt;0,"Queen II",
IF(COUNTIF('Queen Discography'!$E$4:$E$22,C26)&gt;0,"Sheer Heart Attack",
IF(COUNTIF('Queen Discography'!$F$4:$F$22,C26)&gt;0,"A Night At The Opera",
IF(COUNTIF('Queen Discography'!$G$4:$G$22,C26)&gt;0,"A Day At The Races",
IF(COUNTIF('Queen Discography'!$H$4:$H$22,C26)&gt;0,"News Of The World",
IF(COUNTIF('Queen Discography'!$I$4:$I$22,C26)&gt;0,"Jazz",
IF(COUNTIF('Queen Discography'!$J$4:$J$22,C26)&gt;0,"The Game",
IF(COUNTIF('Queen Discography'!$K$4:$K$22,C26)&gt;0,"Flash Gordon",
IF(COUNTIF('Queen Discography'!$L$4:$L$22,C26)&gt;0,"Hot Space",
IF(COUNTIF('Queen Discography'!$M$4:$M$22,C26)&gt;0,"The Works",
IF(COUNTIF('Queen Discography'!$N$4:$N$22,C26)&gt;0,"A Kind Of Magic",
IF(COUNTIF('Queen Discography'!$O$4:$O$22,C26)&gt;0,"The Miracle",
IF(COUNTIF('Queen Discography'!$P$4:$P$22,C26)&gt;0,"Innuendo",
IF(COUNTIF('Queen Discography'!$Q$4:$Q$22,C26)&gt;0,"Made In Heaven","NOT FOUND")))))))))))))))</f>
        <v>Jazz</v>
      </c>
      <c r="I26" s="1"/>
      <c r="J26" s="113"/>
      <c r="K26" s="1"/>
      <c r="L26" s="1"/>
      <c r="M26" s="1"/>
      <c r="N26" s="87"/>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row>
    <row r="27">
      <c r="A27" s="1"/>
      <c r="C27" s="66" t="str">
        <f t="array" ref="C27">INDEX('Queen MIDI'!$C$4:$C$66,MATCH(F27,'Queen MIDI'!$D$4:$D$66,0))</f>
        <v>Fun It</v>
      </c>
      <c r="D27" s="117">
        <v>0.0</v>
      </c>
      <c r="E27" s="118" t="s">
        <v>379</v>
      </c>
      <c r="F27" s="66" t="str">
        <f t="shared" si="2"/>
        <v>Fun It.mid</v>
      </c>
      <c r="G27" s="126">
        <f>HLOOKUP(H27,'Queen Discography'!$C$2:$Q$3,2,FALSE)</f>
        <v>1978</v>
      </c>
      <c r="H27" s="66" t="str">
        <f>IF(COUNTIF('Queen Discography'!$C$4:$C$22,C27)&gt;0,"Queen",
IF(COUNTIF('Queen Discography'!$D$4:$D$22,C27)&gt;0,"Queen II",
IF(COUNTIF('Queen Discography'!$E$4:$E$22,C27)&gt;0,"Sheer Heart Attack",
IF(COUNTIF('Queen Discography'!$F$4:$F$22,C27)&gt;0,"A Night At The Opera",
IF(COUNTIF('Queen Discography'!$G$4:$G$22,C27)&gt;0,"A Day At The Races",
IF(COUNTIF('Queen Discography'!$H$4:$H$22,C27)&gt;0,"News Of The World",
IF(COUNTIF('Queen Discography'!$I$4:$I$22,C27)&gt;0,"Jazz",
IF(COUNTIF('Queen Discography'!$J$4:$J$22,C27)&gt;0,"The Game",
IF(COUNTIF('Queen Discography'!$K$4:$K$22,C27)&gt;0,"Flash Gordon",
IF(COUNTIF('Queen Discography'!$L$4:$L$22,C27)&gt;0,"Hot Space",
IF(COUNTIF('Queen Discography'!$M$4:$M$22,C27)&gt;0,"The Works",
IF(COUNTIF('Queen Discography'!$N$4:$N$22,C27)&gt;0,"A Kind Of Magic",
IF(COUNTIF('Queen Discography'!$O$4:$O$22,C27)&gt;0,"The Miracle",
IF(COUNTIF('Queen Discography'!$P$4:$P$22,C27)&gt;0,"Innuendo",
IF(COUNTIF('Queen Discography'!$Q$4:$Q$22,C27)&gt;0,"Made In Heaven","NOT FOUND")))))))))))))))</f>
        <v>Jazz</v>
      </c>
      <c r="I27" s="1"/>
      <c r="J27" s="1"/>
      <c r="K27" s="1"/>
      <c r="L27" s="1"/>
      <c r="M27" s="1"/>
      <c r="N27" s="87"/>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row>
    <row r="28">
      <c r="A28" s="1"/>
      <c r="C28" s="66" t="str">
        <f t="array" ref="C28">INDEX('Queen MIDI'!$C$4:$C$66,MATCH(F28,'Queen MIDI'!$D$4:$D$66,0))</f>
        <v>In Only Seven Days</v>
      </c>
      <c r="D28" s="117">
        <v>0.0</v>
      </c>
      <c r="E28" s="118" t="s">
        <v>380</v>
      </c>
      <c r="F28" s="66" t="str">
        <f t="shared" si="2"/>
        <v>In Only Seven Days.mid</v>
      </c>
      <c r="G28" s="129">
        <f>HLOOKUP(H28,'Queen Discography'!$C$2:$Q$3,2,FALSE)</f>
        <v>1978</v>
      </c>
      <c r="H28" s="66" t="str">
        <f>IF(COUNTIF('Queen Discography'!$C$4:$C$22,C28)&gt;0,"Queen",
IF(COUNTIF('Queen Discography'!$D$4:$D$22,C28)&gt;0,"Queen II",
IF(COUNTIF('Queen Discography'!$E$4:$E$22,C28)&gt;0,"Sheer Heart Attack",
IF(COUNTIF('Queen Discography'!$F$4:$F$22,C28)&gt;0,"A Night At The Opera",
IF(COUNTIF('Queen Discography'!$G$4:$G$22,C28)&gt;0,"A Day At The Races",
IF(COUNTIF('Queen Discography'!$H$4:$H$22,C28)&gt;0,"News Of The World",
IF(COUNTIF('Queen Discography'!$I$4:$I$22,C28)&gt;0,"Jazz",
IF(COUNTIF('Queen Discography'!$J$4:$J$22,C28)&gt;0,"The Game",
IF(COUNTIF('Queen Discography'!$K$4:$K$22,C28)&gt;0,"Flash Gordon",
IF(COUNTIF('Queen Discography'!$L$4:$L$22,C28)&gt;0,"Hot Space",
IF(COUNTIF('Queen Discography'!$M$4:$M$22,C28)&gt;0,"The Works",
IF(COUNTIF('Queen Discography'!$N$4:$N$22,C28)&gt;0,"A Kind Of Magic",
IF(COUNTIF('Queen Discography'!$O$4:$O$22,C28)&gt;0,"The Miracle",
IF(COUNTIF('Queen Discography'!$P$4:$P$22,C28)&gt;0,"Innuendo",
IF(COUNTIF('Queen Discography'!$Q$4:$Q$22,C28)&gt;0,"Made In Heaven","NOT FOUND")))))))))))))))</f>
        <v>Jazz</v>
      </c>
      <c r="I28" s="1"/>
      <c r="J28" s="1"/>
      <c r="K28" s="1"/>
      <c r="L28" s="1"/>
      <c r="M28" s="1"/>
      <c r="N28" s="87"/>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c r="A29" s="1"/>
      <c r="C29" s="66" t="str">
        <f t="array" ref="C29">INDEX('Queen MIDI'!$C$4:$C$66,MATCH(F29,'Queen MIDI'!$D$4:$D$66,0))</f>
        <v>Another One Bites The Dust</v>
      </c>
      <c r="D29" s="117">
        <v>0.0</v>
      </c>
      <c r="E29" s="118" t="s">
        <v>381</v>
      </c>
      <c r="F29" s="66" t="str">
        <f t="shared" si="2"/>
        <v>Another One Bites The Dust.1.mid</v>
      </c>
      <c r="G29" s="120">
        <f>HLOOKUP(H29,'Queen Discography'!$C$2:$Q$3,2,FALSE)</f>
        <v>1980</v>
      </c>
      <c r="H29" s="66" t="str">
        <f>IF(COUNTIF('Queen Discography'!$C$4:$C$22,C29)&gt;0,"Queen",
IF(COUNTIF('Queen Discography'!$D$4:$D$22,C29)&gt;0,"Queen II",
IF(COUNTIF('Queen Discography'!$E$4:$E$22,C29)&gt;0,"Sheer Heart Attack",
IF(COUNTIF('Queen Discography'!$F$4:$F$22,C29)&gt;0,"A Night At The Opera",
IF(COUNTIF('Queen Discography'!$G$4:$G$22,C29)&gt;0,"A Day At The Races",
IF(COUNTIF('Queen Discography'!$H$4:$H$22,C29)&gt;0,"News Of The World",
IF(COUNTIF('Queen Discography'!$I$4:$I$22,C29)&gt;0,"Jazz",
IF(COUNTIF('Queen Discography'!$J$4:$J$22,C29)&gt;0,"The Game",
IF(COUNTIF('Queen Discography'!$K$4:$K$22,C29)&gt;0,"Flash Gordon",
IF(COUNTIF('Queen Discography'!$L$4:$L$22,C29)&gt;0,"Hot Space",
IF(COUNTIF('Queen Discography'!$M$4:$M$22,C29)&gt;0,"The Works",
IF(COUNTIF('Queen Discography'!$N$4:$N$22,C29)&gt;0,"A Kind Of Magic",
IF(COUNTIF('Queen Discography'!$O$4:$O$22,C29)&gt;0,"The Miracle",
IF(COUNTIF('Queen Discography'!$P$4:$P$22,C29)&gt;0,"Innuendo",
IF(COUNTIF('Queen Discography'!$Q$4:$Q$22,C29)&gt;0,"Made In Heaven","NOT FOUND")))))))))))))))</f>
        <v>The Game</v>
      </c>
      <c r="I29" s="1"/>
      <c r="J29" s="1"/>
      <c r="K29" s="1"/>
      <c r="L29" s="1"/>
      <c r="M29" s="1"/>
      <c r="N29" s="87"/>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row>
    <row r="30">
      <c r="A30" s="1"/>
      <c r="C30" s="66" t="str">
        <f t="array" ref="C30">INDEX('Queen MIDI'!$C$4:$C$66,MATCH(F30,'Queen MIDI'!$D$4:$D$66,0))</f>
        <v>Crazy Little Thing Called Love</v>
      </c>
      <c r="D30" s="117">
        <v>0.0</v>
      </c>
      <c r="E30" s="118" t="s">
        <v>382</v>
      </c>
      <c r="F30" s="66" t="str">
        <f t="shared" si="2"/>
        <v>Crazy Little Thing Called Love.2.mid</v>
      </c>
      <c r="G30" s="120">
        <f>HLOOKUP(H30,'Queen Discography'!$C$2:$Q$3,2,FALSE)</f>
        <v>1980</v>
      </c>
      <c r="H30" s="66" t="str">
        <f>IF(COUNTIF('Queen Discography'!$C$4:$C$22,C30)&gt;0,"Queen",
IF(COUNTIF('Queen Discography'!$D$4:$D$22,C30)&gt;0,"Queen II",
IF(COUNTIF('Queen Discography'!$E$4:$E$22,C30)&gt;0,"Sheer Heart Attack",
IF(COUNTIF('Queen Discography'!$F$4:$F$22,C30)&gt;0,"A Night At The Opera",
IF(COUNTIF('Queen Discography'!$G$4:$G$22,C30)&gt;0,"A Day At The Races",
IF(COUNTIF('Queen Discography'!$H$4:$H$22,C30)&gt;0,"News Of The World",
IF(COUNTIF('Queen Discography'!$I$4:$I$22,C30)&gt;0,"Jazz",
IF(COUNTIF('Queen Discography'!$J$4:$J$22,C30)&gt;0,"The Game",
IF(COUNTIF('Queen Discography'!$K$4:$K$22,C30)&gt;0,"Flash Gordon",
IF(COUNTIF('Queen Discography'!$L$4:$L$22,C30)&gt;0,"Hot Space",
IF(COUNTIF('Queen Discography'!$M$4:$M$22,C30)&gt;0,"The Works",
IF(COUNTIF('Queen Discography'!$N$4:$N$22,C30)&gt;0,"A Kind Of Magic",
IF(COUNTIF('Queen Discography'!$O$4:$O$22,C30)&gt;0,"The Miracle",
IF(COUNTIF('Queen Discography'!$P$4:$P$22,C30)&gt;0,"Innuendo",
IF(COUNTIF('Queen Discography'!$Q$4:$Q$22,C30)&gt;0,"Made In Heaven","NOT FOUND")))))))))))))))</f>
        <v>The Game</v>
      </c>
      <c r="I30" s="1"/>
      <c r="J30" s="1"/>
      <c r="K30" s="1"/>
      <c r="L30" s="1"/>
      <c r="M30" s="1"/>
      <c r="N30" s="87"/>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row>
    <row r="31">
      <c r="A31" s="1"/>
      <c r="C31" s="66" t="str">
        <f t="array" ref="C31">INDEX('Queen MIDI'!$C$4:$C$66,MATCH(F31,'Queen MIDI'!$D$4:$D$66,0))</f>
        <v>Play the Game</v>
      </c>
      <c r="D31" s="117">
        <v>0.0</v>
      </c>
      <c r="E31" s="118" t="s">
        <v>383</v>
      </c>
      <c r="F31" s="66" t="str">
        <f t="shared" si="2"/>
        <v>Play the Game.1.mid</v>
      </c>
      <c r="G31" s="130">
        <f>HLOOKUP(H31,'Queen Discography'!$C$2:$Q$3,2,FALSE)</f>
        <v>1980</v>
      </c>
      <c r="H31" s="66" t="str">
        <f>IF(COUNTIF('Queen Discography'!$C$4:$C$22,C31)&gt;0,"Queen",
IF(COUNTIF('Queen Discography'!$D$4:$D$22,C31)&gt;0,"Queen II",
IF(COUNTIF('Queen Discography'!$E$4:$E$22,C31)&gt;0,"Sheer Heart Attack",
IF(COUNTIF('Queen Discography'!$F$4:$F$22,C31)&gt;0,"A Night At The Opera",
IF(COUNTIF('Queen Discography'!$G$4:$G$22,C31)&gt;0,"A Day At The Races",
IF(COUNTIF('Queen Discography'!$H$4:$H$22,C31)&gt;0,"News Of The World",
IF(COUNTIF('Queen Discography'!$I$4:$I$22,C31)&gt;0,"Jazz",
IF(COUNTIF('Queen Discography'!$J$4:$J$22,C31)&gt;0,"The Game",
IF(COUNTIF('Queen Discography'!$K$4:$K$22,C31)&gt;0,"Flash Gordon",
IF(COUNTIF('Queen Discography'!$L$4:$L$22,C31)&gt;0,"Hot Space",
IF(COUNTIF('Queen Discography'!$M$4:$M$22,C31)&gt;0,"The Works",
IF(COUNTIF('Queen Discography'!$N$4:$N$22,C31)&gt;0,"A Kind Of Magic",
IF(COUNTIF('Queen Discography'!$O$4:$O$22,C31)&gt;0,"The Miracle",
IF(COUNTIF('Queen Discography'!$P$4:$P$22,C31)&gt;0,"Innuendo",
IF(COUNTIF('Queen Discography'!$Q$4:$Q$22,C31)&gt;0,"Made In Heaven","NOT FOUND")))))))))))))))</f>
        <v>The Game</v>
      </c>
      <c r="I31" s="1"/>
      <c r="J31" s="1"/>
      <c r="K31" s="1"/>
      <c r="L31" s="1"/>
      <c r="M31" s="1"/>
      <c r="N31" s="87"/>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c r="A32" s="1"/>
      <c r="C32" s="66" t="str">
        <f t="array" ref="C32">INDEX('Queen MIDI'!$C$4:$C$66,MATCH(F32,'Queen MIDI'!$D$4:$D$66,0))</f>
        <v>Save Me</v>
      </c>
      <c r="D32" s="117">
        <v>0.0</v>
      </c>
      <c r="E32" s="118" t="s">
        <v>384</v>
      </c>
      <c r="F32" s="66" t="str">
        <f t="shared" si="2"/>
        <v>Save Me.2.mid</v>
      </c>
      <c r="G32" s="124">
        <f>HLOOKUP(H32,'Queen Discography'!$C$2:$Q$3,2,FALSE)</f>
        <v>1980</v>
      </c>
      <c r="H32" s="66" t="str">
        <f>IF(COUNTIF('Queen Discography'!$C$4:$C$22,C32)&gt;0,"Queen",
IF(COUNTIF('Queen Discography'!$D$4:$D$22,C32)&gt;0,"Queen II",
IF(COUNTIF('Queen Discography'!$E$4:$E$22,C32)&gt;0,"Sheer Heart Attack",
IF(COUNTIF('Queen Discography'!$F$4:$F$22,C32)&gt;0,"A Night At The Opera",
IF(COUNTIF('Queen Discography'!$G$4:$G$22,C32)&gt;0,"A Day At The Races",
IF(COUNTIF('Queen Discography'!$H$4:$H$22,C32)&gt;0,"News Of The World",
IF(COUNTIF('Queen Discography'!$I$4:$I$22,C32)&gt;0,"Jazz",
IF(COUNTIF('Queen Discography'!$J$4:$J$22,C32)&gt;0,"The Game",
IF(COUNTIF('Queen Discography'!$K$4:$K$22,C32)&gt;0,"Flash Gordon",
IF(COUNTIF('Queen Discography'!$L$4:$L$22,C32)&gt;0,"Hot Space",
IF(COUNTIF('Queen Discography'!$M$4:$M$22,C32)&gt;0,"The Works",
IF(COUNTIF('Queen Discography'!$N$4:$N$22,C32)&gt;0,"A Kind Of Magic",
IF(COUNTIF('Queen Discography'!$O$4:$O$22,C32)&gt;0,"The Miracle",
IF(COUNTIF('Queen Discography'!$P$4:$P$22,C32)&gt;0,"Innuendo",
IF(COUNTIF('Queen Discography'!$Q$4:$Q$22,C32)&gt;0,"Made In Heaven","NOT FOUND")))))))))))))))</f>
        <v>The Game</v>
      </c>
      <c r="I32" s="1"/>
      <c r="J32" s="1"/>
      <c r="K32" s="1"/>
      <c r="L32" s="1"/>
      <c r="M32" s="1"/>
      <c r="N32" s="87"/>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row>
    <row r="33">
      <c r="A33" s="1"/>
      <c r="C33" s="66" t="str">
        <f t="array" ref="C33">INDEX('Queen MIDI'!$C$4:$C$66,MATCH(F33,'Queen MIDI'!$D$4:$D$66,0))</f>
        <v>Under Pressure</v>
      </c>
      <c r="D33" s="117">
        <v>0.0</v>
      </c>
      <c r="E33" s="118" t="s">
        <v>385</v>
      </c>
      <c r="F33" s="66" t="str">
        <f t="shared" si="2"/>
        <v>Under Pressure.7.mid</v>
      </c>
      <c r="G33" s="128">
        <f>HLOOKUP(H33,'Queen Discography'!$C$2:$Q$3,2,FALSE)</f>
        <v>1982</v>
      </c>
      <c r="H33" s="66" t="str">
        <f>IF(COUNTIF('Queen Discography'!$C$4:$C$22,C33)&gt;0,"Queen",
IF(COUNTIF('Queen Discography'!$D$4:$D$22,C33)&gt;0,"Queen II",
IF(COUNTIF('Queen Discography'!$E$4:$E$22,C33)&gt;0,"Sheer Heart Attack",
IF(COUNTIF('Queen Discography'!$F$4:$F$22,C33)&gt;0,"A Night At The Opera",
IF(COUNTIF('Queen Discography'!$G$4:$G$22,C33)&gt;0,"A Day At The Races",
IF(COUNTIF('Queen Discography'!$H$4:$H$22,C33)&gt;0,"News Of The World",
IF(COUNTIF('Queen Discography'!$I$4:$I$22,C33)&gt;0,"Jazz",
IF(COUNTIF('Queen Discography'!$J$4:$J$22,C33)&gt;0,"The Game",
IF(COUNTIF('Queen Discography'!$K$4:$K$22,C33)&gt;0,"Flash Gordon",
IF(COUNTIF('Queen Discography'!$L$4:$L$22,C33)&gt;0,"Hot Space",
IF(COUNTIF('Queen Discography'!$M$4:$M$22,C33)&gt;0,"The Works",
IF(COUNTIF('Queen Discography'!$N$4:$N$22,C33)&gt;0,"A Kind Of Magic",
IF(COUNTIF('Queen Discography'!$O$4:$O$22,C33)&gt;0,"The Miracle",
IF(COUNTIF('Queen Discography'!$P$4:$P$22,C33)&gt;0,"Innuendo",
IF(COUNTIF('Queen Discography'!$Q$4:$Q$22,C33)&gt;0,"Made In Heaven","NOT FOUND")))))))))))))))</f>
        <v>Hot Space</v>
      </c>
      <c r="I33" s="1"/>
      <c r="J33" s="1"/>
      <c r="K33" s="1"/>
      <c r="L33" s="1"/>
      <c r="M33" s="1"/>
      <c r="N33" s="87"/>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row>
    <row r="34">
      <c r="A34" s="1"/>
      <c r="C34" s="66" t="str">
        <f t="array" ref="C34">INDEX('Queen MIDI'!$C$4:$C$66,MATCH(F34,'Queen MIDI'!$D$4:$D$66,0))</f>
        <v>Hammer to Fall</v>
      </c>
      <c r="D34" s="117">
        <v>0.0</v>
      </c>
      <c r="E34" s="118" t="s">
        <v>386</v>
      </c>
      <c r="F34" s="66" t="str">
        <f t="shared" si="2"/>
        <v>Hammer to Fall.mid</v>
      </c>
      <c r="G34" s="127">
        <f>HLOOKUP(H34,'Queen Discography'!$C$2:$Q$3,2,FALSE)</f>
        <v>1984</v>
      </c>
      <c r="H34" s="66" t="str">
        <f>IF(COUNTIF('Queen Discography'!$C$4:$C$22,C34)&gt;0,"Queen",
IF(COUNTIF('Queen Discography'!$D$4:$D$22,C34)&gt;0,"Queen II",
IF(COUNTIF('Queen Discography'!$E$4:$E$22,C34)&gt;0,"Sheer Heart Attack",
IF(COUNTIF('Queen Discography'!$F$4:$F$22,C34)&gt;0,"A Night At The Opera",
IF(COUNTIF('Queen Discography'!$G$4:$G$22,C34)&gt;0,"A Day At The Races",
IF(COUNTIF('Queen Discography'!$H$4:$H$22,C34)&gt;0,"News Of The World",
IF(COUNTIF('Queen Discography'!$I$4:$I$22,C34)&gt;0,"Jazz",
IF(COUNTIF('Queen Discography'!$J$4:$J$22,C34)&gt;0,"The Game",
IF(COUNTIF('Queen Discography'!$K$4:$K$22,C34)&gt;0,"Flash Gordon",
IF(COUNTIF('Queen Discography'!$L$4:$L$22,C34)&gt;0,"Hot Space",
IF(COUNTIF('Queen Discography'!$M$4:$M$22,C34)&gt;0,"The Works",
IF(COUNTIF('Queen Discography'!$N$4:$N$22,C34)&gt;0,"A Kind Of Magic",
IF(COUNTIF('Queen Discography'!$O$4:$O$22,C34)&gt;0,"The Miracle",
IF(COUNTIF('Queen Discography'!$P$4:$P$22,C34)&gt;0,"Innuendo",
IF(COUNTIF('Queen Discography'!$Q$4:$Q$22,C34)&gt;0,"Made In Heaven","NOT FOUND")))))))))))))))</f>
        <v>The Works</v>
      </c>
      <c r="I34" s="1"/>
      <c r="J34" s="1"/>
      <c r="K34" s="1"/>
      <c r="L34" s="1"/>
      <c r="M34" s="1"/>
      <c r="N34" s="87"/>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row>
    <row r="35">
      <c r="A35" s="1"/>
      <c r="C35" s="66" t="str">
        <f t="array" ref="C35">INDEX('Queen MIDI'!$C$4:$C$66,MATCH(F35,'Queen MIDI'!$D$4:$D$66,0))</f>
        <v>I Want to Break Free</v>
      </c>
      <c r="D35" s="117">
        <v>0.0</v>
      </c>
      <c r="E35" s="118" t="s">
        <v>387</v>
      </c>
      <c r="F35" s="66" t="str">
        <f t="shared" si="2"/>
        <v>I Want to Break Free.3.mid</v>
      </c>
      <c r="G35" s="129">
        <f>HLOOKUP(H35,'Queen Discography'!$C$2:$Q$3,2,FALSE)</f>
        <v>1984</v>
      </c>
      <c r="H35" s="66" t="str">
        <f>IF(COUNTIF('Queen Discography'!$C$4:$C$22,C35)&gt;0,"Queen",
IF(COUNTIF('Queen Discography'!$D$4:$D$22,C35)&gt;0,"Queen II",
IF(COUNTIF('Queen Discography'!$E$4:$E$22,C35)&gt;0,"Sheer Heart Attack",
IF(COUNTIF('Queen Discography'!$F$4:$F$22,C35)&gt;0,"A Night At The Opera",
IF(COUNTIF('Queen Discography'!$G$4:$G$22,C35)&gt;0,"A Day At The Races",
IF(COUNTIF('Queen Discography'!$H$4:$H$22,C35)&gt;0,"News Of The World",
IF(COUNTIF('Queen Discography'!$I$4:$I$22,C35)&gt;0,"Jazz",
IF(COUNTIF('Queen Discography'!$J$4:$J$22,C35)&gt;0,"The Game",
IF(COUNTIF('Queen Discography'!$K$4:$K$22,C35)&gt;0,"Flash Gordon",
IF(COUNTIF('Queen Discography'!$L$4:$L$22,C35)&gt;0,"Hot Space",
IF(COUNTIF('Queen Discography'!$M$4:$M$22,C35)&gt;0,"The Works",
IF(COUNTIF('Queen Discography'!$N$4:$N$22,C35)&gt;0,"A Kind Of Magic",
IF(COUNTIF('Queen Discography'!$O$4:$O$22,C35)&gt;0,"The Miracle",
IF(COUNTIF('Queen Discography'!$P$4:$P$22,C35)&gt;0,"Innuendo",
IF(COUNTIF('Queen Discography'!$Q$4:$Q$22,C35)&gt;0,"Made In Heaven","NOT FOUND")))))))))))))))</f>
        <v>The Works</v>
      </c>
      <c r="I35" s="1"/>
      <c r="J35" s="1"/>
      <c r="K35" s="1"/>
      <c r="L35" s="1"/>
      <c r="M35" s="1"/>
      <c r="N35" s="87"/>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row>
    <row r="36">
      <c r="A36" s="1"/>
      <c r="C36" s="66" t="str">
        <f t="array" ref="C36">INDEX('Queen MIDI'!$C$4:$C$66,MATCH(F36,'Queen MIDI'!$D$4:$D$66,0))</f>
        <v>It's a Hard Life</v>
      </c>
      <c r="D36" s="117">
        <v>0.0</v>
      </c>
      <c r="E36" s="118" t="s">
        <v>388</v>
      </c>
      <c r="F36" s="66" t="str">
        <f t="shared" si="2"/>
        <v>It_s a Hard Life.mid</v>
      </c>
      <c r="G36" s="120">
        <f>HLOOKUP(H36,'Queen Discography'!$C$2:$Q$3,2,FALSE)</f>
        <v>1984</v>
      </c>
      <c r="H36" s="66" t="str">
        <f>IF(COUNTIF('Queen Discography'!$C$4:$C$22,C36)&gt;0,"Queen",
IF(COUNTIF('Queen Discography'!$D$4:$D$22,C36)&gt;0,"Queen II",
IF(COUNTIF('Queen Discography'!$E$4:$E$22,C36)&gt;0,"Sheer Heart Attack",
IF(COUNTIF('Queen Discography'!$F$4:$F$22,C36)&gt;0,"A Night At The Opera",
IF(COUNTIF('Queen Discography'!$G$4:$G$22,C36)&gt;0,"A Day At The Races",
IF(COUNTIF('Queen Discography'!$H$4:$H$22,C36)&gt;0,"News Of The World",
IF(COUNTIF('Queen Discography'!$I$4:$I$22,C36)&gt;0,"Jazz",
IF(COUNTIF('Queen Discography'!$J$4:$J$22,C36)&gt;0,"The Game",
IF(COUNTIF('Queen Discography'!$K$4:$K$22,C36)&gt;0,"Flash Gordon",
IF(COUNTIF('Queen Discography'!$L$4:$L$22,C36)&gt;0,"Hot Space",
IF(COUNTIF('Queen Discography'!$M$4:$M$22,C36)&gt;0,"The Works",
IF(COUNTIF('Queen Discography'!$N$4:$N$22,C36)&gt;0,"A Kind Of Magic",
IF(COUNTIF('Queen Discography'!$O$4:$O$22,C36)&gt;0,"The Miracle",
IF(COUNTIF('Queen Discography'!$P$4:$P$22,C36)&gt;0,"Innuendo",
IF(COUNTIF('Queen Discography'!$Q$4:$Q$22,C36)&gt;0,"Made In Heaven","NOT FOUND")))))))))))))))</f>
        <v>The Works</v>
      </c>
      <c r="I36" s="1"/>
      <c r="J36" s="1"/>
      <c r="K36" s="1"/>
      <c r="L36" s="1"/>
      <c r="M36" s="87"/>
      <c r="N36" s="87"/>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row>
    <row r="37">
      <c r="A37" s="1"/>
      <c r="C37" s="66" t="str">
        <f t="array" ref="C37">INDEX('Queen MIDI'!$C$4:$C$66,MATCH(F37,'Queen MIDI'!$D$4:$D$66,0))</f>
        <v>Radio Ga Ga</v>
      </c>
      <c r="D37" s="117">
        <v>0.0</v>
      </c>
      <c r="E37" s="118" t="s">
        <v>389</v>
      </c>
      <c r="F37" s="66" t="str">
        <f t="shared" si="2"/>
        <v>Radio Ga Ga.5.mid</v>
      </c>
      <c r="G37" s="124">
        <f>HLOOKUP(H37,'Queen Discography'!$C$2:$Q$3,2,FALSE)</f>
        <v>1984</v>
      </c>
      <c r="H37" s="66" t="str">
        <f>IF(COUNTIF('Queen Discography'!$C$4:$C$22,C37)&gt;0,"Queen",
IF(COUNTIF('Queen Discography'!$D$4:$D$22,C37)&gt;0,"Queen II",
IF(COUNTIF('Queen Discography'!$E$4:$E$22,C37)&gt;0,"Sheer Heart Attack",
IF(COUNTIF('Queen Discography'!$F$4:$F$22,C37)&gt;0,"A Night At The Opera",
IF(COUNTIF('Queen Discography'!$G$4:$G$22,C37)&gt;0,"A Day At The Races",
IF(COUNTIF('Queen Discography'!$H$4:$H$22,C37)&gt;0,"News Of The World",
IF(COUNTIF('Queen Discography'!$I$4:$I$22,C37)&gt;0,"Jazz",
IF(COUNTIF('Queen Discography'!$J$4:$J$22,C37)&gt;0,"The Game",
IF(COUNTIF('Queen Discography'!$K$4:$K$22,C37)&gt;0,"Flash Gordon",
IF(COUNTIF('Queen Discography'!$L$4:$L$22,C37)&gt;0,"Hot Space",
IF(COUNTIF('Queen Discography'!$M$4:$M$22,C37)&gt;0,"The Works",
IF(COUNTIF('Queen Discography'!$N$4:$N$22,C37)&gt;0,"A Kind Of Magic",
IF(COUNTIF('Queen Discography'!$O$4:$O$22,C37)&gt;0,"The Miracle",
IF(COUNTIF('Queen Discography'!$P$4:$P$22,C37)&gt;0,"Innuendo",
IF(COUNTIF('Queen Discography'!$Q$4:$Q$22,C37)&gt;0,"Made In Heaven","NOT FOUND")))))))))))))))</f>
        <v>The Works</v>
      </c>
      <c r="I37" s="1"/>
      <c r="J37" s="1"/>
      <c r="K37" s="1"/>
      <c r="L37" s="1"/>
      <c r="M37" s="87"/>
      <c r="N37" s="87"/>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row>
    <row r="38">
      <c r="A38" s="1"/>
      <c r="C38" s="66" t="str">
        <f t="array" ref="C38">INDEX('Queen MIDI'!$C$4:$C$66,MATCH(F38,'Queen MIDI'!$D$4:$D$66,0))</f>
        <v>A Kind of Magic</v>
      </c>
      <c r="D38" s="117">
        <v>0.0</v>
      </c>
      <c r="E38" s="118" t="s">
        <v>390</v>
      </c>
      <c r="F38" s="66" t="str">
        <f t="shared" si="2"/>
        <v>A Kind of Magic.1.mid</v>
      </c>
      <c r="G38" s="125">
        <f>HLOOKUP(H38,'Queen Discography'!$C$2:$Q$3,2,FALSE)</f>
        <v>1986</v>
      </c>
      <c r="H38" s="66" t="str">
        <f>IF(COUNTIF('Queen Discography'!$C$4:$C$22,C38)&gt;0,"Queen",
IF(COUNTIF('Queen Discography'!$D$4:$D$22,C38)&gt;0,"Queen II",
IF(COUNTIF('Queen Discography'!$E$4:$E$22,C38)&gt;0,"Sheer Heart Attack",
IF(COUNTIF('Queen Discography'!$F$4:$F$22,C38)&gt;0,"A Night At The Opera",
IF(COUNTIF('Queen Discography'!$G$4:$G$22,C38)&gt;0,"A Day At The Races",
IF(COUNTIF('Queen Discography'!$H$4:$H$22,C38)&gt;0,"News Of The World",
IF(COUNTIF('Queen Discography'!$I$4:$I$22,C38)&gt;0,"Jazz",
IF(COUNTIF('Queen Discography'!$J$4:$J$22,C38)&gt;0,"The Game",
IF(COUNTIF('Queen Discography'!$K$4:$K$22,C38)&gt;0,"Flash Gordon",
IF(COUNTIF('Queen Discography'!$L$4:$L$22,C38)&gt;0,"Hot Space",
IF(COUNTIF('Queen Discography'!$M$4:$M$22,C38)&gt;0,"The Works",
IF(COUNTIF('Queen Discography'!$N$4:$N$22,C38)&gt;0,"A Kind Of Magic",
IF(COUNTIF('Queen Discography'!$O$4:$O$22,C38)&gt;0,"The Miracle",
IF(COUNTIF('Queen Discography'!$P$4:$P$22,C38)&gt;0,"Innuendo",
IF(COUNTIF('Queen Discography'!$Q$4:$Q$22,C38)&gt;0,"Made In Heaven","NOT FOUND")))))))))))))))</f>
        <v>A Kind Of Magic</v>
      </c>
      <c r="I38" s="1"/>
      <c r="J38" s="1"/>
      <c r="K38" s="1"/>
      <c r="L38" s="1"/>
      <c r="M38" s="87"/>
      <c r="N38" s="87"/>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c r="A39" s="1"/>
      <c r="C39" s="66" t="str">
        <f t="array" ref="C39">INDEX('Queen MIDI'!$C$4:$C$66,MATCH(F39,'Queen MIDI'!$D$4:$D$66,0))</f>
        <v>Friends Will Be Friends</v>
      </c>
      <c r="D39" s="117">
        <v>0.0</v>
      </c>
      <c r="E39" s="118" t="s">
        <v>391</v>
      </c>
      <c r="F39" s="66" t="str">
        <f t="shared" si="2"/>
        <v>Friends Will Be Friends.2.mid</v>
      </c>
      <c r="G39" s="126">
        <f>HLOOKUP(H39,'Queen Discography'!$C$2:$Q$3,2,FALSE)</f>
        <v>1986</v>
      </c>
      <c r="H39" s="66" t="str">
        <f>IF(COUNTIF('Queen Discography'!$C$4:$C$22,C39)&gt;0,"Queen",
IF(COUNTIF('Queen Discography'!$D$4:$D$22,C39)&gt;0,"Queen II",
IF(COUNTIF('Queen Discography'!$E$4:$E$22,C39)&gt;0,"Sheer Heart Attack",
IF(COUNTIF('Queen Discography'!$F$4:$F$22,C39)&gt;0,"A Night At The Opera",
IF(COUNTIF('Queen Discography'!$G$4:$G$22,C39)&gt;0,"A Day At The Races",
IF(COUNTIF('Queen Discography'!$H$4:$H$22,C39)&gt;0,"News Of The World",
IF(COUNTIF('Queen Discography'!$I$4:$I$22,C39)&gt;0,"Jazz",
IF(COUNTIF('Queen Discography'!$J$4:$J$22,C39)&gt;0,"The Game",
IF(COUNTIF('Queen Discography'!$K$4:$K$22,C39)&gt;0,"Flash Gordon",
IF(COUNTIF('Queen Discography'!$L$4:$L$22,C39)&gt;0,"Hot Space",
IF(COUNTIF('Queen Discography'!$M$4:$M$22,C39)&gt;0,"The Works",
IF(COUNTIF('Queen Discography'!$N$4:$N$22,C39)&gt;0,"A Kind Of Magic",
IF(COUNTIF('Queen Discography'!$O$4:$O$22,C39)&gt;0,"The Miracle",
IF(COUNTIF('Queen Discography'!$P$4:$P$22,C39)&gt;0,"Innuendo",
IF(COUNTIF('Queen Discography'!$Q$4:$Q$22,C39)&gt;0,"Made In Heaven","NOT FOUND")))))))))))))))</f>
        <v>A Kind Of Magic</v>
      </c>
      <c r="I39" s="1"/>
      <c r="J39" s="1"/>
      <c r="K39" s="1"/>
      <c r="L39" s="1"/>
      <c r="M39" s="87"/>
      <c r="N39" s="87"/>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row>
    <row r="40">
      <c r="A40" s="1"/>
      <c r="C40" s="66" t="str">
        <f t="array" ref="C40">INDEX('Queen MIDI'!$C$4:$C$66,MATCH(F40,'Queen MIDI'!$D$4:$D$66,0))</f>
        <v>One Year of Love</v>
      </c>
      <c r="D40" s="117">
        <v>0.0</v>
      </c>
      <c r="E40" s="118" t="s">
        <v>392</v>
      </c>
      <c r="F40" s="66" t="str">
        <f t="shared" si="2"/>
        <v>One Year of Love.mid</v>
      </c>
      <c r="G40" s="130">
        <f>HLOOKUP(H40,'Queen Discography'!$C$2:$Q$3,2,FALSE)</f>
        <v>1986</v>
      </c>
      <c r="H40" s="66" t="str">
        <f>IF(COUNTIF('Queen Discography'!$C$4:$C$22,C40)&gt;0,"Queen",
IF(COUNTIF('Queen Discography'!$D$4:$D$22,C40)&gt;0,"Queen II",
IF(COUNTIF('Queen Discography'!$E$4:$E$22,C40)&gt;0,"Sheer Heart Attack",
IF(COUNTIF('Queen Discography'!$F$4:$F$22,C40)&gt;0,"A Night At The Opera",
IF(COUNTIF('Queen Discography'!$G$4:$G$22,C40)&gt;0,"A Day At The Races",
IF(COUNTIF('Queen Discography'!$H$4:$H$22,C40)&gt;0,"News Of The World",
IF(COUNTIF('Queen Discography'!$I$4:$I$22,C40)&gt;0,"Jazz",
IF(COUNTIF('Queen Discography'!$J$4:$J$22,C40)&gt;0,"The Game",
IF(COUNTIF('Queen Discography'!$K$4:$K$22,C40)&gt;0,"Flash Gordon",
IF(COUNTIF('Queen Discography'!$L$4:$L$22,C40)&gt;0,"Hot Space",
IF(COUNTIF('Queen Discography'!$M$4:$M$22,C40)&gt;0,"The Works",
IF(COUNTIF('Queen Discography'!$N$4:$N$22,C40)&gt;0,"A Kind Of Magic",
IF(COUNTIF('Queen Discography'!$O$4:$O$22,C40)&gt;0,"The Miracle",
IF(COUNTIF('Queen Discography'!$P$4:$P$22,C40)&gt;0,"Innuendo",
IF(COUNTIF('Queen Discography'!$Q$4:$Q$22,C40)&gt;0,"Made In Heaven","NOT FOUND")))))))))))))))</f>
        <v>A Kind Of Magic</v>
      </c>
      <c r="I40" s="1"/>
      <c r="J40" s="1"/>
      <c r="K40" s="1"/>
      <c r="L40" s="1"/>
      <c r="M40" s="87"/>
      <c r="N40" s="87"/>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row>
    <row r="41">
      <c r="A41" s="1"/>
      <c r="C41" s="66" t="str">
        <f t="array" ref="C41">INDEX('Queen MIDI'!$C$4:$C$66,MATCH(F41,'Queen MIDI'!$D$4:$D$66,0))</f>
        <v>Princes of the Universe</v>
      </c>
      <c r="D41" s="117">
        <v>0.0</v>
      </c>
      <c r="E41" s="118" t="s">
        <v>393</v>
      </c>
      <c r="F41" s="66" t="str">
        <f t="shared" si="2"/>
        <v>Princes of the Universe.1.mid</v>
      </c>
      <c r="G41" s="124">
        <f>HLOOKUP(H41,'Queen Discography'!$C$2:$Q$3,2,FALSE)</f>
        <v>1986</v>
      </c>
      <c r="H41" s="66" t="str">
        <f>IF(COUNTIF('Queen Discography'!$C$4:$C$22,C41)&gt;0,"Queen",
IF(COUNTIF('Queen Discography'!$D$4:$D$22,C41)&gt;0,"Queen II",
IF(COUNTIF('Queen Discography'!$E$4:$E$22,C41)&gt;0,"Sheer Heart Attack",
IF(COUNTIF('Queen Discography'!$F$4:$F$22,C41)&gt;0,"A Night At The Opera",
IF(COUNTIF('Queen Discography'!$G$4:$G$22,C41)&gt;0,"A Day At The Races",
IF(COUNTIF('Queen Discography'!$H$4:$H$22,C41)&gt;0,"News Of The World",
IF(COUNTIF('Queen Discography'!$I$4:$I$22,C41)&gt;0,"Jazz",
IF(COUNTIF('Queen Discography'!$J$4:$J$22,C41)&gt;0,"The Game",
IF(COUNTIF('Queen Discography'!$K$4:$K$22,C41)&gt;0,"Flash Gordon",
IF(COUNTIF('Queen Discography'!$L$4:$L$22,C41)&gt;0,"Hot Space",
IF(COUNTIF('Queen Discography'!$M$4:$M$22,C41)&gt;0,"The Works",
IF(COUNTIF('Queen Discography'!$N$4:$N$22,C41)&gt;0,"A Kind Of Magic",
IF(COUNTIF('Queen Discography'!$O$4:$O$22,C41)&gt;0,"The Miracle",
IF(COUNTIF('Queen Discography'!$P$4:$P$22,C41)&gt;0,"Innuendo",
IF(COUNTIF('Queen Discography'!$Q$4:$Q$22,C41)&gt;0,"Made In Heaven","NOT FOUND")))))))))))))))</f>
        <v>A Kind Of Magic</v>
      </c>
      <c r="I41" s="1"/>
      <c r="J41" s="1"/>
      <c r="K41" s="1"/>
      <c r="L41" s="1"/>
      <c r="M41" s="87"/>
      <c r="N41" s="87"/>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row>
    <row r="42">
      <c r="A42" s="1"/>
      <c r="C42" s="66" t="str">
        <f t="array" ref="C42">INDEX('Queen MIDI'!$C$4:$C$66,MATCH(F42,'Queen MIDI'!$D$4:$D$66,0))</f>
        <v>Who Wants to Live Forever</v>
      </c>
      <c r="D42" s="117">
        <v>0.0</v>
      </c>
      <c r="E42" s="118" t="s">
        <v>394</v>
      </c>
      <c r="F42" s="66" t="str">
        <f t="shared" si="2"/>
        <v>Who Wants to Live Forever.4.mid</v>
      </c>
      <c r="G42" s="127">
        <f>HLOOKUP(H42,'Queen Discography'!$C$2:$Q$3,2,FALSE)</f>
        <v>1986</v>
      </c>
      <c r="H42" s="66" t="str">
        <f>IF(COUNTIF('Queen Discography'!$C$4:$C$22,C42)&gt;0,"Queen",
IF(COUNTIF('Queen Discography'!$D$4:$D$22,C42)&gt;0,"Queen II",
IF(COUNTIF('Queen Discography'!$E$4:$E$22,C42)&gt;0,"Sheer Heart Attack",
IF(COUNTIF('Queen Discography'!$F$4:$F$22,C42)&gt;0,"A Night At The Opera",
IF(COUNTIF('Queen Discography'!$G$4:$G$22,C42)&gt;0,"A Day At The Races",
IF(COUNTIF('Queen Discography'!$H$4:$H$22,C42)&gt;0,"News Of The World",
IF(COUNTIF('Queen Discography'!$I$4:$I$22,C42)&gt;0,"Jazz",
IF(COUNTIF('Queen Discography'!$J$4:$J$22,C42)&gt;0,"The Game",
IF(COUNTIF('Queen Discography'!$K$4:$K$22,C42)&gt;0,"Flash Gordon",
IF(COUNTIF('Queen Discography'!$L$4:$L$22,C42)&gt;0,"Hot Space",
IF(COUNTIF('Queen Discography'!$M$4:$M$22,C42)&gt;0,"The Works",
IF(COUNTIF('Queen Discography'!$N$4:$N$22,C42)&gt;0,"A Kind Of Magic",
IF(COUNTIF('Queen Discography'!$O$4:$O$22,C42)&gt;0,"The Miracle",
IF(COUNTIF('Queen Discography'!$P$4:$P$22,C42)&gt;0,"Innuendo",
IF(COUNTIF('Queen Discography'!$Q$4:$Q$22,C42)&gt;0,"Made In Heaven","NOT FOUND")))))))))))))))</f>
        <v>A Kind Of Magic</v>
      </c>
      <c r="I42" s="1"/>
      <c r="J42" s="1"/>
      <c r="K42" s="1"/>
      <c r="L42" s="1"/>
      <c r="M42" s="87"/>
      <c r="N42" s="87"/>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row>
    <row r="43">
      <c r="A43" s="1"/>
      <c r="C43" s="66" t="str">
        <f t="array" ref="C43">INDEX('Queen MIDI'!$C$4:$C$66,MATCH(F43,'Queen MIDI'!$D$4:$D$66,0))</f>
        <v>I Want It All</v>
      </c>
      <c r="D43" s="117">
        <v>0.0</v>
      </c>
      <c r="E43" s="118" t="s">
        <v>395</v>
      </c>
      <c r="F43" s="66" t="str">
        <f t="shared" si="2"/>
        <v>I Want It All.mid</v>
      </c>
      <c r="G43" s="131">
        <f>HLOOKUP(H43,'Queen Discography'!$C$2:$Q$3,2,FALSE)</f>
        <v>1989</v>
      </c>
      <c r="H43" s="66" t="str">
        <f>IF(COUNTIF('Queen Discography'!$C$4:$C$22,C43)&gt;0,"Queen",
IF(COUNTIF('Queen Discography'!$D$4:$D$22,C43)&gt;0,"Queen II",
IF(COUNTIF('Queen Discography'!$E$4:$E$22,C43)&gt;0,"Sheer Heart Attack",
IF(COUNTIF('Queen Discography'!$F$4:$F$22,C43)&gt;0,"A Night At The Opera",
IF(COUNTIF('Queen Discography'!$G$4:$G$22,C43)&gt;0,"A Day At The Races",
IF(COUNTIF('Queen Discography'!$H$4:$H$22,C43)&gt;0,"News Of The World",
IF(COUNTIF('Queen Discography'!$I$4:$I$22,C43)&gt;0,"Jazz",
IF(COUNTIF('Queen Discography'!$J$4:$J$22,C43)&gt;0,"The Game",
IF(COUNTIF('Queen Discography'!$K$4:$K$22,C43)&gt;0,"Flash Gordon",
IF(COUNTIF('Queen Discography'!$L$4:$L$22,C43)&gt;0,"Hot Space",
IF(COUNTIF('Queen Discography'!$M$4:$M$22,C43)&gt;0,"The Works",
IF(COUNTIF('Queen Discography'!$N$4:$N$22,C43)&gt;0,"A Kind Of Magic",
IF(COUNTIF('Queen Discography'!$O$4:$O$22,C43)&gt;0,"The Miracle",
IF(COUNTIF('Queen Discography'!$P$4:$P$22,C43)&gt;0,"Innuendo",
IF(COUNTIF('Queen Discography'!$Q$4:$Q$22,C43)&gt;0,"Made In Heaven","NOT FOUND")))))))))))))))</f>
        <v>The Miracle</v>
      </c>
      <c r="I43" s="1"/>
      <c r="J43" s="1"/>
      <c r="K43" s="1"/>
      <c r="L43" s="1"/>
      <c r="M43" s="87"/>
      <c r="N43" s="87"/>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row>
    <row r="44">
      <c r="A44" s="1"/>
      <c r="C44" s="66" t="str">
        <f t="array" ref="C44">INDEX('Queen MIDI'!$C$4:$C$66,MATCH(F44,'Queen MIDI'!$D$4:$D$66,0))</f>
        <v>Rain Must Fall</v>
      </c>
      <c r="D44" s="117">
        <v>0.0</v>
      </c>
      <c r="E44" s="118" t="s">
        <v>396</v>
      </c>
      <c r="F44" s="66" t="str">
        <f t="shared" si="2"/>
        <v>Rain Must Fall.mid</v>
      </c>
      <c r="G44" s="124">
        <f>HLOOKUP(H44,'Queen Discography'!$C$2:$Q$3,2,FALSE)</f>
        <v>1989</v>
      </c>
      <c r="H44" s="66" t="str">
        <f>IF(COUNTIF('Queen Discography'!$C$4:$C$22,C44)&gt;0,"Queen",
IF(COUNTIF('Queen Discography'!$D$4:$D$22,C44)&gt;0,"Queen II",
IF(COUNTIF('Queen Discography'!$E$4:$E$22,C44)&gt;0,"Sheer Heart Attack",
IF(COUNTIF('Queen Discography'!$F$4:$F$22,C44)&gt;0,"A Night At The Opera",
IF(COUNTIF('Queen Discography'!$G$4:$G$22,C44)&gt;0,"A Day At The Races",
IF(COUNTIF('Queen Discography'!$H$4:$H$22,C44)&gt;0,"News Of The World",
IF(COUNTIF('Queen Discography'!$I$4:$I$22,C44)&gt;0,"Jazz",
IF(COUNTIF('Queen Discography'!$J$4:$J$22,C44)&gt;0,"The Game",
IF(COUNTIF('Queen Discography'!$K$4:$K$22,C44)&gt;0,"Flash Gordon",
IF(COUNTIF('Queen Discography'!$L$4:$L$22,C44)&gt;0,"Hot Space",
IF(COUNTIF('Queen Discography'!$M$4:$M$22,C44)&gt;0,"The Works",
IF(COUNTIF('Queen Discography'!$N$4:$N$22,C44)&gt;0,"A Kind Of Magic",
IF(COUNTIF('Queen Discography'!$O$4:$O$22,C44)&gt;0,"The Miracle",
IF(COUNTIF('Queen Discography'!$P$4:$P$22,C44)&gt;0,"Innuendo",
IF(COUNTIF('Queen Discography'!$Q$4:$Q$22,C44)&gt;0,"Made In Heaven","NOT FOUND")))))))))))))))</f>
        <v>The Miracle</v>
      </c>
      <c r="I44" s="1"/>
      <c r="J44" s="1"/>
      <c r="K44" s="1"/>
      <c r="L44" s="1"/>
      <c r="M44" s="87"/>
      <c r="N44" s="87"/>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row>
    <row r="45">
      <c r="A45" s="1"/>
      <c r="C45" s="66" t="str">
        <f t="array" ref="C45">INDEX('Queen MIDI'!$C$4:$C$66,MATCH(F45,'Queen MIDI'!$D$4:$D$66,0))</f>
        <v>Scandal</v>
      </c>
      <c r="D45" s="117">
        <v>0.0</v>
      </c>
      <c r="E45" s="118" t="s">
        <v>397</v>
      </c>
      <c r="F45" s="66" t="str">
        <f t="shared" si="2"/>
        <v>Scandal.mid</v>
      </c>
      <c r="G45" s="121">
        <f>HLOOKUP(H45,'Queen Discography'!$C$2:$Q$3,2,FALSE)</f>
        <v>1989</v>
      </c>
      <c r="H45" s="66" t="str">
        <f>IF(COUNTIF('Queen Discography'!$C$4:$C$22,C45)&gt;0,"Queen",
IF(COUNTIF('Queen Discography'!$D$4:$D$22,C45)&gt;0,"Queen II",
IF(COUNTIF('Queen Discography'!$E$4:$E$22,C45)&gt;0,"Sheer Heart Attack",
IF(COUNTIF('Queen Discography'!$F$4:$F$22,C45)&gt;0,"A Night At The Opera",
IF(COUNTIF('Queen Discography'!$G$4:$G$22,C45)&gt;0,"A Day At The Races",
IF(COUNTIF('Queen Discography'!$H$4:$H$22,C45)&gt;0,"News Of The World",
IF(COUNTIF('Queen Discography'!$I$4:$I$22,C45)&gt;0,"Jazz",
IF(COUNTIF('Queen Discography'!$J$4:$J$22,C45)&gt;0,"The Game",
IF(COUNTIF('Queen Discography'!$K$4:$K$22,C45)&gt;0,"Flash Gordon",
IF(COUNTIF('Queen Discography'!$L$4:$L$22,C45)&gt;0,"Hot Space",
IF(COUNTIF('Queen Discography'!$M$4:$M$22,C45)&gt;0,"The Works",
IF(COUNTIF('Queen Discography'!$N$4:$N$22,C45)&gt;0,"A Kind Of Magic",
IF(COUNTIF('Queen Discography'!$O$4:$O$22,C45)&gt;0,"The Miracle",
IF(COUNTIF('Queen Discography'!$P$4:$P$22,C45)&gt;0,"Innuendo",
IF(COUNTIF('Queen Discography'!$Q$4:$Q$22,C45)&gt;0,"Made In Heaven","NOT FOUND")))))))))))))))</f>
        <v>The Miracle</v>
      </c>
      <c r="I45" s="1"/>
      <c r="J45" s="1"/>
      <c r="K45" s="1"/>
      <c r="L45" s="1"/>
      <c r="M45" s="87"/>
      <c r="N45" s="87"/>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row>
    <row r="46">
      <c r="A46" s="1"/>
      <c r="C46" s="66" t="str">
        <f t="array" ref="C46">INDEX('Queen MIDI'!$C$4:$C$66,MATCH(F46,'Queen MIDI'!$D$4:$D$66,0))</f>
        <v>The Invisible Man</v>
      </c>
      <c r="D46" s="117">
        <v>0.0</v>
      </c>
      <c r="E46" s="118" t="s">
        <v>398</v>
      </c>
      <c r="F46" s="66" t="str">
        <f t="shared" si="2"/>
        <v>The Invisible Man.mid</v>
      </c>
      <c r="G46" s="131">
        <f>HLOOKUP(H46,'Queen Discography'!$C$2:$Q$3,2,FALSE)</f>
        <v>1989</v>
      </c>
      <c r="H46" s="66" t="str">
        <f>IF(COUNTIF('Queen Discography'!$C$4:$C$22,C46)&gt;0,"Queen",
IF(COUNTIF('Queen Discography'!$D$4:$D$22,C46)&gt;0,"Queen II",
IF(COUNTIF('Queen Discography'!$E$4:$E$22,C46)&gt;0,"Sheer Heart Attack",
IF(COUNTIF('Queen Discography'!$F$4:$F$22,C46)&gt;0,"A Night At The Opera",
IF(COUNTIF('Queen Discography'!$G$4:$G$22,C46)&gt;0,"A Day At The Races",
IF(COUNTIF('Queen Discography'!$H$4:$H$22,C46)&gt;0,"News Of The World",
IF(COUNTIF('Queen Discography'!$I$4:$I$22,C46)&gt;0,"Jazz",
IF(COUNTIF('Queen Discography'!$J$4:$J$22,C46)&gt;0,"The Game",
IF(COUNTIF('Queen Discography'!$K$4:$K$22,C46)&gt;0,"Flash Gordon",
IF(COUNTIF('Queen Discography'!$L$4:$L$22,C46)&gt;0,"Hot Space",
IF(COUNTIF('Queen Discography'!$M$4:$M$22,C46)&gt;0,"The Works",
IF(COUNTIF('Queen Discography'!$N$4:$N$22,C46)&gt;0,"A Kind Of Magic",
IF(COUNTIF('Queen Discography'!$O$4:$O$22,C46)&gt;0,"The Miracle",
IF(COUNTIF('Queen Discography'!$P$4:$P$22,C46)&gt;0,"Innuendo",
IF(COUNTIF('Queen Discography'!$Q$4:$Q$22,C46)&gt;0,"Made In Heaven","NOT FOUND")))))))))))))))</f>
        <v>The Miracle</v>
      </c>
      <c r="I46" s="1"/>
      <c r="J46" s="1"/>
      <c r="K46" s="1"/>
      <c r="L46" s="1"/>
      <c r="M46" s="87"/>
      <c r="N46" s="87"/>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row>
    <row r="47">
      <c r="A47" s="1"/>
      <c r="C47" s="66" t="str">
        <f t="array" ref="C47">INDEX('Queen MIDI'!$C$4:$C$66,MATCH(F47,'Queen MIDI'!$D$4:$D$66,0))</f>
        <v>The Miracle</v>
      </c>
      <c r="D47" s="117">
        <v>0.0</v>
      </c>
      <c r="E47" s="118" t="s">
        <v>399</v>
      </c>
      <c r="F47" s="66" t="str">
        <f t="shared" si="2"/>
        <v>The Miracle.1.mid</v>
      </c>
      <c r="G47" s="131">
        <f>HLOOKUP(H47,'Queen Discography'!$C$2:$Q$3,2,FALSE)</f>
        <v>1989</v>
      </c>
      <c r="H47" s="66" t="str">
        <f>IF(COUNTIF('Queen Discography'!$C$4:$C$22,C47)&gt;0,"Queen",
IF(COUNTIF('Queen Discography'!$D$4:$D$22,C47)&gt;0,"Queen II",
IF(COUNTIF('Queen Discography'!$E$4:$E$22,C47)&gt;0,"Sheer Heart Attack",
IF(COUNTIF('Queen Discography'!$F$4:$F$22,C47)&gt;0,"A Night At The Opera",
IF(COUNTIF('Queen Discography'!$G$4:$G$22,C47)&gt;0,"A Day At The Races",
IF(COUNTIF('Queen Discography'!$H$4:$H$22,C47)&gt;0,"News Of The World",
IF(COUNTIF('Queen Discography'!$I$4:$I$22,C47)&gt;0,"Jazz",
IF(COUNTIF('Queen Discography'!$J$4:$J$22,C47)&gt;0,"The Game",
IF(COUNTIF('Queen Discography'!$K$4:$K$22,C47)&gt;0,"Flash Gordon",
IF(COUNTIF('Queen Discography'!$L$4:$L$22,C47)&gt;0,"Hot Space",
IF(COUNTIF('Queen Discography'!$M$4:$M$22,C47)&gt;0,"The Works",
IF(COUNTIF('Queen Discography'!$N$4:$N$22,C47)&gt;0,"A Kind Of Magic",
IF(COUNTIF('Queen Discography'!$O$4:$O$22,C47)&gt;0,"The Miracle",
IF(COUNTIF('Queen Discography'!$P$4:$P$22,C47)&gt;0,"Innuendo",
IF(COUNTIF('Queen Discography'!$Q$4:$Q$22,C47)&gt;0,"Made In Heaven","NOT FOUND")))))))))))))))</f>
        <v>The Miracle</v>
      </c>
      <c r="I47" s="1"/>
      <c r="J47" s="1"/>
      <c r="K47" s="1"/>
      <c r="L47" s="1"/>
      <c r="M47" s="87"/>
      <c r="N47" s="87"/>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row>
    <row r="48">
      <c r="A48" s="1"/>
      <c r="C48" s="66" t="str">
        <f t="array" ref="C48">INDEX('Queen MIDI'!$C$4:$C$66,MATCH(F48,'Queen MIDI'!$D$4:$D$66,0))</f>
        <v>All God's People</v>
      </c>
      <c r="D48" s="117">
        <v>0.0</v>
      </c>
      <c r="E48" s="118" t="s">
        <v>400</v>
      </c>
      <c r="F48" s="66" t="str">
        <f t="shared" si="2"/>
        <v>All God_s People.mid</v>
      </c>
      <c r="G48" s="125">
        <f>HLOOKUP(H48,'Queen Discography'!$C$2:$Q$3,2,FALSE)</f>
        <v>1991</v>
      </c>
      <c r="H48" s="66" t="str">
        <f>IF(COUNTIF('Queen Discography'!$C$4:$C$22,C48)&gt;0,"Queen",
IF(COUNTIF('Queen Discography'!$D$4:$D$22,C48)&gt;0,"Queen II",
IF(COUNTIF('Queen Discography'!$E$4:$E$22,C48)&gt;0,"Sheer Heart Attack",
IF(COUNTIF('Queen Discography'!$F$4:$F$22,C48)&gt;0,"A Night At The Opera",
IF(COUNTIF('Queen Discography'!$G$4:$G$22,C48)&gt;0,"A Day At The Races",
IF(COUNTIF('Queen Discography'!$H$4:$H$22,C48)&gt;0,"News Of The World",
IF(COUNTIF('Queen Discography'!$I$4:$I$22,C48)&gt;0,"Jazz",
IF(COUNTIF('Queen Discography'!$J$4:$J$22,C48)&gt;0,"The Game",
IF(COUNTIF('Queen Discography'!$K$4:$K$22,C48)&gt;0,"Flash Gordon",
IF(COUNTIF('Queen Discography'!$L$4:$L$22,C48)&gt;0,"Hot Space",
IF(COUNTIF('Queen Discography'!$M$4:$M$22,C48)&gt;0,"The Works",
IF(COUNTIF('Queen Discography'!$N$4:$N$22,C48)&gt;0,"A Kind Of Magic",
IF(COUNTIF('Queen Discography'!$O$4:$O$22,C48)&gt;0,"The Miracle",
IF(COUNTIF('Queen Discography'!$P$4:$P$22,C48)&gt;0,"Innuendo",
IF(COUNTIF('Queen Discography'!$Q$4:$Q$22,C48)&gt;0,"Made In Heaven","NOT FOUND")))))))))))))))</f>
        <v>Innuendo</v>
      </c>
      <c r="I48" s="1"/>
      <c r="J48" s="1"/>
      <c r="K48" s="1"/>
      <c r="L48" s="1"/>
      <c r="M48" s="87"/>
      <c r="N48" s="87"/>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row>
    <row r="49">
      <c r="A49" s="1"/>
      <c r="C49" s="66" t="str">
        <f t="array" ref="C49">INDEX('Queen MIDI'!$C$4:$C$66,MATCH(F49,'Queen MIDI'!$D$4:$D$66,0))</f>
        <v>Bijou</v>
      </c>
      <c r="D49" s="117">
        <v>0.0</v>
      </c>
      <c r="E49" s="118" t="s">
        <v>401</v>
      </c>
      <c r="F49" s="66" t="str">
        <f t="shared" si="2"/>
        <v>Bijou.1.mid</v>
      </c>
      <c r="G49" s="120">
        <f>HLOOKUP(H49,'Queen Discography'!$C$2:$Q$3,2,FALSE)</f>
        <v>1991</v>
      </c>
      <c r="H49" s="66" t="str">
        <f>IF(COUNTIF('Queen Discography'!$C$4:$C$22,C49)&gt;0,"Queen",
IF(COUNTIF('Queen Discography'!$D$4:$D$22,C49)&gt;0,"Queen II",
IF(COUNTIF('Queen Discography'!$E$4:$E$22,C49)&gt;0,"Sheer Heart Attack",
IF(COUNTIF('Queen Discography'!$F$4:$F$22,C49)&gt;0,"A Night At The Opera",
IF(COUNTIF('Queen Discography'!$G$4:$G$22,C49)&gt;0,"A Day At The Races",
IF(COUNTIF('Queen Discography'!$H$4:$H$22,C49)&gt;0,"News Of The World",
IF(COUNTIF('Queen Discography'!$I$4:$I$22,C49)&gt;0,"Jazz",
IF(COUNTIF('Queen Discography'!$J$4:$J$22,C49)&gt;0,"The Game",
IF(COUNTIF('Queen Discography'!$K$4:$K$22,C49)&gt;0,"Flash Gordon",
IF(COUNTIF('Queen Discography'!$L$4:$L$22,C49)&gt;0,"Hot Space",
IF(COUNTIF('Queen Discography'!$M$4:$M$22,C49)&gt;0,"The Works",
IF(COUNTIF('Queen Discography'!$N$4:$N$22,C49)&gt;0,"A Kind Of Magic",
IF(COUNTIF('Queen Discography'!$O$4:$O$22,C49)&gt;0,"The Miracle",
IF(COUNTIF('Queen Discography'!$P$4:$P$22,C49)&gt;0,"Innuendo",
IF(COUNTIF('Queen Discography'!$Q$4:$Q$22,C49)&gt;0,"Made In Heaven","NOT FOUND")))))))))))))))</f>
        <v>Innuendo</v>
      </c>
      <c r="I49" s="1"/>
      <c r="J49" s="1"/>
      <c r="K49" s="1"/>
      <c r="L49" s="1"/>
      <c r="M49" s="87"/>
      <c r="N49" s="87"/>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row>
    <row r="50">
      <c r="A50" s="1"/>
      <c r="C50" s="66" t="str">
        <f t="array" ref="C50">INDEX('Queen MIDI'!$C$4:$C$66,MATCH(F50,'Queen MIDI'!$D$4:$D$66,0))</f>
        <v>Don't Try So Hard</v>
      </c>
      <c r="D50" s="117">
        <v>0.0</v>
      </c>
      <c r="E50" s="118" t="s">
        <v>402</v>
      </c>
      <c r="F50" s="66" t="str">
        <f t="shared" si="2"/>
        <v>Don_t Try So Hard.2.mid</v>
      </c>
      <c r="G50" s="119">
        <f>HLOOKUP(H50,'Queen Discography'!$C$2:$Q$3,2,FALSE)</f>
        <v>1991</v>
      </c>
      <c r="H50" s="66" t="str">
        <f>IF(COUNTIF('Queen Discography'!$C$4:$C$22,C50)&gt;0,"Queen",
IF(COUNTIF('Queen Discography'!$D$4:$D$22,C50)&gt;0,"Queen II",
IF(COUNTIF('Queen Discography'!$E$4:$E$22,C50)&gt;0,"Sheer Heart Attack",
IF(COUNTIF('Queen Discography'!$F$4:$F$22,C50)&gt;0,"A Night At The Opera",
IF(COUNTIF('Queen Discography'!$G$4:$G$22,C50)&gt;0,"A Day At The Races",
IF(COUNTIF('Queen Discography'!$H$4:$H$22,C50)&gt;0,"News Of The World",
IF(COUNTIF('Queen Discography'!$I$4:$I$22,C50)&gt;0,"Jazz",
IF(COUNTIF('Queen Discography'!$J$4:$J$22,C50)&gt;0,"The Game",
IF(COUNTIF('Queen Discography'!$K$4:$K$22,C50)&gt;0,"Flash Gordon",
IF(COUNTIF('Queen Discography'!$L$4:$L$22,C50)&gt;0,"Hot Space",
IF(COUNTIF('Queen Discography'!$M$4:$M$22,C50)&gt;0,"The Works",
IF(COUNTIF('Queen Discography'!$N$4:$N$22,C50)&gt;0,"A Kind Of Magic",
IF(COUNTIF('Queen Discography'!$O$4:$O$22,C50)&gt;0,"The Miracle",
IF(COUNTIF('Queen Discography'!$P$4:$P$22,C50)&gt;0,"Innuendo",
IF(COUNTIF('Queen Discography'!$Q$4:$Q$22,C50)&gt;0,"Made In Heaven","NOT FOUND")))))))))))))))</f>
        <v>Innuendo</v>
      </c>
      <c r="I50" s="1"/>
      <c r="J50" s="1"/>
      <c r="K50" s="1"/>
      <c r="L50" s="1"/>
      <c r="M50" s="87"/>
      <c r="N50" s="87"/>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c r="A51" s="1"/>
      <c r="C51" s="66" t="str">
        <f t="array" ref="C51">INDEX('Queen MIDI'!$C$4:$C$66,MATCH(F51,'Queen MIDI'!$D$4:$D$66,0))</f>
        <v>Headlong</v>
      </c>
      <c r="D51" s="117">
        <v>0.0</v>
      </c>
      <c r="E51" s="118" t="s">
        <v>403</v>
      </c>
      <c r="F51" s="66" t="str">
        <f t="shared" si="2"/>
        <v>Headlong.mid</v>
      </c>
      <c r="G51" s="127">
        <f>HLOOKUP(H51,'Queen Discography'!$C$2:$Q$3,2,FALSE)</f>
        <v>1991</v>
      </c>
      <c r="H51" s="66" t="str">
        <f>IF(COUNTIF('Queen Discography'!$C$4:$C$22,C51)&gt;0,"Queen",
IF(COUNTIF('Queen Discography'!$D$4:$D$22,C51)&gt;0,"Queen II",
IF(COUNTIF('Queen Discography'!$E$4:$E$22,C51)&gt;0,"Sheer Heart Attack",
IF(COUNTIF('Queen Discography'!$F$4:$F$22,C51)&gt;0,"A Night At The Opera",
IF(COUNTIF('Queen Discography'!$G$4:$G$22,C51)&gt;0,"A Day At The Races",
IF(COUNTIF('Queen Discography'!$H$4:$H$22,C51)&gt;0,"News Of The World",
IF(COUNTIF('Queen Discography'!$I$4:$I$22,C51)&gt;0,"Jazz",
IF(COUNTIF('Queen Discography'!$J$4:$J$22,C51)&gt;0,"The Game",
IF(COUNTIF('Queen Discography'!$K$4:$K$22,C51)&gt;0,"Flash Gordon",
IF(COUNTIF('Queen Discography'!$L$4:$L$22,C51)&gt;0,"Hot Space",
IF(COUNTIF('Queen Discography'!$M$4:$M$22,C51)&gt;0,"The Works",
IF(COUNTIF('Queen Discography'!$N$4:$N$22,C51)&gt;0,"A Kind Of Magic",
IF(COUNTIF('Queen Discography'!$O$4:$O$22,C51)&gt;0,"The Miracle",
IF(COUNTIF('Queen Discography'!$P$4:$P$22,C51)&gt;0,"Innuendo",
IF(COUNTIF('Queen Discography'!$Q$4:$Q$22,C51)&gt;0,"Made In Heaven","NOT FOUND")))))))))))))))</f>
        <v>Innuendo</v>
      </c>
      <c r="I51" s="1"/>
      <c r="J51" s="1"/>
      <c r="K51" s="1"/>
      <c r="L51" s="1"/>
      <c r="M51" s="87"/>
      <c r="N51" s="87"/>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row>
    <row r="52">
      <c r="A52" s="1"/>
      <c r="C52" s="66" t="str">
        <f t="array" ref="C52">INDEX('Queen MIDI'!$C$4:$C$66,MATCH(F52,'Queen MIDI'!$D$4:$D$66,0))</f>
        <v>I Can't Live With You</v>
      </c>
      <c r="D52" s="117">
        <v>0.0</v>
      </c>
      <c r="E52" s="118" t="s">
        <v>404</v>
      </c>
      <c r="F52" s="66" t="str">
        <f t="shared" si="2"/>
        <v>I Can_t Live With You.1.mid</v>
      </c>
      <c r="G52" s="125">
        <f>HLOOKUP(H52,'Queen Discography'!$C$2:$Q$3,2,FALSE)</f>
        <v>1991</v>
      </c>
      <c r="H52" s="66" t="str">
        <f>IF(COUNTIF('Queen Discography'!$C$4:$C$22,C52)&gt;0,"Queen",
IF(COUNTIF('Queen Discography'!$D$4:$D$22,C52)&gt;0,"Queen II",
IF(COUNTIF('Queen Discography'!$E$4:$E$22,C52)&gt;0,"Sheer Heart Attack",
IF(COUNTIF('Queen Discography'!$F$4:$F$22,C52)&gt;0,"A Night At The Opera",
IF(COUNTIF('Queen Discography'!$G$4:$G$22,C52)&gt;0,"A Day At The Races",
IF(COUNTIF('Queen Discography'!$H$4:$H$22,C52)&gt;0,"News Of The World",
IF(COUNTIF('Queen Discography'!$I$4:$I$22,C52)&gt;0,"Jazz",
IF(COUNTIF('Queen Discography'!$J$4:$J$22,C52)&gt;0,"The Game",
IF(COUNTIF('Queen Discography'!$K$4:$K$22,C52)&gt;0,"Flash Gordon",
IF(COUNTIF('Queen Discography'!$L$4:$L$22,C52)&gt;0,"Hot Space",
IF(COUNTIF('Queen Discography'!$M$4:$M$22,C52)&gt;0,"The Works",
IF(COUNTIF('Queen Discography'!$N$4:$N$22,C52)&gt;0,"A Kind Of Magic",
IF(COUNTIF('Queen Discography'!$O$4:$O$22,C52)&gt;0,"The Miracle",
IF(COUNTIF('Queen Discography'!$P$4:$P$22,C52)&gt;0,"Innuendo",
IF(COUNTIF('Queen Discography'!$Q$4:$Q$22,C52)&gt;0,"Made In Heaven","NOT FOUND")))))))))))))))</f>
        <v>Innuendo</v>
      </c>
      <c r="I52" s="1"/>
      <c r="J52" s="1"/>
      <c r="K52" s="1"/>
      <c r="L52" s="1"/>
      <c r="M52" s="87"/>
      <c r="N52" s="87"/>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row>
    <row r="53">
      <c r="A53" s="1"/>
      <c r="C53" s="66" t="str">
        <f t="array" ref="C53">INDEX('Queen MIDI'!$C$4:$C$66,MATCH(F53,'Queen MIDI'!$D$4:$D$66,0))</f>
        <v>Innuendo</v>
      </c>
      <c r="D53" s="117">
        <v>0.0</v>
      </c>
      <c r="E53" s="118" t="s">
        <v>406</v>
      </c>
      <c r="F53" s="66" t="str">
        <f t="shared" si="2"/>
        <v>Innuendo.mid</v>
      </c>
      <c r="G53" s="129">
        <f>HLOOKUP(H53,'Queen Discography'!$C$2:$Q$3,2,FALSE)</f>
        <v>1991</v>
      </c>
      <c r="H53" s="66" t="str">
        <f>IF(COUNTIF('Queen Discography'!$C$4:$C$22,C53)&gt;0,"Queen",
IF(COUNTIF('Queen Discography'!$D$4:$D$22,C53)&gt;0,"Queen II",
IF(COUNTIF('Queen Discography'!$E$4:$E$22,C53)&gt;0,"Sheer Heart Attack",
IF(COUNTIF('Queen Discography'!$F$4:$F$22,C53)&gt;0,"A Night At The Opera",
IF(COUNTIF('Queen Discography'!$G$4:$G$22,C53)&gt;0,"A Day At The Races",
IF(COUNTIF('Queen Discography'!$H$4:$H$22,C53)&gt;0,"News Of The World",
IF(COUNTIF('Queen Discography'!$I$4:$I$22,C53)&gt;0,"Jazz",
IF(COUNTIF('Queen Discography'!$J$4:$J$22,C53)&gt;0,"The Game",
IF(COUNTIF('Queen Discography'!$K$4:$K$22,C53)&gt;0,"Flash Gordon",
IF(COUNTIF('Queen Discography'!$L$4:$L$22,C53)&gt;0,"Hot Space",
IF(COUNTIF('Queen Discography'!$M$4:$M$22,C53)&gt;0,"The Works",
IF(COUNTIF('Queen Discography'!$N$4:$N$22,C53)&gt;0,"A Kind Of Magic",
IF(COUNTIF('Queen Discography'!$O$4:$O$22,C53)&gt;0,"The Miracle",
IF(COUNTIF('Queen Discography'!$P$4:$P$22,C53)&gt;0,"Innuendo",
IF(COUNTIF('Queen Discography'!$Q$4:$Q$22,C53)&gt;0,"Made In Heaven","NOT FOUND")))))))))))))))</f>
        <v>Innuendo</v>
      </c>
      <c r="I53" s="1"/>
      <c r="J53" s="1"/>
      <c r="K53" s="1"/>
      <c r="L53" s="1"/>
      <c r="M53" s="87"/>
      <c r="N53" s="87"/>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row>
    <row r="54">
      <c r="A54" s="1"/>
      <c r="C54" s="66" t="str">
        <f t="array" ref="C54">INDEX('Queen MIDI'!$C$4:$C$66,MATCH(F54,'Queen MIDI'!$D$4:$D$66,0))</f>
        <v>I'm Going Slightly Mad</v>
      </c>
      <c r="D54" s="117">
        <v>0.0</v>
      </c>
      <c r="E54" s="118" t="s">
        <v>405</v>
      </c>
      <c r="F54" s="66" t="str">
        <f t="shared" si="2"/>
        <v>I_m Going Slightly Mad.2.mid</v>
      </c>
      <c r="G54" s="120">
        <f>HLOOKUP(H54,'Queen Discography'!$C$2:$Q$3,2,FALSE)</f>
        <v>1991</v>
      </c>
      <c r="H54" s="66" t="str">
        <f>IF(COUNTIF('Queen Discography'!$C$4:$C$22,C54)&gt;0,"Queen",
IF(COUNTIF('Queen Discography'!$D$4:$D$22,C54)&gt;0,"Queen II",
IF(COUNTIF('Queen Discography'!$E$4:$E$22,C54)&gt;0,"Sheer Heart Attack",
IF(COUNTIF('Queen Discography'!$F$4:$F$22,C54)&gt;0,"A Night At The Opera",
IF(COUNTIF('Queen Discography'!$G$4:$G$22,C54)&gt;0,"A Day At The Races",
IF(COUNTIF('Queen Discography'!$H$4:$H$22,C54)&gt;0,"News Of The World",
IF(COUNTIF('Queen Discography'!$I$4:$I$22,C54)&gt;0,"Jazz",
IF(COUNTIF('Queen Discography'!$J$4:$J$22,C54)&gt;0,"The Game",
IF(COUNTIF('Queen Discography'!$K$4:$K$22,C54)&gt;0,"Flash Gordon",
IF(COUNTIF('Queen Discography'!$L$4:$L$22,C54)&gt;0,"Hot Space",
IF(COUNTIF('Queen Discography'!$M$4:$M$22,C54)&gt;0,"The Works",
IF(COUNTIF('Queen Discography'!$N$4:$N$22,C54)&gt;0,"A Kind Of Magic",
IF(COUNTIF('Queen Discography'!$O$4:$O$22,C54)&gt;0,"The Miracle",
IF(COUNTIF('Queen Discography'!$P$4:$P$22,C54)&gt;0,"Innuendo",
IF(COUNTIF('Queen Discography'!$Q$4:$Q$22,C54)&gt;0,"Made In Heaven","NOT FOUND")))))))))))))))</f>
        <v>Innuendo</v>
      </c>
      <c r="I54" s="1"/>
      <c r="J54" s="1"/>
      <c r="K54" s="1"/>
      <c r="L54" s="1"/>
      <c r="M54" s="87"/>
      <c r="N54" s="87"/>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row>
    <row r="55">
      <c r="A55" s="1"/>
      <c r="C55" s="66" t="str">
        <f t="array" ref="C55">INDEX('Queen MIDI'!$C$4:$C$66,MATCH(F55,'Queen MIDI'!$D$4:$D$66,0))</f>
        <v>The Show Must Go On</v>
      </c>
      <c r="D55" s="117">
        <v>0.0</v>
      </c>
      <c r="E55" s="118" t="s">
        <v>407</v>
      </c>
      <c r="F55" s="66" t="str">
        <f t="shared" si="2"/>
        <v>The Show Must Go On.mid</v>
      </c>
      <c r="G55" s="131">
        <f>HLOOKUP(H55,'Queen Discography'!$C$2:$Q$3,2,FALSE)</f>
        <v>1991</v>
      </c>
      <c r="H55" s="66" t="str">
        <f>IF(COUNTIF('Queen Discography'!$C$4:$C$22,C55)&gt;0,"Queen",
IF(COUNTIF('Queen Discography'!$D$4:$D$22,C55)&gt;0,"Queen II",
IF(COUNTIF('Queen Discography'!$E$4:$E$22,C55)&gt;0,"Sheer Heart Attack",
IF(COUNTIF('Queen Discography'!$F$4:$F$22,C55)&gt;0,"A Night At The Opera",
IF(COUNTIF('Queen Discography'!$G$4:$G$22,C55)&gt;0,"A Day At The Races",
IF(COUNTIF('Queen Discography'!$H$4:$H$22,C55)&gt;0,"News Of The World",
IF(COUNTIF('Queen Discography'!$I$4:$I$22,C55)&gt;0,"Jazz",
IF(COUNTIF('Queen Discography'!$J$4:$J$22,C55)&gt;0,"The Game",
IF(COUNTIF('Queen Discography'!$K$4:$K$22,C55)&gt;0,"Flash Gordon",
IF(COUNTIF('Queen Discography'!$L$4:$L$22,C55)&gt;0,"Hot Space",
IF(COUNTIF('Queen Discography'!$M$4:$M$22,C55)&gt;0,"The Works",
IF(COUNTIF('Queen Discography'!$N$4:$N$22,C55)&gt;0,"A Kind Of Magic",
IF(COUNTIF('Queen Discography'!$O$4:$O$22,C55)&gt;0,"The Miracle",
IF(COUNTIF('Queen Discography'!$P$4:$P$22,C55)&gt;0,"Innuendo",
IF(COUNTIF('Queen Discography'!$Q$4:$Q$22,C55)&gt;0,"Made In Heaven","NOT FOUND")))))))))))))))</f>
        <v>Innuendo</v>
      </c>
      <c r="I55" s="1"/>
      <c r="J55" s="1"/>
      <c r="K55" s="1"/>
      <c r="L55" s="1"/>
      <c r="M55" s="87"/>
      <c r="N55" s="87"/>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row>
    <row r="56">
      <c r="A56" s="1"/>
      <c r="C56" s="66" t="str">
        <f t="array" ref="C56">INDEX('Queen MIDI'!$C$4:$C$66,MATCH(F56,'Queen MIDI'!$D$4:$D$66,0))</f>
        <v>These Are the Days of Our Lives</v>
      </c>
      <c r="D56" s="117">
        <v>0.0</v>
      </c>
      <c r="E56" s="118" t="s">
        <v>408</v>
      </c>
      <c r="F56" s="66" t="str">
        <f t="shared" si="2"/>
        <v>These Are the Days of Our Lives.3.mid</v>
      </c>
      <c r="G56" s="132">
        <f>HLOOKUP(H56,'Queen Discography'!$C$2:$Q$3,2,FALSE)</f>
        <v>1991</v>
      </c>
      <c r="H56" s="66" t="str">
        <f>IF(COUNTIF('Queen Discography'!$C$4:$C$22,C56)&gt;0,"Queen",
IF(COUNTIF('Queen Discography'!$D$4:$D$22,C56)&gt;0,"Queen II",
IF(COUNTIF('Queen Discography'!$E$4:$E$22,C56)&gt;0,"Sheer Heart Attack",
IF(COUNTIF('Queen Discography'!$F$4:$F$22,C56)&gt;0,"A Night At The Opera",
IF(COUNTIF('Queen Discography'!$G$4:$G$22,C56)&gt;0,"A Day At The Races",
IF(COUNTIF('Queen Discography'!$H$4:$H$22,C56)&gt;0,"News Of The World",
IF(COUNTIF('Queen Discography'!$I$4:$I$22,C56)&gt;0,"Jazz",
IF(COUNTIF('Queen Discography'!$J$4:$J$22,C56)&gt;0,"The Game",
IF(COUNTIF('Queen Discography'!$K$4:$K$22,C56)&gt;0,"Flash Gordon",
IF(COUNTIF('Queen Discography'!$L$4:$L$22,C56)&gt;0,"Hot Space",
IF(COUNTIF('Queen Discography'!$M$4:$M$22,C56)&gt;0,"The Works",
IF(COUNTIF('Queen Discography'!$N$4:$N$22,C56)&gt;0,"A Kind Of Magic",
IF(COUNTIF('Queen Discography'!$O$4:$O$22,C56)&gt;0,"The Miracle",
IF(COUNTIF('Queen Discography'!$P$4:$P$22,C56)&gt;0,"Innuendo",
IF(COUNTIF('Queen Discography'!$Q$4:$Q$22,C56)&gt;0,"Made In Heaven","NOT FOUND")))))))))))))))</f>
        <v>Innuendo</v>
      </c>
      <c r="I56" s="1"/>
      <c r="J56" s="1"/>
      <c r="K56" s="1"/>
      <c r="L56" s="1"/>
      <c r="M56" s="87"/>
      <c r="N56" s="87"/>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row>
    <row r="57">
      <c r="A57" s="1"/>
      <c r="C57" s="66" t="str">
        <f t="array" ref="C57">INDEX('Queen MIDI'!$C$4:$C$66,MATCH(F57,'Queen MIDI'!$D$4:$D$66,0))</f>
        <v>Heaven for Everyone</v>
      </c>
      <c r="D57" s="117">
        <v>0.0</v>
      </c>
      <c r="E57" s="118" t="s">
        <v>409</v>
      </c>
      <c r="F57" s="66" t="str">
        <f t="shared" si="2"/>
        <v>Heaven for Everyone.mid</v>
      </c>
      <c r="G57" s="127">
        <f>HLOOKUP(H57,'Queen Discography'!$C$2:$Q$3,2,FALSE)</f>
        <v>1995</v>
      </c>
      <c r="H57" s="66" t="str">
        <f>IF(COUNTIF('Queen Discography'!$C$4:$C$22,C57)&gt;0,"Queen",
IF(COUNTIF('Queen Discography'!$D$4:$D$22,C57)&gt;0,"Queen II",
IF(COUNTIF('Queen Discography'!$E$4:$E$22,C57)&gt;0,"Sheer Heart Attack",
IF(COUNTIF('Queen Discography'!$F$4:$F$22,C57)&gt;0,"A Night At The Opera",
IF(COUNTIF('Queen Discography'!$G$4:$G$22,C57)&gt;0,"A Day At The Races",
IF(COUNTIF('Queen Discography'!$H$4:$H$22,C57)&gt;0,"News Of The World",
IF(COUNTIF('Queen Discography'!$I$4:$I$22,C57)&gt;0,"Jazz",
IF(COUNTIF('Queen Discography'!$J$4:$J$22,C57)&gt;0,"The Game",
IF(COUNTIF('Queen Discography'!$K$4:$K$22,C57)&gt;0,"Flash Gordon",
IF(COUNTIF('Queen Discography'!$L$4:$L$22,C57)&gt;0,"Hot Space",
IF(COUNTIF('Queen Discography'!$M$4:$M$22,C57)&gt;0,"The Works",
IF(COUNTIF('Queen Discography'!$N$4:$N$22,C57)&gt;0,"A Kind Of Magic",
IF(COUNTIF('Queen Discography'!$O$4:$O$22,C57)&gt;0,"The Miracle",
IF(COUNTIF('Queen Discography'!$P$4:$P$22,C57)&gt;0,"Innuendo",
IF(COUNTIF('Queen Discography'!$Q$4:$Q$22,C57)&gt;0,"Made In Heaven","NOT FOUND")))))))))))))))</f>
        <v>Made In Heaven</v>
      </c>
      <c r="I57" s="1"/>
      <c r="J57" s="1"/>
      <c r="K57" s="1"/>
      <c r="L57" s="1"/>
      <c r="M57" s="87"/>
      <c r="N57" s="87"/>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row>
    <row r="58">
      <c r="A58" s="1"/>
      <c r="C58" s="66" t="str">
        <f t="array" ref="C58">INDEX('Queen MIDI'!$C$4:$C$66,MATCH(F58,'Queen MIDI'!$D$4:$D$66,0))</f>
        <v>I Was Born to Love You</v>
      </c>
      <c r="D58" s="117">
        <v>0.0</v>
      </c>
      <c r="E58" s="118" t="s">
        <v>410</v>
      </c>
      <c r="F58" s="66" t="str">
        <f t="shared" si="2"/>
        <v>I Was Born to Love You.mid</v>
      </c>
      <c r="G58" s="129">
        <f>HLOOKUP(H58,'Queen Discography'!$C$2:$Q$3,2,FALSE)</f>
        <v>1995</v>
      </c>
      <c r="H58" s="66" t="str">
        <f>IF(COUNTIF('Queen Discography'!$C$4:$C$22,C58)&gt;0,"Queen",
IF(COUNTIF('Queen Discography'!$D$4:$D$22,C58)&gt;0,"Queen II",
IF(COUNTIF('Queen Discography'!$E$4:$E$22,C58)&gt;0,"Sheer Heart Attack",
IF(COUNTIF('Queen Discography'!$F$4:$F$22,C58)&gt;0,"A Night At The Opera",
IF(COUNTIF('Queen Discography'!$G$4:$G$22,C58)&gt;0,"A Day At The Races",
IF(COUNTIF('Queen Discography'!$H$4:$H$22,C58)&gt;0,"News Of The World",
IF(COUNTIF('Queen Discography'!$I$4:$I$22,C58)&gt;0,"Jazz",
IF(COUNTIF('Queen Discography'!$J$4:$J$22,C58)&gt;0,"The Game",
IF(COUNTIF('Queen Discography'!$K$4:$K$22,C58)&gt;0,"Flash Gordon",
IF(COUNTIF('Queen Discography'!$L$4:$L$22,C58)&gt;0,"Hot Space",
IF(COUNTIF('Queen Discography'!$M$4:$M$22,C58)&gt;0,"The Works",
IF(COUNTIF('Queen Discography'!$N$4:$N$22,C58)&gt;0,"A Kind Of Magic",
IF(COUNTIF('Queen Discography'!$O$4:$O$22,C58)&gt;0,"The Miracle",
IF(COUNTIF('Queen Discography'!$P$4:$P$22,C58)&gt;0,"Innuendo",
IF(COUNTIF('Queen Discography'!$Q$4:$Q$22,C58)&gt;0,"Made In Heaven","NOT FOUND")))))))))))))))</f>
        <v>Made In Heaven</v>
      </c>
      <c r="I58" s="1"/>
      <c r="J58" s="1"/>
      <c r="K58" s="1"/>
      <c r="L58" s="1"/>
      <c r="M58" s="87"/>
      <c r="N58" s="87"/>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c r="A59" s="1"/>
      <c r="C59" s="66" t="str">
        <f t="array" ref="C59">INDEX('Queen MIDI'!$C$4:$C$66,MATCH(F59,'Queen MIDI'!$D$4:$D$66,0))</f>
        <v>Made in Heaven</v>
      </c>
      <c r="D59" s="117">
        <v>0.0</v>
      </c>
      <c r="E59" s="118" t="s">
        <v>411</v>
      </c>
      <c r="F59" s="66" t="str">
        <f t="shared" si="2"/>
        <v>Made in Heaven.mid</v>
      </c>
      <c r="G59" s="133">
        <f>HLOOKUP(H59,'Queen Discography'!$C$2:$Q$3,2,FALSE)</f>
        <v>1995</v>
      </c>
      <c r="H59" s="66" t="str">
        <f>IF(COUNTIF('Queen Discography'!$C$4:$C$22,C59)&gt;0,"Queen",
IF(COUNTIF('Queen Discography'!$D$4:$D$22,C59)&gt;0,"Queen II",
IF(COUNTIF('Queen Discography'!$E$4:$E$22,C59)&gt;0,"Sheer Heart Attack",
IF(COUNTIF('Queen Discography'!$F$4:$F$22,C59)&gt;0,"A Night At The Opera",
IF(COUNTIF('Queen Discography'!$G$4:$G$22,C59)&gt;0,"A Day At The Races",
IF(COUNTIF('Queen Discography'!$H$4:$H$22,C59)&gt;0,"News Of The World",
IF(COUNTIF('Queen Discography'!$I$4:$I$22,C59)&gt;0,"Jazz",
IF(COUNTIF('Queen Discography'!$J$4:$J$22,C59)&gt;0,"The Game",
IF(COUNTIF('Queen Discography'!$K$4:$K$22,C59)&gt;0,"Flash Gordon",
IF(COUNTIF('Queen Discography'!$L$4:$L$22,C59)&gt;0,"Hot Space",
IF(COUNTIF('Queen Discography'!$M$4:$M$22,C59)&gt;0,"The Works",
IF(COUNTIF('Queen Discography'!$N$4:$N$22,C59)&gt;0,"A Kind Of Magic",
IF(COUNTIF('Queen Discography'!$O$4:$O$22,C59)&gt;0,"The Miracle",
IF(COUNTIF('Queen Discography'!$P$4:$P$22,C59)&gt;0,"Innuendo",
IF(COUNTIF('Queen Discography'!$Q$4:$Q$22,C59)&gt;0,"Made In Heaven","NOT FOUND")))))))))))))))</f>
        <v>Made In Heaven</v>
      </c>
      <c r="I59" s="1"/>
      <c r="J59" s="1"/>
      <c r="K59" s="1"/>
      <c r="L59" s="1"/>
      <c r="M59" s="87"/>
      <c r="N59" s="87"/>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row>
    <row r="60">
      <c r="A60" s="1"/>
      <c r="C60" s="66" t="str">
        <f t="array" ref="C60">INDEX('Queen MIDI'!$C$4:$C$66,MATCH(F60,'Queen MIDI'!$D$4:$D$66,0))</f>
        <v>Mother Love</v>
      </c>
      <c r="D60" s="117">
        <v>0.0</v>
      </c>
      <c r="E60" s="118" t="s">
        <v>412</v>
      </c>
      <c r="F60" s="66" t="str">
        <f t="shared" si="2"/>
        <v>Mother Love.mid</v>
      </c>
      <c r="G60" s="123">
        <f>HLOOKUP(H60,'Queen Discography'!$C$2:$Q$3,2,FALSE)</f>
        <v>1995</v>
      </c>
      <c r="H60" s="66" t="str">
        <f>IF(COUNTIF('Queen Discography'!$C$4:$C$22,C60)&gt;0,"Queen",
IF(COUNTIF('Queen Discography'!$D$4:$D$22,C60)&gt;0,"Queen II",
IF(COUNTIF('Queen Discography'!$E$4:$E$22,C60)&gt;0,"Sheer Heart Attack",
IF(COUNTIF('Queen Discography'!$F$4:$F$22,C60)&gt;0,"A Night At The Opera",
IF(COUNTIF('Queen Discography'!$G$4:$G$22,C60)&gt;0,"A Day At The Races",
IF(COUNTIF('Queen Discography'!$H$4:$H$22,C60)&gt;0,"News Of The World",
IF(COUNTIF('Queen Discography'!$I$4:$I$22,C60)&gt;0,"Jazz",
IF(COUNTIF('Queen Discography'!$J$4:$J$22,C60)&gt;0,"The Game",
IF(COUNTIF('Queen Discography'!$K$4:$K$22,C60)&gt;0,"Flash Gordon",
IF(COUNTIF('Queen Discography'!$L$4:$L$22,C60)&gt;0,"Hot Space",
IF(COUNTIF('Queen Discography'!$M$4:$M$22,C60)&gt;0,"The Works",
IF(COUNTIF('Queen Discography'!$N$4:$N$22,C60)&gt;0,"A Kind Of Magic",
IF(COUNTIF('Queen Discography'!$O$4:$O$22,C60)&gt;0,"The Miracle",
IF(COUNTIF('Queen Discography'!$P$4:$P$22,C60)&gt;0,"Innuendo",
IF(COUNTIF('Queen Discography'!$Q$4:$Q$22,C60)&gt;0,"Made In Heaven","NOT FOUND")))))))))))))))</f>
        <v>Made In Heaven</v>
      </c>
      <c r="I60" s="1"/>
      <c r="J60" s="1"/>
      <c r="K60" s="1"/>
      <c r="L60" s="1"/>
      <c r="M60" s="87"/>
      <c r="N60" s="87"/>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row>
    <row r="61">
      <c r="A61" s="1"/>
      <c r="C61" s="66" t="str">
        <f t="array" ref="C61">INDEX('Queen MIDI'!$C$4:$C$66,MATCH(F61,'Queen MIDI'!$D$4:$D$66,0))</f>
        <v>My Life Has Been Saved</v>
      </c>
      <c r="D61" s="117">
        <v>0.0</v>
      </c>
      <c r="E61" s="118" t="s">
        <v>413</v>
      </c>
      <c r="F61" s="66" t="str">
        <f t="shared" si="2"/>
        <v>My Life Has Been Saved.mid</v>
      </c>
      <c r="G61" s="133">
        <f>HLOOKUP(H61,'Queen Discography'!$C$2:$Q$3,2,FALSE)</f>
        <v>1995</v>
      </c>
      <c r="H61" s="66" t="str">
        <f>IF(COUNTIF('Queen Discography'!$C$4:$C$22,C61)&gt;0,"Queen",
IF(COUNTIF('Queen Discography'!$D$4:$D$22,C61)&gt;0,"Queen II",
IF(COUNTIF('Queen Discography'!$E$4:$E$22,C61)&gt;0,"Sheer Heart Attack",
IF(COUNTIF('Queen Discography'!$F$4:$F$22,C61)&gt;0,"A Night At The Opera",
IF(COUNTIF('Queen Discography'!$G$4:$G$22,C61)&gt;0,"A Day At The Races",
IF(COUNTIF('Queen Discography'!$H$4:$H$22,C61)&gt;0,"News Of The World",
IF(COUNTIF('Queen Discography'!$I$4:$I$22,C61)&gt;0,"Jazz",
IF(COUNTIF('Queen Discography'!$J$4:$J$22,C61)&gt;0,"The Game",
IF(COUNTIF('Queen Discography'!$K$4:$K$22,C61)&gt;0,"Flash Gordon",
IF(COUNTIF('Queen Discography'!$L$4:$L$22,C61)&gt;0,"Hot Space",
IF(COUNTIF('Queen Discography'!$M$4:$M$22,C61)&gt;0,"The Works",
IF(COUNTIF('Queen Discography'!$N$4:$N$22,C61)&gt;0,"A Kind Of Magic",
IF(COUNTIF('Queen Discography'!$O$4:$O$22,C61)&gt;0,"The Miracle",
IF(COUNTIF('Queen Discography'!$P$4:$P$22,C61)&gt;0,"Innuendo",
IF(COUNTIF('Queen Discography'!$Q$4:$Q$22,C61)&gt;0,"Made In Heaven","NOT FOUND")))))))))))))))</f>
        <v>Made In Heaven</v>
      </c>
      <c r="I61" s="1"/>
      <c r="J61" s="1"/>
      <c r="K61" s="1"/>
      <c r="L61" s="1"/>
      <c r="M61" s="87"/>
      <c r="N61" s="87"/>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row>
    <row r="62">
      <c r="A62" s="1"/>
      <c r="C62" s="66" t="str">
        <f t="array" ref="C62">INDEX('Queen MIDI'!$C$4:$C$66,MATCH(F62,'Queen MIDI'!$D$4:$D$66,0))</f>
        <v>Too Much Love Will Kill You</v>
      </c>
      <c r="D62" s="117">
        <v>0.0</v>
      </c>
      <c r="E62" s="118" t="s">
        <v>414</v>
      </c>
      <c r="F62" s="66" t="str">
        <f t="shared" si="2"/>
        <v>Too Much Love Will Kill You.3.mid</v>
      </c>
      <c r="G62" s="128">
        <f>HLOOKUP(H62,'Queen Discography'!$C$2:$Q$3,2,FALSE)</f>
        <v>1995</v>
      </c>
      <c r="H62" s="66" t="str">
        <f>IF(COUNTIF('Queen Discography'!$C$4:$C$22,C62)&gt;0,"Queen",
IF(COUNTIF('Queen Discography'!$D$4:$D$22,C62)&gt;0,"Queen II",
IF(COUNTIF('Queen Discography'!$E$4:$E$22,C62)&gt;0,"Sheer Heart Attack",
IF(COUNTIF('Queen Discography'!$F$4:$F$22,C62)&gt;0,"A Night At The Opera",
IF(COUNTIF('Queen Discography'!$G$4:$G$22,C62)&gt;0,"A Day At The Races",
IF(COUNTIF('Queen Discography'!$H$4:$H$22,C62)&gt;0,"News Of The World",
IF(COUNTIF('Queen Discography'!$I$4:$I$22,C62)&gt;0,"Jazz",
IF(COUNTIF('Queen Discography'!$J$4:$J$22,C62)&gt;0,"The Game",
IF(COUNTIF('Queen Discography'!$K$4:$K$22,C62)&gt;0,"Flash Gordon",
IF(COUNTIF('Queen Discography'!$L$4:$L$22,C62)&gt;0,"Hot Space",
IF(COUNTIF('Queen Discography'!$M$4:$M$22,C62)&gt;0,"The Works",
IF(COUNTIF('Queen Discography'!$N$4:$N$22,C62)&gt;0,"A Kind Of Magic",
IF(COUNTIF('Queen Discography'!$O$4:$O$22,C62)&gt;0,"The Miracle",
IF(COUNTIF('Queen Discography'!$P$4:$P$22,C62)&gt;0,"Innuendo",
IF(COUNTIF('Queen Discography'!$Q$4:$Q$22,C62)&gt;0,"Made In Heaven","NOT FOUND")))))))))))))))</f>
        <v>Made In Heaven</v>
      </c>
      <c r="I62" s="1"/>
      <c r="J62" s="1"/>
      <c r="K62" s="1"/>
      <c r="L62" s="1"/>
      <c r="M62" s="87"/>
      <c r="N62" s="87"/>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c r="A63" s="1"/>
      <c r="C63" s="66" t="str">
        <f t="array" ref="C63">INDEX('Queen MIDI'!$C$4:$C$66,MATCH(F63,'Queen MIDI'!$D$4:$D$66,0))</f>
        <v>You Don't Fool Me</v>
      </c>
      <c r="D63" s="117">
        <v>0.0</v>
      </c>
      <c r="E63" s="118" t="s">
        <v>415</v>
      </c>
      <c r="F63" s="66" t="str">
        <f t="shared" si="2"/>
        <v>You Don_t Fool Me.mid</v>
      </c>
      <c r="G63" s="125">
        <f>HLOOKUP(H63,'Queen Discography'!$C$2:$Q$3,2,FALSE)</f>
        <v>1995</v>
      </c>
      <c r="H63" s="66" t="str">
        <f>IF(COUNTIF('Queen Discography'!$C$4:$C$22,C63)&gt;0,"Queen",
IF(COUNTIF('Queen Discography'!$D$4:$D$22,C63)&gt;0,"Queen II",
IF(COUNTIF('Queen Discography'!$E$4:$E$22,C63)&gt;0,"Sheer Heart Attack",
IF(COUNTIF('Queen Discography'!$F$4:$F$22,C63)&gt;0,"A Night At The Opera",
IF(COUNTIF('Queen Discography'!$G$4:$G$22,C63)&gt;0,"A Day At The Races",
IF(COUNTIF('Queen Discography'!$H$4:$H$22,C63)&gt;0,"News Of The World",
IF(COUNTIF('Queen Discography'!$I$4:$I$22,C63)&gt;0,"Jazz",
IF(COUNTIF('Queen Discography'!$J$4:$J$22,C63)&gt;0,"The Game",
IF(COUNTIF('Queen Discography'!$K$4:$K$22,C63)&gt;0,"Flash Gordon",
IF(COUNTIF('Queen Discography'!$L$4:$L$22,C63)&gt;0,"Hot Space",
IF(COUNTIF('Queen Discography'!$M$4:$M$22,C63)&gt;0,"The Works",
IF(COUNTIF('Queen Discography'!$N$4:$N$22,C63)&gt;0,"A Kind Of Magic",
IF(COUNTIF('Queen Discography'!$O$4:$O$22,C63)&gt;0,"The Miracle",
IF(COUNTIF('Queen Discography'!$P$4:$P$22,C63)&gt;0,"Innuendo",
IF(COUNTIF('Queen Discography'!$Q$4:$Q$22,C63)&gt;0,"Made In Heaven","NOT FOUND")))))))))))))))</f>
        <v>Made In Heaven</v>
      </c>
      <c r="I63" s="1"/>
      <c r="J63" s="1"/>
      <c r="K63" s="1"/>
      <c r="L63" s="1"/>
      <c r="M63" s="87"/>
      <c r="N63" s="87"/>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row>
    <row r="64">
      <c r="A64" s="1"/>
      <c r="C64" s="66" t="str">
        <f t="array" ref="C64">INDEX('Queen MIDI'!$C$4:$C$66,MATCH(F64,'Queen MIDI'!$D$4:$D$66,0))</f>
        <v>Living on My Own</v>
      </c>
      <c r="D64" s="117">
        <v>0.0</v>
      </c>
      <c r="E64" s="118" t="s">
        <v>416</v>
      </c>
      <c r="F64" s="66" t="str">
        <f t="shared" si="2"/>
        <v>Living on My Own.mid</v>
      </c>
      <c r="G64" s="121" t="str">
        <f>HLOOKUP(H64,'Queen Discography'!$C$2:$Q$3,2,FALSE)</f>
        <v>#N/A</v>
      </c>
      <c r="H64" s="66" t="str">
        <f>IF(COUNTIF('Queen Discography'!$C$4:$C$22,C64)&gt;0,"Queen",
IF(COUNTIF('Queen Discography'!$D$4:$D$22,C64)&gt;0,"Queen II",
IF(COUNTIF('Queen Discography'!$E$4:$E$22,C64)&gt;0,"Sheer Heart Attack",
IF(COUNTIF('Queen Discography'!$F$4:$F$22,C64)&gt;0,"A Night At The Opera",
IF(COUNTIF('Queen Discography'!$G$4:$G$22,C64)&gt;0,"A Day At The Races",
IF(COUNTIF('Queen Discography'!$H$4:$H$22,C64)&gt;0,"News Of The World",
IF(COUNTIF('Queen Discography'!$I$4:$I$22,C64)&gt;0,"Jazz",
IF(COUNTIF('Queen Discography'!$J$4:$J$22,C64)&gt;0,"The Game",
IF(COUNTIF('Queen Discography'!$K$4:$K$22,C64)&gt;0,"Flash Gordon",
IF(COUNTIF('Queen Discography'!$L$4:$L$22,C64)&gt;0,"Hot Space",
IF(COUNTIF('Queen Discography'!$M$4:$M$22,C64)&gt;0,"The Works",
IF(COUNTIF('Queen Discography'!$N$4:$N$22,C64)&gt;0,"A Kind Of Magic",
IF(COUNTIF('Queen Discography'!$O$4:$O$22,C64)&gt;0,"The Miracle",
IF(COUNTIF('Queen Discography'!$P$4:$P$22,C64)&gt;0,"Innuendo",
IF(COUNTIF('Queen Discography'!$Q$4:$Q$22,C64)&gt;0,"Made In Heaven","NOT FOUND")))))))))))))))</f>
        <v>NOT FOUND</v>
      </c>
      <c r="I64" s="1"/>
      <c r="J64" s="1"/>
      <c r="K64" s="1"/>
      <c r="L64" s="1"/>
      <c r="M64" s="87"/>
      <c r="N64" s="87"/>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row>
    <row r="65">
      <c r="A65" s="1"/>
      <c r="C65" s="66" t="str">
        <f t="array" ref="C65">INDEX('Queen MIDI'!$C$4:$C$66,MATCH(F65,'Queen MIDI'!$D$4:$D$66,0))</f>
        <v>The Great Pretender</v>
      </c>
      <c r="D65" s="117">
        <v>0.0</v>
      </c>
      <c r="E65" s="118" t="s">
        <v>418</v>
      </c>
      <c r="F65" s="66" t="str">
        <f t="shared" si="2"/>
        <v>The Great Pretender.mid</v>
      </c>
      <c r="G65" s="131" t="str">
        <f>HLOOKUP(H65,'Queen Discography'!$C$2:$Q$3,2,FALSE)</f>
        <v>#N/A</v>
      </c>
      <c r="H65" s="66" t="str">
        <f>IF(COUNTIF('Queen Discography'!$C$4:$C$22,C65)&gt;0,"Queen",
IF(COUNTIF('Queen Discography'!$D$4:$D$22,C65)&gt;0,"Queen II",
IF(COUNTIF('Queen Discography'!$E$4:$E$22,C65)&gt;0,"Sheer Heart Attack",
IF(COUNTIF('Queen Discography'!$F$4:$F$22,C65)&gt;0,"A Night At The Opera",
IF(COUNTIF('Queen Discography'!$G$4:$G$22,C65)&gt;0,"A Day At The Races",
IF(COUNTIF('Queen Discography'!$H$4:$H$22,C65)&gt;0,"News Of The World",
IF(COUNTIF('Queen Discography'!$I$4:$I$22,C65)&gt;0,"Jazz",
IF(COUNTIF('Queen Discography'!$J$4:$J$22,C65)&gt;0,"The Game",
IF(COUNTIF('Queen Discography'!$K$4:$K$22,C65)&gt;0,"Flash Gordon",
IF(COUNTIF('Queen Discography'!$L$4:$L$22,C65)&gt;0,"Hot Space",
IF(COUNTIF('Queen Discography'!$M$4:$M$22,C65)&gt;0,"The Works",
IF(COUNTIF('Queen Discography'!$N$4:$N$22,C65)&gt;0,"A Kind Of Magic",
IF(COUNTIF('Queen Discography'!$O$4:$O$22,C65)&gt;0,"The Miracle",
IF(COUNTIF('Queen Discography'!$P$4:$P$22,C65)&gt;0,"Innuendo",
IF(COUNTIF('Queen Discography'!$Q$4:$Q$22,C65)&gt;0,"Made In Heaven","NOT FOUND")))))))))))))))</f>
        <v>NOT FOUND</v>
      </c>
      <c r="I65" s="1"/>
      <c r="J65" s="1"/>
      <c r="K65" s="1"/>
      <c r="L65" s="1"/>
      <c r="M65" s="87"/>
      <c r="N65" s="87"/>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row>
    <row r="66">
      <c r="A66" s="1"/>
      <c r="C66" s="66" t="str">
        <f t="array" ref="C66">INDEX('Queen MIDI'!$C$4:$C$66,MATCH(F66,'Queen MIDI'!$D$4:$D$66,0))</f>
        <v>Procession</v>
      </c>
      <c r="D66" s="117">
        <v>1.0</v>
      </c>
      <c r="E66" s="118" t="s">
        <v>417</v>
      </c>
      <c r="F66" s="66" t="str">
        <f t="shared" si="2"/>
        <v>Procession.mid</v>
      </c>
      <c r="G66" s="124">
        <f>HLOOKUP(H66,'Queen Discography'!$C$2:$Q$3,2,FALSE)</f>
        <v>1974</v>
      </c>
      <c r="H66" s="66" t="str">
        <f>IF(COUNTIF('Queen Discography'!$C$4:$C$22,C66)&gt;0,"Queen",
IF(COUNTIF('Queen Discography'!$D$4:$D$22,C66)&gt;0,"Queen II",
IF(COUNTIF('Queen Discography'!$E$4:$E$22,C66)&gt;0,"Sheer Heart Attack",
IF(COUNTIF('Queen Discography'!$F$4:$F$22,C66)&gt;0,"A Night At The Opera",
IF(COUNTIF('Queen Discography'!$G$4:$G$22,C66)&gt;0,"A Day At The Races",
IF(COUNTIF('Queen Discography'!$H$4:$H$22,C66)&gt;0,"News Of The World",
IF(COUNTIF('Queen Discography'!$I$4:$I$22,C66)&gt;0,"Jazz",
IF(COUNTIF('Queen Discography'!$J$4:$J$22,C66)&gt;0,"The Game",
IF(COUNTIF('Queen Discography'!$K$4:$K$22,C66)&gt;0,"Flash Gordon",
IF(COUNTIF('Queen Discography'!$L$4:$L$22,C66)&gt;0,"Hot Space",
IF(COUNTIF('Queen Discography'!$M$4:$M$22,C66)&gt;0,"The Works",
IF(COUNTIF('Queen Discography'!$N$4:$N$22,C66)&gt;0,"A Kind Of Magic",
IF(COUNTIF('Queen Discography'!$O$4:$O$22,C66)&gt;0,"The Miracle",
IF(COUNTIF('Queen Discography'!$P$4:$P$22,C66)&gt;0,"Innuendo",
IF(COUNTIF('Queen Discography'!$Q$4:$Q$22,C66)&gt;0,"Made In Heaven","NOT FOUND")))))))))))))))</f>
        <v>Queen II</v>
      </c>
      <c r="I66" s="1"/>
      <c r="J66" s="1"/>
      <c r="K66" s="1"/>
      <c r="L66" s="1"/>
      <c r="M66" s="87"/>
      <c r="N66" s="87"/>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row>
    <row r="67">
      <c r="A67" s="1"/>
      <c r="B67" s="19"/>
      <c r="C67" s="1"/>
      <c r="D67" s="113">
        <v>0.0</v>
      </c>
      <c r="E67" s="113" t="s">
        <v>365</v>
      </c>
      <c r="F67" s="1"/>
      <c r="G67" s="114"/>
      <c r="H67" s="1"/>
      <c r="I67" s="1"/>
      <c r="J67" s="1"/>
      <c r="K67" s="1"/>
      <c r="L67" s="1"/>
      <c r="M67" s="87"/>
      <c r="N67" s="87"/>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row>
  </sheetData>
  <autoFilter ref="$C$3:$H$66">
    <sortState ref="C3:H66">
      <sortCondition ref="D3:D66"/>
      <sortCondition ref="G3:G66"/>
      <sortCondition ref="H3:H66"/>
    </sortState>
  </autoFilter>
  <mergeCells count="3">
    <mergeCell ref="C2:H2"/>
    <mergeCell ref="J2:BD2"/>
    <mergeCell ref="B4:B66"/>
  </mergeCells>
  <conditionalFormatting sqref="J4:BD21">
    <cfRule type="expression" dxfId="16" priority="1">
      <formula>$BD4=0</formula>
    </cfRule>
  </conditionalFormatting>
  <conditionalFormatting sqref="AF4:AU21">
    <cfRule type="expression" dxfId="17" priority="2">
      <formula>AND(AF4:AU4=MAX($AF4:$AU4),$BD4&lt;2)</formula>
    </cfRule>
  </conditionalFormatting>
  <conditionalFormatting sqref="P4:AE21">
    <cfRule type="expression" dxfId="18" priority="3">
      <formula>AND(P4:AE4=MAX($P4:$AE4),$BD4&lt;2)</formula>
    </cfRule>
  </conditionalFormatting>
  <conditionalFormatting sqref="J4:BD21">
    <cfRule type="expression" dxfId="19" priority="4">
      <formula>$BD4&lt;2</formula>
    </cfRule>
  </conditionalFormatting>
  <conditionalFormatting sqref="P4:AE21">
    <cfRule type="expression" dxfId="20" priority="5">
      <formula>P4:AE4=MAX($P4:$AE4)</formula>
    </cfRule>
  </conditionalFormatting>
  <conditionalFormatting sqref="AF4:AU21">
    <cfRule type="expression" dxfId="21" priority="6">
      <formula>AF4:AU4=MAX($AF4:$AU4)</formula>
    </cfRule>
  </conditionalFormatting>
  <conditionalFormatting sqref="C4:H66">
    <cfRule type="expression" dxfId="0" priority="7">
      <formula>$H4="NOT FOUND"</formula>
    </cfRule>
  </conditionalFormatting>
  <conditionalFormatting sqref="C4:H66">
    <cfRule type="expression" dxfId="1" priority="8">
      <formula>$H4="Queen"</formula>
    </cfRule>
  </conditionalFormatting>
  <conditionalFormatting sqref="C4:H66">
    <cfRule type="expression" dxfId="2" priority="9">
      <formula>$H4="Queen II"</formula>
    </cfRule>
  </conditionalFormatting>
  <conditionalFormatting sqref="C4:H66">
    <cfRule type="expression" dxfId="3" priority="10">
      <formula>$H4="Sheer Heart Attack"</formula>
    </cfRule>
  </conditionalFormatting>
  <conditionalFormatting sqref="C4:H66">
    <cfRule type="expression" dxfId="4" priority="11">
      <formula>$H4="A Night At The Opera"</formula>
    </cfRule>
  </conditionalFormatting>
  <conditionalFormatting sqref="C4:H66">
    <cfRule type="expression" dxfId="5" priority="12">
      <formula>$H4="A Day At The Races"</formula>
    </cfRule>
  </conditionalFormatting>
  <conditionalFormatting sqref="C4:H66">
    <cfRule type="expression" dxfId="6" priority="13">
      <formula>$H4="News Of The World"</formula>
    </cfRule>
  </conditionalFormatting>
  <conditionalFormatting sqref="C4:H66">
    <cfRule type="expression" dxfId="7" priority="14">
      <formula>$H4="Jazz"</formula>
    </cfRule>
  </conditionalFormatting>
  <conditionalFormatting sqref="C4:H66">
    <cfRule type="expression" dxfId="8" priority="15">
      <formula>$H4="The Game"</formula>
    </cfRule>
  </conditionalFormatting>
  <conditionalFormatting sqref="C4:H66">
    <cfRule type="expression" dxfId="9" priority="16">
      <formula>$H4="Flash Gordon"</formula>
    </cfRule>
  </conditionalFormatting>
  <conditionalFormatting sqref="C4:H66">
    <cfRule type="expression" dxfId="10" priority="17">
      <formula>$H4="Hot Space"</formula>
    </cfRule>
  </conditionalFormatting>
  <conditionalFormatting sqref="C4:H66">
    <cfRule type="expression" dxfId="11" priority="18">
      <formula>$H4="The Works"</formula>
    </cfRule>
  </conditionalFormatting>
  <conditionalFormatting sqref="C4:H66">
    <cfRule type="expression" dxfId="12" priority="19">
      <formula>$H4="A Kind Of Magic"</formula>
    </cfRule>
  </conditionalFormatting>
  <conditionalFormatting sqref="C4:H66">
    <cfRule type="expression" dxfId="13" priority="20">
      <formula>$H4="The Miracle"</formula>
    </cfRule>
  </conditionalFormatting>
  <conditionalFormatting sqref="C4:H66">
    <cfRule type="expression" dxfId="14" priority="21">
      <formula>$H4="Innuendo"</formula>
    </cfRule>
  </conditionalFormatting>
  <conditionalFormatting sqref="C4:H66">
    <cfRule type="expression" dxfId="15" priority="22">
      <formula>$H4="Made In Heaven"</formula>
    </cfRule>
  </conditionalFormatting>
  <conditionalFormatting sqref="G4:H4">
    <cfRule type="expression" dxfId="0" priority="23">
      <formula>$H4="NOT FOUND"</formula>
    </cfRule>
  </conditionalFormatting>
  <printOptions gridLines="1" horizontalCentered="1"/>
  <pageMargins bottom="0.75" footer="0.0" header="0.0" left="0.25" right="0.25" top="0.75"/>
  <pageSetup orientation="landscape" pageOrder="overThenDown" paperHeight="16in" paperWidth="16in"/>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sheetPr>
  <sheetViews>
    <sheetView workbookViewId="0">
      <pane xSplit="2.0" topLeftCell="C1" activePane="topRight" state="frozen"/>
      <selection activeCell="D2" sqref="D2" pane="topRight"/>
    </sheetView>
  </sheetViews>
  <sheetFormatPr customHeight="1" defaultColWidth="12.63" defaultRowHeight="15.0" outlineLevelCol="1"/>
  <cols>
    <col customWidth="1" min="1" max="1" width="2.75"/>
    <col customWidth="1" min="3" max="3" width="24.63"/>
    <col collapsed="1" customWidth="1" min="4" max="4" width="2.5"/>
    <col customWidth="1" hidden="1" min="5" max="5" width="2.5" outlineLevel="1"/>
    <col customWidth="1" hidden="1" min="6" max="6" width="30.25" outlineLevel="1"/>
    <col customWidth="1" min="7" max="7" width="6.75"/>
    <col customWidth="1" min="8" max="8" width="16.75"/>
    <col customWidth="1" min="9" max="9" width="2.75"/>
    <col customWidth="1" min="10" max="10" width="6.38"/>
    <col customWidth="1" min="11" max="14" width="5.75"/>
    <col collapsed="1" customWidth="1" min="15" max="15" width="5.75"/>
    <col customWidth="1" hidden="1" min="16" max="47" width="5.75" outlineLevel="1"/>
    <col customWidth="1" min="48" max="48" width="17.63"/>
    <col customWidth="1" min="49" max="50" width="6.38"/>
    <col customWidth="1" min="51" max="51" width="15.38"/>
    <col customWidth="1" min="52" max="54" width="6.38"/>
    <col customWidth="1" min="55" max="56" width="5.75"/>
    <col customWidth="1" min="57" max="57" width="2.75"/>
  </cols>
  <sheetData>
    <row r="1">
      <c r="A1" s="1" t="s">
        <v>0</v>
      </c>
      <c r="B1" s="1"/>
      <c r="C1" s="1"/>
      <c r="D1" s="1"/>
      <c r="E1" s="1"/>
      <c r="F1" s="1"/>
      <c r="G1" s="114"/>
      <c r="H1" s="1"/>
      <c r="I1" s="1"/>
      <c r="J1" s="1"/>
      <c r="K1" s="1"/>
      <c r="L1" s="1"/>
      <c r="M1" s="1"/>
      <c r="N1" s="87"/>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ht="31.5" customHeight="1">
      <c r="A2" s="2"/>
      <c r="B2" s="56"/>
      <c r="C2" s="115" t="s">
        <v>421</v>
      </c>
      <c r="I2" s="19"/>
      <c r="J2" s="89" t="s">
        <v>337</v>
      </c>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19"/>
    </row>
    <row r="3" ht="31.5" customHeight="1">
      <c r="A3" s="2"/>
      <c r="B3" s="60"/>
      <c r="C3" s="61" t="s">
        <v>185</v>
      </c>
      <c r="D3" s="61" t="s">
        <v>338</v>
      </c>
      <c r="E3" s="61" t="s">
        <v>339</v>
      </c>
      <c r="F3" s="61" t="s">
        <v>186</v>
      </c>
      <c r="G3" s="61" t="s">
        <v>340</v>
      </c>
      <c r="H3" s="61" t="s">
        <v>187</v>
      </c>
      <c r="I3" s="36"/>
      <c r="J3" s="92" t="s">
        <v>341</v>
      </c>
      <c r="K3" s="92" t="s">
        <v>342</v>
      </c>
      <c r="L3" s="92" t="s">
        <v>343</v>
      </c>
      <c r="M3" s="92" t="s">
        <v>344</v>
      </c>
      <c r="N3" s="93" t="s">
        <v>345</v>
      </c>
      <c r="O3" s="92" t="s">
        <v>346</v>
      </c>
      <c r="P3" s="94" t="str">
        <f t="array" ref="P3:AE3">TRANSPOSE('Queen MIDI'!$H$4:$H$19)</f>
        <v>Queen</v>
      </c>
      <c r="Q3" s="94" t="s">
        <v>2</v>
      </c>
      <c r="R3" s="94" t="s">
        <v>3</v>
      </c>
      <c r="S3" s="94" t="s">
        <v>4</v>
      </c>
      <c r="T3" s="94" t="s">
        <v>5</v>
      </c>
      <c r="U3" s="94" t="s">
        <v>6</v>
      </c>
      <c r="V3" s="94" t="s">
        <v>7</v>
      </c>
      <c r="W3" s="94" t="s">
        <v>8</v>
      </c>
      <c r="X3" s="94" t="s">
        <v>9</v>
      </c>
      <c r="Y3" s="94" t="s">
        <v>10</v>
      </c>
      <c r="Z3" s="94" t="s">
        <v>11</v>
      </c>
      <c r="AA3" s="94" t="s">
        <v>12</v>
      </c>
      <c r="AB3" s="94" t="s">
        <v>13</v>
      </c>
      <c r="AC3" s="94" t="s">
        <v>14</v>
      </c>
      <c r="AD3" s="94" t="s">
        <v>15</v>
      </c>
      <c r="AE3" s="94" t="s">
        <v>227</v>
      </c>
      <c r="AF3" s="94" t="str">
        <f t="array" ref="AF3:AU3">TRANSPOSE('Queen MIDI'!$H$4:$H$19)</f>
        <v>Queen</v>
      </c>
      <c r="AG3" s="94" t="s">
        <v>2</v>
      </c>
      <c r="AH3" s="94" t="s">
        <v>3</v>
      </c>
      <c r="AI3" s="94" t="s">
        <v>4</v>
      </c>
      <c r="AJ3" s="94" t="s">
        <v>5</v>
      </c>
      <c r="AK3" s="94" t="s">
        <v>6</v>
      </c>
      <c r="AL3" s="94" t="s">
        <v>7</v>
      </c>
      <c r="AM3" s="94" t="s">
        <v>8</v>
      </c>
      <c r="AN3" s="94" t="s">
        <v>9</v>
      </c>
      <c r="AO3" s="94" t="s">
        <v>10</v>
      </c>
      <c r="AP3" s="94" t="s">
        <v>11</v>
      </c>
      <c r="AQ3" s="94" t="s">
        <v>12</v>
      </c>
      <c r="AR3" s="94" t="s">
        <v>13</v>
      </c>
      <c r="AS3" s="94" t="s">
        <v>14</v>
      </c>
      <c r="AT3" s="94" t="s">
        <v>15</v>
      </c>
      <c r="AU3" s="94" t="s">
        <v>227</v>
      </c>
      <c r="AV3" s="92" t="s">
        <v>347</v>
      </c>
      <c r="AW3" s="92" t="s">
        <v>348</v>
      </c>
      <c r="AX3" s="92" t="s">
        <v>349</v>
      </c>
      <c r="AY3" s="92" t="s">
        <v>350</v>
      </c>
      <c r="AZ3" s="92" t="s">
        <v>351</v>
      </c>
      <c r="BA3" s="92" t="s">
        <v>352</v>
      </c>
      <c r="BB3" s="92" t="s">
        <v>353</v>
      </c>
      <c r="BC3" s="92" t="s">
        <v>354</v>
      </c>
      <c r="BD3" s="92" t="s">
        <v>355</v>
      </c>
      <c r="BE3" s="36"/>
    </row>
    <row r="4">
      <c r="A4" s="1"/>
      <c r="B4" s="56" t="str">
        <f>CONCATENATE("Songs",CHAR(10),"(",COUNTA(C4:C66),")")</f>
        <v>Songs
(63)</v>
      </c>
      <c r="C4" s="66" t="str">
        <f t="array" ref="C4">INDEX('Queen MIDI'!$C$4:$C$66,MATCH(F4,'Queen MIDI'!$D$4:$D$66,0))</f>
        <v>Son and Daughter</v>
      </c>
      <c r="D4" s="134">
        <v>0.0</v>
      </c>
      <c r="E4" s="135" t="s">
        <v>360</v>
      </c>
      <c r="F4" s="66" t="str">
        <f t="shared" ref="F4:F66" si="2">RIGHT(E4,LEN(E4)-75)</f>
        <v>Son and Daughter.1.mid</v>
      </c>
      <c r="G4" s="128">
        <f>HLOOKUP(H4,'Queen Discography'!$C$2:$Q$3,2,FALSE)</f>
        <v>1973</v>
      </c>
      <c r="H4" s="66" t="str">
        <f>IF(COUNTIF('Queen Discography'!$C$4:$C$22,C4)&gt;0,"Queen",
IF(COUNTIF('Queen Discography'!$D$4:$D$22,C4)&gt;0,"Queen II",
IF(COUNTIF('Queen Discography'!$E$4:$E$22,C4)&gt;0,"Sheer Heart Attack",
IF(COUNTIF('Queen Discography'!$F$4:$F$22,C4)&gt;0,"A Night At The Opera",
IF(COUNTIF('Queen Discography'!$G$4:$G$22,C4)&gt;0,"A Day At The Races",
IF(COUNTIF('Queen Discography'!$H$4:$H$22,C4)&gt;0,"News Of The World",
IF(COUNTIF('Queen Discography'!$I$4:$I$22,C4)&gt;0,"Jazz",
IF(COUNTIF('Queen Discography'!$J$4:$J$22,C4)&gt;0,"The Game",
IF(COUNTIF('Queen Discography'!$K$4:$K$22,C4)&gt;0,"Flash Gordon",
IF(COUNTIF('Queen Discography'!$L$4:$L$22,C4)&gt;0,"Hot Space",
IF(COUNTIF('Queen Discography'!$M$4:$M$22,C4)&gt;0,"The Works",
IF(COUNTIF('Queen Discography'!$N$4:$N$22,C4)&gt;0,"A Kind Of Magic",
IF(COUNTIF('Queen Discography'!$O$4:$O$22,C4)&gt;0,"The Miracle",
IF(COUNTIF('Queen Discography'!$P$4:$P$22,C4)&gt;0,"Innuendo",
IF(COUNTIF('Queen Discography'!$Q$4:$Q$22,C4)&gt;0,"Made In Heaven","NOT FOUND")))))))))))))))</f>
        <v>Queen</v>
      </c>
      <c r="I4" s="1"/>
      <c r="J4" s="98">
        <v>0.0</v>
      </c>
      <c r="K4" s="99">
        <f>IF(MINIFS($G$4:$G$66,$D$4:$D$66,$J4,$G$4:$G$66,"&lt;&gt;#N/A")=0,"N/A",MINIFS($G$4:$G$66,$D$4:$D$66,$J4,$G$4:$G$66,"&lt;&gt;#N/A"))</f>
        <v>1973</v>
      </c>
      <c r="L4" s="99">
        <f t="shared" ref="L4:L21" si="3">IF(MAXIFS($G$4:$G$66,$D$4:$D$66,$J4,$G$4:$G$66,"&lt;&gt;#N/A")=0,"N/A",MAXIFS($G$4:$G$66,$D$4:$D$66,$J4,$G$4:$G$66,"&lt;&gt;#N/A"))</f>
        <v>1991</v>
      </c>
      <c r="M4" s="99">
        <f t="shared" ref="M4:M21" si="4">IFERROR(ROUND(AVERAGEIFS($G$4:$G$66,$D$4:$D$66,$J4,$G$4:$G$66,"&lt;&gt;#N/A"),0),"N/A")</f>
        <v>1982</v>
      </c>
      <c r="N4" s="100">
        <f>IFERROR(__xludf.DUMMYFUNCTION("IFERROR(MEDIAN(FILTER($G$4:$G$66,$D$4:$D$66=$J4,ISNUMBER($G$4:$G$66))),""N/A"")"),1978.0)</f>
        <v>1978</v>
      </c>
      <c r="O4" s="99">
        <f>IFERROR(__xludf.DUMMYFUNCTION("IFERROR(MODE(FILTER($G$4:$G$66,$D$4:$D$66=$J4,ISNUMBER($G$4:$G$66))),""N/A"")"),1977.0)</f>
        <v>1977</v>
      </c>
      <c r="P4" s="99">
        <f t="shared" ref="P4:AE4" si="1">COUNTIFS($H$4:$H$66,P$3,$D$4:$D$66,$J4)</f>
        <v>1</v>
      </c>
      <c r="Q4" s="99">
        <f t="shared" si="1"/>
        <v>0</v>
      </c>
      <c r="R4" s="99">
        <f t="shared" si="1"/>
        <v>0</v>
      </c>
      <c r="S4" s="99">
        <f t="shared" si="1"/>
        <v>0</v>
      </c>
      <c r="T4" s="99">
        <f t="shared" si="1"/>
        <v>0</v>
      </c>
      <c r="U4" s="99">
        <f t="shared" si="1"/>
        <v>2</v>
      </c>
      <c r="V4" s="99">
        <f t="shared" si="1"/>
        <v>1</v>
      </c>
      <c r="W4" s="99">
        <f t="shared" si="1"/>
        <v>0</v>
      </c>
      <c r="X4" s="99">
        <f t="shared" si="1"/>
        <v>0</v>
      </c>
      <c r="Y4" s="99">
        <f t="shared" si="1"/>
        <v>0</v>
      </c>
      <c r="Z4" s="99">
        <f t="shared" si="1"/>
        <v>0</v>
      </c>
      <c r="AA4" s="99">
        <f t="shared" si="1"/>
        <v>0</v>
      </c>
      <c r="AB4" s="99">
        <f t="shared" si="1"/>
        <v>2</v>
      </c>
      <c r="AC4" s="99">
        <f t="shared" si="1"/>
        <v>1</v>
      </c>
      <c r="AD4" s="99">
        <f t="shared" si="1"/>
        <v>0</v>
      </c>
      <c r="AE4" s="99">
        <f t="shared" si="1"/>
        <v>0</v>
      </c>
      <c r="AF4" s="101">
        <f t="array" ref="AF4:AU4">IFERROR(P4:AE4*TRANSPOSE('Queen MIDI'!$J$4:$J$19),"N/A")</f>
        <v>0.984375</v>
      </c>
      <c r="AG4" s="101">
        <v>0.0</v>
      </c>
      <c r="AH4" s="101">
        <v>0.0</v>
      </c>
      <c r="AI4" s="101">
        <v>0.0</v>
      </c>
      <c r="AJ4" s="101">
        <v>0.0</v>
      </c>
      <c r="AK4" s="101">
        <v>1.96875</v>
      </c>
      <c r="AL4" s="101">
        <v>0.7875</v>
      </c>
      <c r="AM4" s="101">
        <v>0.0</v>
      </c>
      <c r="AN4" s="101" t="s">
        <v>357</v>
      </c>
      <c r="AO4" s="101">
        <v>0.0</v>
      </c>
      <c r="AP4" s="101">
        <v>0.0</v>
      </c>
      <c r="AQ4" s="102">
        <v>0.0</v>
      </c>
      <c r="AR4" s="102">
        <v>1.575</v>
      </c>
      <c r="AS4" s="102">
        <v>0.4375</v>
      </c>
      <c r="AT4" s="101">
        <v>0.0</v>
      </c>
      <c r="AU4" s="101">
        <v>0.0</v>
      </c>
      <c r="AV4" s="99" t="str">
        <f>IFERROR(__xludf.DUMMYFUNCTION("JOIN("", "",FILTER($P$3:$AE$3,$P4:$AE4=MAX($P4:$AE4)))"),"News Of The World, The Miracle")</f>
        <v>News Of The World, The Miracle</v>
      </c>
      <c r="AW4" s="99">
        <f t="shared" ref="AW4:AW21" si="6">MAX($P4:$AE4)</f>
        <v>2</v>
      </c>
      <c r="AX4" s="99">
        <f>IFERROR(__xludf.DUMMYFUNCTION("COUNTA(FILTER($P$3:$AE$3,$P4:$AE4=MAX($P4:$AE4)))"),2.0)</f>
        <v>2</v>
      </c>
      <c r="AY4" s="99" t="str">
        <f>IFERROR(__xludf.DUMMYFUNCTION("IFERROR(JOIN("", "",FILTER($AF$3:$AU$3,$AF4:$AU4=MAXIFS($AF4:$AU4,$AF$23:$AU$23,TRUE),$AF$23:$AU$23)),""N/A"")"),"News Of The World")</f>
        <v>News Of The World</v>
      </c>
      <c r="AZ4" s="103" t="str">
        <f>IFERROR(__xludf.DUMMYFUNCTION("IFERROR(JOIN("", "",FILTER($P4:$AE4,$AF4:$AU4=MAXIFS($AF4:$AU4,$AF$23:$AU$23,TRUE),$AF$23:$AU$23)),""N/A"")"),"2")</f>
        <v>2</v>
      </c>
      <c r="BA4" s="103">
        <f>MAXIFS(AF4:AU4,$AF$23:$AU$23,TRUE)/'Queen MIDI'!$J$20</f>
        <v>0.5</v>
      </c>
      <c r="BB4" s="98">
        <f>IFERROR(__xludf.DUMMYFUNCTION("COUNTA(IFERROR(FILTER($AF$3:$AU$3,$AF4:$AU4=MAXIFS($AF4:$AU4,$AF$23:$AU$23,TRUE),$AF$23:$AU$23),))"),1.0)</f>
        <v>1</v>
      </c>
      <c r="BC4" s="103">
        <f t="shared" ref="BC4:BC21" si="7">$BD4/$BD$22</f>
        <v>0.1111111111</v>
      </c>
      <c r="BD4" s="99">
        <f t="shared" ref="BD4:BD21" si="8">COUNTIF($D$4:$D$66,J4)</f>
        <v>7</v>
      </c>
      <c r="BE4" s="1"/>
    </row>
    <row r="5">
      <c r="A5" s="1"/>
      <c r="C5" s="66" t="str">
        <f t="array" ref="C5">INDEX('Queen MIDI'!$C$4:$C$66,MATCH(F5,'Queen MIDI'!$D$4:$D$66,0))</f>
        <v>My Melancholy Blues</v>
      </c>
      <c r="D5" s="136">
        <v>0.0</v>
      </c>
      <c r="E5" s="137" t="s">
        <v>373</v>
      </c>
      <c r="F5" s="66" t="str">
        <f t="shared" si="2"/>
        <v>My Melancholy Blues.mid</v>
      </c>
      <c r="G5" s="120">
        <f>HLOOKUP(H5,'Queen Discography'!$C$2:$Q$3,2,FALSE)</f>
        <v>1977</v>
      </c>
      <c r="H5" s="66" t="str">
        <f>IF(COUNTIF('Queen Discography'!$C$4:$C$22,C5)&gt;0,"Queen",
IF(COUNTIF('Queen Discography'!$D$4:$D$22,C5)&gt;0,"Queen II",
IF(COUNTIF('Queen Discography'!$E$4:$E$22,C5)&gt;0,"Sheer Heart Attack",
IF(COUNTIF('Queen Discography'!$F$4:$F$22,C5)&gt;0,"A Night At The Opera",
IF(COUNTIF('Queen Discography'!$G$4:$G$22,C5)&gt;0,"A Day At The Races",
IF(COUNTIF('Queen Discography'!$H$4:$H$22,C5)&gt;0,"News Of The World",
IF(COUNTIF('Queen Discography'!$I$4:$I$22,C5)&gt;0,"Jazz",
IF(COUNTIF('Queen Discography'!$J$4:$J$22,C5)&gt;0,"The Game",
IF(COUNTIF('Queen Discography'!$K$4:$K$22,C5)&gt;0,"Flash Gordon",
IF(COUNTIF('Queen Discography'!$L$4:$L$22,C5)&gt;0,"Hot Space",
IF(COUNTIF('Queen Discography'!$M$4:$M$22,C5)&gt;0,"The Works",
IF(COUNTIF('Queen Discography'!$N$4:$N$22,C5)&gt;0,"A Kind Of Magic",
IF(COUNTIF('Queen Discography'!$O$4:$O$22,C5)&gt;0,"The Miracle",
IF(COUNTIF('Queen Discography'!$P$4:$P$22,C5)&gt;0,"Innuendo",
IF(COUNTIF('Queen Discography'!$Q$4:$Q$22,C5)&gt;0,"Made In Heaven","NOT FOUND")))))))))))))))</f>
        <v>News Of The World</v>
      </c>
      <c r="I5" s="1"/>
      <c r="J5" s="98">
        <v>1.0</v>
      </c>
      <c r="K5" s="99" t="str">
        <f t="shared" ref="K5:K21" si="9">IF(MINIFS($G$4:$G$66,$D$4:$D$66,J5,$G$4:$G$66,"&lt;&gt;#N/A")=0,"N/A",MINIFS($G$4:$G$66,$D$4:$D$66,J5,$G$4:$G$66,"&lt;&gt;#N/A"))</f>
        <v>N/A</v>
      </c>
      <c r="L5" s="99" t="str">
        <f t="shared" si="3"/>
        <v>N/A</v>
      </c>
      <c r="M5" s="99" t="str">
        <f t="shared" si="4"/>
        <v>N/A</v>
      </c>
      <c r="N5" s="99" t="str">
        <f>IFERROR(ROUND(AVERAGEIFS($G$4:$G$66,$D$4:$D$66,$J5,$G$4:$G$66,"&lt;&gt;#N/A"),0),"N/A")</f>
        <v>N/A</v>
      </c>
      <c r="O5" s="99" t="str">
        <f>IFERROR(__xludf.DUMMYFUNCTION("IFERROR(MODE(FILTER($G$4:$G$66,$D$4:$D$66=$J5,ISNUMBER($G$4:$G$66))),""N/A"")"),"N/A")</f>
        <v>N/A</v>
      </c>
      <c r="P5" s="99">
        <f t="shared" ref="P5:AE5" si="5">COUNTIFS($H$4:$H$66,P$3,$D$4:$D$66,$J5)</f>
        <v>0</v>
      </c>
      <c r="Q5" s="99">
        <f t="shared" si="5"/>
        <v>0</v>
      </c>
      <c r="R5" s="99">
        <f t="shared" si="5"/>
        <v>0</v>
      </c>
      <c r="S5" s="99">
        <f t="shared" si="5"/>
        <v>0</v>
      </c>
      <c r="T5" s="99">
        <f t="shared" si="5"/>
        <v>0</v>
      </c>
      <c r="U5" s="99">
        <f t="shared" si="5"/>
        <v>0</v>
      </c>
      <c r="V5" s="99">
        <f t="shared" si="5"/>
        <v>0</v>
      </c>
      <c r="W5" s="99">
        <f t="shared" si="5"/>
        <v>0</v>
      </c>
      <c r="X5" s="99">
        <f t="shared" si="5"/>
        <v>0</v>
      </c>
      <c r="Y5" s="99">
        <f t="shared" si="5"/>
        <v>0</v>
      </c>
      <c r="Z5" s="99">
        <f t="shared" si="5"/>
        <v>0</v>
      </c>
      <c r="AA5" s="99">
        <f t="shared" si="5"/>
        <v>0</v>
      </c>
      <c r="AB5" s="99">
        <f t="shared" si="5"/>
        <v>0</v>
      </c>
      <c r="AC5" s="99">
        <f t="shared" si="5"/>
        <v>0</v>
      </c>
      <c r="AD5" s="99">
        <f t="shared" si="5"/>
        <v>0</v>
      </c>
      <c r="AE5" s="99">
        <f t="shared" si="5"/>
        <v>1</v>
      </c>
      <c r="AF5" s="101">
        <f t="array" ref="AF5:AU5">IFERROR(P5:AE5*TRANSPOSE('Queen MIDI'!$J$4:$J$19),"N/A")</f>
        <v>0</v>
      </c>
      <c r="AG5" s="101">
        <v>0.0</v>
      </c>
      <c r="AH5" s="101">
        <v>0.0</v>
      </c>
      <c r="AI5" s="101">
        <v>0.0</v>
      </c>
      <c r="AJ5" s="101">
        <v>0.0</v>
      </c>
      <c r="AK5" s="101">
        <v>0.0</v>
      </c>
      <c r="AL5" s="101">
        <v>0.0</v>
      </c>
      <c r="AM5" s="101">
        <v>0.0</v>
      </c>
      <c r="AN5" s="101" t="s">
        <v>357</v>
      </c>
      <c r="AO5" s="101">
        <v>0.0</v>
      </c>
      <c r="AP5" s="101">
        <v>0.0</v>
      </c>
      <c r="AQ5" s="101">
        <v>0.0</v>
      </c>
      <c r="AR5" s="101">
        <v>0.0</v>
      </c>
      <c r="AS5" s="101">
        <v>0.0</v>
      </c>
      <c r="AT5" s="101">
        <v>0.0</v>
      </c>
      <c r="AU5" s="101">
        <v>1.96875</v>
      </c>
      <c r="AV5" s="99" t="str">
        <f>IFERROR(__xludf.DUMMYFUNCTION("JOIN("", "",FILTER($P$3:$AE$3,$P5:$AE5=MAX($P5:$AE5)))"),"NOT FOUND")</f>
        <v>NOT FOUND</v>
      </c>
      <c r="AW5" s="99">
        <f t="shared" si="6"/>
        <v>1</v>
      </c>
      <c r="AX5" s="99">
        <f>IFERROR(__xludf.DUMMYFUNCTION("COUNTA(FILTER($P$3:$AE$3,$P5:$AE5=MAX($P5:$AE5)))"),1.0)</f>
        <v>1</v>
      </c>
      <c r="AY5" s="99" t="str">
        <f>IFERROR(__xludf.DUMMYFUNCTION("IFERROR(JOIN("", "",FILTER($AF$3:$AU$3,$AF5:$AU5=MAXIFS($AF5:$AU5,$AF$23:$AU$23,TRUE),$AF$23:$AU$23)),""N/A"")"),"NOT FOUND")</f>
        <v>NOT FOUND</v>
      </c>
      <c r="AZ5" s="103" t="str">
        <f>IFERROR(__xludf.DUMMYFUNCTION("IFERROR(JOIN("", "",FILTER($P5:$AE5,$AF5:$AU5=MAXIFS($AF5:$AU5,$AF$23:$AU$23,TRUE),$AF$23:$AU$23)),""N/A"")"),"1")</f>
        <v>1</v>
      </c>
      <c r="BA5" s="103">
        <f>MAXIFS(AF5:AU5,$AF$23:$AU$23,TRUE)/'Queen MIDI'!$J$20</f>
        <v>0.5</v>
      </c>
      <c r="BB5" s="98">
        <f>IFERROR(__xludf.DUMMYFUNCTION("COUNTA(IFERROR(FILTER($AF$3:$AU$3,$AF5:$AU5=MAXIFS($AF5:$AU5,$AF$23:$AU$23,TRUE),$AF$23:$AU$23),))"),1.0)</f>
        <v>1</v>
      </c>
      <c r="BC5" s="103">
        <f t="shared" si="7"/>
        <v>0.01587301587</v>
      </c>
      <c r="BD5" s="99">
        <f t="shared" si="8"/>
        <v>1</v>
      </c>
      <c r="BE5" s="1"/>
    </row>
    <row r="6">
      <c r="A6" s="1"/>
      <c r="C6" s="66" t="str">
        <f t="array" ref="C6">INDEX('Queen MIDI'!$C$4:$C$66,MATCH(F6,'Queen MIDI'!$D$4:$D$66,0))</f>
        <v>We Will Rock You</v>
      </c>
      <c r="D6" s="136">
        <v>0.0</v>
      </c>
      <c r="E6" s="137" t="s">
        <v>419</v>
      </c>
      <c r="F6" s="66" t="str">
        <f t="shared" si="2"/>
        <v>We Will Rock You.6.mid</v>
      </c>
      <c r="G6" s="123">
        <f>HLOOKUP(H6,'Queen Discography'!$C$2:$Q$3,2,FALSE)</f>
        <v>1977</v>
      </c>
      <c r="H6" s="66" t="str">
        <f>IF(COUNTIF('Queen Discography'!$C$4:$C$22,C6)&gt;0,"Queen",
IF(COUNTIF('Queen Discography'!$D$4:$D$22,C6)&gt;0,"Queen II",
IF(COUNTIF('Queen Discography'!$E$4:$E$22,C6)&gt;0,"Sheer Heart Attack",
IF(COUNTIF('Queen Discography'!$F$4:$F$22,C6)&gt;0,"A Night At The Opera",
IF(COUNTIF('Queen Discography'!$G$4:$G$22,C6)&gt;0,"A Day At The Races",
IF(COUNTIF('Queen Discography'!$H$4:$H$22,C6)&gt;0,"News Of The World",
IF(COUNTIF('Queen Discography'!$I$4:$I$22,C6)&gt;0,"Jazz",
IF(COUNTIF('Queen Discography'!$J$4:$J$22,C6)&gt;0,"The Game",
IF(COUNTIF('Queen Discography'!$K$4:$K$22,C6)&gt;0,"Flash Gordon",
IF(COUNTIF('Queen Discography'!$L$4:$L$22,C6)&gt;0,"Hot Space",
IF(COUNTIF('Queen Discography'!$M$4:$M$22,C6)&gt;0,"The Works",
IF(COUNTIF('Queen Discography'!$N$4:$N$22,C6)&gt;0,"A Kind Of Magic",
IF(COUNTIF('Queen Discography'!$O$4:$O$22,C6)&gt;0,"The Miracle",
IF(COUNTIF('Queen Discography'!$P$4:$P$22,C6)&gt;0,"Innuendo",
IF(COUNTIF('Queen Discography'!$Q$4:$Q$22,C6)&gt;0,"Made In Heaven","NOT FOUND")))))))))))))))</f>
        <v>News Of The World</v>
      </c>
      <c r="I6" s="1"/>
      <c r="J6" s="98">
        <v>2.0</v>
      </c>
      <c r="K6" s="99">
        <f t="shared" si="9"/>
        <v>1974</v>
      </c>
      <c r="L6" s="99">
        <f t="shared" si="3"/>
        <v>1974</v>
      </c>
      <c r="M6" s="99">
        <f t="shared" si="4"/>
        <v>1974</v>
      </c>
      <c r="N6" s="100">
        <f>IFERROR(__xludf.DUMMYFUNCTION("IFERROR(MEDIAN(FILTER($G$4:$G$66,$D$4:$D$66=$J6,ISNUMBER($G$4:$G$66))),""N/A"")"),1974.0)</f>
        <v>1974</v>
      </c>
      <c r="O6" s="99" t="str">
        <f>IFERROR(__xludf.DUMMYFUNCTION("IFERROR(MODE(FILTER($G$4:$G$66,$D$4:$D$66=$J6,ISNUMBER($G$4:$G$66))),""N/A"")"),"N/A")</f>
        <v>N/A</v>
      </c>
      <c r="P6" s="99">
        <f t="shared" ref="P6:AE6" si="10">COUNTIFS($H$4:$H$66,P$3,$D$4:$D$66,$J6)</f>
        <v>0</v>
      </c>
      <c r="Q6" s="99">
        <f t="shared" si="10"/>
        <v>1</v>
      </c>
      <c r="R6" s="99">
        <f t="shared" si="10"/>
        <v>0</v>
      </c>
      <c r="S6" s="99">
        <f t="shared" si="10"/>
        <v>0</v>
      </c>
      <c r="T6" s="99">
        <f t="shared" si="10"/>
        <v>0</v>
      </c>
      <c r="U6" s="99">
        <f t="shared" si="10"/>
        <v>0</v>
      </c>
      <c r="V6" s="99">
        <f t="shared" si="10"/>
        <v>0</v>
      </c>
      <c r="W6" s="99">
        <f t="shared" si="10"/>
        <v>0</v>
      </c>
      <c r="X6" s="99">
        <f t="shared" si="10"/>
        <v>0</v>
      </c>
      <c r="Y6" s="99">
        <f t="shared" si="10"/>
        <v>0</v>
      </c>
      <c r="Z6" s="99">
        <f t="shared" si="10"/>
        <v>0</v>
      </c>
      <c r="AA6" s="99">
        <f t="shared" si="10"/>
        <v>0</v>
      </c>
      <c r="AB6" s="99">
        <f t="shared" si="10"/>
        <v>0</v>
      </c>
      <c r="AC6" s="99">
        <f t="shared" si="10"/>
        <v>0</v>
      </c>
      <c r="AD6" s="99">
        <f t="shared" si="10"/>
        <v>0</v>
      </c>
      <c r="AE6" s="99">
        <f t="shared" si="10"/>
        <v>0</v>
      </c>
      <c r="AF6" s="101">
        <f t="array" ref="AF6:AU6">IFERROR(P6:AE6*TRANSPOSE('Queen MIDI'!$J$4:$J$19),"N/A")</f>
        <v>0</v>
      </c>
      <c r="AG6" s="101">
        <v>1.3125</v>
      </c>
      <c r="AH6" s="101">
        <v>0.0</v>
      </c>
      <c r="AI6" s="101">
        <v>0.0</v>
      </c>
      <c r="AJ6" s="101">
        <v>0.0</v>
      </c>
      <c r="AK6" s="101">
        <v>0.0</v>
      </c>
      <c r="AL6" s="101">
        <v>0.0</v>
      </c>
      <c r="AM6" s="101">
        <v>0.0</v>
      </c>
      <c r="AN6" s="101" t="s">
        <v>357</v>
      </c>
      <c r="AO6" s="101">
        <v>0.0</v>
      </c>
      <c r="AP6" s="101">
        <v>0.0</v>
      </c>
      <c r="AQ6" s="101">
        <v>0.0</v>
      </c>
      <c r="AR6" s="101">
        <v>0.0</v>
      </c>
      <c r="AS6" s="101">
        <v>0.0</v>
      </c>
      <c r="AT6" s="101">
        <v>0.0</v>
      </c>
      <c r="AU6" s="101">
        <v>0.0</v>
      </c>
      <c r="AV6" s="99" t="str">
        <f>IFERROR(__xludf.DUMMYFUNCTION("JOIN("", "",FILTER($P$3:$AE$3,$P6:$AE6=MAX($P6:$AE6)))"),"Queen II")</f>
        <v>Queen II</v>
      </c>
      <c r="AW6" s="99">
        <f t="shared" si="6"/>
        <v>1</v>
      </c>
      <c r="AX6" s="99">
        <f>IFERROR(__xludf.DUMMYFUNCTION("COUNTA(FILTER($P$3:$AE$3,$P6:$AE6=MAX($P6:$AE6)))"),1.0)</f>
        <v>1</v>
      </c>
      <c r="AY6" s="99" t="str">
        <f>IFERROR(__xludf.DUMMYFUNCTION("IFERROR(JOIN("", "",FILTER($AF$3:$AU$3,$AF6:$AU6=MAXIFS($AF6:$AU6,$AF$23:$AU$23,TRUE),$AF$23:$AU$23)),""N/A"")"),"Queen II")</f>
        <v>Queen II</v>
      </c>
      <c r="AZ6" s="103" t="str">
        <f>IFERROR(__xludf.DUMMYFUNCTION("IFERROR(JOIN("", "",FILTER($P6:$AE6,$AF6:$AU6=MAXIFS($AF6:$AU6,$AF$23:$AU$23,TRUE),$AF$23:$AU$23)),""N/A"")"),"1")</f>
        <v>1</v>
      </c>
      <c r="BA6" s="103">
        <f>MAXIFS(AF6:AU6,$AF$23:$AU$23,TRUE)/'Queen MIDI'!$J$20</f>
        <v>0.3333333333</v>
      </c>
      <c r="BB6" s="98">
        <f>IFERROR(__xludf.DUMMYFUNCTION("COUNTA(IFERROR(FILTER($AF$3:$AU$3,$AF6:$AU6=MAXIFS($AF6:$AU6,$AF$23:$AU$23,TRUE),$AF$23:$AU$23),))"),1.0)</f>
        <v>1</v>
      </c>
      <c r="BC6" s="103">
        <f t="shared" si="7"/>
        <v>0.01587301587</v>
      </c>
      <c r="BD6" s="99">
        <f t="shared" si="8"/>
        <v>1</v>
      </c>
      <c r="BE6" s="1"/>
    </row>
    <row r="7">
      <c r="A7" s="1"/>
      <c r="C7" s="66" t="str">
        <f t="array" ref="C7">INDEX('Queen MIDI'!$C$4:$C$66,MATCH(F7,'Queen MIDI'!$D$4:$D$66,0))</f>
        <v>Fun It</v>
      </c>
      <c r="D7" s="138">
        <v>0.0</v>
      </c>
      <c r="E7" s="139" t="s">
        <v>379</v>
      </c>
      <c r="F7" s="66" t="str">
        <f t="shared" si="2"/>
        <v>Fun It.mid</v>
      </c>
      <c r="G7" s="120">
        <f>HLOOKUP(H7,'Queen Discography'!$C$2:$Q$3,2,FALSE)</f>
        <v>1978</v>
      </c>
      <c r="H7" s="66" t="str">
        <f>IF(COUNTIF('Queen Discography'!$C$4:$C$22,C7)&gt;0,"Queen",
IF(COUNTIF('Queen Discography'!$D$4:$D$22,C7)&gt;0,"Queen II",
IF(COUNTIF('Queen Discography'!$E$4:$E$22,C7)&gt;0,"Sheer Heart Attack",
IF(COUNTIF('Queen Discography'!$F$4:$F$22,C7)&gt;0,"A Night At The Opera",
IF(COUNTIF('Queen Discography'!$G$4:$G$22,C7)&gt;0,"A Day At The Races",
IF(COUNTIF('Queen Discography'!$H$4:$H$22,C7)&gt;0,"News Of The World",
IF(COUNTIF('Queen Discography'!$I$4:$I$22,C7)&gt;0,"Jazz",
IF(COUNTIF('Queen Discography'!$J$4:$J$22,C7)&gt;0,"The Game",
IF(COUNTIF('Queen Discography'!$K$4:$K$22,C7)&gt;0,"Flash Gordon",
IF(COUNTIF('Queen Discography'!$L$4:$L$22,C7)&gt;0,"Hot Space",
IF(COUNTIF('Queen Discography'!$M$4:$M$22,C7)&gt;0,"The Works",
IF(COUNTIF('Queen Discography'!$N$4:$N$22,C7)&gt;0,"A Kind Of Magic",
IF(COUNTIF('Queen Discography'!$O$4:$O$22,C7)&gt;0,"The Miracle",
IF(COUNTIF('Queen Discography'!$P$4:$P$22,C7)&gt;0,"Innuendo",
IF(COUNTIF('Queen Discography'!$Q$4:$Q$22,C7)&gt;0,"Made In Heaven","NOT FOUND")))))))))))))))</f>
        <v>Jazz</v>
      </c>
      <c r="I7" s="1"/>
      <c r="J7" s="98">
        <v>3.0</v>
      </c>
      <c r="K7" s="99">
        <f t="shared" si="9"/>
        <v>1980</v>
      </c>
      <c r="L7" s="99">
        <f t="shared" si="3"/>
        <v>1980</v>
      </c>
      <c r="M7" s="99">
        <f t="shared" si="4"/>
        <v>1980</v>
      </c>
      <c r="N7" s="100">
        <f>IFERROR(__xludf.DUMMYFUNCTION("IFERROR(MEDIAN(FILTER($G$4:$G$66,$D$4:$D$66=$J7,ISNUMBER($G$4:$G$66))),""N/A"")"),1980.0)</f>
        <v>1980</v>
      </c>
      <c r="O7" s="99" t="str">
        <f>IFERROR(__xludf.DUMMYFUNCTION("IFERROR(MODE(FILTER($G$4:$G$66,$D$4:$D$66=$J7,ISNUMBER($G$4:$G$66))),""N/A"")"),"N/A")</f>
        <v>N/A</v>
      </c>
      <c r="P7" s="99">
        <f t="shared" ref="P7:AE7" si="11">COUNTIFS($H$4:$H$66,P$3,$D$4:$D$66,$J7)</f>
        <v>0</v>
      </c>
      <c r="Q7" s="99">
        <f t="shared" si="11"/>
        <v>0</v>
      </c>
      <c r="R7" s="99">
        <f t="shared" si="11"/>
        <v>0</v>
      </c>
      <c r="S7" s="99">
        <f t="shared" si="11"/>
        <v>0</v>
      </c>
      <c r="T7" s="99">
        <f t="shared" si="11"/>
        <v>0</v>
      </c>
      <c r="U7" s="99">
        <f t="shared" si="11"/>
        <v>0</v>
      </c>
      <c r="V7" s="99">
        <f t="shared" si="11"/>
        <v>0</v>
      </c>
      <c r="W7" s="99">
        <f t="shared" si="11"/>
        <v>1</v>
      </c>
      <c r="X7" s="99">
        <f t="shared" si="11"/>
        <v>0</v>
      </c>
      <c r="Y7" s="99">
        <f t="shared" si="11"/>
        <v>0</v>
      </c>
      <c r="Z7" s="99">
        <f t="shared" si="11"/>
        <v>0</v>
      </c>
      <c r="AA7" s="99">
        <f t="shared" si="11"/>
        <v>0</v>
      </c>
      <c r="AB7" s="99">
        <f t="shared" si="11"/>
        <v>0</v>
      </c>
      <c r="AC7" s="99">
        <f t="shared" si="11"/>
        <v>0</v>
      </c>
      <c r="AD7" s="99">
        <f t="shared" si="11"/>
        <v>0</v>
      </c>
      <c r="AE7" s="99">
        <f t="shared" si="11"/>
        <v>0</v>
      </c>
      <c r="AF7" s="101">
        <f t="array" ref="AF7:AU7">IFERROR(P7:AE7*TRANSPOSE('Queen MIDI'!$J$4:$J$19),"N/A")</f>
        <v>0</v>
      </c>
      <c r="AG7" s="101">
        <v>0.0</v>
      </c>
      <c r="AH7" s="101">
        <v>0.0</v>
      </c>
      <c r="AI7" s="101">
        <v>0.0</v>
      </c>
      <c r="AJ7" s="101">
        <v>0.0</v>
      </c>
      <c r="AK7" s="101">
        <v>0.0</v>
      </c>
      <c r="AL7" s="101">
        <v>0.0</v>
      </c>
      <c r="AM7" s="101">
        <v>0.984375</v>
      </c>
      <c r="AN7" s="101" t="s">
        <v>357</v>
      </c>
      <c r="AO7" s="101">
        <v>0.0</v>
      </c>
      <c r="AP7" s="101">
        <v>0.0</v>
      </c>
      <c r="AQ7" s="101">
        <v>0.0</v>
      </c>
      <c r="AR7" s="101">
        <v>0.0</v>
      </c>
      <c r="AS7" s="101">
        <v>0.0</v>
      </c>
      <c r="AT7" s="101">
        <v>0.0</v>
      </c>
      <c r="AU7" s="101">
        <v>0.0</v>
      </c>
      <c r="AV7" s="99" t="str">
        <f>IFERROR(__xludf.DUMMYFUNCTION("JOIN("", "",FILTER($P$3:$AE$3,$P7:$AE7=MAX($P7:$AE7)))"),"The Game")</f>
        <v>The Game</v>
      </c>
      <c r="AW7" s="99">
        <f t="shared" si="6"/>
        <v>1</v>
      </c>
      <c r="AX7" s="99">
        <f>IFERROR(__xludf.DUMMYFUNCTION("COUNTA(FILTER($P$3:$AE$3,$P7:$AE7=MAX($P7:$AE7)))"),1.0)</f>
        <v>1</v>
      </c>
      <c r="AY7" s="99" t="str">
        <f>IFERROR(__xludf.DUMMYFUNCTION("IFERROR(JOIN("", "",FILTER($AF$3:$AU$3,$AF7:$AU7=MAXIFS($AF7:$AU7,$AF$23:$AU$23,TRUE),$AF$23:$AU$23)),""N/A"")"),"The Game")</f>
        <v>The Game</v>
      </c>
      <c r="AZ7" s="103" t="str">
        <f>IFERROR(__xludf.DUMMYFUNCTION("IFERROR(JOIN("", "",FILTER($P7:$AE7,$AF7:$AU7=MAXIFS($AF7:$AU7,$AF$23:$AU$23,TRUE),$AF$23:$AU$23)),""N/A"")"),"1")</f>
        <v>1</v>
      </c>
      <c r="BA7" s="103">
        <f>MAXIFS(AF7:AU7,$AF$23:$AU$23,TRUE)/'Queen MIDI'!$J$20</f>
        <v>0.25</v>
      </c>
      <c r="BB7" s="98">
        <f>IFERROR(__xludf.DUMMYFUNCTION("COUNTA(IFERROR(FILTER($AF$3:$AU$3,$AF7:$AU7=MAXIFS($AF7:$AU7,$AF$23:$AU$23,TRUE),$AF$23:$AU$23),))"),1.0)</f>
        <v>1</v>
      </c>
      <c r="BC7" s="103">
        <f t="shared" si="7"/>
        <v>0.01587301587</v>
      </c>
      <c r="BD7" s="99">
        <f t="shared" si="8"/>
        <v>1</v>
      </c>
      <c r="BE7" s="1"/>
    </row>
    <row r="8">
      <c r="A8" s="1"/>
      <c r="C8" s="66" t="str">
        <f t="array" ref="C8">INDEX('Queen MIDI'!$C$4:$C$66,MATCH(F8,'Queen MIDI'!$D$4:$D$66,0))</f>
        <v>Scandal</v>
      </c>
      <c r="D8" s="140">
        <v>0.0</v>
      </c>
      <c r="E8" s="141" t="s">
        <v>397</v>
      </c>
      <c r="F8" s="66" t="str">
        <f t="shared" si="2"/>
        <v>Scandal.mid</v>
      </c>
      <c r="G8" s="129">
        <f>HLOOKUP(H8,'Queen Discography'!$C$2:$Q$3,2,FALSE)</f>
        <v>1989</v>
      </c>
      <c r="H8" s="66" t="str">
        <f>IF(COUNTIF('Queen Discography'!$C$4:$C$22,C8)&gt;0,"Queen",
IF(COUNTIF('Queen Discography'!$D$4:$D$22,C8)&gt;0,"Queen II",
IF(COUNTIF('Queen Discography'!$E$4:$E$22,C8)&gt;0,"Sheer Heart Attack",
IF(COUNTIF('Queen Discography'!$F$4:$F$22,C8)&gt;0,"A Night At The Opera",
IF(COUNTIF('Queen Discography'!$G$4:$G$22,C8)&gt;0,"A Day At The Races",
IF(COUNTIF('Queen Discography'!$H$4:$H$22,C8)&gt;0,"News Of The World",
IF(COUNTIF('Queen Discography'!$I$4:$I$22,C8)&gt;0,"Jazz",
IF(COUNTIF('Queen Discography'!$J$4:$J$22,C8)&gt;0,"The Game",
IF(COUNTIF('Queen Discography'!$K$4:$K$22,C8)&gt;0,"Flash Gordon",
IF(COUNTIF('Queen Discography'!$L$4:$L$22,C8)&gt;0,"Hot Space",
IF(COUNTIF('Queen Discography'!$M$4:$M$22,C8)&gt;0,"The Works",
IF(COUNTIF('Queen Discography'!$N$4:$N$22,C8)&gt;0,"A Kind Of Magic",
IF(COUNTIF('Queen Discography'!$O$4:$O$22,C8)&gt;0,"The Miracle",
IF(COUNTIF('Queen Discography'!$P$4:$P$22,C8)&gt;0,"Innuendo",
IF(COUNTIF('Queen Discography'!$Q$4:$Q$22,C8)&gt;0,"Made In Heaven","NOT FOUND")))))))))))))))</f>
        <v>The Miracle</v>
      </c>
      <c r="I8" s="1"/>
      <c r="J8" s="98">
        <v>4.0</v>
      </c>
      <c r="K8" s="99">
        <f t="shared" si="9"/>
        <v>1973</v>
      </c>
      <c r="L8" s="99">
        <f t="shared" si="3"/>
        <v>1995</v>
      </c>
      <c r="M8" s="99">
        <f t="shared" si="4"/>
        <v>1984</v>
      </c>
      <c r="N8" s="100">
        <f>IFERROR(__xludf.DUMMYFUNCTION("IFERROR(MEDIAN(FILTER($G$4:$G$66,$D$4:$D$66=$J8,ISNUMBER($G$4:$G$66))),""N/A"")"),1984.0)</f>
        <v>1984</v>
      </c>
      <c r="O8" s="99">
        <f>IFERROR(__xludf.DUMMYFUNCTION("IFERROR(MODE(FILTER($G$4:$G$66,$D$4:$D$66=$J8,ISNUMBER($G$4:$G$66))),""N/A"")"),1991.0)</f>
        <v>1991</v>
      </c>
      <c r="P8" s="99">
        <f t="shared" ref="P8:AE8" si="12">COUNTIFS($H$4:$H$66,P$3,$D$4:$D$66,$J8)</f>
        <v>2</v>
      </c>
      <c r="Q8" s="99">
        <f t="shared" si="12"/>
        <v>2</v>
      </c>
      <c r="R8" s="99">
        <f t="shared" si="12"/>
        <v>2</v>
      </c>
      <c r="S8" s="99">
        <f t="shared" si="12"/>
        <v>4</v>
      </c>
      <c r="T8" s="99">
        <f t="shared" si="12"/>
        <v>1</v>
      </c>
      <c r="U8" s="99">
        <f t="shared" si="12"/>
        <v>2</v>
      </c>
      <c r="V8" s="99">
        <f t="shared" si="12"/>
        <v>3</v>
      </c>
      <c r="W8" s="99">
        <f t="shared" si="12"/>
        <v>2</v>
      </c>
      <c r="X8" s="99">
        <f t="shared" si="12"/>
        <v>0</v>
      </c>
      <c r="Y8" s="99">
        <f t="shared" si="12"/>
        <v>1</v>
      </c>
      <c r="Z8" s="99">
        <f t="shared" si="12"/>
        <v>2</v>
      </c>
      <c r="AA8" s="99">
        <f t="shared" si="12"/>
        <v>3</v>
      </c>
      <c r="AB8" s="99">
        <f t="shared" si="12"/>
        <v>3</v>
      </c>
      <c r="AC8" s="99">
        <f t="shared" si="12"/>
        <v>8</v>
      </c>
      <c r="AD8" s="99">
        <f t="shared" si="12"/>
        <v>6</v>
      </c>
      <c r="AE8" s="99">
        <f t="shared" si="12"/>
        <v>1</v>
      </c>
      <c r="AF8" s="104">
        <f t="array" ref="AF8:AU8">IFERROR(P8:AE8*TRANSPOSE('Queen MIDI'!$J$4:$J$19),"N/A")</f>
        <v>1.96875</v>
      </c>
      <c r="AG8" s="104">
        <v>2.625</v>
      </c>
      <c r="AH8" s="104">
        <v>3.9375</v>
      </c>
      <c r="AI8" s="104">
        <v>3.15</v>
      </c>
      <c r="AJ8" s="104">
        <v>1.3125</v>
      </c>
      <c r="AK8" s="104">
        <v>1.96875</v>
      </c>
      <c r="AL8" s="104">
        <v>2.3625</v>
      </c>
      <c r="AM8" s="104">
        <v>1.96875</v>
      </c>
      <c r="AN8" s="104" t="s">
        <v>357</v>
      </c>
      <c r="AO8" s="104">
        <v>3.9375</v>
      </c>
      <c r="AP8" s="104">
        <v>1.96875</v>
      </c>
      <c r="AQ8" s="104">
        <v>2.3625</v>
      </c>
      <c r="AR8" s="104">
        <v>2.3625</v>
      </c>
      <c r="AS8" s="104">
        <v>3.5</v>
      </c>
      <c r="AT8" s="104">
        <v>3.375</v>
      </c>
      <c r="AU8" s="104">
        <v>1.96875</v>
      </c>
      <c r="AV8" s="99" t="str">
        <f>IFERROR(__xludf.DUMMYFUNCTION("JOIN("", "",FILTER($P$3:$AE$3,$P8:$AE8=MAX($P8:$AE8)))"),"Innuendo")</f>
        <v>Innuendo</v>
      </c>
      <c r="AW8" s="99">
        <f t="shared" si="6"/>
        <v>8</v>
      </c>
      <c r="AX8" s="99">
        <f>IFERROR(__xludf.DUMMYFUNCTION("COUNTA(FILTER($P$3:$AE$3,$P8:$AE8=MAX($P8:$AE8)))"),1.0)</f>
        <v>1</v>
      </c>
      <c r="AY8" s="99" t="str">
        <f>IFERROR(__xludf.DUMMYFUNCTION("IFERROR(JOIN("", "",FILTER($AF$3:$AU$3,$AF8:$AU8=MAXIFS($AF8:$AU8,$AF$23:$AU$23,TRUE),$AF$23:$AU$23)),""N/A"")"),"Sheer Heart Attack")</f>
        <v>Sheer Heart Attack</v>
      </c>
      <c r="AZ8" s="103" t="str">
        <f>IFERROR(__xludf.DUMMYFUNCTION("IFERROR(JOIN("", "",FILTER($P8:$AE8,$AF8:$AU8=MAXIFS($AF8:$AU8,$AF$23:$AU$23,TRUE),$AF$23:$AU$23)),""N/A"")"),"2")</f>
        <v>2</v>
      </c>
      <c r="BA8" s="103">
        <f>MAXIFS(AF8:AU8,$AF$23:$AU$23,TRUE)/'Queen MIDI'!$J$20</f>
        <v>1</v>
      </c>
      <c r="BB8" s="98">
        <f>IFERROR(__xludf.DUMMYFUNCTION("COUNTA(IFERROR(FILTER($AF$3:$AU$3,$AF8:$AU8=MAXIFS($AF8:$AU8,$AF$23:$AU$23,TRUE),$AF$23:$AU$23),))"),1.0)</f>
        <v>1</v>
      </c>
      <c r="BC8" s="105">
        <f t="shared" si="7"/>
        <v>0.6666666667</v>
      </c>
      <c r="BD8" s="99">
        <f t="shared" si="8"/>
        <v>42</v>
      </c>
      <c r="BE8" s="1"/>
    </row>
    <row r="9">
      <c r="A9" s="1"/>
      <c r="C9" s="66" t="str">
        <f t="array" ref="C9">INDEX('Queen MIDI'!$C$4:$C$66,MATCH(F9,'Queen MIDI'!$D$4:$D$66,0))</f>
        <v>The Invisible Man</v>
      </c>
      <c r="D9" s="140">
        <v>0.0</v>
      </c>
      <c r="E9" s="141" t="s">
        <v>398</v>
      </c>
      <c r="F9" s="66" t="str">
        <f t="shared" si="2"/>
        <v>The Invisible Man.mid</v>
      </c>
      <c r="G9" s="127">
        <f>HLOOKUP(H9,'Queen Discography'!$C$2:$Q$3,2,FALSE)</f>
        <v>1989</v>
      </c>
      <c r="H9" s="66" t="str">
        <f>IF(COUNTIF('Queen Discography'!$C$4:$C$22,C9)&gt;0,"Queen",
IF(COUNTIF('Queen Discography'!$D$4:$D$22,C9)&gt;0,"Queen II",
IF(COUNTIF('Queen Discography'!$E$4:$E$22,C9)&gt;0,"Sheer Heart Attack",
IF(COUNTIF('Queen Discography'!$F$4:$F$22,C9)&gt;0,"A Night At The Opera",
IF(COUNTIF('Queen Discography'!$G$4:$G$22,C9)&gt;0,"A Day At The Races",
IF(COUNTIF('Queen Discography'!$H$4:$H$22,C9)&gt;0,"News Of The World",
IF(COUNTIF('Queen Discography'!$I$4:$I$22,C9)&gt;0,"Jazz",
IF(COUNTIF('Queen Discography'!$J$4:$J$22,C9)&gt;0,"The Game",
IF(COUNTIF('Queen Discography'!$K$4:$K$22,C9)&gt;0,"Flash Gordon",
IF(COUNTIF('Queen Discography'!$L$4:$L$22,C9)&gt;0,"Hot Space",
IF(COUNTIF('Queen Discography'!$M$4:$M$22,C9)&gt;0,"The Works",
IF(COUNTIF('Queen Discography'!$N$4:$N$22,C9)&gt;0,"A Kind Of Magic",
IF(COUNTIF('Queen Discography'!$O$4:$O$22,C9)&gt;0,"The Miracle",
IF(COUNTIF('Queen Discography'!$P$4:$P$22,C9)&gt;0,"Innuendo",
IF(COUNTIF('Queen Discography'!$Q$4:$Q$22,C9)&gt;0,"Made In Heaven","NOT FOUND")))))))))))))))</f>
        <v>The Miracle</v>
      </c>
      <c r="I9" s="1"/>
      <c r="J9" s="98">
        <v>5.0</v>
      </c>
      <c r="K9" s="99">
        <f t="shared" si="9"/>
        <v>1973</v>
      </c>
      <c r="L9" s="99">
        <f t="shared" si="3"/>
        <v>1995</v>
      </c>
      <c r="M9" s="99">
        <f t="shared" si="4"/>
        <v>1981</v>
      </c>
      <c r="N9" s="100">
        <f>IFERROR(__xludf.DUMMYFUNCTION("IFERROR(MEDIAN(FILTER($G$4:$G$66,$D$4:$D$66=$J9,ISNUMBER($G$4:$G$66))),""N/A"")"),1980.0)</f>
        <v>1980</v>
      </c>
      <c r="O9" s="99">
        <f>IFERROR(__xludf.DUMMYFUNCTION("IFERROR(MODE(FILTER($G$4:$G$66,$D$4:$D$66=$J9,ISNUMBER($G$4:$G$66))),""N/A"")"),1976.0)</f>
        <v>1976</v>
      </c>
      <c r="P9" s="99">
        <f t="shared" ref="P9:AE9" si="13">COUNTIFS($H$4:$H$66,P$3,$D$4:$D$66,$J9)</f>
        <v>1</v>
      </c>
      <c r="Q9" s="99">
        <f t="shared" si="13"/>
        <v>0</v>
      </c>
      <c r="R9" s="99">
        <f t="shared" si="13"/>
        <v>0</v>
      </c>
      <c r="S9" s="99">
        <f t="shared" si="13"/>
        <v>1</v>
      </c>
      <c r="T9" s="99">
        <f t="shared" si="13"/>
        <v>2</v>
      </c>
      <c r="U9" s="99">
        <f t="shared" si="13"/>
        <v>0</v>
      </c>
      <c r="V9" s="99">
        <f t="shared" si="13"/>
        <v>1</v>
      </c>
      <c r="W9" s="99">
        <f t="shared" si="13"/>
        <v>1</v>
      </c>
      <c r="X9" s="99">
        <f t="shared" si="13"/>
        <v>0</v>
      </c>
      <c r="Y9" s="99">
        <f t="shared" si="13"/>
        <v>0</v>
      </c>
      <c r="Z9" s="99">
        <f t="shared" si="13"/>
        <v>2</v>
      </c>
      <c r="AA9" s="99">
        <f t="shared" si="13"/>
        <v>2</v>
      </c>
      <c r="AB9" s="99">
        <f t="shared" si="13"/>
        <v>0</v>
      </c>
      <c r="AC9" s="99">
        <f t="shared" si="13"/>
        <v>0</v>
      </c>
      <c r="AD9" s="99">
        <f t="shared" si="13"/>
        <v>1</v>
      </c>
      <c r="AE9" s="99">
        <f t="shared" si="13"/>
        <v>0</v>
      </c>
      <c r="AF9" s="104">
        <f t="array" ref="AF9:AU9">IFERROR(P9:AE9*TRANSPOSE('Queen MIDI'!$J$4:$J$19),"N/A")</f>
        <v>0.984375</v>
      </c>
      <c r="AG9" s="104">
        <v>0.0</v>
      </c>
      <c r="AH9" s="104">
        <v>0.0</v>
      </c>
      <c r="AI9" s="104">
        <v>0.7875</v>
      </c>
      <c r="AJ9" s="104">
        <v>2.625</v>
      </c>
      <c r="AK9" s="104">
        <v>0.0</v>
      </c>
      <c r="AL9" s="104">
        <v>0.7875</v>
      </c>
      <c r="AM9" s="104">
        <v>0.984375</v>
      </c>
      <c r="AN9" s="104" t="s">
        <v>357</v>
      </c>
      <c r="AO9" s="104">
        <v>0.0</v>
      </c>
      <c r="AP9" s="104">
        <v>1.96875</v>
      </c>
      <c r="AQ9" s="104">
        <v>1.575</v>
      </c>
      <c r="AR9" s="104">
        <v>0.0</v>
      </c>
      <c r="AS9" s="104">
        <v>0.0</v>
      </c>
      <c r="AT9" s="104">
        <v>0.5625</v>
      </c>
      <c r="AU9" s="104">
        <v>0.0</v>
      </c>
      <c r="AV9" s="99" t="str">
        <f>IFERROR(__xludf.DUMMYFUNCTION("JOIN("", "",FILTER($P$3:$AE$3,$P9:$AE9=MAX($P9:$AE9)))"),"A Day At The Races, The Works, A Kind Of Magic")</f>
        <v>A Day At The Races, The Works, A Kind Of Magic</v>
      </c>
      <c r="AW9" s="99">
        <f t="shared" si="6"/>
        <v>2</v>
      </c>
      <c r="AX9" s="99">
        <f>IFERROR(__xludf.DUMMYFUNCTION("COUNTA(FILTER($P$3:$AE$3,$P9:$AE9=MAX($P9:$AE9)))"),3.0)</f>
        <v>3</v>
      </c>
      <c r="AY9" s="99" t="str">
        <f>IFERROR(__xludf.DUMMYFUNCTION("IFERROR(JOIN("", "",FILTER($AF$3:$AU$3,$AF9:$AU9=MAXIFS($AF9:$AU9,$AF$23:$AU$23,TRUE),$AF$23:$AU$23)),""N/A"")"),"A Day At The Races")</f>
        <v>A Day At The Races</v>
      </c>
      <c r="AZ9" s="103" t="str">
        <f>IFERROR(__xludf.DUMMYFUNCTION("IFERROR(JOIN("", "",FILTER($P9:$AE9,$AF9:$AU9=MAXIFS($AF9:$AU9,$AF$23:$AU$23,TRUE),$AF$23:$AU$23)),""N/A"")"),"2")</f>
        <v>2</v>
      </c>
      <c r="BA9" s="103">
        <f>MAXIFS(AF9:AU9,$AF$23:$AU$23,TRUE)/'Queen MIDI'!$J$20</f>
        <v>0.6666666667</v>
      </c>
      <c r="BB9" s="98">
        <f>IFERROR(__xludf.DUMMYFUNCTION("COUNTA(IFERROR(FILTER($AF$3:$AU$3,$AF9:$AU9=MAXIFS($AF9:$AU9,$AF$23:$AU$23,TRUE),$AF$23:$AU$23),))"),1.0)</f>
        <v>1</v>
      </c>
      <c r="BC9" s="105">
        <f t="shared" si="7"/>
        <v>0.1746031746</v>
      </c>
      <c r="BD9" s="99">
        <f t="shared" si="8"/>
        <v>11</v>
      </c>
      <c r="BE9" s="1"/>
    </row>
    <row r="10">
      <c r="A10" s="1"/>
      <c r="C10" s="66" t="str">
        <f t="array" ref="C10">INDEX('Queen MIDI'!$C$4:$C$66,MATCH(F10,'Queen MIDI'!$D$4:$D$66,0))</f>
        <v>Headlong</v>
      </c>
      <c r="D10" s="142">
        <v>0.0</v>
      </c>
      <c r="E10" s="143" t="s">
        <v>403</v>
      </c>
      <c r="F10" s="66" t="str">
        <f t="shared" si="2"/>
        <v>Headlong.mid</v>
      </c>
      <c r="G10" s="121">
        <f>HLOOKUP(H10,'Queen Discography'!$C$2:$Q$3,2,FALSE)</f>
        <v>1991</v>
      </c>
      <c r="H10" s="66" t="str">
        <f>IF(COUNTIF('Queen Discography'!$C$4:$C$22,C10)&gt;0,"Queen",
IF(COUNTIF('Queen Discography'!$D$4:$D$22,C10)&gt;0,"Queen II",
IF(COUNTIF('Queen Discography'!$E$4:$E$22,C10)&gt;0,"Sheer Heart Attack",
IF(COUNTIF('Queen Discography'!$F$4:$F$22,C10)&gt;0,"A Night At The Opera",
IF(COUNTIF('Queen Discography'!$G$4:$G$22,C10)&gt;0,"A Day At The Races",
IF(COUNTIF('Queen Discography'!$H$4:$H$22,C10)&gt;0,"News Of The World",
IF(COUNTIF('Queen Discography'!$I$4:$I$22,C10)&gt;0,"Jazz",
IF(COUNTIF('Queen Discography'!$J$4:$J$22,C10)&gt;0,"The Game",
IF(COUNTIF('Queen Discography'!$K$4:$K$22,C10)&gt;0,"Flash Gordon",
IF(COUNTIF('Queen Discography'!$L$4:$L$22,C10)&gt;0,"Hot Space",
IF(COUNTIF('Queen Discography'!$M$4:$M$22,C10)&gt;0,"The Works",
IF(COUNTIF('Queen Discography'!$N$4:$N$22,C10)&gt;0,"A Kind Of Magic",
IF(COUNTIF('Queen Discography'!$O$4:$O$22,C10)&gt;0,"The Miracle",
IF(COUNTIF('Queen Discography'!$P$4:$P$22,C10)&gt;0,"Innuendo",
IF(COUNTIF('Queen Discography'!$Q$4:$Q$22,C10)&gt;0,"Made In Heaven","NOT FOUND")))))))))))))))</f>
        <v>Innuendo</v>
      </c>
      <c r="I10" s="1"/>
      <c r="J10" s="98">
        <v>6.0</v>
      </c>
      <c r="K10" s="99" t="str">
        <f t="shared" si="9"/>
        <v>N/A</v>
      </c>
      <c r="L10" s="99" t="str">
        <f t="shared" si="3"/>
        <v>N/A</v>
      </c>
      <c r="M10" s="99" t="str">
        <f t="shared" si="4"/>
        <v>N/A</v>
      </c>
      <c r="N10" s="100" t="str">
        <f>IFERROR(__xludf.DUMMYFUNCTION("IFERROR(MEDIAN(FILTER($G$4:$G$66,$D$4:$D$66=$J10,ISNUMBER($G$4:$G$66))),""N/A"")"),"N/A")</f>
        <v>N/A</v>
      </c>
      <c r="O10" s="99" t="str">
        <f>IFERROR(__xludf.DUMMYFUNCTION("IFERROR(MODE(FILTER($G$4:$G$66,$D$4:$D$66=$J10,ISNUMBER($G$4:$G$66))),""N/A"")"),"N/A")</f>
        <v>N/A</v>
      </c>
      <c r="P10" s="99">
        <f t="shared" ref="P10:AE10" si="14">COUNTIFS($H$4:$H$66,P$3,$D$4:$D$66,$J10)</f>
        <v>0</v>
      </c>
      <c r="Q10" s="99">
        <f t="shared" si="14"/>
        <v>0</v>
      </c>
      <c r="R10" s="99">
        <f t="shared" si="14"/>
        <v>0</v>
      </c>
      <c r="S10" s="99">
        <f t="shared" si="14"/>
        <v>0</v>
      </c>
      <c r="T10" s="99">
        <f t="shared" si="14"/>
        <v>0</v>
      </c>
      <c r="U10" s="99">
        <f t="shared" si="14"/>
        <v>0</v>
      </c>
      <c r="V10" s="99">
        <f t="shared" si="14"/>
        <v>0</v>
      </c>
      <c r="W10" s="99">
        <f t="shared" si="14"/>
        <v>0</v>
      </c>
      <c r="X10" s="99">
        <f t="shared" si="14"/>
        <v>0</v>
      </c>
      <c r="Y10" s="99">
        <f t="shared" si="14"/>
        <v>0</v>
      </c>
      <c r="Z10" s="99">
        <f t="shared" si="14"/>
        <v>0</v>
      </c>
      <c r="AA10" s="99">
        <f t="shared" si="14"/>
        <v>0</v>
      </c>
      <c r="AB10" s="99">
        <f t="shared" si="14"/>
        <v>0</v>
      </c>
      <c r="AC10" s="99">
        <f t="shared" si="14"/>
        <v>0</v>
      </c>
      <c r="AD10" s="99">
        <f t="shared" si="14"/>
        <v>0</v>
      </c>
      <c r="AE10" s="99">
        <f t="shared" si="14"/>
        <v>0</v>
      </c>
      <c r="AF10" s="104">
        <f t="array" ref="AF10:AU10">IFERROR(P10:AE10*TRANSPOSE('Queen MIDI'!$J$4:$J$19),"N/A")</f>
        <v>0</v>
      </c>
      <c r="AG10" s="104">
        <v>0.0</v>
      </c>
      <c r="AH10" s="104">
        <v>0.0</v>
      </c>
      <c r="AI10" s="104">
        <v>0.0</v>
      </c>
      <c r="AJ10" s="104">
        <v>0.0</v>
      </c>
      <c r="AK10" s="104">
        <v>0.0</v>
      </c>
      <c r="AL10" s="104">
        <v>0.0</v>
      </c>
      <c r="AM10" s="104">
        <v>0.0</v>
      </c>
      <c r="AN10" s="104" t="s">
        <v>357</v>
      </c>
      <c r="AO10" s="104">
        <v>0.0</v>
      </c>
      <c r="AP10" s="104">
        <v>0.0</v>
      </c>
      <c r="AQ10" s="104">
        <v>0.0</v>
      </c>
      <c r="AR10" s="104">
        <v>0.0</v>
      </c>
      <c r="AS10" s="104">
        <v>0.0</v>
      </c>
      <c r="AT10" s="104">
        <v>0.0</v>
      </c>
      <c r="AU10" s="104">
        <v>0.0</v>
      </c>
      <c r="AV10" s="99" t="str">
        <f>IFERROR(__xludf.DUMMYFUNCTION("JOIN("", "",FILTER($P$3:$AE$3,$P10:$AE10=MAX($P10:$AE10)))"),"Queen,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0" s="99">
        <f t="shared" si="6"/>
        <v>0</v>
      </c>
      <c r="AX10" s="99">
        <f>IFERROR(__xludf.DUMMYFUNCTION("COUNTA(FILTER($P$3:$AE$3,$P10:$AE10=MAX($P10:$AE10)))"),16.0)</f>
        <v>16</v>
      </c>
      <c r="AY10" s="99" t="str">
        <f>IFERROR(__xludf.DUMMYFUNCTION("IFERROR(JOIN("", "",FILTER($AF$3:$AU$3,$AF10:$AU10=MAXIFS($AF10:$AU10,$AF$23:$AU$23,TRUE),$AF$23:$AU$23)),""N/A"")"),"Queen,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0" s="103" t="str">
        <f>IFERROR(__xludf.DUMMYFUNCTION("IFERROR(JOIN("", "",FILTER($P10:$AE10,$AF10:$AU10=MAXIFS($AF10:$AU10,$AF$23:$AU$23,TRUE),$AF$23:$AU$23)),""N/A"")"),"0, 0, 0, 0, 0, 0, 0, 0, 0, 0, 0, 0, 0, 0")</f>
        <v>0, 0, 0, 0, 0, 0, 0, 0, 0, 0, 0, 0, 0, 0</v>
      </c>
      <c r="BA10" s="103">
        <f>MAXIFS(AF10:AU10,$AF$23:$AU$23,TRUE)/'Queen MIDI'!$J$20</f>
        <v>0</v>
      </c>
      <c r="BB10" s="98">
        <f>IFERROR(__xludf.DUMMYFUNCTION("COUNTA(IFERROR(FILTER($AF$3:$AU$3,$AF10:$AU10=MAXIFS($AF10:$AU10,$AF$23:$AU$23,TRUE),$AF$23:$AU$23),))"),14.0)</f>
        <v>14</v>
      </c>
      <c r="BC10" s="105">
        <f t="shared" si="7"/>
        <v>0</v>
      </c>
      <c r="BD10" s="99">
        <f t="shared" si="8"/>
        <v>0</v>
      </c>
      <c r="BE10" s="1"/>
    </row>
    <row r="11">
      <c r="A11" s="1"/>
      <c r="C11" s="66" t="str">
        <f t="array" ref="C11">INDEX('Queen MIDI'!$C$4:$C$66,MATCH(F11,'Queen MIDI'!$D$4:$D$66,0))</f>
        <v>The Great Pretender</v>
      </c>
      <c r="D11" s="144">
        <v>1.0</v>
      </c>
      <c r="E11" s="145" t="s">
        <v>418</v>
      </c>
      <c r="F11" s="66" t="str">
        <f t="shared" si="2"/>
        <v>The Great Pretender.mid</v>
      </c>
      <c r="G11" s="127" t="str">
        <f>HLOOKUP(H11,'Queen Discography'!$C$2:$Q$3,2,FALSE)</f>
        <v>#N/A</v>
      </c>
      <c r="H11" s="66" t="str">
        <f>IF(COUNTIF('Queen Discography'!$C$4:$C$22,C11)&gt;0,"Queen",
IF(COUNTIF('Queen Discography'!$D$4:$D$22,C11)&gt;0,"Queen II",
IF(COUNTIF('Queen Discography'!$E$4:$E$22,C11)&gt;0,"Sheer Heart Attack",
IF(COUNTIF('Queen Discography'!$F$4:$F$22,C11)&gt;0,"A Night At The Opera",
IF(COUNTIF('Queen Discography'!$G$4:$G$22,C11)&gt;0,"A Day At The Races",
IF(COUNTIF('Queen Discography'!$H$4:$H$22,C11)&gt;0,"News Of The World",
IF(COUNTIF('Queen Discography'!$I$4:$I$22,C11)&gt;0,"Jazz",
IF(COUNTIF('Queen Discography'!$J$4:$J$22,C11)&gt;0,"The Game",
IF(COUNTIF('Queen Discography'!$K$4:$K$22,C11)&gt;0,"Flash Gordon",
IF(COUNTIF('Queen Discography'!$L$4:$L$22,C11)&gt;0,"Hot Space",
IF(COUNTIF('Queen Discography'!$M$4:$M$22,C11)&gt;0,"The Works",
IF(COUNTIF('Queen Discography'!$N$4:$N$22,C11)&gt;0,"A Kind Of Magic",
IF(COUNTIF('Queen Discography'!$O$4:$O$22,C11)&gt;0,"The Miracle",
IF(COUNTIF('Queen Discography'!$P$4:$P$22,C11)&gt;0,"Innuendo",
IF(COUNTIF('Queen Discography'!$Q$4:$Q$22,C11)&gt;0,"Made In Heaven","NOT FOUND")))))))))))))))</f>
        <v>NOT FOUND</v>
      </c>
      <c r="I11" s="1"/>
      <c r="J11" s="98">
        <v>7.0</v>
      </c>
      <c r="K11" s="99" t="str">
        <f t="shared" si="9"/>
        <v>N/A</v>
      </c>
      <c r="L11" s="99" t="str">
        <f t="shared" si="3"/>
        <v>N/A</v>
      </c>
      <c r="M11" s="99" t="str">
        <f t="shared" si="4"/>
        <v>N/A</v>
      </c>
      <c r="N11" s="100" t="str">
        <f>IFERROR(__xludf.DUMMYFUNCTION("IFERROR(MEDIAN(FILTER($G$4:$G$66,$D$4:$D$66=$J11,ISNUMBER($G$4:$G$66))),""N/A"")"),"N/A")</f>
        <v>N/A</v>
      </c>
      <c r="O11" s="99" t="str">
        <f>IFERROR(__xludf.DUMMYFUNCTION("IFERROR(MODE(FILTER($G$4:$G$66,$D$4:$D$66=$J11,ISNUMBER($G$4:$G$66))),""N/A"")"),"N/A")</f>
        <v>N/A</v>
      </c>
      <c r="P11" s="99">
        <f t="shared" ref="P11:AE11" si="15">COUNTIFS($H$4:$H$66,P$3,$D$4:$D$66,$J11)</f>
        <v>0</v>
      </c>
      <c r="Q11" s="99">
        <f t="shared" si="15"/>
        <v>0</v>
      </c>
      <c r="R11" s="99">
        <f t="shared" si="15"/>
        <v>0</v>
      </c>
      <c r="S11" s="99">
        <f t="shared" si="15"/>
        <v>0</v>
      </c>
      <c r="T11" s="99">
        <f t="shared" si="15"/>
        <v>0</v>
      </c>
      <c r="U11" s="99">
        <f t="shared" si="15"/>
        <v>0</v>
      </c>
      <c r="V11" s="99">
        <f t="shared" si="15"/>
        <v>0</v>
      </c>
      <c r="W11" s="99">
        <f t="shared" si="15"/>
        <v>0</v>
      </c>
      <c r="X11" s="99">
        <f t="shared" si="15"/>
        <v>0</v>
      </c>
      <c r="Y11" s="99">
        <f t="shared" si="15"/>
        <v>0</v>
      </c>
      <c r="Z11" s="99">
        <f t="shared" si="15"/>
        <v>0</v>
      </c>
      <c r="AA11" s="99">
        <f t="shared" si="15"/>
        <v>0</v>
      </c>
      <c r="AB11" s="99">
        <f t="shared" si="15"/>
        <v>0</v>
      </c>
      <c r="AC11" s="99">
        <f t="shared" si="15"/>
        <v>0</v>
      </c>
      <c r="AD11" s="99">
        <f t="shared" si="15"/>
        <v>0</v>
      </c>
      <c r="AE11" s="99">
        <f t="shared" si="15"/>
        <v>0</v>
      </c>
      <c r="AF11" s="104">
        <f t="array" ref="AF11:AU11">IFERROR(P11:AE11*TRANSPOSE('Queen MIDI'!$J$4:$J$19),"N/A")</f>
        <v>0</v>
      </c>
      <c r="AG11" s="104">
        <v>0.0</v>
      </c>
      <c r="AH11" s="104">
        <v>0.0</v>
      </c>
      <c r="AI11" s="104">
        <v>0.0</v>
      </c>
      <c r="AJ11" s="104">
        <v>0.0</v>
      </c>
      <c r="AK11" s="104">
        <v>0.0</v>
      </c>
      <c r="AL11" s="104">
        <v>0.0</v>
      </c>
      <c r="AM11" s="104">
        <v>0.0</v>
      </c>
      <c r="AN11" s="104" t="s">
        <v>357</v>
      </c>
      <c r="AO11" s="104">
        <v>0.0</v>
      </c>
      <c r="AP11" s="104">
        <v>0.0</v>
      </c>
      <c r="AQ11" s="104">
        <v>0.0</v>
      </c>
      <c r="AR11" s="104">
        <v>0.0</v>
      </c>
      <c r="AS11" s="104">
        <v>0.0</v>
      </c>
      <c r="AT11" s="104">
        <v>0.0</v>
      </c>
      <c r="AU11" s="104">
        <v>0.0</v>
      </c>
      <c r="AV11" s="99" t="str">
        <f>IFERROR(__xludf.DUMMYFUNCTION("JOIN("", "",FILTER($P$3:$AE$3,$P11:$AE11=MAX($P11:$AE11)))"),"Queen,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1" s="99">
        <f t="shared" si="6"/>
        <v>0</v>
      </c>
      <c r="AX11" s="99">
        <f>IFERROR(__xludf.DUMMYFUNCTION("COUNTA(FILTER($P$3:$AE$3,$P11:$AE11=MAX($P11:$AE11)))"),16.0)</f>
        <v>16</v>
      </c>
      <c r="AY11" s="99" t="str">
        <f>IFERROR(__xludf.DUMMYFUNCTION("IFERROR(JOIN("", "",FILTER($AF$3:$AU$3,$AF11:$AU11=MAXIFS($AF11:$AU11,$AF$23:$AU$23,TRUE),$AF$23:$AU$23)),""N/A"")"),"Queen,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1" s="103" t="str">
        <f>IFERROR(__xludf.DUMMYFUNCTION("IFERROR(JOIN("", "",FILTER($P11:$AE11,$AF11:$AU11=MAXIFS($AF11:$AU11,$AF$23:$AU$23,TRUE),$AF$23:$AU$23)),""N/A"")"),"0, 0, 0, 0, 0, 0, 0, 0, 0, 0, 0, 0, 0, 0")</f>
        <v>0, 0, 0, 0, 0, 0, 0, 0, 0, 0, 0, 0, 0, 0</v>
      </c>
      <c r="BA11" s="103">
        <f>MAXIFS(AF11:AU11,$AF$23:$AU$23,TRUE)/'Queen MIDI'!$J$20</f>
        <v>0</v>
      </c>
      <c r="BB11" s="98">
        <f>IFERROR(__xludf.DUMMYFUNCTION("COUNTA(IFERROR(FILTER($AF$3:$AU$3,$AF11:$AU11=MAXIFS($AF11:$AU11,$AF$23:$AU$23,TRUE),$AF$23:$AU$23),))"),14.0)</f>
        <v>14</v>
      </c>
      <c r="BC11" s="105">
        <f t="shared" si="7"/>
        <v>0</v>
      </c>
      <c r="BD11" s="99">
        <f t="shared" si="8"/>
        <v>0</v>
      </c>
      <c r="BE11" s="1"/>
    </row>
    <row r="12">
      <c r="A12" s="1"/>
      <c r="C12" s="66" t="str">
        <f t="array" ref="C12">INDEX('Queen MIDI'!$C$4:$C$66,MATCH(F12,'Queen MIDI'!$D$4:$D$66,0))</f>
        <v>Procession</v>
      </c>
      <c r="D12" s="146">
        <v>2.0</v>
      </c>
      <c r="E12" s="147" t="s">
        <v>417</v>
      </c>
      <c r="F12" s="66" t="str">
        <f t="shared" si="2"/>
        <v>Procession.mid</v>
      </c>
      <c r="G12" s="131">
        <f>HLOOKUP(H12,'Queen Discography'!$C$2:$Q$3,2,FALSE)</f>
        <v>1974</v>
      </c>
      <c r="H12" s="66" t="str">
        <f>IF(COUNTIF('Queen Discography'!$C$4:$C$22,C12)&gt;0,"Queen",
IF(COUNTIF('Queen Discography'!$D$4:$D$22,C12)&gt;0,"Queen II",
IF(COUNTIF('Queen Discography'!$E$4:$E$22,C12)&gt;0,"Sheer Heart Attack",
IF(COUNTIF('Queen Discography'!$F$4:$F$22,C12)&gt;0,"A Night At The Opera",
IF(COUNTIF('Queen Discography'!$G$4:$G$22,C12)&gt;0,"A Day At The Races",
IF(COUNTIF('Queen Discography'!$H$4:$H$22,C12)&gt;0,"News Of The World",
IF(COUNTIF('Queen Discography'!$I$4:$I$22,C12)&gt;0,"Jazz",
IF(COUNTIF('Queen Discography'!$J$4:$J$22,C12)&gt;0,"The Game",
IF(COUNTIF('Queen Discography'!$K$4:$K$22,C12)&gt;0,"Flash Gordon",
IF(COUNTIF('Queen Discography'!$L$4:$L$22,C12)&gt;0,"Hot Space",
IF(COUNTIF('Queen Discography'!$M$4:$M$22,C12)&gt;0,"The Works",
IF(COUNTIF('Queen Discography'!$N$4:$N$22,C12)&gt;0,"A Kind Of Magic",
IF(COUNTIF('Queen Discography'!$O$4:$O$22,C12)&gt;0,"The Miracle",
IF(COUNTIF('Queen Discography'!$P$4:$P$22,C12)&gt;0,"Innuendo",
IF(COUNTIF('Queen Discography'!$Q$4:$Q$22,C12)&gt;0,"Made In Heaven","NOT FOUND")))))))))))))))</f>
        <v>Queen II</v>
      </c>
      <c r="I12" s="1"/>
      <c r="J12" s="98">
        <v>8.0</v>
      </c>
      <c r="K12" s="99" t="str">
        <f t="shared" si="9"/>
        <v>N/A</v>
      </c>
      <c r="L12" s="99" t="str">
        <f t="shared" si="3"/>
        <v>N/A</v>
      </c>
      <c r="M12" s="99" t="str">
        <f t="shared" si="4"/>
        <v>N/A</v>
      </c>
      <c r="N12" s="100" t="str">
        <f>IFERROR(__xludf.DUMMYFUNCTION("IFERROR(MEDIAN(FILTER($G$4:$G$66,$D$4:$D$66=$J12,ISNUMBER($G$4:$G$66))),""N/A"")"),"N/A")</f>
        <v>N/A</v>
      </c>
      <c r="O12" s="99" t="str">
        <f>IFERROR(__xludf.DUMMYFUNCTION("IFERROR(MODE(FILTER($G$4:$G$66,$D$4:$D$66=$J12,ISNUMBER($G$4:$G$66))),""N/A"")"),"N/A")</f>
        <v>N/A</v>
      </c>
      <c r="P12" s="99">
        <f t="shared" ref="P12:AE12" si="16">COUNTIFS($H$4:$H$66,P$3,$D$4:$D$66,$J12)</f>
        <v>0</v>
      </c>
      <c r="Q12" s="99">
        <f t="shared" si="16"/>
        <v>0</v>
      </c>
      <c r="R12" s="99">
        <f t="shared" si="16"/>
        <v>0</v>
      </c>
      <c r="S12" s="99">
        <f t="shared" si="16"/>
        <v>0</v>
      </c>
      <c r="T12" s="99">
        <f t="shared" si="16"/>
        <v>0</v>
      </c>
      <c r="U12" s="99">
        <f t="shared" si="16"/>
        <v>0</v>
      </c>
      <c r="V12" s="99">
        <f t="shared" si="16"/>
        <v>0</v>
      </c>
      <c r="W12" s="99">
        <f t="shared" si="16"/>
        <v>0</v>
      </c>
      <c r="X12" s="99">
        <f t="shared" si="16"/>
        <v>0</v>
      </c>
      <c r="Y12" s="99">
        <f t="shared" si="16"/>
        <v>0</v>
      </c>
      <c r="Z12" s="99">
        <f t="shared" si="16"/>
        <v>0</v>
      </c>
      <c r="AA12" s="99">
        <f t="shared" si="16"/>
        <v>0</v>
      </c>
      <c r="AB12" s="99">
        <f t="shared" si="16"/>
        <v>0</v>
      </c>
      <c r="AC12" s="99">
        <f t="shared" si="16"/>
        <v>0</v>
      </c>
      <c r="AD12" s="99">
        <f t="shared" si="16"/>
        <v>0</v>
      </c>
      <c r="AE12" s="99">
        <f t="shared" si="16"/>
        <v>0</v>
      </c>
      <c r="AF12" s="104">
        <f t="array" ref="AF12:AU12">IFERROR(P12:AE12*TRANSPOSE('Queen MIDI'!$J$4:$J$19),"N/A")</f>
        <v>0</v>
      </c>
      <c r="AG12" s="104">
        <v>0.0</v>
      </c>
      <c r="AH12" s="104">
        <v>0.0</v>
      </c>
      <c r="AI12" s="104">
        <v>0.0</v>
      </c>
      <c r="AJ12" s="104">
        <v>0.0</v>
      </c>
      <c r="AK12" s="104">
        <v>0.0</v>
      </c>
      <c r="AL12" s="104">
        <v>0.0</v>
      </c>
      <c r="AM12" s="104">
        <v>0.0</v>
      </c>
      <c r="AN12" s="104" t="s">
        <v>357</v>
      </c>
      <c r="AO12" s="104">
        <v>0.0</v>
      </c>
      <c r="AP12" s="104">
        <v>0.0</v>
      </c>
      <c r="AQ12" s="104">
        <v>0.0</v>
      </c>
      <c r="AR12" s="104">
        <v>0.0</v>
      </c>
      <c r="AS12" s="104">
        <v>0.0</v>
      </c>
      <c r="AT12" s="104">
        <v>0.0</v>
      </c>
      <c r="AU12" s="104">
        <v>0.0</v>
      </c>
      <c r="AV12" s="99" t="str">
        <f>IFERROR(__xludf.DUMMYFUNCTION("JOIN("", "",FILTER($P$3:$AE$3,$P12:$AE12=MAX($P12:$AE12)))"),"Queen,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2" s="99">
        <f t="shared" si="6"/>
        <v>0</v>
      </c>
      <c r="AX12" s="99">
        <f>IFERROR(__xludf.DUMMYFUNCTION("COUNTA(FILTER($P$3:$AE$3,$P12:$AE12=MAX($P12:$AE12)))"),16.0)</f>
        <v>16</v>
      </c>
      <c r="AY12" s="99" t="str">
        <f>IFERROR(__xludf.DUMMYFUNCTION("IFERROR(JOIN("", "",FILTER($AF$3:$AU$3,$AF12:$AU12=MAXIFS($AF12:$AU12,$AF$23:$AU$23,TRUE),$AF$23:$AU$23)),""N/A"")"),"Queen,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2" s="103" t="str">
        <f>IFERROR(__xludf.DUMMYFUNCTION("IFERROR(JOIN("", "",FILTER($P12:$AE12,$AF12:$AU12=MAXIFS($AF12:$AU12,$AF$23:$AU$23,TRUE),$AF$23:$AU$23)),""N/A"")"),"0, 0, 0, 0, 0, 0, 0, 0, 0, 0, 0, 0, 0, 0")</f>
        <v>0, 0, 0, 0, 0, 0, 0, 0, 0, 0, 0, 0, 0, 0</v>
      </c>
      <c r="BA12" s="103">
        <f>MAXIFS(AF12:AU12,$AF$23:$AU$23,TRUE)/'Queen MIDI'!$J$20</f>
        <v>0</v>
      </c>
      <c r="BB12" s="98">
        <f>IFERROR(__xludf.DUMMYFUNCTION("COUNTA(IFERROR(FILTER($AF$3:$AU$3,$AF12:$AU12=MAXIFS($AF12:$AU12,$AF$23:$AU$23,TRUE),$AF$23:$AU$23),))"),14.0)</f>
        <v>14</v>
      </c>
      <c r="BC12" s="105">
        <f t="shared" si="7"/>
        <v>0</v>
      </c>
      <c r="BD12" s="99">
        <f t="shared" si="8"/>
        <v>0</v>
      </c>
      <c r="BE12" s="1"/>
    </row>
    <row r="13">
      <c r="A13" s="1"/>
      <c r="C13" s="66" t="str">
        <f t="array" ref="C13">INDEX('Queen MIDI'!$C$4:$C$66,MATCH(F13,'Queen MIDI'!$D$4:$D$66,0))</f>
        <v>Another One Bites The Dust</v>
      </c>
      <c r="D13" s="148">
        <v>3.0</v>
      </c>
      <c r="E13" s="149" t="s">
        <v>381</v>
      </c>
      <c r="F13" s="66" t="str">
        <f t="shared" si="2"/>
        <v>Another One Bites The Dust.1.mid</v>
      </c>
      <c r="G13" s="126">
        <f>HLOOKUP(H13,'Queen Discography'!$C$2:$Q$3,2,FALSE)</f>
        <v>1980</v>
      </c>
      <c r="H13" s="66" t="str">
        <f>IF(COUNTIF('Queen Discography'!$C$4:$C$22,C13)&gt;0,"Queen",
IF(COUNTIF('Queen Discography'!$D$4:$D$22,C13)&gt;0,"Queen II",
IF(COUNTIF('Queen Discography'!$E$4:$E$22,C13)&gt;0,"Sheer Heart Attack",
IF(COUNTIF('Queen Discography'!$F$4:$F$22,C13)&gt;0,"A Night At The Opera",
IF(COUNTIF('Queen Discography'!$G$4:$G$22,C13)&gt;0,"A Day At The Races",
IF(COUNTIF('Queen Discography'!$H$4:$H$22,C13)&gt;0,"News Of The World",
IF(COUNTIF('Queen Discography'!$I$4:$I$22,C13)&gt;0,"Jazz",
IF(COUNTIF('Queen Discography'!$J$4:$J$22,C13)&gt;0,"The Game",
IF(COUNTIF('Queen Discography'!$K$4:$K$22,C13)&gt;0,"Flash Gordon",
IF(COUNTIF('Queen Discography'!$L$4:$L$22,C13)&gt;0,"Hot Space",
IF(COUNTIF('Queen Discography'!$M$4:$M$22,C13)&gt;0,"The Works",
IF(COUNTIF('Queen Discography'!$N$4:$N$22,C13)&gt;0,"A Kind Of Magic",
IF(COUNTIF('Queen Discography'!$O$4:$O$22,C13)&gt;0,"The Miracle",
IF(COUNTIF('Queen Discography'!$P$4:$P$22,C13)&gt;0,"Innuendo",
IF(COUNTIF('Queen Discography'!$Q$4:$Q$22,C13)&gt;0,"Made In Heaven","NOT FOUND")))))))))))))))</f>
        <v>The Game</v>
      </c>
      <c r="I13" s="1"/>
      <c r="J13" s="98">
        <v>9.0</v>
      </c>
      <c r="K13" s="99" t="str">
        <f t="shared" si="9"/>
        <v>N/A</v>
      </c>
      <c r="L13" s="99" t="str">
        <f t="shared" si="3"/>
        <v>N/A</v>
      </c>
      <c r="M13" s="99" t="str">
        <f t="shared" si="4"/>
        <v>N/A</v>
      </c>
      <c r="N13" s="100" t="str">
        <f>IFERROR(__xludf.DUMMYFUNCTION("IFERROR(MEDIAN(FILTER($G$4:$G$66,$D$4:$D$66=$J13,ISNUMBER($G$4:$G$66))),""N/A"")"),"N/A")</f>
        <v>N/A</v>
      </c>
      <c r="O13" s="99" t="str">
        <f>IFERROR(__xludf.DUMMYFUNCTION("IFERROR(MODE(FILTER($G$4:$G$66,$D$4:$D$66=$J13,ISNUMBER($G$4:$G$66))),""N/A"")"),"N/A")</f>
        <v>N/A</v>
      </c>
      <c r="P13" s="99">
        <f t="shared" ref="P13:AE13" si="17">COUNTIFS($H$4:$H$66,P$3,$D$4:$D$66,$J13)</f>
        <v>0</v>
      </c>
      <c r="Q13" s="99">
        <f t="shared" si="17"/>
        <v>0</v>
      </c>
      <c r="R13" s="99">
        <f t="shared" si="17"/>
        <v>0</v>
      </c>
      <c r="S13" s="99">
        <f t="shared" si="17"/>
        <v>0</v>
      </c>
      <c r="T13" s="99">
        <f t="shared" si="17"/>
        <v>0</v>
      </c>
      <c r="U13" s="99">
        <f t="shared" si="17"/>
        <v>0</v>
      </c>
      <c r="V13" s="99">
        <f t="shared" si="17"/>
        <v>0</v>
      </c>
      <c r="W13" s="99">
        <f t="shared" si="17"/>
        <v>0</v>
      </c>
      <c r="X13" s="99">
        <f t="shared" si="17"/>
        <v>0</v>
      </c>
      <c r="Y13" s="99">
        <f t="shared" si="17"/>
        <v>0</v>
      </c>
      <c r="Z13" s="99">
        <f t="shared" si="17"/>
        <v>0</v>
      </c>
      <c r="AA13" s="99">
        <f t="shared" si="17"/>
        <v>0</v>
      </c>
      <c r="AB13" s="99">
        <f t="shared" si="17"/>
        <v>0</v>
      </c>
      <c r="AC13" s="99">
        <f t="shared" si="17"/>
        <v>0</v>
      </c>
      <c r="AD13" s="99">
        <f t="shared" si="17"/>
        <v>0</v>
      </c>
      <c r="AE13" s="99">
        <f t="shared" si="17"/>
        <v>0</v>
      </c>
      <c r="AF13" s="104">
        <f t="array" ref="AF13:AU13">IFERROR(P13:AE13*TRANSPOSE('Queen MIDI'!$J$4:$J$19),"N/A")</f>
        <v>0</v>
      </c>
      <c r="AG13" s="104">
        <v>0.0</v>
      </c>
      <c r="AH13" s="104">
        <v>0.0</v>
      </c>
      <c r="AI13" s="104">
        <v>0.0</v>
      </c>
      <c r="AJ13" s="104">
        <v>0.0</v>
      </c>
      <c r="AK13" s="104">
        <v>0.0</v>
      </c>
      <c r="AL13" s="104">
        <v>0.0</v>
      </c>
      <c r="AM13" s="104">
        <v>0.0</v>
      </c>
      <c r="AN13" s="104" t="s">
        <v>357</v>
      </c>
      <c r="AO13" s="104">
        <v>0.0</v>
      </c>
      <c r="AP13" s="104">
        <v>0.0</v>
      </c>
      <c r="AQ13" s="104">
        <v>0.0</v>
      </c>
      <c r="AR13" s="104">
        <v>0.0</v>
      </c>
      <c r="AS13" s="104">
        <v>0.0</v>
      </c>
      <c r="AT13" s="104">
        <v>0.0</v>
      </c>
      <c r="AU13" s="104">
        <v>0.0</v>
      </c>
      <c r="AV13" s="99" t="str">
        <f>IFERROR(__xludf.DUMMYFUNCTION("JOIN("", "",FILTER($P$3:$AE$3,$P13:$AE13=MAX($P13:$AE13)))"),"Queen,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3" s="99">
        <f t="shared" si="6"/>
        <v>0</v>
      </c>
      <c r="AX13" s="99">
        <f>IFERROR(__xludf.DUMMYFUNCTION("COUNTA(FILTER($P$3:$AE$3,$P13:$AE13=MAX($P13:$AE13)))"),16.0)</f>
        <v>16</v>
      </c>
      <c r="AY13" s="99" t="str">
        <f>IFERROR(__xludf.DUMMYFUNCTION("IFERROR(JOIN("", "",FILTER($AF$3:$AU$3,$AF13:$AU13=MAXIFS($AF13:$AU13,$AF$23:$AU$23,TRUE),$AF$23:$AU$23)),""N/A"")"),"Queen,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3" s="103" t="str">
        <f>IFERROR(__xludf.DUMMYFUNCTION("IFERROR(JOIN("", "",FILTER($P13:$AE13,$AF13:$AU13=MAXIFS($AF13:$AU13,$AF$23:$AU$23,TRUE),$AF$23:$AU$23)),""N/A"")"),"0, 0, 0, 0, 0, 0, 0, 0, 0, 0, 0, 0, 0, 0")</f>
        <v>0, 0, 0, 0, 0, 0, 0, 0, 0, 0, 0, 0, 0, 0</v>
      </c>
      <c r="BA13" s="103">
        <f>MAXIFS(AF13:AU13,$AF$23:$AU$23,TRUE)/'Queen MIDI'!$J$20</f>
        <v>0</v>
      </c>
      <c r="BB13" s="98">
        <f>IFERROR(__xludf.DUMMYFUNCTION("COUNTA(IFERROR(FILTER($AF$3:$AU$3,$AF13:$AU13=MAXIFS($AF13:$AU13,$AF$23:$AU$23,TRUE),$AF$23:$AU$23),))"),14.0)</f>
        <v>14</v>
      </c>
      <c r="BC13" s="105">
        <f t="shared" si="7"/>
        <v>0</v>
      </c>
      <c r="BD13" s="99">
        <f t="shared" si="8"/>
        <v>0</v>
      </c>
      <c r="BE13" s="1"/>
    </row>
    <row r="14">
      <c r="A14" s="1"/>
      <c r="C14" s="66" t="str">
        <f t="array" ref="C14">INDEX('Queen MIDI'!$C$4:$C$66,MATCH(F14,'Queen MIDI'!$D$4:$D$66,0))</f>
        <v>Doing Alright</v>
      </c>
      <c r="D14" s="150">
        <v>4.0</v>
      </c>
      <c r="E14" s="151" t="s">
        <v>356</v>
      </c>
      <c r="F14" s="66" t="str">
        <f t="shared" si="2"/>
        <v>Doing All Right.1.mid</v>
      </c>
      <c r="G14" s="119">
        <f>HLOOKUP(H14,'Queen Discography'!$C$2:$Q$3,2,FALSE)</f>
        <v>1973</v>
      </c>
      <c r="H14" s="66" t="str">
        <f>IF(COUNTIF('Queen Discography'!$C$4:$C$22,C14)&gt;0,"Queen",
IF(COUNTIF('Queen Discography'!$D$4:$D$22,C14)&gt;0,"Queen II",
IF(COUNTIF('Queen Discography'!$E$4:$E$22,C14)&gt;0,"Sheer Heart Attack",
IF(COUNTIF('Queen Discography'!$F$4:$F$22,C14)&gt;0,"A Night At The Opera",
IF(COUNTIF('Queen Discography'!$G$4:$G$22,C14)&gt;0,"A Day At The Races",
IF(COUNTIF('Queen Discography'!$H$4:$H$22,C14)&gt;0,"News Of The World",
IF(COUNTIF('Queen Discography'!$I$4:$I$22,C14)&gt;0,"Jazz",
IF(COUNTIF('Queen Discography'!$J$4:$J$22,C14)&gt;0,"The Game",
IF(COUNTIF('Queen Discography'!$K$4:$K$22,C14)&gt;0,"Flash Gordon",
IF(COUNTIF('Queen Discography'!$L$4:$L$22,C14)&gt;0,"Hot Space",
IF(COUNTIF('Queen Discography'!$M$4:$M$22,C14)&gt;0,"The Works",
IF(COUNTIF('Queen Discography'!$N$4:$N$22,C14)&gt;0,"A Kind Of Magic",
IF(COUNTIF('Queen Discography'!$O$4:$O$22,C14)&gt;0,"The Miracle",
IF(COUNTIF('Queen Discography'!$P$4:$P$22,C14)&gt;0,"Innuendo",
IF(COUNTIF('Queen Discography'!$Q$4:$Q$22,C14)&gt;0,"Made In Heaven","NOT FOUND")))))))))))))))</f>
        <v>Queen</v>
      </c>
      <c r="I14" s="1"/>
      <c r="J14" s="98">
        <v>10.0</v>
      </c>
      <c r="K14" s="99" t="str">
        <f t="shared" si="9"/>
        <v>N/A</v>
      </c>
      <c r="L14" s="99" t="str">
        <f t="shared" si="3"/>
        <v>N/A</v>
      </c>
      <c r="M14" s="99" t="str">
        <f t="shared" si="4"/>
        <v>N/A</v>
      </c>
      <c r="N14" s="100" t="str">
        <f>IFERROR(__xludf.DUMMYFUNCTION("IFERROR(MEDIAN(FILTER($G$4:$G$66,$D$4:$D$66=$J14,ISNUMBER($G$4:$G$66))),""N/A"")"),"N/A")</f>
        <v>N/A</v>
      </c>
      <c r="O14" s="99" t="str">
        <f>IFERROR(__xludf.DUMMYFUNCTION("IFERROR(MODE(FILTER($G$4:$G$66,$D$4:$D$66=$J14,ISNUMBER($G$4:$G$66))),""N/A"")"),"N/A")</f>
        <v>N/A</v>
      </c>
      <c r="P14" s="99">
        <f t="shared" ref="P14:AE14" si="18">COUNTIFS($H$4:$H$66,P$3,$D$4:$D$66,$J14)</f>
        <v>0</v>
      </c>
      <c r="Q14" s="99">
        <f t="shared" si="18"/>
        <v>0</v>
      </c>
      <c r="R14" s="99">
        <f t="shared" si="18"/>
        <v>0</v>
      </c>
      <c r="S14" s="99">
        <f t="shared" si="18"/>
        <v>0</v>
      </c>
      <c r="T14" s="99">
        <f t="shared" si="18"/>
        <v>0</v>
      </c>
      <c r="U14" s="99">
        <f t="shared" si="18"/>
        <v>0</v>
      </c>
      <c r="V14" s="99">
        <f t="shared" si="18"/>
        <v>0</v>
      </c>
      <c r="W14" s="99">
        <f t="shared" si="18"/>
        <v>0</v>
      </c>
      <c r="X14" s="99">
        <f t="shared" si="18"/>
        <v>0</v>
      </c>
      <c r="Y14" s="99">
        <f t="shared" si="18"/>
        <v>0</v>
      </c>
      <c r="Z14" s="99">
        <f t="shared" si="18"/>
        <v>0</v>
      </c>
      <c r="AA14" s="99">
        <f t="shared" si="18"/>
        <v>0</v>
      </c>
      <c r="AB14" s="99">
        <f t="shared" si="18"/>
        <v>0</v>
      </c>
      <c r="AC14" s="99">
        <f t="shared" si="18"/>
        <v>0</v>
      </c>
      <c r="AD14" s="99">
        <f t="shared" si="18"/>
        <v>0</v>
      </c>
      <c r="AE14" s="99">
        <f t="shared" si="18"/>
        <v>0</v>
      </c>
      <c r="AF14" s="104">
        <f t="array" ref="AF14:AU14">IFERROR(P14:AE14*TRANSPOSE('Queen MIDI'!$J$4:$J$19),"N/A")</f>
        <v>0</v>
      </c>
      <c r="AG14" s="104">
        <v>0.0</v>
      </c>
      <c r="AH14" s="104">
        <v>0.0</v>
      </c>
      <c r="AI14" s="104">
        <v>0.0</v>
      </c>
      <c r="AJ14" s="104">
        <v>0.0</v>
      </c>
      <c r="AK14" s="104">
        <v>0.0</v>
      </c>
      <c r="AL14" s="104">
        <v>0.0</v>
      </c>
      <c r="AM14" s="104">
        <v>0.0</v>
      </c>
      <c r="AN14" s="104" t="s">
        <v>357</v>
      </c>
      <c r="AO14" s="104">
        <v>0.0</v>
      </c>
      <c r="AP14" s="104">
        <v>0.0</v>
      </c>
      <c r="AQ14" s="104">
        <v>0.0</v>
      </c>
      <c r="AR14" s="104">
        <v>0.0</v>
      </c>
      <c r="AS14" s="104">
        <v>0.0</v>
      </c>
      <c r="AT14" s="104">
        <v>0.0</v>
      </c>
      <c r="AU14" s="104">
        <v>0.0</v>
      </c>
      <c r="AV14" s="99" t="str">
        <f>IFERROR(__xludf.DUMMYFUNCTION("JOIN("", "",FILTER($P$3:$AE$3,$P14:$AE14=MAX($P14:$AE14)))"),"Queen,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4" s="99">
        <f t="shared" si="6"/>
        <v>0</v>
      </c>
      <c r="AX14" s="99">
        <f>IFERROR(__xludf.DUMMYFUNCTION("COUNTA(FILTER($P$3:$AE$3,$P14:$AE14=MAX($P14:$AE14)))"),16.0)</f>
        <v>16</v>
      </c>
      <c r="AY14" s="99" t="str">
        <f>IFERROR(__xludf.DUMMYFUNCTION("IFERROR(JOIN("", "",FILTER($AF$3:$AU$3,$AF14:$AU14=MAXIFS($AF14:$AU14,$AF$23:$AU$23,TRUE),$AF$23:$AU$23)),""N/A"")"),"Queen,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4" s="103" t="str">
        <f>IFERROR(__xludf.DUMMYFUNCTION("IFERROR(JOIN("", "",FILTER($P14:$AE14,$AF14:$AU14=MAXIFS($AF14:$AU14,$AF$23:$AU$23,TRUE),$AF$23:$AU$23)),""N/A"")"),"0, 0, 0, 0, 0, 0, 0, 0, 0, 0, 0, 0, 0, 0")</f>
        <v>0, 0, 0, 0, 0, 0, 0, 0, 0, 0, 0, 0, 0, 0</v>
      </c>
      <c r="BA14" s="103">
        <f>MAXIFS(AF14:AU14,$AF$23:$AU$23,TRUE)/'Queen MIDI'!$J$20</f>
        <v>0</v>
      </c>
      <c r="BB14" s="98">
        <f>IFERROR(__xludf.DUMMYFUNCTION("COUNTA(IFERROR(FILTER($AF$3:$AU$3,$AF14:$AU14=MAXIFS($AF14:$AU14,$AF$23:$AU$23,TRUE),$AF$23:$AU$23),))"),14.0)</f>
        <v>14</v>
      </c>
      <c r="BC14" s="105">
        <f t="shared" si="7"/>
        <v>0</v>
      </c>
      <c r="BD14" s="99">
        <f t="shared" si="8"/>
        <v>0</v>
      </c>
      <c r="BE14" s="1"/>
    </row>
    <row r="15">
      <c r="A15" s="1"/>
      <c r="C15" s="66" t="str">
        <f t="array" ref="C15">INDEX('Queen MIDI'!$C$4:$C$66,MATCH(F15,'Queen MIDI'!$D$4:$D$66,0))</f>
        <v>Keep Yourself Alive</v>
      </c>
      <c r="D15" s="150">
        <v>4.0</v>
      </c>
      <c r="E15" s="151" t="s">
        <v>358</v>
      </c>
      <c r="F15" s="66" t="str">
        <f t="shared" si="2"/>
        <v>Keep Yourself Alive.mid</v>
      </c>
      <c r="G15" s="120">
        <f>HLOOKUP(H15,'Queen Discography'!$C$2:$Q$3,2,FALSE)</f>
        <v>1973</v>
      </c>
      <c r="H15" s="66" t="str">
        <f>IF(COUNTIF('Queen Discography'!$C$4:$C$22,C15)&gt;0,"Queen",
IF(COUNTIF('Queen Discography'!$D$4:$D$22,C15)&gt;0,"Queen II",
IF(COUNTIF('Queen Discography'!$E$4:$E$22,C15)&gt;0,"Sheer Heart Attack",
IF(COUNTIF('Queen Discography'!$F$4:$F$22,C15)&gt;0,"A Night At The Opera",
IF(COUNTIF('Queen Discography'!$G$4:$G$22,C15)&gt;0,"A Day At The Races",
IF(COUNTIF('Queen Discography'!$H$4:$H$22,C15)&gt;0,"News Of The World",
IF(COUNTIF('Queen Discography'!$I$4:$I$22,C15)&gt;0,"Jazz",
IF(COUNTIF('Queen Discography'!$J$4:$J$22,C15)&gt;0,"The Game",
IF(COUNTIF('Queen Discography'!$K$4:$K$22,C15)&gt;0,"Flash Gordon",
IF(COUNTIF('Queen Discography'!$L$4:$L$22,C15)&gt;0,"Hot Space",
IF(COUNTIF('Queen Discography'!$M$4:$M$22,C15)&gt;0,"The Works",
IF(COUNTIF('Queen Discography'!$N$4:$N$22,C15)&gt;0,"A Kind Of Magic",
IF(COUNTIF('Queen Discography'!$O$4:$O$22,C15)&gt;0,"The Miracle",
IF(COUNTIF('Queen Discography'!$P$4:$P$22,C15)&gt;0,"Innuendo",
IF(COUNTIF('Queen Discography'!$Q$4:$Q$22,C15)&gt;0,"Made In Heaven","NOT FOUND")))))))))))))))</f>
        <v>Queen</v>
      </c>
      <c r="I15" s="1"/>
      <c r="J15" s="98">
        <v>11.0</v>
      </c>
      <c r="K15" s="99" t="str">
        <f t="shared" si="9"/>
        <v>N/A</v>
      </c>
      <c r="L15" s="99" t="str">
        <f t="shared" si="3"/>
        <v>N/A</v>
      </c>
      <c r="M15" s="99" t="str">
        <f t="shared" si="4"/>
        <v>N/A</v>
      </c>
      <c r="N15" s="100" t="str">
        <f>IFERROR(__xludf.DUMMYFUNCTION("IFERROR(MEDIAN(FILTER($G$4:$G$66,$D$4:$D$66=$J15,ISNUMBER($G$4:$G$66))),""N/A"")"),"N/A")</f>
        <v>N/A</v>
      </c>
      <c r="O15" s="99" t="str">
        <f>IFERROR(__xludf.DUMMYFUNCTION("IFERROR(MODE(FILTER($G$4:$G$66,$D$4:$D$66=$J15,ISNUMBER($G$4:$G$66))),""N/A"")"),"N/A")</f>
        <v>N/A</v>
      </c>
      <c r="P15" s="99">
        <f t="shared" ref="P15:AE15" si="19">COUNTIFS($H$4:$H$66,P$3,$D$4:$D$66,$J15)</f>
        <v>0</v>
      </c>
      <c r="Q15" s="99">
        <f t="shared" si="19"/>
        <v>0</v>
      </c>
      <c r="R15" s="99">
        <f t="shared" si="19"/>
        <v>0</v>
      </c>
      <c r="S15" s="99">
        <f t="shared" si="19"/>
        <v>0</v>
      </c>
      <c r="T15" s="99">
        <f t="shared" si="19"/>
        <v>0</v>
      </c>
      <c r="U15" s="99">
        <f t="shared" si="19"/>
        <v>0</v>
      </c>
      <c r="V15" s="99">
        <f t="shared" si="19"/>
        <v>0</v>
      </c>
      <c r="W15" s="99">
        <f t="shared" si="19"/>
        <v>0</v>
      </c>
      <c r="X15" s="99">
        <f t="shared" si="19"/>
        <v>0</v>
      </c>
      <c r="Y15" s="99">
        <f t="shared" si="19"/>
        <v>0</v>
      </c>
      <c r="Z15" s="99">
        <f t="shared" si="19"/>
        <v>0</v>
      </c>
      <c r="AA15" s="99">
        <f t="shared" si="19"/>
        <v>0</v>
      </c>
      <c r="AB15" s="99">
        <f t="shared" si="19"/>
        <v>0</v>
      </c>
      <c r="AC15" s="99">
        <f t="shared" si="19"/>
        <v>0</v>
      </c>
      <c r="AD15" s="99">
        <f t="shared" si="19"/>
        <v>0</v>
      </c>
      <c r="AE15" s="99">
        <f t="shared" si="19"/>
        <v>0</v>
      </c>
      <c r="AF15" s="104">
        <f t="array" ref="AF15:AU15">IFERROR(P15:AE15*TRANSPOSE('Queen MIDI'!$J$4:$J$19),"N/A")</f>
        <v>0</v>
      </c>
      <c r="AG15" s="104">
        <v>0.0</v>
      </c>
      <c r="AH15" s="104">
        <v>0.0</v>
      </c>
      <c r="AI15" s="104">
        <v>0.0</v>
      </c>
      <c r="AJ15" s="104">
        <v>0.0</v>
      </c>
      <c r="AK15" s="104">
        <v>0.0</v>
      </c>
      <c r="AL15" s="104">
        <v>0.0</v>
      </c>
      <c r="AM15" s="104">
        <v>0.0</v>
      </c>
      <c r="AN15" s="104" t="s">
        <v>357</v>
      </c>
      <c r="AO15" s="104">
        <v>0.0</v>
      </c>
      <c r="AP15" s="104">
        <v>0.0</v>
      </c>
      <c r="AQ15" s="104">
        <v>0.0</v>
      </c>
      <c r="AR15" s="104">
        <v>0.0</v>
      </c>
      <c r="AS15" s="104">
        <v>0.0</v>
      </c>
      <c r="AT15" s="104">
        <v>0.0</v>
      </c>
      <c r="AU15" s="104">
        <v>0.0</v>
      </c>
      <c r="AV15" s="106" t="str">
        <f>IFERROR(__xludf.DUMMYFUNCTION("JOIN("", "",FILTER($P$3:$AE$3,$P15:$AE15=MAX($P15:$AE15)))"),"Queen,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5" s="99">
        <f t="shared" si="6"/>
        <v>0</v>
      </c>
      <c r="AX15" s="99">
        <f>IFERROR(__xludf.DUMMYFUNCTION("COUNTA(FILTER($P$3:$AE$3,$P15:$AE15=MAX($P15:$AE15)))"),16.0)</f>
        <v>16</v>
      </c>
      <c r="AY15" s="99" t="str">
        <f>IFERROR(__xludf.DUMMYFUNCTION("IFERROR(JOIN("", "",FILTER($AF$3:$AU$3,$AF15:$AU15=MAXIFS($AF15:$AU15,$AF$23:$AU$23,TRUE),$AF$23:$AU$23)),""N/A"")"),"Queen,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5" s="103" t="str">
        <f>IFERROR(__xludf.DUMMYFUNCTION("IFERROR(JOIN("", "",FILTER($P15:$AE15,$AF15:$AU15=MAXIFS($AF15:$AU15,$AF$23:$AU$23,TRUE),$AF$23:$AU$23)),""N/A"")"),"0, 0, 0, 0, 0, 0, 0, 0, 0, 0, 0, 0, 0, 0")</f>
        <v>0, 0, 0, 0, 0, 0, 0, 0, 0, 0, 0, 0, 0, 0</v>
      </c>
      <c r="BA15" s="103">
        <f>MAXIFS(AF15:AU15,$AF$23:$AU$23,TRUE)/'Queen MIDI'!$J$20</f>
        <v>0</v>
      </c>
      <c r="BB15" s="98">
        <f>IFERROR(__xludf.DUMMYFUNCTION("COUNTA(IFERROR(FILTER($AF$3:$AU$3,$AF15:$AU15=MAXIFS($AF15:$AU15,$AF$23:$AU$23,TRUE),$AF$23:$AU$23),))"),14.0)</f>
        <v>14</v>
      </c>
      <c r="BC15" s="105">
        <f t="shared" si="7"/>
        <v>0</v>
      </c>
      <c r="BD15" s="99">
        <f t="shared" si="8"/>
        <v>0</v>
      </c>
      <c r="BE15" s="1"/>
    </row>
    <row r="16">
      <c r="A16" s="1"/>
      <c r="C16" s="66" t="str">
        <f t="array" ref="C16">INDEX('Queen MIDI'!$C$4:$C$66,MATCH(F16,'Queen MIDI'!$D$4:$D$66,0))</f>
        <v>Father to Son</v>
      </c>
      <c r="D16" s="146">
        <v>4.0</v>
      </c>
      <c r="E16" s="147" t="s">
        <v>361</v>
      </c>
      <c r="F16" s="66" t="str">
        <f t="shared" si="2"/>
        <v>Father to Son.mid</v>
      </c>
      <c r="G16" s="125">
        <f>HLOOKUP(H16,'Queen Discography'!$C$2:$Q$3,2,FALSE)</f>
        <v>1974</v>
      </c>
      <c r="H16" s="66" t="str">
        <f>IF(COUNTIF('Queen Discography'!$C$4:$C$22,C16)&gt;0,"Queen",
IF(COUNTIF('Queen Discography'!$D$4:$D$22,C16)&gt;0,"Queen II",
IF(COUNTIF('Queen Discography'!$E$4:$E$22,C16)&gt;0,"Sheer Heart Attack",
IF(COUNTIF('Queen Discography'!$F$4:$F$22,C16)&gt;0,"A Night At The Opera",
IF(COUNTIF('Queen Discography'!$G$4:$G$22,C16)&gt;0,"A Day At The Races",
IF(COUNTIF('Queen Discography'!$H$4:$H$22,C16)&gt;0,"News Of The World",
IF(COUNTIF('Queen Discography'!$I$4:$I$22,C16)&gt;0,"Jazz",
IF(COUNTIF('Queen Discography'!$J$4:$J$22,C16)&gt;0,"The Game",
IF(COUNTIF('Queen Discography'!$K$4:$K$22,C16)&gt;0,"Flash Gordon",
IF(COUNTIF('Queen Discography'!$L$4:$L$22,C16)&gt;0,"Hot Space",
IF(COUNTIF('Queen Discography'!$M$4:$M$22,C16)&gt;0,"The Works",
IF(COUNTIF('Queen Discography'!$N$4:$N$22,C16)&gt;0,"A Kind Of Magic",
IF(COUNTIF('Queen Discography'!$O$4:$O$22,C16)&gt;0,"The Miracle",
IF(COUNTIF('Queen Discography'!$P$4:$P$22,C16)&gt;0,"Innuendo",
IF(COUNTIF('Queen Discography'!$Q$4:$Q$22,C16)&gt;0,"Made In Heaven","NOT FOUND")))))))))))))))</f>
        <v>Queen II</v>
      </c>
      <c r="I16" s="1"/>
      <c r="J16" s="98">
        <v>12.0</v>
      </c>
      <c r="K16" s="99" t="str">
        <f t="shared" si="9"/>
        <v>N/A</v>
      </c>
      <c r="L16" s="99" t="str">
        <f t="shared" si="3"/>
        <v>N/A</v>
      </c>
      <c r="M16" s="99" t="str">
        <f t="shared" si="4"/>
        <v>N/A</v>
      </c>
      <c r="N16" s="100" t="str">
        <f>IFERROR(__xludf.DUMMYFUNCTION("IFERROR(MEDIAN(FILTER($G$4:$G$66,$D$4:$D$66=$J16,ISNUMBER($G$4:$G$66))),""N/A"")"),"N/A")</f>
        <v>N/A</v>
      </c>
      <c r="O16" s="99" t="str">
        <f>IFERROR(__xludf.DUMMYFUNCTION("IFERROR(MODE(FILTER($G$4:$G$66,$D$4:$D$66=$J16,ISNUMBER($G$4:$G$66))),""N/A"")"),"N/A")</f>
        <v>N/A</v>
      </c>
      <c r="P16" s="99">
        <f t="shared" ref="P16:AE16" si="20">COUNTIFS($H$4:$H$66,P$3,$D$4:$D$66,$J16)</f>
        <v>0</v>
      </c>
      <c r="Q16" s="99">
        <f t="shared" si="20"/>
        <v>0</v>
      </c>
      <c r="R16" s="99">
        <f t="shared" si="20"/>
        <v>0</v>
      </c>
      <c r="S16" s="99">
        <f t="shared" si="20"/>
        <v>0</v>
      </c>
      <c r="T16" s="99">
        <f t="shared" si="20"/>
        <v>0</v>
      </c>
      <c r="U16" s="99">
        <f t="shared" si="20"/>
        <v>0</v>
      </c>
      <c r="V16" s="99">
        <f t="shared" si="20"/>
        <v>0</v>
      </c>
      <c r="W16" s="99">
        <f t="shared" si="20"/>
        <v>0</v>
      </c>
      <c r="X16" s="99">
        <f t="shared" si="20"/>
        <v>0</v>
      </c>
      <c r="Y16" s="99">
        <f t="shared" si="20"/>
        <v>0</v>
      </c>
      <c r="Z16" s="99">
        <f t="shared" si="20"/>
        <v>0</v>
      </c>
      <c r="AA16" s="99">
        <f t="shared" si="20"/>
        <v>0</v>
      </c>
      <c r="AB16" s="99">
        <f t="shared" si="20"/>
        <v>0</v>
      </c>
      <c r="AC16" s="99">
        <f t="shared" si="20"/>
        <v>0</v>
      </c>
      <c r="AD16" s="99">
        <f t="shared" si="20"/>
        <v>0</v>
      </c>
      <c r="AE16" s="99">
        <f t="shared" si="20"/>
        <v>0</v>
      </c>
      <c r="AF16" s="104">
        <f t="array" ref="AF16:AU16">IFERROR(P16:AE16*TRANSPOSE('Queen MIDI'!$J$4:$J$19),"N/A")</f>
        <v>0</v>
      </c>
      <c r="AG16" s="104">
        <v>0.0</v>
      </c>
      <c r="AH16" s="104">
        <v>0.0</v>
      </c>
      <c r="AI16" s="104">
        <v>0.0</v>
      </c>
      <c r="AJ16" s="104">
        <v>0.0</v>
      </c>
      <c r="AK16" s="104">
        <v>0.0</v>
      </c>
      <c r="AL16" s="104">
        <v>0.0</v>
      </c>
      <c r="AM16" s="104">
        <v>0.0</v>
      </c>
      <c r="AN16" s="104" t="s">
        <v>357</v>
      </c>
      <c r="AO16" s="104">
        <v>0.0</v>
      </c>
      <c r="AP16" s="104">
        <v>0.0</v>
      </c>
      <c r="AQ16" s="104">
        <v>0.0</v>
      </c>
      <c r="AR16" s="104">
        <v>0.0</v>
      </c>
      <c r="AS16" s="104">
        <v>0.0</v>
      </c>
      <c r="AT16" s="104">
        <v>0.0</v>
      </c>
      <c r="AU16" s="104">
        <v>0.0</v>
      </c>
      <c r="AV16" s="99" t="str">
        <f>IFERROR(__xludf.DUMMYFUNCTION("JOIN("", "",FILTER($P$3:$AE$3,$P16:$AE16=MAX($P16:$AE16)))"),"Queen,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6" s="99">
        <f t="shared" si="6"/>
        <v>0</v>
      </c>
      <c r="AX16" s="99">
        <f>IFERROR(__xludf.DUMMYFUNCTION("COUNTA(FILTER($P$3:$AE$3,$P16:$AE16=MAX($P16:$AE16)))"),16.0)</f>
        <v>16</v>
      </c>
      <c r="AY16" s="99" t="str">
        <f>IFERROR(__xludf.DUMMYFUNCTION("IFERROR(JOIN("", "",FILTER($AF$3:$AU$3,$AF16:$AU16=MAXIFS($AF16:$AU16,$AF$23:$AU$23,TRUE),$AF$23:$AU$23)),""N/A"")"),"Queen,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6" s="103" t="str">
        <f>IFERROR(__xludf.DUMMYFUNCTION("IFERROR(JOIN("", "",FILTER($P16:$AE16,$AF16:$AU16=MAXIFS($AF16:$AU16,$AF$23:$AU$23,TRUE),$AF$23:$AU$23)),""N/A"")"),"0, 0, 0, 0, 0, 0, 0, 0, 0, 0, 0, 0, 0, 0")</f>
        <v>0, 0, 0, 0, 0, 0, 0, 0, 0, 0, 0, 0, 0, 0</v>
      </c>
      <c r="BA16" s="103">
        <f>MAXIFS(AF16:AU16,$AF$23:$AU$23,TRUE)/'Queen MIDI'!$J$20</f>
        <v>0</v>
      </c>
      <c r="BB16" s="98">
        <f>IFERROR(__xludf.DUMMYFUNCTION("COUNTA(IFERROR(FILTER($AF$3:$AU$3,$AF16:$AU16=MAXIFS($AF16:$AU16,$AF$23:$AU$23,TRUE),$AF$23:$AU$23),))"),14.0)</f>
        <v>14</v>
      </c>
      <c r="BC16" s="105">
        <f t="shared" si="7"/>
        <v>0</v>
      </c>
      <c r="BD16" s="99">
        <f t="shared" si="8"/>
        <v>0</v>
      </c>
      <c r="BE16" s="1"/>
    </row>
    <row r="17">
      <c r="A17" s="1"/>
      <c r="C17" s="66" t="str">
        <f t="array" ref="C17">INDEX('Queen MIDI'!$C$4:$C$66,MATCH(F17,'Queen MIDI'!$D$4:$D$66,0))</f>
        <v>Nevermore</v>
      </c>
      <c r="D17" s="146">
        <v>4.0</v>
      </c>
      <c r="E17" s="147" t="s">
        <v>362</v>
      </c>
      <c r="F17" s="66" t="str">
        <f t="shared" si="2"/>
        <v>Never More.mid</v>
      </c>
      <c r="G17" s="120">
        <f>HLOOKUP(H17,'Queen Discography'!$C$2:$Q$3,2,FALSE)</f>
        <v>1974</v>
      </c>
      <c r="H17" s="66" t="str">
        <f>IF(COUNTIF('Queen Discography'!$C$4:$C$22,C17)&gt;0,"Queen",
IF(COUNTIF('Queen Discography'!$D$4:$D$22,C17)&gt;0,"Queen II",
IF(COUNTIF('Queen Discography'!$E$4:$E$22,C17)&gt;0,"Sheer Heart Attack",
IF(COUNTIF('Queen Discography'!$F$4:$F$22,C17)&gt;0,"A Night At The Opera",
IF(COUNTIF('Queen Discography'!$G$4:$G$22,C17)&gt;0,"A Day At The Races",
IF(COUNTIF('Queen Discography'!$H$4:$H$22,C17)&gt;0,"News Of The World",
IF(COUNTIF('Queen Discography'!$I$4:$I$22,C17)&gt;0,"Jazz",
IF(COUNTIF('Queen Discography'!$J$4:$J$22,C17)&gt;0,"The Game",
IF(COUNTIF('Queen Discography'!$K$4:$K$22,C17)&gt;0,"Flash Gordon",
IF(COUNTIF('Queen Discography'!$L$4:$L$22,C17)&gt;0,"Hot Space",
IF(COUNTIF('Queen Discography'!$M$4:$M$22,C17)&gt;0,"The Works",
IF(COUNTIF('Queen Discography'!$N$4:$N$22,C17)&gt;0,"A Kind Of Magic",
IF(COUNTIF('Queen Discography'!$O$4:$O$22,C17)&gt;0,"The Miracle",
IF(COUNTIF('Queen Discography'!$P$4:$P$22,C17)&gt;0,"Innuendo",
IF(COUNTIF('Queen Discography'!$Q$4:$Q$22,C17)&gt;0,"Made In Heaven","NOT FOUND")))))))))))))))</f>
        <v>Queen II</v>
      </c>
      <c r="I17" s="1"/>
      <c r="J17" s="98">
        <v>13.0</v>
      </c>
      <c r="K17" s="99" t="str">
        <f t="shared" si="9"/>
        <v>N/A</v>
      </c>
      <c r="L17" s="99" t="str">
        <f t="shared" si="3"/>
        <v>N/A</v>
      </c>
      <c r="M17" s="99" t="str">
        <f t="shared" si="4"/>
        <v>N/A</v>
      </c>
      <c r="N17" s="100" t="str">
        <f>IFERROR(__xludf.DUMMYFUNCTION("IFERROR(MEDIAN(FILTER($G$4:$G$66,$D$4:$D$66=$J17,ISNUMBER($G$4:$G$66))),""N/A"")"),"N/A")</f>
        <v>N/A</v>
      </c>
      <c r="O17" s="99" t="str">
        <f>IFERROR(__xludf.DUMMYFUNCTION("IFERROR(MODE(FILTER($G$4:$G$66,$D$4:$D$66=$J17,ISNUMBER($G$4:$G$66))),""N/A"")"),"N/A")</f>
        <v>N/A</v>
      </c>
      <c r="P17" s="99">
        <f t="shared" ref="P17:AE17" si="21">COUNTIFS($H$4:$H$66,P$3,$D$4:$D$66,$J17)</f>
        <v>0</v>
      </c>
      <c r="Q17" s="99">
        <f t="shared" si="21"/>
        <v>0</v>
      </c>
      <c r="R17" s="99">
        <f t="shared" si="21"/>
        <v>0</v>
      </c>
      <c r="S17" s="99">
        <f t="shared" si="21"/>
        <v>0</v>
      </c>
      <c r="T17" s="99">
        <f t="shared" si="21"/>
        <v>0</v>
      </c>
      <c r="U17" s="99">
        <f t="shared" si="21"/>
        <v>0</v>
      </c>
      <c r="V17" s="99">
        <f t="shared" si="21"/>
        <v>0</v>
      </c>
      <c r="W17" s="99">
        <f t="shared" si="21"/>
        <v>0</v>
      </c>
      <c r="X17" s="99">
        <f t="shared" si="21"/>
        <v>0</v>
      </c>
      <c r="Y17" s="99">
        <f t="shared" si="21"/>
        <v>0</v>
      </c>
      <c r="Z17" s="99">
        <f t="shared" si="21"/>
        <v>0</v>
      </c>
      <c r="AA17" s="99">
        <f t="shared" si="21"/>
        <v>0</v>
      </c>
      <c r="AB17" s="99">
        <f t="shared" si="21"/>
        <v>0</v>
      </c>
      <c r="AC17" s="99">
        <f t="shared" si="21"/>
        <v>0</v>
      </c>
      <c r="AD17" s="99">
        <f t="shared" si="21"/>
        <v>0</v>
      </c>
      <c r="AE17" s="99">
        <f t="shared" si="21"/>
        <v>0</v>
      </c>
      <c r="AF17" s="104">
        <f t="array" ref="AF17:AU17">IFERROR(P17:AE17*TRANSPOSE('Queen MIDI'!$J$4:$J$19),"N/A")</f>
        <v>0</v>
      </c>
      <c r="AG17" s="104">
        <v>0.0</v>
      </c>
      <c r="AH17" s="104">
        <v>0.0</v>
      </c>
      <c r="AI17" s="104">
        <v>0.0</v>
      </c>
      <c r="AJ17" s="104">
        <v>0.0</v>
      </c>
      <c r="AK17" s="104">
        <v>0.0</v>
      </c>
      <c r="AL17" s="104">
        <v>0.0</v>
      </c>
      <c r="AM17" s="104">
        <v>0.0</v>
      </c>
      <c r="AN17" s="104" t="s">
        <v>357</v>
      </c>
      <c r="AO17" s="104">
        <v>0.0</v>
      </c>
      <c r="AP17" s="104">
        <v>0.0</v>
      </c>
      <c r="AQ17" s="104">
        <v>0.0</v>
      </c>
      <c r="AR17" s="104">
        <v>0.0</v>
      </c>
      <c r="AS17" s="104">
        <v>0.0</v>
      </c>
      <c r="AT17" s="104">
        <v>0.0</v>
      </c>
      <c r="AU17" s="104">
        <v>0.0</v>
      </c>
      <c r="AV17" s="99" t="str">
        <f>IFERROR(__xludf.DUMMYFUNCTION("JOIN("", "",FILTER($P$3:$AE$3,$P17:$AE17=MAX($P17:$AE17)))"),"Queen,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7" s="99">
        <f t="shared" si="6"/>
        <v>0</v>
      </c>
      <c r="AX17" s="99">
        <f>IFERROR(__xludf.DUMMYFUNCTION("COUNTA(FILTER($P$3:$AE$3,$P17:$AE17=MAX($P17:$AE17)))"),16.0)</f>
        <v>16</v>
      </c>
      <c r="AY17" s="99" t="str">
        <f>IFERROR(__xludf.DUMMYFUNCTION("IFERROR(JOIN("", "",FILTER($AF$3:$AU$3,$AF17:$AU17=MAXIFS($AF17:$AU17,$AF$23:$AU$23,TRUE),$AF$23:$AU$23)),""N/A"")"),"Queen,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7" s="103" t="str">
        <f>IFERROR(__xludf.DUMMYFUNCTION("IFERROR(JOIN("", "",FILTER($P17:$AE17,$AF17:$AU17=MAXIFS($AF17:$AU17,$AF$23:$AU$23,TRUE),$AF$23:$AU$23)),""N/A"")"),"0, 0, 0, 0, 0, 0, 0, 0, 0, 0, 0, 0, 0, 0")</f>
        <v>0, 0, 0, 0, 0, 0, 0, 0, 0, 0, 0, 0, 0, 0</v>
      </c>
      <c r="BA17" s="103">
        <f>MAXIFS(AF17:AU17,$AF$23:$AU$23,TRUE)/'Queen MIDI'!$J$20</f>
        <v>0</v>
      </c>
      <c r="BB17" s="98">
        <f>IFERROR(__xludf.DUMMYFUNCTION("COUNTA(IFERROR(FILTER($AF$3:$AU$3,$AF17:$AU17=MAXIFS($AF17:$AU17,$AF$23:$AU$23,TRUE),$AF$23:$AU$23),))"),14.0)</f>
        <v>14</v>
      </c>
      <c r="BC17" s="105">
        <f t="shared" si="7"/>
        <v>0</v>
      </c>
      <c r="BD17" s="99">
        <f t="shared" si="8"/>
        <v>0</v>
      </c>
      <c r="BE17" s="1"/>
    </row>
    <row r="18">
      <c r="A18" s="1"/>
      <c r="C18" s="66" t="str">
        <f t="array" ref="C18">INDEX('Queen MIDI'!$C$4:$C$66,MATCH(F18,'Queen MIDI'!$D$4:$D$66,0))</f>
        <v>Killer Queen</v>
      </c>
      <c r="D18" s="152">
        <v>4.0</v>
      </c>
      <c r="E18" s="153" t="s">
        <v>363</v>
      </c>
      <c r="F18" s="66" t="str">
        <f t="shared" si="2"/>
        <v>Killer Queen.1.mid</v>
      </c>
      <c r="G18" s="122">
        <f>HLOOKUP(H18,'Queen Discography'!$C$2:$Q$3,2,FALSE)</f>
        <v>1974</v>
      </c>
      <c r="H18" s="66" t="str">
        <f>IF(COUNTIF('Queen Discography'!$C$4:$C$22,C18)&gt;0,"Queen",
IF(COUNTIF('Queen Discography'!$D$4:$D$22,C18)&gt;0,"Queen II",
IF(COUNTIF('Queen Discography'!$E$4:$E$22,C18)&gt;0,"Sheer Heart Attack",
IF(COUNTIF('Queen Discography'!$F$4:$F$22,C18)&gt;0,"A Night At The Opera",
IF(COUNTIF('Queen Discography'!$G$4:$G$22,C18)&gt;0,"A Day At The Races",
IF(COUNTIF('Queen Discography'!$H$4:$H$22,C18)&gt;0,"News Of The World",
IF(COUNTIF('Queen Discography'!$I$4:$I$22,C18)&gt;0,"Jazz",
IF(COUNTIF('Queen Discography'!$J$4:$J$22,C18)&gt;0,"The Game",
IF(COUNTIF('Queen Discography'!$K$4:$K$22,C18)&gt;0,"Flash Gordon",
IF(COUNTIF('Queen Discography'!$L$4:$L$22,C18)&gt;0,"Hot Space",
IF(COUNTIF('Queen Discography'!$M$4:$M$22,C18)&gt;0,"The Works",
IF(COUNTIF('Queen Discography'!$N$4:$N$22,C18)&gt;0,"A Kind Of Magic",
IF(COUNTIF('Queen Discography'!$O$4:$O$22,C18)&gt;0,"The Miracle",
IF(COUNTIF('Queen Discography'!$P$4:$P$22,C18)&gt;0,"Innuendo",
IF(COUNTIF('Queen Discography'!$Q$4:$Q$22,C18)&gt;0,"Made In Heaven","NOT FOUND")))))))))))))))</f>
        <v>Sheer Heart Attack</v>
      </c>
      <c r="I18" s="1"/>
      <c r="J18" s="98">
        <v>14.0</v>
      </c>
      <c r="K18" s="99" t="str">
        <f t="shared" si="9"/>
        <v>N/A</v>
      </c>
      <c r="L18" s="99" t="str">
        <f t="shared" si="3"/>
        <v>N/A</v>
      </c>
      <c r="M18" s="99" t="str">
        <f t="shared" si="4"/>
        <v>N/A</v>
      </c>
      <c r="N18" s="100" t="str">
        <f>IFERROR(__xludf.DUMMYFUNCTION("IFERROR(MEDIAN(FILTER($G$4:$G$66,$D$4:$D$66=$J18,ISNUMBER($G$4:$G$66))),""N/A"")"),"N/A")</f>
        <v>N/A</v>
      </c>
      <c r="O18" s="99" t="str">
        <f>IFERROR(__xludf.DUMMYFUNCTION("IFERROR(MODE(FILTER($G$4:$G$66,$D$4:$D$66=$J18,ISNUMBER($G$4:$G$66))),""N/A"")"),"N/A")</f>
        <v>N/A</v>
      </c>
      <c r="P18" s="99">
        <f t="shared" ref="P18:AE18" si="22">COUNTIFS($H$4:$H$66,P$3,$D$4:$D$66,$J18)</f>
        <v>0</v>
      </c>
      <c r="Q18" s="99">
        <f t="shared" si="22"/>
        <v>0</v>
      </c>
      <c r="R18" s="99">
        <f t="shared" si="22"/>
        <v>0</v>
      </c>
      <c r="S18" s="99">
        <f t="shared" si="22"/>
        <v>0</v>
      </c>
      <c r="T18" s="99">
        <f t="shared" si="22"/>
        <v>0</v>
      </c>
      <c r="U18" s="99">
        <f t="shared" si="22"/>
        <v>0</v>
      </c>
      <c r="V18" s="99">
        <f t="shared" si="22"/>
        <v>0</v>
      </c>
      <c r="W18" s="99">
        <f t="shared" si="22"/>
        <v>0</v>
      </c>
      <c r="X18" s="99">
        <f t="shared" si="22"/>
        <v>0</v>
      </c>
      <c r="Y18" s="99">
        <f t="shared" si="22"/>
        <v>0</v>
      </c>
      <c r="Z18" s="99">
        <f t="shared" si="22"/>
        <v>0</v>
      </c>
      <c r="AA18" s="99">
        <f t="shared" si="22"/>
        <v>0</v>
      </c>
      <c r="AB18" s="99">
        <f t="shared" si="22"/>
        <v>0</v>
      </c>
      <c r="AC18" s="99">
        <f t="shared" si="22"/>
        <v>0</v>
      </c>
      <c r="AD18" s="99">
        <f t="shared" si="22"/>
        <v>0</v>
      </c>
      <c r="AE18" s="99">
        <f t="shared" si="22"/>
        <v>0</v>
      </c>
      <c r="AF18" s="104">
        <f t="array" ref="AF18:AU18">IFERROR(P18:AE18*TRANSPOSE('Queen MIDI'!$J$4:$J$19),"N/A")</f>
        <v>0</v>
      </c>
      <c r="AG18" s="104">
        <v>0.0</v>
      </c>
      <c r="AH18" s="104">
        <v>0.0</v>
      </c>
      <c r="AI18" s="104">
        <v>0.0</v>
      </c>
      <c r="AJ18" s="104">
        <v>0.0</v>
      </c>
      <c r="AK18" s="104">
        <v>0.0</v>
      </c>
      <c r="AL18" s="104">
        <v>0.0</v>
      </c>
      <c r="AM18" s="104">
        <v>0.0</v>
      </c>
      <c r="AN18" s="104" t="s">
        <v>357</v>
      </c>
      <c r="AO18" s="104">
        <v>0.0</v>
      </c>
      <c r="AP18" s="104">
        <v>0.0</v>
      </c>
      <c r="AQ18" s="104">
        <v>0.0</v>
      </c>
      <c r="AR18" s="104">
        <v>0.0</v>
      </c>
      <c r="AS18" s="104">
        <v>0.0</v>
      </c>
      <c r="AT18" s="104">
        <v>0.0</v>
      </c>
      <c r="AU18" s="104">
        <v>0.0</v>
      </c>
      <c r="AV18" s="99" t="str">
        <f>IFERROR(__xludf.DUMMYFUNCTION("JOIN("", "",FILTER($P$3:$AE$3,$P18:$AE18=MAX($P18:$AE18)))"),"Queen,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8" s="99">
        <f t="shared" si="6"/>
        <v>0</v>
      </c>
      <c r="AX18" s="99">
        <f>IFERROR(__xludf.DUMMYFUNCTION("COUNTA(FILTER($P$3:$AE$3,$P18:$AE18=MAX($P18:$AE18)))"),16.0)</f>
        <v>16</v>
      </c>
      <c r="AY18" s="99" t="str">
        <f>IFERROR(__xludf.DUMMYFUNCTION("IFERROR(JOIN("", "",FILTER($AF$3:$AU$3,$AF18:$AU18=MAXIFS($AF18:$AU18,$AF$23:$AU$23,TRUE),$AF$23:$AU$23)),""N/A"")"),"Queen,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8" s="103" t="str">
        <f>IFERROR(__xludf.DUMMYFUNCTION("IFERROR(JOIN("", "",FILTER($P18:$AE18,$AF18:$AU18=MAXIFS($AF18:$AU18,$AF$23:$AU$23,TRUE),$AF$23:$AU$23)),""N/A"")"),"0, 0, 0, 0, 0, 0, 0, 0, 0, 0, 0, 0, 0, 0")</f>
        <v>0, 0, 0, 0, 0, 0, 0, 0, 0, 0, 0, 0, 0, 0</v>
      </c>
      <c r="BA18" s="103">
        <f>MAXIFS(AF18:AU18,$AF$23:$AU$23,TRUE)/'Queen MIDI'!$J$20</f>
        <v>0</v>
      </c>
      <c r="BB18" s="98">
        <f>IFERROR(__xludf.DUMMYFUNCTION("COUNTA(IFERROR(FILTER($AF$3:$AU$3,$AF18:$AU18=MAXIFS($AF18:$AU18,$AF$23:$AU$23,TRUE),$AF$23:$AU$23),))"),14.0)</f>
        <v>14</v>
      </c>
      <c r="BC18" s="105">
        <f t="shared" si="7"/>
        <v>0</v>
      </c>
      <c r="BD18" s="99">
        <f t="shared" si="8"/>
        <v>0</v>
      </c>
      <c r="BE18" s="1"/>
    </row>
    <row r="19">
      <c r="A19" s="1"/>
      <c r="C19" s="66" t="str">
        <f t="array" ref="C19">INDEX('Queen MIDI'!$C$4:$C$66,MATCH(F19,'Queen MIDI'!$D$4:$D$66,0))</f>
        <v>Now I'm Here</v>
      </c>
      <c r="D19" s="152">
        <v>4.0</v>
      </c>
      <c r="E19" s="153" t="s">
        <v>364</v>
      </c>
      <c r="F19" s="66" t="str">
        <f t="shared" si="2"/>
        <v>Now I_m Here.4.mid</v>
      </c>
      <c r="G19" s="120">
        <f>HLOOKUP(H19,'Queen Discography'!$C$2:$Q$3,2,FALSE)</f>
        <v>1974</v>
      </c>
      <c r="H19" s="66" t="str">
        <f>IF(COUNTIF('Queen Discography'!$C$4:$C$22,C19)&gt;0,"Queen",
IF(COUNTIF('Queen Discography'!$D$4:$D$22,C19)&gt;0,"Queen II",
IF(COUNTIF('Queen Discography'!$E$4:$E$22,C19)&gt;0,"Sheer Heart Attack",
IF(COUNTIF('Queen Discography'!$F$4:$F$22,C19)&gt;0,"A Night At The Opera",
IF(COUNTIF('Queen Discography'!$G$4:$G$22,C19)&gt;0,"A Day At The Races",
IF(COUNTIF('Queen Discography'!$H$4:$H$22,C19)&gt;0,"News Of The World",
IF(COUNTIF('Queen Discography'!$I$4:$I$22,C19)&gt;0,"Jazz",
IF(COUNTIF('Queen Discography'!$J$4:$J$22,C19)&gt;0,"The Game",
IF(COUNTIF('Queen Discography'!$K$4:$K$22,C19)&gt;0,"Flash Gordon",
IF(COUNTIF('Queen Discography'!$L$4:$L$22,C19)&gt;0,"Hot Space",
IF(COUNTIF('Queen Discography'!$M$4:$M$22,C19)&gt;0,"The Works",
IF(COUNTIF('Queen Discography'!$N$4:$N$22,C19)&gt;0,"A Kind Of Magic",
IF(COUNTIF('Queen Discography'!$O$4:$O$22,C19)&gt;0,"The Miracle",
IF(COUNTIF('Queen Discography'!$P$4:$P$22,C19)&gt;0,"Innuendo",
IF(COUNTIF('Queen Discography'!$Q$4:$Q$22,C19)&gt;0,"Made In Heaven","NOT FOUND")))))))))))))))</f>
        <v>Sheer Heart Attack</v>
      </c>
      <c r="I19" s="1"/>
      <c r="J19" s="98">
        <v>15.0</v>
      </c>
      <c r="K19" s="99" t="str">
        <f t="shared" si="9"/>
        <v>N/A</v>
      </c>
      <c r="L19" s="99" t="str">
        <f t="shared" si="3"/>
        <v>N/A</v>
      </c>
      <c r="M19" s="99" t="str">
        <f t="shared" si="4"/>
        <v>N/A</v>
      </c>
      <c r="N19" s="100" t="str">
        <f>IFERROR(__xludf.DUMMYFUNCTION("IFERROR(MEDIAN(FILTER($G$4:$G$66,$D$4:$D$66=$J19,ISNUMBER($G$4:$G$66))),""N/A"")"),"N/A")</f>
        <v>N/A</v>
      </c>
      <c r="O19" s="99" t="str">
        <f>IFERROR(__xludf.DUMMYFUNCTION("IFERROR(MODE(FILTER($G$4:$G$66,$D$4:$D$66=$J19,ISNUMBER($G$4:$G$66))),""N/A"")"),"N/A")</f>
        <v>N/A</v>
      </c>
      <c r="P19" s="99">
        <f t="shared" ref="P19:AE19" si="23">COUNTIFS($H$4:$H$66,P$3,$D$4:$D$66,$J19)</f>
        <v>0</v>
      </c>
      <c r="Q19" s="99">
        <f t="shared" si="23"/>
        <v>0</v>
      </c>
      <c r="R19" s="99">
        <f t="shared" si="23"/>
        <v>0</v>
      </c>
      <c r="S19" s="99">
        <f t="shared" si="23"/>
        <v>0</v>
      </c>
      <c r="T19" s="99">
        <f t="shared" si="23"/>
        <v>0</v>
      </c>
      <c r="U19" s="99">
        <f t="shared" si="23"/>
        <v>0</v>
      </c>
      <c r="V19" s="99">
        <f t="shared" si="23"/>
        <v>0</v>
      </c>
      <c r="W19" s="99">
        <f t="shared" si="23"/>
        <v>0</v>
      </c>
      <c r="X19" s="99">
        <f t="shared" si="23"/>
        <v>0</v>
      </c>
      <c r="Y19" s="99">
        <f t="shared" si="23"/>
        <v>0</v>
      </c>
      <c r="Z19" s="99">
        <f t="shared" si="23"/>
        <v>0</v>
      </c>
      <c r="AA19" s="99">
        <f t="shared" si="23"/>
        <v>0</v>
      </c>
      <c r="AB19" s="99">
        <f t="shared" si="23"/>
        <v>0</v>
      </c>
      <c r="AC19" s="99">
        <f t="shared" si="23"/>
        <v>0</v>
      </c>
      <c r="AD19" s="99">
        <f t="shared" si="23"/>
        <v>0</v>
      </c>
      <c r="AE19" s="99">
        <f t="shared" si="23"/>
        <v>0</v>
      </c>
      <c r="AF19" s="104">
        <f t="array" ref="AF19:AU19">IFERROR(P19:AE19*TRANSPOSE('Queen MIDI'!$J$4:$J$19),"N/A")</f>
        <v>0</v>
      </c>
      <c r="AG19" s="104">
        <v>0.0</v>
      </c>
      <c r="AH19" s="104">
        <v>0.0</v>
      </c>
      <c r="AI19" s="104">
        <v>0.0</v>
      </c>
      <c r="AJ19" s="104">
        <v>0.0</v>
      </c>
      <c r="AK19" s="104">
        <v>0.0</v>
      </c>
      <c r="AL19" s="104">
        <v>0.0</v>
      </c>
      <c r="AM19" s="104">
        <v>0.0</v>
      </c>
      <c r="AN19" s="104" t="s">
        <v>357</v>
      </c>
      <c r="AO19" s="104">
        <v>0.0</v>
      </c>
      <c r="AP19" s="104">
        <v>0.0</v>
      </c>
      <c r="AQ19" s="104">
        <v>0.0</v>
      </c>
      <c r="AR19" s="104">
        <v>0.0</v>
      </c>
      <c r="AS19" s="104">
        <v>0.0</v>
      </c>
      <c r="AT19" s="104">
        <v>0.0</v>
      </c>
      <c r="AU19" s="104">
        <v>0.0</v>
      </c>
      <c r="AV19" s="99" t="str">
        <f>IFERROR(__xludf.DUMMYFUNCTION("JOIN("", "",FILTER($P$3:$AE$3,$P19:$AE19=MAX($P19:$AE19)))"),"Queen,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9" s="99">
        <f t="shared" si="6"/>
        <v>0</v>
      </c>
      <c r="AX19" s="99">
        <f>IFERROR(__xludf.DUMMYFUNCTION("COUNTA(FILTER($P$3:$AE$3,$P19:$AE19=MAX($P19:$AE19)))"),16.0)</f>
        <v>16</v>
      </c>
      <c r="AY19" s="99" t="str">
        <f>IFERROR(__xludf.DUMMYFUNCTION("IFERROR(JOIN("", "",FILTER($AF$3:$AU$3,$AF19:$AU19=MAXIFS($AF19:$AU19,$AF$23:$AU$23,TRUE),$AF$23:$AU$23)),""N/A"")"),"Queen,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9" s="103" t="str">
        <f>IFERROR(__xludf.DUMMYFUNCTION("IFERROR(JOIN("", "",FILTER($P19:$AE19,$AF19:$AU19=MAXIFS($AF19:$AU19,$AF$23:$AU$23,TRUE),$AF$23:$AU$23)),""N/A"")"),"0, 0, 0, 0, 0, 0, 0, 0, 0, 0, 0, 0, 0, 0")</f>
        <v>0, 0, 0, 0, 0, 0, 0, 0, 0, 0, 0, 0, 0, 0</v>
      </c>
      <c r="BA19" s="103">
        <f>MAXIFS(AF19:AU19,$AF$23:$AU$23,TRUE)/'Queen MIDI'!$J$20</f>
        <v>0</v>
      </c>
      <c r="BB19" s="98">
        <f>IFERROR(__xludf.DUMMYFUNCTION("COUNTA(IFERROR(FILTER($AF$3:$AU$3,$AF19:$AU19=MAXIFS($AF19:$AU19,$AF$23:$AU$23,TRUE),$AF$23:$AU$23),))"),14.0)</f>
        <v>14</v>
      </c>
      <c r="BC19" s="105">
        <f t="shared" si="7"/>
        <v>0</v>
      </c>
      <c r="BD19" s="99">
        <f t="shared" si="8"/>
        <v>0</v>
      </c>
      <c r="BE19" s="1"/>
    </row>
    <row r="20">
      <c r="A20" s="1"/>
      <c r="C20" s="66" t="str">
        <f t="array" ref="C20">INDEX('Queen MIDI'!$C$4:$C$66,MATCH(F20,'Queen MIDI'!$D$4:$D$66,0))</f>
        <v>Death On Two Legs</v>
      </c>
      <c r="D20" s="154">
        <v>4.0</v>
      </c>
      <c r="E20" s="155" t="s">
        <v>367</v>
      </c>
      <c r="F20" s="66" t="str">
        <f t="shared" si="2"/>
        <v>Death on Two Legs (Dedicated To...).mid</v>
      </c>
      <c r="G20" s="130">
        <f>HLOOKUP(H20,'Queen Discography'!$C$2:$Q$3,2,FALSE)</f>
        <v>1975</v>
      </c>
      <c r="H20" s="66" t="str">
        <f>IF(COUNTIF('Queen Discography'!$C$4:$C$22,C20)&gt;0,"Queen",
IF(COUNTIF('Queen Discography'!$D$4:$D$22,C20)&gt;0,"Queen II",
IF(COUNTIF('Queen Discography'!$E$4:$E$22,C20)&gt;0,"Sheer Heart Attack",
IF(COUNTIF('Queen Discography'!$F$4:$F$22,C20)&gt;0,"A Night At The Opera",
IF(COUNTIF('Queen Discography'!$G$4:$G$22,C20)&gt;0,"A Day At The Races",
IF(COUNTIF('Queen Discography'!$H$4:$H$22,C20)&gt;0,"News Of The World",
IF(COUNTIF('Queen Discography'!$I$4:$I$22,C20)&gt;0,"Jazz",
IF(COUNTIF('Queen Discography'!$J$4:$J$22,C20)&gt;0,"The Game",
IF(COUNTIF('Queen Discography'!$K$4:$K$22,C20)&gt;0,"Flash Gordon",
IF(COUNTIF('Queen Discography'!$L$4:$L$22,C20)&gt;0,"Hot Space",
IF(COUNTIF('Queen Discography'!$M$4:$M$22,C20)&gt;0,"The Works",
IF(COUNTIF('Queen Discography'!$N$4:$N$22,C20)&gt;0,"A Kind Of Magic",
IF(COUNTIF('Queen Discography'!$O$4:$O$22,C20)&gt;0,"The Miracle",
IF(COUNTIF('Queen Discography'!$P$4:$P$22,C20)&gt;0,"Innuendo",
IF(COUNTIF('Queen Discography'!$Q$4:$Q$22,C20)&gt;0,"Made In Heaven","NOT FOUND")))))))))))))))</f>
        <v>A Night At The Opera</v>
      </c>
      <c r="I20" s="1"/>
      <c r="J20" s="98">
        <v>16.0</v>
      </c>
      <c r="K20" s="99" t="str">
        <f t="shared" si="9"/>
        <v>N/A</v>
      </c>
      <c r="L20" s="99" t="str">
        <f t="shared" si="3"/>
        <v>N/A</v>
      </c>
      <c r="M20" s="99" t="str">
        <f t="shared" si="4"/>
        <v>N/A</v>
      </c>
      <c r="N20" s="100" t="str">
        <f>IFERROR(__xludf.DUMMYFUNCTION("IFERROR(MEDIAN(FILTER($G$4:$G$66,$D$4:$D$66=$J20,ISNUMBER($G$4:$G$66))),""N/A"")"),"N/A")</f>
        <v>N/A</v>
      </c>
      <c r="O20" s="99" t="str">
        <f>IFERROR(__xludf.DUMMYFUNCTION("IFERROR(MODE(FILTER($G$4:$G$66,$D$4:$D$66=$J20,ISNUMBER($G$4:$G$66))),""N/A"")"),"N/A")</f>
        <v>N/A</v>
      </c>
      <c r="P20" s="99">
        <f t="shared" ref="P20:AE20" si="24">COUNTIFS($H$4:$H$66,P$3,$D$4:$D$66,$J20)</f>
        <v>0</v>
      </c>
      <c r="Q20" s="99">
        <f t="shared" si="24"/>
        <v>0</v>
      </c>
      <c r="R20" s="99">
        <f t="shared" si="24"/>
        <v>0</v>
      </c>
      <c r="S20" s="99">
        <f t="shared" si="24"/>
        <v>0</v>
      </c>
      <c r="T20" s="99">
        <f t="shared" si="24"/>
        <v>0</v>
      </c>
      <c r="U20" s="99">
        <f t="shared" si="24"/>
        <v>0</v>
      </c>
      <c r="V20" s="99">
        <f t="shared" si="24"/>
        <v>0</v>
      </c>
      <c r="W20" s="99">
        <f t="shared" si="24"/>
        <v>0</v>
      </c>
      <c r="X20" s="99">
        <f t="shared" si="24"/>
        <v>0</v>
      </c>
      <c r="Y20" s="99">
        <f t="shared" si="24"/>
        <v>0</v>
      </c>
      <c r="Z20" s="99">
        <f t="shared" si="24"/>
        <v>0</v>
      </c>
      <c r="AA20" s="99">
        <f t="shared" si="24"/>
        <v>0</v>
      </c>
      <c r="AB20" s="99">
        <f t="shared" si="24"/>
        <v>0</v>
      </c>
      <c r="AC20" s="99">
        <f t="shared" si="24"/>
        <v>0</v>
      </c>
      <c r="AD20" s="99">
        <f t="shared" si="24"/>
        <v>0</v>
      </c>
      <c r="AE20" s="99">
        <f t="shared" si="24"/>
        <v>0</v>
      </c>
      <c r="AF20" s="101">
        <f t="array" ref="AF20:AU20">IFERROR(P20:AE20*TRANSPOSE('Queen MIDI'!$J$4:$J$19),"N/A")</f>
        <v>0</v>
      </c>
      <c r="AG20" s="101">
        <v>0.0</v>
      </c>
      <c r="AH20" s="101">
        <v>0.0</v>
      </c>
      <c r="AI20" s="101">
        <v>0.0</v>
      </c>
      <c r="AJ20" s="101">
        <v>0.0</v>
      </c>
      <c r="AK20" s="101">
        <v>0.0</v>
      </c>
      <c r="AL20" s="101">
        <v>0.0</v>
      </c>
      <c r="AM20" s="101">
        <v>0.0</v>
      </c>
      <c r="AN20" s="101" t="s">
        <v>357</v>
      </c>
      <c r="AO20" s="101">
        <v>0.0</v>
      </c>
      <c r="AP20" s="101">
        <v>0.0</v>
      </c>
      <c r="AQ20" s="101">
        <v>0.0</v>
      </c>
      <c r="AR20" s="101">
        <v>0.0</v>
      </c>
      <c r="AS20" s="101">
        <v>0.0</v>
      </c>
      <c r="AT20" s="101">
        <v>0.0</v>
      </c>
      <c r="AU20" s="101">
        <v>0.0</v>
      </c>
      <c r="AV20" s="99" t="str">
        <f>IFERROR(__xludf.DUMMYFUNCTION("JOIN("", "",FILTER($P$3:$AE$3,$P20:$AE20=MAX($P20:$AE20)))"),"Queen,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0" s="99">
        <f t="shared" si="6"/>
        <v>0</v>
      </c>
      <c r="AX20" s="99">
        <f>IFERROR(__xludf.DUMMYFUNCTION("COUNTA(FILTER($P$3:$AE$3,$P20:$AE20=MAX($P20:$AE20)))"),16.0)</f>
        <v>16</v>
      </c>
      <c r="AY20" s="99" t="str">
        <f>IFERROR(__xludf.DUMMYFUNCTION("IFERROR(JOIN("", "",FILTER($AF$3:$AU$3,$AF20:$AU20=MAXIFS($AF20:$AU20,$AF$23:$AU$23,TRUE),$AF$23:$AU$23)),""N/A"")"),"Queen,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0" s="103" t="str">
        <f>IFERROR(__xludf.DUMMYFUNCTION("IFERROR(JOIN("", "",FILTER($P20:$AE20,$AF20:$AU20=MAXIFS($AF20:$AU20,$AF$23:$AU$23,TRUE),$AF$23:$AU$23)),""N/A"")"),"0, 0, 0, 0, 0, 0, 0, 0, 0, 0, 0, 0, 0, 0")</f>
        <v>0, 0, 0, 0, 0, 0, 0, 0, 0, 0, 0, 0, 0, 0</v>
      </c>
      <c r="BA20" s="103">
        <f>MAXIFS(AF20:AU20,$AF$23:$AU$23,TRUE)/'Queen MIDI'!$J$20</f>
        <v>0</v>
      </c>
      <c r="BB20" s="98">
        <f>IFERROR(__xludf.DUMMYFUNCTION("COUNTA(IFERROR(FILTER($AF$3:$AU$3,$AF20:$AU20=MAXIFS($AF20:$AU20,$AF$23:$AU$23,TRUE),$AF$23:$AU$23),))"),14.0)</f>
        <v>14</v>
      </c>
      <c r="BC20" s="105">
        <f t="shared" si="7"/>
        <v>0</v>
      </c>
      <c r="BD20" s="99">
        <f t="shared" si="8"/>
        <v>0</v>
      </c>
      <c r="BE20" s="1"/>
    </row>
    <row r="21">
      <c r="A21" s="1"/>
      <c r="C21" s="66" t="str">
        <f t="array" ref="C21">INDEX('Queen MIDI'!$C$4:$C$66,MATCH(F21,'Queen MIDI'!$D$4:$D$66,0))</f>
        <v>Love of My Life</v>
      </c>
      <c r="D21" s="154">
        <v>4.0</v>
      </c>
      <c r="E21" s="155" t="s">
        <v>368</v>
      </c>
      <c r="F21" s="66" t="str">
        <f t="shared" si="2"/>
        <v>Love of My Life.3.mid</v>
      </c>
      <c r="G21" s="120">
        <f>HLOOKUP(H21,'Queen Discography'!$C$2:$Q$3,2,FALSE)</f>
        <v>1975</v>
      </c>
      <c r="H21" s="66" t="str">
        <f>IF(COUNTIF('Queen Discography'!$C$4:$C$22,C21)&gt;0,"Queen",
IF(COUNTIF('Queen Discography'!$D$4:$D$22,C21)&gt;0,"Queen II",
IF(COUNTIF('Queen Discography'!$E$4:$E$22,C21)&gt;0,"Sheer Heart Attack",
IF(COUNTIF('Queen Discography'!$F$4:$F$22,C21)&gt;0,"A Night At The Opera",
IF(COUNTIF('Queen Discography'!$G$4:$G$22,C21)&gt;0,"A Day At The Races",
IF(COUNTIF('Queen Discography'!$H$4:$H$22,C21)&gt;0,"News Of The World",
IF(COUNTIF('Queen Discography'!$I$4:$I$22,C21)&gt;0,"Jazz",
IF(COUNTIF('Queen Discography'!$J$4:$J$22,C21)&gt;0,"The Game",
IF(COUNTIF('Queen Discography'!$K$4:$K$22,C21)&gt;0,"Flash Gordon",
IF(COUNTIF('Queen Discography'!$L$4:$L$22,C21)&gt;0,"Hot Space",
IF(COUNTIF('Queen Discography'!$M$4:$M$22,C21)&gt;0,"The Works",
IF(COUNTIF('Queen Discography'!$N$4:$N$22,C21)&gt;0,"A Kind Of Magic",
IF(COUNTIF('Queen Discography'!$O$4:$O$22,C21)&gt;0,"The Miracle",
IF(COUNTIF('Queen Discography'!$P$4:$P$22,C21)&gt;0,"Innuendo",
IF(COUNTIF('Queen Discography'!$Q$4:$Q$22,C21)&gt;0,"Made In Heaven","NOT FOUND")))))))))))))))</f>
        <v>A Night At The Opera</v>
      </c>
      <c r="I21" s="1"/>
      <c r="J21" s="98">
        <v>17.0</v>
      </c>
      <c r="K21" s="99" t="str">
        <f t="shared" si="9"/>
        <v>N/A</v>
      </c>
      <c r="L21" s="99" t="str">
        <f t="shared" si="3"/>
        <v>N/A</v>
      </c>
      <c r="M21" s="99" t="str">
        <f t="shared" si="4"/>
        <v>N/A</v>
      </c>
      <c r="N21" s="100" t="str">
        <f>IFERROR(__xludf.DUMMYFUNCTION("IFERROR(MEDIAN(FILTER($G$4:$G$66,$D$4:$D$66=$J21,ISNUMBER($G$4:$G$66))),""N/A"")"),"N/A")</f>
        <v>N/A</v>
      </c>
      <c r="O21" s="99" t="str">
        <f>IFERROR(__xludf.DUMMYFUNCTION("IFERROR(MODE(FILTER($G$4:$G$66,$D$4:$D$66=$J21,ISNUMBER($G$4:$G$66))),""N/A"")"),"N/A")</f>
        <v>N/A</v>
      </c>
      <c r="P21" s="99">
        <f t="shared" ref="P21:AE21" si="25">COUNTIFS($H$4:$H$66,P$3,$D$4:$D$66,$J21)</f>
        <v>0</v>
      </c>
      <c r="Q21" s="99">
        <f t="shared" si="25"/>
        <v>0</v>
      </c>
      <c r="R21" s="99">
        <f t="shared" si="25"/>
        <v>0</v>
      </c>
      <c r="S21" s="99">
        <f t="shared" si="25"/>
        <v>0</v>
      </c>
      <c r="T21" s="99">
        <f t="shared" si="25"/>
        <v>0</v>
      </c>
      <c r="U21" s="99">
        <f t="shared" si="25"/>
        <v>0</v>
      </c>
      <c r="V21" s="99">
        <f t="shared" si="25"/>
        <v>0</v>
      </c>
      <c r="W21" s="99">
        <f t="shared" si="25"/>
        <v>0</v>
      </c>
      <c r="X21" s="99">
        <f t="shared" si="25"/>
        <v>0</v>
      </c>
      <c r="Y21" s="99">
        <f t="shared" si="25"/>
        <v>0</v>
      </c>
      <c r="Z21" s="99">
        <f t="shared" si="25"/>
        <v>0</v>
      </c>
      <c r="AA21" s="99">
        <f t="shared" si="25"/>
        <v>0</v>
      </c>
      <c r="AB21" s="99">
        <f t="shared" si="25"/>
        <v>0</v>
      </c>
      <c r="AC21" s="99">
        <f t="shared" si="25"/>
        <v>0</v>
      </c>
      <c r="AD21" s="99">
        <f t="shared" si="25"/>
        <v>0</v>
      </c>
      <c r="AE21" s="99">
        <f t="shared" si="25"/>
        <v>0</v>
      </c>
      <c r="AF21" s="101">
        <f t="array" ref="AF21:AU21">IFERROR(P21:AE21*TRANSPOSE('Queen MIDI'!$J$4:$J$19),"N/A")</f>
        <v>0</v>
      </c>
      <c r="AG21" s="101">
        <v>0.0</v>
      </c>
      <c r="AH21" s="101">
        <v>0.0</v>
      </c>
      <c r="AI21" s="101">
        <v>0.0</v>
      </c>
      <c r="AJ21" s="101">
        <v>0.0</v>
      </c>
      <c r="AK21" s="101">
        <v>0.0</v>
      </c>
      <c r="AL21" s="101">
        <v>0.0</v>
      </c>
      <c r="AM21" s="101">
        <v>0.0</v>
      </c>
      <c r="AN21" s="101" t="s">
        <v>357</v>
      </c>
      <c r="AO21" s="101">
        <v>0.0</v>
      </c>
      <c r="AP21" s="101">
        <v>0.0</v>
      </c>
      <c r="AQ21" s="101">
        <v>0.0</v>
      </c>
      <c r="AR21" s="101">
        <v>0.0</v>
      </c>
      <c r="AS21" s="101">
        <v>0.0</v>
      </c>
      <c r="AT21" s="101">
        <v>0.0</v>
      </c>
      <c r="AU21" s="101">
        <v>0.0</v>
      </c>
      <c r="AV21" s="99" t="str">
        <f>IFERROR(__xludf.DUMMYFUNCTION("JOIN("", "",FILTER($P$3:$AE$3,$P21:$AE21=MAX($P21:$AE21)))"),"Queen,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1" s="99">
        <f t="shared" si="6"/>
        <v>0</v>
      </c>
      <c r="AX21" s="99">
        <f>IFERROR(__xludf.DUMMYFUNCTION("COUNTA(FILTER($P$3:$AE$3,$P21:$AE21=MAX($P21:$AE21)))"),16.0)</f>
        <v>16</v>
      </c>
      <c r="AY21" s="99" t="str">
        <f>IFERROR(__xludf.DUMMYFUNCTION("IFERROR(JOIN("", "",FILTER($AF$3:$AU$3,$AF21:$AU21=MAXIFS($AF21:$AU21,$AF$23:$AU$23,TRUE),$AF$23:$AU$23)),""N/A"")"),"Queen,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1" s="103" t="str">
        <f>IFERROR(__xludf.DUMMYFUNCTION("IFERROR(JOIN("", "",FILTER($P21:$AE21,$AF21:$AU21=MAXIFS($AF21:$AU21,$AF$23:$AU$23,TRUE),$AF$23:$AU$23)),""N/A"")"),"0, 0, 0, 0, 0, 0, 0, 0, 0, 0, 0, 0, 0, 0")</f>
        <v>0, 0, 0, 0, 0, 0, 0, 0, 0, 0, 0, 0, 0, 0</v>
      </c>
      <c r="BA21" s="103">
        <f>MAXIFS(AF21:AU21,$AF$23:$AU$23,TRUE)/'Queen MIDI'!$J$20</f>
        <v>0</v>
      </c>
      <c r="BB21" s="98">
        <f>IFERROR(__xludf.DUMMYFUNCTION("COUNTA(IFERROR(FILTER($AF$3:$AU$3,$AF21:$AU21=MAXIFS($AF21:$AU21,$AF$23:$AU$23,TRUE),$AF$23:$AU$23),))"),14.0)</f>
        <v>14</v>
      </c>
      <c r="BC21" s="105">
        <f t="shared" si="7"/>
        <v>0</v>
      </c>
      <c r="BD21" s="99">
        <f t="shared" si="8"/>
        <v>0</v>
      </c>
      <c r="BE21" s="1"/>
    </row>
    <row r="22">
      <c r="A22" s="1"/>
      <c r="C22" s="66" t="str">
        <f t="array" ref="C22">INDEX('Queen MIDI'!$C$4:$C$66,MATCH(F22,'Queen MIDI'!$D$4:$D$66,0))</f>
        <v>You're My Best Friend</v>
      </c>
      <c r="D22" s="154">
        <v>4.0</v>
      </c>
      <c r="E22" s="155" t="s">
        <v>369</v>
      </c>
      <c r="F22" s="66" t="str">
        <f t="shared" si="2"/>
        <v>You_re My Best Friend.mid</v>
      </c>
      <c r="G22" s="124">
        <f>HLOOKUP(H22,'Queen Discography'!$C$2:$Q$3,2,FALSE)</f>
        <v>1975</v>
      </c>
      <c r="H22" s="66" t="str">
        <f>IF(COUNTIF('Queen Discography'!$C$4:$C$22,C22)&gt;0,"Queen",
IF(COUNTIF('Queen Discography'!$D$4:$D$22,C22)&gt;0,"Queen II",
IF(COUNTIF('Queen Discography'!$E$4:$E$22,C22)&gt;0,"Sheer Heart Attack",
IF(COUNTIF('Queen Discography'!$F$4:$F$22,C22)&gt;0,"A Night At The Opera",
IF(COUNTIF('Queen Discography'!$G$4:$G$22,C22)&gt;0,"A Day At The Races",
IF(COUNTIF('Queen Discography'!$H$4:$H$22,C22)&gt;0,"News Of The World",
IF(COUNTIF('Queen Discography'!$I$4:$I$22,C22)&gt;0,"Jazz",
IF(COUNTIF('Queen Discography'!$J$4:$J$22,C22)&gt;0,"The Game",
IF(COUNTIF('Queen Discography'!$K$4:$K$22,C22)&gt;0,"Flash Gordon",
IF(COUNTIF('Queen Discography'!$L$4:$L$22,C22)&gt;0,"Hot Space",
IF(COUNTIF('Queen Discography'!$M$4:$M$22,C22)&gt;0,"The Works",
IF(COUNTIF('Queen Discography'!$N$4:$N$22,C22)&gt;0,"A Kind Of Magic",
IF(COUNTIF('Queen Discography'!$O$4:$O$22,C22)&gt;0,"The Miracle",
IF(COUNTIF('Queen Discography'!$P$4:$P$22,C22)&gt;0,"Innuendo",
IF(COUNTIF('Queen Discography'!$Q$4:$Q$22,C22)&gt;0,"Made In Heaven","NOT FOUND")))))))))))))))</f>
        <v>A Night At The Opera</v>
      </c>
      <c r="I22" s="1"/>
      <c r="J22" s="107"/>
      <c r="K22" s="1"/>
      <c r="L22" s="1"/>
      <c r="M22" s="1"/>
      <c r="N22" s="87"/>
      <c r="O22" s="1"/>
      <c r="P22" s="1"/>
      <c r="Q22" s="1"/>
      <c r="R22" s="1"/>
      <c r="S22" s="1"/>
      <c r="T22" s="1"/>
      <c r="U22" s="1"/>
      <c r="V22" s="1"/>
      <c r="W22" s="1"/>
      <c r="X22" s="1"/>
      <c r="Y22" s="1"/>
      <c r="Z22" s="1"/>
      <c r="AA22" s="1"/>
      <c r="AB22" s="1"/>
      <c r="AC22" s="1"/>
      <c r="AD22" s="1"/>
      <c r="AE22" s="1"/>
      <c r="AF22" s="108">
        <f t="array" ref="AF22:AU22">TRANSPOSE('Queen MIDI'!I4:I19)</f>
        <v>4</v>
      </c>
      <c r="AG22" s="108">
        <v>3.0</v>
      </c>
      <c r="AH22" s="108">
        <v>2.0</v>
      </c>
      <c r="AI22" s="108">
        <v>5.0</v>
      </c>
      <c r="AJ22" s="108">
        <v>3.0</v>
      </c>
      <c r="AK22" s="108">
        <v>4.0</v>
      </c>
      <c r="AL22" s="108">
        <v>5.0</v>
      </c>
      <c r="AM22" s="108">
        <v>4.0</v>
      </c>
      <c r="AN22" s="108">
        <v>0.0</v>
      </c>
      <c r="AO22" s="108">
        <v>1.0</v>
      </c>
      <c r="AP22" s="108">
        <v>4.0</v>
      </c>
      <c r="AQ22" s="108">
        <v>5.0</v>
      </c>
      <c r="AR22" s="108">
        <v>5.0</v>
      </c>
      <c r="AS22" s="108">
        <v>9.0</v>
      </c>
      <c r="AT22" s="108">
        <v>7.0</v>
      </c>
      <c r="AU22" s="108">
        <v>2.0</v>
      </c>
      <c r="AV22" s="79" t="s">
        <v>235</v>
      </c>
      <c r="AW22" s="1"/>
      <c r="AX22" s="1"/>
      <c r="AY22" s="1"/>
      <c r="AZ22" s="107"/>
      <c r="BA22" s="107"/>
      <c r="BB22" s="107"/>
      <c r="BC22" s="109" t="s">
        <v>230</v>
      </c>
      <c r="BD22" s="110">
        <f>SUM(BD4:BD21)</f>
        <v>63</v>
      </c>
      <c r="BE22" s="1"/>
    </row>
    <row r="23">
      <c r="A23" s="1"/>
      <c r="C23" s="66" t="str">
        <f t="array" ref="C23">INDEX('Queen MIDI'!$C$4:$C$66,MATCH(F23,'Queen MIDI'!$D$4:$D$66,0))</f>
        <v>39</v>
      </c>
      <c r="D23" s="154">
        <v>4.0</v>
      </c>
      <c r="E23" s="155" t="s">
        <v>365</v>
      </c>
      <c r="F23" s="66" t="str">
        <f t="shared" si="2"/>
        <v>_39.mid</v>
      </c>
      <c r="G23" s="124">
        <f>HLOOKUP(H23,'Queen Discography'!$C$2:$Q$3,2,FALSE)</f>
        <v>1975</v>
      </c>
      <c r="H23" s="66" t="str">
        <f>IF(COUNTIF('Queen Discography'!$C$4:$C$22,C23)&gt;0,"Queen",
IF(COUNTIF('Queen Discography'!$D$4:$D$22,C23)&gt;0,"Queen II",
IF(COUNTIF('Queen Discography'!$E$4:$E$22,C23)&gt;0,"Sheer Heart Attack",
IF(COUNTIF('Queen Discography'!$F$4:$F$22,C23)&gt;0,"A Night At The Opera",
IF(COUNTIF('Queen Discography'!$G$4:$G$22,C23)&gt;0,"A Day At The Races",
IF(COUNTIF('Queen Discography'!$H$4:$H$22,C23)&gt;0,"News Of The World",
IF(COUNTIF('Queen Discography'!$I$4:$I$22,C23)&gt;0,"Jazz",
IF(COUNTIF('Queen Discography'!$J$4:$J$22,C23)&gt;0,"The Game",
IF(COUNTIF('Queen Discography'!$K$4:$K$22,C23)&gt;0,"Flash Gordon",
IF(COUNTIF('Queen Discography'!$L$4:$L$22,C23)&gt;0,"Hot Space",
IF(COUNTIF('Queen Discography'!$M$4:$M$22,C23)&gt;0,"The Works",
IF(COUNTIF('Queen Discography'!$N$4:$N$22,C23)&gt;0,"A Kind Of Magic",
IF(COUNTIF('Queen Discography'!$O$4:$O$22,C23)&gt;0,"The Miracle",
IF(COUNTIF('Queen Discography'!$P$4:$P$22,C23)&gt;0,"Innuendo",
IF(COUNTIF('Queen Discography'!$Q$4:$Q$22,C23)&gt;0,"Made In Heaven","NOT FOUND")))))))))))))))</f>
        <v>A Night At The Opera</v>
      </c>
      <c r="I23" s="1"/>
      <c r="J23" s="1"/>
      <c r="K23" s="1"/>
      <c r="L23" s="1"/>
      <c r="M23" s="1"/>
      <c r="N23" s="87"/>
      <c r="O23" s="1"/>
      <c r="P23" s="1"/>
      <c r="Q23" s="1"/>
      <c r="R23" s="1"/>
      <c r="S23" s="1"/>
      <c r="T23" s="1"/>
      <c r="U23" s="1"/>
      <c r="V23" s="1"/>
      <c r="W23" s="1"/>
      <c r="X23" s="1"/>
      <c r="Y23" s="1"/>
      <c r="Z23" s="1"/>
      <c r="AA23" s="1"/>
      <c r="AB23" s="1"/>
      <c r="AC23" s="1"/>
      <c r="AD23" s="1"/>
      <c r="AE23" s="1"/>
      <c r="AF23" s="111" t="b">
        <f t="shared" ref="AF23:AU23" si="26">IF(AF22&gt;=$AV$23,TRUE,FALSE)</f>
        <v>1</v>
      </c>
      <c r="AG23" s="111" t="b">
        <f t="shared" si="26"/>
        <v>1</v>
      </c>
      <c r="AH23" s="111" t="b">
        <f t="shared" si="26"/>
        <v>1</v>
      </c>
      <c r="AI23" s="111" t="b">
        <f t="shared" si="26"/>
        <v>1</v>
      </c>
      <c r="AJ23" s="111" t="b">
        <f t="shared" si="26"/>
        <v>1</v>
      </c>
      <c r="AK23" s="111" t="b">
        <f t="shared" si="26"/>
        <v>1</v>
      </c>
      <c r="AL23" s="111" t="b">
        <f t="shared" si="26"/>
        <v>1</v>
      </c>
      <c r="AM23" s="111" t="b">
        <f t="shared" si="26"/>
        <v>1</v>
      </c>
      <c r="AN23" s="111" t="b">
        <f t="shared" si="26"/>
        <v>0</v>
      </c>
      <c r="AO23" s="111" t="b">
        <f t="shared" si="26"/>
        <v>0</v>
      </c>
      <c r="AP23" s="111" t="b">
        <f t="shared" si="26"/>
        <v>1</v>
      </c>
      <c r="AQ23" s="111" t="b">
        <f t="shared" si="26"/>
        <v>1</v>
      </c>
      <c r="AR23" s="111" t="b">
        <f t="shared" si="26"/>
        <v>1</v>
      </c>
      <c r="AS23" s="111" t="b">
        <f t="shared" si="26"/>
        <v>1</v>
      </c>
      <c r="AT23" s="111" t="b">
        <f t="shared" si="26"/>
        <v>1</v>
      </c>
      <c r="AU23" s="111" t="b">
        <f t="shared" si="26"/>
        <v>1</v>
      </c>
      <c r="AV23" s="79">
        <f>'Queen MIDI'!I22</f>
        <v>2</v>
      </c>
      <c r="AW23" s="1"/>
      <c r="AX23" s="1"/>
      <c r="AY23" s="1"/>
      <c r="AZ23" s="1"/>
      <c r="BA23" s="1"/>
      <c r="BB23" s="1"/>
      <c r="BC23" s="1"/>
      <c r="BD23" s="1"/>
      <c r="BE23" s="1"/>
    </row>
    <row r="24">
      <c r="A24" s="1"/>
      <c r="C24" s="66" t="str">
        <f t="array" ref="C24">INDEX('Queen MIDI'!$C$4:$C$66,MATCH(F24,'Queen MIDI'!$D$4:$D$66,0))</f>
        <v>Good Old-Fashioned Lover Boy</v>
      </c>
      <c r="D24" s="156">
        <v>4.0</v>
      </c>
      <c r="E24" s="157" t="s">
        <v>370</v>
      </c>
      <c r="F24" s="66" t="str">
        <f t="shared" si="2"/>
        <v>Good Old Fashioned Lover Boy.2.mid</v>
      </c>
      <c r="G24" s="120">
        <f>HLOOKUP(H24,'Queen Discography'!$C$2:$Q$3,2,FALSE)</f>
        <v>1976</v>
      </c>
      <c r="H24" s="66" t="str">
        <f>IF(COUNTIF('Queen Discography'!$C$4:$C$22,C24)&gt;0,"Queen",
IF(COUNTIF('Queen Discography'!$D$4:$D$22,C24)&gt;0,"Queen II",
IF(COUNTIF('Queen Discography'!$E$4:$E$22,C24)&gt;0,"Sheer Heart Attack",
IF(COUNTIF('Queen Discography'!$F$4:$F$22,C24)&gt;0,"A Night At The Opera",
IF(COUNTIF('Queen Discography'!$G$4:$G$22,C24)&gt;0,"A Day At The Races",
IF(COUNTIF('Queen Discography'!$H$4:$H$22,C24)&gt;0,"News Of The World",
IF(COUNTIF('Queen Discography'!$I$4:$I$22,C24)&gt;0,"Jazz",
IF(COUNTIF('Queen Discography'!$J$4:$J$22,C24)&gt;0,"The Game",
IF(COUNTIF('Queen Discography'!$K$4:$K$22,C24)&gt;0,"Flash Gordon",
IF(COUNTIF('Queen Discography'!$L$4:$L$22,C24)&gt;0,"Hot Space",
IF(COUNTIF('Queen Discography'!$M$4:$M$22,C24)&gt;0,"The Works",
IF(COUNTIF('Queen Discography'!$N$4:$N$22,C24)&gt;0,"A Kind Of Magic",
IF(COUNTIF('Queen Discography'!$O$4:$O$22,C24)&gt;0,"The Miracle",
IF(COUNTIF('Queen Discography'!$P$4:$P$22,C24)&gt;0,"Innuendo",
IF(COUNTIF('Queen Discography'!$Q$4:$Q$22,C24)&gt;0,"Made In Heaven","NOT FOUND")))))))))))))))</f>
        <v>A Day At The Races</v>
      </c>
      <c r="I24" s="1"/>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
    </row>
    <row r="25">
      <c r="A25" s="1"/>
      <c r="C25" s="66" t="str">
        <f t="array" ref="C25">INDEX('Queen MIDI'!$C$4:$C$66,MATCH(F25,'Queen MIDI'!$D$4:$D$66,0))</f>
        <v>Spread Your Wings</v>
      </c>
      <c r="D25" s="136">
        <v>4.0</v>
      </c>
      <c r="E25" s="137" t="s">
        <v>374</v>
      </c>
      <c r="F25" s="66" t="str">
        <f t="shared" si="2"/>
        <v>Spread Your Wings.mid</v>
      </c>
      <c r="G25" s="127">
        <f>HLOOKUP(H25,'Queen Discography'!$C$2:$Q$3,2,FALSE)</f>
        <v>1977</v>
      </c>
      <c r="H25" s="66" t="str">
        <f>IF(COUNTIF('Queen Discography'!$C$4:$C$22,C25)&gt;0,"Queen",
IF(COUNTIF('Queen Discography'!$D$4:$D$22,C25)&gt;0,"Queen II",
IF(COUNTIF('Queen Discography'!$E$4:$E$22,C25)&gt;0,"Sheer Heart Attack",
IF(COUNTIF('Queen Discography'!$F$4:$F$22,C25)&gt;0,"A Night At The Opera",
IF(COUNTIF('Queen Discography'!$G$4:$G$22,C25)&gt;0,"A Day At The Races",
IF(COUNTIF('Queen Discography'!$H$4:$H$22,C25)&gt;0,"News Of The World",
IF(COUNTIF('Queen Discography'!$I$4:$I$22,C25)&gt;0,"Jazz",
IF(COUNTIF('Queen Discography'!$J$4:$J$22,C25)&gt;0,"The Game",
IF(COUNTIF('Queen Discography'!$K$4:$K$22,C25)&gt;0,"Flash Gordon",
IF(COUNTIF('Queen Discography'!$L$4:$L$22,C25)&gt;0,"Hot Space",
IF(COUNTIF('Queen Discography'!$M$4:$M$22,C25)&gt;0,"The Works",
IF(COUNTIF('Queen Discography'!$N$4:$N$22,C25)&gt;0,"A Kind Of Magic",
IF(COUNTIF('Queen Discography'!$O$4:$O$22,C25)&gt;0,"The Miracle",
IF(COUNTIF('Queen Discography'!$P$4:$P$22,C25)&gt;0,"Innuendo",
IF(COUNTIF('Queen Discography'!$Q$4:$Q$22,C25)&gt;0,"Made In Heaven","NOT FOUND")))))))))))))))</f>
        <v>News Of The World</v>
      </c>
      <c r="I25" s="1"/>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
    </row>
    <row r="26">
      <c r="A26" s="1"/>
      <c r="C26" s="66" t="str">
        <f t="array" ref="C26">INDEX('Queen MIDI'!$C$4:$C$66,MATCH(F26,'Queen MIDI'!$D$4:$D$66,0))</f>
        <v>We Are The Champions</v>
      </c>
      <c r="D26" s="136">
        <v>4.0</v>
      </c>
      <c r="E26" s="137" t="s">
        <v>375</v>
      </c>
      <c r="F26" s="66" t="str">
        <f t="shared" si="2"/>
        <v>We Are The Champions.1.mid</v>
      </c>
      <c r="G26" s="124">
        <f>HLOOKUP(H26,'Queen Discography'!$C$2:$Q$3,2,FALSE)</f>
        <v>1977</v>
      </c>
      <c r="H26" s="66" t="str">
        <f>IF(COUNTIF('Queen Discography'!$C$4:$C$22,C26)&gt;0,"Queen",
IF(COUNTIF('Queen Discography'!$D$4:$D$22,C26)&gt;0,"Queen II",
IF(COUNTIF('Queen Discography'!$E$4:$E$22,C26)&gt;0,"Sheer Heart Attack",
IF(COUNTIF('Queen Discography'!$F$4:$F$22,C26)&gt;0,"A Night At The Opera",
IF(COUNTIF('Queen Discography'!$G$4:$G$22,C26)&gt;0,"A Day At The Races",
IF(COUNTIF('Queen Discography'!$H$4:$H$22,C26)&gt;0,"News Of The World",
IF(COUNTIF('Queen Discography'!$I$4:$I$22,C26)&gt;0,"Jazz",
IF(COUNTIF('Queen Discography'!$J$4:$J$22,C26)&gt;0,"The Game",
IF(COUNTIF('Queen Discography'!$K$4:$K$22,C26)&gt;0,"Flash Gordon",
IF(COUNTIF('Queen Discography'!$L$4:$L$22,C26)&gt;0,"Hot Space",
IF(COUNTIF('Queen Discography'!$M$4:$M$22,C26)&gt;0,"The Works",
IF(COUNTIF('Queen Discography'!$N$4:$N$22,C26)&gt;0,"A Kind Of Magic",
IF(COUNTIF('Queen Discography'!$O$4:$O$22,C26)&gt;0,"The Miracle",
IF(COUNTIF('Queen Discography'!$P$4:$P$22,C26)&gt;0,"Innuendo",
IF(COUNTIF('Queen Discography'!$Q$4:$Q$22,C26)&gt;0,"Made In Heaven","NOT FOUND")))))))))))))))</f>
        <v>News Of The World</v>
      </c>
      <c r="I26" s="1"/>
      <c r="J26" s="113"/>
      <c r="K26" s="1"/>
      <c r="L26" s="1"/>
      <c r="M26" s="1"/>
      <c r="N26" s="87"/>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row>
    <row r="27">
      <c r="A27" s="1"/>
      <c r="C27" s="66" t="str">
        <f t="array" ref="C27">INDEX('Queen MIDI'!$C$4:$C$66,MATCH(F27,'Queen MIDI'!$D$4:$D$66,0))</f>
        <v>Bicycle Race</v>
      </c>
      <c r="D27" s="138">
        <v>4.0</v>
      </c>
      <c r="E27" s="139" t="s">
        <v>376</v>
      </c>
      <c r="F27" s="66" t="str">
        <f t="shared" si="2"/>
        <v>Bicycle Race.mid</v>
      </c>
      <c r="G27" s="126">
        <f>HLOOKUP(H27,'Queen Discography'!$C$2:$Q$3,2,FALSE)</f>
        <v>1978</v>
      </c>
      <c r="H27" s="66" t="str">
        <f>IF(COUNTIF('Queen Discography'!$C$4:$C$22,C27)&gt;0,"Queen",
IF(COUNTIF('Queen Discography'!$D$4:$D$22,C27)&gt;0,"Queen II",
IF(COUNTIF('Queen Discography'!$E$4:$E$22,C27)&gt;0,"Sheer Heart Attack",
IF(COUNTIF('Queen Discography'!$F$4:$F$22,C27)&gt;0,"A Night At The Opera",
IF(COUNTIF('Queen Discography'!$G$4:$G$22,C27)&gt;0,"A Day At The Races",
IF(COUNTIF('Queen Discography'!$H$4:$H$22,C27)&gt;0,"News Of The World",
IF(COUNTIF('Queen Discography'!$I$4:$I$22,C27)&gt;0,"Jazz",
IF(COUNTIF('Queen Discography'!$J$4:$J$22,C27)&gt;0,"The Game",
IF(COUNTIF('Queen Discography'!$K$4:$K$22,C27)&gt;0,"Flash Gordon",
IF(COUNTIF('Queen Discography'!$L$4:$L$22,C27)&gt;0,"Hot Space",
IF(COUNTIF('Queen Discography'!$M$4:$M$22,C27)&gt;0,"The Works",
IF(COUNTIF('Queen Discography'!$N$4:$N$22,C27)&gt;0,"A Kind Of Magic",
IF(COUNTIF('Queen Discography'!$O$4:$O$22,C27)&gt;0,"The Miracle",
IF(COUNTIF('Queen Discography'!$P$4:$P$22,C27)&gt;0,"Innuendo",
IF(COUNTIF('Queen Discography'!$Q$4:$Q$22,C27)&gt;0,"Made In Heaven","NOT FOUND")))))))))))))))</f>
        <v>Jazz</v>
      </c>
      <c r="I27" s="1"/>
      <c r="J27" s="1"/>
      <c r="K27" s="1"/>
      <c r="L27" s="1"/>
      <c r="M27" s="1"/>
      <c r="N27" s="87"/>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row>
    <row r="28">
      <c r="A28" s="1"/>
      <c r="C28" s="66" t="str">
        <f t="array" ref="C28">INDEX('Queen MIDI'!$C$4:$C$66,MATCH(F28,'Queen MIDI'!$D$4:$D$66,0))</f>
        <v>Fat Bottomed Girls</v>
      </c>
      <c r="D28" s="138">
        <v>4.0</v>
      </c>
      <c r="E28" s="139" t="s">
        <v>378</v>
      </c>
      <c r="F28" s="66" t="str">
        <f t="shared" si="2"/>
        <v>Fat Bottomed Girls.mid</v>
      </c>
      <c r="G28" s="125">
        <f>HLOOKUP(H28,'Queen Discography'!$C$2:$Q$3,2,FALSE)</f>
        <v>1978</v>
      </c>
      <c r="H28" s="66" t="str">
        <f>IF(COUNTIF('Queen Discography'!$C$4:$C$22,C28)&gt;0,"Queen",
IF(COUNTIF('Queen Discography'!$D$4:$D$22,C28)&gt;0,"Queen II",
IF(COUNTIF('Queen Discography'!$E$4:$E$22,C28)&gt;0,"Sheer Heart Attack",
IF(COUNTIF('Queen Discography'!$F$4:$F$22,C28)&gt;0,"A Night At The Opera",
IF(COUNTIF('Queen Discography'!$G$4:$G$22,C28)&gt;0,"A Day At The Races",
IF(COUNTIF('Queen Discography'!$H$4:$H$22,C28)&gt;0,"News Of The World",
IF(COUNTIF('Queen Discography'!$I$4:$I$22,C28)&gt;0,"Jazz",
IF(COUNTIF('Queen Discography'!$J$4:$J$22,C28)&gt;0,"The Game",
IF(COUNTIF('Queen Discography'!$K$4:$K$22,C28)&gt;0,"Flash Gordon",
IF(COUNTIF('Queen Discography'!$L$4:$L$22,C28)&gt;0,"Hot Space",
IF(COUNTIF('Queen Discography'!$M$4:$M$22,C28)&gt;0,"The Works",
IF(COUNTIF('Queen Discography'!$N$4:$N$22,C28)&gt;0,"A Kind Of Magic",
IF(COUNTIF('Queen Discography'!$O$4:$O$22,C28)&gt;0,"The Miracle",
IF(COUNTIF('Queen Discography'!$P$4:$P$22,C28)&gt;0,"Innuendo",
IF(COUNTIF('Queen Discography'!$Q$4:$Q$22,C28)&gt;0,"Made In Heaven","NOT FOUND")))))))))))))))</f>
        <v>Jazz</v>
      </c>
      <c r="I28" s="1"/>
      <c r="J28" s="1"/>
      <c r="K28" s="1"/>
      <c r="L28" s="1"/>
      <c r="M28" s="1"/>
      <c r="N28" s="87"/>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c r="A29" s="1"/>
      <c r="C29" s="66" t="str">
        <f t="array" ref="C29">INDEX('Queen MIDI'!$C$4:$C$66,MATCH(F29,'Queen MIDI'!$D$4:$D$66,0))</f>
        <v>In Only Seven Days</v>
      </c>
      <c r="D29" s="138">
        <v>4.0</v>
      </c>
      <c r="E29" s="139" t="s">
        <v>380</v>
      </c>
      <c r="F29" s="66" t="str">
        <f t="shared" si="2"/>
        <v>In Only Seven Days.mid</v>
      </c>
      <c r="G29" s="129">
        <f>HLOOKUP(H29,'Queen Discography'!$C$2:$Q$3,2,FALSE)</f>
        <v>1978</v>
      </c>
      <c r="H29" s="66" t="str">
        <f>IF(COUNTIF('Queen Discography'!$C$4:$C$22,C29)&gt;0,"Queen",
IF(COUNTIF('Queen Discography'!$D$4:$D$22,C29)&gt;0,"Queen II",
IF(COUNTIF('Queen Discography'!$E$4:$E$22,C29)&gt;0,"Sheer Heart Attack",
IF(COUNTIF('Queen Discography'!$F$4:$F$22,C29)&gt;0,"A Night At The Opera",
IF(COUNTIF('Queen Discography'!$G$4:$G$22,C29)&gt;0,"A Day At The Races",
IF(COUNTIF('Queen Discography'!$H$4:$H$22,C29)&gt;0,"News Of The World",
IF(COUNTIF('Queen Discography'!$I$4:$I$22,C29)&gt;0,"Jazz",
IF(COUNTIF('Queen Discography'!$J$4:$J$22,C29)&gt;0,"The Game",
IF(COUNTIF('Queen Discography'!$K$4:$K$22,C29)&gt;0,"Flash Gordon",
IF(COUNTIF('Queen Discography'!$L$4:$L$22,C29)&gt;0,"Hot Space",
IF(COUNTIF('Queen Discography'!$M$4:$M$22,C29)&gt;0,"The Works",
IF(COUNTIF('Queen Discography'!$N$4:$N$22,C29)&gt;0,"A Kind Of Magic",
IF(COUNTIF('Queen Discography'!$O$4:$O$22,C29)&gt;0,"The Miracle",
IF(COUNTIF('Queen Discography'!$P$4:$P$22,C29)&gt;0,"Innuendo",
IF(COUNTIF('Queen Discography'!$Q$4:$Q$22,C29)&gt;0,"Made In Heaven","NOT FOUND")))))))))))))))</f>
        <v>Jazz</v>
      </c>
      <c r="I29" s="1"/>
      <c r="J29" s="1"/>
      <c r="K29" s="1"/>
      <c r="L29" s="1"/>
      <c r="M29" s="1"/>
      <c r="N29" s="87"/>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row>
    <row r="30">
      <c r="A30" s="1"/>
      <c r="C30" s="66" t="str">
        <f t="array" ref="C30">INDEX('Queen MIDI'!$C$4:$C$66,MATCH(F30,'Queen MIDI'!$D$4:$D$66,0))</f>
        <v>Play the Game</v>
      </c>
      <c r="D30" s="148">
        <v>4.0</v>
      </c>
      <c r="E30" s="149" t="s">
        <v>383</v>
      </c>
      <c r="F30" s="66" t="str">
        <f t="shared" si="2"/>
        <v>Play the Game.1.mid</v>
      </c>
      <c r="G30" s="131">
        <f>HLOOKUP(H30,'Queen Discography'!$C$2:$Q$3,2,FALSE)</f>
        <v>1980</v>
      </c>
      <c r="H30" s="66" t="str">
        <f>IF(COUNTIF('Queen Discography'!$C$4:$C$22,C30)&gt;0,"Queen",
IF(COUNTIF('Queen Discography'!$D$4:$D$22,C30)&gt;0,"Queen II",
IF(COUNTIF('Queen Discography'!$E$4:$E$22,C30)&gt;0,"Sheer Heart Attack",
IF(COUNTIF('Queen Discography'!$F$4:$F$22,C30)&gt;0,"A Night At The Opera",
IF(COUNTIF('Queen Discography'!$G$4:$G$22,C30)&gt;0,"A Day At The Races",
IF(COUNTIF('Queen Discography'!$H$4:$H$22,C30)&gt;0,"News Of The World",
IF(COUNTIF('Queen Discography'!$I$4:$I$22,C30)&gt;0,"Jazz",
IF(COUNTIF('Queen Discography'!$J$4:$J$22,C30)&gt;0,"The Game",
IF(COUNTIF('Queen Discography'!$K$4:$K$22,C30)&gt;0,"Flash Gordon",
IF(COUNTIF('Queen Discography'!$L$4:$L$22,C30)&gt;0,"Hot Space",
IF(COUNTIF('Queen Discography'!$M$4:$M$22,C30)&gt;0,"The Works",
IF(COUNTIF('Queen Discography'!$N$4:$N$22,C30)&gt;0,"A Kind Of Magic",
IF(COUNTIF('Queen Discography'!$O$4:$O$22,C30)&gt;0,"The Miracle",
IF(COUNTIF('Queen Discography'!$P$4:$P$22,C30)&gt;0,"Innuendo",
IF(COUNTIF('Queen Discography'!$Q$4:$Q$22,C30)&gt;0,"Made In Heaven","NOT FOUND")))))))))))))))</f>
        <v>The Game</v>
      </c>
      <c r="I30" s="1"/>
      <c r="J30" s="1"/>
      <c r="K30" s="1"/>
      <c r="L30" s="1"/>
      <c r="M30" s="1"/>
      <c r="N30" s="87"/>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row>
    <row r="31">
      <c r="A31" s="1"/>
      <c r="C31" s="66" t="str">
        <f t="array" ref="C31">INDEX('Queen MIDI'!$C$4:$C$66,MATCH(F31,'Queen MIDI'!$D$4:$D$66,0))</f>
        <v>Save Me</v>
      </c>
      <c r="D31" s="148">
        <v>4.0</v>
      </c>
      <c r="E31" s="149" t="s">
        <v>384</v>
      </c>
      <c r="F31" s="66" t="str">
        <f t="shared" si="2"/>
        <v>Save Me.2.mid</v>
      </c>
      <c r="G31" s="129">
        <f>HLOOKUP(H31,'Queen Discography'!$C$2:$Q$3,2,FALSE)</f>
        <v>1980</v>
      </c>
      <c r="H31" s="66" t="str">
        <f>IF(COUNTIF('Queen Discography'!$C$4:$C$22,C31)&gt;0,"Queen",
IF(COUNTIF('Queen Discography'!$D$4:$D$22,C31)&gt;0,"Queen II",
IF(COUNTIF('Queen Discography'!$E$4:$E$22,C31)&gt;0,"Sheer Heart Attack",
IF(COUNTIF('Queen Discography'!$F$4:$F$22,C31)&gt;0,"A Night At The Opera",
IF(COUNTIF('Queen Discography'!$G$4:$G$22,C31)&gt;0,"A Day At The Races",
IF(COUNTIF('Queen Discography'!$H$4:$H$22,C31)&gt;0,"News Of The World",
IF(COUNTIF('Queen Discography'!$I$4:$I$22,C31)&gt;0,"Jazz",
IF(COUNTIF('Queen Discography'!$J$4:$J$22,C31)&gt;0,"The Game",
IF(COUNTIF('Queen Discography'!$K$4:$K$22,C31)&gt;0,"Flash Gordon",
IF(COUNTIF('Queen Discography'!$L$4:$L$22,C31)&gt;0,"Hot Space",
IF(COUNTIF('Queen Discography'!$M$4:$M$22,C31)&gt;0,"The Works",
IF(COUNTIF('Queen Discography'!$N$4:$N$22,C31)&gt;0,"A Kind Of Magic",
IF(COUNTIF('Queen Discography'!$O$4:$O$22,C31)&gt;0,"The Miracle",
IF(COUNTIF('Queen Discography'!$P$4:$P$22,C31)&gt;0,"Innuendo",
IF(COUNTIF('Queen Discography'!$Q$4:$Q$22,C31)&gt;0,"Made In Heaven","NOT FOUND")))))))))))))))</f>
        <v>The Game</v>
      </c>
      <c r="I31" s="1"/>
      <c r="J31" s="1"/>
      <c r="K31" s="1"/>
      <c r="L31" s="1"/>
      <c r="M31" s="1"/>
      <c r="N31" s="87"/>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c r="A32" s="1"/>
      <c r="C32" s="66" t="str">
        <f t="array" ref="C32">INDEX('Queen MIDI'!$C$4:$C$66,MATCH(F32,'Queen MIDI'!$D$4:$D$66,0))</f>
        <v>Under Pressure</v>
      </c>
      <c r="D32" s="158">
        <v>4.0</v>
      </c>
      <c r="E32" s="159" t="s">
        <v>385</v>
      </c>
      <c r="F32" s="66" t="str">
        <f t="shared" si="2"/>
        <v>Under Pressure.7.mid</v>
      </c>
      <c r="G32" s="124">
        <f>HLOOKUP(H32,'Queen Discography'!$C$2:$Q$3,2,FALSE)</f>
        <v>1982</v>
      </c>
      <c r="H32" s="66" t="str">
        <f>IF(COUNTIF('Queen Discography'!$C$4:$C$22,C32)&gt;0,"Queen",
IF(COUNTIF('Queen Discography'!$D$4:$D$22,C32)&gt;0,"Queen II",
IF(COUNTIF('Queen Discography'!$E$4:$E$22,C32)&gt;0,"Sheer Heart Attack",
IF(COUNTIF('Queen Discography'!$F$4:$F$22,C32)&gt;0,"A Night At The Opera",
IF(COUNTIF('Queen Discography'!$G$4:$G$22,C32)&gt;0,"A Day At The Races",
IF(COUNTIF('Queen Discography'!$H$4:$H$22,C32)&gt;0,"News Of The World",
IF(COUNTIF('Queen Discography'!$I$4:$I$22,C32)&gt;0,"Jazz",
IF(COUNTIF('Queen Discography'!$J$4:$J$22,C32)&gt;0,"The Game",
IF(COUNTIF('Queen Discography'!$K$4:$K$22,C32)&gt;0,"Flash Gordon",
IF(COUNTIF('Queen Discography'!$L$4:$L$22,C32)&gt;0,"Hot Space",
IF(COUNTIF('Queen Discography'!$M$4:$M$22,C32)&gt;0,"The Works",
IF(COUNTIF('Queen Discography'!$N$4:$N$22,C32)&gt;0,"A Kind Of Magic",
IF(COUNTIF('Queen Discography'!$O$4:$O$22,C32)&gt;0,"The Miracle",
IF(COUNTIF('Queen Discography'!$P$4:$P$22,C32)&gt;0,"Innuendo",
IF(COUNTIF('Queen Discography'!$Q$4:$Q$22,C32)&gt;0,"Made In Heaven","NOT FOUND")))))))))))))))</f>
        <v>Hot Space</v>
      </c>
      <c r="I32" s="1"/>
      <c r="J32" s="1"/>
      <c r="K32" s="1"/>
      <c r="L32" s="1"/>
      <c r="M32" s="1"/>
      <c r="N32" s="87"/>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row>
    <row r="33">
      <c r="A33" s="1"/>
      <c r="C33" s="66" t="str">
        <f t="array" ref="C33">INDEX('Queen MIDI'!$C$4:$C$66,MATCH(F33,'Queen MIDI'!$D$4:$D$66,0))</f>
        <v>I Want to Break Free</v>
      </c>
      <c r="D33" s="160">
        <v>4.0</v>
      </c>
      <c r="E33" s="161" t="s">
        <v>387</v>
      </c>
      <c r="F33" s="66" t="str">
        <f t="shared" si="2"/>
        <v>I Want to Break Free.3.mid</v>
      </c>
      <c r="G33" s="127">
        <f>HLOOKUP(H33,'Queen Discography'!$C$2:$Q$3,2,FALSE)</f>
        <v>1984</v>
      </c>
      <c r="H33" s="66" t="str">
        <f>IF(COUNTIF('Queen Discography'!$C$4:$C$22,C33)&gt;0,"Queen",
IF(COUNTIF('Queen Discography'!$D$4:$D$22,C33)&gt;0,"Queen II",
IF(COUNTIF('Queen Discography'!$E$4:$E$22,C33)&gt;0,"Sheer Heart Attack",
IF(COUNTIF('Queen Discography'!$F$4:$F$22,C33)&gt;0,"A Night At The Opera",
IF(COUNTIF('Queen Discography'!$G$4:$G$22,C33)&gt;0,"A Day At The Races",
IF(COUNTIF('Queen Discography'!$H$4:$H$22,C33)&gt;0,"News Of The World",
IF(COUNTIF('Queen Discography'!$I$4:$I$22,C33)&gt;0,"Jazz",
IF(COUNTIF('Queen Discography'!$J$4:$J$22,C33)&gt;0,"The Game",
IF(COUNTIF('Queen Discography'!$K$4:$K$22,C33)&gt;0,"Flash Gordon",
IF(COUNTIF('Queen Discography'!$L$4:$L$22,C33)&gt;0,"Hot Space",
IF(COUNTIF('Queen Discography'!$M$4:$M$22,C33)&gt;0,"The Works",
IF(COUNTIF('Queen Discography'!$N$4:$N$22,C33)&gt;0,"A Kind Of Magic",
IF(COUNTIF('Queen Discography'!$O$4:$O$22,C33)&gt;0,"The Miracle",
IF(COUNTIF('Queen Discography'!$P$4:$P$22,C33)&gt;0,"Innuendo",
IF(COUNTIF('Queen Discography'!$Q$4:$Q$22,C33)&gt;0,"Made In Heaven","NOT FOUND")))))))))))))))</f>
        <v>The Works</v>
      </c>
      <c r="I33" s="1"/>
      <c r="J33" s="1"/>
      <c r="K33" s="1"/>
      <c r="L33" s="1"/>
      <c r="M33" s="1"/>
      <c r="N33" s="87"/>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row>
    <row r="34">
      <c r="A34" s="1"/>
      <c r="C34" s="66" t="str">
        <f t="array" ref="C34">INDEX('Queen MIDI'!$C$4:$C$66,MATCH(F34,'Queen MIDI'!$D$4:$D$66,0))</f>
        <v>Radio Ga Ga</v>
      </c>
      <c r="D34" s="160">
        <v>4.0</v>
      </c>
      <c r="E34" s="161" t="s">
        <v>389</v>
      </c>
      <c r="F34" s="66" t="str">
        <f t="shared" si="2"/>
        <v>Radio Ga Ga.5.mid</v>
      </c>
      <c r="G34" s="131">
        <f>HLOOKUP(H34,'Queen Discography'!$C$2:$Q$3,2,FALSE)</f>
        <v>1984</v>
      </c>
      <c r="H34" s="66" t="str">
        <f>IF(COUNTIF('Queen Discography'!$C$4:$C$22,C34)&gt;0,"Queen",
IF(COUNTIF('Queen Discography'!$D$4:$D$22,C34)&gt;0,"Queen II",
IF(COUNTIF('Queen Discography'!$E$4:$E$22,C34)&gt;0,"Sheer Heart Attack",
IF(COUNTIF('Queen Discography'!$F$4:$F$22,C34)&gt;0,"A Night At The Opera",
IF(COUNTIF('Queen Discography'!$G$4:$G$22,C34)&gt;0,"A Day At The Races",
IF(COUNTIF('Queen Discography'!$H$4:$H$22,C34)&gt;0,"News Of The World",
IF(COUNTIF('Queen Discography'!$I$4:$I$22,C34)&gt;0,"Jazz",
IF(COUNTIF('Queen Discography'!$J$4:$J$22,C34)&gt;0,"The Game",
IF(COUNTIF('Queen Discography'!$K$4:$K$22,C34)&gt;0,"Flash Gordon",
IF(COUNTIF('Queen Discography'!$L$4:$L$22,C34)&gt;0,"Hot Space",
IF(COUNTIF('Queen Discography'!$M$4:$M$22,C34)&gt;0,"The Works",
IF(COUNTIF('Queen Discography'!$N$4:$N$22,C34)&gt;0,"A Kind Of Magic",
IF(COUNTIF('Queen Discography'!$O$4:$O$22,C34)&gt;0,"The Miracle",
IF(COUNTIF('Queen Discography'!$P$4:$P$22,C34)&gt;0,"Innuendo",
IF(COUNTIF('Queen Discography'!$Q$4:$Q$22,C34)&gt;0,"Made In Heaven","NOT FOUND")))))))))))))))</f>
        <v>The Works</v>
      </c>
      <c r="I34" s="1"/>
      <c r="J34" s="1"/>
      <c r="K34" s="1"/>
      <c r="L34" s="1"/>
      <c r="M34" s="1"/>
      <c r="N34" s="87"/>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row>
    <row r="35">
      <c r="A35" s="1"/>
      <c r="C35" s="66" t="str">
        <f t="array" ref="C35">INDEX('Queen MIDI'!$C$4:$C$66,MATCH(F35,'Queen MIDI'!$D$4:$D$66,0))</f>
        <v>One Year of Love</v>
      </c>
      <c r="D35" s="162">
        <v>4.0</v>
      </c>
      <c r="E35" s="163" t="s">
        <v>392</v>
      </c>
      <c r="F35" s="66" t="str">
        <f t="shared" si="2"/>
        <v>One Year of Love.mid</v>
      </c>
      <c r="G35" s="131">
        <f>HLOOKUP(H35,'Queen Discography'!$C$2:$Q$3,2,FALSE)</f>
        <v>1986</v>
      </c>
      <c r="H35" s="66" t="str">
        <f>IF(COUNTIF('Queen Discography'!$C$4:$C$22,C35)&gt;0,"Queen",
IF(COUNTIF('Queen Discography'!$D$4:$D$22,C35)&gt;0,"Queen II",
IF(COUNTIF('Queen Discography'!$E$4:$E$22,C35)&gt;0,"Sheer Heart Attack",
IF(COUNTIF('Queen Discography'!$F$4:$F$22,C35)&gt;0,"A Night At The Opera",
IF(COUNTIF('Queen Discography'!$G$4:$G$22,C35)&gt;0,"A Day At The Races",
IF(COUNTIF('Queen Discography'!$H$4:$H$22,C35)&gt;0,"News Of The World",
IF(COUNTIF('Queen Discography'!$I$4:$I$22,C35)&gt;0,"Jazz",
IF(COUNTIF('Queen Discography'!$J$4:$J$22,C35)&gt;0,"The Game",
IF(COUNTIF('Queen Discography'!$K$4:$K$22,C35)&gt;0,"Flash Gordon",
IF(COUNTIF('Queen Discography'!$L$4:$L$22,C35)&gt;0,"Hot Space",
IF(COUNTIF('Queen Discography'!$M$4:$M$22,C35)&gt;0,"The Works",
IF(COUNTIF('Queen Discography'!$N$4:$N$22,C35)&gt;0,"A Kind Of Magic",
IF(COUNTIF('Queen Discography'!$O$4:$O$22,C35)&gt;0,"The Miracle",
IF(COUNTIF('Queen Discography'!$P$4:$P$22,C35)&gt;0,"Innuendo",
IF(COUNTIF('Queen Discography'!$Q$4:$Q$22,C35)&gt;0,"Made In Heaven","NOT FOUND")))))))))))))))</f>
        <v>A Kind Of Magic</v>
      </c>
      <c r="I35" s="1"/>
      <c r="J35" s="1"/>
      <c r="K35" s="1"/>
      <c r="L35" s="1"/>
      <c r="M35" s="1"/>
      <c r="N35" s="87"/>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row>
    <row r="36">
      <c r="A36" s="1"/>
      <c r="C36" s="66" t="str">
        <f t="array" ref="C36">INDEX('Queen MIDI'!$C$4:$C$66,MATCH(F36,'Queen MIDI'!$D$4:$D$66,0))</f>
        <v>Princes of the Universe</v>
      </c>
      <c r="D36" s="162">
        <v>4.0</v>
      </c>
      <c r="E36" s="163" t="s">
        <v>393</v>
      </c>
      <c r="F36" s="66" t="str">
        <f t="shared" si="2"/>
        <v>Princes of the Universe.1.mid</v>
      </c>
      <c r="G36" s="131">
        <f>HLOOKUP(H36,'Queen Discography'!$C$2:$Q$3,2,FALSE)</f>
        <v>1986</v>
      </c>
      <c r="H36" s="66" t="str">
        <f>IF(COUNTIF('Queen Discography'!$C$4:$C$22,C36)&gt;0,"Queen",
IF(COUNTIF('Queen Discography'!$D$4:$D$22,C36)&gt;0,"Queen II",
IF(COUNTIF('Queen Discography'!$E$4:$E$22,C36)&gt;0,"Sheer Heart Attack",
IF(COUNTIF('Queen Discography'!$F$4:$F$22,C36)&gt;0,"A Night At The Opera",
IF(COUNTIF('Queen Discography'!$G$4:$G$22,C36)&gt;0,"A Day At The Races",
IF(COUNTIF('Queen Discography'!$H$4:$H$22,C36)&gt;0,"News Of The World",
IF(COUNTIF('Queen Discography'!$I$4:$I$22,C36)&gt;0,"Jazz",
IF(COUNTIF('Queen Discography'!$J$4:$J$22,C36)&gt;0,"The Game",
IF(COUNTIF('Queen Discography'!$K$4:$K$22,C36)&gt;0,"Flash Gordon",
IF(COUNTIF('Queen Discography'!$L$4:$L$22,C36)&gt;0,"Hot Space",
IF(COUNTIF('Queen Discography'!$M$4:$M$22,C36)&gt;0,"The Works",
IF(COUNTIF('Queen Discography'!$N$4:$N$22,C36)&gt;0,"A Kind Of Magic",
IF(COUNTIF('Queen Discography'!$O$4:$O$22,C36)&gt;0,"The Miracle",
IF(COUNTIF('Queen Discography'!$P$4:$P$22,C36)&gt;0,"Innuendo",
IF(COUNTIF('Queen Discography'!$Q$4:$Q$22,C36)&gt;0,"Made In Heaven","NOT FOUND")))))))))))))))</f>
        <v>A Kind Of Magic</v>
      </c>
      <c r="I36" s="1"/>
      <c r="J36" s="1"/>
      <c r="K36" s="1"/>
      <c r="L36" s="1"/>
      <c r="M36" s="87"/>
      <c r="N36" s="87"/>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row>
    <row r="37">
      <c r="A37" s="1"/>
      <c r="C37" s="66" t="str">
        <f t="array" ref="C37">INDEX('Queen MIDI'!$C$4:$C$66,MATCH(F37,'Queen MIDI'!$D$4:$D$66,0))</f>
        <v>Who Wants to Live Forever</v>
      </c>
      <c r="D37" s="162">
        <v>4.0</v>
      </c>
      <c r="E37" s="163" t="s">
        <v>394</v>
      </c>
      <c r="F37" s="66" t="str">
        <f t="shared" si="2"/>
        <v>Who Wants to Live Forever.4.mid</v>
      </c>
      <c r="G37" s="122">
        <f>HLOOKUP(H37,'Queen Discography'!$C$2:$Q$3,2,FALSE)</f>
        <v>1986</v>
      </c>
      <c r="H37" s="66" t="str">
        <f>IF(COUNTIF('Queen Discography'!$C$4:$C$22,C37)&gt;0,"Queen",
IF(COUNTIF('Queen Discography'!$D$4:$D$22,C37)&gt;0,"Queen II",
IF(COUNTIF('Queen Discography'!$E$4:$E$22,C37)&gt;0,"Sheer Heart Attack",
IF(COUNTIF('Queen Discography'!$F$4:$F$22,C37)&gt;0,"A Night At The Opera",
IF(COUNTIF('Queen Discography'!$G$4:$G$22,C37)&gt;0,"A Day At The Races",
IF(COUNTIF('Queen Discography'!$H$4:$H$22,C37)&gt;0,"News Of The World",
IF(COUNTIF('Queen Discography'!$I$4:$I$22,C37)&gt;0,"Jazz",
IF(COUNTIF('Queen Discography'!$J$4:$J$22,C37)&gt;0,"The Game",
IF(COUNTIF('Queen Discography'!$K$4:$K$22,C37)&gt;0,"Flash Gordon",
IF(COUNTIF('Queen Discography'!$L$4:$L$22,C37)&gt;0,"Hot Space",
IF(COUNTIF('Queen Discography'!$M$4:$M$22,C37)&gt;0,"The Works",
IF(COUNTIF('Queen Discography'!$N$4:$N$22,C37)&gt;0,"A Kind Of Magic",
IF(COUNTIF('Queen Discography'!$O$4:$O$22,C37)&gt;0,"The Miracle",
IF(COUNTIF('Queen Discography'!$P$4:$P$22,C37)&gt;0,"Innuendo",
IF(COUNTIF('Queen Discography'!$Q$4:$Q$22,C37)&gt;0,"Made In Heaven","NOT FOUND")))))))))))))))</f>
        <v>A Kind Of Magic</v>
      </c>
      <c r="I37" s="1"/>
      <c r="J37" s="1"/>
      <c r="K37" s="1"/>
      <c r="L37" s="1"/>
      <c r="M37" s="87"/>
      <c r="N37" s="87"/>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row>
    <row r="38">
      <c r="A38" s="1"/>
      <c r="C38" s="66" t="str">
        <f t="array" ref="C38">INDEX('Queen MIDI'!$C$4:$C$66,MATCH(F38,'Queen MIDI'!$D$4:$D$66,0))</f>
        <v>I Want It All</v>
      </c>
      <c r="D38" s="140">
        <v>4.0</v>
      </c>
      <c r="E38" s="141" t="s">
        <v>395</v>
      </c>
      <c r="F38" s="66" t="str">
        <f t="shared" si="2"/>
        <v>I Want It All.mid</v>
      </c>
      <c r="G38" s="119">
        <f>HLOOKUP(H38,'Queen Discography'!$C$2:$Q$3,2,FALSE)</f>
        <v>1989</v>
      </c>
      <c r="H38" s="66" t="str">
        <f>IF(COUNTIF('Queen Discography'!$C$4:$C$22,C38)&gt;0,"Queen",
IF(COUNTIF('Queen Discography'!$D$4:$D$22,C38)&gt;0,"Queen II",
IF(COUNTIF('Queen Discography'!$E$4:$E$22,C38)&gt;0,"Sheer Heart Attack",
IF(COUNTIF('Queen Discography'!$F$4:$F$22,C38)&gt;0,"A Night At The Opera",
IF(COUNTIF('Queen Discography'!$G$4:$G$22,C38)&gt;0,"A Day At The Races",
IF(COUNTIF('Queen Discography'!$H$4:$H$22,C38)&gt;0,"News Of The World",
IF(COUNTIF('Queen Discography'!$I$4:$I$22,C38)&gt;0,"Jazz",
IF(COUNTIF('Queen Discography'!$J$4:$J$22,C38)&gt;0,"The Game",
IF(COUNTIF('Queen Discography'!$K$4:$K$22,C38)&gt;0,"Flash Gordon",
IF(COUNTIF('Queen Discography'!$L$4:$L$22,C38)&gt;0,"Hot Space",
IF(COUNTIF('Queen Discography'!$M$4:$M$22,C38)&gt;0,"The Works",
IF(COUNTIF('Queen Discography'!$N$4:$N$22,C38)&gt;0,"A Kind Of Magic",
IF(COUNTIF('Queen Discography'!$O$4:$O$22,C38)&gt;0,"The Miracle",
IF(COUNTIF('Queen Discography'!$P$4:$P$22,C38)&gt;0,"Innuendo",
IF(COUNTIF('Queen Discography'!$Q$4:$Q$22,C38)&gt;0,"Made In Heaven","NOT FOUND")))))))))))))))</f>
        <v>The Miracle</v>
      </c>
      <c r="I38" s="1"/>
      <c r="J38" s="1"/>
      <c r="K38" s="1"/>
      <c r="L38" s="1"/>
      <c r="M38" s="87"/>
      <c r="N38" s="87"/>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c r="A39" s="1"/>
      <c r="C39" s="66" t="str">
        <f t="array" ref="C39">INDEX('Queen MIDI'!$C$4:$C$66,MATCH(F39,'Queen MIDI'!$D$4:$D$66,0))</f>
        <v>Rain Must Fall</v>
      </c>
      <c r="D39" s="140">
        <v>4.0</v>
      </c>
      <c r="E39" s="141" t="s">
        <v>396</v>
      </c>
      <c r="F39" s="66" t="str">
        <f t="shared" si="2"/>
        <v>Rain Must Fall.mid</v>
      </c>
      <c r="G39" s="129">
        <f>HLOOKUP(H39,'Queen Discography'!$C$2:$Q$3,2,FALSE)</f>
        <v>1989</v>
      </c>
      <c r="H39" s="66" t="str">
        <f>IF(COUNTIF('Queen Discography'!$C$4:$C$22,C39)&gt;0,"Queen",
IF(COUNTIF('Queen Discography'!$D$4:$D$22,C39)&gt;0,"Queen II",
IF(COUNTIF('Queen Discography'!$E$4:$E$22,C39)&gt;0,"Sheer Heart Attack",
IF(COUNTIF('Queen Discography'!$F$4:$F$22,C39)&gt;0,"A Night At The Opera",
IF(COUNTIF('Queen Discography'!$G$4:$G$22,C39)&gt;0,"A Day At The Races",
IF(COUNTIF('Queen Discography'!$H$4:$H$22,C39)&gt;0,"News Of The World",
IF(COUNTIF('Queen Discography'!$I$4:$I$22,C39)&gt;0,"Jazz",
IF(COUNTIF('Queen Discography'!$J$4:$J$22,C39)&gt;0,"The Game",
IF(COUNTIF('Queen Discography'!$K$4:$K$22,C39)&gt;0,"Flash Gordon",
IF(COUNTIF('Queen Discography'!$L$4:$L$22,C39)&gt;0,"Hot Space",
IF(COUNTIF('Queen Discography'!$M$4:$M$22,C39)&gt;0,"The Works",
IF(COUNTIF('Queen Discography'!$N$4:$N$22,C39)&gt;0,"A Kind Of Magic",
IF(COUNTIF('Queen Discography'!$O$4:$O$22,C39)&gt;0,"The Miracle",
IF(COUNTIF('Queen Discography'!$P$4:$P$22,C39)&gt;0,"Innuendo",
IF(COUNTIF('Queen Discography'!$Q$4:$Q$22,C39)&gt;0,"Made In Heaven","NOT FOUND")))))))))))))))</f>
        <v>The Miracle</v>
      </c>
      <c r="I39" s="1"/>
      <c r="J39" s="1"/>
      <c r="K39" s="1"/>
      <c r="L39" s="1"/>
      <c r="M39" s="87"/>
      <c r="N39" s="87"/>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row>
    <row r="40">
      <c r="A40" s="1"/>
      <c r="C40" s="66" t="str">
        <f t="array" ref="C40">INDEX('Queen MIDI'!$C$4:$C$66,MATCH(F40,'Queen MIDI'!$D$4:$D$66,0))</f>
        <v>The Miracle</v>
      </c>
      <c r="D40" s="140">
        <v>4.0</v>
      </c>
      <c r="E40" s="141" t="s">
        <v>399</v>
      </c>
      <c r="F40" s="66" t="str">
        <f t="shared" si="2"/>
        <v>The Miracle.1.mid</v>
      </c>
      <c r="G40" s="125">
        <f>HLOOKUP(H40,'Queen Discography'!$C$2:$Q$3,2,FALSE)</f>
        <v>1989</v>
      </c>
      <c r="H40" s="66" t="str">
        <f>IF(COUNTIF('Queen Discography'!$C$4:$C$22,C40)&gt;0,"Queen",
IF(COUNTIF('Queen Discography'!$D$4:$D$22,C40)&gt;0,"Queen II",
IF(COUNTIF('Queen Discography'!$E$4:$E$22,C40)&gt;0,"Sheer Heart Attack",
IF(COUNTIF('Queen Discography'!$F$4:$F$22,C40)&gt;0,"A Night At The Opera",
IF(COUNTIF('Queen Discography'!$G$4:$G$22,C40)&gt;0,"A Day At The Races",
IF(COUNTIF('Queen Discography'!$H$4:$H$22,C40)&gt;0,"News Of The World",
IF(COUNTIF('Queen Discography'!$I$4:$I$22,C40)&gt;0,"Jazz",
IF(COUNTIF('Queen Discography'!$J$4:$J$22,C40)&gt;0,"The Game",
IF(COUNTIF('Queen Discography'!$K$4:$K$22,C40)&gt;0,"Flash Gordon",
IF(COUNTIF('Queen Discography'!$L$4:$L$22,C40)&gt;0,"Hot Space",
IF(COUNTIF('Queen Discography'!$M$4:$M$22,C40)&gt;0,"The Works",
IF(COUNTIF('Queen Discography'!$N$4:$N$22,C40)&gt;0,"A Kind Of Magic",
IF(COUNTIF('Queen Discography'!$O$4:$O$22,C40)&gt;0,"The Miracle",
IF(COUNTIF('Queen Discography'!$P$4:$P$22,C40)&gt;0,"Innuendo",
IF(COUNTIF('Queen Discography'!$Q$4:$Q$22,C40)&gt;0,"Made In Heaven","NOT FOUND")))))))))))))))</f>
        <v>The Miracle</v>
      </c>
      <c r="I40" s="1"/>
      <c r="J40" s="1"/>
      <c r="K40" s="1"/>
      <c r="L40" s="1"/>
      <c r="M40" s="87"/>
      <c r="N40" s="87"/>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row>
    <row r="41">
      <c r="A41" s="1"/>
      <c r="C41" s="66" t="str">
        <f t="array" ref="C41">INDEX('Queen MIDI'!$C$4:$C$66,MATCH(F41,'Queen MIDI'!$D$4:$D$66,0))</f>
        <v>All God's People</v>
      </c>
      <c r="D41" s="142">
        <v>4.0</v>
      </c>
      <c r="E41" s="143" t="s">
        <v>400</v>
      </c>
      <c r="F41" s="66" t="str">
        <f t="shared" si="2"/>
        <v>All God_s People.mid</v>
      </c>
      <c r="G41" s="126">
        <f>HLOOKUP(H41,'Queen Discography'!$C$2:$Q$3,2,FALSE)</f>
        <v>1991</v>
      </c>
      <c r="H41" s="66" t="str">
        <f>IF(COUNTIF('Queen Discography'!$C$4:$C$22,C41)&gt;0,"Queen",
IF(COUNTIF('Queen Discography'!$D$4:$D$22,C41)&gt;0,"Queen II",
IF(COUNTIF('Queen Discography'!$E$4:$E$22,C41)&gt;0,"Sheer Heart Attack",
IF(COUNTIF('Queen Discography'!$F$4:$F$22,C41)&gt;0,"A Night At The Opera",
IF(COUNTIF('Queen Discography'!$G$4:$G$22,C41)&gt;0,"A Day At The Races",
IF(COUNTIF('Queen Discography'!$H$4:$H$22,C41)&gt;0,"News Of The World",
IF(COUNTIF('Queen Discography'!$I$4:$I$22,C41)&gt;0,"Jazz",
IF(COUNTIF('Queen Discography'!$J$4:$J$22,C41)&gt;0,"The Game",
IF(COUNTIF('Queen Discography'!$K$4:$K$22,C41)&gt;0,"Flash Gordon",
IF(COUNTIF('Queen Discography'!$L$4:$L$22,C41)&gt;0,"Hot Space",
IF(COUNTIF('Queen Discography'!$M$4:$M$22,C41)&gt;0,"The Works",
IF(COUNTIF('Queen Discography'!$N$4:$N$22,C41)&gt;0,"A Kind Of Magic",
IF(COUNTIF('Queen Discography'!$O$4:$O$22,C41)&gt;0,"The Miracle",
IF(COUNTIF('Queen Discography'!$P$4:$P$22,C41)&gt;0,"Innuendo",
IF(COUNTIF('Queen Discography'!$Q$4:$Q$22,C41)&gt;0,"Made In Heaven","NOT FOUND")))))))))))))))</f>
        <v>Innuendo</v>
      </c>
      <c r="I41" s="1"/>
      <c r="J41" s="1"/>
      <c r="K41" s="1"/>
      <c r="L41" s="1"/>
      <c r="M41" s="87"/>
      <c r="N41" s="87"/>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row>
    <row r="42">
      <c r="A42" s="1"/>
      <c r="C42" s="66" t="str">
        <f t="array" ref="C42">INDEX('Queen MIDI'!$C$4:$C$66,MATCH(F42,'Queen MIDI'!$D$4:$D$66,0))</f>
        <v>Bijou</v>
      </c>
      <c r="D42" s="142">
        <v>4.0</v>
      </c>
      <c r="E42" s="143" t="s">
        <v>401</v>
      </c>
      <c r="F42" s="66" t="str">
        <f t="shared" si="2"/>
        <v>Bijou.1.mid</v>
      </c>
      <c r="G42" s="123">
        <f>HLOOKUP(H42,'Queen Discography'!$C$2:$Q$3,2,FALSE)</f>
        <v>1991</v>
      </c>
      <c r="H42" s="66" t="str">
        <f>IF(COUNTIF('Queen Discography'!$C$4:$C$22,C42)&gt;0,"Queen",
IF(COUNTIF('Queen Discography'!$D$4:$D$22,C42)&gt;0,"Queen II",
IF(COUNTIF('Queen Discography'!$E$4:$E$22,C42)&gt;0,"Sheer Heart Attack",
IF(COUNTIF('Queen Discography'!$F$4:$F$22,C42)&gt;0,"A Night At The Opera",
IF(COUNTIF('Queen Discography'!$G$4:$G$22,C42)&gt;0,"A Day At The Races",
IF(COUNTIF('Queen Discography'!$H$4:$H$22,C42)&gt;0,"News Of The World",
IF(COUNTIF('Queen Discography'!$I$4:$I$22,C42)&gt;0,"Jazz",
IF(COUNTIF('Queen Discography'!$J$4:$J$22,C42)&gt;0,"The Game",
IF(COUNTIF('Queen Discography'!$K$4:$K$22,C42)&gt;0,"Flash Gordon",
IF(COUNTIF('Queen Discography'!$L$4:$L$22,C42)&gt;0,"Hot Space",
IF(COUNTIF('Queen Discography'!$M$4:$M$22,C42)&gt;0,"The Works",
IF(COUNTIF('Queen Discography'!$N$4:$N$22,C42)&gt;0,"A Kind Of Magic",
IF(COUNTIF('Queen Discography'!$O$4:$O$22,C42)&gt;0,"The Miracle",
IF(COUNTIF('Queen Discography'!$P$4:$P$22,C42)&gt;0,"Innuendo",
IF(COUNTIF('Queen Discography'!$Q$4:$Q$22,C42)&gt;0,"Made In Heaven","NOT FOUND")))))))))))))))</f>
        <v>Innuendo</v>
      </c>
      <c r="I42" s="1"/>
      <c r="J42" s="1"/>
      <c r="K42" s="1"/>
      <c r="L42" s="1"/>
      <c r="M42" s="87"/>
      <c r="N42" s="87"/>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row>
    <row r="43">
      <c r="A43" s="1"/>
      <c r="C43" s="66" t="str">
        <f t="array" ref="C43">INDEX('Queen MIDI'!$C$4:$C$66,MATCH(F43,'Queen MIDI'!$D$4:$D$66,0))</f>
        <v>Don't Try So Hard</v>
      </c>
      <c r="D43" s="142">
        <v>4.0</v>
      </c>
      <c r="E43" s="143" t="s">
        <v>402</v>
      </c>
      <c r="F43" s="66" t="str">
        <f t="shared" si="2"/>
        <v>Don_t Try So Hard.2.mid</v>
      </c>
      <c r="G43" s="125">
        <f>HLOOKUP(H43,'Queen Discography'!$C$2:$Q$3,2,FALSE)</f>
        <v>1991</v>
      </c>
      <c r="H43" s="66" t="str">
        <f>IF(COUNTIF('Queen Discography'!$C$4:$C$22,C43)&gt;0,"Queen",
IF(COUNTIF('Queen Discography'!$D$4:$D$22,C43)&gt;0,"Queen II",
IF(COUNTIF('Queen Discography'!$E$4:$E$22,C43)&gt;0,"Sheer Heart Attack",
IF(COUNTIF('Queen Discography'!$F$4:$F$22,C43)&gt;0,"A Night At The Opera",
IF(COUNTIF('Queen Discography'!$G$4:$G$22,C43)&gt;0,"A Day At The Races",
IF(COUNTIF('Queen Discography'!$H$4:$H$22,C43)&gt;0,"News Of The World",
IF(COUNTIF('Queen Discography'!$I$4:$I$22,C43)&gt;0,"Jazz",
IF(COUNTIF('Queen Discography'!$J$4:$J$22,C43)&gt;0,"The Game",
IF(COUNTIF('Queen Discography'!$K$4:$K$22,C43)&gt;0,"Flash Gordon",
IF(COUNTIF('Queen Discography'!$L$4:$L$22,C43)&gt;0,"Hot Space",
IF(COUNTIF('Queen Discography'!$M$4:$M$22,C43)&gt;0,"The Works",
IF(COUNTIF('Queen Discography'!$N$4:$N$22,C43)&gt;0,"A Kind Of Magic",
IF(COUNTIF('Queen Discography'!$O$4:$O$22,C43)&gt;0,"The Miracle",
IF(COUNTIF('Queen Discography'!$P$4:$P$22,C43)&gt;0,"Innuendo",
IF(COUNTIF('Queen Discography'!$Q$4:$Q$22,C43)&gt;0,"Made In Heaven","NOT FOUND")))))))))))))))</f>
        <v>Innuendo</v>
      </c>
      <c r="I43" s="1"/>
      <c r="J43" s="1"/>
      <c r="K43" s="1"/>
      <c r="L43" s="1"/>
      <c r="M43" s="87"/>
      <c r="N43" s="87"/>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row>
    <row r="44">
      <c r="A44" s="1"/>
      <c r="C44" s="66" t="str">
        <f t="array" ref="C44">INDEX('Queen MIDI'!$C$4:$C$66,MATCH(F44,'Queen MIDI'!$D$4:$D$66,0))</f>
        <v>I Can't Live With You</v>
      </c>
      <c r="D44" s="142">
        <v>4.0</v>
      </c>
      <c r="E44" s="143" t="s">
        <v>404</v>
      </c>
      <c r="F44" s="66" t="str">
        <f t="shared" si="2"/>
        <v>I Can_t Live With You.1.mid</v>
      </c>
      <c r="G44" s="122">
        <f>HLOOKUP(H44,'Queen Discography'!$C$2:$Q$3,2,FALSE)</f>
        <v>1991</v>
      </c>
      <c r="H44" s="66" t="str">
        <f>IF(COUNTIF('Queen Discography'!$C$4:$C$22,C44)&gt;0,"Queen",
IF(COUNTIF('Queen Discography'!$D$4:$D$22,C44)&gt;0,"Queen II",
IF(COUNTIF('Queen Discography'!$E$4:$E$22,C44)&gt;0,"Sheer Heart Attack",
IF(COUNTIF('Queen Discography'!$F$4:$F$22,C44)&gt;0,"A Night At The Opera",
IF(COUNTIF('Queen Discography'!$G$4:$G$22,C44)&gt;0,"A Day At The Races",
IF(COUNTIF('Queen Discography'!$H$4:$H$22,C44)&gt;0,"News Of The World",
IF(COUNTIF('Queen Discography'!$I$4:$I$22,C44)&gt;0,"Jazz",
IF(COUNTIF('Queen Discography'!$J$4:$J$22,C44)&gt;0,"The Game",
IF(COUNTIF('Queen Discography'!$K$4:$K$22,C44)&gt;0,"Flash Gordon",
IF(COUNTIF('Queen Discography'!$L$4:$L$22,C44)&gt;0,"Hot Space",
IF(COUNTIF('Queen Discography'!$M$4:$M$22,C44)&gt;0,"The Works",
IF(COUNTIF('Queen Discography'!$N$4:$N$22,C44)&gt;0,"A Kind Of Magic",
IF(COUNTIF('Queen Discography'!$O$4:$O$22,C44)&gt;0,"The Miracle",
IF(COUNTIF('Queen Discography'!$P$4:$P$22,C44)&gt;0,"Innuendo",
IF(COUNTIF('Queen Discography'!$Q$4:$Q$22,C44)&gt;0,"Made In Heaven","NOT FOUND")))))))))))))))</f>
        <v>Innuendo</v>
      </c>
      <c r="I44" s="1"/>
      <c r="J44" s="1"/>
      <c r="K44" s="1"/>
      <c r="L44" s="1"/>
      <c r="M44" s="87"/>
      <c r="N44" s="87"/>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row>
    <row r="45">
      <c r="A45" s="1"/>
      <c r="C45" s="66" t="str">
        <f t="array" ref="C45">INDEX('Queen MIDI'!$C$4:$C$66,MATCH(F45,'Queen MIDI'!$D$4:$D$66,0))</f>
        <v>Innuendo</v>
      </c>
      <c r="D45" s="142">
        <v>4.0</v>
      </c>
      <c r="E45" s="143" t="s">
        <v>406</v>
      </c>
      <c r="F45" s="66" t="str">
        <f t="shared" si="2"/>
        <v>Innuendo.mid</v>
      </c>
      <c r="G45" s="132">
        <f>HLOOKUP(H45,'Queen Discography'!$C$2:$Q$3,2,FALSE)</f>
        <v>1991</v>
      </c>
      <c r="H45" s="66" t="str">
        <f>IF(COUNTIF('Queen Discography'!$C$4:$C$22,C45)&gt;0,"Queen",
IF(COUNTIF('Queen Discography'!$D$4:$D$22,C45)&gt;0,"Queen II",
IF(COUNTIF('Queen Discography'!$E$4:$E$22,C45)&gt;0,"Sheer Heart Attack",
IF(COUNTIF('Queen Discography'!$F$4:$F$22,C45)&gt;0,"A Night At The Opera",
IF(COUNTIF('Queen Discography'!$G$4:$G$22,C45)&gt;0,"A Day At The Races",
IF(COUNTIF('Queen Discography'!$H$4:$H$22,C45)&gt;0,"News Of The World",
IF(COUNTIF('Queen Discography'!$I$4:$I$22,C45)&gt;0,"Jazz",
IF(COUNTIF('Queen Discography'!$J$4:$J$22,C45)&gt;0,"The Game",
IF(COUNTIF('Queen Discography'!$K$4:$K$22,C45)&gt;0,"Flash Gordon",
IF(COUNTIF('Queen Discography'!$L$4:$L$22,C45)&gt;0,"Hot Space",
IF(COUNTIF('Queen Discography'!$M$4:$M$22,C45)&gt;0,"The Works",
IF(COUNTIF('Queen Discography'!$N$4:$N$22,C45)&gt;0,"A Kind Of Magic",
IF(COUNTIF('Queen Discography'!$O$4:$O$22,C45)&gt;0,"The Miracle",
IF(COUNTIF('Queen Discography'!$P$4:$P$22,C45)&gt;0,"Innuendo",
IF(COUNTIF('Queen Discography'!$Q$4:$Q$22,C45)&gt;0,"Made In Heaven","NOT FOUND")))))))))))))))</f>
        <v>Innuendo</v>
      </c>
      <c r="I45" s="1"/>
      <c r="J45" s="1"/>
      <c r="K45" s="1"/>
      <c r="L45" s="1"/>
      <c r="M45" s="87"/>
      <c r="N45" s="87"/>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row>
    <row r="46">
      <c r="A46" s="1"/>
      <c r="C46" s="66" t="str">
        <f t="array" ref="C46">INDEX('Queen MIDI'!$C$4:$C$66,MATCH(F46,'Queen MIDI'!$D$4:$D$66,0))</f>
        <v>I'm Going Slightly Mad</v>
      </c>
      <c r="D46" s="142">
        <v>4.0</v>
      </c>
      <c r="E46" s="143" t="s">
        <v>405</v>
      </c>
      <c r="F46" s="66" t="str">
        <f t="shared" si="2"/>
        <v>I_m Going Slightly Mad.2.mid</v>
      </c>
      <c r="G46" s="120">
        <f>HLOOKUP(H46,'Queen Discography'!$C$2:$Q$3,2,FALSE)</f>
        <v>1991</v>
      </c>
      <c r="H46" s="66" t="str">
        <f>IF(COUNTIF('Queen Discography'!$C$4:$C$22,C46)&gt;0,"Queen",
IF(COUNTIF('Queen Discography'!$D$4:$D$22,C46)&gt;0,"Queen II",
IF(COUNTIF('Queen Discography'!$E$4:$E$22,C46)&gt;0,"Sheer Heart Attack",
IF(COUNTIF('Queen Discography'!$F$4:$F$22,C46)&gt;0,"A Night At The Opera",
IF(COUNTIF('Queen Discography'!$G$4:$G$22,C46)&gt;0,"A Day At The Races",
IF(COUNTIF('Queen Discography'!$H$4:$H$22,C46)&gt;0,"News Of The World",
IF(COUNTIF('Queen Discography'!$I$4:$I$22,C46)&gt;0,"Jazz",
IF(COUNTIF('Queen Discography'!$J$4:$J$22,C46)&gt;0,"The Game",
IF(COUNTIF('Queen Discography'!$K$4:$K$22,C46)&gt;0,"Flash Gordon",
IF(COUNTIF('Queen Discography'!$L$4:$L$22,C46)&gt;0,"Hot Space",
IF(COUNTIF('Queen Discography'!$M$4:$M$22,C46)&gt;0,"The Works",
IF(COUNTIF('Queen Discography'!$N$4:$N$22,C46)&gt;0,"A Kind Of Magic",
IF(COUNTIF('Queen Discography'!$O$4:$O$22,C46)&gt;0,"The Miracle",
IF(COUNTIF('Queen Discography'!$P$4:$P$22,C46)&gt;0,"Innuendo",
IF(COUNTIF('Queen Discography'!$Q$4:$Q$22,C46)&gt;0,"Made In Heaven","NOT FOUND")))))))))))))))</f>
        <v>Innuendo</v>
      </c>
      <c r="I46" s="1"/>
      <c r="J46" s="1"/>
      <c r="K46" s="1"/>
      <c r="L46" s="1"/>
      <c r="M46" s="87"/>
      <c r="N46" s="87"/>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row>
    <row r="47">
      <c r="A47" s="1"/>
      <c r="C47" s="66" t="str">
        <f t="array" ref="C47">INDEX('Queen MIDI'!$C$4:$C$66,MATCH(F47,'Queen MIDI'!$D$4:$D$66,0))</f>
        <v>The Show Must Go On</v>
      </c>
      <c r="D47" s="142">
        <v>4.0</v>
      </c>
      <c r="E47" s="143" t="s">
        <v>407</v>
      </c>
      <c r="F47" s="66" t="str">
        <f t="shared" si="2"/>
        <v>The Show Must Go On.mid</v>
      </c>
      <c r="G47" s="133">
        <f>HLOOKUP(H47,'Queen Discography'!$C$2:$Q$3,2,FALSE)</f>
        <v>1991</v>
      </c>
      <c r="H47" s="66" t="str">
        <f>IF(COUNTIF('Queen Discography'!$C$4:$C$22,C47)&gt;0,"Queen",
IF(COUNTIF('Queen Discography'!$D$4:$D$22,C47)&gt;0,"Queen II",
IF(COUNTIF('Queen Discography'!$E$4:$E$22,C47)&gt;0,"Sheer Heart Attack",
IF(COUNTIF('Queen Discography'!$F$4:$F$22,C47)&gt;0,"A Night At The Opera",
IF(COUNTIF('Queen Discography'!$G$4:$G$22,C47)&gt;0,"A Day At The Races",
IF(COUNTIF('Queen Discography'!$H$4:$H$22,C47)&gt;0,"News Of The World",
IF(COUNTIF('Queen Discography'!$I$4:$I$22,C47)&gt;0,"Jazz",
IF(COUNTIF('Queen Discography'!$J$4:$J$22,C47)&gt;0,"The Game",
IF(COUNTIF('Queen Discography'!$K$4:$K$22,C47)&gt;0,"Flash Gordon",
IF(COUNTIF('Queen Discography'!$L$4:$L$22,C47)&gt;0,"Hot Space",
IF(COUNTIF('Queen Discography'!$M$4:$M$22,C47)&gt;0,"The Works",
IF(COUNTIF('Queen Discography'!$N$4:$N$22,C47)&gt;0,"A Kind Of Magic",
IF(COUNTIF('Queen Discography'!$O$4:$O$22,C47)&gt;0,"The Miracle",
IF(COUNTIF('Queen Discography'!$P$4:$P$22,C47)&gt;0,"Innuendo",
IF(COUNTIF('Queen Discography'!$Q$4:$Q$22,C47)&gt;0,"Made In Heaven","NOT FOUND")))))))))))))))</f>
        <v>Innuendo</v>
      </c>
      <c r="I47" s="1"/>
      <c r="J47" s="1"/>
      <c r="K47" s="1"/>
      <c r="L47" s="1"/>
      <c r="M47" s="87"/>
      <c r="N47" s="87"/>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row>
    <row r="48">
      <c r="A48" s="1"/>
      <c r="C48" s="66" t="str">
        <f t="array" ref="C48">INDEX('Queen MIDI'!$C$4:$C$66,MATCH(F48,'Queen MIDI'!$D$4:$D$66,0))</f>
        <v>These Are the Days of Our Lives</v>
      </c>
      <c r="D48" s="142">
        <v>4.0</v>
      </c>
      <c r="E48" s="143" t="s">
        <v>408</v>
      </c>
      <c r="F48" s="66" t="str">
        <f t="shared" si="2"/>
        <v>These Are the Days of Our Lives.3.mid</v>
      </c>
      <c r="G48" s="124">
        <f>HLOOKUP(H48,'Queen Discography'!$C$2:$Q$3,2,FALSE)</f>
        <v>1991</v>
      </c>
      <c r="H48" s="66" t="str">
        <f>IF(COUNTIF('Queen Discography'!$C$4:$C$22,C48)&gt;0,"Queen",
IF(COUNTIF('Queen Discography'!$D$4:$D$22,C48)&gt;0,"Queen II",
IF(COUNTIF('Queen Discography'!$E$4:$E$22,C48)&gt;0,"Sheer Heart Attack",
IF(COUNTIF('Queen Discography'!$F$4:$F$22,C48)&gt;0,"A Night At The Opera",
IF(COUNTIF('Queen Discography'!$G$4:$G$22,C48)&gt;0,"A Day At The Races",
IF(COUNTIF('Queen Discography'!$H$4:$H$22,C48)&gt;0,"News Of The World",
IF(COUNTIF('Queen Discography'!$I$4:$I$22,C48)&gt;0,"Jazz",
IF(COUNTIF('Queen Discography'!$J$4:$J$22,C48)&gt;0,"The Game",
IF(COUNTIF('Queen Discography'!$K$4:$K$22,C48)&gt;0,"Flash Gordon",
IF(COUNTIF('Queen Discography'!$L$4:$L$22,C48)&gt;0,"Hot Space",
IF(COUNTIF('Queen Discography'!$M$4:$M$22,C48)&gt;0,"The Works",
IF(COUNTIF('Queen Discography'!$N$4:$N$22,C48)&gt;0,"A Kind Of Magic",
IF(COUNTIF('Queen Discography'!$O$4:$O$22,C48)&gt;0,"The Miracle",
IF(COUNTIF('Queen Discography'!$P$4:$P$22,C48)&gt;0,"Innuendo",
IF(COUNTIF('Queen Discography'!$Q$4:$Q$22,C48)&gt;0,"Made In Heaven","NOT FOUND")))))))))))))))</f>
        <v>Innuendo</v>
      </c>
      <c r="I48" s="1"/>
      <c r="J48" s="1"/>
      <c r="K48" s="1"/>
      <c r="L48" s="1"/>
      <c r="M48" s="87"/>
      <c r="N48" s="87"/>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row>
    <row r="49">
      <c r="A49" s="1"/>
      <c r="C49" s="66" t="str">
        <f t="array" ref="C49">INDEX('Queen MIDI'!$C$4:$C$66,MATCH(F49,'Queen MIDI'!$D$4:$D$66,0))</f>
        <v>I Was Born to Love You</v>
      </c>
      <c r="D49" s="164">
        <v>4.0</v>
      </c>
      <c r="E49" s="165" t="s">
        <v>410</v>
      </c>
      <c r="F49" s="66" t="str">
        <f t="shared" si="2"/>
        <v>I Was Born to Love You.mid</v>
      </c>
      <c r="G49" s="127">
        <f>HLOOKUP(H49,'Queen Discography'!$C$2:$Q$3,2,FALSE)</f>
        <v>1995</v>
      </c>
      <c r="H49" s="66" t="str">
        <f>IF(COUNTIF('Queen Discography'!$C$4:$C$22,C49)&gt;0,"Queen",
IF(COUNTIF('Queen Discography'!$D$4:$D$22,C49)&gt;0,"Queen II",
IF(COUNTIF('Queen Discography'!$E$4:$E$22,C49)&gt;0,"Sheer Heart Attack",
IF(COUNTIF('Queen Discography'!$F$4:$F$22,C49)&gt;0,"A Night At The Opera",
IF(COUNTIF('Queen Discography'!$G$4:$G$22,C49)&gt;0,"A Day At The Races",
IF(COUNTIF('Queen Discography'!$H$4:$H$22,C49)&gt;0,"News Of The World",
IF(COUNTIF('Queen Discography'!$I$4:$I$22,C49)&gt;0,"Jazz",
IF(COUNTIF('Queen Discography'!$J$4:$J$22,C49)&gt;0,"The Game",
IF(COUNTIF('Queen Discography'!$K$4:$K$22,C49)&gt;0,"Flash Gordon",
IF(COUNTIF('Queen Discography'!$L$4:$L$22,C49)&gt;0,"Hot Space",
IF(COUNTIF('Queen Discography'!$M$4:$M$22,C49)&gt;0,"The Works",
IF(COUNTIF('Queen Discography'!$N$4:$N$22,C49)&gt;0,"A Kind Of Magic",
IF(COUNTIF('Queen Discography'!$O$4:$O$22,C49)&gt;0,"The Miracle",
IF(COUNTIF('Queen Discography'!$P$4:$P$22,C49)&gt;0,"Innuendo",
IF(COUNTIF('Queen Discography'!$Q$4:$Q$22,C49)&gt;0,"Made In Heaven","NOT FOUND")))))))))))))))</f>
        <v>Made In Heaven</v>
      </c>
      <c r="I49" s="1"/>
      <c r="J49" s="1"/>
      <c r="K49" s="1"/>
      <c r="L49" s="1"/>
      <c r="M49" s="87"/>
      <c r="N49" s="87"/>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row>
    <row r="50">
      <c r="A50" s="1"/>
      <c r="C50" s="66" t="str">
        <f t="array" ref="C50">INDEX('Queen MIDI'!$C$4:$C$66,MATCH(F50,'Queen MIDI'!$D$4:$D$66,0))</f>
        <v>Made in Heaven</v>
      </c>
      <c r="D50" s="164">
        <v>4.0</v>
      </c>
      <c r="E50" s="165" t="s">
        <v>411</v>
      </c>
      <c r="F50" s="66" t="str">
        <f t="shared" si="2"/>
        <v>Made in Heaven.mid</v>
      </c>
      <c r="G50" s="119">
        <f>HLOOKUP(H50,'Queen Discography'!$C$2:$Q$3,2,FALSE)</f>
        <v>1995</v>
      </c>
      <c r="H50" s="66" t="str">
        <f>IF(COUNTIF('Queen Discography'!$C$4:$C$22,C50)&gt;0,"Queen",
IF(COUNTIF('Queen Discography'!$D$4:$D$22,C50)&gt;0,"Queen II",
IF(COUNTIF('Queen Discography'!$E$4:$E$22,C50)&gt;0,"Sheer Heart Attack",
IF(COUNTIF('Queen Discography'!$F$4:$F$22,C50)&gt;0,"A Night At The Opera",
IF(COUNTIF('Queen Discography'!$G$4:$G$22,C50)&gt;0,"A Day At The Races",
IF(COUNTIF('Queen Discography'!$H$4:$H$22,C50)&gt;0,"News Of The World",
IF(COUNTIF('Queen Discography'!$I$4:$I$22,C50)&gt;0,"Jazz",
IF(COUNTIF('Queen Discography'!$J$4:$J$22,C50)&gt;0,"The Game",
IF(COUNTIF('Queen Discography'!$K$4:$K$22,C50)&gt;0,"Flash Gordon",
IF(COUNTIF('Queen Discography'!$L$4:$L$22,C50)&gt;0,"Hot Space",
IF(COUNTIF('Queen Discography'!$M$4:$M$22,C50)&gt;0,"The Works",
IF(COUNTIF('Queen Discography'!$N$4:$N$22,C50)&gt;0,"A Kind Of Magic",
IF(COUNTIF('Queen Discography'!$O$4:$O$22,C50)&gt;0,"The Miracle",
IF(COUNTIF('Queen Discography'!$P$4:$P$22,C50)&gt;0,"Innuendo",
IF(COUNTIF('Queen Discography'!$Q$4:$Q$22,C50)&gt;0,"Made In Heaven","NOT FOUND")))))))))))))))</f>
        <v>Made In Heaven</v>
      </c>
      <c r="I50" s="1"/>
      <c r="J50" s="1"/>
      <c r="K50" s="1"/>
      <c r="L50" s="1"/>
      <c r="M50" s="87"/>
      <c r="N50" s="87"/>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c r="A51" s="1"/>
      <c r="C51" s="66" t="str">
        <f t="array" ref="C51">INDEX('Queen MIDI'!$C$4:$C$66,MATCH(F51,'Queen MIDI'!$D$4:$D$66,0))</f>
        <v>Mother Love</v>
      </c>
      <c r="D51" s="164">
        <v>4.0</v>
      </c>
      <c r="E51" s="165" t="s">
        <v>412</v>
      </c>
      <c r="F51" s="66" t="str">
        <f t="shared" si="2"/>
        <v>Mother Love.mid</v>
      </c>
      <c r="G51" s="119">
        <f>HLOOKUP(H51,'Queen Discography'!$C$2:$Q$3,2,FALSE)</f>
        <v>1995</v>
      </c>
      <c r="H51" s="66" t="str">
        <f>IF(COUNTIF('Queen Discography'!$C$4:$C$22,C51)&gt;0,"Queen",
IF(COUNTIF('Queen Discography'!$D$4:$D$22,C51)&gt;0,"Queen II",
IF(COUNTIF('Queen Discography'!$E$4:$E$22,C51)&gt;0,"Sheer Heart Attack",
IF(COUNTIF('Queen Discography'!$F$4:$F$22,C51)&gt;0,"A Night At The Opera",
IF(COUNTIF('Queen Discography'!$G$4:$G$22,C51)&gt;0,"A Day At The Races",
IF(COUNTIF('Queen Discography'!$H$4:$H$22,C51)&gt;0,"News Of The World",
IF(COUNTIF('Queen Discography'!$I$4:$I$22,C51)&gt;0,"Jazz",
IF(COUNTIF('Queen Discography'!$J$4:$J$22,C51)&gt;0,"The Game",
IF(COUNTIF('Queen Discography'!$K$4:$K$22,C51)&gt;0,"Flash Gordon",
IF(COUNTIF('Queen Discography'!$L$4:$L$22,C51)&gt;0,"Hot Space",
IF(COUNTIF('Queen Discography'!$M$4:$M$22,C51)&gt;0,"The Works",
IF(COUNTIF('Queen Discography'!$N$4:$N$22,C51)&gt;0,"A Kind Of Magic",
IF(COUNTIF('Queen Discography'!$O$4:$O$22,C51)&gt;0,"The Miracle",
IF(COUNTIF('Queen Discography'!$P$4:$P$22,C51)&gt;0,"Innuendo",
IF(COUNTIF('Queen Discography'!$Q$4:$Q$22,C51)&gt;0,"Made In Heaven","NOT FOUND")))))))))))))))</f>
        <v>Made In Heaven</v>
      </c>
      <c r="I51" s="1"/>
      <c r="J51" s="1"/>
      <c r="K51" s="1"/>
      <c r="L51" s="1"/>
      <c r="M51" s="87"/>
      <c r="N51" s="87"/>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row>
    <row r="52">
      <c r="A52" s="1"/>
      <c r="C52" s="66" t="str">
        <f t="array" ref="C52">INDEX('Queen MIDI'!$C$4:$C$66,MATCH(F52,'Queen MIDI'!$D$4:$D$66,0))</f>
        <v>My Life Has Been Saved</v>
      </c>
      <c r="D52" s="164">
        <v>4.0</v>
      </c>
      <c r="E52" s="165" t="s">
        <v>413</v>
      </c>
      <c r="F52" s="66" t="str">
        <f t="shared" si="2"/>
        <v>My Life Has Been Saved.mid</v>
      </c>
      <c r="G52" s="121">
        <f>HLOOKUP(H52,'Queen Discography'!$C$2:$Q$3,2,FALSE)</f>
        <v>1995</v>
      </c>
      <c r="H52" s="66" t="str">
        <f>IF(COUNTIF('Queen Discography'!$C$4:$C$22,C52)&gt;0,"Queen",
IF(COUNTIF('Queen Discography'!$D$4:$D$22,C52)&gt;0,"Queen II",
IF(COUNTIF('Queen Discography'!$E$4:$E$22,C52)&gt;0,"Sheer Heart Attack",
IF(COUNTIF('Queen Discography'!$F$4:$F$22,C52)&gt;0,"A Night At The Opera",
IF(COUNTIF('Queen Discography'!$G$4:$G$22,C52)&gt;0,"A Day At The Races",
IF(COUNTIF('Queen Discography'!$H$4:$H$22,C52)&gt;0,"News Of The World",
IF(COUNTIF('Queen Discography'!$I$4:$I$22,C52)&gt;0,"Jazz",
IF(COUNTIF('Queen Discography'!$J$4:$J$22,C52)&gt;0,"The Game",
IF(COUNTIF('Queen Discography'!$K$4:$K$22,C52)&gt;0,"Flash Gordon",
IF(COUNTIF('Queen Discography'!$L$4:$L$22,C52)&gt;0,"Hot Space",
IF(COUNTIF('Queen Discography'!$M$4:$M$22,C52)&gt;0,"The Works",
IF(COUNTIF('Queen Discography'!$N$4:$N$22,C52)&gt;0,"A Kind Of Magic",
IF(COUNTIF('Queen Discography'!$O$4:$O$22,C52)&gt;0,"The Miracle",
IF(COUNTIF('Queen Discography'!$P$4:$P$22,C52)&gt;0,"Innuendo",
IF(COUNTIF('Queen Discography'!$Q$4:$Q$22,C52)&gt;0,"Made In Heaven","NOT FOUND")))))))))))))))</f>
        <v>Made In Heaven</v>
      </c>
      <c r="I52" s="1"/>
      <c r="J52" s="1"/>
      <c r="K52" s="1"/>
      <c r="L52" s="1"/>
      <c r="M52" s="87"/>
      <c r="N52" s="87"/>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row>
    <row r="53">
      <c r="A53" s="1"/>
      <c r="C53" s="66" t="str">
        <f t="array" ref="C53">INDEX('Queen MIDI'!$C$4:$C$66,MATCH(F53,'Queen MIDI'!$D$4:$D$66,0))</f>
        <v>Too Much Love Will Kill You</v>
      </c>
      <c r="D53" s="164">
        <v>4.0</v>
      </c>
      <c r="E53" s="165" t="s">
        <v>414</v>
      </c>
      <c r="F53" s="66" t="str">
        <f t="shared" si="2"/>
        <v>Too Much Love Will Kill You.3.mid</v>
      </c>
      <c r="G53" s="124">
        <f>HLOOKUP(H53,'Queen Discography'!$C$2:$Q$3,2,FALSE)</f>
        <v>1995</v>
      </c>
      <c r="H53" s="66" t="str">
        <f>IF(COUNTIF('Queen Discography'!$C$4:$C$22,C53)&gt;0,"Queen",
IF(COUNTIF('Queen Discography'!$D$4:$D$22,C53)&gt;0,"Queen II",
IF(COUNTIF('Queen Discography'!$E$4:$E$22,C53)&gt;0,"Sheer Heart Attack",
IF(COUNTIF('Queen Discography'!$F$4:$F$22,C53)&gt;0,"A Night At The Opera",
IF(COUNTIF('Queen Discography'!$G$4:$G$22,C53)&gt;0,"A Day At The Races",
IF(COUNTIF('Queen Discography'!$H$4:$H$22,C53)&gt;0,"News Of The World",
IF(COUNTIF('Queen Discography'!$I$4:$I$22,C53)&gt;0,"Jazz",
IF(COUNTIF('Queen Discography'!$J$4:$J$22,C53)&gt;0,"The Game",
IF(COUNTIF('Queen Discography'!$K$4:$K$22,C53)&gt;0,"Flash Gordon",
IF(COUNTIF('Queen Discography'!$L$4:$L$22,C53)&gt;0,"Hot Space",
IF(COUNTIF('Queen Discography'!$M$4:$M$22,C53)&gt;0,"The Works",
IF(COUNTIF('Queen Discography'!$N$4:$N$22,C53)&gt;0,"A Kind Of Magic",
IF(COUNTIF('Queen Discography'!$O$4:$O$22,C53)&gt;0,"The Miracle",
IF(COUNTIF('Queen Discography'!$P$4:$P$22,C53)&gt;0,"Innuendo",
IF(COUNTIF('Queen Discography'!$Q$4:$Q$22,C53)&gt;0,"Made In Heaven","NOT FOUND")))))))))))))))</f>
        <v>Made In Heaven</v>
      </c>
      <c r="I53" s="1"/>
      <c r="J53" s="1"/>
      <c r="K53" s="1"/>
      <c r="L53" s="1"/>
      <c r="M53" s="87"/>
      <c r="N53" s="87"/>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row>
    <row r="54">
      <c r="A54" s="1"/>
      <c r="C54" s="66" t="str">
        <f t="array" ref="C54">INDEX('Queen MIDI'!$C$4:$C$66,MATCH(F54,'Queen MIDI'!$D$4:$D$66,0))</f>
        <v>You Don't Fool Me</v>
      </c>
      <c r="D54" s="164">
        <v>4.0</v>
      </c>
      <c r="E54" s="165" t="s">
        <v>415</v>
      </c>
      <c r="F54" s="66" t="str">
        <f t="shared" si="2"/>
        <v>You Don_t Fool Me.mid</v>
      </c>
      <c r="G54" s="124">
        <f>HLOOKUP(H54,'Queen Discography'!$C$2:$Q$3,2,FALSE)</f>
        <v>1995</v>
      </c>
      <c r="H54" s="66" t="str">
        <f>IF(COUNTIF('Queen Discography'!$C$4:$C$22,C54)&gt;0,"Queen",
IF(COUNTIF('Queen Discography'!$D$4:$D$22,C54)&gt;0,"Queen II",
IF(COUNTIF('Queen Discography'!$E$4:$E$22,C54)&gt;0,"Sheer Heart Attack",
IF(COUNTIF('Queen Discography'!$F$4:$F$22,C54)&gt;0,"A Night At The Opera",
IF(COUNTIF('Queen Discography'!$G$4:$G$22,C54)&gt;0,"A Day At The Races",
IF(COUNTIF('Queen Discography'!$H$4:$H$22,C54)&gt;0,"News Of The World",
IF(COUNTIF('Queen Discography'!$I$4:$I$22,C54)&gt;0,"Jazz",
IF(COUNTIF('Queen Discography'!$J$4:$J$22,C54)&gt;0,"The Game",
IF(COUNTIF('Queen Discography'!$K$4:$K$22,C54)&gt;0,"Flash Gordon",
IF(COUNTIF('Queen Discography'!$L$4:$L$22,C54)&gt;0,"Hot Space",
IF(COUNTIF('Queen Discography'!$M$4:$M$22,C54)&gt;0,"The Works",
IF(COUNTIF('Queen Discography'!$N$4:$N$22,C54)&gt;0,"A Kind Of Magic",
IF(COUNTIF('Queen Discography'!$O$4:$O$22,C54)&gt;0,"The Miracle",
IF(COUNTIF('Queen Discography'!$P$4:$P$22,C54)&gt;0,"Innuendo",
IF(COUNTIF('Queen Discography'!$Q$4:$Q$22,C54)&gt;0,"Made In Heaven","NOT FOUND")))))))))))))))</f>
        <v>Made In Heaven</v>
      </c>
      <c r="I54" s="1"/>
      <c r="J54" s="1"/>
      <c r="K54" s="1"/>
      <c r="L54" s="1"/>
      <c r="M54" s="87"/>
      <c r="N54" s="87"/>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row>
    <row r="55">
      <c r="A55" s="1"/>
      <c r="C55" s="66" t="str">
        <f t="array" ref="C55">INDEX('Queen MIDI'!$C$4:$C$66,MATCH(F55,'Queen MIDI'!$D$4:$D$66,0))</f>
        <v>Living on My Own</v>
      </c>
      <c r="D55" s="144">
        <v>4.0</v>
      </c>
      <c r="E55" s="145" t="s">
        <v>416</v>
      </c>
      <c r="F55" s="66" t="str">
        <f t="shared" si="2"/>
        <v>Living on My Own.mid</v>
      </c>
      <c r="G55" s="120" t="str">
        <f>HLOOKUP(H55,'Queen Discography'!$C$2:$Q$3,2,FALSE)</f>
        <v>#N/A</v>
      </c>
      <c r="H55" s="66" t="str">
        <f>IF(COUNTIF('Queen Discography'!$C$4:$C$22,C55)&gt;0,"Queen",
IF(COUNTIF('Queen Discography'!$D$4:$D$22,C55)&gt;0,"Queen II",
IF(COUNTIF('Queen Discography'!$E$4:$E$22,C55)&gt;0,"Sheer Heart Attack",
IF(COUNTIF('Queen Discography'!$F$4:$F$22,C55)&gt;0,"A Night At The Opera",
IF(COUNTIF('Queen Discography'!$G$4:$G$22,C55)&gt;0,"A Day At The Races",
IF(COUNTIF('Queen Discography'!$H$4:$H$22,C55)&gt;0,"News Of The World",
IF(COUNTIF('Queen Discography'!$I$4:$I$22,C55)&gt;0,"Jazz",
IF(COUNTIF('Queen Discography'!$J$4:$J$22,C55)&gt;0,"The Game",
IF(COUNTIF('Queen Discography'!$K$4:$K$22,C55)&gt;0,"Flash Gordon",
IF(COUNTIF('Queen Discography'!$L$4:$L$22,C55)&gt;0,"Hot Space",
IF(COUNTIF('Queen Discography'!$M$4:$M$22,C55)&gt;0,"The Works",
IF(COUNTIF('Queen Discography'!$N$4:$N$22,C55)&gt;0,"A Kind Of Magic",
IF(COUNTIF('Queen Discography'!$O$4:$O$22,C55)&gt;0,"The Miracle",
IF(COUNTIF('Queen Discography'!$P$4:$P$22,C55)&gt;0,"Innuendo",
IF(COUNTIF('Queen Discography'!$Q$4:$Q$22,C55)&gt;0,"Made In Heaven","NOT FOUND")))))))))))))))</f>
        <v>NOT FOUND</v>
      </c>
      <c r="I55" s="1"/>
      <c r="J55" s="1"/>
      <c r="K55" s="1"/>
      <c r="L55" s="1"/>
      <c r="M55" s="87"/>
      <c r="N55" s="87"/>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row>
    <row r="56">
      <c r="A56" s="1"/>
      <c r="C56" s="66" t="str">
        <f t="array" ref="C56">INDEX('Queen MIDI'!$C$4:$C$66,MATCH(F56,'Queen MIDI'!$D$4:$D$66,0))</f>
        <v>Seven Seas of Rhye</v>
      </c>
      <c r="D56" s="150">
        <v>5.0</v>
      </c>
      <c r="E56" s="151" t="s">
        <v>359</v>
      </c>
      <c r="F56" s="66" t="str">
        <f t="shared" si="2"/>
        <v>Seven Seas of Rhye.1.mid</v>
      </c>
      <c r="G56" s="128">
        <f>HLOOKUP(H56,'Queen Discography'!$C$2:$Q$3,2,FALSE)</f>
        <v>1973</v>
      </c>
      <c r="H56" s="66" t="str">
        <f>IF(COUNTIF('Queen Discography'!$C$4:$C$22,C56)&gt;0,"Queen",
IF(COUNTIF('Queen Discography'!$D$4:$D$22,C56)&gt;0,"Queen II",
IF(COUNTIF('Queen Discography'!$E$4:$E$22,C56)&gt;0,"Sheer Heart Attack",
IF(COUNTIF('Queen Discography'!$F$4:$F$22,C56)&gt;0,"A Night At The Opera",
IF(COUNTIF('Queen Discography'!$G$4:$G$22,C56)&gt;0,"A Day At The Races",
IF(COUNTIF('Queen Discography'!$H$4:$H$22,C56)&gt;0,"News Of The World",
IF(COUNTIF('Queen Discography'!$I$4:$I$22,C56)&gt;0,"Jazz",
IF(COUNTIF('Queen Discography'!$J$4:$J$22,C56)&gt;0,"The Game",
IF(COUNTIF('Queen Discography'!$K$4:$K$22,C56)&gt;0,"Flash Gordon",
IF(COUNTIF('Queen Discography'!$L$4:$L$22,C56)&gt;0,"Hot Space",
IF(COUNTIF('Queen Discography'!$M$4:$M$22,C56)&gt;0,"The Works",
IF(COUNTIF('Queen Discography'!$N$4:$N$22,C56)&gt;0,"A Kind Of Magic",
IF(COUNTIF('Queen Discography'!$O$4:$O$22,C56)&gt;0,"The Miracle",
IF(COUNTIF('Queen Discography'!$P$4:$P$22,C56)&gt;0,"Innuendo",
IF(COUNTIF('Queen Discography'!$Q$4:$Q$22,C56)&gt;0,"Made In Heaven","NOT FOUND")))))))))))))))</f>
        <v>Queen</v>
      </c>
      <c r="I56" s="1"/>
      <c r="J56" s="1"/>
      <c r="K56" s="1"/>
      <c r="L56" s="1"/>
      <c r="M56" s="87"/>
      <c r="N56" s="87"/>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row>
    <row r="57">
      <c r="A57" s="1"/>
      <c r="C57" s="66" t="str">
        <f t="array" ref="C57">INDEX('Queen MIDI'!$C$4:$C$66,MATCH(F57,'Queen MIDI'!$D$4:$D$66,0))</f>
        <v>Bohemian Rhapsody</v>
      </c>
      <c r="D57" s="154">
        <v>5.0</v>
      </c>
      <c r="E57" s="155" t="s">
        <v>366</v>
      </c>
      <c r="F57" s="66" t="str">
        <f t="shared" si="2"/>
        <v>Bohemian Rhapsody.1.mid</v>
      </c>
      <c r="G57" s="130">
        <f>HLOOKUP(H57,'Queen Discography'!$C$2:$Q$3,2,FALSE)</f>
        <v>1975</v>
      </c>
      <c r="H57" s="66" t="str">
        <f>IF(COUNTIF('Queen Discography'!$C$4:$C$22,C57)&gt;0,"Queen",
IF(COUNTIF('Queen Discography'!$D$4:$D$22,C57)&gt;0,"Queen II",
IF(COUNTIF('Queen Discography'!$E$4:$E$22,C57)&gt;0,"Sheer Heart Attack",
IF(COUNTIF('Queen Discography'!$F$4:$F$22,C57)&gt;0,"A Night At The Opera",
IF(COUNTIF('Queen Discography'!$G$4:$G$22,C57)&gt;0,"A Day At The Races",
IF(COUNTIF('Queen Discography'!$H$4:$H$22,C57)&gt;0,"News Of The World",
IF(COUNTIF('Queen Discography'!$I$4:$I$22,C57)&gt;0,"Jazz",
IF(COUNTIF('Queen Discography'!$J$4:$J$22,C57)&gt;0,"The Game",
IF(COUNTIF('Queen Discography'!$K$4:$K$22,C57)&gt;0,"Flash Gordon",
IF(COUNTIF('Queen Discography'!$L$4:$L$22,C57)&gt;0,"Hot Space",
IF(COUNTIF('Queen Discography'!$M$4:$M$22,C57)&gt;0,"The Works",
IF(COUNTIF('Queen Discography'!$N$4:$N$22,C57)&gt;0,"A Kind Of Magic",
IF(COUNTIF('Queen Discography'!$O$4:$O$22,C57)&gt;0,"The Miracle",
IF(COUNTIF('Queen Discography'!$P$4:$P$22,C57)&gt;0,"Innuendo",
IF(COUNTIF('Queen Discography'!$Q$4:$Q$22,C57)&gt;0,"Made In Heaven","NOT FOUND")))))))))))))))</f>
        <v>A Night At The Opera</v>
      </c>
      <c r="I57" s="1"/>
      <c r="J57" s="1"/>
      <c r="K57" s="1"/>
      <c r="L57" s="1"/>
      <c r="M57" s="87"/>
      <c r="N57" s="87"/>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row>
    <row r="58">
      <c r="A58" s="1"/>
      <c r="C58" s="66" t="str">
        <f t="array" ref="C58">INDEX('Queen MIDI'!$C$4:$C$66,MATCH(F58,'Queen MIDI'!$D$4:$D$66,0))</f>
        <v>Somebody to Love</v>
      </c>
      <c r="D58" s="156">
        <v>5.0</v>
      </c>
      <c r="E58" s="157" t="s">
        <v>371</v>
      </c>
      <c r="F58" s="66" t="str">
        <f t="shared" si="2"/>
        <v>Somebody to Love.3.mid</v>
      </c>
      <c r="G58" s="128">
        <f>HLOOKUP(H58,'Queen Discography'!$C$2:$Q$3,2,FALSE)</f>
        <v>1976</v>
      </c>
      <c r="H58" s="66" t="str">
        <f>IF(COUNTIF('Queen Discography'!$C$4:$C$22,C58)&gt;0,"Queen",
IF(COUNTIF('Queen Discography'!$D$4:$D$22,C58)&gt;0,"Queen II",
IF(COUNTIF('Queen Discography'!$E$4:$E$22,C58)&gt;0,"Sheer Heart Attack",
IF(COUNTIF('Queen Discography'!$F$4:$F$22,C58)&gt;0,"A Night At The Opera",
IF(COUNTIF('Queen Discography'!$G$4:$G$22,C58)&gt;0,"A Day At The Races",
IF(COUNTIF('Queen Discography'!$H$4:$H$22,C58)&gt;0,"News Of The World",
IF(COUNTIF('Queen Discography'!$I$4:$I$22,C58)&gt;0,"Jazz",
IF(COUNTIF('Queen Discography'!$J$4:$J$22,C58)&gt;0,"The Game",
IF(COUNTIF('Queen Discography'!$K$4:$K$22,C58)&gt;0,"Flash Gordon",
IF(COUNTIF('Queen Discography'!$L$4:$L$22,C58)&gt;0,"Hot Space",
IF(COUNTIF('Queen Discography'!$M$4:$M$22,C58)&gt;0,"The Works",
IF(COUNTIF('Queen Discography'!$N$4:$N$22,C58)&gt;0,"A Kind Of Magic",
IF(COUNTIF('Queen Discography'!$O$4:$O$22,C58)&gt;0,"The Miracle",
IF(COUNTIF('Queen Discography'!$P$4:$P$22,C58)&gt;0,"Innuendo",
IF(COUNTIF('Queen Discography'!$Q$4:$Q$22,C58)&gt;0,"Made In Heaven","NOT FOUND")))))))))))))))</f>
        <v>A Day At The Races</v>
      </c>
      <c r="I58" s="1"/>
      <c r="J58" s="1"/>
      <c r="K58" s="1"/>
      <c r="L58" s="1"/>
      <c r="M58" s="87"/>
      <c r="N58" s="87"/>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c r="A59" s="1"/>
      <c r="C59" s="66" t="str">
        <f t="array" ref="C59">INDEX('Queen MIDI'!$C$4:$C$66,MATCH(F59,'Queen MIDI'!$D$4:$D$66,0))</f>
        <v>White Man</v>
      </c>
      <c r="D59" s="156">
        <v>5.0</v>
      </c>
      <c r="E59" s="157" t="s">
        <v>372</v>
      </c>
      <c r="F59" s="66" t="str">
        <f t="shared" si="2"/>
        <v>White Man.mid</v>
      </c>
      <c r="G59" s="133">
        <f>HLOOKUP(H59,'Queen Discography'!$C$2:$Q$3,2,FALSE)</f>
        <v>1976</v>
      </c>
      <c r="H59" s="66" t="str">
        <f>IF(COUNTIF('Queen Discography'!$C$4:$C$22,C59)&gt;0,"Queen",
IF(COUNTIF('Queen Discography'!$D$4:$D$22,C59)&gt;0,"Queen II",
IF(COUNTIF('Queen Discography'!$E$4:$E$22,C59)&gt;0,"Sheer Heart Attack",
IF(COUNTIF('Queen Discography'!$F$4:$F$22,C59)&gt;0,"A Night At The Opera",
IF(COUNTIF('Queen Discography'!$G$4:$G$22,C59)&gt;0,"A Day At The Races",
IF(COUNTIF('Queen Discography'!$H$4:$H$22,C59)&gt;0,"News Of The World",
IF(COUNTIF('Queen Discography'!$I$4:$I$22,C59)&gt;0,"Jazz",
IF(COUNTIF('Queen Discography'!$J$4:$J$22,C59)&gt;0,"The Game",
IF(COUNTIF('Queen Discography'!$K$4:$K$22,C59)&gt;0,"Flash Gordon",
IF(COUNTIF('Queen Discography'!$L$4:$L$22,C59)&gt;0,"Hot Space",
IF(COUNTIF('Queen Discography'!$M$4:$M$22,C59)&gt;0,"The Works",
IF(COUNTIF('Queen Discography'!$N$4:$N$22,C59)&gt;0,"A Kind Of Magic",
IF(COUNTIF('Queen Discography'!$O$4:$O$22,C59)&gt;0,"The Miracle",
IF(COUNTIF('Queen Discography'!$P$4:$P$22,C59)&gt;0,"Innuendo",
IF(COUNTIF('Queen Discography'!$Q$4:$Q$22,C59)&gt;0,"Made In Heaven","NOT FOUND")))))))))))))))</f>
        <v>A Day At The Races</v>
      </c>
      <c r="I59" s="1"/>
      <c r="J59" s="1"/>
      <c r="K59" s="1"/>
      <c r="L59" s="1"/>
      <c r="M59" s="87"/>
      <c r="N59" s="87"/>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row>
    <row r="60">
      <c r="A60" s="1"/>
      <c r="C60" s="66" t="str">
        <f t="array" ref="C60">INDEX('Queen MIDI'!$C$4:$C$66,MATCH(F60,'Queen MIDI'!$D$4:$D$66,0))</f>
        <v>Don't Stop Me Now</v>
      </c>
      <c r="D60" s="138">
        <v>5.0</v>
      </c>
      <c r="E60" s="139" t="s">
        <v>377</v>
      </c>
      <c r="F60" s="66" t="str">
        <f t="shared" si="2"/>
        <v>Don_t Stop Me Now.1.mid</v>
      </c>
      <c r="G60" s="119">
        <f>HLOOKUP(H60,'Queen Discography'!$C$2:$Q$3,2,FALSE)</f>
        <v>1978</v>
      </c>
      <c r="H60" s="66" t="str">
        <f>IF(COUNTIF('Queen Discography'!$C$4:$C$22,C60)&gt;0,"Queen",
IF(COUNTIF('Queen Discography'!$D$4:$D$22,C60)&gt;0,"Queen II",
IF(COUNTIF('Queen Discography'!$E$4:$E$22,C60)&gt;0,"Sheer Heart Attack",
IF(COUNTIF('Queen Discography'!$F$4:$F$22,C60)&gt;0,"A Night At The Opera",
IF(COUNTIF('Queen Discography'!$G$4:$G$22,C60)&gt;0,"A Day At The Races",
IF(COUNTIF('Queen Discography'!$H$4:$H$22,C60)&gt;0,"News Of The World",
IF(COUNTIF('Queen Discography'!$I$4:$I$22,C60)&gt;0,"Jazz",
IF(COUNTIF('Queen Discography'!$J$4:$J$22,C60)&gt;0,"The Game",
IF(COUNTIF('Queen Discography'!$K$4:$K$22,C60)&gt;0,"Flash Gordon",
IF(COUNTIF('Queen Discography'!$L$4:$L$22,C60)&gt;0,"Hot Space",
IF(COUNTIF('Queen Discography'!$M$4:$M$22,C60)&gt;0,"The Works",
IF(COUNTIF('Queen Discography'!$N$4:$N$22,C60)&gt;0,"A Kind Of Magic",
IF(COUNTIF('Queen Discography'!$O$4:$O$22,C60)&gt;0,"The Miracle",
IF(COUNTIF('Queen Discography'!$P$4:$P$22,C60)&gt;0,"Innuendo",
IF(COUNTIF('Queen Discography'!$Q$4:$Q$22,C60)&gt;0,"Made In Heaven","NOT FOUND")))))))))))))))</f>
        <v>Jazz</v>
      </c>
      <c r="I60" s="1"/>
      <c r="J60" s="1"/>
      <c r="K60" s="1"/>
      <c r="L60" s="1"/>
      <c r="M60" s="87"/>
      <c r="N60" s="87"/>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row>
    <row r="61">
      <c r="A61" s="1"/>
      <c r="C61" s="66" t="str">
        <f t="array" ref="C61">INDEX('Queen MIDI'!$C$4:$C$66,MATCH(F61,'Queen MIDI'!$D$4:$D$66,0))</f>
        <v>Crazy Little Thing Called Love</v>
      </c>
      <c r="D61" s="148">
        <v>5.0</v>
      </c>
      <c r="E61" s="149" t="s">
        <v>382</v>
      </c>
      <c r="F61" s="66" t="str">
        <f t="shared" si="2"/>
        <v>Crazy Little Thing Called Love.2.mid</v>
      </c>
      <c r="G61" s="126">
        <f>HLOOKUP(H61,'Queen Discography'!$C$2:$Q$3,2,FALSE)</f>
        <v>1980</v>
      </c>
      <c r="H61" s="66" t="str">
        <f>IF(COUNTIF('Queen Discography'!$C$4:$C$22,C61)&gt;0,"Queen",
IF(COUNTIF('Queen Discography'!$D$4:$D$22,C61)&gt;0,"Queen II",
IF(COUNTIF('Queen Discography'!$E$4:$E$22,C61)&gt;0,"Sheer Heart Attack",
IF(COUNTIF('Queen Discography'!$F$4:$F$22,C61)&gt;0,"A Night At The Opera",
IF(COUNTIF('Queen Discography'!$G$4:$G$22,C61)&gt;0,"A Day At The Races",
IF(COUNTIF('Queen Discography'!$H$4:$H$22,C61)&gt;0,"News Of The World",
IF(COUNTIF('Queen Discography'!$I$4:$I$22,C61)&gt;0,"Jazz",
IF(COUNTIF('Queen Discography'!$J$4:$J$22,C61)&gt;0,"The Game",
IF(COUNTIF('Queen Discography'!$K$4:$K$22,C61)&gt;0,"Flash Gordon",
IF(COUNTIF('Queen Discography'!$L$4:$L$22,C61)&gt;0,"Hot Space",
IF(COUNTIF('Queen Discography'!$M$4:$M$22,C61)&gt;0,"The Works",
IF(COUNTIF('Queen Discography'!$N$4:$N$22,C61)&gt;0,"A Kind Of Magic",
IF(COUNTIF('Queen Discography'!$O$4:$O$22,C61)&gt;0,"The Miracle",
IF(COUNTIF('Queen Discography'!$P$4:$P$22,C61)&gt;0,"Innuendo",
IF(COUNTIF('Queen Discography'!$Q$4:$Q$22,C61)&gt;0,"Made In Heaven","NOT FOUND")))))))))))))))</f>
        <v>The Game</v>
      </c>
      <c r="I61" s="1"/>
      <c r="J61" s="1"/>
      <c r="K61" s="1"/>
      <c r="L61" s="1"/>
      <c r="M61" s="87"/>
      <c r="N61" s="87"/>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row>
    <row r="62">
      <c r="A62" s="1"/>
      <c r="C62" s="66" t="str">
        <f t="array" ref="C62">INDEX('Queen MIDI'!$C$4:$C$66,MATCH(F62,'Queen MIDI'!$D$4:$D$66,0))</f>
        <v>Hammer to Fall</v>
      </c>
      <c r="D62" s="160">
        <v>5.0</v>
      </c>
      <c r="E62" s="161" t="s">
        <v>386</v>
      </c>
      <c r="F62" s="66" t="str">
        <f t="shared" si="2"/>
        <v>Hammer to Fall.mid</v>
      </c>
      <c r="G62" s="121">
        <f>HLOOKUP(H62,'Queen Discography'!$C$2:$Q$3,2,FALSE)</f>
        <v>1984</v>
      </c>
      <c r="H62" s="66" t="str">
        <f>IF(COUNTIF('Queen Discography'!$C$4:$C$22,C62)&gt;0,"Queen",
IF(COUNTIF('Queen Discography'!$D$4:$D$22,C62)&gt;0,"Queen II",
IF(COUNTIF('Queen Discography'!$E$4:$E$22,C62)&gt;0,"Sheer Heart Attack",
IF(COUNTIF('Queen Discography'!$F$4:$F$22,C62)&gt;0,"A Night At The Opera",
IF(COUNTIF('Queen Discography'!$G$4:$G$22,C62)&gt;0,"A Day At The Races",
IF(COUNTIF('Queen Discography'!$H$4:$H$22,C62)&gt;0,"News Of The World",
IF(COUNTIF('Queen Discography'!$I$4:$I$22,C62)&gt;0,"Jazz",
IF(COUNTIF('Queen Discography'!$J$4:$J$22,C62)&gt;0,"The Game",
IF(COUNTIF('Queen Discography'!$K$4:$K$22,C62)&gt;0,"Flash Gordon",
IF(COUNTIF('Queen Discography'!$L$4:$L$22,C62)&gt;0,"Hot Space",
IF(COUNTIF('Queen Discography'!$M$4:$M$22,C62)&gt;0,"The Works",
IF(COUNTIF('Queen Discography'!$N$4:$N$22,C62)&gt;0,"A Kind Of Magic",
IF(COUNTIF('Queen Discography'!$O$4:$O$22,C62)&gt;0,"The Miracle",
IF(COUNTIF('Queen Discography'!$P$4:$P$22,C62)&gt;0,"Innuendo",
IF(COUNTIF('Queen Discography'!$Q$4:$Q$22,C62)&gt;0,"Made In Heaven","NOT FOUND")))))))))))))))</f>
        <v>The Works</v>
      </c>
      <c r="I62" s="1"/>
      <c r="J62" s="1"/>
      <c r="K62" s="1"/>
      <c r="L62" s="1"/>
      <c r="M62" s="87"/>
      <c r="N62" s="87"/>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c r="A63" s="1"/>
      <c r="C63" s="66" t="str">
        <f t="array" ref="C63">INDEX('Queen MIDI'!$C$4:$C$66,MATCH(F63,'Queen MIDI'!$D$4:$D$66,0))</f>
        <v>It's a Hard Life</v>
      </c>
      <c r="D63" s="160">
        <v>5.0</v>
      </c>
      <c r="E63" s="161" t="s">
        <v>388</v>
      </c>
      <c r="F63" s="66" t="str">
        <f t="shared" si="2"/>
        <v>It_s a Hard Life.mid</v>
      </c>
      <c r="G63" s="128">
        <f>HLOOKUP(H63,'Queen Discography'!$C$2:$Q$3,2,FALSE)</f>
        <v>1984</v>
      </c>
      <c r="H63" s="66" t="str">
        <f>IF(COUNTIF('Queen Discography'!$C$4:$C$22,C63)&gt;0,"Queen",
IF(COUNTIF('Queen Discography'!$D$4:$D$22,C63)&gt;0,"Queen II",
IF(COUNTIF('Queen Discography'!$E$4:$E$22,C63)&gt;0,"Sheer Heart Attack",
IF(COUNTIF('Queen Discography'!$F$4:$F$22,C63)&gt;0,"A Night At The Opera",
IF(COUNTIF('Queen Discography'!$G$4:$G$22,C63)&gt;0,"A Day At The Races",
IF(COUNTIF('Queen Discography'!$H$4:$H$22,C63)&gt;0,"News Of The World",
IF(COUNTIF('Queen Discography'!$I$4:$I$22,C63)&gt;0,"Jazz",
IF(COUNTIF('Queen Discography'!$J$4:$J$22,C63)&gt;0,"The Game",
IF(COUNTIF('Queen Discography'!$K$4:$K$22,C63)&gt;0,"Flash Gordon",
IF(COUNTIF('Queen Discography'!$L$4:$L$22,C63)&gt;0,"Hot Space",
IF(COUNTIF('Queen Discography'!$M$4:$M$22,C63)&gt;0,"The Works",
IF(COUNTIF('Queen Discography'!$N$4:$N$22,C63)&gt;0,"A Kind Of Magic",
IF(COUNTIF('Queen Discography'!$O$4:$O$22,C63)&gt;0,"The Miracle",
IF(COUNTIF('Queen Discography'!$P$4:$P$22,C63)&gt;0,"Innuendo",
IF(COUNTIF('Queen Discography'!$Q$4:$Q$22,C63)&gt;0,"Made In Heaven","NOT FOUND")))))))))))))))</f>
        <v>The Works</v>
      </c>
      <c r="I63" s="1"/>
      <c r="J63" s="1"/>
      <c r="K63" s="1"/>
      <c r="L63" s="1"/>
      <c r="M63" s="87"/>
      <c r="N63" s="87"/>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row>
    <row r="64">
      <c r="A64" s="1"/>
      <c r="C64" s="66" t="str">
        <f t="array" ref="C64">INDEX('Queen MIDI'!$C$4:$C$66,MATCH(F64,'Queen MIDI'!$D$4:$D$66,0))</f>
        <v>A Kind of Magic</v>
      </c>
      <c r="D64" s="162">
        <v>5.0</v>
      </c>
      <c r="E64" s="163" t="s">
        <v>390</v>
      </c>
      <c r="F64" s="66" t="str">
        <f t="shared" si="2"/>
        <v>A Kind of Magic.1.mid</v>
      </c>
      <c r="G64" s="123">
        <f>HLOOKUP(H64,'Queen Discography'!$C$2:$Q$3,2,FALSE)</f>
        <v>1986</v>
      </c>
      <c r="H64" s="66" t="str">
        <f>IF(COUNTIF('Queen Discography'!$C$4:$C$22,C64)&gt;0,"Queen",
IF(COUNTIF('Queen Discography'!$D$4:$D$22,C64)&gt;0,"Queen II",
IF(COUNTIF('Queen Discography'!$E$4:$E$22,C64)&gt;0,"Sheer Heart Attack",
IF(COUNTIF('Queen Discography'!$F$4:$F$22,C64)&gt;0,"A Night At The Opera",
IF(COUNTIF('Queen Discography'!$G$4:$G$22,C64)&gt;0,"A Day At The Races",
IF(COUNTIF('Queen Discography'!$H$4:$H$22,C64)&gt;0,"News Of The World",
IF(COUNTIF('Queen Discography'!$I$4:$I$22,C64)&gt;0,"Jazz",
IF(COUNTIF('Queen Discography'!$J$4:$J$22,C64)&gt;0,"The Game",
IF(COUNTIF('Queen Discography'!$K$4:$K$22,C64)&gt;0,"Flash Gordon",
IF(COUNTIF('Queen Discography'!$L$4:$L$22,C64)&gt;0,"Hot Space",
IF(COUNTIF('Queen Discography'!$M$4:$M$22,C64)&gt;0,"The Works",
IF(COUNTIF('Queen Discography'!$N$4:$N$22,C64)&gt;0,"A Kind Of Magic",
IF(COUNTIF('Queen Discography'!$O$4:$O$22,C64)&gt;0,"The Miracle",
IF(COUNTIF('Queen Discography'!$P$4:$P$22,C64)&gt;0,"Innuendo",
IF(COUNTIF('Queen Discography'!$Q$4:$Q$22,C64)&gt;0,"Made In Heaven","NOT FOUND")))))))))))))))</f>
        <v>A Kind Of Magic</v>
      </c>
      <c r="I64" s="1"/>
      <c r="J64" s="1"/>
      <c r="K64" s="1"/>
      <c r="L64" s="1"/>
      <c r="M64" s="87"/>
      <c r="N64" s="87"/>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row>
    <row r="65">
      <c r="A65" s="1"/>
      <c r="C65" s="66" t="str">
        <f t="array" ref="C65">INDEX('Queen MIDI'!$C$4:$C$66,MATCH(F65,'Queen MIDI'!$D$4:$D$66,0))</f>
        <v>Friends Will Be Friends</v>
      </c>
      <c r="D65" s="162">
        <v>5.0</v>
      </c>
      <c r="E65" s="163" t="s">
        <v>391</v>
      </c>
      <c r="F65" s="66" t="str">
        <f t="shared" si="2"/>
        <v>Friends Will Be Friends.2.mid</v>
      </c>
      <c r="G65" s="125">
        <f>HLOOKUP(H65,'Queen Discography'!$C$2:$Q$3,2,FALSE)</f>
        <v>1986</v>
      </c>
      <c r="H65" s="66" t="str">
        <f>IF(COUNTIF('Queen Discography'!$C$4:$C$22,C65)&gt;0,"Queen",
IF(COUNTIF('Queen Discography'!$D$4:$D$22,C65)&gt;0,"Queen II",
IF(COUNTIF('Queen Discography'!$E$4:$E$22,C65)&gt;0,"Sheer Heart Attack",
IF(COUNTIF('Queen Discography'!$F$4:$F$22,C65)&gt;0,"A Night At The Opera",
IF(COUNTIF('Queen Discography'!$G$4:$G$22,C65)&gt;0,"A Day At The Races",
IF(COUNTIF('Queen Discography'!$H$4:$H$22,C65)&gt;0,"News Of The World",
IF(COUNTIF('Queen Discography'!$I$4:$I$22,C65)&gt;0,"Jazz",
IF(COUNTIF('Queen Discography'!$J$4:$J$22,C65)&gt;0,"The Game",
IF(COUNTIF('Queen Discography'!$K$4:$K$22,C65)&gt;0,"Flash Gordon",
IF(COUNTIF('Queen Discography'!$L$4:$L$22,C65)&gt;0,"Hot Space",
IF(COUNTIF('Queen Discography'!$M$4:$M$22,C65)&gt;0,"The Works",
IF(COUNTIF('Queen Discography'!$N$4:$N$22,C65)&gt;0,"A Kind Of Magic",
IF(COUNTIF('Queen Discography'!$O$4:$O$22,C65)&gt;0,"The Miracle",
IF(COUNTIF('Queen Discography'!$P$4:$P$22,C65)&gt;0,"Innuendo",
IF(COUNTIF('Queen Discography'!$Q$4:$Q$22,C65)&gt;0,"Made In Heaven","NOT FOUND")))))))))))))))</f>
        <v>A Kind Of Magic</v>
      </c>
      <c r="I65" s="1"/>
      <c r="J65" s="1"/>
      <c r="K65" s="1"/>
      <c r="L65" s="1"/>
      <c r="M65" s="87"/>
      <c r="N65" s="87"/>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row>
    <row r="66">
      <c r="A66" s="1"/>
      <c r="C66" s="66" t="str">
        <f t="array" ref="C66">INDEX('Queen MIDI'!$C$4:$C$66,MATCH(F66,'Queen MIDI'!$D$4:$D$66,0))</f>
        <v>Heaven for Everyone</v>
      </c>
      <c r="D66" s="164">
        <v>5.0</v>
      </c>
      <c r="E66" s="165" t="s">
        <v>409</v>
      </c>
      <c r="F66" s="66" t="str">
        <f t="shared" si="2"/>
        <v>Heaven for Everyone.mid</v>
      </c>
      <c r="G66" s="122">
        <f>HLOOKUP(H66,'Queen Discography'!$C$2:$Q$3,2,FALSE)</f>
        <v>1995</v>
      </c>
      <c r="H66" s="66" t="str">
        <f>IF(COUNTIF('Queen Discography'!$C$4:$C$22,C66)&gt;0,"Queen",
IF(COUNTIF('Queen Discography'!$D$4:$D$22,C66)&gt;0,"Queen II",
IF(COUNTIF('Queen Discography'!$E$4:$E$22,C66)&gt;0,"Sheer Heart Attack",
IF(COUNTIF('Queen Discography'!$F$4:$F$22,C66)&gt;0,"A Night At The Opera",
IF(COUNTIF('Queen Discography'!$G$4:$G$22,C66)&gt;0,"A Day At The Races",
IF(COUNTIF('Queen Discography'!$H$4:$H$22,C66)&gt;0,"News Of The World",
IF(COUNTIF('Queen Discography'!$I$4:$I$22,C66)&gt;0,"Jazz",
IF(COUNTIF('Queen Discography'!$J$4:$J$22,C66)&gt;0,"The Game",
IF(COUNTIF('Queen Discography'!$K$4:$K$22,C66)&gt;0,"Flash Gordon",
IF(COUNTIF('Queen Discography'!$L$4:$L$22,C66)&gt;0,"Hot Space",
IF(COUNTIF('Queen Discography'!$M$4:$M$22,C66)&gt;0,"The Works",
IF(COUNTIF('Queen Discography'!$N$4:$N$22,C66)&gt;0,"A Kind Of Magic",
IF(COUNTIF('Queen Discography'!$O$4:$O$22,C66)&gt;0,"The Miracle",
IF(COUNTIF('Queen Discography'!$P$4:$P$22,C66)&gt;0,"Innuendo",
IF(COUNTIF('Queen Discography'!$Q$4:$Q$22,C66)&gt;0,"Made In Heaven","NOT FOUND")))))))))))))))</f>
        <v>Made In Heaven</v>
      </c>
      <c r="I66" s="1"/>
      <c r="J66" s="1"/>
      <c r="K66" s="1"/>
      <c r="L66" s="1"/>
      <c r="M66" s="87"/>
      <c r="N66" s="87"/>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row>
    <row r="67">
      <c r="A67" s="1"/>
      <c r="B67" s="19"/>
      <c r="C67" s="1"/>
      <c r="D67" s="1"/>
      <c r="E67" s="1"/>
      <c r="F67" s="1"/>
      <c r="G67" s="114"/>
      <c r="H67" s="1"/>
      <c r="I67" s="1"/>
      <c r="J67" s="1"/>
      <c r="K67" s="1"/>
      <c r="L67" s="1"/>
      <c r="M67" s="87"/>
      <c r="N67" s="87"/>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row>
  </sheetData>
  <autoFilter ref="$C$3:$H$66">
    <sortState ref="C3:H66">
      <sortCondition ref="D3:D66"/>
      <sortCondition ref="G3:G66"/>
      <sortCondition ref="H3:H66"/>
    </sortState>
  </autoFilter>
  <mergeCells count="3">
    <mergeCell ref="C2:H2"/>
    <mergeCell ref="J2:BD2"/>
    <mergeCell ref="B4:B66"/>
  </mergeCells>
  <conditionalFormatting sqref="J4:BD21">
    <cfRule type="expression" dxfId="16" priority="1">
      <formula>$BD4=0</formula>
    </cfRule>
  </conditionalFormatting>
  <conditionalFormatting sqref="AF4:AU21">
    <cfRule type="expression" dxfId="17" priority="2">
      <formula>AND(AF4:AU4=MAX($AF4:$AU4),$BD4&lt;2)</formula>
    </cfRule>
  </conditionalFormatting>
  <conditionalFormatting sqref="P4:AE21">
    <cfRule type="expression" dxfId="18" priority="3">
      <formula>AND(P4:AE4=MAX($P4:$AE4),$BD4&lt;2)</formula>
    </cfRule>
  </conditionalFormatting>
  <conditionalFormatting sqref="J4:BD21">
    <cfRule type="expression" dxfId="19" priority="4">
      <formula>$BD4&lt;2</formula>
    </cfRule>
  </conditionalFormatting>
  <conditionalFormatting sqref="P4:AE21">
    <cfRule type="expression" dxfId="20" priority="5">
      <formula>P4:AE4=MAX($P4:$AE4)</formula>
    </cfRule>
  </conditionalFormatting>
  <conditionalFormatting sqref="AF4:AU21">
    <cfRule type="expression" dxfId="21" priority="6">
      <formula>AF4:AU4=MAX($AF4:$AU4)</formula>
    </cfRule>
  </conditionalFormatting>
  <conditionalFormatting sqref="C4:H66">
    <cfRule type="expression" dxfId="0" priority="7">
      <formula>$H4="NOT FOUND"</formula>
    </cfRule>
  </conditionalFormatting>
  <conditionalFormatting sqref="C4:H66">
    <cfRule type="expression" dxfId="1" priority="8">
      <formula>$H4="Queen"</formula>
    </cfRule>
  </conditionalFormatting>
  <conditionalFormatting sqref="C4:H66">
    <cfRule type="expression" dxfId="2" priority="9">
      <formula>$H4="Queen II"</formula>
    </cfRule>
  </conditionalFormatting>
  <conditionalFormatting sqref="C4:H66">
    <cfRule type="expression" dxfId="3" priority="10">
      <formula>$H4="Sheer Heart Attack"</formula>
    </cfRule>
  </conditionalFormatting>
  <conditionalFormatting sqref="C4:H66">
    <cfRule type="expression" dxfId="4" priority="11">
      <formula>$H4="A Night At The Opera"</formula>
    </cfRule>
  </conditionalFormatting>
  <conditionalFormatting sqref="C4:H66">
    <cfRule type="expression" dxfId="5" priority="12">
      <formula>$H4="A Day At The Races"</formula>
    </cfRule>
  </conditionalFormatting>
  <conditionalFormatting sqref="C4:H66">
    <cfRule type="expression" dxfId="6" priority="13">
      <formula>$H4="News Of The World"</formula>
    </cfRule>
  </conditionalFormatting>
  <conditionalFormatting sqref="C4:H66">
    <cfRule type="expression" dxfId="7" priority="14">
      <formula>$H4="Jazz"</formula>
    </cfRule>
  </conditionalFormatting>
  <conditionalFormatting sqref="C4:H66">
    <cfRule type="expression" dxfId="8" priority="15">
      <formula>$H4="The Game"</formula>
    </cfRule>
  </conditionalFormatting>
  <conditionalFormatting sqref="C4:H66">
    <cfRule type="expression" dxfId="9" priority="16">
      <formula>$H4="Flash Gordon"</formula>
    </cfRule>
  </conditionalFormatting>
  <conditionalFormatting sqref="C4:H66">
    <cfRule type="expression" dxfId="10" priority="17">
      <formula>$H4="Hot Space"</formula>
    </cfRule>
  </conditionalFormatting>
  <conditionalFormatting sqref="C4:H66">
    <cfRule type="expression" dxfId="11" priority="18">
      <formula>$H4="The Works"</formula>
    </cfRule>
  </conditionalFormatting>
  <conditionalFormatting sqref="C4:H66">
    <cfRule type="expression" dxfId="12" priority="19">
      <formula>$H4="A Kind Of Magic"</formula>
    </cfRule>
  </conditionalFormatting>
  <conditionalFormatting sqref="C4:H66">
    <cfRule type="expression" dxfId="13" priority="20">
      <formula>$H4="The Miracle"</formula>
    </cfRule>
  </conditionalFormatting>
  <conditionalFormatting sqref="C4:H66">
    <cfRule type="expression" dxfId="14" priority="21">
      <formula>$H4="Innuendo"</formula>
    </cfRule>
  </conditionalFormatting>
  <conditionalFormatting sqref="C4:H66">
    <cfRule type="expression" dxfId="15" priority="22">
      <formula>$H4="Made In Heaven"</formula>
    </cfRule>
  </conditionalFormatting>
  <conditionalFormatting sqref="G4:H4">
    <cfRule type="expression" dxfId="0" priority="23">
      <formula>$H4="NOT FOUND"</formula>
    </cfRule>
  </conditionalFormatting>
  <printOptions gridLines="1" horizontalCentered="1"/>
  <pageMargins bottom="0.75" footer="0.0" header="0.0" left="0.25" right="0.25" top="0.75"/>
  <pageSetup orientation="landscape" pageOrder="overThenDown" paperHeight="16in" paperWidth="16in"/>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2.0" topLeftCell="C1" activePane="topRight" state="frozen"/>
      <selection activeCell="D2" sqref="D2" pane="topRight"/>
    </sheetView>
  </sheetViews>
  <sheetFormatPr customHeight="1" defaultColWidth="12.63" defaultRowHeight="15.0" outlineLevelCol="1"/>
  <cols>
    <col customWidth="1" min="1" max="1" width="2.75"/>
    <col customWidth="1" min="3" max="3" width="24.63"/>
    <col collapsed="1" customWidth="1" min="4" max="4" width="2.5"/>
    <col customWidth="1" hidden="1" min="5" max="5" width="2.5" outlineLevel="1"/>
    <col customWidth="1" hidden="1" min="6" max="6" width="30.25" outlineLevel="1"/>
    <col customWidth="1" min="7" max="7" width="6.75"/>
    <col customWidth="1" min="8" max="8" width="16.75"/>
    <col customWidth="1" min="9" max="9" width="2.75"/>
    <col customWidth="1" min="10" max="10" width="6.38"/>
    <col customWidth="1" min="11" max="14" width="5.75"/>
    <col collapsed="1" customWidth="1" min="15" max="15" width="5.75"/>
    <col customWidth="1" hidden="1" min="16" max="47" width="5.75" outlineLevel="1"/>
    <col customWidth="1" min="48" max="48" width="17.63"/>
    <col customWidth="1" min="49" max="50" width="6.38"/>
    <col customWidth="1" min="51" max="51" width="15.38"/>
    <col customWidth="1" min="52" max="54" width="6.38"/>
    <col customWidth="1" min="55" max="56" width="5.75"/>
    <col customWidth="1" min="57" max="57" width="2.75"/>
  </cols>
  <sheetData>
    <row r="1">
      <c r="A1" s="1" t="s">
        <v>0</v>
      </c>
      <c r="B1" s="1"/>
      <c r="C1" s="1"/>
      <c r="D1" s="1"/>
      <c r="E1" s="1"/>
      <c r="F1" s="1"/>
      <c r="G1" s="114"/>
      <c r="H1" s="1"/>
      <c r="I1" s="1"/>
      <c r="J1" s="1"/>
      <c r="K1" s="1"/>
      <c r="L1" s="1"/>
      <c r="M1" s="1"/>
      <c r="N1" s="87"/>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ht="31.5" customHeight="1">
      <c r="A2" s="2"/>
      <c r="B2" s="56"/>
      <c r="C2" s="115" t="s">
        <v>422</v>
      </c>
      <c r="I2" s="19"/>
      <c r="J2" s="89" t="s">
        <v>337</v>
      </c>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19"/>
    </row>
    <row r="3" ht="31.5" customHeight="1">
      <c r="A3" s="2"/>
      <c r="B3" s="60"/>
      <c r="C3" s="61" t="s">
        <v>185</v>
      </c>
      <c r="D3" s="62">
        <v>0.0</v>
      </c>
      <c r="E3" s="62" t="s">
        <v>390</v>
      </c>
      <c r="F3" s="61" t="s">
        <v>186</v>
      </c>
      <c r="G3" s="61" t="s">
        <v>340</v>
      </c>
      <c r="H3" s="61" t="s">
        <v>187</v>
      </c>
      <c r="I3" s="36"/>
      <c r="J3" s="92" t="s">
        <v>341</v>
      </c>
      <c r="K3" s="92" t="s">
        <v>342</v>
      </c>
      <c r="L3" s="92" t="s">
        <v>343</v>
      </c>
      <c r="M3" s="92" t="s">
        <v>344</v>
      </c>
      <c r="N3" s="93" t="s">
        <v>345</v>
      </c>
      <c r="O3" s="92" t="s">
        <v>346</v>
      </c>
      <c r="P3" s="94" t="str">
        <f t="array" ref="P3:AE3">TRANSPOSE('Queen MIDI'!$H$4:$H$19)</f>
        <v>Queen</v>
      </c>
      <c r="Q3" s="94" t="s">
        <v>2</v>
      </c>
      <c r="R3" s="94" t="s">
        <v>3</v>
      </c>
      <c r="S3" s="94" t="s">
        <v>4</v>
      </c>
      <c r="T3" s="94" t="s">
        <v>5</v>
      </c>
      <c r="U3" s="94" t="s">
        <v>6</v>
      </c>
      <c r="V3" s="94" t="s">
        <v>7</v>
      </c>
      <c r="W3" s="94" t="s">
        <v>8</v>
      </c>
      <c r="X3" s="94" t="s">
        <v>9</v>
      </c>
      <c r="Y3" s="94" t="s">
        <v>10</v>
      </c>
      <c r="Z3" s="94" t="s">
        <v>11</v>
      </c>
      <c r="AA3" s="94" t="s">
        <v>12</v>
      </c>
      <c r="AB3" s="94" t="s">
        <v>13</v>
      </c>
      <c r="AC3" s="94" t="s">
        <v>14</v>
      </c>
      <c r="AD3" s="94" t="s">
        <v>15</v>
      </c>
      <c r="AE3" s="94" t="s">
        <v>227</v>
      </c>
      <c r="AF3" s="94" t="str">
        <f t="array" ref="AF3:AU3">TRANSPOSE('Queen MIDI'!$H$4:$H$19)</f>
        <v>Queen</v>
      </c>
      <c r="AG3" s="94" t="s">
        <v>2</v>
      </c>
      <c r="AH3" s="94" t="s">
        <v>3</v>
      </c>
      <c r="AI3" s="94" t="s">
        <v>4</v>
      </c>
      <c r="AJ3" s="94" t="s">
        <v>5</v>
      </c>
      <c r="AK3" s="94" t="s">
        <v>6</v>
      </c>
      <c r="AL3" s="94" t="s">
        <v>7</v>
      </c>
      <c r="AM3" s="94" t="s">
        <v>8</v>
      </c>
      <c r="AN3" s="94" t="s">
        <v>9</v>
      </c>
      <c r="AO3" s="94" t="s">
        <v>10</v>
      </c>
      <c r="AP3" s="94" t="s">
        <v>11</v>
      </c>
      <c r="AQ3" s="94" t="s">
        <v>12</v>
      </c>
      <c r="AR3" s="94" t="s">
        <v>13</v>
      </c>
      <c r="AS3" s="94" t="s">
        <v>14</v>
      </c>
      <c r="AT3" s="94" t="s">
        <v>15</v>
      </c>
      <c r="AU3" s="94" t="s">
        <v>227</v>
      </c>
      <c r="AV3" s="92" t="s">
        <v>347</v>
      </c>
      <c r="AW3" s="92" t="s">
        <v>348</v>
      </c>
      <c r="AX3" s="92" t="s">
        <v>349</v>
      </c>
      <c r="AY3" s="92" t="s">
        <v>350</v>
      </c>
      <c r="AZ3" s="92" t="s">
        <v>351</v>
      </c>
      <c r="BA3" s="92" t="s">
        <v>352</v>
      </c>
      <c r="BB3" s="92" t="s">
        <v>353</v>
      </c>
      <c r="BC3" s="92" t="s">
        <v>354</v>
      </c>
      <c r="BD3" s="92" t="s">
        <v>355</v>
      </c>
      <c r="BE3" s="36"/>
    </row>
    <row r="4">
      <c r="A4" s="1"/>
      <c r="B4" s="56" t="str">
        <f>CONCATENATE("Songs",CHAR(10),"(",COUNTA(C4:C66),")")</f>
        <v>Songs
(63)</v>
      </c>
      <c r="C4" s="66" t="str">
        <f t="array" ref="C4">INDEX('Queen MIDI'!$C$4:$C$66,MATCH(F4,'Queen MIDI'!$D$4:$D$66,0))</f>
        <v>Doing Alright</v>
      </c>
      <c r="D4" s="118">
        <v>0.0</v>
      </c>
      <c r="E4" s="118" t="s">
        <v>356</v>
      </c>
      <c r="F4" s="66" t="str">
        <f t="shared" ref="F4:F66" si="2">RIGHT(E4,LEN(E4)-75)</f>
        <v>Doing All Right.1.mid</v>
      </c>
      <c r="G4" s="120">
        <f>HLOOKUP(H4,'Queen Discography'!$C$2:$Q$3,2,FALSE)</f>
        <v>1973</v>
      </c>
      <c r="H4" s="66" t="str">
        <f>IF(COUNTIF('Queen Discography'!$C$4:$C$22,C4)&gt;0,"Queen",
IF(COUNTIF('Queen Discography'!$D$4:$D$22,C4)&gt;0,"Queen II",
IF(COUNTIF('Queen Discography'!$E$4:$E$22,C4)&gt;0,"Sheer Heart Attack",
IF(COUNTIF('Queen Discography'!$F$4:$F$22,C4)&gt;0,"A Night At The Opera",
IF(COUNTIF('Queen Discography'!$G$4:$G$22,C4)&gt;0,"A Day At The Races",
IF(COUNTIF('Queen Discography'!$H$4:$H$22,C4)&gt;0,"News Of The World",
IF(COUNTIF('Queen Discography'!$I$4:$I$22,C4)&gt;0,"Jazz",
IF(COUNTIF('Queen Discography'!$J$4:$J$22,C4)&gt;0,"The Game",
IF(COUNTIF('Queen Discography'!$K$4:$K$22,C4)&gt;0,"Flash Gordon",
IF(COUNTIF('Queen Discography'!$L$4:$L$22,C4)&gt;0,"Hot Space",
IF(COUNTIF('Queen Discography'!$M$4:$M$22,C4)&gt;0,"The Works",
IF(COUNTIF('Queen Discography'!$N$4:$N$22,C4)&gt;0,"A Kind Of Magic",
IF(COUNTIF('Queen Discography'!$O$4:$O$22,C4)&gt;0,"The Miracle",
IF(COUNTIF('Queen Discography'!$P$4:$P$22,C4)&gt;0,"Innuendo",
IF(COUNTIF('Queen Discography'!$Q$4:$Q$22,C4)&gt;0,"Made In Heaven","NOT FOUND")))))))))))))))</f>
        <v>Queen</v>
      </c>
      <c r="I4" s="1"/>
      <c r="J4" s="98">
        <v>0.0</v>
      </c>
      <c r="K4" s="99">
        <f>IF(MINIFS($G$4:$G$66,$D$4:$D$66,$J4,$G$4:$G$66,"&lt;&gt;#N/A")=0,"N/A",MINIFS($G$4:$G$66,$D$4:$D$66,$J4,$G$4:$G$66,"&lt;&gt;#N/A"))</f>
        <v>1973</v>
      </c>
      <c r="L4" s="99">
        <f t="shared" ref="L4:L21" si="3">IF(MAXIFS($G$4:$G$66,$D$4:$D$66,$J4,$G$4:$G$66,"&lt;&gt;#N/A")=0,"N/A",MAXIFS($G$4:$G$66,$D$4:$D$66,$J4,$G$4:$G$66,"&lt;&gt;#N/A"))</f>
        <v>1995</v>
      </c>
      <c r="M4" s="99">
        <f t="shared" ref="M4:M21" si="4">IFERROR(ROUND(AVERAGEIFS($G$4:$G$66,$D$4:$D$66,$J4,$G$4:$G$66,"&lt;&gt;#N/A"),0),"N/A")</f>
        <v>1983</v>
      </c>
      <c r="N4" s="100">
        <f>IFERROR(__xludf.DUMMYFUNCTION("IFERROR(MEDIAN(FILTER($G$4:$G$66,$D$4:$D$66=$J4,ISNUMBER($G$4:$G$66))),""N/A"")"),1983.0)</f>
        <v>1983</v>
      </c>
      <c r="O4" s="99">
        <f>IFERROR(__xludf.DUMMYFUNCTION("IFERROR(MODE(FILTER($G$4:$G$66,$D$4:$D$66=$J4,ISNUMBER($G$4:$G$66))),""N/A"")"),1991.0)</f>
        <v>1991</v>
      </c>
      <c r="P4" s="99">
        <f t="shared" ref="P4:AE4" si="1">COUNTIFS($H$4:$H$66,P$3,$D$4:$D$66,$J4)</f>
        <v>4</v>
      </c>
      <c r="Q4" s="99">
        <f t="shared" si="1"/>
        <v>2</v>
      </c>
      <c r="R4" s="99">
        <f t="shared" si="1"/>
        <v>2</v>
      </c>
      <c r="S4" s="99">
        <f t="shared" si="1"/>
        <v>5</v>
      </c>
      <c r="T4" s="99">
        <f t="shared" si="1"/>
        <v>3</v>
      </c>
      <c r="U4" s="99">
        <f t="shared" si="1"/>
        <v>4</v>
      </c>
      <c r="V4" s="99">
        <f t="shared" si="1"/>
        <v>5</v>
      </c>
      <c r="W4" s="99">
        <f t="shared" si="1"/>
        <v>4</v>
      </c>
      <c r="X4" s="99">
        <f t="shared" si="1"/>
        <v>0</v>
      </c>
      <c r="Y4" s="99">
        <f t="shared" si="1"/>
        <v>1</v>
      </c>
      <c r="Z4" s="99">
        <f t="shared" si="1"/>
        <v>4</v>
      </c>
      <c r="AA4" s="99">
        <f t="shared" si="1"/>
        <v>5</v>
      </c>
      <c r="AB4" s="99">
        <f t="shared" si="1"/>
        <v>5</v>
      </c>
      <c r="AC4" s="99">
        <f t="shared" si="1"/>
        <v>9</v>
      </c>
      <c r="AD4" s="99">
        <f t="shared" si="1"/>
        <v>7</v>
      </c>
      <c r="AE4" s="99">
        <f t="shared" si="1"/>
        <v>1</v>
      </c>
      <c r="AF4" s="101">
        <f t="array" ref="AF4:AU4">IFERROR(P4:AE4*TRANSPOSE('Queen MIDI'!$J$4:$J$19),"N/A")</f>
        <v>3.9375</v>
      </c>
      <c r="AG4" s="101">
        <v>2.625</v>
      </c>
      <c r="AH4" s="101">
        <v>3.9375</v>
      </c>
      <c r="AI4" s="101">
        <v>3.9375</v>
      </c>
      <c r="AJ4" s="101">
        <v>3.9375</v>
      </c>
      <c r="AK4" s="101">
        <v>3.9375</v>
      </c>
      <c r="AL4" s="101">
        <v>3.9375</v>
      </c>
      <c r="AM4" s="101">
        <v>3.9375</v>
      </c>
      <c r="AN4" s="101" t="s">
        <v>357</v>
      </c>
      <c r="AO4" s="101">
        <v>3.9375</v>
      </c>
      <c r="AP4" s="101">
        <v>3.9375</v>
      </c>
      <c r="AQ4" s="102">
        <v>3.9375</v>
      </c>
      <c r="AR4" s="102">
        <v>3.9375</v>
      </c>
      <c r="AS4" s="102">
        <v>3.9375</v>
      </c>
      <c r="AT4" s="101">
        <v>3.9375</v>
      </c>
      <c r="AU4" s="101">
        <v>1.96875</v>
      </c>
      <c r="AV4" s="99" t="str">
        <f>IFERROR(__xludf.DUMMYFUNCTION("JOIN("", "",FILTER($P$3:$AE$3,$P4:$AE4=MAX($P4:$AE4)))"),"Innuendo")</f>
        <v>Innuendo</v>
      </c>
      <c r="AW4" s="99">
        <f t="shared" ref="AW4:AW21" si="6">MAX($P4:$AE4)</f>
        <v>9</v>
      </c>
      <c r="AX4" s="99">
        <f>IFERROR(__xludf.DUMMYFUNCTION("COUNTA(FILTER($P$3:$AE$3,$P4:$AE4=MAX($P4:$AE4)))"),1.0)</f>
        <v>1</v>
      </c>
      <c r="AY4" s="99" t="str">
        <f>IFERROR(__xludf.DUMMYFUNCTION("IFERROR(JOIN("", "",FILTER($AF$3:$AU$3,$AF4:$AU4=MAXIFS($AF4:$AU4,$AF$23:$AU$23,TRUE),$AF$23:$AU$23)),""N/A"")"),"Queen, Sheer Heart Attack, A Night At The Opera, A Day At The Races, News Of The World, Jazz, The Game, The Works, A Kind Of Magic, The Miracle, Innuendo, Made In Heaven")</f>
        <v>Queen, Sheer Heart Attack, A Night At The Opera, A Day At The Races, News Of The World, Jazz, The Game, The Works, A Kind Of Magic, The Miracle, Innuendo, Made In Heaven</v>
      </c>
      <c r="AZ4" s="103" t="str">
        <f>IFERROR(__xludf.DUMMYFUNCTION("IFERROR(JOIN("", "",FILTER($P4:$AE4,$AF4:$AU4=MAXIFS($AF4:$AU4,$AF$23:$AU$23,TRUE),$AF$23:$AU$23)),""N/A"")"),"4, 2, 5, 3, 4, 5, 4, 4, 5, 5, 9, 7")</f>
        <v>4, 2, 5, 3, 4, 5, 4, 4, 5, 5, 9, 7</v>
      </c>
      <c r="BA4" s="103">
        <f>MAXIFS(AF4:AU4,$AF$23:$AU$23,TRUE)/'Queen MIDI'!$J$20</f>
        <v>1</v>
      </c>
      <c r="BB4" s="98">
        <f>IFERROR(__xludf.DUMMYFUNCTION("COUNTA(IFERROR(FILTER($AF$3:$AU$3,$AF4:$AU4=MAXIFS($AF4:$AU4,$AF$23:$AU$23,TRUE),$AF$23:$AU$23),))"),12.0)</f>
        <v>12</v>
      </c>
      <c r="BC4" s="103">
        <f t="shared" ref="BC4:BC21" si="7">$BD4/$BD$22</f>
        <v>0.9682539683</v>
      </c>
      <c r="BD4" s="99">
        <f t="shared" ref="BD4:BD21" si="8">COUNTIF($D$4:$D$66,J4)</f>
        <v>61</v>
      </c>
      <c r="BE4" s="1"/>
    </row>
    <row r="5">
      <c r="A5" s="1"/>
      <c r="C5" s="66" t="str">
        <f t="array" ref="C5">INDEX('Queen MIDI'!$C$4:$C$66,MATCH(F5,'Queen MIDI'!$D$4:$D$66,0))</f>
        <v>Keep Yourself Alive</v>
      </c>
      <c r="D5" s="118">
        <v>0.0</v>
      </c>
      <c r="E5" s="118" t="s">
        <v>358</v>
      </c>
      <c r="F5" s="66" t="str">
        <f t="shared" si="2"/>
        <v>Keep Yourself Alive.mid</v>
      </c>
      <c r="G5" s="130">
        <f>HLOOKUP(H5,'Queen Discography'!$C$2:$Q$3,2,FALSE)</f>
        <v>1973</v>
      </c>
      <c r="H5" s="66" t="str">
        <f>IF(COUNTIF('Queen Discography'!$C$4:$C$22,C5)&gt;0,"Queen",
IF(COUNTIF('Queen Discography'!$D$4:$D$22,C5)&gt;0,"Queen II",
IF(COUNTIF('Queen Discography'!$E$4:$E$22,C5)&gt;0,"Sheer Heart Attack",
IF(COUNTIF('Queen Discography'!$F$4:$F$22,C5)&gt;0,"A Night At The Opera",
IF(COUNTIF('Queen Discography'!$G$4:$G$22,C5)&gt;0,"A Day At The Races",
IF(COUNTIF('Queen Discography'!$H$4:$H$22,C5)&gt;0,"News Of The World",
IF(COUNTIF('Queen Discography'!$I$4:$I$22,C5)&gt;0,"Jazz",
IF(COUNTIF('Queen Discography'!$J$4:$J$22,C5)&gt;0,"The Game",
IF(COUNTIF('Queen Discography'!$K$4:$K$22,C5)&gt;0,"Flash Gordon",
IF(COUNTIF('Queen Discography'!$L$4:$L$22,C5)&gt;0,"Hot Space",
IF(COUNTIF('Queen Discography'!$M$4:$M$22,C5)&gt;0,"The Works",
IF(COUNTIF('Queen Discography'!$N$4:$N$22,C5)&gt;0,"A Kind Of Magic",
IF(COUNTIF('Queen Discography'!$O$4:$O$22,C5)&gt;0,"The Miracle",
IF(COUNTIF('Queen Discography'!$P$4:$P$22,C5)&gt;0,"Innuendo",
IF(COUNTIF('Queen Discography'!$Q$4:$Q$22,C5)&gt;0,"Made In Heaven","NOT FOUND")))))))))))))))</f>
        <v>Queen</v>
      </c>
      <c r="I5" s="1"/>
      <c r="J5" s="98">
        <v>1.0</v>
      </c>
      <c r="K5" s="99" t="str">
        <f t="shared" ref="K5:K21" si="9">IF(MINIFS($G$4:$G$66,$D$4:$D$66,J5,$G$4:$G$66,"&lt;&gt;#N/A")=0,"N/A",MINIFS($G$4:$G$66,$D$4:$D$66,J5,$G$4:$G$66,"&lt;&gt;#N/A"))</f>
        <v>N/A</v>
      </c>
      <c r="L5" s="99" t="str">
        <f t="shared" si="3"/>
        <v>N/A</v>
      </c>
      <c r="M5" s="99" t="str">
        <f t="shared" si="4"/>
        <v>N/A</v>
      </c>
      <c r="N5" s="99" t="str">
        <f>IFERROR(ROUND(AVERAGEIFS($G$4:$G$66,$D$4:$D$66,$J5,$G$4:$G$66,"&lt;&gt;#N/A"),0),"N/A")</f>
        <v>N/A</v>
      </c>
      <c r="O5" s="99" t="str">
        <f>IFERROR(__xludf.DUMMYFUNCTION("IFERROR(MODE(FILTER($G$4:$G$66,$D$4:$D$66=$J5,ISNUMBER($G$4:$G$66))),""N/A"")"),"N/A")</f>
        <v>N/A</v>
      </c>
      <c r="P5" s="99">
        <f t="shared" ref="P5:AE5" si="5">COUNTIFS($H$4:$H$66,P$3,$D$4:$D$66,$J5)</f>
        <v>0</v>
      </c>
      <c r="Q5" s="99">
        <f t="shared" si="5"/>
        <v>0</v>
      </c>
      <c r="R5" s="99">
        <f t="shared" si="5"/>
        <v>0</v>
      </c>
      <c r="S5" s="99">
        <f t="shared" si="5"/>
        <v>0</v>
      </c>
      <c r="T5" s="99">
        <f t="shared" si="5"/>
        <v>0</v>
      </c>
      <c r="U5" s="99">
        <f t="shared" si="5"/>
        <v>0</v>
      </c>
      <c r="V5" s="99">
        <f t="shared" si="5"/>
        <v>0</v>
      </c>
      <c r="W5" s="99">
        <f t="shared" si="5"/>
        <v>0</v>
      </c>
      <c r="X5" s="99">
        <f t="shared" si="5"/>
        <v>0</v>
      </c>
      <c r="Y5" s="99">
        <f t="shared" si="5"/>
        <v>0</v>
      </c>
      <c r="Z5" s="99">
        <f t="shared" si="5"/>
        <v>0</v>
      </c>
      <c r="AA5" s="99">
        <f t="shared" si="5"/>
        <v>0</v>
      </c>
      <c r="AB5" s="99">
        <f t="shared" si="5"/>
        <v>0</v>
      </c>
      <c r="AC5" s="99">
        <f t="shared" si="5"/>
        <v>0</v>
      </c>
      <c r="AD5" s="99">
        <f t="shared" si="5"/>
        <v>0</v>
      </c>
      <c r="AE5" s="99">
        <f t="shared" si="5"/>
        <v>1</v>
      </c>
      <c r="AF5" s="101">
        <f t="array" ref="AF5:AU5">IFERROR(P5:AE5*TRANSPOSE('Queen MIDI'!$J$4:$J$19),"N/A")</f>
        <v>0</v>
      </c>
      <c r="AG5" s="101">
        <v>0.0</v>
      </c>
      <c r="AH5" s="101">
        <v>0.0</v>
      </c>
      <c r="AI5" s="101">
        <v>0.0</v>
      </c>
      <c r="AJ5" s="101">
        <v>0.0</v>
      </c>
      <c r="AK5" s="101">
        <v>0.0</v>
      </c>
      <c r="AL5" s="101">
        <v>0.0</v>
      </c>
      <c r="AM5" s="101">
        <v>0.0</v>
      </c>
      <c r="AN5" s="101" t="s">
        <v>357</v>
      </c>
      <c r="AO5" s="101">
        <v>0.0</v>
      </c>
      <c r="AP5" s="101">
        <v>0.0</v>
      </c>
      <c r="AQ5" s="101">
        <v>0.0</v>
      </c>
      <c r="AR5" s="101">
        <v>0.0</v>
      </c>
      <c r="AS5" s="101">
        <v>0.0</v>
      </c>
      <c r="AT5" s="101">
        <v>0.0</v>
      </c>
      <c r="AU5" s="101">
        <v>1.96875</v>
      </c>
      <c r="AV5" s="99" t="str">
        <f>IFERROR(__xludf.DUMMYFUNCTION("JOIN("", "",FILTER($P$3:$AE$3,$P5:$AE5=MAX($P5:$AE5)))"),"NOT FOUND")</f>
        <v>NOT FOUND</v>
      </c>
      <c r="AW5" s="99">
        <f t="shared" si="6"/>
        <v>1</v>
      </c>
      <c r="AX5" s="99">
        <f>IFERROR(__xludf.DUMMYFUNCTION("COUNTA(FILTER($P$3:$AE$3,$P5:$AE5=MAX($P5:$AE5)))"),1.0)</f>
        <v>1</v>
      </c>
      <c r="AY5" s="99" t="str">
        <f>IFERROR(__xludf.DUMMYFUNCTION("IFERROR(JOIN("", "",FILTER($AF$3:$AU$3,$AF5:$AU5=MAXIFS($AF5:$AU5,$AF$23:$AU$23,TRUE),$AF$23:$AU$23)),""N/A"")"),"NOT FOUND")</f>
        <v>NOT FOUND</v>
      </c>
      <c r="AZ5" s="103" t="str">
        <f>IFERROR(__xludf.DUMMYFUNCTION("IFERROR(JOIN("", "",FILTER($P5:$AE5,$AF5:$AU5=MAXIFS($AF5:$AU5,$AF$23:$AU$23,TRUE),$AF$23:$AU$23)),""N/A"")"),"1")</f>
        <v>1</v>
      </c>
      <c r="BA5" s="103">
        <f>MAXIFS(AF5:AU5,$AF$23:$AU$23,TRUE)/'Queen MIDI'!$J$20</f>
        <v>0.5</v>
      </c>
      <c r="BB5" s="98">
        <f>IFERROR(__xludf.DUMMYFUNCTION("COUNTA(IFERROR(FILTER($AF$3:$AU$3,$AF5:$AU5=MAXIFS($AF5:$AU5,$AF$23:$AU$23,TRUE),$AF$23:$AU$23),))"),1.0)</f>
        <v>1</v>
      </c>
      <c r="BC5" s="103">
        <f t="shared" si="7"/>
        <v>0.01587301587</v>
      </c>
      <c r="BD5" s="99">
        <f t="shared" si="8"/>
        <v>1</v>
      </c>
      <c r="BE5" s="1"/>
    </row>
    <row r="6">
      <c r="A6" s="1"/>
      <c r="C6" s="66" t="str">
        <f t="array" ref="C6">INDEX('Queen MIDI'!$C$4:$C$66,MATCH(F6,'Queen MIDI'!$D$4:$D$66,0))</f>
        <v>Seven Seas of Rhye</v>
      </c>
      <c r="D6" s="118">
        <v>0.0</v>
      </c>
      <c r="E6" s="118" t="s">
        <v>359</v>
      </c>
      <c r="F6" s="66" t="str">
        <f t="shared" si="2"/>
        <v>Seven Seas of Rhye.1.mid</v>
      </c>
      <c r="G6" s="119">
        <f>HLOOKUP(H6,'Queen Discography'!$C$2:$Q$3,2,FALSE)</f>
        <v>1973</v>
      </c>
      <c r="H6" s="66" t="str">
        <f>IF(COUNTIF('Queen Discography'!$C$4:$C$22,C6)&gt;0,"Queen",
IF(COUNTIF('Queen Discography'!$D$4:$D$22,C6)&gt;0,"Queen II",
IF(COUNTIF('Queen Discography'!$E$4:$E$22,C6)&gt;0,"Sheer Heart Attack",
IF(COUNTIF('Queen Discography'!$F$4:$F$22,C6)&gt;0,"A Night At The Opera",
IF(COUNTIF('Queen Discography'!$G$4:$G$22,C6)&gt;0,"A Day At The Races",
IF(COUNTIF('Queen Discography'!$H$4:$H$22,C6)&gt;0,"News Of The World",
IF(COUNTIF('Queen Discography'!$I$4:$I$22,C6)&gt;0,"Jazz",
IF(COUNTIF('Queen Discography'!$J$4:$J$22,C6)&gt;0,"The Game",
IF(COUNTIF('Queen Discography'!$K$4:$K$22,C6)&gt;0,"Flash Gordon",
IF(COUNTIF('Queen Discography'!$L$4:$L$22,C6)&gt;0,"Hot Space",
IF(COUNTIF('Queen Discography'!$M$4:$M$22,C6)&gt;0,"The Works",
IF(COUNTIF('Queen Discography'!$N$4:$N$22,C6)&gt;0,"A Kind Of Magic",
IF(COUNTIF('Queen Discography'!$O$4:$O$22,C6)&gt;0,"The Miracle",
IF(COUNTIF('Queen Discography'!$P$4:$P$22,C6)&gt;0,"Innuendo",
IF(COUNTIF('Queen Discography'!$Q$4:$Q$22,C6)&gt;0,"Made In Heaven","NOT FOUND")))))))))))))))</f>
        <v>Queen</v>
      </c>
      <c r="I6" s="1"/>
      <c r="J6" s="98">
        <v>2.0</v>
      </c>
      <c r="K6" s="99">
        <f t="shared" si="9"/>
        <v>1974</v>
      </c>
      <c r="L6" s="99">
        <f t="shared" si="3"/>
        <v>1974</v>
      </c>
      <c r="M6" s="99">
        <f t="shared" si="4"/>
        <v>1974</v>
      </c>
      <c r="N6" s="100">
        <f>IFERROR(__xludf.DUMMYFUNCTION("IFERROR(MEDIAN(FILTER($G$4:$G$66,$D$4:$D$66=$J6,ISNUMBER($G$4:$G$66))),""N/A"")"),1974.0)</f>
        <v>1974</v>
      </c>
      <c r="O6" s="99" t="str">
        <f>IFERROR(__xludf.DUMMYFUNCTION("IFERROR(MODE(FILTER($G$4:$G$66,$D$4:$D$66=$J6,ISNUMBER($G$4:$G$66))),""N/A"")"),"N/A")</f>
        <v>N/A</v>
      </c>
      <c r="P6" s="99">
        <f t="shared" ref="P6:AE6" si="10">COUNTIFS($H$4:$H$66,P$3,$D$4:$D$66,$J6)</f>
        <v>0</v>
      </c>
      <c r="Q6" s="99">
        <f t="shared" si="10"/>
        <v>1</v>
      </c>
      <c r="R6" s="99">
        <f t="shared" si="10"/>
        <v>0</v>
      </c>
      <c r="S6" s="99">
        <f t="shared" si="10"/>
        <v>0</v>
      </c>
      <c r="T6" s="99">
        <f t="shared" si="10"/>
        <v>0</v>
      </c>
      <c r="U6" s="99">
        <f t="shared" si="10"/>
        <v>0</v>
      </c>
      <c r="V6" s="99">
        <f t="shared" si="10"/>
        <v>0</v>
      </c>
      <c r="W6" s="99">
        <f t="shared" si="10"/>
        <v>0</v>
      </c>
      <c r="X6" s="99">
        <f t="shared" si="10"/>
        <v>0</v>
      </c>
      <c r="Y6" s="99">
        <f t="shared" si="10"/>
        <v>0</v>
      </c>
      <c r="Z6" s="99">
        <f t="shared" si="10"/>
        <v>0</v>
      </c>
      <c r="AA6" s="99">
        <f t="shared" si="10"/>
        <v>0</v>
      </c>
      <c r="AB6" s="99">
        <f t="shared" si="10"/>
        <v>0</v>
      </c>
      <c r="AC6" s="99">
        <f t="shared" si="10"/>
        <v>0</v>
      </c>
      <c r="AD6" s="99">
        <f t="shared" si="10"/>
        <v>0</v>
      </c>
      <c r="AE6" s="99">
        <f t="shared" si="10"/>
        <v>0</v>
      </c>
      <c r="AF6" s="101">
        <f t="array" ref="AF6:AU6">IFERROR(P6:AE6*TRANSPOSE('Queen MIDI'!$J$4:$J$19),"N/A")</f>
        <v>0</v>
      </c>
      <c r="AG6" s="101">
        <v>1.3125</v>
      </c>
      <c r="AH6" s="101">
        <v>0.0</v>
      </c>
      <c r="AI6" s="101">
        <v>0.0</v>
      </c>
      <c r="AJ6" s="101">
        <v>0.0</v>
      </c>
      <c r="AK6" s="101">
        <v>0.0</v>
      </c>
      <c r="AL6" s="101">
        <v>0.0</v>
      </c>
      <c r="AM6" s="101">
        <v>0.0</v>
      </c>
      <c r="AN6" s="101" t="s">
        <v>357</v>
      </c>
      <c r="AO6" s="101">
        <v>0.0</v>
      </c>
      <c r="AP6" s="101">
        <v>0.0</v>
      </c>
      <c r="AQ6" s="101">
        <v>0.0</v>
      </c>
      <c r="AR6" s="101">
        <v>0.0</v>
      </c>
      <c r="AS6" s="101">
        <v>0.0</v>
      </c>
      <c r="AT6" s="101">
        <v>0.0</v>
      </c>
      <c r="AU6" s="101">
        <v>0.0</v>
      </c>
      <c r="AV6" s="99" t="str">
        <f>IFERROR(__xludf.DUMMYFUNCTION("JOIN("", "",FILTER($P$3:$AE$3,$P6:$AE6=MAX($P6:$AE6)))"),"Queen II")</f>
        <v>Queen II</v>
      </c>
      <c r="AW6" s="99">
        <f t="shared" si="6"/>
        <v>1</v>
      </c>
      <c r="AX6" s="99">
        <f>IFERROR(__xludf.DUMMYFUNCTION("COUNTA(FILTER($P$3:$AE$3,$P6:$AE6=MAX($P6:$AE6)))"),1.0)</f>
        <v>1</v>
      </c>
      <c r="AY6" s="99" t="str">
        <f>IFERROR(__xludf.DUMMYFUNCTION("IFERROR(JOIN("", "",FILTER($AF$3:$AU$3,$AF6:$AU6=MAXIFS($AF6:$AU6,$AF$23:$AU$23,TRUE),$AF$23:$AU$23)),""N/A"")"),"Queen II")</f>
        <v>Queen II</v>
      </c>
      <c r="AZ6" s="103" t="str">
        <f>IFERROR(__xludf.DUMMYFUNCTION("IFERROR(JOIN("", "",FILTER($P6:$AE6,$AF6:$AU6=MAXIFS($AF6:$AU6,$AF$23:$AU$23,TRUE),$AF$23:$AU$23)),""N/A"")"),"1")</f>
        <v>1</v>
      </c>
      <c r="BA6" s="103">
        <f>MAXIFS(AF6:AU6,$AF$23:$AU$23,TRUE)/'Queen MIDI'!$J$20</f>
        <v>0.3333333333</v>
      </c>
      <c r="BB6" s="98">
        <f>IFERROR(__xludf.DUMMYFUNCTION("COUNTA(IFERROR(FILTER($AF$3:$AU$3,$AF6:$AU6=MAXIFS($AF6:$AU6,$AF$23:$AU$23,TRUE),$AF$23:$AU$23),))"),1.0)</f>
        <v>1</v>
      </c>
      <c r="BC6" s="103">
        <f t="shared" si="7"/>
        <v>0.01587301587</v>
      </c>
      <c r="BD6" s="99">
        <f t="shared" si="8"/>
        <v>1</v>
      </c>
      <c r="BE6" s="1"/>
    </row>
    <row r="7">
      <c r="A7" s="1"/>
      <c r="C7" s="66" t="str">
        <f t="array" ref="C7">INDEX('Queen MIDI'!$C$4:$C$66,MATCH(F7,'Queen MIDI'!$D$4:$D$66,0))</f>
        <v>Son and Daughter</v>
      </c>
      <c r="D7" s="118">
        <v>0.0</v>
      </c>
      <c r="E7" s="118" t="s">
        <v>360</v>
      </c>
      <c r="F7" s="66" t="str">
        <f t="shared" si="2"/>
        <v>Son and Daughter.1.mid</v>
      </c>
      <c r="G7" s="127">
        <f>HLOOKUP(H7,'Queen Discography'!$C$2:$Q$3,2,FALSE)</f>
        <v>1973</v>
      </c>
      <c r="H7" s="66" t="str">
        <f>IF(COUNTIF('Queen Discography'!$C$4:$C$22,C7)&gt;0,"Queen",
IF(COUNTIF('Queen Discography'!$D$4:$D$22,C7)&gt;0,"Queen II",
IF(COUNTIF('Queen Discography'!$E$4:$E$22,C7)&gt;0,"Sheer Heart Attack",
IF(COUNTIF('Queen Discography'!$F$4:$F$22,C7)&gt;0,"A Night At The Opera",
IF(COUNTIF('Queen Discography'!$G$4:$G$22,C7)&gt;0,"A Day At The Races",
IF(COUNTIF('Queen Discography'!$H$4:$H$22,C7)&gt;0,"News Of The World",
IF(COUNTIF('Queen Discography'!$I$4:$I$22,C7)&gt;0,"Jazz",
IF(COUNTIF('Queen Discography'!$J$4:$J$22,C7)&gt;0,"The Game",
IF(COUNTIF('Queen Discography'!$K$4:$K$22,C7)&gt;0,"Flash Gordon",
IF(COUNTIF('Queen Discography'!$L$4:$L$22,C7)&gt;0,"Hot Space",
IF(COUNTIF('Queen Discography'!$M$4:$M$22,C7)&gt;0,"The Works",
IF(COUNTIF('Queen Discography'!$N$4:$N$22,C7)&gt;0,"A Kind Of Magic",
IF(COUNTIF('Queen Discography'!$O$4:$O$22,C7)&gt;0,"The Miracle",
IF(COUNTIF('Queen Discography'!$P$4:$P$22,C7)&gt;0,"Innuendo",
IF(COUNTIF('Queen Discography'!$Q$4:$Q$22,C7)&gt;0,"Made In Heaven","NOT FOUND")))))))))))))))</f>
        <v>Queen</v>
      </c>
      <c r="I7" s="1"/>
      <c r="J7" s="98">
        <v>3.0</v>
      </c>
      <c r="K7" s="99" t="str">
        <f t="shared" si="9"/>
        <v>N/A</v>
      </c>
      <c r="L7" s="99" t="str">
        <f t="shared" si="3"/>
        <v>N/A</v>
      </c>
      <c r="M7" s="99" t="str">
        <f t="shared" si="4"/>
        <v>N/A</v>
      </c>
      <c r="N7" s="100" t="str">
        <f>IFERROR(__xludf.DUMMYFUNCTION("IFERROR(MEDIAN(FILTER($G$4:$G$66,$D$4:$D$66=$J7,ISNUMBER($G$4:$G$66))),""N/A"")"),"N/A")</f>
        <v>N/A</v>
      </c>
      <c r="O7" s="99" t="str">
        <f>IFERROR(__xludf.DUMMYFUNCTION("IFERROR(MODE(FILTER($G$4:$G$66,$D$4:$D$66=$J7,ISNUMBER($G$4:$G$66))),""N/A"")"),"N/A")</f>
        <v>N/A</v>
      </c>
      <c r="P7" s="99">
        <f t="shared" ref="P7:AE7" si="11">COUNTIFS($H$4:$H$66,P$3,$D$4:$D$66,$J7)</f>
        <v>0</v>
      </c>
      <c r="Q7" s="99">
        <f t="shared" si="11"/>
        <v>0</v>
      </c>
      <c r="R7" s="99">
        <f t="shared" si="11"/>
        <v>0</v>
      </c>
      <c r="S7" s="99">
        <f t="shared" si="11"/>
        <v>0</v>
      </c>
      <c r="T7" s="99">
        <f t="shared" si="11"/>
        <v>0</v>
      </c>
      <c r="U7" s="99">
        <f t="shared" si="11"/>
        <v>0</v>
      </c>
      <c r="V7" s="99">
        <f t="shared" si="11"/>
        <v>0</v>
      </c>
      <c r="W7" s="99">
        <f t="shared" si="11"/>
        <v>0</v>
      </c>
      <c r="X7" s="99">
        <f t="shared" si="11"/>
        <v>0</v>
      </c>
      <c r="Y7" s="99">
        <f t="shared" si="11"/>
        <v>0</v>
      </c>
      <c r="Z7" s="99">
        <f t="shared" si="11"/>
        <v>0</v>
      </c>
      <c r="AA7" s="99">
        <f t="shared" si="11"/>
        <v>0</v>
      </c>
      <c r="AB7" s="99">
        <f t="shared" si="11"/>
        <v>0</v>
      </c>
      <c r="AC7" s="99">
        <f t="shared" si="11"/>
        <v>0</v>
      </c>
      <c r="AD7" s="99">
        <f t="shared" si="11"/>
        <v>0</v>
      </c>
      <c r="AE7" s="99">
        <f t="shared" si="11"/>
        <v>0</v>
      </c>
      <c r="AF7" s="101">
        <f t="array" ref="AF7:AU7">IFERROR(P7:AE7*TRANSPOSE('Queen MIDI'!$J$4:$J$19),"N/A")</f>
        <v>0</v>
      </c>
      <c r="AG7" s="101">
        <v>0.0</v>
      </c>
      <c r="AH7" s="101">
        <v>0.0</v>
      </c>
      <c r="AI7" s="101">
        <v>0.0</v>
      </c>
      <c r="AJ7" s="101">
        <v>0.0</v>
      </c>
      <c r="AK7" s="101">
        <v>0.0</v>
      </c>
      <c r="AL7" s="101">
        <v>0.0</v>
      </c>
      <c r="AM7" s="101">
        <v>0.0</v>
      </c>
      <c r="AN7" s="101" t="s">
        <v>357</v>
      </c>
      <c r="AO7" s="101">
        <v>0.0</v>
      </c>
      <c r="AP7" s="101">
        <v>0.0</v>
      </c>
      <c r="AQ7" s="101">
        <v>0.0</v>
      </c>
      <c r="AR7" s="101">
        <v>0.0</v>
      </c>
      <c r="AS7" s="101">
        <v>0.0</v>
      </c>
      <c r="AT7" s="101">
        <v>0.0</v>
      </c>
      <c r="AU7" s="101">
        <v>0.0</v>
      </c>
      <c r="AV7" s="99" t="str">
        <f>IFERROR(__xludf.DUMMYFUNCTION("JOIN("", "",FILTER($P$3:$AE$3,$P7:$AE7=MAX($P7:$AE7)))"),"Queen,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7" s="99">
        <f t="shared" si="6"/>
        <v>0</v>
      </c>
      <c r="AX7" s="99">
        <f>IFERROR(__xludf.DUMMYFUNCTION("COUNTA(FILTER($P$3:$AE$3,$P7:$AE7=MAX($P7:$AE7)))"),16.0)</f>
        <v>16</v>
      </c>
      <c r="AY7" s="99" t="str">
        <f>IFERROR(__xludf.DUMMYFUNCTION("IFERROR(JOIN("", "",FILTER($AF$3:$AU$3,$AF7:$AU7=MAXIFS($AF7:$AU7,$AF$23:$AU$23,TRUE),$AF$23:$AU$23)),""N/A"")"),"Queen,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7" s="103" t="str">
        <f>IFERROR(__xludf.DUMMYFUNCTION("IFERROR(JOIN("", "",FILTER($P7:$AE7,$AF7:$AU7=MAXIFS($AF7:$AU7,$AF$23:$AU$23,TRUE),$AF$23:$AU$23)),""N/A"")"),"0, 0, 0, 0, 0, 0, 0, 0, 0, 0, 0, 0, 0, 0")</f>
        <v>0, 0, 0, 0, 0, 0, 0, 0, 0, 0, 0, 0, 0, 0</v>
      </c>
      <c r="BA7" s="103">
        <f>MAXIFS(AF7:AU7,$AF$23:$AU$23,TRUE)/'Queen MIDI'!$J$20</f>
        <v>0</v>
      </c>
      <c r="BB7" s="98">
        <f>IFERROR(__xludf.DUMMYFUNCTION("COUNTA(IFERROR(FILTER($AF$3:$AU$3,$AF7:$AU7=MAXIFS($AF7:$AU7,$AF$23:$AU$23,TRUE),$AF$23:$AU$23),))"),14.0)</f>
        <v>14</v>
      </c>
      <c r="BC7" s="103">
        <f t="shared" si="7"/>
        <v>0</v>
      </c>
      <c r="BD7" s="99">
        <f t="shared" si="8"/>
        <v>0</v>
      </c>
      <c r="BE7" s="1"/>
    </row>
    <row r="8">
      <c r="A8" s="1"/>
      <c r="C8" s="66" t="str">
        <f t="array" ref="C8">INDEX('Queen MIDI'!$C$4:$C$66,MATCH(F8,'Queen MIDI'!$D$4:$D$66,0))</f>
        <v>Father to Son</v>
      </c>
      <c r="D8" s="118">
        <v>0.0</v>
      </c>
      <c r="E8" s="118" t="s">
        <v>361</v>
      </c>
      <c r="F8" s="66" t="str">
        <f t="shared" si="2"/>
        <v>Father to Son.mid</v>
      </c>
      <c r="G8" s="133">
        <f>HLOOKUP(H8,'Queen Discography'!$C$2:$Q$3,2,FALSE)</f>
        <v>1974</v>
      </c>
      <c r="H8" s="66" t="str">
        <f>IF(COUNTIF('Queen Discography'!$C$4:$C$22,C8)&gt;0,"Queen",
IF(COUNTIF('Queen Discography'!$D$4:$D$22,C8)&gt;0,"Queen II",
IF(COUNTIF('Queen Discography'!$E$4:$E$22,C8)&gt;0,"Sheer Heart Attack",
IF(COUNTIF('Queen Discography'!$F$4:$F$22,C8)&gt;0,"A Night At The Opera",
IF(COUNTIF('Queen Discography'!$G$4:$G$22,C8)&gt;0,"A Day At The Races",
IF(COUNTIF('Queen Discography'!$H$4:$H$22,C8)&gt;0,"News Of The World",
IF(COUNTIF('Queen Discography'!$I$4:$I$22,C8)&gt;0,"Jazz",
IF(COUNTIF('Queen Discography'!$J$4:$J$22,C8)&gt;0,"The Game",
IF(COUNTIF('Queen Discography'!$K$4:$K$22,C8)&gt;0,"Flash Gordon",
IF(COUNTIF('Queen Discography'!$L$4:$L$22,C8)&gt;0,"Hot Space",
IF(COUNTIF('Queen Discography'!$M$4:$M$22,C8)&gt;0,"The Works",
IF(COUNTIF('Queen Discography'!$N$4:$N$22,C8)&gt;0,"A Kind Of Magic",
IF(COUNTIF('Queen Discography'!$O$4:$O$22,C8)&gt;0,"The Miracle",
IF(COUNTIF('Queen Discography'!$P$4:$P$22,C8)&gt;0,"Innuendo",
IF(COUNTIF('Queen Discography'!$Q$4:$Q$22,C8)&gt;0,"Made In Heaven","NOT FOUND")))))))))))))))</f>
        <v>Queen II</v>
      </c>
      <c r="I8" s="1"/>
      <c r="J8" s="98">
        <v>4.0</v>
      </c>
      <c r="K8" s="99" t="str">
        <f t="shared" si="9"/>
        <v>N/A</v>
      </c>
      <c r="L8" s="99" t="str">
        <f t="shared" si="3"/>
        <v>N/A</v>
      </c>
      <c r="M8" s="99" t="str">
        <f t="shared" si="4"/>
        <v>N/A</v>
      </c>
      <c r="N8" s="100" t="str">
        <f>IFERROR(__xludf.DUMMYFUNCTION("IFERROR(MEDIAN(FILTER($G$4:$G$66,$D$4:$D$66=$J8,ISNUMBER($G$4:$G$66))),""N/A"")"),"N/A")</f>
        <v>N/A</v>
      </c>
      <c r="O8" s="99" t="str">
        <f>IFERROR(__xludf.DUMMYFUNCTION("IFERROR(MODE(FILTER($G$4:$G$66,$D$4:$D$66=$J8,ISNUMBER($G$4:$G$66))),""N/A"")"),"N/A")</f>
        <v>N/A</v>
      </c>
      <c r="P8" s="99">
        <f t="shared" ref="P8:AE8" si="12">COUNTIFS($H$4:$H$66,P$3,$D$4:$D$66,$J8)</f>
        <v>0</v>
      </c>
      <c r="Q8" s="99">
        <f t="shared" si="12"/>
        <v>0</v>
      </c>
      <c r="R8" s="99">
        <f t="shared" si="12"/>
        <v>0</v>
      </c>
      <c r="S8" s="99">
        <f t="shared" si="12"/>
        <v>0</v>
      </c>
      <c r="T8" s="99">
        <f t="shared" si="12"/>
        <v>0</v>
      </c>
      <c r="U8" s="99">
        <f t="shared" si="12"/>
        <v>0</v>
      </c>
      <c r="V8" s="99">
        <f t="shared" si="12"/>
        <v>0</v>
      </c>
      <c r="W8" s="99">
        <f t="shared" si="12"/>
        <v>0</v>
      </c>
      <c r="X8" s="99">
        <f t="shared" si="12"/>
        <v>0</v>
      </c>
      <c r="Y8" s="99">
        <f t="shared" si="12"/>
        <v>0</v>
      </c>
      <c r="Z8" s="99">
        <f t="shared" si="12"/>
        <v>0</v>
      </c>
      <c r="AA8" s="99">
        <f t="shared" si="12"/>
        <v>0</v>
      </c>
      <c r="AB8" s="99">
        <f t="shared" si="12"/>
        <v>0</v>
      </c>
      <c r="AC8" s="99">
        <f t="shared" si="12"/>
        <v>0</v>
      </c>
      <c r="AD8" s="99">
        <f t="shared" si="12"/>
        <v>0</v>
      </c>
      <c r="AE8" s="99">
        <f t="shared" si="12"/>
        <v>0</v>
      </c>
      <c r="AF8" s="104">
        <f t="array" ref="AF8:AU8">IFERROR(P8:AE8*TRANSPOSE('Queen MIDI'!$J$4:$J$19),"N/A")</f>
        <v>0</v>
      </c>
      <c r="AG8" s="104">
        <v>0.0</v>
      </c>
      <c r="AH8" s="104">
        <v>0.0</v>
      </c>
      <c r="AI8" s="104">
        <v>0.0</v>
      </c>
      <c r="AJ8" s="104">
        <v>0.0</v>
      </c>
      <c r="AK8" s="104">
        <v>0.0</v>
      </c>
      <c r="AL8" s="104">
        <v>0.0</v>
      </c>
      <c r="AM8" s="104">
        <v>0.0</v>
      </c>
      <c r="AN8" s="104" t="s">
        <v>357</v>
      </c>
      <c r="AO8" s="104">
        <v>0.0</v>
      </c>
      <c r="AP8" s="104">
        <v>0.0</v>
      </c>
      <c r="AQ8" s="104">
        <v>0.0</v>
      </c>
      <c r="AR8" s="104">
        <v>0.0</v>
      </c>
      <c r="AS8" s="104">
        <v>0.0</v>
      </c>
      <c r="AT8" s="104">
        <v>0.0</v>
      </c>
      <c r="AU8" s="104">
        <v>0.0</v>
      </c>
      <c r="AV8" s="99" t="str">
        <f>IFERROR(__xludf.DUMMYFUNCTION("JOIN("", "",FILTER($P$3:$AE$3,$P8:$AE8=MAX($P8:$AE8)))"),"Queen,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8" s="99">
        <f t="shared" si="6"/>
        <v>0</v>
      </c>
      <c r="AX8" s="99">
        <f>IFERROR(__xludf.DUMMYFUNCTION("COUNTA(FILTER($P$3:$AE$3,$P8:$AE8=MAX($P8:$AE8)))"),16.0)</f>
        <v>16</v>
      </c>
      <c r="AY8" s="99" t="str">
        <f>IFERROR(__xludf.DUMMYFUNCTION("IFERROR(JOIN("", "",FILTER($AF$3:$AU$3,$AF8:$AU8=MAXIFS($AF8:$AU8,$AF$23:$AU$23,TRUE),$AF$23:$AU$23)),""N/A"")"),"Queen,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8" s="103" t="str">
        <f>IFERROR(__xludf.DUMMYFUNCTION("IFERROR(JOIN("", "",FILTER($P8:$AE8,$AF8:$AU8=MAXIFS($AF8:$AU8,$AF$23:$AU$23,TRUE),$AF$23:$AU$23)),""N/A"")"),"0, 0, 0, 0, 0, 0, 0, 0, 0, 0, 0, 0, 0, 0")</f>
        <v>0, 0, 0, 0, 0, 0, 0, 0, 0, 0, 0, 0, 0, 0</v>
      </c>
      <c r="BA8" s="103">
        <f>MAXIFS(AF8:AU8,$AF$23:$AU$23,TRUE)/'Queen MIDI'!$J$20</f>
        <v>0</v>
      </c>
      <c r="BB8" s="98">
        <f>IFERROR(__xludf.DUMMYFUNCTION("COUNTA(IFERROR(FILTER($AF$3:$AU$3,$AF8:$AU8=MAXIFS($AF8:$AU8,$AF$23:$AU$23,TRUE),$AF$23:$AU$23),))"),14.0)</f>
        <v>14</v>
      </c>
      <c r="BC8" s="105">
        <f t="shared" si="7"/>
        <v>0</v>
      </c>
      <c r="BD8" s="99">
        <f t="shared" si="8"/>
        <v>0</v>
      </c>
      <c r="BE8" s="1"/>
    </row>
    <row r="9">
      <c r="A9" s="1"/>
      <c r="C9" s="66" t="str">
        <f t="array" ref="C9">INDEX('Queen MIDI'!$C$4:$C$66,MATCH(F9,'Queen MIDI'!$D$4:$D$66,0))</f>
        <v>Nevermore</v>
      </c>
      <c r="D9" s="118">
        <v>0.0</v>
      </c>
      <c r="E9" s="118" t="s">
        <v>362</v>
      </c>
      <c r="F9" s="66" t="str">
        <f t="shared" si="2"/>
        <v>Never More.mid</v>
      </c>
      <c r="G9" s="123">
        <f>HLOOKUP(H9,'Queen Discography'!$C$2:$Q$3,2,FALSE)</f>
        <v>1974</v>
      </c>
      <c r="H9" s="66" t="str">
        <f>IF(COUNTIF('Queen Discography'!$C$4:$C$22,C9)&gt;0,"Queen",
IF(COUNTIF('Queen Discography'!$D$4:$D$22,C9)&gt;0,"Queen II",
IF(COUNTIF('Queen Discography'!$E$4:$E$22,C9)&gt;0,"Sheer Heart Attack",
IF(COUNTIF('Queen Discography'!$F$4:$F$22,C9)&gt;0,"A Night At The Opera",
IF(COUNTIF('Queen Discography'!$G$4:$G$22,C9)&gt;0,"A Day At The Races",
IF(COUNTIF('Queen Discography'!$H$4:$H$22,C9)&gt;0,"News Of The World",
IF(COUNTIF('Queen Discography'!$I$4:$I$22,C9)&gt;0,"Jazz",
IF(COUNTIF('Queen Discography'!$J$4:$J$22,C9)&gt;0,"The Game",
IF(COUNTIF('Queen Discography'!$K$4:$K$22,C9)&gt;0,"Flash Gordon",
IF(COUNTIF('Queen Discography'!$L$4:$L$22,C9)&gt;0,"Hot Space",
IF(COUNTIF('Queen Discography'!$M$4:$M$22,C9)&gt;0,"The Works",
IF(COUNTIF('Queen Discography'!$N$4:$N$22,C9)&gt;0,"A Kind Of Magic",
IF(COUNTIF('Queen Discography'!$O$4:$O$22,C9)&gt;0,"The Miracle",
IF(COUNTIF('Queen Discography'!$P$4:$P$22,C9)&gt;0,"Innuendo",
IF(COUNTIF('Queen Discography'!$Q$4:$Q$22,C9)&gt;0,"Made In Heaven","NOT FOUND")))))))))))))))</f>
        <v>Queen II</v>
      </c>
      <c r="I9" s="1"/>
      <c r="J9" s="98">
        <v>5.0</v>
      </c>
      <c r="K9" s="99" t="str">
        <f t="shared" si="9"/>
        <v>N/A</v>
      </c>
      <c r="L9" s="99" t="str">
        <f t="shared" si="3"/>
        <v>N/A</v>
      </c>
      <c r="M9" s="99" t="str">
        <f t="shared" si="4"/>
        <v>N/A</v>
      </c>
      <c r="N9" s="100" t="str">
        <f>IFERROR(__xludf.DUMMYFUNCTION("IFERROR(MEDIAN(FILTER($G$4:$G$66,$D$4:$D$66=$J9,ISNUMBER($G$4:$G$66))),""N/A"")"),"N/A")</f>
        <v>N/A</v>
      </c>
      <c r="O9" s="99" t="str">
        <f>IFERROR(__xludf.DUMMYFUNCTION("IFERROR(MODE(FILTER($G$4:$G$66,$D$4:$D$66=$J9,ISNUMBER($G$4:$G$66))),""N/A"")"),"N/A")</f>
        <v>N/A</v>
      </c>
      <c r="P9" s="99">
        <f t="shared" ref="P9:AE9" si="13">COUNTIFS($H$4:$H$66,P$3,$D$4:$D$66,$J9)</f>
        <v>0</v>
      </c>
      <c r="Q9" s="99">
        <f t="shared" si="13"/>
        <v>0</v>
      </c>
      <c r="R9" s="99">
        <f t="shared" si="13"/>
        <v>0</v>
      </c>
      <c r="S9" s="99">
        <f t="shared" si="13"/>
        <v>0</v>
      </c>
      <c r="T9" s="99">
        <f t="shared" si="13"/>
        <v>0</v>
      </c>
      <c r="U9" s="99">
        <f t="shared" si="13"/>
        <v>0</v>
      </c>
      <c r="V9" s="99">
        <f t="shared" si="13"/>
        <v>0</v>
      </c>
      <c r="W9" s="99">
        <f t="shared" si="13"/>
        <v>0</v>
      </c>
      <c r="X9" s="99">
        <f t="shared" si="13"/>
        <v>0</v>
      </c>
      <c r="Y9" s="99">
        <f t="shared" si="13"/>
        <v>0</v>
      </c>
      <c r="Z9" s="99">
        <f t="shared" si="13"/>
        <v>0</v>
      </c>
      <c r="AA9" s="99">
        <f t="shared" si="13"/>
        <v>0</v>
      </c>
      <c r="AB9" s="99">
        <f t="shared" si="13"/>
        <v>0</v>
      </c>
      <c r="AC9" s="99">
        <f t="shared" si="13"/>
        <v>0</v>
      </c>
      <c r="AD9" s="99">
        <f t="shared" si="13"/>
        <v>0</v>
      </c>
      <c r="AE9" s="99">
        <f t="shared" si="13"/>
        <v>0</v>
      </c>
      <c r="AF9" s="104">
        <f t="array" ref="AF9:AU9">IFERROR(P9:AE9*TRANSPOSE('Queen MIDI'!$J$4:$J$19),"N/A")</f>
        <v>0</v>
      </c>
      <c r="AG9" s="104">
        <v>0.0</v>
      </c>
      <c r="AH9" s="104">
        <v>0.0</v>
      </c>
      <c r="AI9" s="104">
        <v>0.0</v>
      </c>
      <c r="AJ9" s="104">
        <v>0.0</v>
      </c>
      <c r="AK9" s="104">
        <v>0.0</v>
      </c>
      <c r="AL9" s="104">
        <v>0.0</v>
      </c>
      <c r="AM9" s="104">
        <v>0.0</v>
      </c>
      <c r="AN9" s="104" t="s">
        <v>357</v>
      </c>
      <c r="AO9" s="104">
        <v>0.0</v>
      </c>
      <c r="AP9" s="104">
        <v>0.0</v>
      </c>
      <c r="AQ9" s="104">
        <v>0.0</v>
      </c>
      <c r="AR9" s="104">
        <v>0.0</v>
      </c>
      <c r="AS9" s="104">
        <v>0.0</v>
      </c>
      <c r="AT9" s="104">
        <v>0.0</v>
      </c>
      <c r="AU9" s="104">
        <v>0.0</v>
      </c>
      <c r="AV9" s="99" t="str">
        <f>IFERROR(__xludf.DUMMYFUNCTION("JOIN("", "",FILTER($P$3:$AE$3,$P9:$AE9=MAX($P9:$AE9)))"),"Queen,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9" s="99">
        <f t="shared" si="6"/>
        <v>0</v>
      </c>
      <c r="AX9" s="99">
        <f>IFERROR(__xludf.DUMMYFUNCTION("COUNTA(FILTER($P$3:$AE$3,$P9:$AE9=MAX($P9:$AE9)))"),16.0)</f>
        <v>16</v>
      </c>
      <c r="AY9" s="99" t="str">
        <f>IFERROR(__xludf.DUMMYFUNCTION("IFERROR(JOIN("", "",FILTER($AF$3:$AU$3,$AF9:$AU9=MAXIFS($AF9:$AU9,$AF$23:$AU$23,TRUE),$AF$23:$AU$23)),""N/A"")"),"Queen,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9" s="103" t="str">
        <f>IFERROR(__xludf.DUMMYFUNCTION("IFERROR(JOIN("", "",FILTER($P9:$AE9,$AF9:$AU9=MAXIFS($AF9:$AU9,$AF$23:$AU$23,TRUE),$AF$23:$AU$23)),""N/A"")"),"0, 0, 0, 0, 0, 0, 0, 0, 0, 0, 0, 0, 0, 0")</f>
        <v>0, 0, 0, 0, 0, 0, 0, 0, 0, 0, 0, 0, 0, 0</v>
      </c>
      <c r="BA9" s="103">
        <f>MAXIFS(AF9:AU9,$AF$23:$AU$23,TRUE)/'Queen MIDI'!$J$20</f>
        <v>0</v>
      </c>
      <c r="BB9" s="98">
        <f>IFERROR(__xludf.DUMMYFUNCTION("COUNTA(IFERROR(FILTER($AF$3:$AU$3,$AF9:$AU9=MAXIFS($AF9:$AU9,$AF$23:$AU$23,TRUE),$AF$23:$AU$23),))"),14.0)</f>
        <v>14</v>
      </c>
      <c r="BC9" s="105">
        <f t="shared" si="7"/>
        <v>0</v>
      </c>
      <c r="BD9" s="99">
        <f t="shared" si="8"/>
        <v>0</v>
      </c>
      <c r="BE9" s="1"/>
    </row>
    <row r="10">
      <c r="A10" s="1"/>
      <c r="C10" s="66" t="str">
        <f t="array" ref="C10">INDEX('Queen MIDI'!$C$4:$C$66,MATCH(F10,'Queen MIDI'!$D$4:$D$66,0))</f>
        <v>Killer Queen</v>
      </c>
      <c r="D10" s="118">
        <v>0.0</v>
      </c>
      <c r="E10" s="118" t="s">
        <v>363</v>
      </c>
      <c r="F10" s="66" t="str">
        <f t="shared" si="2"/>
        <v>Killer Queen.1.mid</v>
      </c>
      <c r="G10" s="124">
        <f>HLOOKUP(H10,'Queen Discography'!$C$2:$Q$3,2,FALSE)</f>
        <v>1974</v>
      </c>
      <c r="H10" s="66" t="str">
        <f>IF(COUNTIF('Queen Discography'!$C$4:$C$22,C10)&gt;0,"Queen",
IF(COUNTIF('Queen Discography'!$D$4:$D$22,C10)&gt;0,"Queen II",
IF(COUNTIF('Queen Discography'!$E$4:$E$22,C10)&gt;0,"Sheer Heart Attack",
IF(COUNTIF('Queen Discography'!$F$4:$F$22,C10)&gt;0,"A Night At The Opera",
IF(COUNTIF('Queen Discography'!$G$4:$G$22,C10)&gt;0,"A Day At The Races",
IF(COUNTIF('Queen Discography'!$H$4:$H$22,C10)&gt;0,"News Of The World",
IF(COUNTIF('Queen Discography'!$I$4:$I$22,C10)&gt;0,"Jazz",
IF(COUNTIF('Queen Discography'!$J$4:$J$22,C10)&gt;0,"The Game",
IF(COUNTIF('Queen Discography'!$K$4:$K$22,C10)&gt;0,"Flash Gordon",
IF(COUNTIF('Queen Discography'!$L$4:$L$22,C10)&gt;0,"Hot Space",
IF(COUNTIF('Queen Discography'!$M$4:$M$22,C10)&gt;0,"The Works",
IF(COUNTIF('Queen Discography'!$N$4:$N$22,C10)&gt;0,"A Kind Of Magic",
IF(COUNTIF('Queen Discography'!$O$4:$O$22,C10)&gt;0,"The Miracle",
IF(COUNTIF('Queen Discography'!$P$4:$P$22,C10)&gt;0,"Innuendo",
IF(COUNTIF('Queen Discography'!$Q$4:$Q$22,C10)&gt;0,"Made In Heaven","NOT FOUND")))))))))))))))</f>
        <v>Sheer Heart Attack</v>
      </c>
      <c r="I10" s="1"/>
      <c r="J10" s="98">
        <v>6.0</v>
      </c>
      <c r="K10" s="99" t="str">
        <f t="shared" si="9"/>
        <v>N/A</v>
      </c>
      <c r="L10" s="99" t="str">
        <f t="shared" si="3"/>
        <v>N/A</v>
      </c>
      <c r="M10" s="99" t="str">
        <f t="shared" si="4"/>
        <v>N/A</v>
      </c>
      <c r="N10" s="100" t="str">
        <f>IFERROR(__xludf.DUMMYFUNCTION("IFERROR(MEDIAN(FILTER($G$4:$G$66,$D$4:$D$66=$J10,ISNUMBER($G$4:$G$66))),""N/A"")"),"N/A")</f>
        <v>N/A</v>
      </c>
      <c r="O10" s="99" t="str">
        <f>IFERROR(__xludf.DUMMYFUNCTION("IFERROR(MODE(FILTER($G$4:$G$66,$D$4:$D$66=$J10,ISNUMBER($G$4:$G$66))),""N/A"")"),"N/A")</f>
        <v>N/A</v>
      </c>
      <c r="P10" s="99">
        <f t="shared" ref="P10:AE10" si="14">COUNTIFS($H$4:$H$66,P$3,$D$4:$D$66,$J10)</f>
        <v>0</v>
      </c>
      <c r="Q10" s="99">
        <f t="shared" si="14"/>
        <v>0</v>
      </c>
      <c r="R10" s="99">
        <f t="shared" si="14"/>
        <v>0</v>
      </c>
      <c r="S10" s="99">
        <f t="shared" si="14"/>
        <v>0</v>
      </c>
      <c r="T10" s="99">
        <f t="shared" si="14"/>
        <v>0</v>
      </c>
      <c r="U10" s="99">
        <f t="shared" si="14"/>
        <v>0</v>
      </c>
      <c r="V10" s="99">
        <f t="shared" si="14"/>
        <v>0</v>
      </c>
      <c r="W10" s="99">
        <f t="shared" si="14"/>
        <v>0</v>
      </c>
      <c r="X10" s="99">
        <f t="shared" si="14"/>
        <v>0</v>
      </c>
      <c r="Y10" s="99">
        <f t="shared" si="14"/>
        <v>0</v>
      </c>
      <c r="Z10" s="99">
        <f t="shared" si="14"/>
        <v>0</v>
      </c>
      <c r="AA10" s="99">
        <f t="shared" si="14"/>
        <v>0</v>
      </c>
      <c r="AB10" s="99">
        <f t="shared" si="14"/>
        <v>0</v>
      </c>
      <c r="AC10" s="99">
        <f t="shared" si="14"/>
        <v>0</v>
      </c>
      <c r="AD10" s="99">
        <f t="shared" si="14"/>
        <v>0</v>
      </c>
      <c r="AE10" s="99">
        <f t="shared" si="14"/>
        <v>0</v>
      </c>
      <c r="AF10" s="104">
        <f t="array" ref="AF10:AU10">IFERROR(P10:AE10*TRANSPOSE('Queen MIDI'!$J$4:$J$19),"N/A")</f>
        <v>0</v>
      </c>
      <c r="AG10" s="104">
        <v>0.0</v>
      </c>
      <c r="AH10" s="104">
        <v>0.0</v>
      </c>
      <c r="AI10" s="104">
        <v>0.0</v>
      </c>
      <c r="AJ10" s="104">
        <v>0.0</v>
      </c>
      <c r="AK10" s="104">
        <v>0.0</v>
      </c>
      <c r="AL10" s="104">
        <v>0.0</v>
      </c>
      <c r="AM10" s="104">
        <v>0.0</v>
      </c>
      <c r="AN10" s="104" t="s">
        <v>357</v>
      </c>
      <c r="AO10" s="104">
        <v>0.0</v>
      </c>
      <c r="AP10" s="104">
        <v>0.0</v>
      </c>
      <c r="AQ10" s="104">
        <v>0.0</v>
      </c>
      <c r="AR10" s="104">
        <v>0.0</v>
      </c>
      <c r="AS10" s="104">
        <v>0.0</v>
      </c>
      <c r="AT10" s="104">
        <v>0.0</v>
      </c>
      <c r="AU10" s="104">
        <v>0.0</v>
      </c>
      <c r="AV10" s="99" t="str">
        <f>IFERROR(__xludf.DUMMYFUNCTION("JOIN("", "",FILTER($P$3:$AE$3,$P10:$AE10=MAX($P10:$AE10)))"),"Queen,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0" s="99">
        <f t="shared" si="6"/>
        <v>0</v>
      </c>
      <c r="AX10" s="99">
        <f>IFERROR(__xludf.DUMMYFUNCTION("COUNTA(FILTER($P$3:$AE$3,$P10:$AE10=MAX($P10:$AE10)))"),16.0)</f>
        <v>16</v>
      </c>
      <c r="AY10" s="99" t="str">
        <f>IFERROR(__xludf.DUMMYFUNCTION("IFERROR(JOIN("", "",FILTER($AF$3:$AU$3,$AF10:$AU10=MAXIFS($AF10:$AU10,$AF$23:$AU$23,TRUE),$AF$23:$AU$23)),""N/A"")"),"Queen,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0" s="103" t="str">
        <f>IFERROR(__xludf.DUMMYFUNCTION("IFERROR(JOIN("", "",FILTER($P10:$AE10,$AF10:$AU10=MAXIFS($AF10:$AU10,$AF$23:$AU$23,TRUE),$AF$23:$AU$23)),""N/A"")"),"0, 0, 0, 0, 0, 0, 0, 0, 0, 0, 0, 0, 0, 0")</f>
        <v>0, 0, 0, 0, 0, 0, 0, 0, 0, 0, 0, 0, 0, 0</v>
      </c>
      <c r="BA10" s="103">
        <f>MAXIFS(AF10:AU10,$AF$23:$AU$23,TRUE)/'Queen MIDI'!$J$20</f>
        <v>0</v>
      </c>
      <c r="BB10" s="98">
        <f>IFERROR(__xludf.DUMMYFUNCTION("COUNTA(IFERROR(FILTER($AF$3:$AU$3,$AF10:$AU10=MAXIFS($AF10:$AU10,$AF$23:$AU$23,TRUE),$AF$23:$AU$23),))"),14.0)</f>
        <v>14</v>
      </c>
      <c r="BC10" s="105">
        <f t="shared" si="7"/>
        <v>0</v>
      </c>
      <c r="BD10" s="99">
        <f t="shared" si="8"/>
        <v>0</v>
      </c>
      <c r="BE10" s="1"/>
    </row>
    <row r="11">
      <c r="A11" s="1"/>
      <c r="C11" s="66" t="str">
        <f t="array" ref="C11">INDEX('Queen MIDI'!$C$4:$C$66,MATCH(F11,'Queen MIDI'!$D$4:$D$66,0))</f>
        <v>Now I'm Here</v>
      </c>
      <c r="D11" s="118">
        <v>0.0</v>
      </c>
      <c r="E11" s="118" t="s">
        <v>364</v>
      </c>
      <c r="F11" s="66" t="str">
        <f t="shared" si="2"/>
        <v>Now I_m Here.4.mid</v>
      </c>
      <c r="G11" s="130">
        <f>HLOOKUP(H11,'Queen Discography'!$C$2:$Q$3,2,FALSE)</f>
        <v>1974</v>
      </c>
      <c r="H11" s="66" t="str">
        <f>IF(COUNTIF('Queen Discography'!$C$4:$C$22,C11)&gt;0,"Queen",
IF(COUNTIF('Queen Discography'!$D$4:$D$22,C11)&gt;0,"Queen II",
IF(COUNTIF('Queen Discography'!$E$4:$E$22,C11)&gt;0,"Sheer Heart Attack",
IF(COUNTIF('Queen Discography'!$F$4:$F$22,C11)&gt;0,"A Night At The Opera",
IF(COUNTIF('Queen Discography'!$G$4:$G$22,C11)&gt;0,"A Day At The Races",
IF(COUNTIF('Queen Discography'!$H$4:$H$22,C11)&gt;0,"News Of The World",
IF(COUNTIF('Queen Discography'!$I$4:$I$22,C11)&gt;0,"Jazz",
IF(COUNTIF('Queen Discography'!$J$4:$J$22,C11)&gt;0,"The Game",
IF(COUNTIF('Queen Discography'!$K$4:$K$22,C11)&gt;0,"Flash Gordon",
IF(COUNTIF('Queen Discography'!$L$4:$L$22,C11)&gt;0,"Hot Space",
IF(COUNTIF('Queen Discography'!$M$4:$M$22,C11)&gt;0,"The Works",
IF(COUNTIF('Queen Discography'!$N$4:$N$22,C11)&gt;0,"A Kind Of Magic",
IF(COUNTIF('Queen Discography'!$O$4:$O$22,C11)&gt;0,"The Miracle",
IF(COUNTIF('Queen Discography'!$P$4:$P$22,C11)&gt;0,"Innuendo",
IF(COUNTIF('Queen Discography'!$Q$4:$Q$22,C11)&gt;0,"Made In Heaven","NOT FOUND")))))))))))))))</f>
        <v>Sheer Heart Attack</v>
      </c>
      <c r="I11" s="1"/>
      <c r="J11" s="98">
        <v>7.0</v>
      </c>
      <c r="K11" s="99" t="str">
        <f t="shared" si="9"/>
        <v>N/A</v>
      </c>
      <c r="L11" s="99" t="str">
        <f t="shared" si="3"/>
        <v>N/A</v>
      </c>
      <c r="M11" s="99" t="str">
        <f t="shared" si="4"/>
        <v>N/A</v>
      </c>
      <c r="N11" s="100" t="str">
        <f>IFERROR(__xludf.DUMMYFUNCTION("IFERROR(MEDIAN(FILTER($G$4:$G$66,$D$4:$D$66=$J11,ISNUMBER($G$4:$G$66))),""N/A"")"),"N/A")</f>
        <v>N/A</v>
      </c>
      <c r="O11" s="99" t="str">
        <f>IFERROR(__xludf.DUMMYFUNCTION("IFERROR(MODE(FILTER($G$4:$G$66,$D$4:$D$66=$J11,ISNUMBER($G$4:$G$66))),""N/A"")"),"N/A")</f>
        <v>N/A</v>
      </c>
      <c r="P11" s="99">
        <f t="shared" ref="P11:AE11" si="15">COUNTIFS($H$4:$H$66,P$3,$D$4:$D$66,$J11)</f>
        <v>0</v>
      </c>
      <c r="Q11" s="99">
        <f t="shared" si="15"/>
        <v>0</v>
      </c>
      <c r="R11" s="99">
        <f t="shared" si="15"/>
        <v>0</v>
      </c>
      <c r="S11" s="99">
        <f t="shared" si="15"/>
        <v>0</v>
      </c>
      <c r="T11" s="99">
        <f t="shared" si="15"/>
        <v>0</v>
      </c>
      <c r="U11" s="99">
        <f t="shared" si="15"/>
        <v>0</v>
      </c>
      <c r="V11" s="99">
        <f t="shared" si="15"/>
        <v>0</v>
      </c>
      <c r="W11" s="99">
        <f t="shared" si="15"/>
        <v>0</v>
      </c>
      <c r="X11" s="99">
        <f t="shared" si="15"/>
        <v>0</v>
      </c>
      <c r="Y11" s="99">
        <f t="shared" si="15"/>
        <v>0</v>
      </c>
      <c r="Z11" s="99">
        <f t="shared" si="15"/>
        <v>0</v>
      </c>
      <c r="AA11" s="99">
        <f t="shared" si="15"/>
        <v>0</v>
      </c>
      <c r="AB11" s="99">
        <f t="shared" si="15"/>
        <v>0</v>
      </c>
      <c r="AC11" s="99">
        <f t="shared" si="15"/>
        <v>0</v>
      </c>
      <c r="AD11" s="99">
        <f t="shared" si="15"/>
        <v>0</v>
      </c>
      <c r="AE11" s="99">
        <f t="shared" si="15"/>
        <v>0</v>
      </c>
      <c r="AF11" s="104">
        <f t="array" ref="AF11:AU11">IFERROR(P11:AE11*TRANSPOSE('Queen MIDI'!$J$4:$J$19),"N/A")</f>
        <v>0</v>
      </c>
      <c r="AG11" s="104">
        <v>0.0</v>
      </c>
      <c r="AH11" s="104">
        <v>0.0</v>
      </c>
      <c r="AI11" s="104">
        <v>0.0</v>
      </c>
      <c r="AJ11" s="104">
        <v>0.0</v>
      </c>
      <c r="AK11" s="104">
        <v>0.0</v>
      </c>
      <c r="AL11" s="104">
        <v>0.0</v>
      </c>
      <c r="AM11" s="104">
        <v>0.0</v>
      </c>
      <c r="AN11" s="104" t="s">
        <v>357</v>
      </c>
      <c r="AO11" s="104">
        <v>0.0</v>
      </c>
      <c r="AP11" s="104">
        <v>0.0</v>
      </c>
      <c r="AQ11" s="104">
        <v>0.0</v>
      </c>
      <c r="AR11" s="104">
        <v>0.0</v>
      </c>
      <c r="AS11" s="104">
        <v>0.0</v>
      </c>
      <c r="AT11" s="104">
        <v>0.0</v>
      </c>
      <c r="AU11" s="104">
        <v>0.0</v>
      </c>
      <c r="AV11" s="99" t="str">
        <f>IFERROR(__xludf.DUMMYFUNCTION("JOIN("", "",FILTER($P$3:$AE$3,$P11:$AE11=MAX($P11:$AE11)))"),"Queen,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1" s="99">
        <f t="shared" si="6"/>
        <v>0</v>
      </c>
      <c r="AX11" s="99">
        <f>IFERROR(__xludf.DUMMYFUNCTION("COUNTA(FILTER($P$3:$AE$3,$P11:$AE11=MAX($P11:$AE11)))"),16.0)</f>
        <v>16</v>
      </c>
      <c r="AY11" s="99" t="str">
        <f>IFERROR(__xludf.DUMMYFUNCTION("IFERROR(JOIN("", "",FILTER($AF$3:$AU$3,$AF11:$AU11=MAXIFS($AF11:$AU11,$AF$23:$AU$23,TRUE),$AF$23:$AU$23)),""N/A"")"),"Queen,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1" s="103" t="str">
        <f>IFERROR(__xludf.DUMMYFUNCTION("IFERROR(JOIN("", "",FILTER($P11:$AE11,$AF11:$AU11=MAXIFS($AF11:$AU11,$AF$23:$AU$23,TRUE),$AF$23:$AU$23)),""N/A"")"),"0, 0, 0, 0, 0, 0, 0, 0, 0, 0, 0, 0, 0, 0")</f>
        <v>0, 0, 0, 0, 0, 0, 0, 0, 0, 0, 0, 0, 0, 0</v>
      </c>
      <c r="BA11" s="103">
        <f>MAXIFS(AF11:AU11,$AF$23:$AU$23,TRUE)/'Queen MIDI'!$J$20</f>
        <v>0</v>
      </c>
      <c r="BB11" s="98">
        <f>IFERROR(__xludf.DUMMYFUNCTION("COUNTA(IFERROR(FILTER($AF$3:$AU$3,$AF11:$AU11=MAXIFS($AF11:$AU11,$AF$23:$AU$23,TRUE),$AF$23:$AU$23),))"),14.0)</f>
        <v>14</v>
      </c>
      <c r="BC11" s="105">
        <f t="shared" si="7"/>
        <v>0</v>
      </c>
      <c r="BD11" s="99">
        <f t="shared" si="8"/>
        <v>0</v>
      </c>
      <c r="BE11" s="1"/>
    </row>
    <row r="12">
      <c r="A12" s="1"/>
      <c r="C12" s="66" t="str">
        <f t="array" ref="C12">INDEX('Queen MIDI'!$C$4:$C$66,MATCH(F12,'Queen MIDI'!$D$4:$D$66,0))</f>
        <v>Bohemian Rhapsody</v>
      </c>
      <c r="D12" s="118">
        <v>0.0</v>
      </c>
      <c r="E12" s="118" t="s">
        <v>366</v>
      </c>
      <c r="F12" s="66" t="str">
        <f t="shared" si="2"/>
        <v>Bohemian Rhapsody.1.mid</v>
      </c>
      <c r="G12" s="126">
        <f>HLOOKUP(H12,'Queen Discography'!$C$2:$Q$3,2,FALSE)</f>
        <v>1975</v>
      </c>
      <c r="H12" s="66" t="str">
        <f>IF(COUNTIF('Queen Discography'!$C$4:$C$22,C12)&gt;0,"Queen",
IF(COUNTIF('Queen Discography'!$D$4:$D$22,C12)&gt;0,"Queen II",
IF(COUNTIF('Queen Discography'!$E$4:$E$22,C12)&gt;0,"Sheer Heart Attack",
IF(COUNTIF('Queen Discography'!$F$4:$F$22,C12)&gt;0,"A Night At The Opera",
IF(COUNTIF('Queen Discography'!$G$4:$G$22,C12)&gt;0,"A Day At The Races",
IF(COUNTIF('Queen Discography'!$H$4:$H$22,C12)&gt;0,"News Of The World",
IF(COUNTIF('Queen Discography'!$I$4:$I$22,C12)&gt;0,"Jazz",
IF(COUNTIF('Queen Discography'!$J$4:$J$22,C12)&gt;0,"The Game",
IF(COUNTIF('Queen Discography'!$K$4:$K$22,C12)&gt;0,"Flash Gordon",
IF(COUNTIF('Queen Discography'!$L$4:$L$22,C12)&gt;0,"Hot Space",
IF(COUNTIF('Queen Discography'!$M$4:$M$22,C12)&gt;0,"The Works",
IF(COUNTIF('Queen Discography'!$N$4:$N$22,C12)&gt;0,"A Kind Of Magic",
IF(COUNTIF('Queen Discography'!$O$4:$O$22,C12)&gt;0,"The Miracle",
IF(COUNTIF('Queen Discography'!$P$4:$P$22,C12)&gt;0,"Innuendo",
IF(COUNTIF('Queen Discography'!$Q$4:$Q$22,C12)&gt;0,"Made In Heaven","NOT FOUND")))))))))))))))</f>
        <v>A Night At The Opera</v>
      </c>
      <c r="I12" s="1"/>
      <c r="J12" s="98">
        <v>8.0</v>
      </c>
      <c r="K12" s="99" t="str">
        <f t="shared" si="9"/>
        <v>N/A</v>
      </c>
      <c r="L12" s="99" t="str">
        <f t="shared" si="3"/>
        <v>N/A</v>
      </c>
      <c r="M12" s="99" t="str">
        <f t="shared" si="4"/>
        <v>N/A</v>
      </c>
      <c r="N12" s="100" t="str">
        <f>IFERROR(__xludf.DUMMYFUNCTION("IFERROR(MEDIAN(FILTER($G$4:$G$66,$D$4:$D$66=$J12,ISNUMBER($G$4:$G$66))),""N/A"")"),"N/A")</f>
        <v>N/A</v>
      </c>
      <c r="O12" s="99" t="str">
        <f>IFERROR(__xludf.DUMMYFUNCTION("IFERROR(MODE(FILTER($G$4:$G$66,$D$4:$D$66=$J12,ISNUMBER($G$4:$G$66))),""N/A"")"),"N/A")</f>
        <v>N/A</v>
      </c>
      <c r="P12" s="99">
        <f t="shared" ref="P12:AE12" si="16">COUNTIFS($H$4:$H$66,P$3,$D$4:$D$66,$J12)</f>
        <v>0</v>
      </c>
      <c r="Q12" s="99">
        <f t="shared" si="16"/>
        <v>0</v>
      </c>
      <c r="R12" s="99">
        <f t="shared" si="16"/>
        <v>0</v>
      </c>
      <c r="S12" s="99">
        <f t="shared" si="16"/>
        <v>0</v>
      </c>
      <c r="T12" s="99">
        <f t="shared" si="16"/>
        <v>0</v>
      </c>
      <c r="U12" s="99">
        <f t="shared" si="16"/>
        <v>0</v>
      </c>
      <c r="V12" s="99">
        <f t="shared" si="16"/>
        <v>0</v>
      </c>
      <c r="W12" s="99">
        <f t="shared" si="16"/>
        <v>0</v>
      </c>
      <c r="X12" s="99">
        <f t="shared" si="16"/>
        <v>0</v>
      </c>
      <c r="Y12" s="99">
        <f t="shared" si="16"/>
        <v>0</v>
      </c>
      <c r="Z12" s="99">
        <f t="shared" si="16"/>
        <v>0</v>
      </c>
      <c r="AA12" s="99">
        <f t="shared" si="16"/>
        <v>0</v>
      </c>
      <c r="AB12" s="99">
        <f t="shared" si="16"/>
        <v>0</v>
      </c>
      <c r="AC12" s="99">
        <f t="shared" si="16"/>
        <v>0</v>
      </c>
      <c r="AD12" s="99">
        <f t="shared" si="16"/>
        <v>0</v>
      </c>
      <c r="AE12" s="99">
        <f t="shared" si="16"/>
        <v>0</v>
      </c>
      <c r="AF12" s="104">
        <f t="array" ref="AF12:AU12">IFERROR(P12:AE12*TRANSPOSE('Queen MIDI'!$J$4:$J$19),"N/A")</f>
        <v>0</v>
      </c>
      <c r="AG12" s="104">
        <v>0.0</v>
      </c>
      <c r="AH12" s="104">
        <v>0.0</v>
      </c>
      <c r="AI12" s="104">
        <v>0.0</v>
      </c>
      <c r="AJ12" s="104">
        <v>0.0</v>
      </c>
      <c r="AK12" s="104">
        <v>0.0</v>
      </c>
      <c r="AL12" s="104">
        <v>0.0</v>
      </c>
      <c r="AM12" s="104">
        <v>0.0</v>
      </c>
      <c r="AN12" s="104" t="s">
        <v>357</v>
      </c>
      <c r="AO12" s="104">
        <v>0.0</v>
      </c>
      <c r="AP12" s="104">
        <v>0.0</v>
      </c>
      <c r="AQ12" s="104">
        <v>0.0</v>
      </c>
      <c r="AR12" s="104">
        <v>0.0</v>
      </c>
      <c r="AS12" s="104">
        <v>0.0</v>
      </c>
      <c r="AT12" s="104">
        <v>0.0</v>
      </c>
      <c r="AU12" s="104">
        <v>0.0</v>
      </c>
      <c r="AV12" s="99" t="str">
        <f>IFERROR(__xludf.DUMMYFUNCTION("JOIN("", "",FILTER($P$3:$AE$3,$P12:$AE12=MAX($P12:$AE12)))"),"Queen,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2" s="99">
        <f t="shared" si="6"/>
        <v>0</v>
      </c>
      <c r="AX12" s="99">
        <f>IFERROR(__xludf.DUMMYFUNCTION("COUNTA(FILTER($P$3:$AE$3,$P12:$AE12=MAX($P12:$AE12)))"),16.0)</f>
        <v>16</v>
      </c>
      <c r="AY12" s="99" t="str">
        <f>IFERROR(__xludf.DUMMYFUNCTION("IFERROR(JOIN("", "",FILTER($AF$3:$AU$3,$AF12:$AU12=MAXIFS($AF12:$AU12,$AF$23:$AU$23,TRUE),$AF$23:$AU$23)),""N/A"")"),"Queen,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2" s="103" t="str">
        <f>IFERROR(__xludf.DUMMYFUNCTION("IFERROR(JOIN("", "",FILTER($P12:$AE12,$AF12:$AU12=MAXIFS($AF12:$AU12,$AF$23:$AU$23,TRUE),$AF$23:$AU$23)),""N/A"")"),"0, 0, 0, 0, 0, 0, 0, 0, 0, 0, 0, 0, 0, 0")</f>
        <v>0, 0, 0, 0, 0, 0, 0, 0, 0, 0, 0, 0, 0, 0</v>
      </c>
      <c r="BA12" s="103">
        <f>MAXIFS(AF12:AU12,$AF$23:$AU$23,TRUE)/'Queen MIDI'!$J$20</f>
        <v>0</v>
      </c>
      <c r="BB12" s="98">
        <f>IFERROR(__xludf.DUMMYFUNCTION("COUNTA(IFERROR(FILTER($AF$3:$AU$3,$AF12:$AU12=MAXIFS($AF12:$AU12,$AF$23:$AU$23,TRUE),$AF$23:$AU$23),))"),14.0)</f>
        <v>14</v>
      </c>
      <c r="BC12" s="105">
        <f t="shared" si="7"/>
        <v>0</v>
      </c>
      <c r="BD12" s="99">
        <f t="shared" si="8"/>
        <v>0</v>
      </c>
      <c r="BE12" s="1"/>
    </row>
    <row r="13">
      <c r="A13" s="1"/>
      <c r="C13" s="66" t="str">
        <f t="array" ref="C13">INDEX('Queen MIDI'!$C$4:$C$66,MATCH(F13,'Queen MIDI'!$D$4:$D$66,0))</f>
        <v>Death On Two Legs</v>
      </c>
      <c r="D13" s="118">
        <v>0.0</v>
      </c>
      <c r="E13" s="118" t="s">
        <v>367</v>
      </c>
      <c r="F13" s="66" t="str">
        <f t="shared" si="2"/>
        <v>Death on Two Legs (Dedicated To...).mid</v>
      </c>
      <c r="G13" s="123">
        <f>HLOOKUP(H13,'Queen Discography'!$C$2:$Q$3,2,FALSE)</f>
        <v>1975</v>
      </c>
      <c r="H13" s="66" t="str">
        <f>IF(COUNTIF('Queen Discography'!$C$4:$C$22,C13)&gt;0,"Queen",
IF(COUNTIF('Queen Discography'!$D$4:$D$22,C13)&gt;0,"Queen II",
IF(COUNTIF('Queen Discography'!$E$4:$E$22,C13)&gt;0,"Sheer Heart Attack",
IF(COUNTIF('Queen Discography'!$F$4:$F$22,C13)&gt;0,"A Night At The Opera",
IF(COUNTIF('Queen Discography'!$G$4:$G$22,C13)&gt;0,"A Day At The Races",
IF(COUNTIF('Queen Discography'!$H$4:$H$22,C13)&gt;0,"News Of The World",
IF(COUNTIF('Queen Discography'!$I$4:$I$22,C13)&gt;0,"Jazz",
IF(COUNTIF('Queen Discography'!$J$4:$J$22,C13)&gt;0,"The Game",
IF(COUNTIF('Queen Discography'!$K$4:$K$22,C13)&gt;0,"Flash Gordon",
IF(COUNTIF('Queen Discography'!$L$4:$L$22,C13)&gt;0,"Hot Space",
IF(COUNTIF('Queen Discography'!$M$4:$M$22,C13)&gt;0,"The Works",
IF(COUNTIF('Queen Discography'!$N$4:$N$22,C13)&gt;0,"A Kind Of Magic",
IF(COUNTIF('Queen Discography'!$O$4:$O$22,C13)&gt;0,"The Miracle",
IF(COUNTIF('Queen Discography'!$P$4:$P$22,C13)&gt;0,"Innuendo",
IF(COUNTIF('Queen Discography'!$Q$4:$Q$22,C13)&gt;0,"Made In Heaven","NOT FOUND")))))))))))))))</f>
        <v>A Night At The Opera</v>
      </c>
      <c r="I13" s="1"/>
      <c r="J13" s="98">
        <v>9.0</v>
      </c>
      <c r="K13" s="99" t="str">
        <f t="shared" si="9"/>
        <v>N/A</v>
      </c>
      <c r="L13" s="99" t="str">
        <f t="shared" si="3"/>
        <v>N/A</v>
      </c>
      <c r="M13" s="99" t="str">
        <f t="shared" si="4"/>
        <v>N/A</v>
      </c>
      <c r="N13" s="100" t="str">
        <f>IFERROR(__xludf.DUMMYFUNCTION("IFERROR(MEDIAN(FILTER($G$4:$G$66,$D$4:$D$66=$J13,ISNUMBER($G$4:$G$66))),""N/A"")"),"N/A")</f>
        <v>N/A</v>
      </c>
      <c r="O13" s="99" t="str">
        <f>IFERROR(__xludf.DUMMYFUNCTION("IFERROR(MODE(FILTER($G$4:$G$66,$D$4:$D$66=$J13,ISNUMBER($G$4:$G$66))),""N/A"")"),"N/A")</f>
        <v>N/A</v>
      </c>
      <c r="P13" s="99">
        <f t="shared" ref="P13:AE13" si="17">COUNTIFS($H$4:$H$66,P$3,$D$4:$D$66,$J13)</f>
        <v>0</v>
      </c>
      <c r="Q13" s="99">
        <f t="shared" si="17"/>
        <v>0</v>
      </c>
      <c r="R13" s="99">
        <f t="shared" si="17"/>
        <v>0</v>
      </c>
      <c r="S13" s="99">
        <f t="shared" si="17"/>
        <v>0</v>
      </c>
      <c r="T13" s="99">
        <f t="shared" si="17"/>
        <v>0</v>
      </c>
      <c r="U13" s="99">
        <f t="shared" si="17"/>
        <v>0</v>
      </c>
      <c r="V13" s="99">
        <f t="shared" si="17"/>
        <v>0</v>
      </c>
      <c r="W13" s="99">
        <f t="shared" si="17"/>
        <v>0</v>
      </c>
      <c r="X13" s="99">
        <f t="shared" si="17"/>
        <v>0</v>
      </c>
      <c r="Y13" s="99">
        <f t="shared" si="17"/>
        <v>0</v>
      </c>
      <c r="Z13" s="99">
        <f t="shared" si="17"/>
        <v>0</v>
      </c>
      <c r="AA13" s="99">
        <f t="shared" si="17"/>
        <v>0</v>
      </c>
      <c r="AB13" s="99">
        <f t="shared" si="17"/>
        <v>0</v>
      </c>
      <c r="AC13" s="99">
        <f t="shared" si="17"/>
        <v>0</v>
      </c>
      <c r="AD13" s="99">
        <f t="shared" si="17"/>
        <v>0</v>
      </c>
      <c r="AE13" s="99">
        <f t="shared" si="17"/>
        <v>0</v>
      </c>
      <c r="AF13" s="104">
        <f t="array" ref="AF13:AU13">IFERROR(P13:AE13*TRANSPOSE('Queen MIDI'!$J$4:$J$19),"N/A")</f>
        <v>0</v>
      </c>
      <c r="AG13" s="104">
        <v>0.0</v>
      </c>
      <c r="AH13" s="104">
        <v>0.0</v>
      </c>
      <c r="AI13" s="104">
        <v>0.0</v>
      </c>
      <c r="AJ13" s="104">
        <v>0.0</v>
      </c>
      <c r="AK13" s="104">
        <v>0.0</v>
      </c>
      <c r="AL13" s="104">
        <v>0.0</v>
      </c>
      <c r="AM13" s="104">
        <v>0.0</v>
      </c>
      <c r="AN13" s="104" t="s">
        <v>357</v>
      </c>
      <c r="AO13" s="104">
        <v>0.0</v>
      </c>
      <c r="AP13" s="104">
        <v>0.0</v>
      </c>
      <c r="AQ13" s="104">
        <v>0.0</v>
      </c>
      <c r="AR13" s="104">
        <v>0.0</v>
      </c>
      <c r="AS13" s="104">
        <v>0.0</v>
      </c>
      <c r="AT13" s="104">
        <v>0.0</v>
      </c>
      <c r="AU13" s="104">
        <v>0.0</v>
      </c>
      <c r="AV13" s="99" t="str">
        <f>IFERROR(__xludf.DUMMYFUNCTION("JOIN("", "",FILTER($P$3:$AE$3,$P13:$AE13=MAX($P13:$AE13)))"),"Queen,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3" s="99">
        <f t="shared" si="6"/>
        <v>0</v>
      </c>
      <c r="AX13" s="99">
        <f>IFERROR(__xludf.DUMMYFUNCTION("COUNTA(FILTER($P$3:$AE$3,$P13:$AE13=MAX($P13:$AE13)))"),16.0)</f>
        <v>16</v>
      </c>
      <c r="AY13" s="99" t="str">
        <f>IFERROR(__xludf.DUMMYFUNCTION("IFERROR(JOIN("", "",FILTER($AF$3:$AU$3,$AF13:$AU13=MAXIFS($AF13:$AU13,$AF$23:$AU$23,TRUE),$AF$23:$AU$23)),""N/A"")"),"Queen,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3" s="103" t="str">
        <f>IFERROR(__xludf.DUMMYFUNCTION("IFERROR(JOIN("", "",FILTER($P13:$AE13,$AF13:$AU13=MAXIFS($AF13:$AU13,$AF$23:$AU$23,TRUE),$AF$23:$AU$23)),""N/A"")"),"0, 0, 0, 0, 0, 0, 0, 0, 0, 0, 0, 0, 0, 0")</f>
        <v>0, 0, 0, 0, 0, 0, 0, 0, 0, 0, 0, 0, 0, 0</v>
      </c>
      <c r="BA13" s="103">
        <f>MAXIFS(AF13:AU13,$AF$23:$AU$23,TRUE)/'Queen MIDI'!$J$20</f>
        <v>0</v>
      </c>
      <c r="BB13" s="98">
        <f>IFERROR(__xludf.DUMMYFUNCTION("COUNTA(IFERROR(FILTER($AF$3:$AU$3,$AF13:$AU13=MAXIFS($AF13:$AU13,$AF$23:$AU$23,TRUE),$AF$23:$AU$23),))"),14.0)</f>
        <v>14</v>
      </c>
      <c r="BC13" s="105">
        <f t="shared" si="7"/>
        <v>0</v>
      </c>
      <c r="BD13" s="99">
        <f t="shared" si="8"/>
        <v>0</v>
      </c>
      <c r="BE13" s="1"/>
    </row>
    <row r="14">
      <c r="A14" s="1"/>
      <c r="C14" s="66" t="str">
        <f t="array" ref="C14">INDEX('Queen MIDI'!$C$4:$C$66,MATCH(F14,'Queen MIDI'!$D$4:$D$66,0))</f>
        <v>Love of My Life</v>
      </c>
      <c r="D14" s="118">
        <v>0.0</v>
      </c>
      <c r="E14" s="118" t="s">
        <v>368</v>
      </c>
      <c r="F14" s="66" t="str">
        <f t="shared" si="2"/>
        <v>Love of My Life.3.mid</v>
      </c>
      <c r="G14" s="126">
        <f>HLOOKUP(H14,'Queen Discography'!$C$2:$Q$3,2,FALSE)</f>
        <v>1975</v>
      </c>
      <c r="H14" s="66" t="str">
        <f>IF(COUNTIF('Queen Discography'!$C$4:$C$22,C14)&gt;0,"Queen",
IF(COUNTIF('Queen Discography'!$D$4:$D$22,C14)&gt;0,"Queen II",
IF(COUNTIF('Queen Discography'!$E$4:$E$22,C14)&gt;0,"Sheer Heart Attack",
IF(COUNTIF('Queen Discography'!$F$4:$F$22,C14)&gt;0,"A Night At The Opera",
IF(COUNTIF('Queen Discography'!$G$4:$G$22,C14)&gt;0,"A Day At The Races",
IF(COUNTIF('Queen Discography'!$H$4:$H$22,C14)&gt;0,"News Of The World",
IF(COUNTIF('Queen Discography'!$I$4:$I$22,C14)&gt;0,"Jazz",
IF(COUNTIF('Queen Discography'!$J$4:$J$22,C14)&gt;0,"The Game",
IF(COUNTIF('Queen Discography'!$K$4:$K$22,C14)&gt;0,"Flash Gordon",
IF(COUNTIF('Queen Discography'!$L$4:$L$22,C14)&gt;0,"Hot Space",
IF(COUNTIF('Queen Discography'!$M$4:$M$22,C14)&gt;0,"The Works",
IF(COUNTIF('Queen Discography'!$N$4:$N$22,C14)&gt;0,"A Kind Of Magic",
IF(COUNTIF('Queen Discography'!$O$4:$O$22,C14)&gt;0,"The Miracle",
IF(COUNTIF('Queen Discography'!$P$4:$P$22,C14)&gt;0,"Innuendo",
IF(COUNTIF('Queen Discography'!$Q$4:$Q$22,C14)&gt;0,"Made In Heaven","NOT FOUND")))))))))))))))</f>
        <v>A Night At The Opera</v>
      </c>
      <c r="I14" s="1"/>
      <c r="J14" s="98">
        <v>10.0</v>
      </c>
      <c r="K14" s="99" t="str">
        <f t="shared" si="9"/>
        <v>N/A</v>
      </c>
      <c r="L14" s="99" t="str">
        <f t="shared" si="3"/>
        <v>N/A</v>
      </c>
      <c r="M14" s="99" t="str">
        <f t="shared" si="4"/>
        <v>N/A</v>
      </c>
      <c r="N14" s="100" t="str">
        <f>IFERROR(__xludf.DUMMYFUNCTION("IFERROR(MEDIAN(FILTER($G$4:$G$66,$D$4:$D$66=$J14,ISNUMBER($G$4:$G$66))),""N/A"")"),"N/A")</f>
        <v>N/A</v>
      </c>
      <c r="O14" s="99" t="str">
        <f>IFERROR(__xludf.DUMMYFUNCTION("IFERROR(MODE(FILTER($G$4:$G$66,$D$4:$D$66=$J14,ISNUMBER($G$4:$G$66))),""N/A"")"),"N/A")</f>
        <v>N/A</v>
      </c>
      <c r="P14" s="99">
        <f t="shared" ref="P14:AE14" si="18">COUNTIFS($H$4:$H$66,P$3,$D$4:$D$66,$J14)</f>
        <v>0</v>
      </c>
      <c r="Q14" s="99">
        <f t="shared" si="18"/>
        <v>0</v>
      </c>
      <c r="R14" s="99">
        <f t="shared" si="18"/>
        <v>0</v>
      </c>
      <c r="S14" s="99">
        <f t="shared" si="18"/>
        <v>0</v>
      </c>
      <c r="T14" s="99">
        <f t="shared" si="18"/>
        <v>0</v>
      </c>
      <c r="U14" s="99">
        <f t="shared" si="18"/>
        <v>0</v>
      </c>
      <c r="V14" s="99">
        <f t="shared" si="18"/>
        <v>0</v>
      </c>
      <c r="W14" s="99">
        <f t="shared" si="18"/>
        <v>0</v>
      </c>
      <c r="X14" s="99">
        <f t="shared" si="18"/>
        <v>0</v>
      </c>
      <c r="Y14" s="99">
        <f t="shared" si="18"/>
        <v>0</v>
      </c>
      <c r="Z14" s="99">
        <f t="shared" si="18"/>
        <v>0</v>
      </c>
      <c r="AA14" s="99">
        <f t="shared" si="18"/>
        <v>0</v>
      </c>
      <c r="AB14" s="99">
        <f t="shared" si="18"/>
        <v>0</v>
      </c>
      <c r="AC14" s="99">
        <f t="shared" si="18"/>
        <v>0</v>
      </c>
      <c r="AD14" s="99">
        <f t="shared" si="18"/>
        <v>0</v>
      </c>
      <c r="AE14" s="99">
        <f t="shared" si="18"/>
        <v>0</v>
      </c>
      <c r="AF14" s="104">
        <f t="array" ref="AF14:AU14">IFERROR(P14:AE14*TRANSPOSE('Queen MIDI'!$J$4:$J$19),"N/A")</f>
        <v>0</v>
      </c>
      <c r="AG14" s="104">
        <v>0.0</v>
      </c>
      <c r="AH14" s="104">
        <v>0.0</v>
      </c>
      <c r="AI14" s="104">
        <v>0.0</v>
      </c>
      <c r="AJ14" s="104">
        <v>0.0</v>
      </c>
      <c r="AK14" s="104">
        <v>0.0</v>
      </c>
      <c r="AL14" s="104">
        <v>0.0</v>
      </c>
      <c r="AM14" s="104">
        <v>0.0</v>
      </c>
      <c r="AN14" s="104" t="s">
        <v>357</v>
      </c>
      <c r="AO14" s="104">
        <v>0.0</v>
      </c>
      <c r="AP14" s="104">
        <v>0.0</v>
      </c>
      <c r="AQ14" s="104">
        <v>0.0</v>
      </c>
      <c r="AR14" s="104">
        <v>0.0</v>
      </c>
      <c r="AS14" s="104">
        <v>0.0</v>
      </c>
      <c r="AT14" s="104">
        <v>0.0</v>
      </c>
      <c r="AU14" s="104">
        <v>0.0</v>
      </c>
      <c r="AV14" s="99" t="str">
        <f>IFERROR(__xludf.DUMMYFUNCTION("JOIN("", "",FILTER($P$3:$AE$3,$P14:$AE14=MAX($P14:$AE14)))"),"Queen,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4" s="99">
        <f t="shared" si="6"/>
        <v>0</v>
      </c>
      <c r="AX14" s="99">
        <f>IFERROR(__xludf.DUMMYFUNCTION("COUNTA(FILTER($P$3:$AE$3,$P14:$AE14=MAX($P14:$AE14)))"),16.0)</f>
        <v>16</v>
      </c>
      <c r="AY14" s="99" t="str">
        <f>IFERROR(__xludf.DUMMYFUNCTION("IFERROR(JOIN("", "",FILTER($AF$3:$AU$3,$AF14:$AU14=MAXIFS($AF14:$AU14,$AF$23:$AU$23,TRUE),$AF$23:$AU$23)),""N/A"")"),"Queen,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4" s="103" t="str">
        <f>IFERROR(__xludf.DUMMYFUNCTION("IFERROR(JOIN("", "",FILTER($P14:$AE14,$AF14:$AU14=MAXIFS($AF14:$AU14,$AF$23:$AU$23,TRUE),$AF$23:$AU$23)),""N/A"")"),"0, 0, 0, 0, 0, 0, 0, 0, 0, 0, 0, 0, 0, 0")</f>
        <v>0, 0, 0, 0, 0, 0, 0, 0, 0, 0, 0, 0, 0, 0</v>
      </c>
      <c r="BA14" s="103">
        <f>MAXIFS(AF14:AU14,$AF$23:$AU$23,TRUE)/'Queen MIDI'!$J$20</f>
        <v>0</v>
      </c>
      <c r="BB14" s="98">
        <f>IFERROR(__xludf.DUMMYFUNCTION("COUNTA(IFERROR(FILTER($AF$3:$AU$3,$AF14:$AU14=MAXIFS($AF14:$AU14,$AF$23:$AU$23,TRUE),$AF$23:$AU$23),))"),14.0)</f>
        <v>14</v>
      </c>
      <c r="BC14" s="105">
        <f t="shared" si="7"/>
        <v>0</v>
      </c>
      <c r="BD14" s="99">
        <f t="shared" si="8"/>
        <v>0</v>
      </c>
      <c r="BE14" s="1"/>
    </row>
    <row r="15">
      <c r="A15" s="1"/>
      <c r="C15" s="66" t="str">
        <f t="array" ref="C15">INDEX('Queen MIDI'!$C$4:$C$66,MATCH(F15,'Queen MIDI'!$D$4:$D$66,0))</f>
        <v>You're My Best Friend</v>
      </c>
      <c r="D15" s="118">
        <v>0.0</v>
      </c>
      <c r="E15" s="118" t="s">
        <v>369</v>
      </c>
      <c r="F15" s="66" t="str">
        <f t="shared" si="2"/>
        <v>You_re My Best Friend.mid</v>
      </c>
      <c r="G15" s="124">
        <f>HLOOKUP(H15,'Queen Discography'!$C$2:$Q$3,2,FALSE)</f>
        <v>1975</v>
      </c>
      <c r="H15" s="66" t="str">
        <f>IF(COUNTIF('Queen Discography'!$C$4:$C$22,C15)&gt;0,"Queen",
IF(COUNTIF('Queen Discography'!$D$4:$D$22,C15)&gt;0,"Queen II",
IF(COUNTIF('Queen Discography'!$E$4:$E$22,C15)&gt;0,"Sheer Heart Attack",
IF(COUNTIF('Queen Discography'!$F$4:$F$22,C15)&gt;0,"A Night At The Opera",
IF(COUNTIF('Queen Discography'!$G$4:$G$22,C15)&gt;0,"A Day At The Races",
IF(COUNTIF('Queen Discography'!$H$4:$H$22,C15)&gt;0,"News Of The World",
IF(COUNTIF('Queen Discography'!$I$4:$I$22,C15)&gt;0,"Jazz",
IF(COUNTIF('Queen Discography'!$J$4:$J$22,C15)&gt;0,"The Game",
IF(COUNTIF('Queen Discography'!$K$4:$K$22,C15)&gt;0,"Flash Gordon",
IF(COUNTIF('Queen Discography'!$L$4:$L$22,C15)&gt;0,"Hot Space",
IF(COUNTIF('Queen Discography'!$M$4:$M$22,C15)&gt;0,"The Works",
IF(COUNTIF('Queen Discography'!$N$4:$N$22,C15)&gt;0,"A Kind Of Magic",
IF(COUNTIF('Queen Discography'!$O$4:$O$22,C15)&gt;0,"The Miracle",
IF(COUNTIF('Queen Discography'!$P$4:$P$22,C15)&gt;0,"Innuendo",
IF(COUNTIF('Queen Discography'!$Q$4:$Q$22,C15)&gt;0,"Made In Heaven","NOT FOUND")))))))))))))))</f>
        <v>A Night At The Opera</v>
      </c>
      <c r="I15" s="1"/>
      <c r="J15" s="98">
        <v>11.0</v>
      </c>
      <c r="K15" s="99" t="str">
        <f t="shared" si="9"/>
        <v>N/A</v>
      </c>
      <c r="L15" s="99" t="str">
        <f t="shared" si="3"/>
        <v>N/A</v>
      </c>
      <c r="M15" s="99" t="str">
        <f t="shared" si="4"/>
        <v>N/A</v>
      </c>
      <c r="N15" s="100" t="str">
        <f>IFERROR(__xludf.DUMMYFUNCTION("IFERROR(MEDIAN(FILTER($G$4:$G$66,$D$4:$D$66=$J15,ISNUMBER($G$4:$G$66))),""N/A"")"),"N/A")</f>
        <v>N/A</v>
      </c>
      <c r="O15" s="99" t="str">
        <f>IFERROR(__xludf.DUMMYFUNCTION("IFERROR(MODE(FILTER($G$4:$G$66,$D$4:$D$66=$J15,ISNUMBER($G$4:$G$66))),""N/A"")"),"N/A")</f>
        <v>N/A</v>
      </c>
      <c r="P15" s="99">
        <f t="shared" ref="P15:AE15" si="19">COUNTIFS($H$4:$H$66,P$3,$D$4:$D$66,$J15)</f>
        <v>0</v>
      </c>
      <c r="Q15" s="99">
        <f t="shared" si="19"/>
        <v>0</v>
      </c>
      <c r="R15" s="99">
        <f t="shared" si="19"/>
        <v>0</v>
      </c>
      <c r="S15" s="99">
        <f t="shared" si="19"/>
        <v>0</v>
      </c>
      <c r="T15" s="99">
        <f t="shared" si="19"/>
        <v>0</v>
      </c>
      <c r="U15" s="99">
        <f t="shared" si="19"/>
        <v>0</v>
      </c>
      <c r="V15" s="99">
        <f t="shared" si="19"/>
        <v>0</v>
      </c>
      <c r="W15" s="99">
        <f t="shared" si="19"/>
        <v>0</v>
      </c>
      <c r="X15" s="99">
        <f t="shared" si="19"/>
        <v>0</v>
      </c>
      <c r="Y15" s="99">
        <f t="shared" si="19"/>
        <v>0</v>
      </c>
      <c r="Z15" s="99">
        <f t="shared" si="19"/>
        <v>0</v>
      </c>
      <c r="AA15" s="99">
        <f t="shared" si="19"/>
        <v>0</v>
      </c>
      <c r="AB15" s="99">
        <f t="shared" si="19"/>
        <v>0</v>
      </c>
      <c r="AC15" s="99">
        <f t="shared" si="19"/>
        <v>0</v>
      </c>
      <c r="AD15" s="99">
        <f t="shared" si="19"/>
        <v>0</v>
      </c>
      <c r="AE15" s="99">
        <f t="shared" si="19"/>
        <v>0</v>
      </c>
      <c r="AF15" s="104">
        <f t="array" ref="AF15:AU15">IFERROR(P15:AE15*TRANSPOSE('Queen MIDI'!$J$4:$J$19),"N/A")</f>
        <v>0</v>
      </c>
      <c r="AG15" s="104">
        <v>0.0</v>
      </c>
      <c r="AH15" s="104">
        <v>0.0</v>
      </c>
      <c r="AI15" s="104">
        <v>0.0</v>
      </c>
      <c r="AJ15" s="104">
        <v>0.0</v>
      </c>
      <c r="AK15" s="104">
        <v>0.0</v>
      </c>
      <c r="AL15" s="104">
        <v>0.0</v>
      </c>
      <c r="AM15" s="104">
        <v>0.0</v>
      </c>
      <c r="AN15" s="104" t="s">
        <v>357</v>
      </c>
      <c r="AO15" s="104">
        <v>0.0</v>
      </c>
      <c r="AP15" s="104">
        <v>0.0</v>
      </c>
      <c r="AQ15" s="104">
        <v>0.0</v>
      </c>
      <c r="AR15" s="104">
        <v>0.0</v>
      </c>
      <c r="AS15" s="104">
        <v>0.0</v>
      </c>
      <c r="AT15" s="104">
        <v>0.0</v>
      </c>
      <c r="AU15" s="104">
        <v>0.0</v>
      </c>
      <c r="AV15" s="106" t="str">
        <f>IFERROR(__xludf.DUMMYFUNCTION("JOIN("", "",FILTER($P$3:$AE$3,$P15:$AE15=MAX($P15:$AE15)))"),"Queen,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5" s="99">
        <f t="shared" si="6"/>
        <v>0</v>
      </c>
      <c r="AX15" s="99">
        <f>IFERROR(__xludf.DUMMYFUNCTION("COUNTA(FILTER($P$3:$AE$3,$P15:$AE15=MAX($P15:$AE15)))"),16.0)</f>
        <v>16</v>
      </c>
      <c r="AY15" s="99" t="str">
        <f>IFERROR(__xludf.DUMMYFUNCTION("IFERROR(JOIN("", "",FILTER($AF$3:$AU$3,$AF15:$AU15=MAXIFS($AF15:$AU15,$AF$23:$AU$23,TRUE),$AF$23:$AU$23)),""N/A"")"),"Queen,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5" s="103" t="str">
        <f>IFERROR(__xludf.DUMMYFUNCTION("IFERROR(JOIN("", "",FILTER($P15:$AE15,$AF15:$AU15=MAXIFS($AF15:$AU15,$AF$23:$AU$23,TRUE),$AF$23:$AU$23)),""N/A"")"),"0, 0, 0, 0, 0, 0, 0, 0, 0, 0, 0, 0, 0, 0")</f>
        <v>0, 0, 0, 0, 0, 0, 0, 0, 0, 0, 0, 0, 0, 0</v>
      </c>
      <c r="BA15" s="103">
        <f>MAXIFS(AF15:AU15,$AF$23:$AU$23,TRUE)/'Queen MIDI'!$J$20</f>
        <v>0</v>
      </c>
      <c r="BB15" s="98">
        <f>IFERROR(__xludf.DUMMYFUNCTION("COUNTA(IFERROR(FILTER($AF$3:$AU$3,$AF15:$AU15=MAXIFS($AF15:$AU15,$AF$23:$AU$23,TRUE),$AF$23:$AU$23),))"),14.0)</f>
        <v>14</v>
      </c>
      <c r="BC15" s="105">
        <f t="shared" si="7"/>
        <v>0</v>
      </c>
      <c r="BD15" s="99">
        <f t="shared" si="8"/>
        <v>0</v>
      </c>
      <c r="BE15" s="1"/>
    </row>
    <row r="16">
      <c r="A16" s="1"/>
      <c r="C16" s="66" t="str">
        <f t="array" ref="C16">INDEX('Queen MIDI'!$C$4:$C$66,MATCH(F16,'Queen MIDI'!$D$4:$D$66,0))</f>
        <v>39</v>
      </c>
      <c r="D16" s="118">
        <v>0.0</v>
      </c>
      <c r="E16" s="118" t="s">
        <v>365</v>
      </c>
      <c r="F16" s="66" t="str">
        <f t="shared" si="2"/>
        <v>_39.mid</v>
      </c>
      <c r="G16" s="122">
        <f>HLOOKUP(H16,'Queen Discography'!$C$2:$Q$3,2,FALSE)</f>
        <v>1975</v>
      </c>
      <c r="H16" s="66" t="str">
        <f>IF(COUNTIF('Queen Discography'!$C$4:$C$22,C16)&gt;0,"Queen",
IF(COUNTIF('Queen Discography'!$D$4:$D$22,C16)&gt;0,"Queen II",
IF(COUNTIF('Queen Discography'!$E$4:$E$22,C16)&gt;0,"Sheer Heart Attack",
IF(COUNTIF('Queen Discography'!$F$4:$F$22,C16)&gt;0,"A Night At The Opera",
IF(COUNTIF('Queen Discography'!$G$4:$G$22,C16)&gt;0,"A Day At The Races",
IF(COUNTIF('Queen Discography'!$H$4:$H$22,C16)&gt;0,"News Of The World",
IF(COUNTIF('Queen Discography'!$I$4:$I$22,C16)&gt;0,"Jazz",
IF(COUNTIF('Queen Discography'!$J$4:$J$22,C16)&gt;0,"The Game",
IF(COUNTIF('Queen Discography'!$K$4:$K$22,C16)&gt;0,"Flash Gordon",
IF(COUNTIF('Queen Discography'!$L$4:$L$22,C16)&gt;0,"Hot Space",
IF(COUNTIF('Queen Discography'!$M$4:$M$22,C16)&gt;0,"The Works",
IF(COUNTIF('Queen Discography'!$N$4:$N$22,C16)&gt;0,"A Kind Of Magic",
IF(COUNTIF('Queen Discography'!$O$4:$O$22,C16)&gt;0,"The Miracle",
IF(COUNTIF('Queen Discography'!$P$4:$P$22,C16)&gt;0,"Innuendo",
IF(COUNTIF('Queen Discography'!$Q$4:$Q$22,C16)&gt;0,"Made In Heaven","NOT FOUND")))))))))))))))</f>
        <v>A Night At The Opera</v>
      </c>
      <c r="I16" s="1"/>
      <c r="J16" s="98">
        <v>12.0</v>
      </c>
      <c r="K16" s="99" t="str">
        <f t="shared" si="9"/>
        <v>N/A</v>
      </c>
      <c r="L16" s="99" t="str">
        <f t="shared" si="3"/>
        <v>N/A</v>
      </c>
      <c r="M16" s="99" t="str">
        <f t="shared" si="4"/>
        <v>N/A</v>
      </c>
      <c r="N16" s="100" t="str">
        <f>IFERROR(__xludf.DUMMYFUNCTION("IFERROR(MEDIAN(FILTER($G$4:$G$66,$D$4:$D$66=$J16,ISNUMBER($G$4:$G$66))),""N/A"")"),"N/A")</f>
        <v>N/A</v>
      </c>
      <c r="O16" s="99" t="str">
        <f>IFERROR(__xludf.DUMMYFUNCTION("IFERROR(MODE(FILTER($G$4:$G$66,$D$4:$D$66=$J16,ISNUMBER($G$4:$G$66))),""N/A"")"),"N/A")</f>
        <v>N/A</v>
      </c>
      <c r="P16" s="99">
        <f t="shared" ref="P16:AE16" si="20">COUNTIFS($H$4:$H$66,P$3,$D$4:$D$66,$J16)</f>
        <v>0</v>
      </c>
      <c r="Q16" s="99">
        <f t="shared" si="20"/>
        <v>0</v>
      </c>
      <c r="R16" s="99">
        <f t="shared" si="20"/>
        <v>0</v>
      </c>
      <c r="S16" s="99">
        <f t="shared" si="20"/>
        <v>0</v>
      </c>
      <c r="T16" s="99">
        <f t="shared" si="20"/>
        <v>0</v>
      </c>
      <c r="U16" s="99">
        <f t="shared" si="20"/>
        <v>0</v>
      </c>
      <c r="V16" s="99">
        <f t="shared" si="20"/>
        <v>0</v>
      </c>
      <c r="W16" s="99">
        <f t="shared" si="20"/>
        <v>0</v>
      </c>
      <c r="X16" s="99">
        <f t="shared" si="20"/>
        <v>0</v>
      </c>
      <c r="Y16" s="99">
        <f t="shared" si="20"/>
        <v>0</v>
      </c>
      <c r="Z16" s="99">
        <f t="shared" si="20"/>
        <v>0</v>
      </c>
      <c r="AA16" s="99">
        <f t="shared" si="20"/>
        <v>0</v>
      </c>
      <c r="AB16" s="99">
        <f t="shared" si="20"/>
        <v>0</v>
      </c>
      <c r="AC16" s="99">
        <f t="shared" si="20"/>
        <v>0</v>
      </c>
      <c r="AD16" s="99">
        <f t="shared" si="20"/>
        <v>0</v>
      </c>
      <c r="AE16" s="99">
        <f t="shared" si="20"/>
        <v>0</v>
      </c>
      <c r="AF16" s="104">
        <f t="array" ref="AF16:AU16">IFERROR(P16:AE16*TRANSPOSE('Queen MIDI'!$J$4:$J$19),"N/A")</f>
        <v>0</v>
      </c>
      <c r="AG16" s="104">
        <v>0.0</v>
      </c>
      <c r="AH16" s="104">
        <v>0.0</v>
      </c>
      <c r="AI16" s="104">
        <v>0.0</v>
      </c>
      <c r="AJ16" s="104">
        <v>0.0</v>
      </c>
      <c r="AK16" s="104">
        <v>0.0</v>
      </c>
      <c r="AL16" s="104">
        <v>0.0</v>
      </c>
      <c r="AM16" s="104">
        <v>0.0</v>
      </c>
      <c r="AN16" s="104" t="s">
        <v>357</v>
      </c>
      <c r="AO16" s="104">
        <v>0.0</v>
      </c>
      <c r="AP16" s="104">
        <v>0.0</v>
      </c>
      <c r="AQ16" s="104">
        <v>0.0</v>
      </c>
      <c r="AR16" s="104">
        <v>0.0</v>
      </c>
      <c r="AS16" s="104">
        <v>0.0</v>
      </c>
      <c r="AT16" s="104">
        <v>0.0</v>
      </c>
      <c r="AU16" s="104">
        <v>0.0</v>
      </c>
      <c r="AV16" s="99" t="str">
        <f>IFERROR(__xludf.DUMMYFUNCTION("JOIN("", "",FILTER($P$3:$AE$3,$P16:$AE16=MAX($P16:$AE16)))"),"Queen,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6" s="99">
        <f t="shared" si="6"/>
        <v>0</v>
      </c>
      <c r="AX16" s="99">
        <f>IFERROR(__xludf.DUMMYFUNCTION("COUNTA(FILTER($P$3:$AE$3,$P16:$AE16=MAX($P16:$AE16)))"),16.0)</f>
        <v>16</v>
      </c>
      <c r="AY16" s="99" t="str">
        <f>IFERROR(__xludf.DUMMYFUNCTION("IFERROR(JOIN("", "",FILTER($AF$3:$AU$3,$AF16:$AU16=MAXIFS($AF16:$AU16,$AF$23:$AU$23,TRUE),$AF$23:$AU$23)),""N/A"")"),"Queen,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6" s="103" t="str">
        <f>IFERROR(__xludf.DUMMYFUNCTION("IFERROR(JOIN("", "",FILTER($P16:$AE16,$AF16:$AU16=MAXIFS($AF16:$AU16,$AF$23:$AU$23,TRUE),$AF$23:$AU$23)),""N/A"")"),"0, 0, 0, 0, 0, 0, 0, 0, 0, 0, 0, 0, 0, 0")</f>
        <v>0, 0, 0, 0, 0, 0, 0, 0, 0, 0, 0, 0, 0, 0</v>
      </c>
      <c r="BA16" s="103">
        <f>MAXIFS(AF16:AU16,$AF$23:$AU$23,TRUE)/'Queen MIDI'!$J$20</f>
        <v>0</v>
      </c>
      <c r="BB16" s="98">
        <f>IFERROR(__xludf.DUMMYFUNCTION("COUNTA(IFERROR(FILTER($AF$3:$AU$3,$AF16:$AU16=MAXIFS($AF16:$AU16,$AF$23:$AU$23,TRUE),$AF$23:$AU$23),))"),14.0)</f>
        <v>14</v>
      </c>
      <c r="BC16" s="105">
        <f t="shared" si="7"/>
        <v>0</v>
      </c>
      <c r="BD16" s="99">
        <f t="shared" si="8"/>
        <v>0</v>
      </c>
      <c r="BE16" s="1"/>
    </row>
    <row r="17">
      <c r="A17" s="1"/>
      <c r="C17" s="66" t="str">
        <f t="array" ref="C17">INDEX('Queen MIDI'!$C$4:$C$66,MATCH(F17,'Queen MIDI'!$D$4:$D$66,0))</f>
        <v>Good Old-Fashioned Lover Boy</v>
      </c>
      <c r="D17" s="118">
        <v>0.0</v>
      </c>
      <c r="E17" s="118" t="s">
        <v>370</v>
      </c>
      <c r="F17" s="66" t="str">
        <f t="shared" si="2"/>
        <v>Good Old Fashioned Lover Boy.2.mid</v>
      </c>
      <c r="G17" s="128">
        <f>HLOOKUP(H17,'Queen Discography'!$C$2:$Q$3,2,FALSE)</f>
        <v>1976</v>
      </c>
      <c r="H17" s="66" t="str">
        <f>IF(COUNTIF('Queen Discography'!$C$4:$C$22,C17)&gt;0,"Queen",
IF(COUNTIF('Queen Discography'!$D$4:$D$22,C17)&gt;0,"Queen II",
IF(COUNTIF('Queen Discography'!$E$4:$E$22,C17)&gt;0,"Sheer Heart Attack",
IF(COUNTIF('Queen Discography'!$F$4:$F$22,C17)&gt;0,"A Night At The Opera",
IF(COUNTIF('Queen Discography'!$G$4:$G$22,C17)&gt;0,"A Day At The Races",
IF(COUNTIF('Queen Discography'!$H$4:$H$22,C17)&gt;0,"News Of The World",
IF(COUNTIF('Queen Discography'!$I$4:$I$22,C17)&gt;0,"Jazz",
IF(COUNTIF('Queen Discography'!$J$4:$J$22,C17)&gt;0,"The Game",
IF(COUNTIF('Queen Discography'!$K$4:$K$22,C17)&gt;0,"Flash Gordon",
IF(COUNTIF('Queen Discography'!$L$4:$L$22,C17)&gt;0,"Hot Space",
IF(COUNTIF('Queen Discography'!$M$4:$M$22,C17)&gt;0,"The Works",
IF(COUNTIF('Queen Discography'!$N$4:$N$22,C17)&gt;0,"A Kind Of Magic",
IF(COUNTIF('Queen Discography'!$O$4:$O$22,C17)&gt;0,"The Miracle",
IF(COUNTIF('Queen Discography'!$P$4:$P$22,C17)&gt;0,"Innuendo",
IF(COUNTIF('Queen Discography'!$Q$4:$Q$22,C17)&gt;0,"Made In Heaven","NOT FOUND")))))))))))))))</f>
        <v>A Day At The Races</v>
      </c>
      <c r="I17" s="1"/>
      <c r="J17" s="98">
        <v>13.0</v>
      </c>
      <c r="K17" s="99" t="str">
        <f t="shared" si="9"/>
        <v>N/A</v>
      </c>
      <c r="L17" s="99" t="str">
        <f t="shared" si="3"/>
        <v>N/A</v>
      </c>
      <c r="M17" s="99" t="str">
        <f t="shared" si="4"/>
        <v>N/A</v>
      </c>
      <c r="N17" s="100" t="str">
        <f>IFERROR(__xludf.DUMMYFUNCTION("IFERROR(MEDIAN(FILTER($G$4:$G$66,$D$4:$D$66=$J17,ISNUMBER($G$4:$G$66))),""N/A"")"),"N/A")</f>
        <v>N/A</v>
      </c>
      <c r="O17" s="99" t="str">
        <f>IFERROR(__xludf.DUMMYFUNCTION("IFERROR(MODE(FILTER($G$4:$G$66,$D$4:$D$66=$J17,ISNUMBER($G$4:$G$66))),""N/A"")"),"N/A")</f>
        <v>N/A</v>
      </c>
      <c r="P17" s="99">
        <f t="shared" ref="P17:AE17" si="21">COUNTIFS($H$4:$H$66,P$3,$D$4:$D$66,$J17)</f>
        <v>0</v>
      </c>
      <c r="Q17" s="99">
        <f t="shared" si="21"/>
        <v>0</v>
      </c>
      <c r="R17" s="99">
        <f t="shared" si="21"/>
        <v>0</v>
      </c>
      <c r="S17" s="99">
        <f t="shared" si="21"/>
        <v>0</v>
      </c>
      <c r="T17" s="99">
        <f t="shared" si="21"/>
        <v>0</v>
      </c>
      <c r="U17" s="99">
        <f t="shared" si="21"/>
        <v>0</v>
      </c>
      <c r="V17" s="99">
        <f t="shared" si="21"/>
        <v>0</v>
      </c>
      <c r="W17" s="99">
        <f t="shared" si="21"/>
        <v>0</v>
      </c>
      <c r="X17" s="99">
        <f t="shared" si="21"/>
        <v>0</v>
      </c>
      <c r="Y17" s="99">
        <f t="shared" si="21"/>
        <v>0</v>
      </c>
      <c r="Z17" s="99">
        <f t="shared" si="21"/>
        <v>0</v>
      </c>
      <c r="AA17" s="99">
        <f t="shared" si="21"/>
        <v>0</v>
      </c>
      <c r="AB17" s="99">
        <f t="shared" si="21"/>
        <v>0</v>
      </c>
      <c r="AC17" s="99">
        <f t="shared" si="21"/>
        <v>0</v>
      </c>
      <c r="AD17" s="99">
        <f t="shared" si="21"/>
        <v>0</v>
      </c>
      <c r="AE17" s="99">
        <f t="shared" si="21"/>
        <v>0</v>
      </c>
      <c r="AF17" s="104">
        <f t="array" ref="AF17:AU17">IFERROR(P17:AE17*TRANSPOSE('Queen MIDI'!$J$4:$J$19),"N/A")</f>
        <v>0</v>
      </c>
      <c r="AG17" s="104">
        <v>0.0</v>
      </c>
      <c r="AH17" s="104">
        <v>0.0</v>
      </c>
      <c r="AI17" s="104">
        <v>0.0</v>
      </c>
      <c r="AJ17" s="104">
        <v>0.0</v>
      </c>
      <c r="AK17" s="104">
        <v>0.0</v>
      </c>
      <c r="AL17" s="104">
        <v>0.0</v>
      </c>
      <c r="AM17" s="104">
        <v>0.0</v>
      </c>
      <c r="AN17" s="104" t="s">
        <v>357</v>
      </c>
      <c r="AO17" s="104">
        <v>0.0</v>
      </c>
      <c r="AP17" s="104">
        <v>0.0</v>
      </c>
      <c r="AQ17" s="104">
        <v>0.0</v>
      </c>
      <c r="AR17" s="104">
        <v>0.0</v>
      </c>
      <c r="AS17" s="104">
        <v>0.0</v>
      </c>
      <c r="AT17" s="104">
        <v>0.0</v>
      </c>
      <c r="AU17" s="104">
        <v>0.0</v>
      </c>
      <c r="AV17" s="99" t="str">
        <f>IFERROR(__xludf.DUMMYFUNCTION("JOIN("", "",FILTER($P$3:$AE$3,$P17:$AE17=MAX($P17:$AE17)))"),"Queen,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7" s="99">
        <f t="shared" si="6"/>
        <v>0</v>
      </c>
      <c r="AX17" s="99">
        <f>IFERROR(__xludf.DUMMYFUNCTION("COUNTA(FILTER($P$3:$AE$3,$P17:$AE17=MAX($P17:$AE17)))"),16.0)</f>
        <v>16</v>
      </c>
      <c r="AY17" s="99" t="str">
        <f>IFERROR(__xludf.DUMMYFUNCTION("IFERROR(JOIN("", "",FILTER($AF$3:$AU$3,$AF17:$AU17=MAXIFS($AF17:$AU17,$AF$23:$AU$23,TRUE),$AF$23:$AU$23)),""N/A"")"),"Queen,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7" s="103" t="str">
        <f>IFERROR(__xludf.DUMMYFUNCTION("IFERROR(JOIN("", "",FILTER($P17:$AE17,$AF17:$AU17=MAXIFS($AF17:$AU17,$AF$23:$AU$23,TRUE),$AF$23:$AU$23)),""N/A"")"),"0, 0, 0, 0, 0, 0, 0, 0, 0, 0, 0, 0, 0, 0")</f>
        <v>0, 0, 0, 0, 0, 0, 0, 0, 0, 0, 0, 0, 0, 0</v>
      </c>
      <c r="BA17" s="103">
        <f>MAXIFS(AF17:AU17,$AF$23:$AU$23,TRUE)/'Queen MIDI'!$J$20</f>
        <v>0</v>
      </c>
      <c r="BB17" s="98">
        <f>IFERROR(__xludf.DUMMYFUNCTION("COUNTA(IFERROR(FILTER($AF$3:$AU$3,$AF17:$AU17=MAXIFS($AF17:$AU17,$AF$23:$AU$23,TRUE),$AF$23:$AU$23),))"),14.0)</f>
        <v>14</v>
      </c>
      <c r="BC17" s="105">
        <f t="shared" si="7"/>
        <v>0</v>
      </c>
      <c r="BD17" s="99">
        <f t="shared" si="8"/>
        <v>0</v>
      </c>
      <c r="BE17" s="1"/>
    </row>
    <row r="18">
      <c r="A18" s="1"/>
      <c r="C18" s="66" t="str">
        <f t="array" ref="C18">INDEX('Queen MIDI'!$C$4:$C$66,MATCH(F18,'Queen MIDI'!$D$4:$D$66,0))</f>
        <v>Somebody to Love</v>
      </c>
      <c r="D18" s="118">
        <v>0.0</v>
      </c>
      <c r="E18" s="118" t="s">
        <v>371</v>
      </c>
      <c r="F18" s="66" t="str">
        <f t="shared" si="2"/>
        <v>Somebody to Love.3.mid</v>
      </c>
      <c r="G18" s="127">
        <f>HLOOKUP(H18,'Queen Discography'!$C$2:$Q$3,2,FALSE)</f>
        <v>1976</v>
      </c>
      <c r="H18" s="66" t="str">
        <f>IF(COUNTIF('Queen Discography'!$C$4:$C$22,C18)&gt;0,"Queen",
IF(COUNTIF('Queen Discography'!$D$4:$D$22,C18)&gt;0,"Queen II",
IF(COUNTIF('Queen Discography'!$E$4:$E$22,C18)&gt;0,"Sheer Heart Attack",
IF(COUNTIF('Queen Discography'!$F$4:$F$22,C18)&gt;0,"A Night At The Opera",
IF(COUNTIF('Queen Discography'!$G$4:$G$22,C18)&gt;0,"A Day At The Races",
IF(COUNTIF('Queen Discography'!$H$4:$H$22,C18)&gt;0,"News Of The World",
IF(COUNTIF('Queen Discography'!$I$4:$I$22,C18)&gt;0,"Jazz",
IF(COUNTIF('Queen Discography'!$J$4:$J$22,C18)&gt;0,"The Game",
IF(COUNTIF('Queen Discography'!$K$4:$K$22,C18)&gt;0,"Flash Gordon",
IF(COUNTIF('Queen Discography'!$L$4:$L$22,C18)&gt;0,"Hot Space",
IF(COUNTIF('Queen Discography'!$M$4:$M$22,C18)&gt;0,"The Works",
IF(COUNTIF('Queen Discography'!$N$4:$N$22,C18)&gt;0,"A Kind Of Magic",
IF(COUNTIF('Queen Discography'!$O$4:$O$22,C18)&gt;0,"The Miracle",
IF(COUNTIF('Queen Discography'!$P$4:$P$22,C18)&gt;0,"Innuendo",
IF(COUNTIF('Queen Discography'!$Q$4:$Q$22,C18)&gt;0,"Made In Heaven","NOT FOUND")))))))))))))))</f>
        <v>A Day At The Races</v>
      </c>
      <c r="I18" s="1"/>
      <c r="J18" s="98">
        <v>14.0</v>
      </c>
      <c r="K18" s="99" t="str">
        <f t="shared" si="9"/>
        <v>N/A</v>
      </c>
      <c r="L18" s="99" t="str">
        <f t="shared" si="3"/>
        <v>N/A</v>
      </c>
      <c r="M18" s="99" t="str">
        <f t="shared" si="4"/>
        <v>N/A</v>
      </c>
      <c r="N18" s="100" t="str">
        <f>IFERROR(__xludf.DUMMYFUNCTION("IFERROR(MEDIAN(FILTER($G$4:$G$66,$D$4:$D$66=$J18,ISNUMBER($G$4:$G$66))),""N/A"")"),"N/A")</f>
        <v>N/A</v>
      </c>
      <c r="O18" s="99" t="str">
        <f>IFERROR(__xludf.DUMMYFUNCTION("IFERROR(MODE(FILTER($G$4:$G$66,$D$4:$D$66=$J18,ISNUMBER($G$4:$G$66))),""N/A"")"),"N/A")</f>
        <v>N/A</v>
      </c>
      <c r="P18" s="99">
        <f t="shared" ref="P18:AE18" si="22">COUNTIFS($H$4:$H$66,P$3,$D$4:$D$66,$J18)</f>
        <v>0</v>
      </c>
      <c r="Q18" s="99">
        <f t="shared" si="22"/>
        <v>0</v>
      </c>
      <c r="R18" s="99">
        <f t="shared" si="22"/>
        <v>0</v>
      </c>
      <c r="S18" s="99">
        <f t="shared" si="22"/>
        <v>0</v>
      </c>
      <c r="T18" s="99">
        <f t="shared" si="22"/>
        <v>0</v>
      </c>
      <c r="U18" s="99">
        <f t="shared" si="22"/>
        <v>0</v>
      </c>
      <c r="V18" s="99">
        <f t="shared" si="22"/>
        <v>0</v>
      </c>
      <c r="W18" s="99">
        <f t="shared" si="22"/>
        <v>0</v>
      </c>
      <c r="X18" s="99">
        <f t="shared" si="22"/>
        <v>0</v>
      </c>
      <c r="Y18" s="99">
        <f t="shared" si="22"/>
        <v>0</v>
      </c>
      <c r="Z18" s="99">
        <f t="shared" si="22"/>
        <v>0</v>
      </c>
      <c r="AA18" s="99">
        <f t="shared" si="22"/>
        <v>0</v>
      </c>
      <c r="AB18" s="99">
        <f t="shared" si="22"/>
        <v>0</v>
      </c>
      <c r="AC18" s="99">
        <f t="shared" si="22"/>
        <v>0</v>
      </c>
      <c r="AD18" s="99">
        <f t="shared" si="22"/>
        <v>0</v>
      </c>
      <c r="AE18" s="99">
        <f t="shared" si="22"/>
        <v>0</v>
      </c>
      <c r="AF18" s="104">
        <f t="array" ref="AF18:AU18">IFERROR(P18:AE18*TRANSPOSE('Queen MIDI'!$J$4:$J$19),"N/A")</f>
        <v>0</v>
      </c>
      <c r="AG18" s="104">
        <v>0.0</v>
      </c>
      <c r="AH18" s="104">
        <v>0.0</v>
      </c>
      <c r="AI18" s="104">
        <v>0.0</v>
      </c>
      <c r="AJ18" s="104">
        <v>0.0</v>
      </c>
      <c r="AK18" s="104">
        <v>0.0</v>
      </c>
      <c r="AL18" s="104">
        <v>0.0</v>
      </c>
      <c r="AM18" s="104">
        <v>0.0</v>
      </c>
      <c r="AN18" s="104" t="s">
        <v>357</v>
      </c>
      <c r="AO18" s="104">
        <v>0.0</v>
      </c>
      <c r="AP18" s="104">
        <v>0.0</v>
      </c>
      <c r="AQ18" s="104">
        <v>0.0</v>
      </c>
      <c r="AR18" s="104">
        <v>0.0</v>
      </c>
      <c r="AS18" s="104">
        <v>0.0</v>
      </c>
      <c r="AT18" s="104">
        <v>0.0</v>
      </c>
      <c r="AU18" s="104">
        <v>0.0</v>
      </c>
      <c r="AV18" s="99" t="str">
        <f>IFERROR(__xludf.DUMMYFUNCTION("JOIN("", "",FILTER($P$3:$AE$3,$P18:$AE18=MAX($P18:$AE18)))"),"Queen,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8" s="99">
        <f t="shared" si="6"/>
        <v>0</v>
      </c>
      <c r="AX18" s="99">
        <f>IFERROR(__xludf.DUMMYFUNCTION("COUNTA(FILTER($P$3:$AE$3,$P18:$AE18=MAX($P18:$AE18)))"),16.0)</f>
        <v>16</v>
      </c>
      <c r="AY18" s="99" t="str">
        <f>IFERROR(__xludf.DUMMYFUNCTION("IFERROR(JOIN("", "",FILTER($AF$3:$AU$3,$AF18:$AU18=MAXIFS($AF18:$AU18,$AF$23:$AU$23,TRUE),$AF$23:$AU$23)),""N/A"")"),"Queen,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8" s="103" t="str">
        <f>IFERROR(__xludf.DUMMYFUNCTION("IFERROR(JOIN("", "",FILTER($P18:$AE18,$AF18:$AU18=MAXIFS($AF18:$AU18,$AF$23:$AU$23,TRUE),$AF$23:$AU$23)),""N/A"")"),"0, 0, 0, 0, 0, 0, 0, 0, 0, 0, 0, 0, 0, 0")</f>
        <v>0, 0, 0, 0, 0, 0, 0, 0, 0, 0, 0, 0, 0, 0</v>
      </c>
      <c r="BA18" s="103">
        <f>MAXIFS(AF18:AU18,$AF$23:$AU$23,TRUE)/'Queen MIDI'!$J$20</f>
        <v>0</v>
      </c>
      <c r="BB18" s="98">
        <f>IFERROR(__xludf.DUMMYFUNCTION("COUNTA(IFERROR(FILTER($AF$3:$AU$3,$AF18:$AU18=MAXIFS($AF18:$AU18,$AF$23:$AU$23,TRUE),$AF$23:$AU$23),))"),14.0)</f>
        <v>14</v>
      </c>
      <c r="BC18" s="105">
        <f t="shared" si="7"/>
        <v>0</v>
      </c>
      <c r="BD18" s="99">
        <f t="shared" si="8"/>
        <v>0</v>
      </c>
      <c r="BE18" s="1"/>
    </row>
    <row r="19">
      <c r="A19" s="1"/>
      <c r="C19" s="66" t="str">
        <f t="array" ref="C19">INDEX('Queen MIDI'!$C$4:$C$66,MATCH(F19,'Queen MIDI'!$D$4:$D$66,0))</f>
        <v>White Man</v>
      </c>
      <c r="D19" s="118">
        <v>0.0</v>
      </c>
      <c r="E19" s="118" t="s">
        <v>372</v>
      </c>
      <c r="F19" s="66" t="str">
        <f t="shared" si="2"/>
        <v>White Man.mid</v>
      </c>
      <c r="G19" s="127">
        <f>HLOOKUP(H19,'Queen Discography'!$C$2:$Q$3,2,FALSE)</f>
        <v>1976</v>
      </c>
      <c r="H19" s="66" t="str">
        <f>IF(COUNTIF('Queen Discography'!$C$4:$C$22,C19)&gt;0,"Queen",
IF(COUNTIF('Queen Discography'!$D$4:$D$22,C19)&gt;0,"Queen II",
IF(COUNTIF('Queen Discography'!$E$4:$E$22,C19)&gt;0,"Sheer Heart Attack",
IF(COUNTIF('Queen Discography'!$F$4:$F$22,C19)&gt;0,"A Night At The Opera",
IF(COUNTIF('Queen Discography'!$G$4:$G$22,C19)&gt;0,"A Day At The Races",
IF(COUNTIF('Queen Discography'!$H$4:$H$22,C19)&gt;0,"News Of The World",
IF(COUNTIF('Queen Discography'!$I$4:$I$22,C19)&gt;0,"Jazz",
IF(COUNTIF('Queen Discography'!$J$4:$J$22,C19)&gt;0,"The Game",
IF(COUNTIF('Queen Discography'!$K$4:$K$22,C19)&gt;0,"Flash Gordon",
IF(COUNTIF('Queen Discography'!$L$4:$L$22,C19)&gt;0,"Hot Space",
IF(COUNTIF('Queen Discography'!$M$4:$M$22,C19)&gt;0,"The Works",
IF(COUNTIF('Queen Discography'!$N$4:$N$22,C19)&gt;0,"A Kind Of Magic",
IF(COUNTIF('Queen Discography'!$O$4:$O$22,C19)&gt;0,"The Miracle",
IF(COUNTIF('Queen Discography'!$P$4:$P$22,C19)&gt;0,"Innuendo",
IF(COUNTIF('Queen Discography'!$Q$4:$Q$22,C19)&gt;0,"Made In Heaven","NOT FOUND")))))))))))))))</f>
        <v>A Day At The Races</v>
      </c>
      <c r="I19" s="1"/>
      <c r="J19" s="98">
        <v>15.0</v>
      </c>
      <c r="K19" s="99" t="str">
        <f t="shared" si="9"/>
        <v>N/A</v>
      </c>
      <c r="L19" s="99" t="str">
        <f t="shared" si="3"/>
        <v>N/A</v>
      </c>
      <c r="M19" s="99" t="str">
        <f t="shared" si="4"/>
        <v>N/A</v>
      </c>
      <c r="N19" s="100" t="str">
        <f>IFERROR(__xludf.DUMMYFUNCTION("IFERROR(MEDIAN(FILTER($G$4:$G$66,$D$4:$D$66=$J19,ISNUMBER($G$4:$G$66))),""N/A"")"),"N/A")</f>
        <v>N/A</v>
      </c>
      <c r="O19" s="99" t="str">
        <f>IFERROR(__xludf.DUMMYFUNCTION("IFERROR(MODE(FILTER($G$4:$G$66,$D$4:$D$66=$J19,ISNUMBER($G$4:$G$66))),""N/A"")"),"N/A")</f>
        <v>N/A</v>
      </c>
      <c r="P19" s="99">
        <f t="shared" ref="P19:AE19" si="23">COUNTIFS($H$4:$H$66,P$3,$D$4:$D$66,$J19)</f>
        <v>0</v>
      </c>
      <c r="Q19" s="99">
        <f t="shared" si="23"/>
        <v>0</v>
      </c>
      <c r="R19" s="99">
        <f t="shared" si="23"/>
        <v>0</v>
      </c>
      <c r="S19" s="99">
        <f t="shared" si="23"/>
        <v>0</v>
      </c>
      <c r="T19" s="99">
        <f t="shared" si="23"/>
        <v>0</v>
      </c>
      <c r="U19" s="99">
        <f t="shared" si="23"/>
        <v>0</v>
      </c>
      <c r="V19" s="99">
        <f t="shared" si="23"/>
        <v>0</v>
      </c>
      <c r="W19" s="99">
        <f t="shared" si="23"/>
        <v>0</v>
      </c>
      <c r="X19" s="99">
        <f t="shared" si="23"/>
        <v>0</v>
      </c>
      <c r="Y19" s="99">
        <f t="shared" si="23"/>
        <v>0</v>
      </c>
      <c r="Z19" s="99">
        <f t="shared" si="23"/>
        <v>0</v>
      </c>
      <c r="AA19" s="99">
        <f t="shared" si="23"/>
        <v>0</v>
      </c>
      <c r="AB19" s="99">
        <f t="shared" si="23"/>
        <v>0</v>
      </c>
      <c r="AC19" s="99">
        <f t="shared" si="23"/>
        <v>0</v>
      </c>
      <c r="AD19" s="99">
        <f t="shared" si="23"/>
        <v>0</v>
      </c>
      <c r="AE19" s="99">
        <f t="shared" si="23"/>
        <v>0</v>
      </c>
      <c r="AF19" s="104">
        <f t="array" ref="AF19:AU19">IFERROR(P19:AE19*TRANSPOSE('Queen MIDI'!$J$4:$J$19),"N/A")</f>
        <v>0</v>
      </c>
      <c r="AG19" s="104">
        <v>0.0</v>
      </c>
      <c r="AH19" s="104">
        <v>0.0</v>
      </c>
      <c r="AI19" s="104">
        <v>0.0</v>
      </c>
      <c r="AJ19" s="104">
        <v>0.0</v>
      </c>
      <c r="AK19" s="104">
        <v>0.0</v>
      </c>
      <c r="AL19" s="104">
        <v>0.0</v>
      </c>
      <c r="AM19" s="104">
        <v>0.0</v>
      </c>
      <c r="AN19" s="104" t="s">
        <v>357</v>
      </c>
      <c r="AO19" s="104">
        <v>0.0</v>
      </c>
      <c r="AP19" s="104">
        <v>0.0</v>
      </c>
      <c r="AQ19" s="104">
        <v>0.0</v>
      </c>
      <c r="AR19" s="104">
        <v>0.0</v>
      </c>
      <c r="AS19" s="104">
        <v>0.0</v>
      </c>
      <c r="AT19" s="104">
        <v>0.0</v>
      </c>
      <c r="AU19" s="104">
        <v>0.0</v>
      </c>
      <c r="AV19" s="99" t="str">
        <f>IFERROR(__xludf.DUMMYFUNCTION("JOIN("", "",FILTER($P$3:$AE$3,$P19:$AE19=MAX($P19:$AE19)))"),"Queen,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9" s="99">
        <f t="shared" si="6"/>
        <v>0</v>
      </c>
      <c r="AX19" s="99">
        <f>IFERROR(__xludf.DUMMYFUNCTION("COUNTA(FILTER($P$3:$AE$3,$P19:$AE19=MAX($P19:$AE19)))"),16.0)</f>
        <v>16</v>
      </c>
      <c r="AY19" s="99" t="str">
        <f>IFERROR(__xludf.DUMMYFUNCTION("IFERROR(JOIN("", "",FILTER($AF$3:$AU$3,$AF19:$AU19=MAXIFS($AF19:$AU19,$AF$23:$AU$23,TRUE),$AF$23:$AU$23)),""N/A"")"),"Queen,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9" s="103" t="str">
        <f>IFERROR(__xludf.DUMMYFUNCTION("IFERROR(JOIN("", "",FILTER($P19:$AE19,$AF19:$AU19=MAXIFS($AF19:$AU19,$AF$23:$AU$23,TRUE),$AF$23:$AU$23)),""N/A"")"),"0, 0, 0, 0, 0, 0, 0, 0, 0, 0, 0, 0, 0, 0")</f>
        <v>0, 0, 0, 0, 0, 0, 0, 0, 0, 0, 0, 0, 0, 0</v>
      </c>
      <c r="BA19" s="103">
        <f>MAXIFS(AF19:AU19,$AF$23:$AU$23,TRUE)/'Queen MIDI'!$J$20</f>
        <v>0</v>
      </c>
      <c r="BB19" s="98">
        <f>IFERROR(__xludf.DUMMYFUNCTION("COUNTA(IFERROR(FILTER($AF$3:$AU$3,$AF19:$AU19=MAXIFS($AF19:$AU19,$AF$23:$AU$23,TRUE),$AF$23:$AU$23),))"),14.0)</f>
        <v>14</v>
      </c>
      <c r="BC19" s="105">
        <f t="shared" si="7"/>
        <v>0</v>
      </c>
      <c r="BD19" s="99">
        <f t="shared" si="8"/>
        <v>0</v>
      </c>
      <c r="BE19" s="1"/>
    </row>
    <row r="20">
      <c r="A20" s="1"/>
      <c r="C20" s="66" t="str">
        <f t="array" ref="C20">INDEX('Queen MIDI'!$C$4:$C$66,MATCH(F20,'Queen MIDI'!$D$4:$D$66,0))</f>
        <v>My Melancholy Blues</v>
      </c>
      <c r="D20" s="118">
        <v>0.0</v>
      </c>
      <c r="E20" s="118" t="s">
        <v>373</v>
      </c>
      <c r="F20" s="66" t="str">
        <f t="shared" si="2"/>
        <v>My Melancholy Blues.mid</v>
      </c>
      <c r="G20" s="119">
        <f>HLOOKUP(H20,'Queen Discography'!$C$2:$Q$3,2,FALSE)</f>
        <v>1977</v>
      </c>
      <c r="H20" s="66" t="str">
        <f>IF(COUNTIF('Queen Discography'!$C$4:$C$22,C20)&gt;0,"Queen",
IF(COUNTIF('Queen Discography'!$D$4:$D$22,C20)&gt;0,"Queen II",
IF(COUNTIF('Queen Discography'!$E$4:$E$22,C20)&gt;0,"Sheer Heart Attack",
IF(COUNTIF('Queen Discography'!$F$4:$F$22,C20)&gt;0,"A Night At The Opera",
IF(COUNTIF('Queen Discography'!$G$4:$G$22,C20)&gt;0,"A Day At The Races",
IF(COUNTIF('Queen Discography'!$H$4:$H$22,C20)&gt;0,"News Of The World",
IF(COUNTIF('Queen Discography'!$I$4:$I$22,C20)&gt;0,"Jazz",
IF(COUNTIF('Queen Discography'!$J$4:$J$22,C20)&gt;0,"The Game",
IF(COUNTIF('Queen Discography'!$K$4:$K$22,C20)&gt;0,"Flash Gordon",
IF(COUNTIF('Queen Discography'!$L$4:$L$22,C20)&gt;0,"Hot Space",
IF(COUNTIF('Queen Discography'!$M$4:$M$22,C20)&gt;0,"The Works",
IF(COUNTIF('Queen Discography'!$N$4:$N$22,C20)&gt;0,"A Kind Of Magic",
IF(COUNTIF('Queen Discography'!$O$4:$O$22,C20)&gt;0,"The Miracle",
IF(COUNTIF('Queen Discography'!$P$4:$P$22,C20)&gt;0,"Innuendo",
IF(COUNTIF('Queen Discography'!$Q$4:$Q$22,C20)&gt;0,"Made In Heaven","NOT FOUND")))))))))))))))</f>
        <v>News Of The World</v>
      </c>
      <c r="I20" s="1"/>
      <c r="J20" s="98">
        <v>16.0</v>
      </c>
      <c r="K20" s="99" t="str">
        <f t="shared" si="9"/>
        <v>N/A</v>
      </c>
      <c r="L20" s="99" t="str">
        <f t="shared" si="3"/>
        <v>N/A</v>
      </c>
      <c r="M20" s="99" t="str">
        <f t="shared" si="4"/>
        <v>N/A</v>
      </c>
      <c r="N20" s="100" t="str">
        <f>IFERROR(__xludf.DUMMYFUNCTION("IFERROR(MEDIAN(FILTER($G$4:$G$66,$D$4:$D$66=$J20,ISNUMBER($G$4:$G$66))),""N/A"")"),"N/A")</f>
        <v>N/A</v>
      </c>
      <c r="O20" s="99" t="str">
        <f>IFERROR(__xludf.DUMMYFUNCTION("IFERROR(MODE(FILTER($G$4:$G$66,$D$4:$D$66=$J20,ISNUMBER($G$4:$G$66))),""N/A"")"),"N/A")</f>
        <v>N/A</v>
      </c>
      <c r="P20" s="99">
        <f t="shared" ref="P20:AE20" si="24">COUNTIFS($H$4:$H$66,P$3,$D$4:$D$66,$J20)</f>
        <v>0</v>
      </c>
      <c r="Q20" s="99">
        <f t="shared" si="24"/>
        <v>0</v>
      </c>
      <c r="R20" s="99">
        <f t="shared" si="24"/>
        <v>0</v>
      </c>
      <c r="S20" s="99">
        <f t="shared" si="24"/>
        <v>0</v>
      </c>
      <c r="T20" s="99">
        <f t="shared" si="24"/>
        <v>0</v>
      </c>
      <c r="U20" s="99">
        <f t="shared" si="24"/>
        <v>0</v>
      </c>
      <c r="V20" s="99">
        <f t="shared" si="24"/>
        <v>0</v>
      </c>
      <c r="W20" s="99">
        <f t="shared" si="24"/>
        <v>0</v>
      </c>
      <c r="X20" s="99">
        <f t="shared" si="24"/>
        <v>0</v>
      </c>
      <c r="Y20" s="99">
        <f t="shared" si="24"/>
        <v>0</v>
      </c>
      <c r="Z20" s="99">
        <f t="shared" si="24"/>
        <v>0</v>
      </c>
      <c r="AA20" s="99">
        <f t="shared" si="24"/>
        <v>0</v>
      </c>
      <c r="AB20" s="99">
        <f t="shared" si="24"/>
        <v>0</v>
      </c>
      <c r="AC20" s="99">
        <f t="shared" si="24"/>
        <v>0</v>
      </c>
      <c r="AD20" s="99">
        <f t="shared" si="24"/>
        <v>0</v>
      </c>
      <c r="AE20" s="99">
        <f t="shared" si="24"/>
        <v>0</v>
      </c>
      <c r="AF20" s="101">
        <f t="array" ref="AF20:AU20">IFERROR(P20:AE20*TRANSPOSE('Queen MIDI'!$J$4:$J$19),"N/A")</f>
        <v>0</v>
      </c>
      <c r="AG20" s="101">
        <v>0.0</v>
      </c>
      <c r="AH20" s="101">
        <v>0.0</v>
      </c>
      <c r="AI20" s="101">
        <v>0.0</v>
      </c>
      <c r="AJ20" s="101">
        <v>0.0</v>
      </c>
      <c r="AK20" s="101">
        <v>0.0</v>
      </c>
      <c r="AL20" s="101">
        <v>0.0</v>
      </c>
      <c r="AM20" s="101">
        <v>0.0</v>
      </c>
      <c r="AN20" s="101" t="s">
        <v>357</v>
      </c>
      <c r="AO20" s="101">
        <v>0.0</v>
      </c>
      <c r="AP20" s="101">
        <v>0.0</v>
      </c>
      <c r="AQ20" s="101">
        <v>0.0</v>
      </c>
      <c r="AR20" s="101">
        <v>0.0</v>
      </c>
      <c r="AS20" s="101">
        <v>0.0</v>
      </c>
      <c r="AT20" s="101">
        <v>0.0</v>
      </c>
      <c r="AU20" s="101">
        <v>0.0</v>
      </c>
      <c r="AV20" s="99" t="str">
        <f>IFERROR(__xludf.DUMMYFUNCTION("JOIN("", "",FILTER($P$3:$AE$3,$P20:$AE20=MAX($P20:$AE20)))"),"Queen,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0" s="99">
        <f t="shared" si="6"/>
        <v>0</v>
      </c>
      <c r="AX20" s="99">
        <f>IFERROR(__xludf.DUMMYFUNCTION("COUNTA(FILTER($P$3:$AE$3,$P20:$AE20=MAX($P20:$AE20)))"),16.0)</f>
        <v>16</v>
      </c>
      <c r="AY20" s="99" t="str">
        <f>IFERROR(__xludf.DUMMYFUNCTION("IFERROR(JOIN("", "",FILTER($AF$3:$AU$3,$AF20:$AU20=MAXIFS($AF20:$AU20,$AF$23:$AU$23,TRUE),$AF$23:$AU$23)),""N/A"")"),"Queen,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0" s="103" t="str">
        <f>IFERROR(__xludf.DUMMYFUNCTION("IFERROR(JOIN("", "",FILTER($P20:$AE20,$AF20:$AU20=MAXIFS($AF20:$AU20,$AF$23:$AU$23,TRUE),$AF$23:$AU$23)),""N/A"")"),"0, 0, 0, 0, 0, 0, 0, 0, 0, 0, 0, 0, 0, 0")</f>
        <v>0, 0, 0, 0, 0, 0, 0, 0, 0, 0, 0, 0, 0, 0</v>
      </c>
      <c r="BA20" s="103">
        <f>MAXIFS(AF20:AU20,$AF$23:$AU$23,TRUE)/'Queen MIDI'!$J$20</f>
        <v>0</v>
      </c>
      <c r="BB20" s="98">
        <f>IFERROR(__xludf.DUMMYFUNCTION("COUNTA(IFERROR(FILTER($AF$3:$AU$3,$AF20:$AU20=MAXIFS($AF20:$AU20,$AF$23:$AU$23,TRUE),$AF$23:$AU$23),))"),14.0)</f>
        <v>14</v>
      </c>
      <c r="BC20" s="105">
        <f t="shared" si="7"/>
        <v>0</v>
      </c>
      <c r="BD20" s="99">
        <f t="shared" si="8"/>
        <v>0</v>
      </c>
      <c r="BE20" s="1"/>
    </row>
    <row r="21">
      <c r="A21" s="1"/>
      <c r="C21" s="66" t="str">
        <f t="array" ref="C21">INDEX('Queen MIDI'!$C$4:$C$66,MATCH(F21,'Queen MIDI'!$D$4:$D$66,0))</f>
        <v>Spread Your Wings</v>
      </c>
      <c r="D21" s="118">
        <v>0.0</v>
      </c>
      <c r="E21" s="118" t="s">
        <v>374</v>
      </c>
      <c r="F21" s="66" t="str">
        <f t="shared" si="2"/>
        <v>Spread Your Wings.mid</v>
      </c>
      <c r="G21" s="129">
        <f>HLOOKUP(H21,'Queen Discography'!$C$2:$Q$3,2,FALSE)</f>
        <v>1977</v>
      </c>
      <c r="H21" s="66" t="str">
        <f>IF(COUNTIF('Queen Discography'!$C$4:$C$22,C21)&gt;0,"Queen",
IF(COUNTIF('Queen Discography'!$D$4:$D$22,C21)&gt;0,"Queen II",
IF(COUNTIF('Queen Discography'!$E$4:$E$22,C21)&gt;0,"Sheer Heart Attack",
IF(COUNTIF('Queen Discography'!$F$4:$F$22,C21)&gt;0,"A Night At The Opera",
IF(COUNTIF('Queen Discography'!$G$4:$G$22,C21)&gt;0,"A Day At The Races",
IF(COUNTIF('Queen Discography'!$H$4:$H$22,C21)&gt;0,"News Of The World",
IF(COUNTIF('Queen Discography'!$I$4:$I$22,C21)&gt;0,"Jazz",
IF(COUNTIF('Queen Discography'!$J$4:$J$22,C21)&gt;0,"The Game",
IF(COUNTIF('Queen Discography'!$K$4:$K$22,C21)&gt;0,"Flash Gordon",
IF(COUNTIF('Queen Discography'!$L$4:$L$22,C21)&gt;0,"Hot Space",
IF(COUNTIF('Queen Discography'!$M$4:$M$22,C21)&gt;0,"The Works",
IF(COUNTIF('Queen Discography'!$N$4:$N$22,C21)&gt;0,"A Kind Of Magic",
IF(COUNTIF('Queen Discography'!$O$4:$O$22,C21)&gt;0,"The Miracle",
IF(COUNTIF('Queen Discography'!$P$4:$P$22,C21)&gt;0,"Innuendo",
IF(COUNTIF('Queen Discography'!$Q$4:$Q$22,C21)&gt;0,"Made In Heaven","NOT FOUND")))))))))))))))</f>
        <v>News Of The World</v>
      </c>
      <c r="I21" s="1"/>
      <c r="J21" s="98">
        <v>17.0</v>
      </c>
      <c r="K21" s="99" t="str">
        <f t="shared" si="9"/>
        <v>N/A</v>
      </c>
      <c r="L21" s="99" t="str">
        <f t="shared" si="3"/>
        <v>N/A</v>
      </c>
      <c r="M21" s="99" t="str">
        <f t="shared" si="4"/>
        <v>N/A</v>
      </c>
      <c r="N21" s="100" t="str">
        <f>IFERROR(__xludf.DUMMYFUNCTION("IFERROR(MEDIAN(FILTER($G$4:$G$66,$D$4:$D$66=$J21,ISNUMBER($G$4:$G$66))),""N/A"")"),"N/A")</f>
        <v>N/A</v>
      </c>
      <c r="O21" s="99" t="str">
        <f>IFERROR(__xludf.DUMMYFUNCTION("IFERROR(MODE(FILTER($G$4:$G$66,$D$4:$D$66=$J21,ISNUMBER($G$4:$G$66))),""N/A"")"),"N/A")</f>
        <v>N/A</v>
      </c>
      <c r="P21" s="99">
        <f t="shared" ref="P21:AE21" si="25">COUNTIFS($H$4:$H$66,P$3,$D$4:$D$66,$J21)</f>
        <v>0</v>
      </c>
      <c r="Q21" s="99">
        <f t="shared" si="25"/>
        <v>0</v>
      </c>
      <c r="R21" s="99">
        <f t="shared" si="25"/>
        <v>0</v>
      </c>
      <c r="S21" s="99">
        <f t="shared" si="25"/>
        <v>0</v>
      </c>
      <c r="T21" s="99">
        <f t="shared" si="25"/>
        <v>0</v>
      </c>
      <c r="U21" s="99">
        <f t="shared" si="25"/>
        <v>0</v>
      </c>
      <c r="V21" s="99">
        <f t="shared" si="25"/>
        <v>0</v>
      </c>
      <c r="W21" s="99">
        <f t="shared" si="25"/>
        <v>0</v>
      </c>
      <c r="X21" s="99">
        <f t="shared" si="25"/>
        <v>0</v>
      </c>
      <c r="Y21" s="99">
        <f t="shared" si="25"/>
        <v>0</v>
      </c>
      <c r="Z21" s="99">
        <f t="shared" si="25"/>
        <v>0</v>
      </c>
      <c r="AA21" s="99">
        <f t="shared" si="25"/>
        <v>0</v>
      </c>
      <c r="AB21" s="99">
        <f t="shared" si="25"/>
        <v>0</v>
      </c>
      <c r="AC21" s="99">
        <f t="shared" si="25"/>
        <v>0</v>
      </c>
      <c r="AD21" s="99">
        <f t="shared" si="25"/>
        <v>0</v>
      </c>
      <c r="AE21" s="99">
        <f t="shared" si="25"/>
        <v>0</v>
      </c>
      <c r="AF21" s="101">
        <f t="array" ref="AF21:AU21">IFERROR(P21:AE21*TRANSPOSE('Queen MIDI'!$J$4:$J$19),"N/A")</f>
        <v>0</v>
      </c>
      <c r="AG21" s="101">
        <v>0.0</v>
      </c>
      <c r="AH21" s="101">
        <v>0.0</v>
      </c>
      <c r="AI21" s="101">
        <v>0.0</v>
      </c>
      <c r="AJ21" s="101">
        <v>0.0</v>
      </c>
      <c r="AK21" s="101">
        <v>0.0</v>
      </c>
      <c r="AL21" s="101">
        <v>0.0</v>
      </c>
      <c r="AM21" s="101">
        <v>0.0</v>
      </c>
      <c r="AN21" s="101" t="s">
        <v>357</v>
      </c>
      <c r="AO21" s="101">
        <v>0.0</v>
      </c>
      <c r="AP21" s="101">
        <v>0.0</v>
      </c>
      <c r="AQ21" s="101">
        <v>0.0</v>
      </c>
      <c r="AR21" s="101">
        <v>0.0</v>
      </c>
      <c r="AS21" s="101">
        <v>0.0</v>
      </c>
      <c r="AT21" s="101">
        <v>0.0</v>
      </c>
      <c r="AU21" s="101">
        <v>0.0</v>
      </c>
      <c r="AV21" s="99" t="str">
        <f>IFERROR(__xludf.DUMMYFUNCTION("JOIN("", "",FILTER($P$3:$AE$3,$P21:$AE21=MAX($P21:$AE21)))"),"Queen,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1" s="99">
        <f t="shared" si="6"/>
        <v>0</v>
      </c>
      <c r="AX21" s="99">
        <f>IFERROR(__xludf.DUMMYFUNCTION("COUNTA(FILTER($P$3:$AE$3,$P21:$AE21=MAX($P21:$AE21)))"),16.0)</f>
        <v>16</v>
      </c>
      <c r="AY21" s="99" t="str">
        <f>IFERROR(__xludf.DUMMYFUNCTION("IFERROR(JOIN("", "",FILTER($AF$3:$AU$3,$AF21:$AU21=MAXIFS($AF21:$AU21,$AF$23:$AU$23,TRUE),$AF$23:$AU$23)),""N/A"")"),"Queen,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1" s="103" t="str">
        <f>IFERROR(__xludf.DUMMYFUNCTION("IFERROR(JOIN("", "",FILTER($P21:$AE21,$AF21:$AU21=MAXIFS($AF21:$AU21,$AF$23:$AU$23,TRUE),$AF$23:$AU$23)),""N/A"")"),"0, 0, 0, 0, 0, 0, 0, 0, 0, 0, 0, 0, 0, 0")</f>
        <v>0, 0, 0, 0, 0, 0, 0, 0, 0, 0, 0, 0, 0, 0</v>
      </c>
      <c r="BA21" s="103">
        <f>MAXIFS(AF21:AU21,$AF$23:$AU$23,TRUE)/'Queen MIDI'!$J$20</f>
        <v>0</v>
      </c>
      <c r="BB21" s="98">
        <f>IFERROR(__xludf.DUMMYFUNCTION("COUNTA(IFERROR(FILTER($AF$3:$AU$3,$AF21:$AU21=MAXIFS($AF21:$AU21,$AF$23:$AU$23,TRUE),$AF$23:$AU$23),))"),14.0)</f>
        <v>14</v>
      </c>
      <c r="BC21" s="105">
        <f t="shared" si="7"/>
        <v>0</v>
      </c>
      <c r="BD21" s="99">
        <f t="shared" si="8"/>
        <v>0</v>
      </c>
      <c r="BE21" s="1"/>
    </row>
    <row r="22">
      <c r="A22" s="1"/>
      <c r="C22" s="66" t="str">
        <f t="array" ref="C22">INDEX('Queen MIDI'!$C$4:$C$66,MATCH(F22,'Queen MIDI'!$D$4:$D$66,0))</f>
        <v>We Are The Champions</v>
      </c>
      <c r="D22" s="118">
        <v>0.0</v>
      </c>
      <c r="E22" s="118" t="s">
        <v>375</v>
      </c>
      <c r="F22" s="66" t="str">
        <f t="shared" si="2"/>
        <v>We Are The Champions.1.mid</v>
      </c>
      <c r="G22" s="133">
        <f>HLOOKUP(H22,'Queen Discography'!$C$2:$Q$3,2,FALSE)</f>
        <v>1977</v>
      </c>
      <c r="H22" s="66" t="str">
        <f>IF(COUNTIF('Queen Discography'!$C$4:$C$22,C22)&gt;0,"Queen",
IF(COUNTIF('Queen Discography'!$D$4:$D$22,C22)&gt;0,"Queen II",
IF(COUNTIF('Queen Discography'!$E$4:$E$22,C22)&gt;0,"Sheer Heart Attack",
IF(COUNTIF('Queen Discography'!$F$4:$F$22,C22)&gt;0,"A Night At The Opera",
IF(COUNTIF('Queen Discography'!$G$4:$G$22,C22)&gt;0,"A Day At The Races",
IF(COUNTIF('Queen Discography'!$H$4:$H$22,C22)&gt;0,"News Of The World",
IF(COUNTIF('Queen Discography'!$I$4:$I$22,C22)&gt;0,"Jazz",
IF(COUNTIF('Queen Discography'!$J$4:$J$22,C22)&gt;0,"The Game",
IF(COUNTIF('Queen Discography'!$K$4:$K$22,C22)&gt;0,"Flash Gordon",
IF(COUNTIF('Queen Discography'!$L$4:$L$22,C22)&gt;0,"Hot Space",
IF(COUNTIF('Queen Discography'!$M$4:$M$22,C22)&gt;0,"The Works",
IF(COUNTIF('Queen Discography'!$N$4:$N$22,C22)&gt;0,"A Kind Of Magic",
IF(COUNTIF('Queen Discography'!$O$4:$O$22,C22)&gt;0,"The Miracle",
IF(COUNTIF('Queen Discography'!$P$4:$P$22,C22)&gt;0,"Innuendo",
IF(COUNTIF('Queen Discography'!$Q$4:$Q$22,C22)&gt;0,"Made In Heaven","NOT FOUND")))))))))))))))</f>
        <v>News Of The World</v>
      </c>
      <c r="I22" s="1"/>
      <c r="J22" s="107"/>
      <c r="K22" s="1"/>
      <c r="L22" s="1"/>
      <c r="M22" s="1"/>
      <c r="N22" s="87"/>
      <c r="O22" s="1"/>
      <c r="P22" s="1"/>
      <c r="Q22" s="1"/>
      <c r="R22" s="1"/>
      <c r="S22" s="1"/>
      <c r="T22" s="1"/>
      <c r="U22" s="1"/>
      <c r="V22" s="1"/>
      <c r="W22" s="1"/>
      <c r="X22" s="1"/>
      <c r="Y22" s="1"/>
      <c r="Z22" s="1"/>
      <c r="AA22" s="1"/>
      <c r="AB22" s="1"/>
      <c r="AC22" s="1"/>
      <c r="AD22" s="1"/>
      <c r="AE22" s="1"/>
      <c r="AF22" s="108">
        <f t="array" ref="AF22:AU22">TRANSPOSE('Queen MIDI'!I4:I19)</f>
        <v>4</v>
      </c>
      <c r="AG22" s="108">
        <v>3.0</v>
      </c>
      <c r="AH22" s="108">
        <v>2.0</v>
      </c>
      <c r="AI22" s="108">
        <v>5.0</v>
      </c>
      <c r="AJ22" s="108">
        <v>3.0</v>
      </c>
      <c r="AK22" s="108">
        <v>4.0</v>
      </c>
      <c r="AL22" s="108">
        <v>5.0</v>
      </c>
      <c r="AM22" s="108">
        <v>4.0</v>
      </c>
      <c r="AN22" s="108">
        <v>0.0</v>
      </c>
      <c r="AO22" s="108">
        <v>1.0</v>
      </c>
      <c r="AP22" s="108">
        <v>4.0</v>
      </c>
      <c r="AQ22" s="108">
        <v>5.0</v>
      </c>
      <c r="AR22" s="108">
        <v>5.0</v>
      </c>
      <c r="AS22" s="108">
        <v>9.0</v>
      </c>
      <c r="AT22" s="108">
        <v>7.0</v>
      </c>
      <c r="AU22" s="108">
        <v>2.0</v>
      </c>
      <c r="AV22" s="79" t="s">
        <v>235</v>
      </c>
      <c r="AW22" s="1"/>
      <c r="AX22" s="1"/>
      <c r="AY22" s="1"/>
      <c r="AZ22" s="107"/>
      <c r="BA22" s="107"/>
      <c r="BB22" s="107"/>
      <c r="BC22" s="109" t="s">
        <v>230</v>
      </c>
      <c r="BD22" s="110">
        <f>SUM(BD4:BD21)</f>
        <v>63</v>
      </c>
      <c r="BE22" s="1"/>
    </row>
    <row r="23">
      <c r="A23" s="1"/>
      <c r="C23" s="66" t="str">
        <f t="array" ref="C23">INDEX('Queen MIDI'!$C$4:$C$66,MATCH(F23,'Queen MIDI'!$D$4:$D$66,0))</f>
        <v>We Will Rock You</v>
      </c>
      <c r="D23" s="118">
        <v>0.0</v>
      </c>
      <c r="E23" s="118" t="s">
        <v>419</v>
      </c>
      <c r="F23" s="66" t="str">
        <f t="shared" si="2"/>
        <v>We Will Rock You.6.mid</v>
      </c>
      <c r="G23" s="132">
        <f>HLOOKUP(H23,'Queen Discography'!$C$2:$Q$3,2,FALSE)</f>
        <v>1977</v>
      </c>
      <c r="H23" s="66" t="str">
        <f>IF(COUNTIF('Queen Discography'!$C$4:$C$22,C23)&gt;0,"Queen",
IF(COUNTIF('Queen Discography'!$D$4:$D$22,C23)&gt;0,"Queen II",
IF(COUNTIF('Queen Discography'!$E$4:$E$22,C23)&gt;0,"Sheer Heart Attack",
IF(COUNTIF('Queen Discography'!$F$4:$F$22,C23)&gt;0,"A Night At The Opera",
IF(COUNTIF('Queen Discography'!$G$4:$G$22,C23)&gt;0,"A Day At The Races",
IF(COUNTIF('Queen Discography'!$H$4:$H$22,C23)&gt;0,"News Of The World",
IF(COUNTIF('Queen Discography'!$I$4:$I$22,C23)&gt;0,"Jazz",
IF(COUNTIF('Queen Discography'!$J$4:$J$22,C23)&gt;0,"The Game",
IF(COUNTIF('Queen Discography'!$K$4:$K$22,C23)&gt;0,"Flash Gordon",
IF(COUNTIF('Queen Discography'!$L$4:$L$22,C23)&gt;0,"Hot Space",
IF(COUNTIF('Queen Discography'!$M$4:$M$22,C23)&gt;0,"The Works",
IF(COUNTIF('Queen Discography'!$N$4:$N$22,C23)&gt;0,"A Kind Of Magic",
IF(COUNTIF('Queen Discography'!$O$4:$O$22,C23)&gt;0,"The Miracle",
IF(COUNTIF('Queen Discography'!$P$4:$P$22,C23)&gt;0,"Innuendo",
IF(COUNTIF('Queen Discography'!$Q$4:$Q$22,C23)&gt;0,"Made In Heaven","NOT FOUND")))))))))))))))</f>
        <v>News Of The World</v>
      </c>
      <c r="I23" s="1"/>
      <c r="J23" s="1"/>
      <c r="K23" s="1"/>
      <c r="L23" s="1"/>
      <c r="M23" s="1"/>
      <c r="N23" s="87"/>
      <c r="O23" s="1"/>
      <c r="P23" s="1"/>
      <c r="Q23" s="1"/>
      <c r="R23" s="1"/>
      <c r="S23" s="1"/>
      <c r="T23" s="1"/>
      <c r="U23" s="1"/>
      <c r="V23" s="1"/>
      <c r="W23" s="1"/>
      <c r="X23" s="1"/>
      <c r="Y23" s="1"/>
      <c r="Z23" s="1"/>
      <c r="AA23" s="1"/>
      <c r="AB23" s="1"/>
      <c r="AC23" s="1"/>
      <c r="AD23" s="1"/>
      <c r="AE23" s="1"/>
      <c r="AF23" s="111" t="b">
        <f t="shared" ref="AF23:AU23" si="26">IF(AF22&gt;=$AV$23,TRUE,FALSE)</f>
        <v>1</v>
      </c>
      <c r="AG23" s="111" t="b">
        <f t="shared" si="26"/>
        <v>1</v>
      </c>
      <c r="AH23" s="111" t="b">
        <f t="shared" si="26"/>
        <v>1</v>
      </c>
      <c r="AI23" s="111" t="b">
        <f t="shared" si="26"/>
        <v>1</v>
      </c>
      <c r="AJ23" s="111" t="b">
        <f t="shared" si="26"/>
        <v>1</v>
      </c>
      <c r="AK23" s="111" t="b">
        <f t="shared" si="26"/>
        <v>1</v>
      </c>
      <c r="AL23" s="111" t="b">
        <f t="shared" si="26"/>
        <v>1</v>
      </c>
      <c r="AM23" s="111" t="b">
        <f t="shared" si="26"/>
        <v>1</v>
      </c>
      <c r="AN23" s="111" t="b">
        <f t="shared" si="26"/>
        <v>0</v>
      </c>
      <c r="AO23" s="111" t="b">
        <f t="shared" si="26"/>
        <v>0</v>
      </c>
      <c r="AP23" s="111" t="b">
        <f t="shared" si="26"/>
        <v>1</v>
      </c>
      <c r="AQ23" s="111" t="b">
        <f t="shared" si="26"/>
        <v>1</v>
      </c>
      <c r="AR23" s="111" t="b">
        <f t="shared" si="26"/>
        <v>1</v>
      </c>
      <c r="AS23" s="111" t="b">
        <f t="shared" si="26"/>
        <v>1</v>
      </c>
      <c r="AT23" s="111" t="b">
        <f t="shared" si="26"/>
        <v>1</v>
      </c>
      <c r="AU23" s="111" t="b">
        <f t="shared" si="26"/>
        <v>1</v>
      </c>
      <c r="AV23" s="79">
        <f>'Queen MIDI'!I22</f>
        <v>2</v>
      </c>
      <c r="AW23" s="1"/>
      <c r="AX23" s="1"/>
      <c r="AY23" s="1"/>
      <c r="AZ23" s="1"/>
      <c r="BA23" s="1"/>
      <c r="BB23" s="1"/>
      <c r="BC23" s="1"/>
      <c r="BD23" s="1"/>
      <c r="BE23" s="1"/>
    </row>
    <row r="24">
      <c r="A24" s="1"/>
      <c r="C24" s="66" t="str">
        <f t="array" ref="C24">INDEX('Queen MIDI'!$C$4:$C$66,MATCH(F24,'Queen MIDI'!$D$4:$D$66,0))</f>
        <v>Bicycle Race</v>
      </c>
      <c r="D24" s="118">
        <v>0.0</v>
      </c>
      <c r="E24" s="118" t="s">
        <v>376</v>
      </c>
      <c r="F24" s="66" t="str">
        <f t="shared" si="2"/>
        <v>Bicycle Race.mid</v>
      </c>
      <c r="G24" s="122">
        <f>HLOOKUP(H24,'Queen Discography'!$C$2:$Q$3,2,FALSE)</f>
        <v>1978</v>
      </c>
      <c r="H24" s="66" t="str">
        <f>IF(COUNTIF('Queen Discography'!$C$4:$C$22,C24)&gt;0,"Queen",
IF(COUNTIF('Queen Discography'!$D$4:$D$22,C24)&gt;0,"Queen II",
IF(COUNTIF('Queen Discography'!$E$4:$E$22,C24)&gt;0,"Sheer Heart Attack",
IF(COUNTIF('Queen Discography'!$F$4:$F$22,C24)&gt;0,"A Night At The Opera",
IF(COUNTIF('Queen Discography'!$G$4:$G$22,C24)&gt;0,"A Day At The Races",
IF(COUNTIF('Queen Discography'!$H$4:$H$22,C24)&gt;0,"News Of The World",
IF(COUNTIF('Queen Discography'!$I$4:$I$22,C24)&gt;0,"Jazz",
IF(COUNTIF('Queen Discography'!$J$4:$J$22,C24)&gt;0,"The Game",
IF(COUNTIF('Queen Discography'!$K$4:$K$22,C24)&gt;0,"Flash Gordon",
IF(COUNTIF('Queen Discography'!$L$4:$L$22,C24)&gt;0,"Hot Space",
IF(COUNTIF('Queen Discography'!$M$4:$M$22,C24)&gt;0,"The Works",
IF(COUNTIF('Queen Discography'!$N$4:$N$22,C24)&gt;0,"A Kind Of Magic",
IF(COUNTIF('Queen Discography'!$O$4:$O$22,C24)&gt;0,"The Miracle",
IF(COUNTIF('Queen Discography'!$P$4:$P$22,C24)&gt;0,"Innuendo",
IF(COUNTIF('Queen Discography'!$Q$4:$Q$22,C24)&gt;0,"Made In Heaven","NOT FOUND")))))))))))))))</f>
        <v>Jazz</v>
      </c>
      <c r="I24" s="1"/>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
    </row>
    <row r="25">
      <c r="A25" s="1"/>
      <c r="C25" s="66" t="str">
        <f t="array" ref="C25">INDEX('Queen MIDI'!$C$4:$C$66,MATCH(F25,'Queen MIDI'!$D$4:$D$66,0))</f>
        <v>Don't Stop Me Now</v>
      </c>
      <c r="D25" s="118">
        <v>0.0</v>
      </c>
      <c r="E25" s="118" t="s">
        <v>377</v>
      </c>
      <c r="F25" s="66" t="str">
        <f t="shared" si="2"/>
        <v>Don_t Stop Me Now.1.mid</v>
      </c>
      <c r="G25" s="120">
        <f>HLOOKUP(H25,'Queen Discography'!$C$2:$Q$3,2,FALSE)</f>
        <v>1978</v>
      </c>
      <c r="H25" s="66" t="str">
        <f>IF(COUNTIF('Queen Discography'!$C$4:$C$22,C25)&gt;0,"Queen",
IF(COUNTIF('Queen Discography'!$D$4:$D$22,C25)&gt;0,"Queen II",
IF(COUNTIF('Queen Discography'!$E$4:$E$22,C25)&gt;0,"Sheer Heart Attack",
IF(COUNTIF('Queen Discography'!$F$4:$F$22,C25)&gt;0,"A Night At The Opera",
IF(COUNTIF('Queen Discography'!$G$4:$G$22,C25)&gt;0,"A Day At The Races",
IF(COUNTIF('Queen Discography'!$H$4:$H$22,C25)&gt;0,"News Of The World",
IF(COUNTIF('Queen Discography'!$I$4:$I$22,C25)&gt;0,"Jazz",
IF(COUNTIF('Queen Discography'!$J$4:$J$22,C25)&gt;0,"The Game",
IF(COUNTIF('Queen Discography'!$K$4:$K$22,C25)&gt;0,"Flash Gordon",
IF(COUNTIF('Queen Discography'!$L$4:$L$22,C25)&gt;0,"Hot Space",
IF(COUNTIF('Queen Discography'!$M$4:$M$22,C25)&gt;0,"The Works",
IF(COUNTIF('Queen Discography'!$N$4:$N$22,C25)&gt;0,"A Kind Of Magic",
IF(COUNTIF('Queen Discography'!$O$4:$O$22,C25)&gt;0,"The Miracle",
IF(COUNTIF('Queen Discography'!$P$4:$P$22,C25)&gt;0,"Innuendo",
IF(COUNTIF('Queen Discography'!$Q$4:$Q$22,C25)&gt;0,"Made In Heaven","NOT FOUND")))))))))))))))</f>
        <v>Jazz</v>
      </c>
      <c r="I25" s="1"/>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
    </row>
    <row r="26">
      <c r="A26" s="1"/>
      <c r="C26" s="66" t="str">
        <f t="array" ref="C26">INDEX('Queen MIDI'!$C$4:$C$66,MATCH(F26,'Queen MIDI'!$D$4:$D$66,0))</f>
        <v>Fat Bottomed Girls</v>
      </c>
      <c r="D26" s="118">
        <v>0.0</v>
      </c>
      <c r="E26" s="118" t="s">
        <v>378</v>
      </c>
      <c r="F26" s="66" t="str">
        <f t="shared" si="2"/>
        <v>Fat Bottomed Girls.mid</v>
      </c>
      <c r="G26" s="125">
        <f>HLOOKUP(H26,'Queen Discography'!$C$2:$Q$3,2,FALSE)</f>
        <v>1978</v>
      </c>
      <c r="H26" s="66" t="str">
        <f>IF(COUNTIF('Queen Discography'!$C$4:$C$22,C26)&gt;0,"Queen",
IF(COUNTIF('Queen Discography'!$D$4:$D$22,C26)&gt;0,"Queen II",
IF(COUNTIF('Queen Discography'!$E$4:$E$22,C26)&gt;0,"Sheer Heart Attack",
IF(COUNTIF('Queen Discography'!$F$4:$F$22,C26)&gt;0,"A Night At The Opera",
IF(COUNTIF('Queen Discography'!$G$4:$G$22,C26)&gt;0,"A Day At The Races",
IF(COUNTIF('Queen Discography'!$H$4:$H$22,C26)&gt;0,"News Of The World",
IF(COUNTIF('Queen Discography'!$I$4:$I$22,C26)&gt;0,"Jazz",
IF(COUNTIF('Queen Discography'!$J$4:$J$22,C26)&gt;0,"The Game",
IF(COUNTIF('Queen Discography'!$K$4:$K$22,C26)&gt;0,"Flash Gordon",
IF(COUNTIF('Queen Discography'!$L$4:$L$22,C26)&gt;0,"Hot Space",
IF(COUNTIF('Queen Discography'!$M$4:$M$22,C26)&gt;0,"The Works",
IF(COUNTIF('Queen Discography'!$N$4:$N$22,C26)&gt;0,"A Kind Of Magic",
IF(COUNTIF('Queen Discography'!$O$4:$O$22,C26)&gt;0,"The Miracle",
IF(COUNTIF('Queen Discography'!$P$4:$P$22,C26)&gt;0,"Innuendo",
IF(COUNTIF('Queen Discography'!$Q$4:$Q$22,C26)&gt;0,"Made In Heaven","NOT FOUND")))))))))))))))</f>
        <v>Jazz</v>
      </c>
      <c r="I26" s="1"/>
      <c r="J26" s="113"/>
      <c r="K26" s="1"/>
      <c r="L26" s="1"/>
      <c r="M26" s="1"/>
      <c r="N26" s="87"/>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row>
    <row r="27">
      <c r="A27" s="1"/>
      <c r="C27" s="66" t="str">
        <f t="array" ref="C27">INDEX('Queen MIDI'!$C$4:$C$66,MATCH(F27,'Queen MIDI'!$D$4:$D$66,0))</f>
        <v>Fun It</v>
      </c>
      <c r="D27" s="118">
        <v>0.0</v>
      </c>
      <c r="E27" s="118" t="s">
        <v>379</v>
      </c>
      <c r="F27" s="66" t="str">
        <f t="shared" si="2"/>
        <v>Fun It.mid</v>
      </c>
      <c r="G27" s="121">
        <f>HLOOKUP(H27,'Queen Discography'!$C$2:$Q$3,2,FALSE)</f>
        <v>1978</v>
      </c>
      <c r="H27" s="66" t="str">
        <f>IF(COUNTIF('Queen Discography'!$C$4:$C$22,C27)&gt;0,"Queen",
IF(COUNTIF('Queen Discography'!$D$4:$D$22,C27)&gt;0,"Queen II",
IF(COUNTIF('Queen Discography'!$E$4:$E$22,C27)&gt;0,"Sheer Heart Attack",
IF(COUNTIF('Queen Discography'!$F$4:$F$22,C27)&gt;0,"A Night At The Opera",
IF(COUNTIF('Queen Discography'!$G$4:$G$22,C27)&gt;0,"A Day At The Races",
IF(COUNTIF('Queen Discography'!$H$4:$H$22,C27)&gt;0,"News Of The World",
IF(COUNTIF('Queen Discography'!$I$4:$I$22,C27)&gt;0,"Jazz",
IF(COUNTIF('Queen Discography'!$J$4:$J$22,C27)&gt;0,"The Game",
IF(COUNTIF('Queen Discography'!$K$4:$K$22,C27)&gt;0,"Flash Gordon",
IF(COUNTIF('Queen Discography'!$L$4:$L$22,C27)&gt;0,"Hot Space",
IF(COUNTIF('Queen Discography'!$M$4:$M$22,C27)&gt;0,"The Works",
IF(COUNTIF('Queen Discography'!$N$4:$N$22,C27)&gt;0,"A Kind Of Magic",
IF(COUNTIF('Queen Discography'!$O$4:$O$22,C27)&gt;0,"The Miracle",
IF(COUNTIF('Queen Discography'!$P$4:$P$22,C27)&gt;0,"Innuendo",
IF(COUNTIF('Queen Discography'!$Q$4:$Q$22,C27)&gt;0,"Made In Heaven","NOT FOUND")))))))))))))))</f>
        <v>Jazz</v>
      </c>
      <c r="I27" s="1"/>
      <c r="J27" s="1"/>
      <c r="K27" s="1"/>
      <c r="L27" s="1"/>
      <c r="M27" s="1"/>
      <c r="N27" s="87"/>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row>
    <row r="28">
      <c r="A28" s="1"/>
      <c r="C28" s="66" t="str">
        <f t="array" ref="C28">INDEX('Queen MIDI'!$C$4:$C$66,MATCH(F28,'Queen MIDI'!$D$4:$D$66,0))</f>
        <v>In Only Seven Days</v>
      </c>
      <c r="D28" s="118">
        <v>0.0</v>
      </c>
      <c r="E28" s="118" t="s">
        <v>380</v>
      </c>
      <c r="F28" s="66" t="str">
        <f t="shared" si="2"/>
        <v>In Only Seven Days.mid</v>
      </c>
      <c r="G28" s="126">
        <f>HLOOKUP(H28,'Queen Discography'!$C$2:$Q$3,2,FALSE)</f>
        <v>1978</v>
      </c>
      <c r="H28" s="66" t="str">
        <f>IF(COUNTIF('Queen Discography'!$C$4:$C$22,C28)&gt;0,"Queen",
IF(COUNTIF('Queen Discography'!$D$4:$D$22,C28)&gt;0,"Queen II",
IF(COUNTIF('Queen Discography'!$E$4:$E$22,C28)&gt;0,"Sheer Heart Attack",
IF(COUNTIF('Queen Discography'!$F$4:$F$22,C28)&gt;0,"A Night At The Opera",
IF(COUNTIF('Queen Discography'!$G$4:$G$22,C28)&gt;0,"A Day At The Races",
IF(COUNTIF('Queen Discography'!$H$4:$H$22,C28)&gt;0,"News Of The World",
IF(COUNTIF('Queen Discography'!$I$4:$I$22,C28)&gt;0,"Jazz",
IF(COUNTIF('Queen Discography'!$J$4:$J$22,C28)&gt;0,"The Game",
IF(COUNTIF('Queen Discography'!$K$4:$K$22,C28)&gt;0,"Flash Gordon",
IF(COUNTIF('Queen Discography'!$L$4:$L$22,C28)&gt;0,"Hot Space",
IF(COUNTIF('Queen Discography'!$M$4:$M$22,C28)&gt;0,"The Works",
IF(COUNTIF('Queen Discography'!$N$4:$N$22,C28)&gt;0,"A Kind Of Magic",
IF(COUNTIF('Queen Discography'!$O$4:$O$22,C28)&gt;0,"The Miracle",
IF(COUNTIF('Queen Discography'!$P$4:$P$22,C28)&gt;0,"Innuendo",
IF(COUNTIF('Queen Discography'!$Q$4:$Q$22,C28)&gt;0,"Made In Heaven","NOT FOUND")))))))))))))))</f>
        <v>Jazz</v>
      </c>
      <c r="I28" s="1"/>
      <c r="J28" s="1"/>
      <c r="K28" s="1"/>
      <c r="L28" s="1"/>
      <c r="M28" s="1"/>
      <c r="N28" s="87"/>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c r="A29" s="1"/>
      <c r="C29" s="66" t="str">
        <f t="array" ref="C29">INDEX('Queen MIDI'!$C$4:$C$66,MATCH(F29,'Queen MIDI'!$D$4:$D$66,0))</f>
        <v>Another One Bites The Dust</v>
      </c>
      <c r="D29" s="118">
        <v>0.0</v>
      </c>
      <c r="E29" s="118" t="s">
        <v>381</v>
      </c>
      <c r="F29" s="66" t="str">
        <f t="shared" si="2"/>
        <v>Another One Bites The Dust.1.mid</v>
      </c>
      <c r="G29" s="121">
        <f>HLOOKUP(H29,'Queen Discography'!$C$2:$Q$3,2,FALSE)</f>
        <v>1980</v>
      </c>
      <c r="H29" s="66" t="str">
        <f>IF(COUNTIF('Queen Discography'!$C$4:$C$22,C29)&gt;0,"Queen",
IF(COUNTIF('Queen Discography'!$D$4:$D$22,C29)&gt;0,"Queen II",
IF(COUNTIF('Queen Discography'!$E$4:$E$22,C29)&gt;0,"Sheer Heart Attack",
IF(COUNTIF('Queen Discography'!$F$4:$F$22,C29)&gt;0,"A Night At The Opera",
IF(COUNTIF('Queen Discography'!$G$4:$G$22,C29)&gt;0,"A Day At The Races",
IF(COUNTIF('Queen Discography'!$H$4:$H$22,C29)&gt;0,"News Of The World",
IF(COUNTIF('Queen Discography'!$I$4:$I$22,C29)&gt;0,"Jazz",
IF(COUNTIF('Queen Discography'!$J$4:$J$22,C29)&gt;0,"The Game",
IF(COUNTIF('Queen Discography'!$K$4:$K$22,C29)&gt;0,"Flash Gordon",
IF(COUNTIF('Queen Discography'!$L$4:$L$22,C29)&gt;0,"Hot Space",
IF(COUNTIF('Queen Discography'!$M$4:$M$22,C29)&gt;0,"The Works",
IF(COUNTIF('Queen Discography'!$N$4:$N$22,C29)&gt;0,"A Kind Of Magic",
IF(COUNTIF('Queen Discography'!$O$4:$O$22,C29)&gt;0,"The Miracle",
IF(COUNTIF('Queen Discography'!$P$4:$P$22,C29)&gt;0,"Innuendo",
IF(COUNTIF('Queen Discography'!$Q$4:$Q$22,C29)&gt;0,"Made In Heaven","NOT FOUND")))))))))))))))</f>
        <v>The Game</v>
      </c>
      <c r="I29" s="1"/>
      <c r="J29" s="1"/>
      <c r="K29" s="1"/>
      <c r="L29" s="1"/>
      <c r="M29" s="1"/>
      <c r="N29" s="87"/>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row>
    <row r="30">
      <c r="A30" s="1"/>
      <c r="C30" s="66" t="str">
        <f t="array" ref="C30">INDEX('Queen MIDI'!$C$4:$C$66,MATCH(F30,'Queen MIDI'!$D$4:$D$66,0))</f>
        <v>Crazy Little Thing Called Love</v>
      </c>
      <c r="D30" s="118">
        <v>0.0</v>
      </c>
      <c r="E30" s="118" t="s">
        <v>382</v>
      </c>
      <c r="F30" s="66" t="str">
        <f t="shared" si="2"/>
        <v>Crazy Little Thing Called Love.2.mid</v>
      </c>
      <c r="G30" s="120">
        <f>HLOOKUP(H30,'Queen Discography'!$C$2:$Q$3,2,FALSE)</f>
        <v>1980</v>
      </c>
      <c r="H30" s="66" t="str">
        <f>IF(COUNTIF('Queen Discography'!$C$4:$C$22,C30)&gt;0,"Queen",
IF(COUNTIF('Queen Discography'!$D$4:$D$22,C30)&gt;0,"Queen II",
IF(COUNTIF('Queen Discography'!$E$4:$E$22,C30)&gt;0,"Sheer Heart Attack",
IF(COUNTIF('Queen Discography'!$F$4:$F$22,C30)&gt;0,"A Night At The Opera",
IF(COUNTIF('Queen Discography'!$G$4:$G$22,C30)&gt;0,"A Day At The Races",
IF(COUNTIF('Queen Discography'!$H$4:$H$22,C30)&gt;0,"News Of The World",
IF(COUNTIF('Queen Discography'!$I$4:$I$22,C30)&gt;0,"Jazz",
IF(COUNTIF('Queen Discography'!$J$4:$J$22,C30)&gt;0,"The Game",
IF(COUNTIF('Queen Discography'!$K$4:$K$22,C30)&gt;0,"Flash Gordon",
IF(COUNTIF('Queen Discography'!$L$4:$L$22,C30)&gt;0,"Hot Space",
IF(COUNTIF('Queen Discography'!$M$4:$M$22,C30)&gt;0,"The Works",
IF(COUNTIF('Queen Discography'!$N$4:$N$22,C30)&gt;0,"A Kind Of Magic",
IF(COUNTIF('Queen Discography'!$O$4:$O$22,C30)&gt;0,"The Miracle",
IF(COUNTIF('Queen Discography'!$P$4:$P$22,C30)&gt;0,"Innuendo",
IF(COUNTIF('Queen Discography'!$Q$4:$Q$22,C30)&gt;0,"Made In Heaven","NOT FOUND")))))))))))))))</f>
        <v>The Game</v>
      </c>
      <c r="I30" s="1"/>
      <c r="J30" s="1"/>
      <c r="K30" s="1"/>
      <c r="L30" s="1"/>
      <c r="M30" s="1"/>
      <c r="N30" s="87"/>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row>
    <row r="31">
      <c r="A31" s="1"/>
      <c r="C31" s="66" t="str">
        <f t="array" ref="C31">INDEX('Queen MIDI'!$C$4:$C$66,MATCH(F31,'Queen MIDI'!$D$4:$D$66,0))</f>
        <v>Play the Game</v>
      </c>
      <c r="D31" s="118">
        <v>0.0</v>
      </c>
      <c r="E31" s="118" t="s">
        <v>383</v>
      </c>
      <c r="F31" s="66" t="str">
        <f t="shared" si="2"/>
        <v>Play the Game.1.mid</v>
      </c>
      <c r="G31" s="125">
        <f>HLOOKUP(H31,'Queen Discography'!$C$2:$Q$3,2,FALSE)</f>
        <v>1980</v>
      </c>
      <c r="H31" s="66" t="str">
        <f>IF(COUNTIF('Queen Discography'!$C$4:$C$22,C31)&gt;0,"Queen",
IF(COUNTIF('Queen Discography'!$D$4:$D$22,C31)&gt;0,"Queen II",
IF(COUNTIF('Queen Discography'!$E$4:$E$22,C31)&gt;0,"Sheer Heart Attack",
IF(COUNTIF('Queen Discography'!$F$4:$F$22,C31)&gt;0,"A Night At The Opera",
IF(COUNTIF('Queen Discography'!$G$4:$G$22,C31)&gt;0,"A Day At The Races",
IF(COUNTIF('Queen Discography'!$H$4:$H$22,C31)&gt;0,"News Of The World",
IF(COUNTIF('Queen Discography'!$I$4:$I$22,C31)&gt;0,"Jazz",
IF(COUNTIF('Queen Discography'!$J$4:$J$22,C31)&gt;0,"The Game",
IF(COUNTIF('Queen Discography'!$K$4:$K$22,C31)&gt;0,"Flash Gordon",
IF(COUNTIF('Queen Discography'!$L$4:$L$22,C31)&gt;0,"Hot Space",
IF(COUNTIF('Queen Discography'!$M$4:$M$22,C31)&gt;0,"The Works",
IF(COUNTIF('Queen Discography'!$N$4:$N$22,C31)&gt;0,"A Kind Of Magic",
IF(COUNTIF('Queen Discography'!$O$4:$O$22,C31)&gt;0,"The Miracle",
IF(COUNTIF('Queen Discography'!$P$4:$P$22,C31)&gt;0,"Innuendo",
IF(COUNTIF('Queen Discography'!$Q$4:$Q$22,C31)&gt;0,"Made In Heaven","NOT FOUND")))))))))))))))</f>
        <v>The Game</v>
      </c>
      <c r="I31" s="1"/>
      <c r="J31" s="1"/>
      <c r="K31" s="1"/>
      <c r="L31" s="1"/>
      <c r="M31" s="1"/>
      <c r="N31" s="87"/>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c r="A32" s="1"/>
      <c r="C32" s="66" t="str">
        <f t="array" ref="C32">INDEX('Queen MIDI'!$C$4:$C$66,MATCH(F32,'Queen MIDI'!$D$4:$D$66,0))</f>
        <v>Save Me</v>
      </c>
      <c r="D32" s="118">
        <v>0.0</v>
      </c>
      <c r="E32" s="118" t="s">
        <v>384</v>
      </c>
      <c r="F32" s="66" t="str">
        <f t="shared" si="2"/>
        <v>Save Me.2.mid</v>
      </c>
      <c r="G32" s="125">
        <f>HLOOKUP(H32,'Queen Discography'!$C$2:$Q$3,2,FALSE)</f>
        <v>1980</v>
      </c>
      <c r="H32" s="66" t="str">
        <f>IF(COUNTIF('Queen Discography'!$C$4:$C$22,C32)&gt;0,"Queen",
IF(COUNTIF('Queen Discography'!$D$4:$D$22,C32)&gt;0,"Queen II",
IF(COUNTIF('Queen Discography'!$E$4:$E$22,C32)&gt;0,"Sheer Heart Attack",
IF(COUNTIF('Queen Discography'!$F$4:$F$22,C32)&gt;0,"A Night At The Opera",
IF(COUNTIF('Queen Discography'!$G$4:$G$22,C32)&gt;0,"A Day At The Races",
IF(COUNTIF('Queen Discography'!$H$4:$H$22,C32)&gt;0,"News Of The World",
IF(COUNTIF('Queen Discography'!$I$4:$I$22,C32)&gt;0,"Jazz",
IF(COUNTIF('Queen Discography'!$J$4:$J$22,C32)&gt;0,"The Game",
IF(COUNTIF('Queen Discography'!$K$4:$K$22,C32)&gt;0,"Flash Gordon",
IF(COUNTIF('Queen Discography'!$L$4:$L$22,C32)&gt;0,"Hot Space",
IF(COUNTIF('Queen Discography'!$M$4:$M$22,C32)&gt;0,"The Works",
IF(COUNTIF('Queen Discography'!$N$4:$N$22,C32)&gt;0,"A Kind Of Magic",
IF(COUNTIF('Queen Discography'!$O$4:$O$22,C32)&gt;0,"The Miracle",
IF(COUNTIF('Queen Discography'!$P$4:$P$22,C32)&gt;0,"Innuendo",
IF(COUNTIF('Queen Discography'!$Q$4:$Q$22,C32)&gt;0,"Made In Heaven","NOT FOUND")))))))))))))))</f>
        <v>The Game</v>
      </c>
      <c r="I32" s="1"/>
      <c r="J32" s="1"/>
      <c r="K32" s="1"/>
      <c r="L32" s="1"/>
      <c r="M32" s="1"/>
      <c r="N32" s="87"/>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row>
    <row r="33">
      <c r="A33" s="1"/>
      <c r="C33" s="66" t="str">
        <f t="array" ref="C33">INDEX('Queen MIDI'!$C$4:$C$66,MATCH(F33,'Queen MIDI'!$D$4:$D$66,0))</f>
        <v>Under Pressure</v>
      </c>
      <c r="D33" s="118">
        <v>0.0</v>
      </c>
      <c r="E33" s="118" t="s">
        <v>385</v>
      </c>
      <c r="F33" s="66" t="str">
        <f t="shared" si="2"/>
        <v>Under Pressure.7.mid</v>
      </c>
      <c r="G33" s="124">
        <f>HLOOKUP(H33,'Queen Discography'!$C$2:$Q$3,2,FALSE)</f>
        <v>1982</v>
      </c>
      <c r="H33" s="66" t="str">
        <f>IF(COUNTIF('Queen Discography'!$C$4:$C$22,C33)&gt;0,"Queen",
IF(COUNTIF('Queen Discography'!$D$4:$D$22,C33)&gt;0,"Queen II",
IF(COUNTIF('Queen Discography'!$E$4:$E$22,C33)&gt;0,"Sheer Heart Attack",
IF(COUNTIF('Queen Discography'!$F$4:$F$22,C33)&gt;0,"A Night At The Opera",
IF(COUNTIF('Queen Discography'!$G$4:$G$22,C33)&gt;0,"A Day At The Races",
IF(COUNTIF('Queen Discography'!$H$4:$H$22,C33)&gt;0,"News Of The World",
IF(COUNTIF('Queen Discography'!$I$4:$I$22,C33)&gt;0,"Jazz",
IF(COUNTIF('Queen Discography'!$J$4:$J$22,C33)&gt;0,"The Game",
IF(COUNTIF('Queen Discography'!$K$4:$K$22,C33)&gt;0,"Flash Gordon",
IF(COUNTIF('Queen Discography'!$L$4:$L$22,C33)&gt;0,"Hot Space",
IF(COUNTIF('Queen Discography'!$M$4:$M$22,C33)&gt;0,"The Works",
IF(COUNTIF('Queen Discography'!$N$4:$N$22,C33)&gt;0,"A Kind Of Magic",
IF(COUNTIF('Queen Discography'!$O$4:$O$22,C33)&gt;0,"The Miracle",
IF(COUNTIF('Queen Discography'!$P$4:$P$22,C33)&gt;0,"Innuendo",
IF(COUNTIF('Queen Discography'!$Q$4:$Q$22,C33)&gt;0,"Made In Heaven","NOT FOUND")))))))))))))))</f>
        <v>Hot Space</v>
      </c>
      <c r="I33" s="1"/>
      <c r="J33" s="1"/>
      <c r="K33" s="1"/>
      <c r="L33" s="1"/>
      <c r="M33" s="1"/>
      <c r="N33" s="87"/>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row>
    <row r="34">
      <c r="A34" s="1"/>
      <c r="C34" s="66" t="str">
        <f t="array" ref="C34">INDEX('Queen MIDI'!$C$4:$C$66,MATCH(F34,'Queen MIDI'!$D$4:$D$66,0))</f>
        <v>Hammer to Fall</v>
      </c>
      <c r="D34" s="118">
        <v>0.0</v>
      </c>
      <c r="E34" s="118" t="s">
        <v>386</v>
      </c>
      <c r="F34" s="66" t="str">
        <f t="shared" si="2"/>
        <v>Hammer to Fall.mid</v>
      </c>
      <c r="G34" s="123">
        <f>HLOOKUP(H34,'Queen Discography'!$C$2:$Q$3,2,FALSE)</f>
        <v>1984</v>
      </c>
      <c r="H34" s="66" t="str">
        <f>IF(COUNTIF('Queen Discography'!$C$4:$C$22,C34)&gt;0,"Queen",
IF(COUNTIF('Queen Discography'!$D$4:$D$22,C34)&gt;0,"Queen II",
IF(COUNTIF('Queen Discography'!$E$4:$E$22,C34)&gt;0,"Sheer Heart Attack",
IF(COUNTIF('Queen Discography'!$F$4:$F$22,C34)&gt;0,"A Night At The Opera",
IF(COUNTIF('Queen Discography'!$G$4:$G$22,C34)&gt;0,"A Day At The Races",
IF(COUNTIF('Queen Discography'!$H$4:$H$22,C34)&gt;0,"News Of The World",
IF(COUNTIF('Queen Discography'!$I$4:$I$22,C34)&gt;0,"Jazz",
IF(COUNTIF('Queen Discography'!$J$4:$J$22,C34)&gt;0,"The Game",
IF(COUNTIF('Queen Discography'!$K$4:$K$22,C34)&gt;0,"Flash Gordon",
IF(COUNTIF('Queen Discography'!$L$4:$L$22,C34)&gt;0,"Hot Space",
IF(COUNTIF('Queen Discography'!$M$4:$M$22,C34)&gt;0,"The Works",
IF(COUNTIF('Queen Discography'!$N$4:$N$22,C34)&gt;0,"A Kind Of Magic",
IF(COUNTIF('Queen Discography'!$O$4:$O$22,C34)&gt;0,"The Miracle",
IF(COUNTIF('Queen Discography'!$P$4:$P$22,C34)&gt;0,"Innuendo",
IF(COUNTIF('Queen Discography'!$Q$4:$Q$22,C34)&gt;0,"Made In Heaven","NOT FOUND")))))))))))))))</f>
        <v>The Works</v>
      </c>
      <c r="I34" s="1"/>
      <c r="J34" s="1"/>
      <c r="K34" s="1"/>
      <c r="L34" s="1"/>
      <c r="M34" s="1"/>
      <c r="N34" s="87"/>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row>
    <row r="35">
      <c r="A35" s="1"/>
      <c r="C35" s="66" t="str">
        <f t="array" ref="C35">INDEX('Queen MIDI'!$C$4:$C$66,MATCH(F35,'Queen MIDI'!$D$4:$D$66,0))</f>
        <v>I Want to Break Free</v>
      </c>
      <c r="D35" s="118">
        <v>0.0</v>
      </c>
      <c r="E35" s="118" t="s">
        <v>387</v>
      </c>
      <c r="F35" s="66" t="str">
        <f t="shared" si="2"/>
        <v>I Want to Break Free.3.mid</v>
      </c>
      <c r="G35" s="119">
        <f>HLOOKUP(H35,'Queen Discography'!$C$2:$Q$3,2,FALSE)</f>
        <v>1984</v>
      </c>
      <c r="H35" s="66" t="str">
        <f>IF(COUNTIF('Queen Discography'!$C$4:$C$22,C35)&gt;0,"Queen",
IF(COUNTIF('Queen Discography'!$D$4:$D$22,C35)&gt;0,"Queen II",
IF(COUNTIF('Queen Discography'!$E$4:$E$22,C35)&gt;0,"Sheer Heart Attack",
IF(COUNTIF('Queen Discography'!$F$4:$F$22,C35)&gt;0,"A Night At The Opera",
IF(COUNTIF('Queen Discography'!$G$4:$G$22,C35)&gt;0,"A Day At The Races",
IF(COUNTIF('Queen Discography'!$H$4:$H$22,C35)&gt;0,"News Of The World",
IF(COUNTIF('Queen Discography'!$I$4:$I$22,C35)&gt;0,"Jazz",
IF(COUNTIF('Queen Discography'!$J$4:$J$22,C35)&gt;0,"The Game",
IF(COUNTIF('Queen Discography'!$K$4:$K$22,C35)&gt;0,"Flash Gordon",
IF(COUNTIF('Queen Discography'!$L$4:$L$22,C35)&gt;0,"Hot Space",
IF(COUNTIF('Queen Discography'!$M$4:$M$22,C35)&gt;0,"The Works",
IF(COUNTIF('Queen Discography'!$N$4:$N$22,C35)&gt;0,"A Kind Of Magic",
IF(COUNTIF('Queen Discography'!$O$4:$O$22,C35)&gt;0,"The Miracle",
IF(COUNTIF('Queen Discography'!$P$4:$P$22,C35)&gt;0,"Innuendo",
IF(COUNTIF('Queen Discography'!$Q$4:$Q$22,C35)&gt;0,"Made In Heaven","NOT FOUND")))))))))))))))</f>
        <v>The Works</v>
      </c>
      <c r="I35" s="1"/>
      <c r="J35" s="1"/>
      <c r="K35" s="1"/>
      <c r="L35" s="1"/>
      <c r="M35" s="1"/>
      <c r="N35" s="87"/>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row>
    <row r="36">
      <c r="A36" s="1"/>
      <c r="C36" s="66" t="str">
        <f t="array" ref="C36">INDEX('Queen MIDI'!$C$4:$C$66,MATCH(F36,'Queen MIDI'!$D$4:$D$66,0))</f>
        <v>It's a Hard Life</v>
      </c>
      <c r="D36" s="118">
        <v>0.0</v>
      </c>
      <c r="E36" s="118" t="s">
        <v>388</v>
      </c>
      <c r="F36" s="66" t="str">
        <f t="shared" si="2"/>
        <v>It_s a Hard Life.mid</v>
      </c>
      <c r="G36" s="125">
        <f>HLOOKUP(H36,'Queen Discography'!$C$2:$Q$3,2,FALSE)</f>
        <v>1984</v>
      </c>
      <c r="H36" s="66" t="str">
        <f>IF(COUNTIF('Queen Discography'!$C$4:$C$22,C36)&gt;0,"Queen",
IF(COUNTIF('Queen Discography'!$D$4:$D$22,C36)&gt;0,"Queen II",
IF(COUNTIF('Queen Discography'!$E$4:$E$22,C36)&gt;0,"Sheer Heart Attack",
IF(COUNTIF('Queen Discography'!$F$4:$F$22,C36)&gt;0,"A Night At The Opera",
IF(COUNTIF('Queen Discography'!$G$4:$G$22,C36)&gt;0,"A Day At The Races",
IF(COUNTIF('Queen Discography'!$H$4:$H$22,C36)&gt;0,"News Of The World",
IF(COUNTIF('Queen Discography'!$I$4:$I$22,C36)&gt;0,"Jazz",
IF(COUNTIF('Queen Discography'!$J$4:$J$22,C36)&gt;0,"The Game",
IF(COUNTIF('Queen Discography'!$K$4:$K$22,C36)&gt;0,"Flash Gordon",
IF(COUNTIF('Queen Discography'!$L$4:$L$22,C36)&gt;0,"Hot Space",
IF(COUNTIF('Queen Discography'!$M$4:$M$22,C36)&gt;0,"The Works",
IF(COUNTIF('Queen Discography'!$N$4:$N$22,C36)&gt;0,"A Kind Of Magic",
IF(COUNTIF('Queen Discography'!$O$4:$O$22,C36)&gt;0,"The Miracle",
IF(COUNTIF('Queen Discography'!$P$4:$P$22,C36)&gt;0,"Innuendo",
IF(COUNTIF('Queen Discography'!$Q$4:$Q$22,C36)&gt;0,"Made In Heaven","NOT FOUND")))))))))))))))</f>
        <v>The Works</v>
      </c>
      <c r="I36" s="1"/>
      <c r="J36" s="1"/>
      <c r="K36" s="1"/>
      <c r="L36" s="1"/>
      <c r="M36" s="87"/>
      <c r="N36" s="87"/>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row>
    <row r="37">
      <c r="A37" s="1"/>
      <c r="C37" s="66" t="str">
        <f t="array" ref="C37">INDEX('Queen MIDI'!$C$4:$C$66,MATCH(F37,'Queen MIDI'!$D$4:$D$66,0))</f>
        <v>Radio Ga Ga</v>
      </c>
      <c r="D37" s="118">
        <v>0.0</v>
      </c>
      <c r="E37" s="118" t="s">
        <v>389</v>
      </c>
      <c r="F37" s="66" t="str">
        <f t="shared" si="2"/>
        <v>Radio Ga Ga.5.mid</v>
      </c>
      <c r="G37" s="131">
        <f>HLOOKUP(H37,'Queen Discography'!$C$2:$Q$3,2,FALSE)</f>
        <v>1984</v>
      </c>
      <c r="H37" s="66" t="str">
        <f>IF(COUNTIF('Queen Discography'!$C$4:$C$22,C37)&gt;0,"Queen",
IF(COUNTIF('Queen Discography'!$D$4:$D$22,C37)&gt;0,"Queen II",
IF(COUNTIF('Queen Discography'!$E$4:$E$22,C37)&gt;0,"Sheer Heart Attack",
IF(COUNTIF('Queen Discography'!$F$4:$F$22,C37)&gt;0,"A Night At The Opera",
IF(COUNTIF('Queen Discography'!$G$4:$G$22,C37)&gt;0,"A Day At The Races",
IF(COUNTIF('Queen Discography'!$H$4:$H$22,C37)&gt;0,"News Of The World",
IF(COUNTIF('Queen Discography'!$I$4:$I$22,C37)&gt;0,"Jazz",
IF(COUNTIF('Queen Discography'!$J$4:$J$22,C37)&gt;0,"The Game",
IF(COUNTIF('Queen Discography'!$K$4:$K$22,C37)&gt;0,"Flash Gordon",
IF(COUNTIF('Queen Discography'!$L$4:$L$22,C37)&gt;0,"Hot Space",
IF(COUNTIF('Queen Discography'!$M$4:$M$22,C37)&gt;0,"The Works",
IF(COUNTIF('Queen Discography'!$N$4:$N$22,C37)&gt;0,"A Kind Of Magic",
IF(COUNTIF('Queen Discography'!$O$4:$O$22,C37)&gt;0,"The Miracle",
IF(COUNTIF('Queen Discography'!$P$4:$P$22,C37)&gt;0,"Innuendo",
IF(COUNTIF('Queen Discography'!$Q$4:$Q$22,C37)&gt;0,"Made In Heaven","NOT FOUND")))))))))))))))</f>
        <v>The Works</v>
      </c>
      <c r="I37" s="1"/>
      <c r="J37" s="1"/>
      <c r="K37" s="1"/>
      <c r="L37" s="1"/>
      <c r="M37" s="87"/>
      <c r="N37" s="87"/>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row>
    <row r="38">
      <c r="A38" s="1"/>
      <c r="C38" s="66" t="str">
        <f t="array" ref="C38">INDEX('Queen MIDI'!$C$4:$C$66,MATCH(F38,'Queen MIDI'!$D$4:$D$66,0))</f>
        <v>A Kind of Magic</v>
      </c>
      <c r="D38" s="118">
        <v>0.0</v>
      </c>
      <c r="E38" s="118" t="s">
        <v>390</v>
      </c>
      <c r="F38" s="66" t="str">
        <f t="shared" si="2"/>
        <v>A Kind of Magic.1.mid</v>
      </c>
      <c r="G38" s="120">
        <f>HLOOKUP(H38,'Queen Discography'!$C$2:$Q$3,2,FALSE)</f>
        <v>1986</v>
      </c>
      <c r="H38" s="66" t="str">
        <f>IF(COUNTIF('Queen Discography'!$C$4:$C$22,C38)&gt;0,"Queen",
IF(COUNTIF('Queen Discography'!$D$4:$D$22,C38)&gt;0,"Queen II",
IF(COUNTIF('Queen Discography'!$E$4:$E$22,C38)&gt;0,"Sheer Heart Attack",
IF(COUNTIF('Queen Discography'!$F$4:$F$22,C38)&gt;0,"A Night At The Opera",
IF(COUNTIF('Queen Discography'!$G$4:$G$22,C38)&gt;0,"A Day At The Races",
IF(COUNTIF('Queen Discography'!$H$4:$H$22,C38)&gt;0,"News Of The World",
IF(COUNTIF('Queen Discography'!$I$4:$I$22,C38)&gt;0,"Jazz",
IF(COUNTIF('Queen Discography'!$J$4:$J$22,C38)&gt;0,"The Game",
IF(COUNTIF('Queen Discography'!$K$4:$K$22,C38)&gt;0,"Flash Gordon",
IF(COUNTIF('Queen Discography'!$L$4:$L$22,C38)&gt;0,"Hot Space",
IF(COUNTIF('Queen Discography'!$M$4:$M$22,C38)&gt;0,"The Works",
IF(COUNTIF('Queen Discography'!$N$4:$N$22,C38)&gt;0,"A Kind Of Magic",
IF(COUNTIF('Queen Discography'!$O$4:$O$22,C38)&gt;0,"The Miracle",
IF(COUNTIF('Queen Discography'!$P$4:$P$22,C38)&gt;0,"Innuendo",
IF(COUNTIF('Queen Discography'!$Q$4:$Q$22,C38)&gt;0,"Made In Heaven","NOT FOUND")))))))))))))))</f>
        <v>A Kind Of Magic</v>
      </c>
      <c r="I38" s="1"/>
      <c r="J38" s="1"/>
      <c r="K38" s="1"/>
      <c r="L38" s="1"/>
      <c r="M38" s="87"/>
      <c r="N38" s="87"/>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c r="A39" s="1"/>
      <c r="C39" s="66" t="str">
        <f t="array" ref="C39">INDEX('Queen MIDI'!$C$4:$C$66,MATCH(F39,'Queen MIDI'!$D$4:$D$66,0))</f>
        <v>Friends Will Be Friends</v>
      </c>
      <c r="D39" s="118">
        <v>0.0</v>
      </c>
      <c r="E39" s="118" t="s">
        <v>391</v>
      </c>
      <c r="F39" s="66" t="str">
        <f t="shared" si="2"/>
        <v>Friends Will Be Friends.2.mid</v>
      </c>
      <c r="G39" s="126">
        <f>HLOOKUP(H39,'Queen Discography'!$C$2:$Q$3,2,FALSE)</f>
        <v>1986</v>
      </c>
      <c r="H39" s="66" t="str">
        <f>IF(COUNTIF('Queen Discography'!$C$4:$C$22,C39)&gt;0,"Queen",
IF(COUNTIF('Queen Discography'!$D$4:$D$22,C39)&gt;0,"Queen II",
IF(COUNTIF('Queen Discography'!$E$4:$E$22,C39)&gt;0,"Sheer Heart Attack",
IF(COUNTIF('Queen Discography'!$F$4:$F$22,C39)&gt;0,"A Night At The Opera",
IF(COUNTIF('Queen Discography'!$G$4:$G$22,C39)&gt;0,"A Day At The Races",
IF(COUNTIF('Queen Discography'!$H$4:$H$22,C39)&gt;0,"News Of The World",
IF(COUNTIF('Queen Discography'!$I$4:$I$22,C39)&gt;0,"Jazz",
IF(COUNTIF('Queen Discography'!$J$4:$J$22,C39)&gt;0,"The Game",
IF(COUNTIF('Queen Discography'!$K$4:$K$22,C39)&gt;0,"Flash Gordon",
IF(COUNTIF('Queen Discography'!$L$4:$L$22,C39)&gt;0,"Hot Space",
IF(COUNTIF('Queen Discography'!$M$4:$M$22,C39)&gt;0,"The Works",
IF(COUNTIF('Queen Discography'!$N$4:$N$22,C39)&gt;0,"A Kind Of Magic",
IF(COUNTIF('Queen Discography'!$O$4:$O$22,C39)&gt;0,"The Miracle",
IF(COUNTIF('Queen Discography'!$P$4:$P$22,C39)&gt;0,"Innuendo",
IF(COUNTIF('Queen Discography'!$Q$4:$Q$22,C39)&gt;0,"Made In Heaven","NOT FOUND")))))))))))))))</f>
        <v>A Kind Of Magic</v>
      </c>
      <c r="I39" s="1"/>
      <c r="J39" s="1"/>
      <c r="K39" s="1"/>
      <c r="L39" s="1"/>
      <c r="M39" s="87"/>
      <c r="N39" s="87"/>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row>
    <row r="40">
      <c r="A40" s="1"/>
      <c r="C40" s="66" t="str">
        <f t="array" ref="C40">INDEX('Queen MIDI'!$C$4:$C$66,MATCH(F40,'Queen MIDI'!$D$4:$D$66,0))</f>
        <v>One Year of Love</v>
      </c>
      <c r="D40" s="118">
        <v>0.0</v>
      </c>
      <c r="E40" s="118" t="s">
        <v>392</v>
      </c>
      <c r="F40" s="66" t="str">
        <f t="shared" si="2"/>
        <v>One Year of Love.mid</v>
      </c>
      <c r="G40" s="127">
        <f>HLOOKUP(H40,'Queen Discography'!$C$2:$Q$3,2,FALSE)</f>
        <v>1986</v>
      </c>
      <c r="H40" s="66" t="str">
        <f>IF(COUNTIF('Queen Discography'!$C$4:$C$22,C40)&gt;0,"Queen",
IF(COUNTIF('Queen Discography'!$D$4:$D$22,C40)&gt;0,"Queen II",
IF(COUNTIF('Queen Discography'!$E$4:$E$22,C40)&gt;0,"Sheer Heart Attack",
IF(COUNTIF('Queen Discography'!$F$4:$F$22,C40)&gt;0,"A Night At The Opera",
IF(COUNTIF('Queen Discography'!$G$4:$G$22,C40)&gt;0,"A Day At The Races",
IF(COUNTIF('Queen Discography'!$H$4:$H$22,C40)&gt;0,"News Of The World",
IF(COUNTIF('Queen Discography'!$I$4:$I$22,C40)&gt;0,"Jazz",
IF(COUNTIF('Queen Discography'!$J$4:$J$22,C40)&gt;0,"The Game",
IF(COUNTIF('Queen Discography'!$K$4:$K$22,C40)&gt;0,"Flash Gordon",
IF(COUNTIF('Queen Discography'!$L$4:$L$22,C40)&gt;0,"Hot Space",
IF(COUNTIF('Queen Discography'!$M$4:$M$22,C40)&gt;0,"The Works",
IF(COUNTIF('Queen Discography'!$N$4:$N$22,C40)&gt;0,"A Kind Of Magic",
IF(COUNTIF('Queen Discography'!$O$4:$O$22,C40)&gt;0,"The Miracle",
IF(COUNTIF('Queen Discography'!$P$4:$P$22,C40)&gt;0,"Innuendo",
IF(COUNTIF('Queen Discography'!$Q$4:$Q$22,C40)&gt;0,"Made In Heaven","NOT FOUND")))))))))))))))</f>
        <v>A Kind Of Magic</v>
      </c>
      <c r="I40" s="1"/>
      <c r="J40" s="1"/>
      <c r="K40" s="1"/>
      <c r="L40" s="1"/>
      <c r="M40" s="87"/>
      <c r="N40" s="87"/>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row>
    <row r="41">
      <c r="A41" s="1"/>
      <c r="C41" s="66" t="str">
        <f t="array" ref="C41">INDEX('Queen MIDI'!$C$4:$C$66,MATCH(F41,'Queen MIDI'!$D$4:$D$66,0))</f>
        <v>Princes of the Universe</v>
      </c>
      <c r="D41" s="118">
        <v>0.0</v>
      </c>
      <c r="E41" s="118" t="s">
        <v>393</v>
      </c>
      <c r="F41" s="66" t="str">
        <f t="shared" si="2"/>
        <v>Princes of the Universe.1.mid</v>
      </c>
      <c r="G41" s="124">
        <f>HLOOKUP(H41,'Queen Discography'!$C$2:$Q$3,2,FALSE)</f>
        <v>1986</v>
      </c>
      <c r="H41" s="66" t="str">
        <f>IF(COUNTIF('Queen Discography'!$C$4:$C$22,C41)&gt;0,"Queen",
IF(COUNTIF('Queen Discography'!$D$4:$D$22,C41)&gt;0,"Queen II",
IF(COUNTIF('Queen Discography'!$E$4:$E$22,C41)&gt;0,"Sheer Heart Attack",
IF(COUNTIF('Queen Discography'!$F$4:$F$22,C41)&gt;0,"A Night At The Opera",
IF(COUNTIF('Queen Discography'!$G$4:$G$22,C41)&gt;0,"A Day At The Races",
IF(COUNTIF('Queen Discography'!$H$4:$H$22,C41)&gt;0,"News Of The World",
IF(COUNTIF('Queen Discography'!$I$4:$I$22,C41)&gt;0,"Jazz",
IF(COUNTIF('Queen Discography'!$J$4:$J$22,C41)&gt;0,"The Game",
IF(COUNTIF('Queen Discography'!$K$4:$K$22,C41)&gt;0,"Flash Gordon",
IF(COUNTIF('Queen Discography'!$L$4:$L$22,C41)&gt;0,"Hot Space",
IF(COUNTIF('Queen Discography'!$M$4:$M$22,C41)&gt;0,"The Works",
IF(COUNTIF('Queen Discography'!$N$4:$N$22,C41)&gt;0,"A Kind Of Magic",
IF(COUNTIF('Queen Discography'!$O$4:$O$22,C41)&gt;0,"The Miracle",
IF(COUNTIF('Queen Discography'!$P$4:$P$22,C41)&gt;0,"Innuendo",
IF(COUNTIF('Queen Discography'!$Q$4:$Q$22,C41)&gt;0,"Made In Heaven","NOT FOUND")))))))))))))))</f>
        <v>A Kind Of Magic</v>
      </c>
      <c r="I41" s="1"/>
      <c r="J41" s="1"/>
      <c r="K41" s="1"/>
      <c r="L41" s="1"/>
      <c r="M41" s="87"/>
      <c r="N41" s="87"/>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row>
    <row r="42">
      <c r="A42" s="1"/>
      <c r="C42" s="66" t="str">
        <f t="array" ref="C42">INDEX('Queen MIDI'!$C$4:$C$66,MATCH(F42,'Queen MIDI'!$D$4:$D$66,0))</f>
        <v>Who Wants to Live Forever</v>
      </c>
      <c r="D42" s="118">
        <v>0.0</v>
      </c>
      <c r="E42" s="118" t="s">
        <v>394</v>
      </c>
      <c r="F42" s="66" t="str">
        <f t="shared" si="2"/>
        <v>Who Wants to Live Forever.4.mid</v>
      </c>
      <c r="G42" s="120">
        <f>HLOOKUP(H42,'Queen Discography'!$C$2:$Q$3,2,FALSE)</f>
        <v>1986</v>
      </c>
      <c r="H42" s="66" t="str">
        <f>IF(COUNTIF('Queen Discography'!$C$4:$C$22,C42)&gt;0,"Queen",
IF(COUNTIF('Queen Discography'!$D$4:$D$22,C42)&gt;0,"Queen II",
IF(COUNTIF('Queen Discography'!$E$4:$E$22,C42)&gt;0,"Sheer Heart Attack",
IF(COUNTIF('Queen Discography'!$F$4:$F$22,C42)&gt;0,"A Night At The Opera",
IF(COUNTIF('Queen Discography'!$G$4:$G$22,C42)&gt;0,"A Day At The Races",
IF(COUNTIF('Queen Discography'!$H$4:$H$22,C42)&gt;0,"News Of The World",
IF(COUNTIF('Queen Discography'!$I$4:$I$22,C42)&gt;0,"Jazz",
IF(COUNTIF('Queen Discography'!$J$4:$J$22,C42)&gt;0,"The Game",
IF(COUNTIF('Queen Discography'!$K$4:$K$22,C42)&gt;0,"Flash Gordon",
IF(COUNTIF('Queen Discography'!$L$4:$L$22,C42)&gt;0,"Hot Space",
IF(COUNTIF('Queen Discography'!$M$4:$M$22,C42)&gt;0,"The Works",
IF(COUNTIF('Queen Discography'!$N$4:$N$22,C42)&gt;0,"A Kind Of Magic",
IF(COUNTIF('Queen Discography'!$O$4:$O$22,C42)&gt;0,"The Miracle",
IF(COUNTIF('Queen Discography'!$P$4:$P$22,C42)&gt;0,"Innuendo",
IF(COUNTIF('Queen Discography'!$Q$4:$Q$22,C42)&gt;0,"Made In Heaven","NOT FOUND")))))))))))))))</f>
        <v>A Kind Of Magic</v>
      </c>
      <c r="I42" s="1"/>
      <c r="J42" s="1"/>
      <c r="K42" s="1"/>
      <c r="L42" s="1"/>
      <c r="M42" s="87"/>
      <c r="N42" s="87"/>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row>
    <row r="43">
      <c r="A43" s="1"/>
      <c r="C43" s="66" t="str">
        <f t="array" ref="C43">INDEX('Queen MIDI'!$C$4:$C$66,MATCH(F43,'Queen MIDI'!$D$4:$D$66,0))</f>
        <v>I Want It All</v>
      </c>
      <c r="D43" s="118">
        <v>0.0</v>
      </c>
      <c r="E43" s="118" t="s">
        <v>395</v>
      </c>
      <c r="F43" s="66" t="str">
        <f t="shared" si="2"/>
        <v>I Want It All.mid</v>
      </c>
      <c r="G43" s="125">
        <f>HLOOKUP(H43,'Queen Discography'!$C$2:$Q$3,2,FALSE)</f>
        <v>1989</v>
      </c>
      <c r="H43" s="66" t="str">
        <f>IF(COUNTIF('Queen Discography'!$C$4:$C$22,C43)&gt;0,"Queen",
IF(COUNTIF('Queen Discography'!$D$4:$D$22,C43)&gt;0,"Queen II",
IF(COUNTIF('Queen Discography'!$E$4:$E$22,C43)&gt;0,"Sheer Heart Attack",
IF(COUNTIF('Queen Discography'!$F$4:$F$22,C43)&gt;0,"A Night At The Opera",
IF(COUNTIF('Queen Discography'!$G$4:$G$22,C43)&gt;0,"A Day At The Races",
IF(COUNTIF('Queen Discography'!$H$4:$H$22,C43)&gt;0,"News Of The World",
IF(COUNTIF('Queen Discography'!$I$4:$I$22,C43)&gt;0,"Jazz",
IF(COUNTIF('Queen Discography'!$J$4:$J$22,C43)&gt;0,"The Game",
IF(COUNTIF('Queen Discography'!$K$4:$K$22,C43)&gt;0,"Flash Gordon",
IF(COUNTIF('Queen Discography'!$L$4:$L$22,C43)&gt;0,"Hot Space",
IF(COUNTIF('Queen Discography'!$M$4:$M$22,C43)&gt;0,"The Works",
IF(COUNTIF('Queen Discography'!$N$4:$N$22,C43)&gt;0,"A Kind Of Magic",
IF(COUNTIF('Queen Discography'!$O$4:$O$22,C43)&gt;0,"The Miracle",
IF(COUNTIF('Queen Discography'!$P$4:$P$22,C43)&gt;0,"Innuendo",
IF(COUNTIF('Queen Discography'!$Q$4:$Q$22,C43)&gt;0,"Made In Heaven","NOT FOUND")))))))))))))))</f>
        <v>The Miracle</v>
      </c>
      <c r="I43" s="1"/>
      <c r="J43" s="1"/>
      <c r="K43" s="1"/>
      <c r="L43" s="1"/>
      <c r="M43" s="87"/>
      <c r="N43" s="87"/>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row>
    <row r="44">
      <c r="A44" s="1"/>
      <c r="C44" s="66" t="str">
        <f t="array" ref="C44">INDEX('Queen MIDI'!$C$4:$C$66,MATCH(F44,'Queen MIDI'!$D$4:$D$66,0))</f>
        <v>Rain Must Fall</v>
      </c>
      <c r="D44" s="118">
        <v>0.0</v>
      </c>
      <c r="E44" s="118" t="s">
        <v>396</v>
      </c>
      <c r="F44" s="66" t="str">
        <f t="shared" si="2"/>
        <v>Rain Must Fall.mid</v>
      </c>
      <c r="G44" s="131">
        <f>HLOOKUP(H44,'Queen Discography'!$C$2:$Q$3,2,FALSE)</f>
        <v>1989</v>
      </c>
      <c r="H44" s="66" t="str">
        <f>IF(COUNTIF('Queen Discography'!$C$4:$C$22,C44)&gt;0,"Queen",
IF(COUNTIF('Queen Discography'!$D$4:$D$22,C44)&gt;0,"Queen II",
IF(COUNTIF('Queen Discography'!$E$4:$E$22,C44)&gt;0,"Sheer Heart Attack",
IF(COUNTIF('Queen Discography'!$F$4:$F$22,C44)&gt;0,"A Night At The Opera",
IF(COUNTIF('Queen Discography'!$G$4:$G$22,C44)&gt;0,"A Day At The Races",
IF(COUNTIF('Queen Discography'!$H$4:$H$22,C44)&gt;0,"News Of The World",
IF(COUNTIF('Queen Discography'!$I$4:$I$22,C44)&gt;0,"Jazz",
IF(COUNTIF('Queen Discography'!$J$4:$J$22,C44)&gt;0,"The Game",
IF(COUNTIF('Queen Discography'!$K$4:$K$22,C44)&gt;0,"Flash Gordon",
IF(COUNTIF('Queen Discography'!$L$4:$L$22,C44)&gt;0,"Hot Space",
IF(COUNTIF('Queen Discography'!$M$4:$M$22,C44)&gt;0,"The Works",
IF(COUNTIF('Queen Discography'!$N$4:$N$22,C44)&gt;0,"A Kind Of Magic",
IF(COUNTIF('Queen Discography'!$O$4:$O$22,C44)&gt;0,"The Miracle",
IF(COUNTIF('Queen Discography'!$P$4:$P$22,C44)&gt;0,"Innuendo",
IF(COUNTIF('Queen Discography'!$Q$4:$Q$22,C44)&gt;0,"Made In Heaven","NOT FOUND")))))))))))))))</f>
        <v>The Miracle</v>
      </c>
      <c r="I44" s="1"/>
      <c r="J44" s="1"/>
      <c r="K44" s="1"/>
      <c r="L44" s="1"/>
      <c r="M44" s="87"/>
      <c r="N44" s="87"/>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row>
    <row r="45">
      <c r="A45" s="1"/>
      <c r="C45" s="66" t="str">
        <f t="array" ref="C45">INDEX('Queen MIDI'!$C$4:$C$66,MATCH(F45,'Queen MIDI'!$D$4:$D$66,0))</f>
        <v>Scandal</v>
      </c>
      <c r="D45" s="118">
        <v>0.0</v>
      </c>
      <c r="E45" s="118" t="s">
        <v>397</v>
      </c>
      <c r="F45" s="66" t="str">
        <f t="shared" si="2"/>
        <v>Scandal.mid</v>
      </c>
      <c r="G45" s="120">
        <f>HLOOKUP(H45,'Queen Discography'!$C$2:$Q$3,2,FALSE)</f>
        <v>1989</v>
      </c>
      <c r="H45" s="66" t="str">
        <f>IF(COUNTIF('Queen Discography'!$C$4:$C$22,C45)&gt;0,"Queen",
IF(COUNTIF('Queen Discography'!$D$4:$D$22,C45)&gt;0,"Queen II",
IF(COUNTIF('Queen Discography'!$E$4:$E$22,C45)&gt;0,"Sheer Heart Attack",
IF(COUNTIF('Queen Discography'!$F$4:$F$22,C45)&gt;0,"A Night At The Opera",
IF(COUNTIF('Queen Discography'!$G$4:$G$22,C45)&gt;0,"A Day At The Races",
IF(COUNTIF('Queen Discography'!$H$4:$H$22,C45)&gt;0,"News Of The World",
IF(COUNTIF('Queen Discography'!$I$4:$I$22,C45)&gt;0,"Jazz",
IF(COUNTIF('Queen Discography'!$J$4:$J$22,C45)&gt;0,"The Game",
IF(COUNTIF('Queen Discography'!$K$4:$K$22,C45)&gt;0,"Flash Gordon",
IF(COUNTIF('Queen Discography'!$L$4:$L$22,C45)&gt;0,"Hot Space",
IF(COUNTIF('Queen Discography'!$M$4:$M$22,C45)&gt;0,"The Works",
IF(COUNTIF('Queen Discography'!$N$4:$N$22,C45)&gt;0,"A Kind Of Magic",
IF(COUNTIF('Queen Discography'!$O$4:$O$22,C45)&gt;0,"The Miracle",
IF(COUNTIF('Queen Discography'!$P$4:$P$22,C45)&gt;0,"Innuendo",
IF(COUNTIF('Queen Discography'!$Q$4:$Q$22,C45)&gt;0,"Made In Heaven","NOT FOUND")))))))))))))))</f>
        <v>The Miracle</v>
      </c>
      <c r="I45" s="1"/>
      <c r="J45" s="1"/>
      <c r="K45" s="1"/>
      <c r="L45" s="1"/>
      <c r="M45" s="87"/>
      <c r="N45" s="87"/>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row>
    <row r="46">
      <c r="A46" s="1"/>
      <c r="C46" s="66" t="str">
        <f t="array" ref="C46">INDEX('Queen MIDI'!$C$4:$C$66,MATCH(F46,'Queen MIDI'!$D$4:$D$66,0))</f>
        <v>The Invisible Man</v>
      </c>
      <c r="D46" s="118">
        <v>0.0</v>
      </c>
      <c r="E46" s="118" t="s">
        <v>398</v>
      </c>
      <c r="F46" s="66" t="str">
        <f t="shared" si="2"/>
        <v>The Invisible Man.mid</v>
      </c>
      <c r="G46" s="131">
        <f>HLOOKUP(H46,'Queen Discography'!$C$2:$Q$3,2,FALSE)</f>
        <v>1989</v>
      </c>
      <c r="H46" s="66" t="str">
        <f>IF(COUNTIF('Queen Discography'!$C$4:$C$22,C46)&gt;0,"Queen",
IF(COUNTIF('Queen Discography'!$D$4:$D$22,C46)&gt;0,"Queen II",
IF(COUNTIF('Queen Discography'!$E$4:$E$22,C46)&gt;0,"Sheer Heart Attack",
IF(COUNTIF('Queen Discography'!$F$4:$F$22,C46)&gt;0,"A Night At The Opera",
IF(COUNTIF('Queen Discography'!$G$4:$G$22,C46)&gt;0,"A Day At The Races",
IF(COUNTIF('Queen Discography'!$H$4:$H$22,C46)&gt;0,"News Of The World",
IF(COUNTIF('Queen Discography'!$I$4:$I$22,C46)&gt;0,"Jazz",
IF(COUNTIF('Queen Discography'!$J$4:$J$22,C46)&gt;0,"The Game",
IF(COUNTIF('Queen Discography'!$K$4:$K$22,C46)&gt;0,"Flash Gordon",
IF(COUNTIF('Queen Discography'!$L$4:$L$22,C46)&gt;0,"Hot Space",
IF(COUNTIF('Queen Discography'!$M$4:$M$22,C46)&gt;0,"The Works",
IF(COUNTIF('Queen Discography'!$N$4:$N$22,C46)&gt;0,"A Kind Of Magic",
IF(COUNTIF('Queen Discography'!$O$4:$O$22,C46)&gt;0,"The Miracle",
IF(COUNTIF('Queen Discography'!$P$4:$P$22,C46)&gt;0,"Innuendo",
IF(COUNTIF('Queen Discography'!$Q$4:$Q$22,C46)&gt;0,"Made In Heaven","NOT FOUND")))))))))))))))</f>
        <v>The Miracle</v>
      </c>
      <c r="I46" s="1"/>
      <c r="J46" s="1"/>
      <c r="K46" s="1"/>
      <c r="L46" s="1"/>
      <c r="M46" s="87"/>
      <c r="N46" s="87"/>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row>
    <row r="47">
      <c r="A47" s="1"/>
      <c r="C47" s="66" t="str">
        <f t="array" ref="C47">INDEX('Queen MIDI'!$C$4:$C$66,MATCH(F47,'Queen MIDI'!$D$4:$D$66,0))</f>
        <v>The Miracle</v>
      </c>
      <c r="D47" s="118">
        <v>0.0</v>
      </c>
      <c r="E47" s="118" t="s">
        <v>399</v>
      </c>
      <c r="F47" s="66" t="str">
        <f t="shared" si="2"/>
        <v>The Miracle.1.mid</v>
      </c>
      <c r="G47" s="131">
        <f>HLOOKUP(H47,'Queen Discography'!$C$2:$Q$3,2,FALSE)</f>
        <v>1989</v>
      </c>
      <c r="H47" s="66" t="str">
        <f>IF(COUNTIF('Queen Discography'!$C$4:$C$22,C47)&gt;0,"Queen",
IF(COUNTIF('Queen Discography'!$D$4:$D$22,C47)&gt;0,"Queen II",
IF(COUNTIF('Queen Discography'!$E$4:$E$22,C47)&gt;0,"Sheer Heart Attack",
IF(COUNTIF('Queen Discography'!$F$4:$F$22,C47)&gt;0,"A Night At The Opera",
IF(COUNTIF('Queen Discography'!$G$4:$G$22,C47)&gt;0,"A Day At The Races",
IF(COUNTIF('Queen Discography'!$H$4:$H$22,C47)&gt;0,"News Of The World",
IF(COUNTIF('Queen Discography'!$I$4:$I$22,C47)&gt;0,"Jazz",
IF(COUNTIF('Queen Discography'!$J$4:$J$22,C47)&gt;0,"The Game",
IF(COUNTIF('Queen Discography'!$K$4:$K$22,C47)&gt;0,"Flash Gordon",
IF(COUNTIF('Queen Discography'!$L$4:$L$22,C47)&gt;0,"Hot Space",
IF(COUNTIF('Queen Discography'!$M$4:$M$22,C47)&gt;0,"The Works",
IF(COUNTIF('Queen Discography'!$N$4:$N$22,C47)&gt;0,"A Kind Of Magic",
IF(COUNTIF('Queen Discography'!$O$4:$O$22,C47)&gt;0,"The Miracle",
IF(COUNTIF('Queen Discography'!$P$4:$P$22,C47)&gt;0,"Innuendo",
IF(COUNTIF('Queen Discography'!$Q$4:$Q$22,C47)&gt;0,"Made In Heaven","NOT FOUND")))))))))))))))</f>
        <v>The Miracle</v>
      </c>
      <c r="I47" s="1"/>
      <c r="J47" s="1"/>
      <c r="K47" s="1"/>
      <c r="L47" s="1"/>
      <c r="M47" s="87"/>
      <c r="N47" s="87"/>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row>
    <row r="48">
      <c r="A48" s="1"/>
      <c r="C48" s="66" t="str">
        <f t="array" ref="C48">INDEX('Queen MIDI'!$C$4:$C$66,MATCH(F48,'Queen MIDI'!$D$4:$D$66,0))</f>
        <v>All God's People</v>
      </c>
      <c r="D48" s="118">
        <v>0.0</v>
      </c>
      <c r="E48" s="118" t="s">
        <v>400</v>
      </c>
      <c r="F48" s="66" t="str">
        <f t="shared" si="2"/>
        <v>All God_s People.mid</v>
      </c>
      <c r="G48" s="120">
        <f>HLOOKUP(H48,'Queen Discography'!$C$2:$Q$3,2,FALSE)</f>
        <v>1991</v>
      </c>
      <c r="H48" s="66" t="str">
        <f>IF(COUNTIF('Queen Discography'!$C$4:$C$22,C48)&gt;0,"Queen",
IF(COUNTIF('Queen Discography'!$D$4:$D$22,C48)&gt;0,"Queen II",
IF(COUNTIF('Queen Discography'!$E$4:$E$22,C48)&gt;0,"Sheer Heart Attack",
IF(COUNTIF('Queen Discography'!$F$4:$F$22,C48)&gt;0,"A Night At The Opera",
IF(COUNTIF('Queen Discography'!$G$4:$G$22,C48)&gt;0,"A Day At The Races",
IF(COUNTIF('Queen Discography'!$H$4:$H$22,C48)&gt;0,"News Of The World",
IF(COUNTIF('Queen Discography'!$I$4:$I$22,C48)&gt;0,"Jazz",
IF(COUNTIF('Queen Discography'!$J$4:$J$22,C48)&gt;0,"The Game",
IF(COUNTIF('Queen Discography'!$K$4:$K$22,C48)&gt;0,"Flash Gordon",
IF(COUNTIF('Queen Discography'!$L$4:$L$22,C48)&gt;0,"Hot Space",
IF(COUNTIF('Queen Discography'!$M$4:$M$22,C48)&gt;0,"The Works",
IF(COUNTIF('Queen Discography'!$N$4:$N$22,C48)&gt;0,"A Kind Of Magic",
IF(COUNTIF('Queen Discography'!$O$4:$O$22,C48)&gt;0,"The Miracle",
IF(COUNTIF('Queen Discography'!$P$4:$P$22,C48)&gt;0,"Innuendo",
IF(COUNTIF('Queen Discography'!$Q$4:$Q$22,C48)&gt;0,"Made In Heaven","NOT FOUND")))))))))))))))</f>
        <v>Innuendo</v>
      </c>
      <c r="I48" s="1"/>
      <c r="J48" s="1"/>
      <c r="K48" s="1"/>
      <c r="L48" s="1"/>
      <c r="M48" s="87"/>
      <c r="N48" s="87"/>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row>
    <row r="49">
      <c r="A49" s="1"/>
      <c r="C49" s="66" t="str">
        <f t="array" ref="C49">INDEX('Queen MIDI'!$C$4:$C$66,MATCH(F49,'Queen MIDI'!$D$4:$D$66,0))</f>
        <v>Bijou</v>
      </c>
      <c r="D49" s="118">
        <v>0.0</v>
      </c>
      <c r="E49" s="118" t="s">
        <v>401</v>
      </c>
      <c r="F49" s="66" t="str">
        <f t="shared" si="2"/>
        <v>Bijou.1.mid</v>
      </c>
      <c r="G49" s="119">
        <f>HLOOKUP(H49,'Queen Discography'!$C$2:$Q$3,2,FALSE)</f>
        <v>1991</v>
      </c>
      <c r="H49" s="66" t="str">
        <f>IF(COUNTIF('Queen Discography'!$C$4:$C$22,C49)&gt;0,"Queen",
IF(COUNTIF('Queen Discography'!$D$4:$D$22,C49)&gt;0,"Queen II",
IF(COUNTIF('Queen Discography'!$E$4:$E$22,C49)&gt;0,"Sheer Heart Attack",
IF(COUNTIF('Queen Discography'!$F$4:$F$22,C49)&gt;0,"A Night At The Opera",
IF(COUNTIF('Queen Discography'!$G$4:$G$22,C49)&gt;0,"A Day At The Races",
IF(COUNTIF('Queen Discography'!$H$4:$H$22,C49)&gt;0,"News Of The World",
IF(COUNTIF('Queen Discography'!$I$4:$I$22,C49)&gt;0,"Jazz",
IF(COUNTIF('Queen Discography'!$J$4:$J$22,C49)&gt;0,"The Game",
IF(COUNTIF('Queen Discography'!$K$4:$K$22,C49)&gt;0,"Flash Gordon",
IF(COUNTIF('Queen Discography'!$L$4:$L$22,C49)&gt;0,"Hot Space",
IF(COUNTIF('Queen Discography'!$M$4:$M$22,C49)&gt;0,"The Works",
IF(COUNTIF('Queen Discography'!$N$4:$N$22,C49)&gt;0,"A Kind Of Magic",
IF(COUNTIF('Queen Discography'!$O$4:$O$22,C49)&gt;0,"The Miracle",
IF(COUNTIF('Queen Discography'!$P$4:$P$22,C49)&gt;0,"Innuendo",
IF(COUNTIF('Queen Discography'!$Q$4:$Q$22,C49)&gt;0,"Made In Heaven","NOT FOUND")))))))))))))))</f>
        <v>Innuendo</v>
      </c>
      <c r="I49" s="1"/>
      <c r="J49" s="1"/>
      <c r="K49" s="1"/>
      <c r="L49" s="1"/>
      <c r="M49" s="87"/>
      <c r="N49" s="87"/>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row>
    <row r="50">
      <c r="A50" s="1"/>
      <c r="C50" s="66" t="str">
        <f t="array" ref="C50">INDEX('Queen MIDI'!$C$4:$C$66,MATCH(F50,'Queen MIDI'!$D$4:$D$66,0))</f>
        <v>Don't Try So Hard</v>
      </c>
      <c r="D50" s="118">
        <v>0.0</v>
      </c>
      <c r="E50" s="118" t="s">
        <v>402</v>
      </c>
      <c r="F50" s="66" t="str">
        <f t="shared" si="2"/>
        <v>Don_t Try So Hard.2.mid</v>
      </c>
      <c r="G50" s="121">
        <f>HLOOKUP(H50,'Queen Discography'!$C$2:$Q$3,2,FALSE)</f>
        <v>1991</v>
      </c>
      <c r="H50" s="66" t="str">
        <f>IF(COUNTIF('Queen Discography'!$C$4:$C$22,C50)&gt;0,"Queen",
IF(COUNTIF('Queen Discography'!$D$4:$D$22,C50)&gt;0,"Queen II",
IF(COUNTIF('Queen Discography'!$E$4:$E$22,C50)&gt;0,"Sheer Heart Attack",
IF(COUNTIF('Queen Discography'!$F$4:$F$22,C50)&gt;0,"A Night At The Opera",
IF(COUNTIF('Queen Discography'!$G$4:$G$22,C50)&gt;0,"A Day At The Races",
IF(COUNTIF('Queen Discography'!$H$4:$H$22,C50)&gt;0,"News Of The World",
IF(COUNTIF('Queen Discography'!$I$4:$I$22,C50)&gt;0,"Jazz",
IF(COUNTIF('Queen Discography'!$J$4:$J$22,C50)&gt;0,"The Game",
IF(COUNTIF('Queen Discography'!$K$4:$K$22,C50)&gt;0,"Flash Gordon",
IF(COUNTIF('Queen Discography'!$L$4:$L$22,C50)&gt;0,"Hot Space",
IF(COUNTIF('Queen Discography'!$M$4:$M$22,C50)&gt;0,"The Works",
IF(COUNTIF('Queen Discography'!$N$4:$N$22,C50)&gt;0,"A Kind Of Magic",
IF(COUNTIF('Queen Discography'!$O$4:$O$22,C50)&gt;0,"The Miracle",
IF(COUNTIF('Queen Discography'!$P$4:$P$22,C50)&gt;0,"Innuendo",
IF(COUNTIF('Queen Discography'!$Q$4:$Q$22,C50)&gt;0,"Made In Heaven","NOT FOUND")))))))))))))))</f>
        <v>Innuendo</v>
      </c>
      <c r="I50" s="1"/>
      <c r="J50" s="1"/>
      <c r="K50" s="1"/>
      <c r="L50" s="1"/>
      <c r="M50" s="87"/>
      <c r="N50" s="87"/>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c r="A51" s="1"/>
      <c r="C51" s="66" t="str">
        <f t="array" ref="C51">INDEX('Queen MIDI'!$C$4:$C$66,MATCH(F51,'Queen MIDI'!$D$4:$D$66,0))</f>
        <v>Headlong</v>
      </c>
      <c r="D51" s="118">
        <v>0.0</v>
      </c>
      <c r="E51" s="118" t="s">
        <v>403</v>
      </c>
      <c r="F51" s="66" t="str">
        <f t="shared" si="2"/>
        <v>Headlong.mid</v>
      </c>
      <c r="G51" s="122">
        <f>HLOOKUP(H51,'Queen Discography'!$C$2:$Q$3,2,FALSE)</f>
        <v>1991</v>
      </c>
      <c r="H51" s="66" t="str">
        <f>IF(COUNTIF('Queen Discography'!$C$4:$C$22,C51)&gt;0,"Queen",
IF(COUNTIF('Queen Discography'!$D$4:$D$22,C51)&gt;0,"Queen II",
IF(COUNTIF('Queen Discography'!$E$4:$E$22,C51)&gt;0,"Sheer Heart Attack",
IF(COUNTIF('Queen Discography'!$F$4:$F$22,C51)&gt;0,"A Night At The Opera",
IF(COUNTIF('Queen Discography'!$G$4:$G$22,C51)&gt;0,"A Day At The Races",
IF(COUNTIF('Queen Discography'!$H$4:$H$22,C51)&gt;0,"News Of The World",
IF(COUNTIF('Queen Discography'!$I$4:$I$22,C51)&gt;0,"Jazz",
IF(COUNTIF('Queen Discography'!$J$4:$J$22,C51)&gt;0,"The Game",
IF(COUNTIF('Queen Discography'!$K$4:$K$22,C51)&gt;0,"Flash Gordon",
IF(COUNTIF('Queen Discography'!$L$4:$L$22,C51)&gt;0,"Hot Space",
IF(COUNTIF('Queen Discography'!$M$4:$M$22,C51)&gt;0,"The Works",
IF(COUNTIF('Queen Discography'!$N$4:$N$22,C51)&gt;0,"A Kind Of Magic",
IF(COUNTIF('Queen Discography'!$O$4:$O$22,C51)&gt;0,"The Miracle",
IF(COUNTIF('Queen Discography'!$P$4:$P$22,C51)&gt;0,"Innuendo",
IF(COUNTIF('Queen Discography'!$Q$4:$Q$22,C51)&gt;0,"Made In Heaven","NOT FOUND")))))))))))))))</f>
        <v>Innuendo</v>
      </c>
      <c r="I51" s="1"/>
      <c r="J51" s="1"/>
      <c r="K51" s="1"/>
      <c r="L51" s="1"/>
      <c r="M51" s="87"/>
      <c r="N51" s="87"/>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row>
    <row r="52">
      <c r="A52" s="1"/>
      <c r="C52" s="66" t="str">
        <f t="array" ref="C52">INDEX('Queen MIDI'!$C$4:$C$66,MATCH(F52,'Queen MIDI'!$D$4:$D$66,0))</f>
        <v>I Can't Live With You</v>
      </c>
      <c r="D52" s="118">
        <v>0.0</v>
      </c>
      <c r="E52" s="118" t="s">
        <v>404</v>
      </c>
      <c r="F52" s="66" t="str">
        <f t="shared" si="2"/>
        <v>I Can_t Live With You.1.mid</v>
      </c>
      <c r="G52" s="128">
        <f>HLOOKUP(H52,'Queen Discography'!$C$2:$Q$3,2,FALSE)</f>
        <v>1991</v>
      </c>
      <c r="H52" s="66" t="str">
        <f>IF(COUNTIF('Queen Discography'!$C$4:$C$22,C52)&gt;0,"Queen",
IF(COUNTIF('Queen Discography'!$D$4:$D$22,C52)&gt;0,"Queen II",
IF(COUNTIF('Queen Discography'!$E$4:$E$22,C52)&gt;0,"Sheer Heart Attack",
IF(COUNTIF('Queen Discography'!$F$4:$F$22,C52)&gt;0,"A Night At The Opera",
IF(COUNTIF('Queen Discography'!$G$4:$G$22,C52)&gt;0,"A Day At The Races",
IF(COUNTIF('Queen Discography'!$H$4:$H$22,C52)&gt;0,"News Of The World",
IF(COUNTIF('Queen Discography'!$I$4:$I$22,C52)&gt;0,"Jazz",
IF(COUNTIF('Queen Discography'!$J$4:$J$22,C52)&gt;0,"The Game",
IF(COUNTIF('Queen Discography'!$K$4:$K$22,C52)&gt;0,"Flash Gordon",
IF(COUNTIF('Queen Discography'!$L$4:$L$22,C52)&gt;0,"Hot Space",
IF(COUNTIF('Queen Discography'!$M$4:$M$22,C52)&gt;0,"The Works",
IF(COUNTIF('Queen Discography'!$N$4:$N$22,C52)&gt;0,"A Kind Of Magic",
IF(COUNTIF('Queen Discography'!$O$4:$O$22,C52)&gt;0,"The Miracle",
IF(COUNTIF('Queen Discography'!$P$4:$P$22,C52)&gt;0,"Innuendo",
IF(COUNTIF('Queen Discography'!$Q$4:$Q$22,C52)&gt;0,"Made In Heaven","NOT FOUND")))))))))))))))</f>
        <v>Innuendo</v>
      </c>
      <c r="I52" s="1"/>
      <c r="J52" s="1"/>
      <c r="K52" s="1"/>
      <c r="L52" s="1"/>
      <c r="M52" s="87"/>
      <c r="N52" s="87"/>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row>
    <row r="53">
      <c r="A53" s="1"/>
      <c r="C53" s="66" t="str">
        <f t="array" ref="C53">INDEX('Queen MIDI'!$C$4:$C$66,MATCH(F53,'Queen MIDI'!$D$4:$D$66,0))</f>
        <v>Innuendo</v>
      </c>
      <c r="D53" s="118">
        <v>0.0</v>
      </c>
      <c r="E53" s="118" t="s">
        <v>406</v>
      </c>
      <c r="F53" s="66" t="str">
        <f t="shared" si="2"/>
        <v>Innuendo.mid</v>
      </c>
      <c r="G53" s="129">
        <f>HLOOKUP(H53,'Queen Discography'!$C$2:$Q$3,2,FALSE)</f>
        <v>1991</v>
      </c>
      <c r="H53" s="66" t="str">
        <f>IF(COUNTIF('Queen Discography'!$C$4:$C$22,C53)&gt;0,"Queen",
IF(COUNTIF('Queen Discography'!$D$4:$D$22,C53)&gt;0,"Queen II",
IF(COUNTIF('Queen Discography'!$E$4:$E$22,C53)&gt;0,"Sheer Heart Attack",
IF(COUNTIF('Queen Discography'!$F$4:$F$22,C53)&gt;0,"A Night At The Opera",
IF(COUNTIF('Queen Discography'!$G$4:$G$22,C53)&gt;0,"A Day At The Races",
IF(COUNTIF('Queen Discography'!$H$4:$H$22,C53)&gt;0,"News Of The World",
IF(COUNTIF('Queen Discography'!$I$4:$I$22,C53)&gt;0,"Jazz",
IF(COUNTIF('Queen Discography'!$J$4:$J$22,C53)&gt;0,"The Game",
IF(COUNTIF('Queen Discography'!$K$4:$K$22,C53)&gt;0,"Flash Gordon",
IF(COUNTIF('Queen Discography'!$L$4:$L$22,C53)&gt;0,"Hot Space",
IF(COUNTIF('Queen Discography'!$M$4:$M$22,C53)&gt;0,"The Works",
IF(COUNTIF('Queen Discography'!$N$4:$N$22,C53)&gt;0,"A Kind Of Magic",
IF(COUNTIF('Queen Discography'!$O$4:$O$22,C53)&gt;0,"The Miracle",
IF(COUNTIF('Queen Discography'!$P$4:$P$22,C53)&gt;0,"Innuendo",
IF(COUNTIF('Queen Discography'!$Q$4:$Q$22,C53)&gt;0,"Made In Heaven","NOT FOUND")))))))))))))))</f>
        <v>Innuendo</v>
      </c>
      <c r="I53" s="1"/>
      <c r="J53" s="1"/>
      <c r="K53" s="1"/>
      <c r="L53" s="1"/>
      <c r="M53" s="87"/>
      <c r="N53" s="87"/>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row>
    <row r="54">
      <c r="A54" s="1"/>
      <c r="C54" s="66" t="str">
        <f t="array" ref="C54">INDEX('Queen MIDI'!$C$4:$C$66,MATCH(F54,'Queen MIDI'!$D$4:$D$66,0))</f>
        <v>I'm Going Slightly Mad</v>
      </c>
      <c r="D54" s="118">
        <v>0.0</v>
      </c>
      <c r="E54" s="118" t="s">
        <v>405</v>
      </c>
      <c r="F54" s="66" t="str">
        <f t="shared" si="2"/>
        <v>I_m Going Slightly Mad.2.mid</v>
      </c>
      <c r="G54" s="120">
        <f>HLOOKUP(H54,'Queen Discography'!$C$2:$Q$3,2,FALSE)</f>
        <v>1991</v>
      </c>
      <c r="H54" s="66" t="str">
        <f>IF(COUNTIF('Queen Discography'!$C$4:$C$22,C54)&gt;0,"Queen",
IF(COUNTIF('Queen Discography'!$D$4:$D$22,C54)&gt;0,"Queen II",
IF(COUNTIF('Queen Discography'!$E$4:$E$22,C54)&gt;0,"Sheer Heart Attack",
IF(COUNTIF('Queen Discography'!$F$4:$F$22,C54)&gt;0,"A Night At The Opera",
IF(COUNTIF('Queen Discography'!$G$4:$G$22,C54)&gt;0,"A Day At The Races",
IF(COUNTIF('Queen Discography'!$H$4:$H$22,C54)&gt;0,"News Of The World",
IF(COUNTIF('Queen Discography'!$I$4:$I$22,C54)&gt;0,"Jazz",
IF(COUNTIF('Queen Discography'!$J$4:$J$22,C54)&gt;0,"The Game",
IF(COUNTIF('Queen Discography'!$K$4:$K$22,C54)&gt;0,"Flash Gordon",
IF(COUNTIF('Queen Discography'!$L$4:$L$22,C54)&gt;0,"Hot Space",
IF(COUNTIF('Queen Discography'!$M$4:$M$22,C54)&gt;0,"The Works",
IF(COUNTIF('Queen Discography'!$N$4:$N$22,C54)&gt;0,"A Kind Of Magic",
IF(COUNTIF('Queen Discography'!$O$4:$O$22,C54)&gt;0,"The Miracle",
IF(COUNTIF('Queen Discography'!$P$4:$P$22,C54)&gt;0,"Innuendo",
IF(COUNTIF('Queen Discography'!$Q$4:$Q$22,C54)&gt;0,"Made In Heaven","NOT FOUND")))))))))))))))</f>
        <v>Innuendo</v>
      </c>
      <c r="I54" s="1"/>
      <c r="J54" s="1"/>
      <c r="K54" s="1"/>
      <c r="L54" s="1"/>
      <c r="M54" s="87"/>
      <c r="N54" s="87"/>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row>
    <row r="55">
      <c r="A55" s="1"/>
      <c r="C55" s="66" t="str">
        <f t="array" ref="C55">INDEX('Queen MIDI'!$C$4:$C$66,MATCH(F55,'Queen MIDI'!$D$4:$D$66,0))</f>
        <v>The Show Must Go On</v>
      </c>
      <c r="D55" s="118">
        <v>0.0</v>
      </c>
      <c r="E55" s="118" t="s">
        <v>407</v>
      </c>
      <c r="F55" s="66" t="str">
        <f t="shared" si="2"/>
        <v>The Show Must Go On.mid</v>
      </c>
      <c r="G55" s="127">
        <f>HLOOKUP(H55,'Queen Discography'!$C$2:$Q$3,2,FALSE)</f>
        <v>1991</v>
      </c>
      <c r="H55" s="66" t="str">
        <f>IF(COUNTIF('Queen Discography'!$C$4:$C$22,C55)&gt;0,"Queen",
IF(COUNTIF('Queen Discography'!$D$4:$D$22,C55)&gt;0,"Queen II",
IF(COUNTIF('Queen Discography'!$E$4:$E$22,C55)&gt;0,"Sheer Heart Attack",
IF(COUNTIF('Queen Discography'!$F$4:$F$22,C55)&gt;0,"A Night At The Opera",
IF(COUNTIF('Queen Discography'!$G$4:$G$22,C55)&gt;0,"A Day At The Races",
IF(COUNTIF('Queen Discography'!$H$4:$H$22,C55)&gt;0,"News Of The World",
IF(COUNTIF('Queen Discography'!$I$4:$I$22,C55)&gt;0,"Jazz",
IF(COUNTIF('Queen Discography'!$J$4:$J$22,C55)&gt;0,"The Game",
IF(COUNTIF('Queen Discography'!$K$4:$K$22,C55)&gt;0,"Flash Gordon",
IF(COUNTIF('Queen Discography'!$L$4:$L$22,C55)&gt;0,"Hot Space",
IF(COUNTIF('Queen Discography'!$M$4:$M$22,C55)&gt;0,"The Works",
IF(COUNTIF('Queen Discography'!$N$4:$N$22,C55)&gt;0,"A Kind Of Magic",
IF(COUNTIF('Queen Discography'!$O$4:$O$22,C55)&gt;0,"The Miracle",
IF(COUNTIF('Queen Discography'!$P$4:$P$22,C55)&gt;0,"Innuendo",
IF(COUNTIF('Queen Discography'!$Q$4:$Q$22,C55)&gt;0,"Made In Heaven","NOT FOUND")))))))))))))))</f>
        <v>Innuendo</v>
      </c>
      <c r="I55" s="1"/>
      <c r="J55" s="1"/>
      <c r="K55" s="1"/>
      <c r="L55" s="1"/>
      <c r="M55" s="87"/>
      <c r="N55" s="87"/>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row>
    <row r="56">
      <c r="A56" s="1"/>
      <c r="C56" s="66" t="str">
        <f t="array" ref="C56">INDEX('Queen MIDI'!$C$4:$C$66,MATCH(F56,'Queen MIDI'!$D$4:$D$66,0))</f>
        <v>These Are the Days of Our Lives</v>
      </c>
      <c r="D56" s="118">
        <v>0.0</v>
      </c>
      <c r="E56" s="118" t="s">
        <v>408</v>
      </c>
      <c r="F56" s="66" t="str">
        <f t="shared" si="2"/>
        <v>These Are the Days of Our Lives.3.mid</v>
      </c>
      <c r="G56" s="129">
        <f>HLOOKUP(H56,'Queen Discography'!$C$2:$Q$3,2,FALSE)</f>
        <v>1991</v>
      </c>
      <c r="H56" s="66" t="str">
        <f>IF(COUNTIF('Queen Discography'!$C$4:$C$22,C56)&gt;0,"Queen",
IF(COUNTIF('Queen Discography'!$D$4:$D$22,C56)&gt;0,"Queen II",
IF(COUNTIF('Queen Discography'!$E$4:$E$22,C56)&gt;0,"Sheer Heart Attack",
IF(COUNTIF('Queen Discography'!$F$4:$F$22,C56)&gt;0,"A Night At The Opera",
IF(COUNTIF('Queen Discography'!$G$4:$G$22,C56)&gt;0,"A Day At The Races",
IF(COUNTIF('Queen Discography'!$H$4:$H$22,C56)&gt;0,"News Of The World",
IF(COUNTIF('Queen Discography'!$I$4:$I$22,C56)&gt;0,"Jazz",
IF(COUNTIF('Queen Discography'!$J$4:$J$22,C56)&gt;0,"The Game",
IF(COUNTIF('Queen Discography'!$K$4:$K$22,C56)&gt;0,"Flash Gordon",
IF(COUNTIF('Queen Discography'!$L$4:$L$22,C56)&gt;0,"Hot Space",
IF(COUNTIF('Queen Discography'!$M$4:$M$22,C56)&gt;0,"The Works",
IF(COUNTIF('Queen Discography'!$N$4:$N$22,C56)&gt;0,"A Kind Of Magic",
IF(COUNTIF('Queen Discography'!$O$4:$O$22,C56)&gt;0,"The Miracle",
IF(COUNTIF('Queen Discography'!$P$4:$P$22,C56)&gt;0,"Innuendo",
IF(COUNTIF('Queen Discography'!$Q$4:$Q$22,C56)&gt;0,"Made In Heaven","NOT FOUND")))))))))))))))</f>
        <v>Innuendo</v>
      </c>
      <c r="I56" s="1"/>
      <c r="J56" s="1"/>
      <c r="K56" s="1"/>
      <c r="L56" s="1"/>
      <c r="M56" s="87"/>
      <c r="N56" s="87"/>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row>
    <row r="57">
      <c r="A57" s="1"/>
      <c r="C57" s="66" t="str">
        <f t="array" ref="C57">INDEX('Queen MIDI'!$C$4:$C$66,MATCH(F57,'Queen MIDI'!$D$4:$D$66,0))</f>
        <v>Heaven for Everyone</v>
      </c>
      <c r="D57" s="118">
        <v>0.0</v>
      </c>
      <c r="E57" s="118" t="s">
        <v>409</v>
      </c>
      <c r="F57" s="66" t="str">
        <f t="shared" si="2"/>
        <v>Heaven for Everyone.mid</v>
      </c>
      <c r="G57" s="128">
        <f>HLOOKUP(H57,'Queen Discography'!$C$2:$Q$3,2,FALSE)</f>
        <v>1995</v>
      </c>
      <c r="H57" s="66" t="str">
        <f>IF(COUNTIF('Queen Discography'!$C$4:$C$22,C57)&gt;0,"Queen",
IF(COUNTIF('Queen Discography'!$D$4:$D$22,C57)&gt;0,"Queen II",
IF(COUNTIF('Queen Discography'!$E$4:$E$22,C57)&gt;0,"Sheer Heart Attack",
IF(COUNTIF('Queen Discography'!$F$4:$F$22,C57)&gt;0,"A Night At The Opera",
IF(COUNTIF('Queen Discography'!$G$4:$G$22,C57)&gt;0,"A Day At The Races",
IF(COUNTIF('Queen Discography'!$H$4:$H$22,C57)&gt;0,"News Of The World",
IF(COUNTIF('Queen Discography'!$I$4:$I$22,C57)&gt;0,"Jazz",
IF(COUNTIF('Queen Discography'!$J$4:$J$22,C57)&gt;0,"The Game",
IF(COUNTIF('Queen Discography'!$K$4:$K$22,C57)&gt;0,"Flash Gordon",
IF(COUNTIF('Queen Discography'!$L$4:$L$22,C57)&gt;0,"Hot Space",
IF(COUNTIF('Queen Discography'!$M$4:$M$22,C57)&gt;0,"The Works",
IF(COUNTIF('Queen Discography'!$N$4:$N$22,C57)&gt;0,"A Kind Of Magic",
IF(COUNTIF('Queen Discography'!$O$4:$O$22,C57)&gt;0,"The Miracle",
IF(COUNTIF('Queen Discography'!$P$4:$P$22,C57)&gt;0,"Innuendo",
IF(COUNTIF('Queen Discography'!$Q$4:$Q$22,C57)&gt;0,"Made In Heaven","NOT FOUND")))))))))))))))</f>
        <v>Made In Heaven</v>
      </c>
      <c r="I57" s="1"/>
      <c r="J57" s="1"/>
      <c r="K57" s="1"/>
      <c r="L57" s="1"/>
      <c r="M57" s="87"/>
      <c r="N57" s="87"/>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row>
    <row r="58">
      <c r="A58" s="1"/>
      <c r="C58" s="66" t="str">
        <f t="array" ref="C58">INDEX('Queen MIDI'!$C$4:$C$66,MATCH(F58,'Queen MIDI'!$D$4:$D$66,0))</f>
        <v>I Was Born to Love You</v>
      </c>
      <c r="D58" s="118">
        <v>0.0</v>
      </c>
      <c r="E58" s="118" t="s">
        <v>410</v>
      </c>
      <c r="F58" s="66" t="str">
        <f t="shared" si="2"/>
        <v>I Was Born to Love You.mid</v>
      </c>
      <c r="G58" s="119">
        <f>HLOOKUP(H58,'Queen Discography'!$C$2:$Q$3,2,FALSE)</f>
        <v>1995</v>
      </c>
      <c r="H58" s="66" t="str">
        <f>IF(COUNTIF('Queen Discography'!$C$4:$C$22,C58)&gt;0,"Queen",
IF(COUNTIF('Queen Discography'!$D$4:$D$22,C58)&gt;0,"Queen II",
IF(COUNTIF('Queen Discography'!$E$4:$E$22,C58)&gt;0,"Sheer Heart Attack",
IF(COUNTIF('Queen Discography'!$F$4:$F$22,C58)&gt;0,"A Night At The Opera",
IF(COUNTIF('Queen Discography'!$G$4:$G$22,C58)&gt;0,"A Day At The Races",
IF(COUNTIF('Queen Discography'!$H$4:$H$22,C58)&gt;0,"News Of The World",
IF(COUNTIF('Queen Discography'!$I$4:$I$22,C58)&gt;0,"Jazz",
IF(COUNTIF('Queen Discography'!$J$4:$J$22,C58)&gt;0,"The Game",
IF(COUNTIF('Queen Discography'!$K$4:$K$22,C58)&gt;0,"Flash Gordon",
IF(COUNTIF('Queen Discography'!$L$4:$L$22,C58)&gt;0,"Hot Space",
IF(COUNTIF('Queen Discography'!$M$4:$M$22,C58)&gt;0,"The Works",
IF(COUNTIF('Queen Discography'!$N$4:$N$22,C58)&gt;0,"A Kind Of Magic",
IF(COUNTIF('Queen Discography'!$O$4:$O$22,C58)&gt;0,"The Miracle",
IF(COUNTIF('Queen Discography'!$P$4:$P$22,C58)&gt;0,"Innuendo",
IF(COUNTIF('Queen Discography'!$Q$4:$Q$22,C58)&gt;0,"Made In Heaven","NOT FOUND")))))))))))))))</f>
        <v>Made In Heaven</v>
      </c>
      <c r="I58" s="1"/>
      <c r="J58" s="1"/>
      <c r="K58" s="1"/>
      <c r="L58" s="1"/>
      <c r="M58" s="87"/>
      <c r="N58" s="87"/>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c r="A59" s="1"/>
      <c r="C59" s="66" t="str">
        <f t="array" ref="C59">INDEX('Queen MIDI'!$C$4:$C$66,MATCH(F59,'Queen MIDI'!$D$4:$D$66,0))</f>
        <v>Made in Heaven</v>
      </c>
      <c r="D59" s="118">
        <v>0.0</v>
      </c>
      <c r="E59" s="118" t="s">
        <v>411</v>
      </c>
      <c r="F59" s="66" t="str">
        <f t="shared" si="2"/>
        <v>Made in Heaven.mid</v>
      </c>
      <c r="G59" s="131">
        <f>HLOOKUP(H59,'Queen Discography'!$C$2:$Q$3,2,FALSE)</f>
        <v>1995</v>
      </c>
      <c r="H59" s="66" t="str">
        <f>IF(COUNTIF('Queen Discography'!$C$4:$C$22,C59)&gt;0,"Queen",
IF(COUNTIF('Queen Discography'!$D$4:$D$22,C59)&gt;0,"Queen II",
IF(COUNTIF('Queen Discography'!$E$4:$E$22,C59)&gt;0,"Sheer Heart Attack",
IF(COUNTIF('Queen Discography'!$F$4:$F$22,C59)&gt;0,"A Night At The Opera",
IF(COUNTIF('Queen Discography'!$G$4:$G$22,C59)&gt;0,"A Day At The Races",
IF(COUNTIF('Queen Discography'!$H$4:$H$22,C59)&gt;0,"News Of The World",
IF(COUNTIF('Queen Discography'!$I$4:$I$22,C59)&gt;0,"Jazz",
IF(COUNTIF('Queen Discography'!$J$4:$J$22,C59)&gt;0,"The Game",
IF(COUNTIF('Queen Discography'!$K$4:$K$22,C59)&gt;0,"Flash Gordon",
IF(COUNTIF('Queen Discography'!$L$4:$L$22,C59)&gt;0,"Hot Space",
IF(COUNTIF('Queen Discography'!$M$4:$M$22,C59)&gt;0,"The Works",
IF(COUNTIF('Queen Discography'!$N$4:$N$22,C59)&gt;0,"A Kind Of Magic",
IF(COUNTIF('Queen Discography'!$O$4:$O$22,C59)&gt;0,"The Miracle",
IF(COUNTIF('Queen Discography'!$P$4:$P$22,C59)&gt;0,"Innuendo",
IF(COUNTIF('Queen Discography'!$Q$4:$Q$22,C59)&gt;0,"Made In Heaven","NOT FOUND")))))))))))))))</f>
        <v>Made In Heaven</v>
      </c>
      <c r="I59" s="1"/>
      <c r="J59" s="1"/>
      <c r="K59" s="1"/>
      <c r="L59" s="1"/>
      <c r="M59" s="87"/>
      <c r="N59" s="87"/>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row>
    <row r="60">
      <c r="A60" s="1"/>
      <c r="C60" s="66" t="str">
        <f t="array" ref="C60">INDEX('Queen MIDI'!$C$4:$C$66,MATCH(F60,'Queen MIDI'!$D$4:$D$66,0))</f>
        <v>Mother Love</v>
      </c>
      <c r="D60" s="118">
        <v>0.0</v>
      </c>
      <c r="E60" s="118" t="s">
        <v>412</v>
      </c>
      <c r="F60" s="66" t="str">
        <f t="shared" si="2"/>
        <v>Mother Love.mid</v>
      </c>
      <c r="G60" s="129">
        <f>HLOOKUP(H60,'Queen Discography'!$C$2:$Q$3,2,FALSE)</f>
        <v>1995</v>
      </c>
      <c r="H60" s="66" t="str">
        <f>IF(COUNTIF('Queen Discography'!$C$4:$C$22,C60)&gt;0,"Queen",
IF(COUNTIF('Queen Discography'!$D$4:$D$22,C60)&gt;0,"Queen II",
IF(COUNTIF('Queen Discography'!$E$4:$E$22,C60)&gt;0,"Sheer Heart Attack",
IF(COUNTIF('Queen Discography'!$F$4:$F$22,C60)&gt;0,"A Night At The Opera",
IF(COUNTIF('Queen Discography'!$G$4:$G$22,C60)&gt;0,"A Day At The Races",
IF(COUNTIF('Queen Discography'!$H$4:$H$22,C60)&gt;0,"News Of The World",
IF(COUNTIF('Queen Discography'!$I$4:$I$22,C60)&gt;0,"Jazz",
IF(COUNTIF('Queen Discography'!$J$4:$J$22,C60)&gt;0,"The Game",
IF(COUNTIF('Queen Discography'!$K$4:$K$22,C60)&gt;0,"Flash Gordon",
IF(COUNTIF('Queen Discography'!$L$4:$L$22,C60)&gt;0,"Hot Space",
IF(COUNTIF('Queen Discography'!$M$4:$M$22,C60)&gt;0,"The Works",
IF(COUNTIF('Queen Discography'!$N$4:$N$22,C60)&gt;0,"A Kind Of Magic",
IF(COUNTIF('Queen Discography'!$O$4:$O$22,C60)&gt;0,"The Miracle",
IF(COUNTIF('Queen Discography'!$P$4:$P$22,C60)&gt;0,"Innuendo",
IF(COUNTIF('Queen Discography'!$Q$4:$Q$22,C60)&gt;0,"Made In Heaven","NOT FOUND")))))))))))))))</f>
        <v>Made In Heaven</v>
      </c>
      <c r="I60" s="1"/>
      <c r="J60" s="1"/>
      <c r="K60" s="1"/>
      <c r="L60" s="1"/>
      <c r="M60" s="87"/>
      <c r="N60" s="87"/>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row>
    <row r="61">
      <c r="A61" s="1"/>
      <c r="C61" s="66" t="str">
        <f t="array" ref="C61">INDEX('Queen MIDI'!$C$4:$C$66,MATCH(F61,'Queen MIDI'!$D$4:$D$66,0))</f>
        <v>My Life Has Been Saved</v>
      </c>
      <c r="D61" s="118">
        <v>0.0</v>
      </c>
      <c r="E61" s="118" t="s">
        <v>413</v>
      </c>
      <c r="F61" s="66" t="str">
        <f t="shared" si="2"/>
        <v>My Life Has Been Saved.mid</v>
      </c>
      <c r="G61" s="124">
        <f>HLOOKUP(H61,'Queen Discography'!$C$2:$Q$3,2,FALSE)</f>
        <v>1995</v>
      </c>
      <c r="H61" s="66" t="str">
        <f>IF(COUNTIF('Queen Discography'!$C$4:$C$22,C61)&gt;0,"Queen",
IF(COUNTIF('Queen Discography'!$D$4:$D$22,C61)&gt;0,"Queen II",
IF(COUNTIF('Queen Discography'!$E$4:$E$22,C61)&gt;0,"Sheer Heart Attack",
IF(COUNTIF('Queen Discography'!$F$4:$F$22,C61)&gt;0,"A Night At The Opera",
IF(COUNTIF('Queen Discography'!$G$4:$G$22,C61)&gt;0,"A Day At The Races",
IF(COUNTIF('Queen Discography'!$H$4:$H$22,C61)&gt;0,"News Of The World",
IF(COUNTIF('Queen Discography'!$I$4:$I$22,C61)&gt;0,"Jazz",
IF(COUNTIF('Queen Discography'!$J$4:$J$22,C61)&gt;0,"The Game",
IF(COUNTIF('Queen Discography'!$K$4:$K$22,C61)&gt;0,"Flash Gordon",
IF(COUNTIF('Queen Discography'!$L$4:$L$22,C61)&gt;0,"Hot Space",
IF(COUNTIF('Queen Discography'!$M$4:$M$22,C61)&gt;0,"The Works",
IF(COUNTIF('Queen Discography'!$N$4:$N$22,C61)&gt;0,"A Kind Of Magic",
IF(COUNTIF('Queen Discography'!$O$4:$O$22,C61)&gt;0,"The Miracle",
IF(COUNTIF('Queen Discography'!$P$4:$P$22,C61)&gt;0,"Innuendo",
IF(COUNTIF('Queen Discography'!$Q$4:$Q$22,C61)&gt;0,"Made In Heaven","NOT FOUND")))))))))))))))</f>
        <v>Made In Heaven</v>
      </c>
      <c r="I61" s="1"/>
      <c r="J61" s="1"/>
      <c r="K61" s="1"/>
      <c r="L61" s="1"/>
      <c r="M61" s="87"/>
      <c r="N61" s="87"/>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row>
    <row r="62">
      <c r="A62" s="1"/>
      <c r="C62" s="66" t="str">
        <f t="array" ref="C62">INDEX('Queen MIDI'!$C$4:$C$66,MATCH(F62,'Queen MIDI'!$D$4:$D$66,0))</f>
        <v>Too Much Love Will Kill You</v>
      </c>
      <c r="D62" s="118">
        <v>0.0</v>
      </c>
      <c r="E62" s="118" t="s">
        <v>414</v>
      </c>
      <c r="F62" s="66" t="str">
        <f t="shared" si="2"/>
        <v>Too Much Love Will Kill You.3.mid</v>
      </c>
      <c r="G62" s="124">
        <f>HLOOKUP(H62,'Queen Discography'!$C$2:$Q$3,2,FALSE)</f>
        <v>1995</v>
      </c>
      <c r="H62" s="66" t="str">
        <f>IF(COUNTIF('Queen Discography'!$C$4:$C$22,C62)&gt;0,"Queen",
IF(COUNTIF('Queen Discography'!$D$4:$D$22,C62)&gt;0,"Queen II",
IF(COUNTIF('Queen Discography'!$E$4:$E$22,C62)&gt;0,"Sheer Heart Attack",
IF(COUNTIF('Queen Discography'!$F$4:$F$22,C62)&gt;0,"A Night At The Opera",
IF(COUNTIF('Queen Discography'!$G$4:$G$22,C62)&gt;0,"A Day At The Races",
IF(COUNTIF('Queen Discography'!$H$4:$H$22,C62)&gt;0,"News Of The World",
IF(COUNTIF('Queen Discography'!$I$4:$I$22,C62)&gt;0,"Jazz",
IF(COUNTIF('Queen Discography'!$J$4:$J$22,C62)&gt;0,"The Game",
IF(COUNTIF('Queen Discography'!$K$4:$K$22,C62)&gt;0,"Flash Gordon",
IF(COUNTIF('Queen Discography'!$L$4:$L$22,C62)&gt;0,"Hot Space",
IF(COUNTIF('Queen Discography'!$M$4:$M$22,C62)&gt;0,"The Works",
IF(COUNTIF('Queen Discography'!$N$4:$N$22,C62)&gt;0,"A Kind Of Magic",
IF(COUNTIF('Queen Discography'!$O$4:$O$22,C62)&gt;0,"The Miracle",
IF(COUNTIF('Queen Discography'!$P$4:$P$22,C62)&gt;0,"Innuendo",
IF(COUNTIF('Queen Discography'!$Q$4:$Q$22,C62)&gt;0,"Made In Heaven","NOT FOUND")))))))))))))))</f>
        <v>Made In Heaven</v>
      </c>
      <c r="I62" s="1"/>
      <c r="J62" s="1"/>
      <c r="K62" s="1"/>
      <c r="L62" s="1"/>
      <c r="M62" s="87"/>
      <c r="N62" s="87"/>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c r="A63" s="1"/>
      <c r="C63" s="66" t="str">
        <f t="array" ref="C63">INDEX('Queen MIDI'!$C$4:$C$66,MATCH(F63,'Queen MIDI'!$D$4:$D$66,0))</f>
        <v>You Don't Fool Me</v>
      </c>
      <c r="D63" s="118">
        <v>0.0</v>
      </c>
      <c r="E63" s="118" t="s">
        <v>415</v>
      </c>
      <c r="F63" s="66" t="str">
        <f t="shared" si="2"/>
        <v>You Don_t Fool Me.mid</v>
      </c>
      <c r="G63" s="122">
        <f>HLOOKUP(H63,'Queen Discography'!$C$2:$Q$3,2,FALSE)</f>
        <v>1995</v>
      </c>
      <c r="H63" s="66" t="str">
        <f>IF(COUNTIF('Queen Discography'!$C$4:$C$22,C63)&gt;0,"Queen",
IF(COUNTIF('Queen Discography'!$D$4:$D$22,C63)&gt;0,"Queen II",
IF(COUNTIF('Queen Discography'!$E$4:$E$22,C63)&gt;0,"Sheer Heart Attack",
IF(COUNTIF('Queen Discography'!$F$4:$F$22,C63)&gt;0,"A Night At The Opera",
IF(COUNTIF('Queen Discography'!$G$4:$G$22,C63)&gt;0,"A Day At The Races",
IF(COUNTIF('Queen Discography'!$H$4:$H$22,C63)&gt;0,"News Of The World",
IF(COUNTIF('Queen Discography'!$I$4:$I$22,C63)&gt;0,"Jazz",
IF(COUNTIF('Queen Discography'!$J$4:$J$22,C63)&gt;0,"The Game",
IF(COUNTIF('Queen Discography'!$K$4:$K$22,C63)&gt;0,"Flash Gordon",
IF(COUNTIF('Queen Discography'!$L$4:$L$22,C63)&gt;0,"Hot Space",
IF(COUNTIF('Queen Discography'!$M$4:$M$22,C63)&gt;0,"The Works",
IF(COUNTIF('Queen Discography'!$N$4:$N$22,C63)&gt;0,"A Kind Of Magic",
IF(COUNTIF('Queen Discography'!$O$4:$O$22,C63)&gt;0,"The Miracle",
IF(COUNTIF('Queen Discography'!$P$4:$P$22,C63)&gt;0,"Innuendo",
IF(COUNTIF('Queen Discography'!$Q$4:$Q$22,C63)&gt;0,"Made In Heaven","NOT FOUND")))))))))))))))</f>
        <v>Made In Heaven</v>
      </c>
      <c r="I63" s="1"/>
      <c r="J63" s="1"/>
      <c r="K63" s="1"/>
      <c r="L63" s="1"/>
      <c r="M63" s="87"/>
      <c r="N63" s="87"/>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row>
    <row r="64">
      <c r="A64" s="1"/>
      <c r="C64" s="66" t="str">
        <f t="array" ref="C64">INDEX('Queen MIDI'!$C$4:$C$66,MATCH(F64,'Queen MIDI'!$D$4:$D$66,0))</f>
        <v>Living on My Own</v>
      </c>
      <c r="D64" s="118">
        <v>0.0</v>
      </c>
      <c r="E64" s="118" t="s">
        <v>416</v>
      </c>
      <c r="F64" s="66" t="str">
        <f t="shared" si="2"/>
        <v>Living on My Own.mid</v>
      </c>
      <c r="G64" s="128" t="str">
        <f>HLOOKUP(H64,'Queen Discography'!$C$2:$Q$3,2,FALSE)</f>
        <v>#N/A</v>
      </c>
      <c r="H64" s="66" t="str">
        <f>IF(COUNTIF('Queen Discography'!$C$4:$C$22,C64)&gt;0,"Queen",
IF(COUNTIF('Queen Discography'!$D$4:$D$22,C64)&gt;0,"Queen II",
IF(COUNTIF('Queen Discography'!$E$4:$E$22,C64)&gt;0,"Sheer Heart Attack",
IF(COUNTIF('Queen Discography'!$F$4:$F$22,C64)&gt;0,"A Night At The Opera",
IF(COUNTIF('Queen Discography'!$G$4:$G$22,C64)&gt;0,"A Day At The Races",
IF(COUNTIF('Queen Discography'!$H$4:$H$22,C64)&gt;0,"News Of The World",
IF(COUNTIF('Queen Discography'!$I$4:$I$22,C64)&gt;0,"Jazz",
IF(COUNTIF('Queen Discography'!$J$4:$J$22,C64)&gt;0,"The Game",
IF(COUNTIF('Queen Discography'!$K$4:$K$22,C64)&gt;0,"Flash Gordon",
IF(COUNTIF('Queen Discography'!$L$4:$L$22,C64)&gt;0,"Hot Space",
IF(COUNTIF('Queen Discography'!$M$4:$M$22,C64)&gt;0,"The Works",
IF(COUNTIF('Queen Discography'!$N$4:$N$22,C64)&gt;0,"A Kind Of Magic",
IF(COUNTIF('Queen Discography'!$O$4:$O$22,C64)&gt;0,"The Miracle",
IF(COUNTIF('Queen Discography'!$P$4:$P$22,C64)&gt;0,"Innuendo",
IF(COUNTIF('Queen Discography'!$Q$4:$Q$22,C64)&gt;0,"Made In Heaven","NOT FOUND")))))))))))))))</f>
        <v>NOT FOUND</v>
      </c>
      <c r="I64" s="1"/>
      <c r="J64" s="1"/>
      <c r="K64" s="1"/>
      <c r="L64" s="1"/>
      <c r="M64" s="87"/>
      <c r="N64" s="87"/>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row>
    <row r="65">
      <c r="A65" s="1"/>
      <c r="C65" s="66" t="str">
        <f t="array" ref="C65">INDEX('Queen MIDI'!$C$4:$C$66,MATCH(F65,'Queen MIDI'!$D$4:$D$66,0))</f>
        <v>The Great Pretender</v>
      </c>
      <c r="D65" s="118">
        <v>1.0</v>
      </c>
      <c r="E65" s="118" t="s">
        <v>418</v>
      </c>
      <c r="F65" s="66" t="str">
        <f t="shared" si="2"/>
        <v>The Great Pretender.mid</v>
      </c>
      <c r="G65" s="120" t="str">
        <f>HLOOKUP(H65,'Queen Discography'!$C$2:$Q$3,2,FALSE)</f>
        <v>#N/A</v>
      </c>
      <c r="H65" s="66" t="str">
        <f>IF(COUNTIF('Queen Discography'!$C$4:$C$22,C65)&gt;0,"Queen",
IF(COUNTIF('Queen Discography'!$D$4:$D$22,C65)&gt;0,"Queen II",
IF(COUNTIF('Queen Discography'!$E$4:$E$22,C65)&gt;0,"Sheer Heart Attack",
IF(COUNTIF('Queen Discography'!$F$4:$F$22,C65)&gt;0,"A Night At The Opera",
IF(COUNTIF('Queen Discography'!$G$4:$G$22,C65)&gt;0,"A Day At The Races",
IF(COUNTIF('Queen Discography'!$H$4:$H$22,C65)&gt;0,"News Of The World",
IF(COUNTIF('Queen Discography'!$I$4:$I$22,C65)&gt;0,"Jazz",
IF(COUNTIF('Queen Discography'!$J$4:$J$22,C65)&gt;0,"The Game",
IF(COUNTIF('Queen Discography'!$K$4:$K$22,C65)&gt;0,"Flash Gordon",
IF(COUNTIF('Queen Discography'!$L$4:$L$22,C65)&gt;0,"Hot Space",
IF(COUNTIF('Queen Discography'!$M$4:$M$22,C65)&gt;0,"The Works",
IF(COUNTIF('Queen Discography'!$N$4:$N$22,C65)&gt;0,"A Kind Of Magic",
IF(COUNTIF('Queen Discography'!$O$4:$O$22,C65)&gt;0,"The Miracle",
IF(COUNTIF('Queen Discography'!$P$4:$P$22,C65)&gt;0,"Innuendo",
IF(COUNTIF('Queen Discography'!$Q$4:$Q$22,C65)&gt;0,"Made In Heaven","NOT FOUND")))))))))))))))</f>
        <v>NOT FOUND</v>
      </c>
      <c r="I65" s="1"/>
      <c r="J65" s="1"/>
      <c r="K65" s="1"/>
      <c r="L65" s="1"/>
      <c r="M65" s="87"/>
      <c r="N65" s="87"/>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row>
    <row r="66">
      <c r="A66" s="1"/>
      <c r="C66" s="66" t="str">
        <f t="array" ref="C66">INDEX('Queen MIDI'!$C$4:$C$66,MATCH(F66,'Queen MIDI'!$D$4:$D$66,0))</f>
        <v>Procession</v>
      </c>
      <c r="D66" s="118">
        <v>2.0</v>
      </c>
      <c r="E66" s="118" t="s">
        <v>417</v>
      </c>
      <c r="F66" s="66" t="str">
        <f t="shared" si="2"/>
        <v>Procession.mid</v>
      </c>
      <c r="G66" s="124">
        <f>HLOOKUP(H66,'Queen Discography'!$C$2:$Q$3,2,FALSE)</f>
        <v>1974</v>
      </c>
      <c r="H66" s="66" t="str">
        <f>IF(COUNTIF('Queen Discography'!$C$4:$C$22,C66)&gt;0,"Queen",
IF(COUNTIF('Queen Discography'!$D$4:$D$22,C66)&gt;0,"Queen II",
IF(COUNTIF('Queen Discography'!$E$4:$E$22,C66)&gt;0,"Sheer Heart Attack",
IF(COUNTIF('Queen Discography'!$F$4:$F$22,C66)&gt;0,"A Night At The Opera",
IF(COUNTIF('Queen Discography'!$G$4:$G$22,C66)&gt;0,"A Day At The Races",
IF(COUNTIF('Queen Discography'!$H$4:$H$22,C66)&gt;0,"News Of The World",
IF(COUNTIF('Queen Discography'!$I$4:$I$22,C66)&gt;0,"Jazz",
IF(COUNTIF('Queen Discography'!$J$4:$J$22,C66)&gt;0,"The Game",
IF(COUNTIF('Queen Discography'!$K$4:$K$22,C66)&gt;0,"Flash Gordon",
IF(COUNTIF('Queen Discography'!$L$4:$L$22,C66)&gt;0,"Hot Space",
IF(COUNTIF('Queen Discography'!$M$4:$M$22,C66)&gt;0,"The Works",
IF(COUNTIF('Queen Discography'!$N$4:$N$22,C66)&gt;0,"A Kind Of Magic",
IF(COUNTIF('Queen Discography'!$O$4:$O$22,C66)&gt;0,"The Miracle",
IF(COUNTIF('Queen Discography'!$P$4:$P$22,C66)&gt;0,"Innuendo",
IF(COUNTIF('Queen Discography'!$Q$4:$Q$22,C66)&gt;0,"Made In Heaven","NOT FOUND")))))))))))))))</f>
        <v>Queen II</v>
      </c>
      <c r="I66" s="1"/>
      <c r="J66" s="1"/>
      <c r="K66" s="1"/>
      <c r="L66" s="1"/>
      <c r="M66" s="87"/>
      <c r="N66" s="87"/>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row>
    <row r="67">
      <c r="A67" s="1"/>
      <c r="B67" s="19"/>
      <c r="C67" s="1"/>
      <c r="D67" s="1"/>
      <c r="E67" s="1"/>
      <c r="F67" s="1"/>
      <c r="G67" s="114"/>
      <c r="H67" s="1"/>
      <c r="I67" s="1"/>
      <c r="J67" s="1"/>
      <c r="K67" s="1"/>
      <c r="L67" s="1"/>
      <c r="M67" s="87"/>
      <c r="N67" s="87"/>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row>
  </sheetData>
  <autoFilter ref="$C$3:$H$66">
    <sortState ref="C3:H66">
      <sortCondition ref="D3:D66"/>
      <sortCondition ref="G3:G66"/>
      <sortCondition ref="H3:H66"/>
    </sortState>
  </autoFilter>
  <mergeCells count="3">
    <mergeCell ref="C2:H2"/>
    <mergeCell ref="J2:BD2"/>
    <mergeCell ref="B4:B66"/>
  </mergeCells>
  <conditionalFormatting sqref="J4:BD21">
    <cfRule type="expression" dxfId="16" priority="1">
      <formula>$BD4=0</formula>
    </cfRule>
  </conditionalFormatting>
  <conditionalFormatting sqref="AF4:AU21">
    <cfRule type="expression" dxfId="17" priority="2">
      <formula>AND(AF4:AU4=MAX($AF4:$AU4),$BD4&lt;2)</formula>
    </cfRule>
  </conditionalFormatting>
  <conditionalFormatting sqref="P4:AE21">
    <cfRule type="expression" dxfId="18" priority="3">
      <formula>AND(P4:AE4=MAX($P4:$AE4),$BD4&lt;2)</formula>
    </cfRule>
  </conditionalFormatting>
  <conditionalFormatting sqref="J4:BD21">
    <cfRule type="expression" dxfId="19" priority="4">
      <formula>$BD4&lt;2</formula>
    </cfRule>
  </conditionalFormatting>
  <conditionalFormatting sqref="P4:AE21">
    <cfRule type="expression" dxfId="20" priority="5">
      <formula>P4:AE4=MAX($P4:$AE4)</formula>
    </cfRule>
  </conditionalFormatting>
  <conditionalFormatting sqref="AF4:AU21">
    <cfRule type="expression" dxfId="21" priority="6">
      <formula>AF4:AU4=MAX($AF4:$AU4)</formula>
    </cfRule>
  </conditionalFormatting>
  <conditionalFormatting sqref="C4:H66">
    <cfRule type="expression" dxfId="0" priority="7">
      <formula>$H4="NOT FOUND"</formula>
    </cfRule>
  </conditionalFormatting>
  <conditionalFormatting sqref="C4:H66">
    <cfRule type="expression" dxfId="1" priority="8">
      <formula>$H4="Queen"</formula>
    </cfRule>
  </conditionalFormatting>
  <conditionalFormatting sqref="C4:H66">
    <cfRule type="expression" dxfId="2" priority="9">
      <formula>$H4="Queen II"</formula>
    </cfRule>
  </conditionalFormatting>
  <conditionalFormatting sqref="C4:H66">
    <cfRule type="expression" dxfId="3" priority="10">
      <formula>$H4="Sheer Heart Attack"</formula>
    </cfRule>
  </conditionalFormatting>
  <conditionalFormatting sqref="C4:H66">
    <cfRule type="expression" dxfId="4" priority="11">
      <formula>$H4="A Night At The Opera"</formula>
    </cfRule>
  </conditionalFormatting>
  <conditionalFormatting sqref="C4:H66">
    <cfRule type="expression" dxfId="5" priority="12">
      <formula>$H4="A Day At The Races"</formula>
    </cfRule>
  </conditionalFormatting>
  <conditionalFormatting sqref="C4:H66">
    <cfRule type="expression" dxfId="6" priority="13">
      <formula>$H4="News Of The World"</formula>
    </cfRule>
  </conditionalFormatting>
  <conditionalFormatting sqref="C4:H66">
    <cfRule type="expression" dxfId="7" priority="14">
      <formula>$H4="Jazz"</formula>
    </cfRule>
  </conditionalFormatting>
  <conditionalFormatting sqref="C4:H66">
    <cfRule type="expression" dxfId="8" priority="15">
      <formula>$H4="The Game"</formula>
    </cfRule>
  </conditionalFormatting>
  <conditionalFormatting sqref="C4:H66">
    <cfRule type="expression" dxfId="9" priority="16">
      <formula>$H4="Flash Gordon"</formula>
    </cfRule>
  </conditionalFormatting>
  <conditionalFormatting sqref="C4:H66">
    <cfRule type="expression" dxfId="10" priority="17">
      <formula>$H4="Hot Space"</formula>
    </cfRule>
  </conditionalFormatting>
  <conditionalFormatting sqref="C4:H66">
    <cfRule type="expression" dxfId="11" priority="18">
      <formula>$H4="The Works"</formula>
    </cfRule>
  </conditionalFormatting>
  <conditionalFormatting sqref="C4:H66">
    <cfRule type="expression" dxfId="12" priority="19">
      <formula>$H4="A Kind Of Magic"</formula>
    </cfRule>
  </conditionalFormatting>
  <conditionalFormatting sqref="C4:H66">
    <cfRule type="expression" dxfId="13" priority="20">
      <formula>$H4="The Miracle"</formula>
    </cfRule>
  </conditionalFormatting>
  <conditionalFormatting sqref="C4:H66">
    <cfRule type="expression" dxfId="14" priority="21">
      <formula>$H4="Innuendo"</formula>
    </cfRule>
  </conditionalFormatting>
  <conditionalFormatting sqref="C4:H66">
    <cfRule type="expression" dxfId="15" priority="22">
      <formula>$H4="Made In Heaven"</formula>
    </cfRule>
  </conditionalFormatting>
  <conditionalFormatting sqref="G4:H4">
    <cfRule type="expression" dxfId="0" priority="23">
      <formula>$H4="NOT FOUND"</formula>
    </cfRule>
  </conditionalFormatting>
  <printOptions gridLines="1" horizontalCentered="1"/>
  <pageMargins bottom="0.75" footer="0.0" header="0.0" left="0.25" right="0.25" top="0.75"/>
  <pageSetup fitToHeight="0" orientation="landscape" pageOrder="overThenDown" paperHeight="16in" paperWidth="16in"/>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pane xSplit="2.0" topLeftCell="C1" activePane="topRight" state="frozen"/>
      <selection activeCell="D2" sqref="D2" pane="topRight"/>
    </sheetView>
  </sheetViews>
  <sheetFormatPr customHeight="1" defaultColWidth="12.63" defaultRowHeight="15.0" outlineLevelCol="1"/>
  <cols>
    <col customWidth="1" min="1" max="1" width="2.75"/>
    <col customWidth="1" min="3" max="3" width="24.63"/>
    <col collapsed="1" customWidth="1" min="4" max="4" width="2.5"/>
    <col customWidth="1" hidden="1" min="5" max="5" width="2.5" outlineLevel="1"/>
    <col customWidth="1" hidden="1" min="6" max="6" width="30.25" outlineLevel="1"/>
    <col customWidth="1" min="7" max="7" width="6.75"/>
    <col customWidth="1" min="8" max="8" width="16.75"/>
    <col customWidth="1" min="9" max="9" width="2.75"/>
    <col customWidth="1" min="10" max="10" width="6.38"/>
    <col customWidth="1" min="11" max="14" width="5.75"/>
    <col collapsed="1" customWidth="1" min="15" max="15" width="5.75"/>
    <col customWidth="1" hidden="1" min="16" max="47" width="5.75" outlineLevel="1"/>
    <col customWidth="1" min="48" max="48" width="17.63"/>
    <col customWidth="1" min="49" max="50" width="6.38"/>
    <col customWidth="1" min="51" max="51" width="15.38"/>
    <col customWidth="1" min="52" max="54" width="6.38"/>
    <col customWidth="1" min="55" max="56" width="5.75"/>
    <col customWidth="1" min="57" max="57" width="2.75"/>
  </cols>
  <sheetData>
    <row r="1">
      <c r="A1" s="1" t="s">
        <v>0</v>
      </c>
      <c r="B1" s="1"/>
      <c r="C1" s="1"/>
      <c r="D1" s="1"/>
      <c r="E1" s="1"/>
      <c r="F1" s="1"/>
      <c r="G1" s="114"/>
      <c r="H1" s="1"/>
      <c r="I1" s="1"/>
      <c r="J1" s="1"/>
      <c r="K1" s="1"/>
      <c r="L1" s="1"/>
      <c r="M1" s="1"/>
      <c r="N1" s="87"/>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ht="31.5" customHeight="1">
      <c r="A2" s="2"/>
      <c r="B2" s="56"/>
      <c r="C2" s="115" t="s">
        <v>423</v>
      </c>
      <c r="I2" s="19"/>
      <c r="J2" s="89" t="s">
        <v>337</v>
      </c>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19"/>
    </row>
    <row r="3" ht="31.5" customHeight="1">
      <c r="A3" s="2"/>
      <c r="B3" s="60"/>
      <c r="C3" s="61" t="s">
        <v>185</v>
      </c>
      <c r="D3" s="61" t="s">
        <v>338</v>
      </c>
      <c r="E3" s="61" t="s">
        <v>339</v>
      </c>
      <c r="F3" s="61" t="s">
        <v>186</v>
      </c>
      <c r="G3" s="61" t="s">
        <v>340</v>
      </c>
      <c r="H3" s="61" t="s">
        <v>187</v>
      </c>
      <c r="I3" s="36"/>
      <c r="J3" s="92" t="s">
        <v>341</v>
      </c>
      <c r="K3" s="92" t="s">
        <v>342</v>
      </c>
      <c r="L3" s="92" t="s">
        <v>343</v>
      </c>
      <c r="M3" s="92" t="s">
        <v>344</v>
      </c>
      <c r="N3" s="93" t="s">
        <v>345</v>
      </c>
      <c r="O3" s="92" t="s">
        <v>346</v>
      </c>
      <c r="P3" s="94" t="str">
        <f t="array" ref="P3:AE3">TRANSPOSE('Queen MIDI'!$H$4:$H$19)</f>
        <v>Queen</v>
      </c>
      <c r="Q3" s="94" t="s">
        <v>2</v>
      </c>
      <c r="R3" s="94" t="s">
        <v>3</v>
      </c>
      <c r="S3" s="94" t="s">
        <v>4</v>
      </c>
      <c r="T3" s="94" t="s">
        <v>5</v>
      </c>
      <c r="U3" s="94" t="s">
        <v>6</v>
      </c>
      <c r="V3" s="94" t="s">
        <v>7</v>
      </c>
      <c r="W3" s="94" t="s">
        <v>8</v>
      </c>
      <c r="X3" s="94" t="s">
        <v>9</v>
      </c>
      <c r="Y3" s="94" t="s">
        <v>10</v>
      </c>
      <c r="Z3" s="94" t="s">
        <v>11</v>
      </c>
      <c r="AA3" s="94" t="s">
        <v>12</v>
      </c>
      <c r="AB3" s="94" t="s">
        <v>13</v>
      </c>
      <c r="AC3" s="94" t="s">
        <v>14</v>
      </c>
      <c r="AD3" s="94" t="s">
        <v>15</v>
      </c>
      <c r="AE3" s="94" t="s">
        <v>227</v>
      </c>
      <c r="AF3" s="94" t="str">
        <f t="array" ref="AF3:AU3">TRANSPOSE('Queen MIDI'!$H$4:$H$19)</f>
        <v>Queen</v>
      </c>
      <c r="AG3" s="94" t="s">
        <v>2</v>
      </c>
      <c r="AH3" s="94" t="s">
        <v>3</v>
      </c>
      <c r="AI3" s="94" t="s">
        <v>4</v>
      </c>
      <c r="AJ3" s="94" t="s">
        <v>5</v>
      </c>
      <c r="AK3" s="94" t="s">
        <v>6</v>
      </c>
      <c r="AL3" s="94" t="s">
        <v>7</v>
      </c>
      <c r="AM3" s="94" t="s">
        <v>8</v>
      </c>
      <c r="AN3" s="94" t="s">
        <v>9</v>
      </c>
      <c r="AO3" s="94" t="s">
        <v>10</v>
      </c>
      <c r="AP3" s="94" t="s">
        <v>11</v>
      </c>
      <c r="AQ3" s="94" t="s">
        <v>12</v>
      </c>
      <c r="AR3" s="94" t="s">
        <v>13</v>
      </c>
      <c r="AS3" s="94" t="s">
        <v>14</v>
      </c>
      <c r="AT3" s="94" t="s">
        <v>15</v>
      </c>
      <c r="AU3" s="94" t="s">
        <v>227</v>
      </c>
      <c r="AV3" s="92" t="s">
        <v>347</v>
      </c>
      <c r="AW3" s="92" t="s">
        <v>348</v>
      </c>
      <c r="AX3" s="92" t="s">
        <v>349</v>
      </c>
      <c r="AY3" s="92" t="s">
        <v>350</v>
      </c>
      <c r="AZ3" s="92" t="s">
        <v>351</v>
      </c>
      <c r="BA3" s="92" t="s">
        <v>352</v>
      </c>
      <c r="BB3" s="92" t="s">
        <v>353</v>
      </c>
      <c r="BC3" s="166" t="s">
        <v>354</v>
      </c>
      <c r="BD3" s="92" t="s">
        <v>355</v>
      </c>
      <c r="BE3" s="36"/>
    </row>
    <row r="4">
      <c r="A4" s="1"/>
      <c r="B4" s="56" t="str">
        <f>CONCATENATE("Songs",CHAR(10),"(",COUNTA(C4:C66),")")</f>
        <v>Songs
(63)</v>
      </c>
      <c r="C4" s="66" t="str">
        <f t="array" ref="C4">INDEX('Queen MIDI'!$C$4:$C$66,MATCH(F4,'Queen MIDI'!$D$4:$D$66,0))</f>
        <v>A Kind of Magic</v>
      </c>
      <c r="D4" s="117">
        <v>0.0</v>
      </c>
      <c r="E4" s="118" t="s">
        <v>390</v>
      </c>
      <c r="F4" s="66" t="str">
        <f t="shared" ref="F4:F66" si="2">RIGHT(E4,LEN(E4)-75)</f>
        <v>A Kind of Magic.1.mid</v>
      </c>
      <c r="G4" s="126">
        <f>HLOOKUP(H4,'Queen Discography'!$C$2:$Q$3,2,FALSE)</f>
        <v>1986</v>
      </c>
      <c r="H4" s="66" t="str">
        <f>IF(COUNTIF('Queen Discography'!$C$4:$C$22,C4)&gt;0,"Queen",
IF(COUNTIF('Queen Discography'!$D$4:$D$22,C4)&gt;0,"Queen II",
IF(COUNTIF('Queen Discography'!$E$4:$E$22,C4)&gt;0,"Sheer Heart Attack",
IF(COUNTIF('Queen Discography'!$F$4:$F$22,C4)&gt;0,"A Night At The Opera",
IF(COUNTIF('Queen Discography'!$G$4:$G$22,C4)&gt;0,"A Day At The Races",
IF(COUNTIF('Queen Discography'!$H$4:$H$22,C4)&gt;0,"News Of The World",
IF(COUNTIF('Queen Discography'!$I$4:$I$22,C4)&gt;0,"Jazz",
IF(COUNTIF('Queen Discography'!$J$4:$J$22,C4)&gt;0,"The Game",
IF(COUNTIF('Queen Discography'!$K$4:$K$22,C4)&gt;0,"Flash Gordon",
IF(COUNTIF('Queen Discography'!$L$4:$L$22,C4)&gt;0,"Hot Space",
IF(COUNTIF('Queen Discography'!$M$4:$M$22,C4)&gt;0,"The Works",
IF(COUNTIF('Queen Discography'!$N$4:$N$22,C4)&gt;0,"A Kind Of Magic",
IF(COUNTIF('Queen Discography'!$O$4:$O$22,C4)&gt;0,"The Miracle",
IF(COUNTIF('Queen Discography'!$P$4:$P$22,C4)&gt;0,"Innuendo",
IF(COUNTIF('Queen Discography'!$Q$4:$Q$22,C4)&gt;0,"Made In Heaven","NOT FOUND")))))))))))))))</f>
        <v>A Kind Of Magic</v>
      </c>
      <c r="I4" s="1"/>
      <c r="J4" s="98">
        <v>0.0</v>
      </c>
      <c r="K4" s="99">
        <f>IF(MINIFS($G$4:$G$66,$D$4:$D$66,$J4,$G$4:$G$66,"&lt;&gt;#N/A")=0,"N/A",MINIFS($G$4:$G$66,$D$4:$D$66,$J4,$G$4:$G$66,"&lt;&gt;#N/A"))</f>
        <v>1986</v>
      </c>
      <c r="L4" s="99">
        <f t="shared" ref="L4:L21" si="3">IF(MAXIFS($G$4:$G$66,$D$4:$D$66,$J4,$G$4:$G$66,"&lt;&gt;#N/A")=0,"N/A",MAXIFS($G$4:$G$66,$D$4:$D$66,$J4,$G$4:$G$66,"&lt;&gt;#N/A"))</f>
        <v>1986</v>
      </c>
      <c r="M4" s="99">
        <f t="shared" ref="M4:M21" si="4">IFERROR(ROUND(AVERAGEIFS($G$4:$G$66,$D$4:$D$66,$J4,$G$4:$G$66,"&lt;&gt;#N/A"),0),"N/A")</f>
        <v>1986</v>
      </c>
      <c r="N4" s="100">
        <f>IFERROR(__xludf.DUMMYFUNCTION("IFERROR(MEDIAN(FILTER($G$4:$G$66,$D$4:$D$66=$J4,ISNUMBER($G$4:$G$66))),""N/A"")"),1986.0)</f>
        <v>1986</v>
      </c>
      <c r="O4" s="99" t="str">
        <f>IFERROR(__xludf.DUMMYFUNCTION("IFERROR(MODE(FILTER($G$4:$G$66,$D$4:$D$66=$J4,ISNUMBER($G$4:$G$66))),""N/A"")"),"N/A")</f>
        <v>N/A</v>
      </c>
      <c r="P4" s="99">
        <f t="shared" ref="P4:AE4" si="1">COUNTIFS($H$4:$H$66,P$3,$D$4:$D$66,$J4)</f>
        <v>0</v>
      </c>
      <c r="Q4" s="99">
        <f t="shared" si="1"/>
        <v>0</v>
      </c>
      <c r="R4" s="99">
        <f t="shared" si="1"/>
        <v>0</v>
      </c>
      <c r="S4" s="99">
        <f t="shared" si="1"/>
        <v>0</v>
      </c>
      <c r="T4" s="99">
        <f t="shared" si="1"/>
        <v>0</v>
      </c>
      <c r="U4" s="99">
        <f t="shared" si="1"/>
        <v>0</v>
      </c>
      <c r="V4" s="99">
        <f t="shared" si="1"/>
        <v>0</v>
      </c>
      <c r="W4" s="99">
        <f t="shared" si="1"/>
        <v>0</v>
      </c>
      <c r="X4" s="99">
        <f t="shared" si="1"/>
        <v>0</v>
      </c>
      <c r="Y4" s="99">
        <f t="shared" si="1"/>
        <v>0</v>
      </c>
      <c r="Z4" s="99">
        <f t="shared" si="1"/>
        <v>0</v>
      </c>
      <c r="AA4" s="99">
        <f t="shared" si="1"/>
        <v>1</v>
      </c>
      <c r="AB4" s="99">
        <f t="shared" si="1"/>
        <v>0</v>
      </c>
      <c r="AC4" s="99">
        <f t="shared" si="1"/>
        <v>0</v>
      </c>
      <c r="AD4" s="99">
        <f t="shared" si="1"/>
        <v>0</v>
      </c>
      <c r="AE4" s="99">
        <f t="shared" si="1"/>
        <v>0</v>
      </c>
      <c r="AF4" s="101">
        <f t="array" ref="AF4:AU4">IFERROR(P4:AE4*TRANSPOSE('Queen MIDI'!$J$4:$J$19),"N/A")</f>
        <v>0</v>
      </c>
      <c r="AG4" s="101">
        <v>0.0</v>
      </c>
      <c r="AH4" s="101">
        <v>0.0</v>
      </c>
      <c r="AI4" s="101">
        <v>0.0</v>
      </c>
      <c r="AJ4" s="101">
        <v>0.0</v>
      </c>
      <c r="AK4" s="101">
        <v>0.0</v>
      </c>
      <c r="AL4" s="101">
        <v>0.0</v>
      </c>
      <c r="AM4" s="101">
        <v>0.0</v>
      </c>
      <c r="AN4" s="101" t="s">
        <v>357</v>
      </c>
      <c r="AO4" s="101">
        <v>0.0</v>
      </c>
      <c r="AP4" s="101">
        <v>0.0</v>
      </c>
      <c r="AQ4" s="102">
        <v>0.7875</v>
      </c>
      <c r="AR4" s="102">
        <v>0.0</v>
      </c>
      <c r="AS4" s="102">
        <v>0.0</v>
      </c>
      <c r="AT4" s="101">
        <v>0.0</v>
      </c>
      <c r="AU4" s="101">
        <v>0.0</v>
      </c>
      <c r="AV4" s="99" t="str">
        <f>IFERROR(__xludf.DUMMYFUNCTION("JOIN("", "",FILTER($P$3:$AE$3,$P4:$AE4=MAX($P4:$AE4)))"),"A Kind Of Magic")</f>
        <v>A Kind Of Magic</v>
      </c>
      <c r="AW4" s="99">
        <f t="shared" ref="AW4:AW21" si="6">MAX($P4:$AE4)</f>
        <v>1</v>
      </c>
      <c r="AX4" s="99">
        <f>IFERROR(__xludf.DUMMYFUNCTION("COUNTA(FILTER($P$3:$AE$3,$P4:$AE4=MAX($P4:$AE4)))"),1.0)</f>
        <v>1</v>
      </c>
      <c r="AY4" s="99" t="str">
        <f>IFERROR(__xludf.DUMMYFUNCTION("IFERROR(JOIN("", "",FILTER($AF$3:$AU$3,$AF4:$AU4=MAXIFS($AF4:$AU4,$AF$23:$AU$23,TRUE),$AF$23:$AU$23)),""N/A"")"),"A Kind Of Magic")</f>
        <v>A Kind Of Magic</v>
      </c>
      <c r="AZ4" s="103" t="str">
        <f>IFERROR(__xludf.DUMMYFUNCTION("IFERROR(JOIN("", "",FILTER($P4:$AE4,$AF4:$AU4=MAXIFS($AF4:$AU4,$AF$23:$AU$23,TRUE),$AF$23:$AU$23)),""N/A"")"),"1")</f>
        <v>1</v>
      </c>
      <c r="BA4" s="103">
        <f>MAXIFS(AF4:AU4,$AF$23:$AU$23,TRUE)/'Queen MIDI'!$J$20</f>
        <v>0.2</v>
      </c>
      <c r="BB4" s="98">
        <f>IFERROR(__xludf.DUMMYFUNCTION("COUNTA(IFERROR(FILTER($AF$3:$AU$3,$AF4:$AU4=MAXIFS($AF4:$AU4,$AF$23:$AU$23,TRUE),$AF$23:$AU$23),))"),1.0)</f>
        <v>1</v>
      </c>
      <c r="BC4" s="103">
        <f t="shared" ref="BC4:BC21" si="7">$BD4/$BD$22</f>
        <v>0.01587301587</v>
      </c>
      <c r="BD4" s="99">
        <f t="shared" ref="BD4:BD21" si="8">COUNTIF($D$4:$D$66,J4)</f>
        <v>1</v>
      </c>
      <c r="BE4" s="1"/>
    </row>
    <row r="5">
      <c r="A5" s="1"/>
      <c r="C5" s="66" t="str">
        <f t="array" ref="C5">INDEX('Queen MIDI'!$C$4:$C$66,MATCH(F5,'Queen MIDI'!$D$4:$D$66,0))</f>
        <v>Another One Bites The Dust</v>
      </c>
      <c r="D5" s="117">
        <v>1.0</v>
      </c>
      <c r="E5" s="118" t="s">
        <v>381</v>
      </c>
      <c r="F5" s="66" t="str">
        <f t="shared" si="2"/>
        <v>Another One Bites The Dust.1.mid</v>
      </c>
      <c r="G5" s="119">
        <f>HLOOKUP(H5,'Queen Discography'!$C$2:$Q$3,2,FALSE)</f>
        <v>1980</v>
      </c>
      <c r="H5" s="66" t="str">
        <f>IF(COUNTIF('Queen Discography'!$C$4:$C$22,C5)&gt;0,"Queen",
IF(COUNTIF('Queen Discography'!$D$4:$D$22,C5)&gt;0,"Queen II",
IF(COUNTIF('Queen Discography'!$E$4:$E$22,C5)&gt;0,"Sheer Heart Attack",
IF(COUNTIF('Queen Discography'!$F$4:$F$22,C5)&gt;0,"A Night At The Opera",
IF(COUNTIF('Queen Discography'!$G$4:$G$22,C5)&gt;0,"A Day At The Races",
IF(COUNTIF('Queen Discography'!$H$4:$H$22,C5)&gt;0,"News Of The World",
IF(COUNTIF('Queen Discography'!$I$4:$I$22,C5)&gt;0,"Jazz",
IF(COUNTIF('Queen Discography'!$J$4:$J$22,C5)&gt;0,"The Game",
IF(COUNTIF('Queen Discography'!$K$4:$K$22,C5)&gt;0,"Flash Gordon",
IF(COUNTIF('Queen Discography'!$L$4:$L$22,C5)&gt;0,"Hot Space",
IF(COUNTIF('Queen Discography'!$M$4:$M$22,C5)&gt;0,"The Works",
IF(COUNTIF('Queen Discography'!$N$4:$N$22,C5)&gt;0,"A Kind Of Magic",
IF(COUNTIF('Queen Discography'!$O$4:$O$22,C5)&gt;0,"The Miracle",
IF(COUNTIF('Queen Discography'!$P$4:$P$22,C5)&gt;0,"Innuendo",
IF(COUNTIF('Queen Discography'!$Q$4:$Q$22,C5)&gt;0,"Made In Heaven","NOT FOUND")))))))))))))))</f>
        <v>The Game</v>
      </c>
      <c r="I5" s="1"/>
      <c r="J5" s="98">
        <v>1.0</v>
      </c>
      <c r="K5" s="99">
        <f t="shared" ref="K5:K21" si="9">IF(MINIFS($G$4:$G$66,$D$4:$D$66,J5,$G$4:$G$66,"&lt;&gt;#N/A")=0,"N/A",MINIFS($G$4:$G$66,$D$4:$D$66,J5,$G$4:$G$66,"&lt;&gt;#N/A"))</f>
        <v>1980</v>
      </c>
      <c r="L5" s="99">
        <f t="shared" si="3"/>
        <v>1980</v>
      </c>
      <c r="M5" s="99">
        <f t="shared" si="4"/>
        <v>1980</v>
      </c>
      <c r="N5" s="99">
        <f>IFERROR(ROUND(AVERAGEIFS($G$4:$G$66,$D$4:$D$66,$J5,$G$4:$G$66,"&lt;&gt;#N/A"),0),"N/A")</f>
        <v>1980</v>
      </c>
      <c r="O5" s="99" t="str">
        <f>IFERROR(__xludf.DUMMYFUNCTION("IFERROR(MODE(FILTER($G$4:$G$66,$D$4:$D$66=$J5,ISNUMBER($G$4:$G$66))),""N/A"")"),"N/A")</f>
        <v>N/A</v>
      </c>
      <c r="P5" s="99">
        <f t="shared" ref="P5:AE5" si="5">COUNTIFS($H$4:$H$66,P$3,$D$4:$D$66,$J5)</f>
        <v>0</v>
      </c>
      <c r="Q5" s="99">
        <f t="shared" si="5"/>
        <v>0</v>
      </c>
      <c r="R5" s="99">
        <f t="shared" si="5"/>
        <v>0</v>
      </c>
      <c r="S5" s="99">
        <f t="shared" si="5"/>
        <v>0</v>
      </c>
      <c r="T5" s="99">
        <f t="shared" si="5"/>
        <v>0</v>
      </c>
      <c r="U5" s="99">
        <f t="shared" si="5"/>
        <v>0</v>
      </c>
      <c r="V5" s="99">
        <f t="shared" si="5"/>
        <v>0</v>
      </c>
      <c r="W5" s="99">
        <f t="shared" si="5"/>
        <v>1</v>
      </c>
      <c r="X5" s="99">
        <f t="shared" si="5"/>
        <v>0</v>
      </c>
      <c r="Y5" s="99">
        <f t="shared" si="5"/>
        <v>0</v>
      </c>
      <c r="Z5" s="99">
        <f t="shared" si="5"/>
        <v>0</v>
      </c>
      <c r="AA5" s="99">
        <f t="shared" si="5"/>
        <v>0</v>
      </c>
      <c r="AB5" s="99">
        <f t="shared" si="5"/>
        <v>0</v>
      </c>
      <c r="AC5" s="99">
        <f t="shared" si="5"/>
        <v>0</v>
      </c>
      <c r="AD5" s="99">
        <f t="shared" si="5"/>
        <v>0</v>
      </c>
      <c r="AE5" s="99">
        <f t="shared" si="5"/>
        <v>0</v>
      </c>
      <c r="AF5" s="101">
        <f t="array" ref="AF5:AU5">IFERROR(P5:AE5*TRANSPOSE('Queen MIDI'!$J$4:$J$19),"N/A")</f>
        <v>0</v>
      </c>
      <c r="AG5" s="101">
        <v>0.0</v>
      </c>
      <c r="AH5" s="101">
        <v>0.0</v>
      </c>
      <c r="AI5" s="101">
        <v>0.0</v>
      </c>
      <c r="AJ5" s="101">
        <v>0.0</v>
      </c>
      <c r="AK5" s="101">
        <v>0.0</v>
      </c>
      <c r="AL5" s="101">
        <v>0.0</v>
      </c>
      <c r="AM5" s="101">
        <v>0.984375</v>
      </c>
      <c r="AN5" s="101" t="s">
        <v>357</v>
      </c>
      <c r="AO5" s="101">
        <v>0.0</v>
      </c>
      <c r="AP5" s="101">
        <v>0.0</v>
      </c>
      <c r="AQ5" s="101">
        <v>0.0</v>
      </c>
      <c r="AR5" s="101">
        <v>0.0</v>
      </c>
      <c r="AS5" s="101">
        <v>0.0</v>
      </c>
      <c r="AT5" s="101">
        <v>0.0</v>
      </c>
      <c r="AU5" s="101">
        <v>0.0</v>
      </c>
      <c r="AV5" s="99" t="str">
        <f>IFERROR(__xludf.DUMMYFUNCTION("JOIN("", "",FILTER($P$3:$AE$3,$P5:$AE5=MAX($P5:$AE5)))"),"The Game")</f>
        <v>The Game</v>
      </c>
      <c r="AW5" s="99">
        <f t="shared" si="6"/>
        <v>1</v>
      </c>
      <c r="AX5" s="99">
        <f>IFERROR(__xludf.DUMMYFUNCTION("COUNTA(FILTER($P$3:$AE$3,$P5:$AE5=MAX($P5:$AE5)))"),1.0)</f>
        <v>1</v>
      </c>
      <c r="AY5" s="99" t="str">
        <f>IFERROR(__xludf.DUMMYFUNCTION("IFERROR(JOIN("", "",FILTER($AF$3:$AU$3,$AF5:$AU5=MAXIFS($AF5:$AU5,$AF$23:$AU$23,TRUE),$AF$23:$AU$23)),""N/A"")"),"The Game")</f>
        <v>The Game</v>
      </c>
      <c r="AZ5" s="103" t="str">
        <f>IFERROR(__xludf.DUMMYFUNCTION("IFERROR(JOIN("", "",FILTER($P5:$AE5,$AF5:$AU5=MAXIFS($AF5:$AU5,$AF$23:$AU$23,TRUE),$AF$23:$AU$23)),""N/A"")"),"1")</f>
        <v>1</v>
      </c>
      <c r="BA5" s="103">
        <f>MAXIFS(AF5:AU5,$AF$23:$AU$23,TRUE)/'Queen MIDI'!$J$20</f>
        <v>0.25</v>
      </c>
      <c r="BB5" s="98">
        <f>IFERROR(__xludf.DUMMYFUNCTION("COUNTA(IFERROR(FILTER($AF$3:$AU$3,$AF5:$AU5=MAXIFS($AF5:$AU5,$AF$23:$AU$23,TRUE),$AF$23:$AU$23),))"),1.0)</f>
        <v>1</v>
      </c>
      <c r="BC5" s="103">
        <f t="shared" si="7"/>
        <v>0.01587301587</v>
      </c>
      <c r="BD5" s="99">
        <f t="shared" si="8"/>
        <v>1</v>
      </c>
      <c r="BE5" s="1"/>
    </row>
    <row r="6">
      <c r="A6" s="1"/>
      <c r="C6" s="66" t="str">
        <f t="array" ref="C6">INDEX('Queen MIDI'!$C$4:$C$66,MATCH(F6,'Queen MIDI'!$D$4:$D$66,0))</f>
        <v>Son and Daughter</v>
      </c>
      <c r="D6" s="117">
        <v>2.0</v>
      </c>
      <c r="E6" s="118" t="s">
        <v>360</v>
      </c>
      <c r="F6" s="66" t="str">
        <f t="shared" si="2"/>
        <v>Son and Daughter.1.mid</v>
      </c>
      <c r="G6" s="127">
        <f>HLOOKUP(H6,'Queen Discography'!$C$2:$Q$3,2,FALSE)</f>
        <v>1973</v>
      </c>
      <c r="H6" s="66" t="str">
        <f>IF(COUNTIF('Queen Discography'!$C$4:$C$22,C6)&gt;0,"Queen",
IF(COUNTIF('Queen Discography'!$D$4:$D$22,C6)&gt;0,"Queen II",
IF(COUNTIF('Queen Discography'!$E$4:$E$22,C6)&gt;0,"Sheer Heart Attack",
IF(COUNTIF('Queen Discography'!$F$4:$F$22,C6)&gt;0,"A Night At The Opera",
IF(COUNTIF('Queen Discography'!$G$4:$G$22,C6)&gt;0,"A Day At The Races",
IF(COUNTIF('Queen Discography'!$H$4:$H$22,C6)&gt;0,"News Of The World",
IF(COUNTIF('Queen Discography'!$I$4:$I$22,C6)&gt;0,"Jazz",
IF(COUNTIF('Queen Discography'!$J$4:$J$22,C6)&gt;0,"The Game",
IF(COUNTIF('Queen Discography'!$K$4:$K$22,C6)&gt;0,"Flash Gordon",
IF(COUNTIF('Queen Discography'!$L$4:$L$22,C6)&gt;0,"Hot Space",
IF(COUNTIF('Queen Discography'!$M$4:$M$22,C6)&gt;0,"The Works",
IF(COUNTIF('Queen Discography'!$N$4:$N$22,C6)&gt;0,"A Kind Of Magic",
IF(COUNTIF('Queen Discography'!$O$4:$O$22,C6)&gt;0,"The Miracle",
IF(COUNTIF('Queen Discography'!$P$4:$P$22,C6)&gt;0,"Innuendo",
IF(COUNTIF('Queen Discography'!$Q$4:$Q$22,C6)&gt;0,"Made In Heaven","NOT FOUND")))))))))))))))</f>
        <v>Queen</v>
      </c>
      <c r="I6" s="1"/>
      <c r="J6" s="98">
        <v>2.0</v>
      </c>
      <c r="K6" s="99">
        <f t="shared" si="9"/>
        <v>1973</v>
      </c>
      <c r="L6" s="99">
        <f t="shared" si="3"/>
        <v>1991</v>
      </c>
      <c r="M6" s="99">
        <f t="shared" si="4"/>
        <v>1982</v>
      </c>
      <c r="N6" s="100">
        <f>IFERROR(__xludf.DUMMYFUNCTION("IFERROR(MEDIAN(FILTER($G$4:$G$66,$D$4:$D$66=$J6,ISNUMBER($G$4:$G$66))),""N/A"")"),1978.0)</f>
        <v>1978</v>
      </c>
      <c r="O6" s="99">
        <f>IFERROR(__xludf.DUMMYFUNCTION("IFERROR(MODE(FILTER($G$4:$G$66,$D$4:$D$66=$J6,ISNUMBER($G$4:$G$66))),""N/A"")"),1991.0)</f>
        <v>1991</v>
      </c>
      <c r="P6" s="99">
        <f t="shared" ref="P6:AE6" si="10">COUNTIFS($H$4:$H$66,P$3,$D$4:$D$66,$J6)</f>
        <v>1</v>
      </c>
      <c r="Q6" s="99">
        <f t="shared" si="10"/>
        <v>1</v>
      </c>
      <c r="R6" s="99">
        <f t="shared" si="10"/>
        <v>2</v>
      </c>
      <c r="S6" s="99">
        <f t="shared" si="10"/>
        <v>2</v>
      </c>
      <c r="T6" s="99">
        <f t="shared" si="10"/>
        <v>1</v>
      </c>
      <c r="U6" s="99">
        <f t="shared" si="10"/>
        <v>0</v>
      </c>
      <c r="V6" s="99">
        <f t="shared" si="10"/>
        <v>2</v>
      </c>
      <c r="W6" s="99">
        <f t="shared" si="10"/>
        <v>0</v>
      </c>
      <c r="X6" s="99">
        <f t="shared" si="10"/>
        <v>0</v>
      </c>
      <c r="Y6" s="99">
        <f t="shared" si="10"/>
        <v>0</v>
      </c>
      <c r="Z6" s="99">
        <f t="shared" si="10"/>
        <v>0</v>
      </c>
      <c r="AA6" s="99">
        <f t="shared" si="10"/>
        <v>1</v>
      </c>
      <c r="AB6" s="99">
        <f t="shared" si="10"/>
        <v>2</v>
      </c>
      <c r="AC6" s="99">
        <f t="shared" si="10"/>
        <v>4</v>
      </c>
      <c r="AD6" s="99">
        <f t="shared" si="10"/>
        <v>0</v>
      </c>
      <c r="AE6" s="99">
        <f t="shared" si="10"/>
        <v>0</v>
      </c>
      <c r="AF6" s="101">
        <f t="array" ref="AF6:AU6">IFERROR(P6:AE6*TRANSPOSE('Queen MIDI'!$J$4:$J$19),"N/A")</f>
        <v>0.984375</v>
      </c>
      <c r="AG6" s="101">
        <v>1.3125</v>
      </c>
      <c r="AH6" s="101">
        <v>3.9375</v>
      </c>
      <c r="AI6" s="101">
        <v>1.575</v>
      </c>
      <c r="AJ6" s="101">
        <v>1.3125</v>
      </c>
      <c r="AK6" s="101">
        <v>0.0</v>
      </c>
      <c r="AL6" s="101">
        <v>1.575</v>
      </c>
      <c r="AM6" s="101">
        <v>0.0</v>
      </c>
      <c r="AN6" s="101" t="s">
        <v>357</v>
      </c>
      <c r="AO6" s="101">
        <v>0.0</v>
      </c>
      <c r="AP6" s="101">
        <v>0.0</v>
      </c>
      <c r="AQ6" s="101">
        <v>0.7875</v>
      </c>
      <c r="AR6" s="101">
        <v>1.575</v>
      </c>
      <c r="AS6" s="101">
        <v>1.75</v>
      </c>
      <c r="AT6" s="101">
        <v>0.0</v>
      </c>
      <c r="AU6" s="101">
        <v>0.0</v>
      </c>
      <c r="AV6" s="99" t="str">
        <f>IFERROR(__xludf.DUMMYFUNCTION("JOIN("", "",FILTER($P$3:$AE$3,$P6:$AE6=MAX($P6:$AE6)))"),"Innuendo")</f>
        <v>Innuendo</v>
      </c>
      <c r="AW6" s="99">
        <f t="shared" si="6"/>
        <v>4</v>
      </c>
      <c r="AX6" s="99">
        <f>IFERROR(__xludf.DUMMYFUNCTION("COUNTA(FILTER($P$3:$AE$3,$P6:$AE6=MAX($P6:$AE6)))"),1.0)</f>
        <v>1</v>
      </c>
      <c r="AY6" s="99" t="str">
        <f>IFERROR(__xludf.DUMMYFUNCTION("IFERROR(JOIN("", "",FILTER($AF$3:$AU$3,$AF6:$AU6=MAXIFS($AF6:$AU6,$AF$23:$AU$23,TRUE),$AF$23:$AU$23)),""N/A"")"),"Sheer Heart Attack")</f>
        <v>Sheer Heart Attack</v>
      </c>
      <c r="AZ6" s="103" t="str">
        <f>IFERROR(__xludf.DUMMYFUNCTION("IFERROR(JOIN("", "",FILTER($P6:$AE6,$AF6:$AU6=MAXIFS($AF6:$AU6,$AF$23:$AU$23,TRUE),$AF$23:$AU$23)),""N/A"")"),"2")</f>
        <v>2</v>
      </c>
      <c r="BA6" s="103">
        <f>MAXIFS(AF6:AU6,$AF$23:$AU$23,TRUE)/'Queen MIDI'!$J$20</f>
        <v>1</v>
      </c>
      <c r="BB6" s="98">
        <f>IFERROR(__xludf.DUMMYFUNCTION("COUNTA(IFERROR(FILTER($AF$3:$AU$3,$AF6:$AU6=MAXIFS($AF6:$AU6,$AF$23:$AU$23,TRUE),$AF$23:$AU$23),))"),1.0)</f>
        <v>1</v>
      </c>
      <c r="BC6" s="103">
        <f t="shared" si="7"/>
        <v>0.253968254</v>
      </c>
      <c r="BD6" s="99">
        <f t="shared" si="8"/>
        <v>16</v>
      </c>
      <c r="BE6" s="1"/>
    </row>
    <row r="7">
      <c r="A7" s="1"/>
      <c r="C7" s="66" t="str">
        <f t="array" ref="C7">INDEX('Queen MIDI'!$C$4:$C$66,MATCH(F7,'Queen MIDI'!$D$4:$D$66,0))</f>
        <v>Nevermore</v>
      </c>
      <c r="D7" s="117">
        <v>2.0</v>
      </c>
      <c r="E7" s="118" t="s">
        <v>362</v>
      </c>
      <c r="F7" s="66" t="str">
        <f t="shared" si="2"/>
        <v>Never More.mid</v>
      </c>
      <c r="G7" s="120">
        <f>HLOOKUP(H7,'Queen Discography'!$C$2:$Q$3,2,FALSE)</f>
        <v>1974</v>
      </c>
      <c r="H7" s="66" t="str">
        <f>IF(COUNTIF('Queen Discography'!$C$4:$C$22,C7)&gt;0,"Queen",
IF(COUNTIF('Queen Discography'!$D$4:$D$22,C7)&gt;0,"Queen II",
IF(COUNTIF('Queen Discography'!$E$4:$E$22,C7)&gt;0,"Sheer Heart Attack",
IF(COUNTIF('Queen Discography'!$F$4:$F$22,C7)&gt;0,"A Night At The Opera",
IF(COUNTIF('Queen Discography'!$G$4:$G$22,C7)&gt;0,"A Day At The Races",
IF(COUNTIF('Queen Discography'!$H$4:$H$22,C7)&gt;0,"News Of The World",
IF(COUNTIF('Queen Discography'!$I$4:$I$22,C7)&gt;0,"Jazz",
IF(COUNTIF('Queen Discography'!$J$4:$J$22,C7)&gt;0,"The Game",
IF(COUNTIF('Queen Discography'!$K$4:$K$22,C7)&gt;0,"Flash Gordon",
IF(COUNTIF('Queen Discography'!$L$4:$L$22,C7)&gt;0,"Hot Space",
IF(COUNTIF('Queen Discography'!$M$4:$M$22,C7)&gt;0,"The Works",
IF(COUNTIF('Queen Discography'!$N$4:$N$22,C7)&gt;0,"A Kind Of Magic",
IF(COUNTIF('Queen Discography'!$O$4:$O$22,C7)&gt;0,"The Miracle",
IF(COUNTIF('Queen Discography'!$P$4:$P$22,C7)&gt;0,"Innuendo",
IF(COUNTIF('Queen Discography'!$Q$4:$Q$22,C7)&gt;0,"Made In Heaven","NOT FOUND")))))))))))))))</f>
        <v>Queen II</v>
      </c>
      <c r="I7" s="1"/>
      <c r="J7" s="98">
        <v>3.0</v>
      </c>
      <c r="K7" s="99">
        <f t="shared" si="9"/>
        <v>1991</v>
      </c>
      <c r="L7" s="99">
        <f t="shared" si="3"/>
        <v>1991</v>
      </c>
      <c r="M7" s="99">
        <f t="shared" si="4"/>
        <v>1991</v>
      </c>
      <c r="N7" s="100">
        <f>IFERROR(__xludf.DUMMYFUNCTION("IFERROR(MEDIAN(FILTER($G$4:$G$66,$D$4:$D$66=$J7,ISNUMBER($G$4:$G$66))),""N/A"")"),1991.0)</f>
        <v>1991</v>
      </c>
      <c r="O7" s="99" t="str">
        <f>IFERROR(__xludf.DUMMYFUNCTION("IFERROR(MODE(FILTER($G$4:$G$66,$D$4:$D$66=$J7,ISNUMBER($G$4:$G$66))),""N/A"")"),"N/A")</f>
        <v>N/A</v>
      </c>
      <c r="P7" s="99">
        <f t="shared" ref="P7:AE7" si="11">COUNTIFS($H$4:$H$66,P$3,$D$4:$D$66,$J7)</f>
        <v>0</v>
      </c>
      <c r="Q7" s="99">
        <f t="shared" si="11"/>
        <v>0</v>
      </c>
      <c r="R7" s="99">
        <f t="shared" si="11"/>
        <v>0</v>
      </c>
      <c r="S7" s="99">
        <f t="shared" si="11"/>
        <v>0</v>
      </c>
      <c r="T7" s="99">
        <f t="shared" si="11"/>
        <v>0</v>
      </c>
      <c r="U7" s="99">
        <f t="shared" si="11"/>
        <v>0</v>
      </c>
      <c r="V7" s="99">
        <f t="shared" si="11"/>
        <v>0</v>
      </c>
      <c r="W7" s="99">
        <f t="shared" si="11"/>
        <v>0</v>
      </c>
      <c r="X7" s="99">
        <f t="shared" si="11"/>
        <v>0</v>
      </c>
      <c r="Y7" s="99">
        <f t="shared" si="11"/>
        <v>0</v>
      </c>
      <c r="Z7" s="99">
        <f t="shared" si="11"/>
        <v>0</v>
      </c>
      <c r="AA7" s="99">
        <f t="shared" si="11"/>
        <v>0</v>
      </c>
      <c r="AB7" s="99">
        <f t="shared" si="11"/>
        <v>0</v>
      </c>
      <c r="AC7" s="99">
        <f t="shared" si="11"/>
        <v>1</v>
      </c>
      <c r="AD7" s="99">
        <f t="shared" si="11"/>
        <v>0</v>
      </c>
      <c r="AE7" s="99">
        <f t="shared" si="11"/>
        <v>0</v>
      </c>
      <c r="AF7" s="101">
        <f t="array" ref="AF7:AU7">IFERROR(P7:AE7*TRANSPOSE('Queen MIDI'!$J$4:$J$19),"N/A")</f>
        <v>0</v>
      </c>
      <c r="AG7" s="101">
        <v>0.0</v>
      </c>
      <c r="AH7" s="101">
        <v>0.0</v>
      </c>
      <c r="AI7" s="101">
        <v>0.0</v>
      </c>
      <c r="AJ7" s="101">
        <v>0.0</v>
      </c>
      <c r="AK7" s="101">
        <v>0.0</v>
      </c>
      <c r="AL7" s="101">
        <v>0.0</v>
      </c>
      <c r="AM7" s="101">
        <v>0.0</v>
      </c>
      <c r="AN7" s="101" t="s">
        <v>357</v>
      </c>
      <c r="AO7" s="101">
        <v>0.0</v>
      </c>
      <c r="AP7" s="101">
        <v>0.0</v>
      </c>
      <c r="AQ7" s="101">
        <v>0.0</v>
      </c>
      <c r="AR7" s="101">
        <v>0.0</v>
      </c>
      <c r="AS7" s="101">
        <v>0.4375</v>
      </c>
      <c r="AT7" s="101">
        <v>0.0</v>
      </c>
      <c r="AU7" s="101">
        <v>0.0</v>
      </c>
      <c r="AV7" s="99" t="str">
        <f>IFERROR(__xludf.DUMMYFUNCTION("JOIN("", "",FILTER($P$3:$AE$3,$P7:$AE7=MAX($P7:$AE7)))"),"Innuendo")</f>
        <v>Innuendo</v>
      </c>
      <c r="AW7" s="99">
        <f t="shared" si="6"/>
        <v>1</v>
      </c>
      <c r="AX7" s="99">
        <f>IFERROR(__xludf.DUMMYFUNCTION("COUNTA(FILTER($P$3:$AE$3,$P7:$AE7=MAX($P7:$AE7)))"),1.0)</f>
        <v>1</v>
      </c>
      <c r="AY7" s="99" t="str">
        <f>IFERROR(__xludf.DUMMYFUNCTION("IFERROR(JOIN("", "",FILTER($AF$3:$AU$3,$AF7:$AU7=MAXIFS($AF7:$AU7,$AF$23:$AU$23,TRUE),$AF$23:$AU$23)),""N/A"")"),"Innuendo")</f>
        <v>Innuendo</v>
      </c>
      <c r="AZ7" s="103" t="str">
        <f>IFERROR(__xludf.DUMMYFUNCTION("IFERROR(JOIN("", "",FILTER($P7:$AE7,$AF7:$AU7=MAXIFS($AF7:$AU7,$AF$23:$AU$23,TRUE),$AF$23:$AU$23)),""N/A"")"),"1")</f>
        <v>1</v>
      </c>
      <c r="BA7" s="103">
        <f>MAXIFS(AF7:AU7,$AF$23:$AU$23,TRUE)/'Queen MIDI'!$J$20</f>
        <v>0.1111111111</v>
      </c>
      <c r="BB7" s="98">
        <f>IFERROR(__xludf.DUMMYFUNCTION("COUNTA(IFERROR(FILTER($AF$3:$AU$3,$AF7:$AU7=MAXIFS($AF7:$AU7,$AF$23:$AU$23,TRUE),$AF$23:$AU$23),))"),1.0)</f>
        <v>1</v>
      </c>
      <c r="BC7" s="103">
        <f t="shared" si="7"/>
        <v>0.01587301587</v>
      </c>
      <c r="BD7" s="99">
        <f t="shared" si="8"/>
        <v>1</v>
      </c>
      <c r="BE7" s="1"/>
    </row>
    <row r="8">
      <c r="A8" s="1"/>
      <c r="C8" s="66" t="str">
        <f t="array" ref="C8">INDEX('Queen MIDI'!$C$4:$C$66,MATCH(F8,'Queen MIDI'!$D$4:$D$66,0))</f>
        <v>Killer Queen</v>
      </c>
      <c r="D8" s="117">
        <v>2.0</v>
      </c>
      <c r="E8" s="118" t="s">
        <v>363</v>
      </c>
      <c r="F8" s="66" t="str">
        <f t="shared" si="2"/>
        <v>Killer Queen.1.mid</v>
      </c>
      <c r="G8" s="129">
        <f>HLOOKUP(H8,'Queen Discography'!$C$2:$Q$3,2,FALSE)</f>
        <v>1974</v>
      </c>
      <c r="H8" s="66" t="str">
        <f>IF(COUNTIF('Queen Discography'!$C$4:$C$22,C8)&gt;0,"Queen",
IF(COUNTIF('Queen Discography'!$D$4:$D$22,C8)&gt;0,"Queen II",
IF(COUNTIF('Queen Discography'!$E$4:$E$22,C8)&gt;0,"Sheer Heart Attack",
IF(COUNTIF('Queen Discography'!$F$4:$F$22,C8)&gt;0,"A Night At The Opera",
IF(COUNTIF('Queen Discography'!$G$4:$G$22,C8)&gt;0,"A Day At The Races",
IF(COUNTIF('Queen Discography'!$H$4:$H$22,C8)&gt;0,"News Of The World",
IF(COUNTIF('Queen Discography'!$I$4:$I$22,C8)&gt;0,"Jazz",
IF(COUNTIF('Queen Discography'!$J$4:$J$22,C8)&gt;0,"The Game",
IF(COUNTIF('Queen Discography'!$K$4:$K$22,C8)&gt;0,"Flash Gordon",
IF(COUNTIF('Queen Discography'!$L$4:$L$22,C8)&gt;0,"Hot Space",
IF(COUNTIF('Queen Discography'!$M$4:$M$22,C8)&gt;0,"The Works",
IF(COUNTIF('Queen Discography'!$N$4:$N$22,C8)&gt;0,"A Kind Of Magic",
IF(COUNTIF('Queen Discography'!$O$4:$O$22,C8)&gt;0,"The Miracle",
IF(COUNTIF('Queen Discography'!$P$4:$P$22,C8)&gt;0,"Innuendo",
IF(COUNTIF('Queen Discography'!$Q$4:$Q$22,C8)&gt;0,"Made In Heaven","NOT FOUND")))))))))))))))</f>
        <v>Sheer Heart Attack</v>
      </c>
      <c r="I8" s="1"/>
      <c r="J8" s="98">
        <v>4.0</v>
      </c>
      <c r="K8" s="99">
        <f t="shared" si="9"/>
        <v>1973</v>
      </c>
      <c r="L8" s="99">
        <f t="shared" si="3"/>
        <v>1995</v>
      </c>
      <c r="M8" s="99">
        <f t="shared" si="4"/>
        <v>1984</v>
      </c>
      <c r="N8" s="100">
        <f>IFERROR(__xludf.DUMMYFUNCTION("IFERROR(MEDIAN(FILTER($G$4:$G$66,$D$4:$D$66=$J8,ISNUMBER($G$4:$G$66))),""N/A"")"),1984.0)</f>
        <v>1984</v>
      </c>
      <c r="O8" s="99">
        <f>IFERROR(__xludf.DUMMYFUNCTION("IFERROR(MODE(FILTER($G$4:$G$66,$D$4:$D$66=$J8,ISNUMBER($G$4:$G$66))),""N/A"")"),1995.0)</f>
        <v>1995</v>
      </c>
      <c r="P8" s="99">
        <f t="shared" ref="P8:AE8" si="12">COUNTIFS($H$4:$H$66,P$3,$D$4:$D$66,$J8)</f>
        <v>3</v>
      </c>
      <c r="Q8" s="99">
        <f t="shared" si="12"/>
        <v>1</v>
      </c>
      <c r="R8" s="99">
        <f t="shared" si="12"/>
        <v>0</v>
      </c>
      <c r="S8" s="99">
        <f t="shared" si="12"/>
        <v>3</v>
      </c>
      <c r="T8" s="99">
        <f t="shared" si="12"/>
        <v>0</v>
      </c>
      <c r="U8" s="99">
        <f t="shared" si="12"/>
        <v>2</v>
      </c>
      <c r="V8" s="99">
        <f t="shared" si="12"/>
        <v>2</v>
      </c>
      <c r="W8" s="99">
        <f t="shared" si="12"/>
        <v>1</v>
      </c>
      <c r="X8" s="99">
        <f t="shared" si="12"/>
        <v>0</v>
      </c>
      <c r="Y8" s="99">
        <f t="shared" si="12"/>
        <v>1</v>
      </c>
      <c r="Z8" s="99">
        <f t="shared" si="12"/>
        <v>4</v>
      </c>
      <c r="AA8" s="99">
        <f t="shared" si="12"/>
        <v>1</v>
      </c>
      <c r="AB8" s="99">
        <f t="shared" si="12"/>
        <v>3</v>
      </c>
      <c r="AC8" s="99">
        <f t="shared" si="12"/>
        <v>3</v>
      </c>
      <c r="AD8" s="99">
        <f t="shared" si="12"/>
        <v>6</v>
      </c>
      <c r="AE8" s="99">
        <f t="shared" si="12"/>
        <v>1</v>
      </c>
      <c r="AF8" s="104">
        <f t="array" ref="AF8:AU8">IFERROR(P8:AE8*TRANSPOSE('Queen MIDI'!$J$4:$J$19),"N/A")</f>
        <v>2.953125</v>
      </c>
      <c r="AG8" s="104">
        <v>1.3125</v>
      </c>
      <c r="AH8" s="104">
        <v>0.0</v>
      </c>
      <c r="AI8" s="104">
        <v>2.3625</v>
      </c>
      <c r="AJ8" s="104">
        <v>0.0</v>
      </c>
      <c r="AK8" s="104">
        <v>1.96875</v>
      </c>
      <c r="AL8" s="104">
        <v>1.575</v>
      </c>
      <c r="AM8" s="104">
        <v>0.984375</v>
      </c>
      <c r="AN8" s="104" t="s">
        <v>357</v>
      </c>
      <c r="AO8" s="104">
        <v>3.9375</v>
      </c>
      <c r="AP8" s="104">
        <v>3.9375</v>
      </c>
      <c r="AQ8" s="104">
        <v>0.7875</v>
      </c>
      <c r="AR8" s="104">
        <v>2.3625</v>
      </c>
      <c r="AS8" s="104">
        <v>1.3125</v>
      </c>
      <c r="AT8" s="104">
        <v>3.375</v>
      </c>
      <c r="AU8" s="104">
        <v>1.96875</v>
      </c>
      <c r="AV8" s="99" t="str">
        <f>IFERROR(__xludf.DUMMYFUNCTION("JOIN("", "",FILTER($P$3:$AE$3,$P8:$AE8=MAX($P8:$AE8)))"),"Made In Heaven")</f>
        <v>Made In Heaven</v>
      </c>
      <c r="AW8" s="99">
        <f t="shared" si="6"/>
        <v>6</v>
      </c>
      <c r="AX8" s="99">
        <f>IFERROR(__xludf.DUMMYFUNCTION("COUNTA(FILTER($P$3:$AE$3,$P8:$AE8=MAX($P8:$AE8)))"),1.0)</f>
        <v>1</v>
      </c>
      <c r="AY8" s="99" t="str">
        <f>IFERROR(__xludf.DUMMYFUNCTION("IFERROR(JOIN("", "",FILTER($AF$3:$AU$3,$AF8:$AU8=MAXIFS($AF8:$AU8,$AF$23:$AU$23,TRUE),$AF$23:$AU$23)),""N/A"")"),"The Works")</f>
        <v>The Works</v>
      </c>
      <c r="AZ8" s="103" t="str">
        <f>IFERROR(__xludf.DUMMYFUNCTION("IFERROR(JOIN("", "",FILTER($P8:$AE8,$AF8:$AU8=MAXIFS($AF8:$AU8,$AF$23:$AU$23,TRUE),$AF$23:$AU$23)),""N/A"")"),"4")</f>
        <v>4</v>
      </c>
      <c r="BA8" s="103">
        <f>MAXIFS(AF8:AU8,$AF$23:$AU$23,TRUE)/'Queen MIDI'!$J$20</f>
        <v>1</v>
      </c>
      <c r="BB8" s="98">
        <f>IFERROR(__xludf.DUMMYFUNCTION("COUNTA(IFERROR(FILTER($AF$3:$AU$3,$AF8:$AU8=MAXIFS($AF8:$AU8,$AF$23:$AU$23,TRUE),$AF$23:$AU$23),))"),1.0)</f>
        <v>1</v>
      </c>
      <c r="BC8" s="103">
        <f t="shared" si="7"/>
        <v>0.4920634921</v>
      </c>
      <c r="BD8" s="99">
        <f t="shared" si="8"/>
        <v>31</v>
      </c>
      <c r="BE8" s="1"/>
    </row>
    <row r="9">
      <c r="A9" s="1"/>
      <c r="C9" s="66" t="str">
        <f t="array" ref="C9">INDEX('Queen MIDI'!$C$4:$C$66,MATCH(F9,'Queen MIDI'!$D$4:$D$66,0))</f>
        <v>Now I'm Here</v>
      </c>
      <c r="D9" s="117">
        <v>2.0</v>
      </c>
      <c r="E9" s="118" t="s">
        <v>364</v>
      </c>
      <c r="F9" s="66" t="str">
        <f t="shared" si="2"/>
        <v>Now I_m Here.4.mid</v>
      </c>
      <c r="G9" s="131">
        <f>HLOOKUP(H9,'Queen Discography'!$C$2:$Q$3,2,FALSE)</f>
        <v>1974</v>
      </c>
      <c r="H9" s="66" t="str">
        <f>IF(COUNTIF('Queen Discography'!$C$4:$C$22,C9)&gt;0,"Queen",
IF(COUNTIF('Queen Discography'!$D$4:$D$22,C9)&gt;0,"Queen II",
IF(COUNTIF('Queen Discography'!$E$4:$E$22,C9)&gt;0,"Sheer Heart Attack",
IF(COUNTIF('Queen Discography'!$F$4:$F$22,C9)&gt;0,"A Night At The Opera",
IF(COUNTIF('Queen Discography'!$G$4:$G$22,C9)&gt;0,"A Day At The Races",
IF(COUNTIF('Queen Discography'!$H$4:$H$22,C9)&gt;0,"News Of The World",
IF(COUNTIF('Queen Discography'!$I$4:$I$22,C9)&gt;0,"Jazz",
IF(COUNTIF('Queen Discography'!$J$4:$J$22,C9)&gt;0,"The Game",
IF(COUNTIF('Queen Discography'!$K$4:$K$22,C9)&gt;0,"Flash Gordon",
IF(COUNTIF('Queen Discography'!$L$4:$L$22,C9)&gt;0,"Hot Space",
IF(COUNTIF('Queen Discography'!$M$4:$M$22,C9)&gt;0,"The Works",
IF(COUNTIF('Queen Discography'!$N$4:$N$22,C9)&gt;0,"A Kind Of Magic",
IF(COUNTIF('Queen Discography'!$O$4:$O$22,C9)&gt;0,"The Miracle",
IF(COUNTIF('Queen Discography'!$P$4:$P$22,C9)&gt;0,"Innuendo",
IF(COUNTIF('Queen Discography'!$Q$4:$Q$22,C9)&gt;0,"Made In Heaven","NOT FOUND")))))))))))))))</f>
        <v>Sheer Heart Attack</v>
      </c>
      <c r="I9" s="1"/>
      <c r="J9" s="98">
        <v>5.0</v>
      </c>
      <c r="K9" s="99">
        <f t="shared" si="9"/>
        <v>1977</v>
      </c>
      <c r="L9" s="99">
        <f t="shared" si="3"/>
        <v>1977</v>
      </c>
      <c r="M9" s="99">
        <f t="shared" si="4"/>
        <v>1977</v>
      </c>
      <c r="N9" s="100">
        <f>IFERROR(__xludf.DUMMYFUNCTION("IFERROR(MEDIAN(FILTER($G$4:$G$66,$D$4:$D$66=$J9,ISNUMBER($G$4:$G$66))),""N/A"")"),1977.0)</f>
        <v>1977</v>
      </c>
      <c r="O9" s="99" t="str">
        <f>IFERROR(__xludf.DUMMYFUNCTION("IFERROR(MODE(FILTER($G$4:$G$66,$D$4:$D$66=$J9,ISNUMBER($G$4:$G$66))),""N/A"")"),"N/A")</f>
        <v>N/A</v>
      </c>
      <c r="P9" s="99">
        <f t="shared" ref="P9:AE9" si="13">COUNTIFS($H$4:$H$66,P$3,$D$4:$D$66,$J9)</f>
        <v>0</v>
      </c>
      <c r="Q9" s="99">
        <f t="shared" si="13"/>
        <v>0</v>
      </c>
      <c r="R9" s="99">
        <f t="shared" si="13"/>
        <v>0</v>
      </c>
      <c r="S9" s="99">
        <f t="shared" si="13"/>
        <v>0</v>
      </c>
      <c r="T9" s="99">
        <f t="shared" si="13"/>
        <v>0</v>
      </c>
      <c r="U9" s="99">
        <f t="shared" si="13"/>
        <v>1</v>
      </c>
      <c r="V9" s="99">
        <f t="shared" si="13"/>
        <v>0</v>
      </c>
      <c r="W9" s="99">
        <f t="shared" si="13"/>
        <v>0</v>
      </c>
      <c r="X9" s="99">
        <f t="shared" si="13"/>
        <v>0</v>
      </c>
      <c r="Y9" s="99">
        <f t="shared" si="13"/>
        <v>0</v>
      </c>
      <c r="Z9" s="99">
        <f t="shared" si="13"/>
        <v>0</v>
      </c>
      <c r="AA9" s="99">
        <f t="shared" si="13"/>
        <v>0</v>
      </c>
      <c r="AB9" s="99">
        <f t="shared" si="13"/>
        <v>0</v>
      </c>
      <c r="AC9" s="99">
        <f t="shared" si="13"/>
        <v>0</v>
      </c>
      <c r="AD9" s="99">
        <f t="shared" si="13"/>
        <v>0</v>
      </c>
      <c r="AE9" s="99">
        <f t="shared" si="13"/>
        <v>0</v>
      </c>
      <c r="AF9" s="104">
        <f t="array" ref="AF9:AU9">IFERROR(P9:AE9*TRANSPOSE('Queen MIDI'!$J$4:$J$19),"N/A")</f>
        <v>0</v>
      </c>
      <c r="AG9" s="104">
        <v>0.0</v>
      </c>
      <c r="AH9" s="104">
        <v>0.0</v>
      </c>
      <c r="AI9" s="104">
        <v>0.0</v>
      </c>
      <c r="AJ9" s="104">
        <v>0.0</v>
      </c>
      <c r="AK9" s="104">
        <v>0.984375</v>
      </c>
      <c r="AL9" s="104">
        <v>0.0</v>
      </c>
      <c r="AM9" s="104">
        <v>0.0</v>
      </c>
      <c r="AN9" s="104" t="s">
        <v>357</v>
      </c>
      <c r="AO9" s="104">
        <v>0.0</v>
      </c>
      <c r="AP9" s="104">
        <v>0.0</v>
      </c>
      <c r="AQ9" s="104">
        <v>0.0</v>
      </c>
      <c r="AR9" s="104">
        <v>0.0</v>
      </c>
      <c r="AS9" s="104">
        <v>0.0</v>
      </c>
      <c r="AT9" s="104">
        <v>0.0</v>
      </c>
      <c r="AU9" s="104">
        <v>0.0</v>
      </c>
      <c r="AV9" s="99" t="str">
        <f>IFERROR(__xludf.DUMMYFUNCTION("JOIN("", "",FILTER($P$3:$AE$3,$P9:$AE9=MAX($P9:$AE9)))"),"News Of The World")</f>
        <v>News Of The World</v>
      </c>
      <c r="AW9" s="99">
        <f t="shared" si="6"/>
        <v>1</v>
      </c>
      <c r="AX9" s="99">
        <f>IFERROR(__xludf.DUMMYFUNCTION("COUNTA(FILTER($P$3:$AE$3,$P9:$AE9=MAX($P9:$AE9)))"),1.0)</f>
        <v>1</v>
      </c>
      <c r="AY9" s="99" t="str">
        <f>IFERROR(__xludf.DUMMYFUNCTION("IFERROR(JOIN("", "",FILTER($AF$3:$AU$3,$AF9:$AU9=MAXIFS($AF9:$AU9,$AF$23:$AU$23,TRUE),$AF$23:$AU$23)),""N/A"")"),"News Of The World")</f>
        <v>News Of The World</v>
      </c>
      <c r="AZ9" s="103" t="str">
        <f>IFERROR(__xludf.DUMMYFUNCTION("IFERROR(JOIN("", "",FILTER($P9:$AE9,$AF9:$AU9=MAXIFS($AF9:$AU9,$AF$23:$AU$23,TRUE),$AF$23:$AU$23)),""N/A"")"),"1")</f>
        <v>1</v>
      </c>
      <c r="BA9" s="103">
        <f>MAXIFS(AF9:AU9,$AF$23:$AU$23,TRUE)/'Queen MIDI'!$J$20</f>
        <v>0.25</v>
      </c>
      <c r="BB9" s="98">
        <f>IFERROR(__xludf.DUMMYFUNCTION("COUNTA(IFERROR(FILTER($AF$3:$AU$3,$AF9:$AU9=MAXIFS($AF9:$AU9,$AF$23:$AU$23,TRUE),$AF$23:$AU$23),))"),1.0)</f>
        <v>1</v>
      </c>
      <c r="BC9" s="103">
        <f t="shared" si="7"/>
        <v>0.01587301587</v>
      </c>
      <c r="BD9" s="99">
        <f t="shared" si="8"/>
        <v>1</v>
      </c>
      <c r="BE9" s="1"/>
    </row>
    <row r="10">
      <c r="A10" s="1"/>
      <c r="C10" s="66" t="str">
        <f t="array" ref="C10">INDEX('Queen MIDI'!$C$4:$C$66,MATCH(F10,'Queen MIDI'!$D$4:$D$66,0))</f>
        <v>Death On Two Legs</v>
      </c>
      <c r="D10" s="117">
        <v>2.0</v>
      </c>
      <c r="E10" s="118" t="s">
        <v>367</v>
      </c>
      <c r="F10" s="66" t="str">
        <f t="shared" si="2"/>
        <v>Death on Two Legs (Dedicated To...).mid</v>
      </c>
      <c r="G10" s="123">
        <f>HLOOKUP(H10,'Queen Discography'!$C$2:$Q$3,2,FALSE)</f>
        <v>1975</v>
      </c>
      <c r="H10" s="66" t="str">
        <f>IF(COUNTIF('Queen Discography'!$C$4:$C$22,C10)&gt;0,"Queen",
IF(COUNTIF('Queen Discography'!$D$4:$D$22,C10)&gt;0,"Queen II",
IF(COUNTIF('Queen Discography'!$E$4:$E$22,C10)&gt;0,"Sheer Heart Attack",
IF(COUNTIF('Queen Discography'!$F$4:$F$22,C10)&gt;0,"A Night At The Opera",
IF(COUNTIF('Queen Discography'!$G$4:$G$22,C10)&gt;0,"A Day At The Races",
IF(COUNTIF('Queen Discography'!$H$4:$H$22,C10)&gt;0,"News Of The World",
IF(COUNTIF('Queen Discography'!$I$4:$I$22,C10)&gt;0,"Jazz",
IF(COUNTIF('Queen Discography'!$J$4:$J$22,C10)&gt;0,"The Game",
IF(COUNTIF('Queen Discography'!$K$4:$K$22,C10)&gt;0,"Flash Gordon",
IF(COUNTIF('Queen Discography'!$L$4:$L$22,C10)&gt;0,"Hot Space",
IF(COUNTIF('Queen Discography'!$M$4:$M$22,C10)&gt;0,"The Works",
IF(COUNTIF('Queen Discography'!$N$4:$N$22,C10)&gt;0,"A Kind Of Magic",
IF(COUNTIF('Queen Discography'!$O$4:$O$22,C10)&gt;0,"The Miracle",
IF(COUNTIF('Queen Discography'!$P$4:$P$22,C10)&gt;0,"Innuendo",
IF(COUNTIF('Queen Discography'!$Q$4:$Q$22,C10)&gt;0,"Made In Heaven","NOT FOUND")))))))))))))))</f>
        <v>A Night At The Opera</v>
      </c>
      <c r="I10" s="1"/>
      <c r="J10" s="98">
        <v>6.0</v>
      </c>
      <c r="K10" s="99">
        <f t="shared" si="9"/>
        <v>1986</v>
      </c>
      <c r="L10" s="99">
        <f t="shared" si="3"/>
        <v>1986</v>
      </c>
      <c r="M10" s="99">
        <f t="shared" si="4"/>
        <v>1986</v>
      </c>
      <c r="N10" s="100">
        <f>IFERROR(__xludf.DUMMYFUNCTION("IFERROR(MEDIAN(FILTER($G$4:$G$66,$D$4:$D$66=$J10,ISNUMBER($G$4:$G$66))),""N/A"")"),1986.0)</f>
        <v>1986</v>
      </c>
      <c r="O10" s="99" t="str">
        <f>IFERROR(__xludf.DUMMYFUNCTION("IFERROR(MODE(FILTER($G$4:$G$66,$D$4:$D$66=$J10,ISNUMBER($G$4:$G$66))),""N/A"")"),"N/A")</f>
        <v>N/A</v>
      </c>
      <c r="P10" s="99">
        <f t="shared" ref="P10:AE10" si="14">COUNTIFS($H$4:$H$66,P$3,$D$4:$D$66,$J10)</f>
        <v>0</v>
      </c>
      <c r="Q10" s="99">
        <f t="shared" si="14"/>
        <v>0</v>
      </c>
      <c r="R10" s="99">
        <f t="shared" si="14"/>
        <v>0</v>
      </c>
      <c r="S10" s="99">
        <f t="shared" si="14"/>
        <v>0</v>
      </c>
      <c r="T10" s="99">
        <f t="shared" si="14"/>
        <v>0</v>
      </c>
      <c r="U10" s="99">
        <f t="shared" si="14"/>
        <v>0</v>
      </c>
      <c r="V10" s="99">
        <f t="shared" si="14"/>
        <v>0</v>
      </c>
      <c r="W10" s="99">
        <f t="shared" si="14"/>
        <v>0</v>
      </c>
      <c r="X10" s="99">
        <f t="shared" si="14"/>
        <v>0</v>
      </c>
      <c r="Y10" s="99">
        <f t="shared" si="14"/>
        <v>0</v>
      </c>
      <c r="Z10" s="99">
        <f t="shared" si="14"/>
        <v>0</v>
      </c>
      <c r="AA10" s="99">
        <f t="shared" si="14"/>
        <v>1</v>
      </c>
      <c r="AB10" s="99">
        <f t="shared" si="14"/>
        <v>0</v>
      </c>
      <c r="AC10" s="99">
        <f t="shared" si="14"/>
        <v>0</v>
      </c>
      <c r="AD10" s="99">
        <f t="shared" si="14"/>
        <v>0</v>
      </c>
      <c r="AE10" s="99">
        <f t="shared" si="14"/>
        <v>0</v>
      </c>
      <c r="AF10" s="104">
        <f t="array" ref="AF10:AU10">IFERROR(P10:AE10*TRANSPOSE('Queen MIDI'!$J$4:$J$19),"N/A")</f>
        <v>0</v>
      </c>
      <c r="AG10" s="104">
        <v>0.0</v>
      </c>
      <c r="AH10" s="104">
        <v>0.0</v>
      </c>
      <c r="AI10" s="104">
        <v>0.0</v>
      </c>
      <c r="AJ10" s="104">
        <v>0.0</v>
      </c>
      <c r="AK10" s="104">
        <v>0.0</v>
      </c>
      <c r="AL10" s="104">
        <v>0.0</v>
      </c>
      <c r="AM10" s="104">
        <v>0.0</v>
      </c>
      <c r="AN10" s="104" t="s">
        <v>357</v>
      </c>
      <c r="AO10" s="104">
        <v>0.0</v>
      </c>
      <c r="AP10" s="104">
        <v>0.0</v>
      </c>
      <c r="AQ10" s="104">
        <v>0.7875</v>
      </c>
      <c r="AR10" s="104">
        <v>0.0</v>
      </c>
      <c r="AS10" s="104">
        <v>0.0</v>
      </c>
      <c r="AT10" s="104">
        <v>0.0</v>
      </c>
      <c r="AU10" s="104">
        <v>0.0</v>
      </c>
      <c r="AV10" s="99" t="str">
        <f>IFERROR(__xludf.DUMMYFUNCTION("JOIN("", "",FILTER($P$3:$AE$3,$P10:$AE10=MAX($P10:$AE10)))"),"A Kind Of Magic")</f>
        <v>A Kind Of Magic</v>
      </c>
      <c r="AW10" s="99">
        <f t="shared" si="6"/>
        <v>1</v>
      </c>
      <c r="AX10" s="99">
        <f>IFERROR(__xludf.DUMMYFUNCTION("COUNTA(FILTER($P$3:$AE$3,$P10:$AE10=MAX($P10:$AE10)))"),1.0)</f>
        <v>1</v>
      </c>
      <c r="AY10" s="99" t="str">
        <f>IFERROR(__xludf.DUMMYFUNCTION("IFERROR(JOIN("", "",FILTER($AF$3:$AU$3,$AF10:$AU10=MAXIFS($AF10:$AU10,$AF$23:$AU$23,TRUE),$AF$23:$AU$23)),""N/A"")"),"A Kind Of Magic")</f>
        <v>A Kind Of Magic</v>
      </c>
      <c r="AZ10" s="103" t="str">
        <f>IFERROR(__xludf.DUMMYFUNCTION("IFERROR(JOIN("", "",FILTER($P10:$AE10,$AF10:$AU10=MAXIFS($AF10:$AU10,$AF$23:$AU$23,TRUE),$AF$23:$AU$23)),""N/A"")"),"1")</f>
        <v>1</v>
      </c>
      <c r="BA10" s="103">
        <f>MAXIFS(AF10:AU10,$AF$23:$AU$23,TRUE)/'Queen MIDI'!$J$20</f>
        <v>0.2</v>
      </c>
      <c r="BB10" s="98">
        <f>IFERROR(__xludf.DUMMYFUNCTION("COUNTA(IFERROR(FILTER($AF$3:$AU$3,$AF10:$AU10=MAXIFS($AF10:$AU10,$AF$23:$AU$23,TRUE),$AF$23:$AU$23),))"),1.0)</f>
        <v>1</v>
      </c>
      <c r="BC10" s="103">
        <f t="shared" si="7"/>
        <v>0.01587301587</v>
      </c>
      <c r="BD10" s="99">
        <f t="shared" si="8"/>
        <v>1</v>
      </c>
      <c r="BE10" s="1"/>
    </row>
    <row r="11">
      <c r="A11" s="1"/>
      <c r="C11" s="66" t="str">
        <f t="array" ref="C11">INDEX('Queen MIDI'!$C$4:$C$66,MATCH(F11,'Queen MIDI'!$D$4:$D$66,0))</f>
        <v>Love of My Life</v>
      </c>
      <c r="D11" s="117">
        <v>2.0</v>
      </c>
      <c r="E11" s="118" t="s">
        <v>368</v>
      </c>
      <c r="F11" s="66" t="str">
        <f t="shared" si="2"/>
        <v>Love of My Life.3.mid</v>
      </c>
      <c r="G11" s="125">
        <f>HLOOKUP(H11,'Queen Discography'!$C$2:$Q$3,2,FALSE)</f>
        <v>1975</v>
      </c>
      <c r="H11" s="66" t="str">
        <f>IF(COUNTIF('Queen Discography'!$C$4:$C$22,C11)&gt;0,"Queen",
IF(COUNTIF('Queen Discography'!$D$4:$D$22,C11)&gt;0,"Queen II",
IF(COUNTIF('Queen Discography'!$E$4:$E$22,C11)&gt;0,"Sheer Heart Attack",
IF(COUNTIF('Queen Discography'!$F$4:$F$22,C11)&gt;0,"A Night At The Opera",
IF(COUNTIF('Queen Discography'!$G$4:$G$22,C11)&gt;0,"A Day At The Races",
IF(COUNTIF('Queen Discography'!$H$4:$H$22,C11)&gt;0,"News Of The World",
IF(COUNTIF('Queen Discography'!$I$4:$I$22,C11)&gt;0,"Jazz",
IF(COUNTIF('Queen Discography'!$J$4:$J$22,C11)&gt;0,"The Game",
IF(COUNTIF('Queen Discography'!$K$4:$K$22,C11)&gt;0,"Flash Gordon",
IF(COUNTIF('Queen Discography'!$L$4:$L$22,C11)&gt;0,"Hot Space",
IF(COUNTIF('Queen Discography'!$M$4:$M$22,C11)&gt;0,"The Works",
IF(COUNTIF('Queen Discography'!$N$4:$N$22,C11)&gt;0,"A Kind Of Magic",
IF(COUNTIF('Queen Discography'!$O$4:$O$22,C11)&gt;0,"The Miracle",
IF(COUNTIF('Queen Discography'!$P$4:$P$22,C11)&gt;0,"Innuendo",
IF(COUNTIF('Queen Discography'!$Q$4:$Q$22,C11)&gt;0,"Made In Heaven","NOT FOUND")))))))))))))))</f>
        <v>A Night At The Opera</v>
      </c>
      <c r="I11" s="1"/>
      <c r="J11" s="98">
        <v>7.0</v>
      </c>
      <c r="K11" s="99">
        <f t="shared" si="9"/>
        <v>1974</v>
      </c>
      <c r="L11" s="99">
        <f t="shared" si="3"/>
        <v>1974</v>
      </c>
      <c r="M11" s="99">
        <f t="shared" si="4"/>
        <v>1974</v>
      </c>
      <c r="N11" s="100">
        <f>IFERROR(__xludf.DUMMYFUNCTION("IFERROR(MEDIAN(FILTER($G$4:$G$66,$D$4:$D$66=$J11,ISNUMBER($G$4:$G$66))),""N/A"")"),1974.0)</f>
        <v>1974</v>
      </c>
      <c r="O11" s="99" t="str">
        <f>IFERROR(__xludf.DUMMYFUNCTION("IFERROR(MODE(FILTER($G$4:$G$66,$D$4:$D$66=$J11,ISNUMBER($G$4:$G$66))),""N/A"")"),"N/A")</f>
        <v>N/A</v>
      </c>
      <c r="P11" s="99">
        <f t="shared" ref="P11:AE11" si="15">COUNTIFS($H$4:$H$66,P$3,$D$4:$D$66,$J11)</f>
        <v>0</v>
      </c>
      <c r="Q11" s="99">
        <f t="shared" si="15"/>
        <v>1</v>
      </c>
      <c r="R11" s="99">
        <f t="shared" si="15"/>
        <v>0</v>
      </c>
      <c r="S11" s="99">
        <f t="shared" si="15"/>
        <v>0</v>
      </c>
      <c r="T11" s="99">
        <f t="shared" si="15"/>
        <v>0</v>
      </c>
      <c r="U11" s="99">
        <f t="shared" si="15"/>
        <v>0</v>
      </c>
      <c r="V11" s="99">
        <f t="shared" si="15"/>
        <v>0</v>
      </c>
      <c r="W11" s="99">
        <f t="shared" si="15"/>
        <v>0</v>
      </c>
      <c r="X11" s="99">
        <f t="shared" si="15"/>
        <v>0</v>
      </c>
      <c r="Y11" s="99">
        <f t="shared" si="15"/>
        <v>0</v>
      </c>
      <c r="Z11" s="99">
        <f t="shared" si="15"/>
        <v>0</v>
      </c>
      <c r="AA11" s="99">
        <f t="shared" si="15"/>
        <v>0</v>
      </c>
      <c r="AB11" s="99">
        <f t="shared" si="15"/>
        <v>0</v>
      </c>
      <c r="AC11" s="99">
        <f t="shared" si="15"/>
        <v>0</v>
      </c>
      <c r="AD11" s="99">
        <f t="shared" si="15"/>
        <v>0</v>
      </c>
      <c r="AE11" s="99">
        <f t="shared" si="15"/>
        <v>0</v>
      </c>
      <c r="AF11" s="104">
        <f t="array" ref="AF11:AU11">IFERROR(P11:AE11*TRANSPOSE('Queen MIDI'!$J$4:$J$19),"N/A")</f>
        <v>0</v>
      </c>
      <c r="AG11" s="104">
        <v>1.3125</v>
      </c>
      <c r="AH11" s="104">
        <v>0.0</v>
      </c>
      <c r="AI11" s="104">
        <v>0.0</v>
      </c>
      <c r="AJ11" s="104">
        <v>0.0</v>
      </c>
      <c r="AK11" s="104">
        <v>0.0</v>
      </c>
      <c r="AL11" s="104">
        <v>0.0</v>
      </c>
      <c r="AM11" s="104">
        <v>0.0</v>
      </c>
      <c r="AN11" s="104" t="s">
        <v>357</v>
      </c>
      <c r="AO11" s="104">
        <v>0.0</v>
      </c>
      <c r="AP11" s="104">
        <v>0.0</v>
      </c>
      <c r="AQ11" s="104">
        <v>0.0</v>
      </c>
      <c r="AR11" s="104">
        <v>0.0</v>
      </c>
      <c r="AS11" s="104">
        <v>0.0</v>
      </c>
      <c r="AT11" s="104">
        <v>0.0</v>
      </c>
      <c r="AU11" s="104">
        <v>0.0</v>
      </c>
      <c r="AV11" s="99" t="str">
        <f>IFERROR(__xludf.DUMMYFUNCTION("JOIN("", "",FILTER($P$3:$AE$3,$P11:$AE11=MAX($P11:$AE11)))"),"Queen II")</f>
        <v>Queen II</v>
      </c>
      <c r="AW11" s="99">
        <f t="shared" si="6"/>
        <v>1</v>
      </c>
      <c r="AX11" s="99">
        <f>IFERROR(__xludf.DUMMYFUNCTION("COUNTA(FILTER($P$3:$AE$3,$P11:$AE11=MAX($P11:$AE11)))"),1.0)</f>
        <v>1</v>
      </c>
      <c r="AY11" s="99" t="str">
        <f>IFERROR(__xludf.DUMMYFUNCTION("IFERROR(JOIN("", "",FILTER($AF$3:$AU$3,$AF11:$AU11=MAXIFS($AF11:$AU11,$AF$23:$AU$23,TRUE),$AF$23:$AU$23)),""N/A"")"),"Queen II")</f>
        <v>Queen II</v>
      </c>
      <c r="AZ11" s="103" t="str">
        <f>IFERROR(__xludf.DUMMYFUNCTION("IFERROR(JOIN("", "",FILTER($P11:$AE11,$AF11:$AU11=MAXIFS($AF11:$AU11,$AF$23:$AU$23,TRUE),$AF$23:$AU$23)),""N/A"")"),"1")</f>
        <v>1</v>
      </c>
      <c r="BA11" s="103">
        <f>MAXIFS(AF11:AU11,$AF$23:$AU$23,TRUE)/'Queen MIDI'!$J$20</f>
        <v>0.3333333333</v>
      </c>
      <c r="BB11" s="98">
        <f>IFERROR(__xludf.DUMMYFUNCTION("COUNTA(IFERROR(FILTER($AF$3:$AU$3,$AF11:$AU11=MAXIFS($AF11:$AU11,$AF$23:$AU$23,TRUE),$AF$23:$AU$23),))"),1.0)</f>
        <v>1</v>
      </c>
      <c r="BC11" s="103">
        <f t="shared" si="7"/>
        <v>0.01587301587</v>
      </c>
      <c r="BD11" s="99">
        <f t="shared" si="8"/>
        <v>1</v>
      </c>
      <c r="BE11" s="1"/>
    </row>
    <row r="12">
      <c r="A12" s="1"/>
      <c r="C12" s="66" t="str">
        <f t="array" ref="C12">INDEX('Queen MIDI'!$C$4:$C$66,MATCH(F12,'Queen MIDI'!$D$4:$D$66,0))</f>
        <v>Good Old-Fashioned Lover Boy</v>
      </c>
      <c r="D12" s="117">
        <v>2.0</v>
      </c>
      <c r="E12" s="118" t="s">
        <v>370</v>
      </c>
      <c r="F12" s="66" t="str">
        <f t="shared" si="2"/>
        <v>Good Old Fashioned Lover Boy.2.mid</v>
      </c>
      <c r="G12" s="130">
        <f>HLOOKUP(H12,'Queen Discography'!$C$2:$Q$3,2,FALSE)</f>
        <v>1976</v>
      </c>
      <c r="H12" s="66" t="str">
        <f>IF(COUNTIF('Queen Discography'!$C$4:$C$22,C12)&gt;0,"Queen",
IF(COUNTIF('Queen Discography'!$D$4:$D$22,C12)&gt;0,"Queen II",
IF(COUNTIF('Queen Discography'!$E$4:$E$22,C12)&gt;0,"Sheer Heart Attack",
IF(COUNTIF('Queen Discography'!$F$4:$F$22,C12)&gt;0,"A Night At The Opera",
IF(COUNTIF('Queen Discography'!$G$4:$G$22,C12)&gt;0,"A Day At The Races",
IF(COUNTIF('Queen Discography'!$H$4:$H$22,C12)&gt;0,"News Of The World",
IF(COUNTIF('Queen Discography'!$I$4:$I$22,C12)&gt;0,"Jazz",
IF(COUNTIF('Queen Discography'!$J$4:$J$22,C12)&gt;0,"The Game",
IF(COUNTIF('Queen Discography'!$K$4:$K$22,C12)&gt;0,"Flash Gordon",
IF(COUNTIF('Queen Discography'!$L$4:$L$22,C12)&gt;0,"Hot Space",
IF(COUNTIF('Queen Discography'!$M$4:$M$22,C12)&gt;0,"The Works",
IF(COUNTIF('Queen Discography'!$N$4:$N$22,C12)&gt;0,"A Kind Of Magic",
IF(COUNTIF('Queen Discography'!$O$4:$O$22,C12)&gt;0,"The Miracle",
IF(COUNTIF('Queen Discography'!$P$4:$P$22,C12)&gt;0,"Innuendo",
IF(COUNTIF('Queen Discography'!$Q$4:$Q$22,C12)&gt;0,"Made In Heaven","NOT FOUND")))))))))))))))</f>
        <v>A Day At The Races</v>
      </c>
      <c r="I12" s="1"/>
      <c r="J12" s="98">
        <v>8.0</v>
      </c>
      <c r="K12" s="99">
        <f t="shared" si="9"/>
        <v>1980</v>
      </c>
      <c r="L12" s="99">
        <f t="shared" si="3"/>
        <v>1980</v>
      </c>
      <c r="M12" s="99">
        <f t="shared" si="4"/>
        <v>1980</v>
      </c>
      <c r="N12" s="100">
        <f>IFERROR(__xludf.DUMMYFUNCTION("IFERROR(MEDIAN(FILTER($G$4:$G$66,$D$4:$D$66=$J12,ISNUMBER($G$4:$G$66))),""N/A"")"),1980.0)</f>
        <v>1980</v>
      </c>
      <c r="O12" s="99" t="str">
        <f>IFERROR(__xludf.DUMMYFUNCTION("IFERROR(MODE(FILTER($G$4:$G$66,$D$4:$D$66=$J12,ISNUMBER($G$4:$G$66))),""N/A"")"),"N/A")</f>
        <v>N/A</v>
      </c>
      <c r="P12" s="99">
        <f t="shared" ref="P12:AE12" si="16">COUNTIFS($H$4:$H$66,P$3,$D$4:$D$66,$J12)</f>
        <v>0</v>
      </c>
      <c r="Q12" s="99">
        <f t="shared" si="16"/>
        <v>0</v>
      </c>
      <c r="R12" s="99">
        <f t="shared" si="16"/>
        <v>0</v>
      </c>
      <c r="S12" s="99">
        <f t="shared" si="16"/>
        <v>0</v>
      </c>
      <c r="T12" s="99">
        <f t="shared" si="16"/>
        <v>0</v>
      </c>
      <c r="U12" s="99">
        <f t="shared" si="16"/>
        <v>0</v>
      </c>
      <c r="V12" s="99">
        <f t="shared" si="16"/>
        <v>0</v>
      </c>
      <c r="W12" s="99">
        <f t="shared" si="16"/>
        <v>1</v>
      </c>
      <c r="X12" s="99">
        <f t="shared" si="16"/>
        <v>0</v>
      </c>
      <c r="Y12" s="99">
        <f t="shared" si="16"/>
        <v>0</v>
      </c>
      <c r="Z12" s="99">
        <f t="shared" si="16"/>
        <v>0</v>
      </c>
      <c r="AA12" s="99">
        <f t="shared" si="16"/>
        <v>0</v>
      </c>
      <c r="AB12" s="99">
        <f t="shared" si="16"/>
        <v>0</v>
      </c>
      <c r="AC12" s="99">
        <f t="shared" si="16"/>
        <v>0</v>
      </c>
      <c r="AD12" s="99">
        <f t="shared" si="16"/>
        <v>0</v>
      </c>
      <c r="AE12" s="99">
        <f t="shared" si="16"/>
        <v>0</v>
      </c>
      <c r="AF12" s="104">
        <f t="array" ref="AF12:AU12">IFERROR(P12:AE12*TRANSPOSE('Queen MIDI'!$J$4:$J$19),"N/A")</f>
        <v>0</v>
      </c>
      <c r="AG12" s="104">
        <v>0.0</v>
      </c>
      <c r="AH12" s="104">
        <v>0.0</v>
      </c>
      <c r="AI12" s="104">
        <v>0.0</v>
      </c>
      <c r="AJ12" s="104">
        <v>0.0</v>
      </c>
      <c r="AK12" s="104">
        <v>0.0</v>
      </c>
      <c r="AL12" s="104">
        <v>0.0</v>
      </c>
      <c r="AM12" s="104">
        <v>0.984375</v>
      </c>
      <c r="AN12" s="104" t="s">
        <v>357</v>
      </c>
      <c r="AO12" s="104">
        <v>0.0</v>
      </c>
      <c r="AP12" s="104">
        <v>0.0</v>
      </c>
      <c r="AQ12" s="104">
        <v>0.0</v>
      </c>
      <c r="AR12" s="104">
        <v>0.0</v>
      </c>
      <c r="AS12" s="104">
        <v>0.0</v>
      </c>
      <c r="AT12" s="104">
        <v>0.0</v>
      </c>
      <c r="AU12" s="104">
        <v>0.0</v>
      </c>
      <c r="AV12" s="99" t="str">
        <f>IFERROR(__xludf.DUMMYFUNCTION("JOIN("", "",FILTER($P$3:$AE$3,$P12:$AE12=MAX($P12:$AE12)))"),"The Game")</f>
        <v>The Game</v>
      </c>
      <c r="AW12" s="99">
        <f t="shared" si="6"/>
        <v>1</v>
      </c>
      <c r="AX12" s="99">
        <f>IFERROR(__xludf.DUMMYFUNCTION("COUNTA(FILTER($P$3:$AE$3,$P12:$AE12=MAX($P12:$AE12)))"),1.0)</f>
        <v>1</v>
      </c>
      <c r="AY12" s="99" t="str">
        <f>IFERROR(__xludf.DUMMYFUNCTION("IFERROR(JOIN("", "",FILTER($AF$3:$AU$3,$AF12:$AU12=MAXIFS($AF12:$AU12,$AF$23:$AU$23,TRUE),$AF$23:$AU$23)),""N/A"")"),"The Game")</f>
        <v>The Game</v>
      </c>
      <c r="AZ12" s="103" t="str">
        <f>IFERROR(__xludf.DUMMYFUNCTION("IFERROR(JOIN("", "",FILTER($P12:$AE12,$AF12:$AU12=MAXIFS($AF12:$AU12,$AF$23:$AU$23,TRUE),$AF$23:$AU$23)),""N/A"")"),"1")</f>
        <v>1</v>
      </c>
      <c r="BA12" s="103">
        <f>MAXIFS(AF12:AU12,$AF$23:$AU$23,TRUE)/'Queen MIDI'!$J$20</f>
        <v>0.25</v>
      </c>
      <c r="BB12" s="98">
        <f>IFERROR(__xludf.DUMMYFUNCTION("COUNTA(IFERROR(FILTER($AF$3:$AU$3,$AF12:$AU12=MAXIFS($AF12:$AU12,$AF$23:$AU$23,TRUE),$AF$23:$AU$23),))"),1.0)</f>
        <v>1</v>
      </c>
      <c r="BC12" s="103">
        <f t="shared" si="7"/>
        <v>0.01587301587</v>
      </c>
      <c r="BD12" s="99">
        <f t="shared" si="8"/>
        <v>1</v>
      </c>
      <c r="BE12" s="1"/>
    </row>
    <row r="13">
      <c r="A13" s="1"/>
      <c r="C13" s="66" t="str">
        <f t="array" ref="C13">INDEX('Queen MIDI'!$C$4:$C$66,MATCH(F13,'Queen MIDI'!$D$4:$D$66,0))</f>
        <v>Bicycle Race</v>
      </c>
      <c r="D13" s="117">
        <v>2.0</v>
      </c>
      <c r="E13" s="118" t="s">
        <v>376</v>
      </c>
      <c r="F13" s="66" t="str">
        <f t="shared" si="2"/>
        <v>Bicycle Race.mid</v>
      </c>
      <c r="G13" s="121">
        <f>HLOOKUP(H13,'Queen Discography'!$C$2:$Q$3,2,FALSE)</f>
        <v>1978</v>
      </c>
      <c r="H13" s="66" t="str">
        <f>IF(COUNTIF('Queen Discography'!$C$4:$C$22,C13)&gt;0,"Queen",
IF(COUNTIF('Queen Discography'!$D$4:$D$22,C13)&gt;0,"Queen II",
IF(COUNTIF('Queen Discography'!$E$4:$E$22,C13)&gt;0,"Sheer Heart Attack",
IF(COUNTIF('Queen Discography'!$F$4:$F$22,C13)&gt;0,"A Night At The Opera",
IF(COUNTIF('Queen Discography'!$G$4:$G$22,C13)&gt;0,"A Day At The Races",
IF(COUNTIF('Queen Discography'!$H$4:$H$22,C13)&gt;0,"News Of The World",
IF(COUNTIF('Queen Discography'!$I$4:$I$22,C13)&gt;0,"Jazz",
IF(COUNTIF('Queen Discography'!$J$4:$J$22,C13)&gt;0,"The Game",
IF(COUNTIF('Queen Discography'!$K$4:$K$22,C13)&gt;0,"Flash Gordon",
IF(COUNTIF('Queen Discography'!$L$4:$L$22,C13)&gt;0,"Hot Space",
IF(COUNTIF('Queen Discography'!$M$4:$M$22,C13)&gt;0,"The Works",
IF(COUNTIF('Queen Discography'!$N$4:$N$22,C13)&gt;0,"A Kind Of Magic",
IF(COUNTIF('Queen Discography'!$O$4:$O$22,C13)&gt;0,"The Miracle",
IF(COUNTIF('Queen Discography'!$P$4:$P$22,C13)&gt;0,"Innuendo",
IF(COUNTIF('Queen Discography'!$Q$4:$Q$22,C13)&gt;0,"Made In Heaven","NOT FOUND")))))))))))))))</f>
        <v>Jazz</v>
      </c>
      <c r="I13" s="1"/>
      <c r="J13" s="98">
        <v>9.0</v>
      </c>
      <c r="K13" s="99">
        <f t="shared" si="9"/>
        <v>1976</v>
      </c>
      <c r="L13" s="99">
        <f t="shared" si="3"/>
        <v>1991</v>
      </c>
      <c r="M13" s="99">
        <f t="shared" si="4"/>
        <v>1982</v>
      </c>
      <c r="N13" s="100">
        <f>IFERROR(__xludf.DUMMYFUNCTION("IFERROR(MEDIAN(FILTER($G$4:$G$66,$D$4:$D$66=$J13,ISNUMBER($G$4:$G$66))),""N/A"")"),1980.0)</f>
        <v>1980</v>
      </c>
      <c r="O13" s="99" t="str">
        <f>IFERROR(__xludf.DUMMYFUNCTION("IFERROR(MODE(FILTER($G$4:$G$66,$D$4:$D$66=$J13,ISNUMBER($G$4:$G$66))),""N/A"")"),"N/A")</f>
        <v>N/A</v>
      </c>
      <c r="P13" s="99">
        <f t="shared" ref="P13:AE13" si="17">COUNTIFS($H$4:$H$66,P$3,$D$4:$D$66,$J13)</f>
        <v>0</v>
      </c>
      <c r="Q13" s="99">
        <f t="shared" si="17"/>
        <v>0</v>
      </c>
      <c r="R13" s="99">
        <f t="shared" si="17"/>
        <v>0</v>
      </c>
      <c r="S13" s="99">
        <f t="shared" si="17"/>
        <v>0</v>
      </c>
      <c r="T13" s="99">
        <f t="shared" si="17"/>
        <v>1</v>
      </c>
      <c r="U13" s="99">
        <f t="shared" si="17"/>
        <v>0</v>
      </c>
      <c r="V13" s="99">
        <f t="shared" si="17"/>
        <v>1</v>
      </c>
      <c r="W13" s="99">
        <f t="shared" si="17"/>
        <v>1</v>
      </c>
      <c r="X13" s="99">
        <f t="shared" si="17"/>
        <v>0</v>
      </c>
      <c r="Y13" s="99">
        <f t="shared" si="17"/>
        <v>0</v>
      </c>
      <c r="Z13" s="99">
        <f t="shared" si="17"/>
        <v>0</v>
      </c>
      <c r="AA13" s="99">
        <f t="shared" si="17"/>
        <v>1</v>
      </c>
      <c r="AB13" s="99">
        <f t="shared" si="17"/>
        <v>0</v>
      </c>
      <c r="AC13" s="99">
        <f t="shared" si="17"/>
        <v>1</v>
      </c>
      <c r="AD13" s="99">
        <f t="shared" si="17"/>
        <v>0</v>
      </c>
      <c r="AE13" s="99">
        <f t="shared" si="17"/>
        <v>0</v>
      </c>
      <c r="AF13" s="104">
        <f t="array" ref="AF13:AU13">IFERROR(P13:AE13*TRANSPOSE('Queen MIDI'!$J$4:$J$19),"N/A")</f>
        <v>0</v>
      </c>
      <c r="AG13" s="104">
        <v>0.0</v>
      </c>
      <c r="AH13" s="104">
        <v>0.0</v>
      </c>
      <c r="AI13" s="104">
        <v>0.0</v>
      </c>
      <c r="AJ13" s="104">
        <v>1.3125</v>
      </c>
      <c r="AK13" s="104">
        <v>0.0</v>
      </c>
      <c r="AL13" s="104">
        <v>0.7875</v>
      </c>
      <c r="AM13" s="104">
        <v>0.984375</v>
      </c>
      <c r="AN13" s="104" t="s">
        <v>357</v>
      </c>
      <c r="AO13" s="104">
        <v>0.0</v>
      </c>
      <c r="AP13" s="104">
        <v>0.0</v>
      </c>
      <c r="AQ13" s="104">
        <v>0.7875</v>
      </c>
      <c r="AR13" s="104">
        <v>0.0</v>
      </c>
      <c r="AS13" s="104">
        <v>0.4375</v>
      </c>
      <c r="AT13" s="104">
        <v>0.0</v>
      </c>
      <c r="AU13" s="104">
        <v>0.0</v>
      </c>
      <c r="AV13" s="99" t="str">
        <f>IFERROR(__xludf.DUMMYFUNCTION("JOIN("", "",FILTER($P$3:$AE$3,$P13:$AE13=MAX($P13:$AE13)))"),"A Day At The Races, Jazz, The Game, A Kind Of Magic, Innuendo")</f>
        <v>A Day At The Races, Jazz, The Game, A Kind Of Magic, Innuendo</v>
      </c>
      <c r="AW13" s="99">
        <f t="shared" si="6"/>
        <v>1</v>
      </c>
      <c r="AX13" s="99">
        <f>IFERROR(__xludf.DUMMYFUNCTION("COUNTA(FILTER($P$3:$AE$3,$P13:$AE13=MAX($P13:$AE13)))"),5.0)</f>
        <v>5</v>
      </c>
      <c r="AY13" s="99" t="str">
        <f>IFERROR(__xludf.DUMMYFUNCTION("IFERROR(JOIN("", "",FILTER($AF$3:$AU$3,$AF13:$AU13=MAXIFS($AF13:$AU13,$AF$23:$AU$23,TRUE),$AF$23:$AU$23)),""N/A"")"),"A Day At The Races")</f>
        <v>A Day At The Races</v>
      </c>
      <c r="AZ13" s="103" t="str">
        <f>IFERROR(__xludf.DUMMYFUNCTION("IFERROR(JOIN("", "",FILTER($P13:$AE13,$AF13:$AU13=MAXIFS($AF13:$AU13,$AF$23:$AU$23,TRUE),$AF$23:$AU$23)),""N/A"")"),"1")</f>
        <v>1</v>
      </c>
      <c r="BA13" s="103">
        <f>MAXIFS(AF13:AU13,$AF$23:$AU$23,TRUE)/'Queen MIDI'!$J$20</f>
        <v>0.3333333333</v>
      </c>
      <c r="BB13" s="98">
        <f>IFERROR(__xludf.DUMMYFUNCTION("COUNTA(IFERROR(FILTER($AF$3:$AU$3,$AF13:$AU13=MAXIFS($AF13:$AU13,$AF$23:$AU$23,TRUE),$AF$23:$AU$23),))"),1.0)</f>
        <v>1</v>
      </c>
      <c r="BC13" s="103">
        <f t="shared" si="7"/>
        <v>0.07936507937</v>
      </c>
      <c r="BD13" s="99">
        <f t="shared" si="8"/>
        <v>5</v>
      </c>
      <c r="BE13" s="1"/>
    </row>
    <row r="14">
      <c r="A14" s="1"/>
      <c r="C14" s="66" t="str">
        <f t="array" ref="C14">INDEX('Queen MIDI'!$C$4:$C$66,MATCH(F14,'Queen MIDI'!$D$4:$D$66,0))</f>
        <v>Fun It</v>
      </c>
      <c r="D14" s="117">
        <v>2.0</v>
      </c>
      <c r="E14" s="118" t="s">
        <v>379</v>
      </c>
      <c r="F14" s="66" t="str">
        <f t="shared" si="2"/>
        <v>Fun It.mid</v>
      </c>
      <c r="G14" s="130">
        <f>HLOOKUP(H14,'Queen Discography'!$C$2:$Q$3,2,FALSE)</f>
        <v>1978</v>
      </c>
      <c r="H14" s="66" t="str">
        <f>IF(COUNTIF('Queen Discography'!$C$4:$C$22,C14)&gt;0,"Queen",
IF(COUNTIF('Queen Discography'!$D$4:$D$22,C14)&gt;0,"Queen II",
IF(COUNTIF('Queen Discography'!$E$4:$E$22,C14)&gt;0,"Sheer Heart Attack",
IF(COUNTIF('Queen Discography'!$F$4:$F$22,C14)&gt;0,"A Night At The Opera",
IF(COUNTIF('Queen Discography'!$G$4:$G$22,C14)&gt;0,"A Day At The Races",
IF(COUNTIF('Queen Discography'!$H$4:$H$22,C14)&gt;0,"News Of The World",
IF(COUNTIF('Queen Discography'!$I$4:$I$22,C14)&gt;0,"Jazz",
IF(COUNTIF('Queen Discography'!$J$4:$J$22,C14)&gt;0,"The Game",
IF(COUNTIF('Queen Discography'!$K$4:$K$22,C14)&gt;0,"Flash Gordon",
IF(COUNTIF('Queen Discography'!$L$4:$L$22,C14)&gt;0,"Hot Space",
IF(COUNTIF('Queen Discography'!$M$4:$M$22,C14)&gt;0,"The Works",
IF(COUNTIF('Queen Discography'!$N$4:$N$22,C14)&gt;0,"A Kind Of Magic",
IF(COUNTIF('Queen Discography'!$O$4:$O$22,C14)&gt;0,"The Miracle",
IF(COUNTIF('Queen Discography'!$P$4:$P$22,C14)&gt;0,"Innuendo",
IF(COUNTIF('Queen Discography'!$Q$4:$Q$22,C14)&gt;0,"Made In Heaven","NOT FOUND")))))))))))))))</f>
        <v>Jazz</v>
      </c>
      <c r="I14" s="1"/>
      <c r="J14" s="98">
        <v>10.0</v>
      </c>
      <c r="K14" s="99" t="str">
        <f t="shared" si="9"/>
        <v>N/A</v>
      </c>
      <c r="L14" s="99" t="str">
        <f t="shared" si="3"/>
        <v>N/A</v>
      </c>
      <c r="M14" s="99" t="str">
        <f t="shared" si="4"/>
        <v>N/A</v>
      </c>
      <c r="N14" s="100" t="str">
        <f>IFERROR(__xludf.DUMMYFUNCTION("IFERROR(MEDIAN(FILTER($G$4:$G$66,$D$4:$D$66=$J14,ISNUMBER($G$4:$G$66))),""N/A"")"),"N/A")</f>
        <v>N/A</v>
      </c>
      <c r="O14" s="99" t="str">
        <f>IFERROR(__xludf.DUMMYFUNCTION("IFERROR(MODE(FILTER($G$4:$G$66,$D$4:$D$66=$J14,ISNUMBER($G$4:$G$66))),""N/A"")"),"N/A")</f>
        <v>N/A</v>
      </c>
      <c r="P14" s="99">
        <f t="shared" ref="P14:AE14" si="18">COUNTIFS($H$4:$H$66,P$3,$D$4:$D$66,$J14)</f>
        <v>0</v>
      </c>
      <c r="Q14" s="99">
        <f t="shared" si="18"/>
        <v>0</v>
      </c>
      <c r="R14" s="99">
        <f t="shared" si="18"/>
        <v>0</v>
      </c>
      <c r="S14" s="99">
        <f t="shared" si="18"/>
        <v>0</v>
      </c>
      <c r="T14" s="99">
        <f t="shared" si="18"/>
        <v>0</v>
      </c>
      <c r="U14" s="99">
        <f t="shared" si="18"/>
        <v>0</v>
      </c>
      <c r="V14" s="99">
        <f t="shared" si="18"/>
        <v>0</v>
      </c>
      <c r="W14" s="99">
        <f t="shared" si="18"/>
        <v>0</v>
      </c>
      <c r="X14" s="99">
        <f t="shared" si="18"/>
        <v>0</v>
      </c>
      <c r="Y14" s="99">
        <f t="shared" si="18"/>
        <v>0</v>
      </c>
      <c r="Z14" s="99">
        <f t="shared" si="18"/>
        <v>0</v>
      </c>
      <c r="AA14" s="99">
        <f t="shared" si="18"/>
        <v>0</v>
      </c>
      <c r="AB14" s="99">
        <f t="shared" si="18"/>
        <v>0</v>
      </c>
      <c r="AC14" s="99">
        <f t="shared" si="18"/>
        <v>0</v>
      </c>
      <c r="AD14" s="99">
        <f t="shared" si="18"/>
        <v>0</v>
      </c>
      <c r="AE14" s="99">
        <f t="shared" si="18"/>
        <v>1</v>
      </c>
      <c r="AF14" s="104">
        <f t="array" ref="AF14:AU14">IFERROR(P14:AE14*TRANSPOSE('Queen MIDI'!$J$4:$J$19),"N/A")</f>
        <v>0</v>
      </c>
      <c r="AG14" s="104">
        <v>0.0</v>
      </c>
      <c r="AH14" s="104">
        <v>0.0</v>
      </c>
      <c r="AI14" s="104">
        <v>0.0</v>
      </c>
      <c r="AJ14" s="104">
        <v>0.0</v>
      </c>
      <c r="AK14" s="104">
        <v>0.0</v>
      </c>
      <c r="AL14" s="104">
        <v>0.0</v>
      </c>
      <c r="AM14" s="104">
        <v>0.0</v>
      </c>
      <c r="AN14" s="104" t="s">
        <v>357</v>
      </c>
      <c r="AO14" s="104">
        <v>0.0</v>
      </c>
      <c r="AP14" s="104">
        <v>0.0</v>
      </c>
      <c r="AQ14" s="104">
        <v>0.0</v>
      </c>
      <c r="AR14" s="104">
        <v>0.0</v>
      </c>
      <c r="AS14" s="104">
        <v>0.0</v>
      </c>
      <c r="AT14" s="104">
        <v>0.0</v>
      </c>
      <c r="AU14" s="104">
        <v>1.96875</v>
      </c>
      <c r="AV14" s="99" t="str">
        <f>IFERROR(__xludf.DUMMYFUNCTION("JOIN("", "",FILTER($P$3:$AE$3,$P14:$AE14=MAX($P14:$AE14)))"),"NOT FOUND")</f>
        <v>NOT FOUND</v>
      </c>
      <c r="AW14" s="99">
        <f t="shared" si="6"/>
        <v>1</v>
      </c>
      <c r="AX14" s="99">
        <f>IFERROR(__xludf.DUMMYFUNCTION("COUNTA(FILTER($P$3:$AE$3,$P14:$AE14=MAX($P14:$AE14)))"),1.0)</f>
        <v>1</v>
      </c>
      <c r="AY14" s="99" t="str">
        <f>IFERROR(__xludf.DUMMYFUNCTION("IFERROR(JOIN("", "",FILTER($AF$3:$AU$3,$AF14:$AU14=MAXIFS($AF14:$AU14,$AF$23:$AU$23,TRUE),$AF$23:$AU$23)),""N/A"")"),"NOT FOUND")</f>
        <v>NOT FOUND</v>
      </c>
      <c r="AZ14" s="103" t="str">
        <f>IFERROR(__xludf.DUMMYFUNCTION("IFERROR(JOIN("", "",FILTER($P14:$AE14,$AF14:$AU14=MAXIFS($AF14:$AU14,$AF$23:$AU$23,TRUE),$AF$23:$AU$23)),""N/A"")"),"1")</f>
        <v>1</v>
      </c>
      <c r="BA14" s="103">
        <f>MAXIFS(AF14:AU14,$AF$23:$AU$23,TRUE)/'Queen MIDI'!$J$20</f>
        <v>0.5</v>
      </c>
      <c r="BB14" s="98">
        <f>IFERROR(__xludf.DUMMYFUNCTION("COUNTA(IFERROR(FILTER($AF$3:$AU$3,$AF14:$AU14=MAXIFS($AF14:$AU14,$AF$23:$AU$23,TRUE),$AF$23:$AU$23),))"),1.0)</f>
        <v>1</v>
      </c>
      <c r="BC14" s="103">
        <f t="shared" si="7"/>
        <v>0.01587301587</v>
      </c>
      <c r="BD14" s="99">
        <f t="shared" si="8"/>
        <v>1</v>
      </c>
      <c r="BE14" s="1"/>
    </row>
    <row r="15">
      <c r="A15" s="1"/>
      <c r="C15" s="66" t="str">
        <f t="array" ref="C15">INDEX('Queen MIDI'!$C$4:$C$66,MATCH(F15,'Queen MIDI'!$D$4:$D$66,0))</f>
        <v>Princes of the Universe</v>
      </c>
      <c r="D15" s="117">
        <v>2.0</v>
      </c>
      <c r="E15" s="118" t="s">
        <v>393</v>
      </c>
      <c r="F15" s="66" t="str">
        <f t="shared" si="2"/>
        <v>Princes of the Universe.1.mid</v>
      </c>
      <c r="G15" s="120">
        <f>HLOOKUP(H15,'Queen Discography'!$C$2:$Q$3,2,FALSE)</f>
        <v>1986</v>
      </c>
      <c r="H15" s="66" t="str">
        <f>IF(COUNTIF('Queen Discography'!$C$4:$C$22,C15)&gt;0,"Queen",
IF(COUNTIF('Queen Discography'!$D$4:$D$22,C15)&gt;0,"Queen II",
IF(COUNTIF('Queen Discography'!$E$4:$E$22,C15)&gt;0,"Sheer Heart Attack",
IF(COUNTIF('Queen Discography'!$F$4:$F$22,C15)&gt;0,"A Night At The Opera",
IF(COUNTIF('Queen Discography'!$G$4:$G$22,C15)&gt;0,"A Day At The Races",
IF(COUNTIF('Queen Discography'!$H$4:$H$22,C15)&gt;0,"News Of The World",
IF(COUNTIF('Queen Discography'!$I$4:$I$22,C15)&gt;0,"Jazz",
IF(COUNTIF('Queen Discography'!$J$4:$J$22,C15)&gt;0,"The Game",
IF(COUNTIF('Queen Discography'!$K$4:$K$22,C15)&gt;0,"Flash Gordon",
IF(COUNTIF('Queen Discography'!$L$4:$L$22,C15)&gt;0,"Hot Space",
IF(COUNTIF('Queen Discography'!$M$4:$M$22,C15)&gt;0,"The Works",
IF(COUNTIF('Queen Discography'!$N$4:$N$22,C15)&gt;0,"A Kind Of Magic",
IF(COUNTIF('Queen Discography'!$O$4:$O$22,C15)&gt;0,"The Miracle",
IF(COUNTIF('Queen Discography'!$P$4:$P$22,C15)&gt;0,"Innuendo",
IF(COUNTIF('Queen Discography'!$Q$4:$Q$22,C15)&gt;0,"Made In Heaven","NOT FOUND")))))))))))))))</f>
        <v>A Kind Of Magic</v>
      </c>
      <c r="I15" s="1"/>
      <c r="J15" s="98">
        <v>11.0</v>
      </c>
      <c r="K15" s="99">
        <f t="shared" si="9"/>
        <v>1977</v>
      </c>
      <c r="L15" s="99">
        <f t="shared" si="3"/>
        <v>1977</v>
      </c>
      <c r="M15" s="99">
        <f t="shared" si="4"/>
        <v>1977</v>
      </c>
      <c r="N15" s="100">
        <f>IFERROR(__xludf.DUMMYFUNCTION("IFERROR(MEDIAN(FILTER($G$4:$G$66,$D$4:$D$66=$J15,ISNUMBER($G$4:$G$66))),""N/A"")"),1977.0)</f>
        <v>1977</v>
      </c>
      <c r="O15" s="99" t="str">
        <f>IFERROR(__xludf.DUMMYFUNCTION("IFERROR(MODE(FILTER($G$4:$G$66,$D$4:$D$66=$J15,ISNUMBER($G$4:$G$66))),""N/A"")"),"N/A")</f>
        <v>N/A</v>
      </c>
      <c r="P15" s="99">
        <f t="shared" ref="P15:AE15" si="19">COUNTIFS($H$4:$H$66,P$3,$D$4:$D$66,$J15)</f>
        <v>0</v>
      </c>
      <c r="Q15" s="99">
        <f t="shared" si="19"/>
        <v>0</v>
      </c>
      <c r="R15" s="99">
        <f t="shared" si="19"/>
        <v>0</v>
      </c>
      <c r="S15" s="99">
        <f t="shared" si="19"/>
        <v>0</v>
      </c>
      <c r="T15" s="99">
        <f t="shared" si="19"/>
        <v>0</v>
      </c>
      <c r="U15" s="99">
        <f t="shared" si="19"/>
        <v>1</v>
      </c>
      <c r="V15" s="99">
        <f t="shared" si="19"/>
        <v>0</v>
      </c>
      <c r="W15" s="99">
        <f t="shared" si="19"/>
        <v>0</v>
      </c>
      <c r="X15" s="99">
        <f t="shared" si="19"/>
        <v>0</v>
      </c>
      <c r="Y15" s="99">
        <f t="shared" si="19"/>
        <v>0</v>
      </c>
      <c r="Z15" s="99">
        <f t="shared" si="19"/>
        <v>0</v>
      </c>
      <c r="AA15" s="99">
        <f t="shared" si="19"/>
        <v>0</v>
      </c>
      <c r="AB15" s="99">
        <f t="shared" si="19"/>
        <v>0</v>
      </c>
      <c r="AC15" s="99">
        <f t="shared" si="19"/>
        <v>0</v>
      </c>
      <c r="AD15" s="99">
        <f t="shared" si="19"/>
        <v>0</v>
      </c>
      <c r="AE15" s="99">
        <f t="shared" si="19"/>
        <v>0</v>
      </c>
      <c r="AF15" s="104">
        <f t="array" ref="AF15:AU15">IFERROR(P15:AE15*TRANSPOSE('Queen MIDI'!$J$4:$J$19),"N/A")</f>
        <v>0</v>
      </c>
      <c r="AG15" s="104">
        <v>0.0</v>
      </c>
      <c r="AH15" s="104">
        <v>0.0</v>
      </c>
      <c r="AI15" s="104">
        <v>0.0</v>
      </c>
      <c r="AJ15" s="104">
        <v>0.0</v>
      </c>
      <c r="AK15" s="104">
        <v>0.984375</v>
      </c>
      <c r="AL15" s="104">
        <v>0.0</v>
      </c>
      <c r="AM15" s="104">
        <v>0.0</v>
      </c>
      <c r="AN15" s="104" t="s">
        <v>357</v>
      </c>
      <c r="AO15" s="104">
        <v>0.0</v>
      </c>
      <c r="AP15" s="104">
        <v>0.0</v>
      </c>
      <c r="AQ15" s="104">
        <v>0.0</v>
      </c>
      <c r="AR15" s="104">
        <v>0.0</v>
      </c>
      <c r="AS15" s="104">
        <v>0.0</v>
      </c>
      <c r="AT15" s="104">
        <v>0.0</v>
      </c>
      <c r="AU15" s="104">
        <v>0.0</v>
      </c>
      <c r="AV15" s="106" t="str">
        <f>IFERROR(__xludf.DUMMYFUNCTION("JOIN("", "",FILTER($P$3:$AE$3,$P15:$AE15=MAX($P15:$AE15)))"),"News Of The World")</f>
        <v>News Of The World</v>
      </c>
      <c r="AW15" s="99">
        <f t="shared" si="6"/>
        <v>1</v>
      </c>
      <c r="AX15" s="99">
        <f>IFERROR(__xludf.DUMMYFUNCTION("COUNTA(FILTER($P$3:$AE$3,$P15:$AE15=MAX($P15:$AE15)))"),1.0)</f>
        <v>1</v>
      </c>
      <c r="AY15" s="99" t="str">
        <f>IFERROR(__xludf.DUMMYFUNCTION("IFERROR(JOIN("", "",FILTER($AF$3:$AU$3,$AF15:$AU15=MAXIFS($AF15:$AU15,$AF$23:$AU$23,TRUE),$AF$23:$AU$23)),""N/A"")"),"News Of The World")</f>
        <v>News Of The World</v>
      </c>
      <c r="AZ15" s="103" t="str">
        <f>IFERROR(__xludf.DUMMYFUNCTION("IFERROR(JOIN("", "",FILTER($P15:$AE15,$AF15:$AU15=MAXIFS($AF15:$AU15,$AF$23:$AU$23,TRUE),$AF$23:$AU$23)),""N/A"")"),"1")</f>
        <v>1</v>
      </c>
      <c r="BA15" s="103">
        <f>MAXIFS(AF15:AU15,$AF$23:$AU$23,TRUE)/'Queen MIDI'!$J$20</f>
        <v>0.25</v>
      </c>
      <c r="BB15" s="98">
        <f>IFERROR(__xludf.DUMMYFUNCTION("COUNTA(IFERROR(FILTER($AF$3:$AU$3,$AF15:$AU15=MAXIFS($AF15:$AU15,$AF$23:$AU$23,TRUE),$AF$23:$AU$23),))"),1.0)</f>
        <v>1</v>
      </c>
      <c r="BC15" s="103">
        <f t="shared" si="7"/>
        <v>0.01587301587</v>
      </c>
      <c r="BD15" s="99">
        <f t="shared" si="8"/>
        <v>1</v>
      </c>
      <c r="BE15" s="1"/>
    </row>
    <row r="16">
      <c r="A16" s="1"/>
      <c r="C16" s="66" t="str">
        <f t="array" ref="C16">INDEX('Queen MIDI'!$C$4:$C$66,MATCH(F16,'Queen MIDI'!$D$4:$D$66,0))</f>
        <v>Rain Must Fall</v>
      </c>
      <c r="D16" s="117">
        <v>2.0</v>
      </c>
      <c r="E16" s="118" t="s">
        <v>396</v>
      </c>
      <c r="F16" s="66" t="str">
        <f t="shared" si="2"/>
        <v>Rain Must Fall.mid</v>
      </c>
      <c r="G16" s="129">
        <f>HLOOKUP(H16,'Queen Discography'!$C$2:$Q$3,2,FALSE)</f>
        <v>1989</v>
      </c>
      <c r="H16" s="66" t="str">
        <f>IF(COUNTIF('Queen Discography'!$C$4:$C$22,C16)&gt;0,"Queen",
IF(COUNTIF('Queen Discography'!$D$4:$D$22,C16)&gt;0,"Queen II",
IF(COUNTIF('Queen Discography'!$E$4:$E$22,C16)&gt;0,"Sheer Heart Attack",
IF(COUNTIF('Queen Discography'!$F$4:$F$22,C16)&gt;0,"A Night At The Opera",
IF(COUNTIF('Queen Discography'!$G$4:$G$22,C16)&gt;0,"A Day At The Races",
IF(COUNTIF('Queen Discography'!$H$4:$H$22,C16)&gt;0,"News Of The World",
IF(COUNTIF('Queen Discography'!$I$4:$I$22,C16)&gt;0,"Jazz",
IF(COUNTIF('Queen Discography'!$J$4:$J$22,C16)&gt;0,"The Game",
IF(COUNTIF('Queen Discography'!$K$4:$K$22,C16)&gt;0,"Flash Gordon",
IF(COUNTIF('Queen Discography'!$L$4:$L$22,C16)&gt;0,"Hot Space",
IF(COUNTIF('Queen Discography'!$M$4:$M$22,C16)&gt;0,"The Works",
IF(COUNTIF('Queen Discography'!$N$4:$N$22,C16)&gt;0,"A Kind Of Magic",
IF(COUNTIF('Queen Discography'!$O$4:$O$22,C16)&gt;0,"The Miracle",
IF(COUNTIF('Queen Discography'!$P$4:$P$22,C16)&gt;0,"Innuendo",
IF(COUNTIF('Queen Discography'!$Q$4:$Q$22,C16)&gt;0,"Made In Heaven","NOT FOUND")))))))))))))))</f>
        <v>The Miracle</v>
      </c>
      <c r="I16" s="1"/>
      <c r="J16" s="98">
        <v>12.0</v>
      </c>
      <c r="K16" s="99">
        <f t="shared" si="9"/>
        <v>1976</v>
      </c>
      <c r="L16" s="99">
        <f t="shared" si="3"/>
        <v>1976</v>
      </c>
      <c r="M16" s="99">
        <f t="shared" si="4"/>
        <v>1976</v>
      </c>
      <c r="N16" s="100">
        <f>IFERROR(__xludf.DUMMYFUNCTION("IFERROR(MEDIAN(FILTER($G$4:$G$66,$D$4:$D$66=$J16,ISNUMBER($G$4:$G$66))),""N/A"")"),1976.0)</f>
        <v>1976</v>
      </c>
      <c r="O16" s="99" t="str">
        <f>IFERROR(__xludf.DUMMYFUNCTION("IFERROR(MODE(FILTER($G$4:$G$66,$D$4:$D$66=$J16,ISNUMBER($G$4:$G$66))),""N/A"")"),"N/A")</f>
        <v>N/A</v>
      </c>
      <c r="P16" s="99">
        <f t="shared" ref="P16:AE16" si="20">COUNTIFS($H$4:$H$66,P$3,$D$4:$D$66,$J16)</f>
        <v>0</v>
      </c>
      <c r="Q16" s="99">
        <f t="shared" si="20"/>
        <v>0</v>
      </c>
      <c r="R16" s="99">
        <f t="shared" si="20"/>
        <v>0</v>
      </c>
      <c r="S16" s="99">
        <f t="shared" si="20"/>
        <v>0</v>
      </c>
      <c r="T16" s="99">
        <f t="shared" si="20"/>
        <v>1</v>
      </c>
      <c r="U16" s="99">
        <f t="shared" si="20"/>
        <v>0</v>
      </c>
      <c r="V16" s="99">
        <f t="shared" si="20"/>
        <v>0</v>
      </c>
      <c r="W16" s="99">
        <f t="shared" si="20"/>
        <v>0</v>
      </c>
      <c r="X16" s="99">
        <f t="shared" si="20"/>
        <v>0</v>
      </c>
      <c r="Y16" s="99">
        <f t="shared" si="20"/>
        <v>0</v>
      </c>
      <c r="Z16" s="99">
        <f t="shared" si="20"/>
        <v>0</v>
      </c>
      <c r="AA16" s="99">
        <f t="shared" si="20"/>
        <v>0</v>
      </c>
      <c r="AB16" s="99">
        <f t="shared" si="20"/>
        <v>0</v>
      </c>
      <c r="AC16" s="99">
        <f t="shared" si="20"/>
        <v>0</v>
      </c>
      <c r="AD16" s="99">
        <f t="shared" si="20"/>
        <v>0</v>
      </c>
      <c r="AE16" s="99">
        <f t="shared" si="20"/>
        <v>0</v>
      </c>
      <c r="AF16" s="104">
        <f t="array" ref="AF16:AU16">IFERROR(P16:AE16*TRANSPOSE('Queen MIDI'!$J$4:$J$19),"N/A")</f>
        <v>0</v>
      </c>
      <c r="AG16" s="104">
        <v>0.0</v>
      </c>
      <c r="AH16" s="104">
        <v>0.0</v>
      </c>
      <c r="AI16" s="104">
        <v>0.0</v>
      </c>
      <c r="AJ16" s="104">
        <v>1.3125</v>
      </c>
      <c r="AK16" s="104">
        <v>0.0</v>
      </c>
      <c r="AL16" s="104">
        <v>0.0</v>
      </c>
      <c r="AM16" s="104">
        <v>0.0</v>
      </c>
      <c r="AN16" s="104" t="s">
        <v>357</v>
      </c>
      <c r="AO16" s="104">
        <v>0.0</v>
      </c>
      <c r="AP16" s="104">
        <v>0.0</v>
      </c>
      <c r="AQ16" s="104">
        <v>0.0</v>
      </c>
      <c r="AR16" s="104">
        <v>0.0</v>
      </c>
      <c r="AS16" s="104">
        <v>0.0</v>
      </c>
      <c r="AT16" s="104">
        <v>0.0</v>
      </c>
      <c r="AU16" s="104">
        <v>0.0</v>
      </c>
      <c r="AV16" s="99" t="str">
        <f>IFERROR(__xludf.DUMMYFUNCTION("JOIN("", "",FILTER($P$3:$AE$3,$P16:$AE16=MAX($P16:$AE16)))"),"A Day At The Races")</f>
        <v>A Day At The Races</v>
      </c>
      <c r="AW16" s="99">
        <f t="shared" si="6"/>
        <v>1</v>
      </c>
      <c r="AX16" s="99">
        <f>IFERROR(__xludf.DUMMYFUNCTION("COUNTA(FILTER($P$3:$AE$3,$P16:$AE16=MAX($P16:$AE16)))"),1.0)</f>
        <v>1</v>
      </c>
      <c r="AY16" s="99" t="str">
        <f>IFERROR(__xludf.DUMMYFUNCTION("IFERROR(JOIN("", "",FILTER($AF$3:$AU$3,$AF16:$AU16=MAXIFS($AF16:$AU16,$AF$23:$AU$23,TRUE),$AF$23:$AU$23)),""N/A"")"),"A Day At The Races")</f>
        <v>A Day At The Races</v>
      </c>
      <c r="AZ16" s="103" t="str">
        <f>IFERROR(__xludf.DUMMYFUNCTION("IFERROR(JOIN("", "",FILTER($P16:$AE16,$AF16:$AU16=MAXIFS($AF16:$AU16,$AF$23:$AU$23,TRUE),$AF$23:$AU$23)),""N/A"")"),"1")</f>
        <v>1</v>
      </c>
      <c r="BA16" s="103">
        <f>MAXIFS(AF16:AU16,$AF$23:$AU$23,TRUE)/'Queen MIDI'!$J$20</f>
        <v>0.3333333333</v>
      </c>
      <c r="BB16" s="98">
        <f>IFERROR(__xludf.DUMMYFUNCTION("COUNTA(IFERROR(FILTER($AF$3:$AU$3,$AF16:$AU16=MAXIFS($AF16:$AU16,$AF$23:$AU$23,TRUE),$AF$23:$AU$23),))"),1.0)</f>
        <v>1</v>
      </c>
      <c r="BC16" s="103">
        <f t="shared" si="7"/>
        <v>0.01587301587</v>
      </c>
      <c r="BD16" s="99">
        <f t="shared" si="8"/>
        <v>1</v>
      </c>
      <c r="BE16" s="1"/>
    </row>
    <row r="17">
      <c r="A17" s="1"/>
      <c r="C17" s="66" t="str">
        <f t="array" ref="C17">INDEX('Queen MIDI'!$C$4:$C$66,MATCH(F17,'Queen MIDI'!$D$4:$D$66,0))</f>
        <v>The Miracle</v>
      </c>
      <c r="D17" s="117">
        <v>2.0</v>
      </c>
      <c r="E17" s="118" t="s">
        <v>399</v>
      </c>
      <c r="F17" s="66" t="str">
        <f t="shared" si="2"/>
        <v>The Miracle.1.mid</v>
      </c>
      <c r="G17" s="120">
        <f>HLOOKUP(H17,'Queen Discography'!$C$2:$Q$3,2,FALSE)</f>
        <v>1989</v>
      </c>
      <c r="H17" s="66" t="str">
        <f>IF(COUNTIF('Queen Discography'!$C$4:$C$22,C17)&gt;0,"Queen",
IF(COUNTIF('Queen Discography'!$D$4:$D$22,C17)&gt;0,"Queen II",
IF(COUNTIF('Queen Discography'!$E$4:$E$22,C17)&gt;0,"Sheer Heart Attack",
IF(COUNTIF('Queen Discography'!$F$4:$F$22,C17)&gt;0,"A Night At The Opera",
IF(COUNTIF('Queen Discography'!$G$4:$G$22,C17)&gt;0,"A Day At The Races",
IF(COUNTIF('Queen Discography'!$H$4:$H$22,C17)&gt;0,"News Of The World",
IF(COUNTIF('Queen Discography'!$I$4:$I$22,C17)&gt;0,"Jazz",
IF(COUNTIF('Queen Discography'!$J$4:$J$22,C17)&gt;0,"The Game",
IF(COUNTIF('Queen Discography'!$K$4:$K$22,C17)&gt;0,"Flash Gordon",
IF(COUNTIF('Queen Discography'!$L$4:$L$22,C17)&gt;0,"Hot Space",
IF(COUNTIF('Queen Discography'!$M$4:$M$22,C17)&gt;0,"The Works",
IF(COUNTIF('Queen Discography'!$N$4:$N$22,C17)&gt;0,"A Kind Of Magic",
IF(COUNTIF('Queen Discography'!$O$4:$O$22,C17)&gt;0,"The Miracle",
IF(COUNTIF('Queen Discography'!$P$4:$P$22,C17)&gt;0,"Innuendo",
IF(COUNTIF('Queen Discography'!$Q$4:$Q$22,C17)&gt;0,"Made In Heaven","NOT FOUND")))))))))))))))</f>
        <v>The Miracle</v>
      </c>
      <c r="I17" s="1"/>
      <c r="J17" s="98">
        <v>13.0</v>
      </c>
      <c r="K17" s="99">
        <f t="shared" si="9"/>
        <v>1995</v>
      </c>
      <c r="L17" s="99">
        <f t="shared" si="3"/>
        <v>1995</v>
      </c>
      <c r="M17" s="99">
        <f t="shared" si="4"/>
        <v>1995</v>
      </c>
      <c r="N17" s="100">
        <f>IFERROR(__xludf.DUMMYFUNCTION("IFERROR(MEDIAN(FILTER($G$4:$G$66,$D$4:$D$66=$J17,ISNUMBER($G$4:$G$66))),""N/A"")"),1995.0)</f>
        <v>1995</v>
      </c>
      <c r="O17" s="99" t="str">
        <f>IFERROR(__xludf.DUMMYFUNCTION("IFERROR(MODE(FILTER($G$4:$G$66,$D$4:$D$66=$J17,ISNUMBER($G$4:$G$66))),""N/A"")"),"N/A")</f>
        <v>N/A</v>
      </c>
      <c r="P17" s="99">
        <f t="shared" ref="P17:AE17" si="21">COUNTIFS($H$4:$H$66,P$3,$D$4:$D$66,$J17)</f>
        <v>0</v>
      </c>
      <c r="Q17" s="99">
        <f t="shared" si="21"/>
        <v>0</v>
      </c>
      <c r="R17" s="99">
        <f t="shared" si="21"/>
        <v>0</v>
      </c>
      <c r="S17" s="99">
        <f t="shared" si="21"/>
        <v>0</v>
      </c>
      <c r="T17" s="99">
        <f t="shared" si="21"/>
        <v>0</v>
      </c>
      <c r="U17" s="99">
        <f t="shared" si="21"/>
        <v>0</v>
      </c>
      <c r="V17" s="99">
        <f t="shared" si="21"/>
        <v>0</v>
      </c>
      <c r="W17" s="99">
        <f t="shared" si="21"/>
        <v>0</v>
      </c>
      <c r="X17" s="99">
        <f t="shared" si="21"/>
        <v>0</v>
      </c>
      <c r="Y17" s="99">
        <f t="shared" si="21"/>
        <v>0</v>
      </c>
      <c r="Z17" s="99">
        <f t="shared" si="21"/>
        <v>0</v>
      </c>
      <c r="AA17" s="99">
        <f t="shared" si="21"/>
        <v>0</v>
      </c>
      <c r="AB17" s="99">
        <f t="shared" si="21"/>
        <v>0</v>
      </c>
      <c r="AC17" s="99">
        <f t="shared" si="21"/>
        <v>0</v>
      </c>
      <c r="AD17" s="99">
        <f t="shared" si="21"/>
        <v>1</v>
      </c>
      <c r="AE17" s="99">
        <f t="shared" si="21"/>
        <v>0</v>
      </c>
      <c r="AF17" s="104">
        <f t="array" ref="AF17:AU17">IFERROR(P17:AE17*TRANSPOSE('Queen MIDI'!$J$4:$J$19),"N/A")</f>
        <v>0</v>
      </c>
      <c r="AG17" s="104">
        <v>0.0</v>
      </c>
      <c r="AH17" s="104">
        <v>0.0</v>
      </c>
      <c r="AI17" s="104">
        <v>0.0</v>
      </c>
      <c r="AJ17" s="104">
        <v>0.0</v>
      </c>
      <c r="AK17" s="104">
        <v>0.0</v>
      </c>
      <c r="AL17" s="104">
        <v>0.0</v>
      </c>
      <c r="AM17" s="104">
        <v>0.0</v>
      </c>
      <c r="AN17" s="104" t="s">
        <v>357</v>
      </c>
      <c r="AO17" s="104">
        <v>0.0</v>
      </c>
      <c r="AP17" s="104">
        <v>0.0</v>
      </c>
      <c r="AQ17" s="104">
        <v>0.0</v>
      </c>
      <c r="AR17" s="104">
        <v>0.0</v>
      </c>
      <c r="AS17" s="104">
        <v>0.0</v>
      </c>
      <c r="AT17" s="104">
        <v>0.5625</v>
      </c>
      <c r="AU17" s="104">
        <v>0.0</v>
      </c>
      <c r="AV17" s="99" t="str">
        <f>IFERROR(__xludf.DUMMYFUNCTION("JOIN("", "",FILTER($P$3:$AE$3,$P17:$AE17=MAX($P17:$AE17)))"),"Made In Heaven")</f>
        <v>Made In Heaven</v>
      </c>
      <c r="AW17" s="99">
        <f t="shared" si="6"/>
        <v>1</v>
      </c>
      <c r="AX17" s="99">
        <f>IFERROR(__xludf.DUMMYFUNCTION("COUNTA(FILTER($P$3:$AE$3,$P17:$AE17=MAX($P17:$AE17)))"),1.0)</f>
        <v>1</v>
      </c>
      <c r="AY17" s="99" t="str">
        <f>IFERROR(__xludf.DUMMYFUNCTION("IFERROR(JOIN("", "",FILTER($AF$3:$AU$3,$AF17:$AU17=MAXIFS($AF17:$AU17,$AF$23:$AU$23,TRUE),$AF$23:$AU$23)),""N/A"")"),"Made In Heaven")</f>
        <v>Made In Heaven</v>
      </c>
      <c r="AZ17" s="103" t="str">
        <f>IFERROR(__xludf.DUMMYFUNCTION("IFERROR(JOIN("", "",FILTER($P17:$AE17,$AF17:$AU17=MAXIFS($AF17:$AU17,$AF$23:$AU$23,TRUE),$AF$23:$AU$23)),""N/A"")"),"1")</f>
        <v>1</v>
      </c>
      <c r="BA17" s="103">
        <f>MAXIFS(AF17:AU17,$AF$23:$AU$23,TRUE)/'Queen MIDI'!$J$20</f>
        <v>0.1428571429</v>
      </c>
      <c r="BB17" s="98">
        <f>IFERROR(__xludf.DUMMYFUNCTION("COUNTA(IFERROR(FILTER($AF$3:$AU$3,$AF17:$AU17=MAXIFS($AF17:$AU17,$AF$23:$AU$23,TRUE),$AF$23:$AU$23),))"),1.0)</f>
        <v>1</v>
      </c>
      <c r="BC17" s="103">
        <f t="shared" si="7"/>
        <v>0.01587301587</v>
      </c>
      <c r="BD17" s="99">
        <f t="shared" si="8"/>
        <v>1</v>
      </c>
      <c r="BE17" s="1"/>
    </row>
    <row r="18">
      <c r="A18" s="1"/>
      <c r="C18" s="66" t="str">
        <f t="array" ref="C18">INDEX('Queen MIDI'!$C$4:$C$66,MATCH(F18,'Queen MIDI'!$D$4:$D$66,0))</f>
        <v>All God's People</v>
      </c>
      <c r="D18" s="117">
        <v>2.0</v>
      </c>
      <c r="E18" s="118" t="s">
        <v>400</v>
      </c>
      <c r="F18" s="66" t="str">
        <f t="shared" si="2"/>
        <v>All God_s People.mid</v>
      </c>
      <c r="G18" s="126">
        <f>HLOOKUP(H18,'Queen Discography'!$C$2:$Q$3,2,FALSE)</f>
        <v>1991</v>
      </c>
      <c r="H18" s="66" t="str">
        <f>IF(COUNTIF('Queen Discography'!$C$4:$C$22,C18)&gt;0,"Queen",
IF(COUNTIF('Queen Discography'!$D$4:$D$22,C18)&gt;0,"Queen II",
IF(COUNTIF('Queen Discography'!$E$4:$E$22,C18)&gt;0,"Sheer Heart Attack",
IF(COUNTIF('Queen Discography'!$F$4:$F$22,C18)&gt;0,"A Night At The Opera",
IF(COUNTIF('Queen Discography'!$G$4:$G$22,C18)&gt;0,"A Day At The Races",
IF(COUNTIF('Queen Discography'!$H$4:$H$22,C18)&gt;0,"News Of The World",
IF(COUNTIF('Queen Discography'!$I$4:$I$22,C18)&gt;0,"Jazz",
IF(COUNTIF('Queen Discography'!$J$4:$J$22,C18)&gt;0,"The Game",
IF(COUNTIF('Queen Discography'!$K$4:$K$22,C18)&gt;0,"Flash Gordon",
IF(COUNTIF('Queen Discography'!$L$4:$L$22,C18)&gt;0,"Hot Space",
IF(COUNTIF('Queen Discography'!$M$4:$M$22,C18)&gt;0,"The Works",
IF(COUNTIF('Queen Discography'!$N$4:$N$22,C18)&gt;0,"A Kind Of Magic",
IF(COUNTIF('Queen Discography'!$O$4:$O$22,C18)&gt;0,"The Miracle",
IF(COUNTIF('Queen Discography'!$P$4:$P$22,C18)&gt;0,"Innuendo",
IF(COUNTIF('Queen Discography'!$Q$4:$Q$22,C18)&gt;0,"Made In Heaven","NOT FOUND")))))))))))))))</f>
        <v>Innuendo</v>
      </c>
      <c r="I18" s="1"/>
      <c r="J18" s="98">
        <v>14.0</v>
      </c>
      <c r="K18" s="99" t="str">
        <f t="shared" si="9"/>
        <v>N/A</v>
      </c>
      <c r="L18" s="99" t="str">
        <f t="shared" si="3"/>
        <v>N/A</v>
      </c>
      <c r="M18" s="99" t="str">
        <f t="shared" si="4"/>
        <v>N/A</v>
      </c>
      <c r="N18" s="100" t="str">
        <f>IFERROR(__xludf.DUMMYFUNCTION("IFERROR(MEDIAN(FILTER($G$4:$G$66,$D$4:$D$66=$J18,ISNUMBER($G$4:$G$66))),""N/A"")"),"N/A")</f>
        <v>N/A</v>
      </c>
      <c r="O18" s="99" t="str">
        <f>IFERROR(__xludf.DUMMYFUNCTION("IFERROR(MODE(FILTER($G$4:$G$66,$D$4:$D$66=$J18,ISNUMBER($G$4:$G$66))),""N/A"")"),"N/A")</f>
        <v>N/A</v>
      </c>
      <c r="P18" s="99">
        <f t="shared" ref="P18:AE18" si="22">COUNTIFS($H$4:$H$66,P$3,$D$4:$D$66,$J18)</f>
        <v>0</v>
      </c>
      <c r="Q18" s="99">
        <f t="shared" si="22"/>
        <v>0</v>
      </c>
      <c r="R18" s="99">
        <f t="shared" si="22"/>
        <v>0</v>
      </c>
      <c r="S18" s="99">
        <f t="shared" si="22"/>
        <v>0</v>
      </c>
      <c r="T18" s="99">
        <f t="shared" si="22"/>
        <v>0</v>
      </c>
      <c r="U18" s="99">
        <f t="shared" si="22"/>
        <v>0</v>
      </c>
      <c r="V18" s="99">
        <f t="shared" si="22"/>
        <v>0</v>
      </c>
      <c r="W18" s="99">
        <f t="shared" si="22"/>
        <v>0</v>
      </c>
      <c r="X18" s="99">
        <f t="shared" si="22"/>
        <v>0</v>
      </c>
      <c r="Y18" s="99">
        <f t="shared" si="22"/>
        <v>0</v>
      </c>
      <c r="Z18" s="99">
        <f t="shared" si="22"/>
        <v>0</v>
      </c>
      <c r="AA18" s="99">
        <f t="shared" si="22"/>
        <v>0</v>
      </c>
      <c r="AB18" s="99">
        <f t="shared" si="22"/>
        <v>0</v>
      </c>
      <c r="AC18" s="99">
        <f t="shared" si="22"/>
        <v>0</v>
      </c>
      <c r="AD18" s="99">
        <f t="shared" si="22"/>
        <v>0</v>
      </c>
      <c r="AE18" s="99">
        <f t="shared" si="22"/>
        <v>0</v>
      </c>
      <c r="AF18" s="104">
        <f t="array" ref="AF18:AU18">IFERROR(P18:AE18*TRANSPOSE('Queen MIDI'!$J$4:$J$19),"N/A")</f>
        <v>0</v>
      </c>
      <c r="AG18" s="104">
        <v>0.0</v>
      </c>
      <c r="AH18" s="104">
        <v>0.0</v>
      </c>
      <c r="AI18" s="104">
        <v>0.0</v>
      </c>
      <c r="AJ18" s="104">
        <v>0.0</v>
      </c>
      <c r="AK18" s="104">
        <v>0.0</v>
      </c>
      <c r="AL18" s="104">
        <v>0.0</v>
      </c>
      <c r="AM18" s="104">
        <v>0.0</v>
      </c>
      <c r="AN18" s="104" t="s">
        <v>357</v>
      </c>
      <c r="AO18" s="104">
        <v>0.0</v>
      </c>
      <c r="AP18" s="104">
        <v>0.0</v>
      </c>
      <c r="AQ18" s="104">
        <v>0.0</v>
      </c>
      <c r="AR18" s="104">
        <v>0.0</v>
      </c>
      <c r="AS18" s="104">
        <v>0.0</v>
      </c>
      <c r="AT18" s="104">
        <v>0.0</v>
      </c>
      <c r="AU18" s="104">
        <v>0.0</v>
      </c>
      <c r="AV18" s="99" t="str">
        <f>IFERROR(__xludf.DUMMYFUNCTION("JOIN("", "",FILTER($P$3:$AE$3,$P18:$AE18=MAX($P18:$AE18)))"),"Queen,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8" s="99">
        <f t="shared" si="6"/>
        <v>0</v>
      </c>
      <c r="AX18" s="99">
        <f>IFERROR(__xludf.DUMMYFUNCTION("COUNTA(FILTER($P$3:$AE$3,$P18:$AE18=MAX($P18:$AE18)))"),16.0)</f>
        <v>16</v>
      </c>
      <c r="AY18" s="99" t="str">
        <f>IFERROR(__xludf.DUMMYFUNCTION("IFERROR(JOIN("", "",FILTER($AF$3:$AU$3,$AF18:$AU18=MAXIFS($AF18:$AU18,$AF$23:$AU$23,TRUE),$AF$23:$AU$23)),""N/A"")"),"Queen,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8" s="103" t="str">
        <f>IFERROR(__xludf.DUMMYFUNCTION("IFERROR(JOIN("", "",FILTER($P18:$AE18,$AF18:$AU18=MAXIFS($AF18:$AU18,$AF$23:$AU$23,TRUE),$AF$23:$AU$23)),""N/A"")"),"0, 0, 0, 0, 0, 0, 0, 0, 0, 0, 0, 0, 0, 0")</f>
        <v>0, 0, 0, 0, 0, 0, 0, 0, 0, 0, 0, 0, 0, 0</v>
      </c>
      <c r="BA18" s="103">
        <f>MAXIFS(AF18:AU18,$AF$23:$AU$23,TRUE)/'Queen MIDI'!$J$20</f>
        <v>0</v>
      </c>
      <c r="BB18" s="98">
        <f>IFERROR(__xludf.DUMMYFUNCTION("COUNTA(IFERROR(FILTER($AF$3:$AU$3,$AF18:$AU18=MAXIFS($AF18:$AU18,$AF$23:$AU$23,TRUE),$AF$23:$AU$23),))"),14.0)</f>
        <v>14</v>
      </c>
      <c r="BC18" s="105">
        <f t="shared" si="7"/>
        <v>0</v>
      </c>
      <c r="BD18" s="99">
        <f t="shared" si="8"/>
        <v>0</v>
      </c>
      <c r="BE18" s="1"/>
    </row>
    <row r="19">
      <c r="A19" s="1"/>
      <c r="C19" s="66" t="str">
        <f t="array" ref="C19">INDEX('Queen MIDI'!$C$4:$C$66,MATCH(F19,'Queen MIDI'!$D$4:$D$66,0))</f>
        <v>Bijou</v>
      </c>
      <c r="D19" s="117">
        <v>2.0</v>
      </c>
      <c r="E19" s="118" t="s">
        <v>401</v>
      </c>
      <c r="F19" s="66" t="str">
        <f t="shared" si="2"/>
        <v>Bijou.1.mid</v>
      </c>
      <c r="G19" s="121">
        <f>HLOOKUP(H19,'Queen Discography'!$C$2:$Q$3,2,FALSE)</f>
        <v>1991</v>
      </c>
      <c r="H19" s="66" t="str">
        <f>IF(COUNTIF('Queen Discography'!$C$4:$C$22,C19)&gt;0,"Queen",
IF(COUNTIF('Queen Discography'!$D$4:$D$22,C19)&gt;0,"Queen II",
IF(COUNTIF('Queen Discography'!$E$4:$E$22,C19)&gt;0,"Sheer Heart Attack",
IF(COUNTIF('Queen Discography'!$F$4:$F$22,C19)&gt;0,"A Night At The Opera",
IF(COUNTIF('Queen Discography'!$G$4:$G$22,C19)&gt;0,"A Day At The Races",
IF(COUNTIF('Queen Discography'!$H$4:$H$22,C19)&gt;0,"News Of The World",
IF(COUNTIF('Queen Discography'!$I$4:$I$22,C19)&gt;0,"Jazz",
IF(COUNTIF('Queen Discography'!$J$4:$J$22,C19)&gt;0,"The Game",
IF(COUNTIF('Queen Discography'!$K$4:$K$22,C19)&gt;0,"Flash Gordon",
IF(COUNTIF('Queen Discography'!$L$4:$L$22,C19)&gt;0,"Hot Space",
IF(COUNTIF('Queen Discography'!$M$4:$M$22,C19)&gt;0,"The Works",
IF(COUNTIF('Queen Discography'!$N$4:$N$22,C19)&gt;0,"A Kind Of Magic",
IF(COUNTIF('Queen Discography'!$O$4:$O$22,C19)&gt;0,"The Miracle",
IF(COUNTIF('Queen Discography'!$P$4:$P$22,C19)&gt;0,"Innuendo",
IF(COUNTIF('Queen Discography'!$Q$4:$Q$22,C19)&gt;0,"Made In Heaven","NOT FOUND")))))))))))))))</f>
        <v>Innuendo</v>
      </c>
      <c r="I19" s="1"/>
      <c r="J19" s="98">
        <v>15.0</v>
      </c>
      <c r="K19" s="99" t="str">
        <f t="shared" si="9"/>
        <v>N/A</v>
      </c>
      <c r="L19" s="99" t="str">
        <f t="shared" si="3"/>
        <v>N/A</v>
      </c>
      <c r="M19" s="99" t="str">
        <f t="shared" si="4"/>
        <v>N/A</v>
      </c>
      <c r="N19" s="100" t="str">
        <f>IFERROR(__xludf.DUMMYFUNCTION("IFERROR(MEDIAN(FILTER($G$4:$G$66,$D$4:$D$66=$J19,ISNUMBER($G$4:$G$66))),""N/A"")"),"N/A")</f>
        <v>N/A</v>
      </c>
      <c r="O19" s="99" t="str">
        <f>IFERROR(__xludf.DUMMYFUNCTION("IFERROR(MODE(FILTER($G$4:$G$66,$D$4:$D$66=$J19,ISNUMBER($G$4:$G$66))),""N/A"")"),"N/A")</f>
        <v>N/A</v>
      </c>
      <c r="P19" s="99">
        <f t="shared" ref="P19:AE19" si="23">COUNTIFS($H$4:$H$66,P$3,$D$4:$D$66,$J19)</f>
        <v>0</v>
      </c>
      <c r="Q19" s="99">
        <f t="shared" si="23"/>
        <v>0</v>
      </c>
      <c r="R19" s="99">
        <f t="shared" si="23"/>
        <v>0</v>
      </c>
      <c r="S19" s="99">
        <f t="shared" si="23"/>
        <v>0</v>
      </c>
      <c r="T19" s="99">
        <f t="shared" si="23"/>
        <v>0</v>
      </c>
      <c r="U19" s="99">
        <f t="shared" si="23"/>
        <v>0</v>
      </c>
      <c r="V19" s="99">
        <f t="shared" si="23"/>
        <v>0</v>
      </c>
      <c r="W19" s="99">
        <f t="shared" si="23"/>
        <v>0</v>
      </c>
      <c r="X19" s="99">
        <f t="shared" si="23"/>
        <v>0</v>
      </c>
      <c r="Y19" s="99">
        <f t="shared" si="23"/>
        <v>0</v>
      </c>
      <c r="Z19" s="99">
        <f t="shared" si="23"/>
        <v>0</v>
      </c>
      <c r="AA19" s="99">
        <f t="shared" si="23"/>
        <v>0</v>
      </c>
      <c r="AB19" s="99">
        <f t="shared" si="23"/>
        <v>0</v>
      </c>
      <c r="AC19" s="99">
        <f t="shared" si="23"/>
        <v>0</v>
      </c>
      <c r="AD19" s="99">
        <f t="shared" si="23"/>
        <v>0</v>
      </c>
      <c r="AE19" s="99">
        <f t="shared" si="23"/>
        <v>0</v>
      </c>
      <c r="AF19" s="104">
        <f t="array" ref="AF19:AU19">IFERROR(P19:AE19*TRANSPOSE('Queen MIDI'!$J$4:$J$19),"N/A")</f>
        <v>0</v>
      </c>
      <c r="AG19" s="104">
        <v>0.0</v>
      </c>
      <c r="AH19" s="104">
        <v>0.0</v>
      </c>
      <c r="AI19" s="104">
        <v>0.0</v>
      </c>
      <c r="AJ19" s="104">
        <v>0.0</v>
      </c>
      <c r="AK19" s="104">
        <v>0.0</v>
      </c>
      <c r="AL19" s="104">
        <v>0.0</v>
      </c>
      <c r="AM19" s="104">
        <v>0.0</v>
      </c>
      <c r="AN19" s="104" t="s">
        <v>357</v>
      </c>
      <c r="AO19" s="104">
        <v>0.0</v>
      </c>
      <c r="AP19" s="104">
        <v>0.0</v>
      </c>
      <c r="AQ19" s="104">
        <v>0.0</v>
      </c>
      <c r="AR19" s="104">
        <v>0.0</v>
      </c>
      <c r="AS19" s="104">
        <v>0.0</v>
      </c>
      <c r="AT19" s="104">
        <v>0.0</v>
      </c>
      <c r="AU19" s="104">
        <v>0.0</v>
      </c>
      <c r="AV19" s="99" t="str">
        <f>IFERROR(__xludf.DUMMYFUNCTION("JOIN("", "",FILTER($P$3:$AE$3,$P19:$AE19=MAX($P19:$AE19)))"),"Queen,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9" s="99">
        <f t="shared" si="6"/>
        <v>0</v>
      </c>
      <c r="AX19" s="99">
        <f>IFERROR(__xludf.DUMMYFUNCTION("COUNTA(FILTER($P$3:$AE$3,$P19:$AE19=MAX($P19:$AE19)))"),16.0)</f>
        <v>16</v>
      </c>
      <c r="AY19" s="99" t="str">
        <f>IFERROR(__xludf.DUMMYFUNCTION("IFERROR(JOIN("", "",FILTER($AF$3:$AU$3,$AF19:$AU19=MAXIFS($AF19:$AU19,$AF$23:$AU$23,TRUE),$AF$23:$AU$23)),""N/A"")"),"Queen,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9" s="103" t="str">
        <f>IFERROR(__xludf.DUMMYFUNCTION("IFERROR(JOIN("", "",FILTER($P19:$AE19,$AF19:$AU19=MAXIFS($AF19:$AU19,$AF$23:$AU$23,TRUE),$AF$23:$AU$23)),""N/A"")"),"0, 0, 0, 0, 0, 0, 0, 0, 0, 0, 0, 0, 0, 0")</f>
        <v>0, 0, 0, 0, 0, 0, 0, 0, 0, 0, 0, 0, 0, 0</v>
      </c>
      <c r="BA19" s="103">
        <f>MAXIFS(AF19:AU19,$AF$23:$AU$23,TRUE)/'Queen MIDI'!$J$20</f>
        <v>0</v>
      </c>
      <c r="BB19" s="98">
        <f>IFERROR(__xludf.DUMMYFUNCTION("COUNTA(IFERROR(FILTER($AF$3:$AU$3,$AF19:$AU19=MAXIFS($AF19:$AU19,$AF$23:$AU$23,TRUE),$AF$23:$AU$23),))"),14.0)</f>
        <v>14</v>
      </c>
      <c r="BC19" s="105">
        <f t="shared" si="7"/>
        <v>0</v>
      </c>
      <c r="BD19" s="99">
        <f t="shared" si="8"/>
        <v>0</v>
      </c>
      <c r="BE19" s="1"/>
    </row>
    <row r="20">
      <c r="A20" s="1"/>
      <c r="C20" s="66" t="str">
        <f t="array" ref="C20">INDEX('Queen MIDI'!$C$4:$C$66,MATCH(F20,'Queen MIDI'!$D$4:$D$66,0))</f>
        <v>Innuendo</v>
      </c>
      <c r="D20" s="117">
        <v>2.0</v>
      </c>
      <c r="E20" s="118" t="s">
        <v>406</v>
      </c>
      <c r="F20" s="66" t="str">
        <f t="shared" si="2"/>
        <v>Innuendo.mid</v>
      </c>
      <c r="G20" s="131">
        <f>HLOOKUP(H20,'Queen Discography'!$C$2:$Q$3,2,FALSE)</f>
        <v>1991</v>
      </c>
      <c r="H20" s="66" t="str">
        <f>IF(COUNTIF('Queen Discography'!$C$4:$C$22,C20)&gt;0,"Queen",
IF(COUNTIF('Queen Discography'!$D$4:$D$22,C20)&gt;0,"Queen II",
IF(COUNTIF('Queen Discography'!$E$4:$E$22,C20)&gt;0,"Sheer Heart Attack",
IF(COUNTIF('Queen Discography'!$F$4:$F$22,C20)&gt;0,"A Night At The Opera",
IF(COUNTIF('Queen Discography'!$G$4:$G$22,C20)&gt;0,"A Day At The Races",
IF(COUNTIF('Queen Discography'!$H$4:$H$22,C20)&gt;0,"News Of The World",
IF(COUNTIF('Queen Discography'!$I$4:$I$22,C20)&gt;0,"Jazz",
IF(COUNTIF('Queen Discography'!$J$4:$J$22,C20)&gt;0,"The Game",
IF(COUNTIF('Queen Discography'!$K$4:$K$22,C20)&gt;0,"Flash Gordon",
IF(COUNTIF('Queen Discography'!$L$4:$L$22,C20)&gt;0,"Hot Space",
IF(COUNTIF('Queen Discography'!$M$4:$M$22,C20)&gt;0,"The Works",
IF(COUNTIF('Queen Discography'!$N$4:$N$22,C20)&gt;0,"A Kind Of Magic",
IF(COUNTIF('Queen Discography'!$O$4:$O$22,C20)&gt;0,"The Miracle",
IF(COUNTIF('Queen Discography'!$P$4:$P$22,C20)&gt;0,"Innuendo",
IF(COUNTIF('Queen Discography'!$Q$4:$Q$22,C20)&gt;0,"Made In Heaven","NOT FOUND")))))))))))))))</f>
        <v>Innuendo</v>
      </c>
      <c r="I20" s="1"/>
      <c r="J20" s="98">
        <v>16.0</v>
      </c>
      <c r="K20" s="99" t="str">
        <f t="shared" si="9"/>
        <v>N/A</v>
      </c>
      <c r="L20" s="99" t="str">
        <f t="shared" si="3"/>
        <v>N/A</v>
      </c>
      <c r="M20" s="99" t="str">
        <f t="shared" si="4"/>
        <v>N/A</v>
      </c>
      <c r="N20" s="100" t="str">
        <f>IFERROR(__xludf.DUMMYFUNCTION("IFERROR(MEDIAN(FILTER($G$4:$G$66,$D$4:$D$66=$J20,ISNUMBER($G$4:$G$66))),""N/A"")"),"N/A")</f>
        <v>N/A</v>
      </c>
      <c r="O20" s="99" t="str">
        <f>IFERROR(__xludf.DUMMYFUNCTION("IFERROR(MODE(FILTER($G$4:$G$66,$D$4:$D$66=$J20,ISNUMBER($G$4:$G$66))),""N/A"")"),"N/A")</f>
        <v>N/A</v>
      </c>
      <c r="P20" s="99">
        <f t="shared" ref="P20:AE20" si="24">COUNTIFS($H$4:$H$66,P$3,$D$4:$D$66,$J20)</f>
        <v>0</v>
      </c>
      <c r="Q20" s="99">
        <f t="shared" si="24"/>
        <v>0</v>
      </c>
      <c r="R20" s="99">
        <f t="shared" si="24"/>
        <v>0</v>
      </c>
      <c r="S20" s="99">
        <f t="shared" si="24"/>
        <v>0</v>
      </c>
      <c r="T20" s="99">
        <f t="shared" si="24"/>
        <v>0</v>
      </c>
      <c r="U20" s="99">
        <f t="shared" si="24"/>
        <v>0</v>
      </c>
      <c r="V20" s="99">
        <f t="shared" si="24"/>
        <v>0</v>
      </c>
      <c r="W20" s="99">
        <f t="shared" si="24"/>
        <v>0</v>
      </c>
      <c r="X20" s="99">
        <f t="shared" si="24"/>
        <v>0</v>
      </c>
      <c r="Y20" s="99">
        <f t="shared" si="24"/>
        <v>0</v>
      </c>
      <c r="Z20" s="99">
        <f t="shared" si="24"/>
        <v>0</v>
      </c>
      <c r="AA20" s="99">
        <f t="shared" si="24"/>
        <v>0</v>
      </c>
      <c r="AB20" s="99">
        <f t="shared" si="24"/>
        <v>0</v>
      </c>
      <c r="AC20" s="99">
        <f t="shared" si="24"/>
        <v>0</v>
      </c>
      <c r="AD20" s="99">
        <f t="shared" si="24"/>
        <v>0</v>
      </c>
      <c r="AE20" s="99">
        <f t="shared" si="24"/>
        <v>0</v>
      </c>
      <c r="AF20" s="101">
        <f t="array" ref="AF20:AU20">IFERROR(P20:AE20*TRANSPOSE('Queen MIDI'!$J$4:$J$19),"N/A")</f>
        <v>0</v>
      </c>
      <c r="AG20" s="101">
        <v>0.0</v>
      </c>
      <c r="AH20" s="101">
        <v>0.0</v>
      </c>
      <c r="AI20" s="101">
        <v>0.0</v>
      </c>
      <c r="AJ20" s="101">
        <v>0.0</v>
      </c>
      <c r="AK20" s="101">
        <v>0.0</v>
      </c>
      <c r="AL20" s="101">
        <v>0.0</v>
      </c>
      <c r="AM20" s="101">
        <v>0.0</v>
      </c>
      <c r="AN20" s="101" t="s">
        <v>357</v>
      </c>
      <c r="AO20" s="101">
        <v>0.0</v>
      </c>
      <c r="AP20" s="101">
        <v>0.0</v>
      </c>
      <c r="AQ20" s="101">
        <v>0.0</v>
      </c>
      <c r="AR20" s="101">
        <v>0.0</v>
      </c>
      <c r="AS20" s="101">
        <v>0.0</v>
      </c>
      <c r="AT20" s="101">
        <v>0.0</v>
      </c>
      <c r="AU20" s="101">
        <v>0.0</v>
      </c>
      <c r="AV20" s="99" t="str">
        <f>IFERROR(__xludf.DUMMYFUNCTION("JOIN("", "",FILTER($P$3:$AE$3,$P20:$AE20=MAX($P20:$AE20)))"),"Queen,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0" s="99">
        <f t="shared" si="6"/>
        <v>0</v>
      </c>
      <c r="AX20" s="99">
        <f>IFERROR(__xludf.DUMMYFUNCTION("COUNTA(FILTER($P$3:$AE$3,$P20:$AE20=MAX($P20:$AE20)))"),16.0)</f>
        <v>16</v>
      </c>
      <c r="AY20" s="99" t="str">
        <f>IFERROR(__xludf.DUMMYFUNCTION("IFERROR(JOIN("", "",FILTER($AF$3:$AU$3,$AF20:$AU20=MAXIFS($AF20:$AU20,$AF$23:$AU$23,TRUE),$AF$23:$AU$23)),""N/A"")"),"Queen,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0" s="103" t="str">
        <f>IFERROR(__xludf.DUMMYFUNCTION("IFERROR(JOIN("", "",FILTER($P20:$AE20,$AF20:$AU20=MAXIFS($AF20:$AU20,$AF$23:$AU$23,TRUE),$AF$23:$AU$23)),""N/A"")"),"0, 0, 0, 0, 0, 0, 0, 0, 0, 0, 0, 0, 0, 0")</f>
        <v>0, 0, 0, 0, 0, 0, 0, 0, 0, 0, 0, 0, 0, 0</v>
      </c>
      <c r="BA20" s="103">
        <f>MAXIFS(AF20:AU20,$AF$23:$AU$23,TRUE)/'Queen MIDI'!$J$20</f>
        <v>0</v>
      </c>
      <c r="BB20" s="98">
        <f>IFERROR(__xludf.DUMMYFUNCTION("COUNTA(IFERROR(FILTER($AF$3:$AU$3,$AF20:$AU20=MAXIFS($AF20:$AU20,$AF$23:$AU$23,TRUE),$AF$23:$AU$23),))"),14.0)</f>
        <v>14</v>
      </c>
      <c r="BC20" s="105">
        <f t="shared" si="7"/>
        <v>0</v>
      </c>
      <c r="BD20" s="99">
        <f t="shared" si="8"/>
        <v>0</v>
      </c>
      <c r="BE20" s="1"/>
    </row>
    <row r="21">
      <c r="A21" s="1"/>
      <c r="C21" s="66" t="str">
        <f t="array" ref="C21">INDEX('Queen MIDI'!$C$4:$C$66,MATCH(F21,'Queen MIDI'!$D$4:$D$66,0))</f>
        <v>I'm Going Slightly Mad</v>
      </c>
      <c r="D21" s="117">
        <v>2.0</v>
      </c>
      <c r="E21" s="118" t="s">
        <v>405</v>
      </c>
      <c r="F21" s="66" t="str">
        <f t="shared" si="2"/>
        <v>I_m Going Slightly Mad.2.mid</v>
      </c>
      <c r="G21" s="127">
        <f>HLOOKUP(H21,'Queen Discography'!$C$2:$Q$3,2,FALSE)</f>
        <v>1991</v>
      </c>
      <c r="H21" s="66" t="str">
        <f>IF(COUNTIF('Queen Discography'!$C$4:$C$22,C21)&gt;0,"Queen",
IF(COUNTIF('Queen Discography'!$D$4:$D$22,C21)&gt;0,"Queen II",
IF(COUNTIF('Queen Discography'!$E$4:$E$22,C21)&gt;0,"Sheer Heart Attack",
IF(COUNTIF('Queen Discography'!$F$4:$F$22,C21)&gt;0,"A Night At The Opera",
IF(COUNTIF('Queen Discography'!$G$4:$G$22,C21)&gt;0,"A Day At The Races",
IF(COUNTIF('Queen Discography'!$H$4:$H$22,C21)&gt;0,"News Of The World",
IF(COUNTIF('Queen Discography'!$I$4:$I$22,C21)&gt;0,"Jazz",
IF(COUNTIF('Queen Discography'!$J$4:$J$22,C21)&gt;0,"The Game",
IF(COUNTIF('Queen Discography'!$K$4:$K$22,C21)&gt;0,"Flash Gordon",
IF(COUNTIF('Queen Discography'!$L$4:$L$22,C21)&gt;0,"Hot Space",
IF(COUNTIF('Queen Discography'!$M$4:$M$22,C21)&gt;0,"The Works",
IF(COUNTIF('Queen Discography'!$N$4:$N$22,C21)&gt;0,"A Kind Of Magic",
IF(COUNTIF('Queen Discography'!$O$4:$O$22,C21)&gt;0,"The Miracle",
IF(COUNTIF('Queen Discography'!$P$4:$P$22,C21)&gt;0,"Innuendo",
IF(COUNTIF('Queen Discography'!$Q$4:$Q$22,C21)&gt;0,"Made In Heaven","NOT FOUND")))))))))))))))</f>
        <v>Innuendo</v>
      </c>
      <c r="I21" s="1"/>
      <c r="J21" s="98">
        <v>17.0</v>
      </c>
      <c r="K21" s="99" t="str">
        <f t="shared" si="9"/>
        <v>N/A</v>
      </c>
      <c r="L21" s="99" t="str">
        <f t="shared" si="3"/>
        <v>N/A</v>
      </c>
      <c r="M21" s="99" t="str">
        <f t="shared" si="4"/>
        <v>N/A</v>
      </c>
      <c r="N21" s="100" t="str">
        <f>IFERROR(__xludf.DUMMYFUNCTION("IFERROR(MEDIAN(FILTER($G$4:$G$66,$D$4:$D$66=$J21,ISNUMBER($G$4:$G$66))),""N/A"")"),"N/A")</f>
        <v>N/A</v>
      </c>
      <c r="O21" s="99" t="str">
        <f>IFERROR(__xludf.DUMMYFUNCTION("IFERROR(MODE(FILTER($G$4:$G$66,$D$4:$D$66=$J21,ISNUMBER($G$4:$G$66))),""N/A"")"),"N/A")</f>
        <v>N/A</v>
      </c>
      <c r="P21" s="99">
        <f t="shared" ref="P21:AE21" si="25">COUNTIFS($H$4:$H$66,P$3,$D$4:$D$66,$J21)</f>
        <v>0</v>
      </c>
      <c r="Q21" s="99">
        <f t="shared" si="25"/>
        <v>0</v>
      </c>
      <c r="R21" s="99">
        <f t="shared" si="25"/>
        <v>0</v>
      </c>
      <c r="S21" s="99">
        <f t="shared" si="25"/>
        <v>0</v>
      </c>
      <c r="T21" s="99">
        <f t="shared" si="25"/>
        <v>0</v>
      </c>
      <c r="U21" s="99">
        <f t="shared" si="25"/>
        <v>0</v>
      </c>
      <c r="V21" s="99">
        <f t="shared" si="25"/>
        <v>0</v>
      </c>
      <c r="W21" s="99">
        <f t="shared" si="25"/>
        <v>0</v>
      </c>
      <c r="X21" s="99">
        <f t="shared" si="25"/>
        <v>0</v>
      </c>
      <c r="Y21" s="99">
        <f t="shared" si="25"/>
        <v>0</v>
      </c>
      <c r="Z21" s="99">
        <f t="shared" si="25"/>
        <v>0</v>
      </c>
      <c r="AA21" s="99">
        <f t="shared" si="25"/>
        <v>0</v>
      </c>
      <c r="AB21" s="99">
        <f t="shared" si="25"/>
        <v>0</v>
      </c>
      <c r="AC21" s="99">
        <f t="shared" si="25"/>
        <v>0</v>
      </c>
      <c r="AD21" s="99">
        <f t="shared" si="25"/>
        <v>0</v>
      </c>
      <c r="AE21" s="99">
        <f t="shared" si="25"/>
        <v>0</v>
      </c>
      <c r="AF21" s="101">
        <f t="array" ref="AF21:AU21">IFERROR(P21:AE21*TRANSPOSE('Queen MIDI'!$J$4:$J$19),"N/A")</f>
        <v>0</v>
      </c>
      <c r="AG21" s="101">
        <v>0.0</v>
      </c>
      <c r="AH21" s="101">
        <v>0.0</v>
      </c>
      <c r="AI21" s="101">
        <v>0.0</v>
      </c>
      <c r="AJ21" s="101">
        <v>0.0</v>
      </c>
      <c r="AK21" s="101">
        <v>0.0</v>
      </c>
      <c r="AL21" s="101">
        <v>0.0</v>
      </c>
      <c r="AM21" s="101">
        <v>0.0</v>
      </c>
      <c r="AN21" s="101" t="s">
        <v>357</v>
      </c>
      <c r="AO21" s="101">
        <v>0.0</v>
      </c>
      <c r="AP21" s="101">
        <v>0.0</v>
      </c>
      <c r="AQ21" s="101">
        <v>0.0</v>
      </c>
      <c r="AR21" s="101">
        <v>0.0</v>
      </c>
      <c r="AS21" s="101">
        <v>0.0</v>
      </c>
      <c r="AT21" s="101">
        <v>0.0</v>
      </c>
      <c r="AU21" s="101">
        <v>0.0</v>
      </c>
      <c r="AV21" s="99" t="str">
        <f>IFERROR(__xludf.DUMMYFUNCTION("JOIN("", "",FILTER($P$3:$AE$3,$P21:$AE21=MAX($P21:$AE21)))"),"Queen,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1" s="99">
        <f t="shared" si="6"/>
        <v>0</v>
      </c>
      <c r="AX21" s="99">
        <f>IFERROR(__xludf.DUMMYFUNCTION("COUNTA(FILTER($P$3:$AE$3,$P21:$AE21=MAX($P21:$AE21)))"),16.0)</f>
        <v>16</v>
      </c>
      <c r="AY21" s="99" t="str">
        <f>IFERROR(__xludf.DUMMYFUNCTION("IFERROR(JOIN("", "",FILTER($AF$3:$AU$3,$AF21:$AU21=MAXIFS($AF21:$AU21,$AF$23:$AU$23,TRUE),$AF$23:$AU$23)),""N/A"")"),"Queen,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1" s="103" t="str">
        <f>IFERROR(__xludf.DUMMYFUNCTION("IFERROR(JOIN("", "",FILTER($P21:$AE21,$AF21:$AU21=MAXIFS($AF21:$AU21,$AF$23:$AU$23,TRUE),$AF$23:$AU$23)),""N/A"")"),"0, 0, 0, 0, 0, 0, 0, 0, 0, 0, 0, 0, 0, 0")</f>
        <v>0, 0, 0, 0, 0, 0, 0, 0, 0, 0, 0, 0, 0, 0</v>
      </c>
      <c r="BA21" s="103">
        <f>MAXIFS(AF21:AU21,$AF$23:$AU$23,TRUE)/'Queen MIDI'!$J$20</f>
        <v>0</v>
      </c>
      <c r="BB21" s="98">
        <f>IFERROR(__xludf.DUMMYFUNCTION("COUNTA(IFERROR(FILTER($AF$3:$AU$3,$AF21:$AU21=MAXIFS($AF21:$AU21,$AF$23:$AU$23,TRUE),$AF$23:$AU$23),))"),14.0)</f>
        <v>14</v>
      </c>
      <c r="BC21" s="105">
        <f t="shared" si="7"/>
        <v>0</v>
      </c>
      <c r="BD21" s="99">
        <f t="shared" si="8"/>
        <v>0</v>
      </c>
      <c r="BE21" s="1"/>
    </row>
    <row r="22">
      <c r="A22" s="1"/>
      <c r="C22" s="66" t="str">
        <f t="array" ref="C22">INDEX('Queen MIDI'!$C$4:$C$66,MATCH(F22,'Queen MIDI'!$D$4:$D$66,0))</f>
        <v>Headlong</v>
      </c>
      <c r="D22" s="117">
        <v>3.0</v>
      </c>
      <c r="E22" s="118" t="s">
        <v>403</v>
      </c>
      <c r="F22" s="66" t="str">
        <f t="shared" si="2"/>
        <v>Headlong.mid</v>
      </c>
      <c r="G22" s="119">
        <f>HLOOKUP(H22,'Queen Discography'!$C$2:$Q$3,2,FALSE)</f>
        <v>1991</v>
      </c>
      <c r="H22" s="66" t="str">
        <f>IF(COUNTIF('Queen Discography'!$C$4:$C$22,C22)&gt;0,"Queen",
IF(COUNTIF('Queen Discography'!$D$4:$D$22,C22)&gt;0,"Queen II",
IF(COUNTIF('Queen Discography'!$E$4:$E$22,C22)&gt;0,"Sheer Heart Attack",
IF(COUNTIF('Queen Discography'!$F$4:$F$22,C22)&gt;0,"A Night At The Opera",
IF(COUNTIF('Queen Discography'!$G$4:$G$22,C22)&gt;0,"A Day At The Races",
IF(COUNTIF('Queen Discography'!$H$4:$H$22,C22)&gt;0,"News Of The World",
IF(COUNTIF('Queen Discography'!$I$4:$I$22,C22)&gt;0,"Jazz",
IF(COUNTIF('Queen Discography'!$J$4:$J$22,C22)&gt;0,"The Game",
IF(COUNTIF('Queen Discography'!$K$4:$K$22,C22)&gt;0,"Flash Gordon",
IF(COUNTIF('Queen Discography'!$L$4:$L$22,C22)&gt;0,"Hot Space",
IF(COUNTIF('Queen Discography'!$M$4:$M$22,C22)&gt;0,"The Works",
IF(COUNTIF('Queen Discography'!$N$4:$N$22,C22)&gt;0,"A Kind Of Magic",
IF(COUNTIF('Queen Discography'!$O$4:$O$22,C22)&gt;0,"The Miracle",
IF(COUNTIF('Queen Discography'!$P$4:$P$22,C22)&gt;0,"Innuendo",
IF(COUNTIF('Queen Discography'!$Q$4:$Q$22,C22)&gt;0,"Made In Heaven","NOT FOUND")))))))))))))))</f>
        <v>Innuendo</v>
      </c>
      <c r="I22" s="1"/>
      <c r="J22" s="107"/>
      <c r="K22" s="1"/>
      <c r="L22" s="1"/>
      <c r="M22" s="1"/>
      <c r="N22" s="87"/>
      <c r="O22" s="1"/>
      <c r="P22" s="1"/>
      <c r="Q22" s="1"/>
      <c r="R22" s="1"/>
      <c r="S22" s="1"/>
      <c r="T22" s="1"/>
      <c r="U22" s="1"/>
      <c r="V22" s="1"/>
      <c r="W22" s="1"/>
      <c r="X22" s="1"/>
      <c r="Y22" s="1"/>
      <c r="Z22" s="1"/>
      <c r="AA22" s="1"/>
      <c r="AB22" s="1"/>
      <c r="AC22" s="1"/>
      <c r="AD22" s="1"/>
      <c r="AE22" s="1"/>
      <c r="AF22" s="108">
        <f t="array" ref="AF22:AU22">TRANSPOSE('Queen MIDI'!I4:I19)</f>
        <v>4</v>
      </c>
      <c r="AG22" s="108">
        <v>3.0</v>
      </c>
      <c r="AH22" s="108">
        <v>2.0</v>
      </c>
      <c r="AI22" s="108">
        <v>5.0</v>
      </c>
      <c r="AJ22" s="108">
        <v>3.0</v>
      </c>
      <c r="AK22" s="108">
        <v>4.0</v>
      </c>
      <c r="AL22" s="108">
        <v>5.0</v>
      </c>
      <c r="AM22" s="108">
        <v>4.0</v>
      </c>
      <c r="AN22" s="108">
        <v>0.0</v>
      </c>
      <c r="AO22" s="108">
        <v>1.0</v>
      </c>
      <c r="AP22" s="108">
        <v>4.0</v>
      </c>
      <c r="AQ22" s="108">
        <v>5.0</v>
      </c>
      <c r="AR22" s="108">
        <v>5.0</v>
      </c>
      <c r="AS22" s="108">
        <v>9.0</v>
      </c>
      <c r="AT22" s="108">
        <v>7.0</v>
      </c>
      <c r="AU22" s="108">
        <v>2.0</v>
      </c>
      <c r="AV22" s="79" t="s">
        <v>235</v>
      </c>
      <c r="AW22" s="1"/>
      <c r="AX22" s="1"/>
      <c r="AY22" s="1"/>
      <c r="AZ22" s="107"/>
      <c r="BA22" s="107"/>
      <c r="BB22" s="107"/>
      <c r="BC22" s="109" t="s">
        <v>230</v>
      </c>
      <c r="BD22" s="110">
        <f>SUM(BD4:BD21)</f>
        <v>63</v>
      </c>
      <c r="BE22" s="1"/>
    </row>
    <row r="23">
      <c r="A23" s="1"/>
      <c r="C23" s="66" t="str">
        <f t="array" ref="C23">INDEX('Queen MIDI'!$C$4:$C$66,MATCH(F23,'Queen MIDI'!$D$4:$D$66,0))</f>
        <v>Doing Alright</v>
      </c>
      <c r="D23" s="117">
        <v>4.0</v>
      </c>
      <c r="E23" s="118" t="s">
        <v>356</v>
      </c>
      <c r="F23" s="66" t="str">
        <f t="shared" si="2"/>
        <v>Doing All Right.1.mid</v>
      </c>
      <c r="G23" s="126">
        <f>HLOOKUP(H23,'Queen Discography'!$C$2:$Q$3,2,FALSE)</f>
        <v>1973</v>
      </c>
      <c r="H23" s="66" t="str">
        <f>IF(COUNTIF('Queen Discography'!$C$4:$C$22,C23)&gt;0,"Queen",
IF(COUNTIF('Queen Discography'!$D$4:$D$22,C23)&gt;0,"Queen II",
IF(COUNTIF('Queen Discography'!$E$4:$E$22,C23)&gt;0,"Sheer Heart Attack",
IF(COUNTIF('Queen Discography'!$F$4:$F$22,C23)&gt;0,"A Night At The Opera",
IF(COUNTIF('Queen Discography'!$G$4:$G$22,C23)&gt;0,"A Day At The Races",
IF(COUNTIF('Queen Discography'!$H$4:$H$22,C23)&gt;0,"News Of The World",
IF(COUNTIF('Queen Discography'!$I$4:$I$22,C23)&gt;0,"Jazz",
IF(COUNTIF('Queen Discography'!$J$4:$J$22,C23)&gt;0,"The Game",
IF(COUNTIF('Queen Discography'!$K$4:$K$22,C23)&gt;0,"Flash Gordon",
IF(COUNTIF('Queen Discography'!$L$4:$L$22,C23)&gt;0,"Hot Space",
IF(COUNTIF('Queen Discography'!$M$4:$M$22,C23)&gt;0,"The Works",
IF(COUNTIF('Queen Discography'!$N$4:$N$22,C23)&gt;0,"A Kind Of Magic",
IF(COUNTIF('Queen Discography'!$O$4:$O$22,C23)&gt;0,"The Miracle",
IF(COUNTIF('Queen Discography'!$P$4:$P$22,C23)&gt;0,"Innuendo",
IF(COUNTIF('Queen Discography'!$Q$4:$Q$22,C23)&gt;0,"Made In Heaven","NOT FOUND")))))))))))))))</f>
        <v>Queen</v>
      </c>
      <c r="I23" s="1"/>
      <c r="J23" s="1"/>
      <c r="K23" s="1"/>
      <c r="L23" s="1"/>
      <c r="M23" s="1"/>
      <c r="N23" s="87"/>
      <c r="O23" s="1"/>
      <c r="P23" s="1"/>
      <c r="Q23" s="1"/>
      <c r="R23" s="1"/>
      <c r="S23" s="1"/>
      <c r="T23" s="1"/>
      <c r="U23" s="1"/>
      <c r="V23" s="1"/>
      <c r="W23" s="1"/>
      <c r="X23" s="1"/>
      <c r="Y23" s="1"/>
      <c r="Z23" s="1"/>
      <c r="AA23" s="1"/>
      <c r="AB23" s="1"/>
      <c r="AC23" s="1"/>
      <c r="AD23" s="1"/>
      <c r="AE23" s="1"/>
      <c r="AF23" s="111" t="b">
        <f t="shared" ref="AF23:AU23" si="26">IF(AF22&gt;=$AV$23,TRUE,FALSE)</f>
        <v>1</v>
      </c>
      <c r="AG23" s="111" t="b">
        <f t="shared" si="26"/>
        <v>1</v>
      </c>
      <c r="AH23" s="111" t="b">
        <f t="shared" si="26"/>
        <v>1</v>
      </c>
      <c r="AI23" s="111" t="b">
        <f t="shared" si="26"/>
        <v>1</v>
      </c>
      <c r="AJ23" s="111" t="b">
        <f t="shared" si="26"/>
        <v>1</v>
      </c>
      <c r="AK23" s="111" t="b">
        <f t="shared" si="26"/>
        <v>1</v>
      </c>
      <c r="AL23" s="111" t="b">
        <f t="shared" si="26"/>
        <v>1</v>
      </c>
      <c r="AM23" s="111" t="b">
        <f t="shared" si="26"/>
        <v>1</v>
      </c>
      <c r="AN23" s="111" t="b">
        <f t="shared" si="26"/>
        <v>0</v>
      </c>
      <c r="AO23" s="111" t="b">
        <f t="shared" si="26"/>
        <v>0</v>
      </c>
      <c r="AP23" s="111" t="b">
        <f t="shared" si="26"/>
        <v>1</v>
      </c>
      <c r="AQ23" s="111" t="b">
        <f t="shared" si="26"/>
        <v>1</v>
      </c>
      <c r="AR23" s="111" t="b">
        <f t="shared" si="26"/>
        <v>1</v>
      </c>
      <c r="AS23" s="111" t="b">
        <f t="shared" si="26"/>
        <v>1</v>
      </c>
      <c r="AT23" s="111" t="b">
        <f t="shared" si="26"/>
        <v>1</v>
      </c>
      <c r="AU23" s="111" t="b">
        <f t="shared" si="26"/>
        <v>1</v>
      </c>
      <c r="AV23" s="79">
        <f>'Queen MIDI'!I22</f>
        <v>2</v>
      </c>
      <c r="AW23" s="1"/>
      <c r="AX23" s="1"/>
      <c r="AY23" s="1"/>
      <c r="AZ23" s="1"/>
      <c r="BA23" s="1"/>
      <c r="BB23" s="1"/>
      <c r="BC23" s="1"/>
      <c r="BD23" s="1"/>
      <c r="BE23" s="1"/>
    </row>
    <row r="24">
      <c r="A24" s="1"/>
      <c r="C24" s="66" t="str">
        <f t="array" ref="C24">INDEX('Queen MIDI'!$C$4:$C$66,MATCH(F24,'Queen MIDI'!$D$4:$D$66,0))</f>
        <v>Keep Yourself Alive</v>
      </c>
      <c r="D24" s="117">
        <v>4.0</v>
      </c>
      <c r="E24" s="118" t="s">
        <v>358</v>
      </c>
      <c r="F24" s="66" t="str">
        <f t="shared" si="2"/>
        <v>Keep Yourself Alive.mid</v>
      </c>
      <c r="G24" s="127">
        <f>HLOOKUP(H24,'Queen Discography'!$C$2:$Q$3,2,FALSE)</f>
        <v>1973</v>
      </c>
      <c r="H24" s="66" t="str">
        <f>IF(COUNTIF('Queen Discography'!$C$4:$C$22,C24)&gt;0,"Queen",
IF(COUNTIF('Queen Discography'!$D$4:$D$22,C24)&gt;0,"Queen II",
IF(COUNTIF('Queen Discography'!$E$4:$E$22,C24)&gt;0,"Sheer Heart Attack",
IF(COUNTIF('Queen Discography'!$F$4:$F$22,C24)&gt;0,"A Night At The Opera",
IF(COUNTIF('Queen Discography'!$G$4:$G$22,C24)&gt;0,"A Day At The Races",
IF(COUNTIF('Queen Discography'!$H$4:$H$22,C24)&gt;0,"News Of The World",
IF(COUNTIF('Queen Discography'!$I$4:$I$22,C24)&gt;0,"Jazz",
IF(COUNTIF('Queen Discography'!$J$4:$J$22,C24)&gt;0,"The Game",
IF(COUNTIF('Queen Discography'!$K$4:$K$22,C24)&gt;0,"Flash Gordon",
IF(COUNTIF('Queen Discography'!$L$4:$L$22,C24)&gt;0,"Hot Space",
IF(COUNTIF('Queen Discography'!$M$4:$M$22,C24)&gt;0,"The Works",
IF(COUNTIF('Queen Discography'!$N$4:$N$22,C24)&gt;0,"A Kind Of Magic",
IF(COUNTIF('Queen Discography'!$O$4:$O$22,C24)&gt;0,"The Miracle",
IF(COUNTIF('Queen Discography'!$P$4:$P$22,C24)&gt;0,"Innuendo",
IF(COUNTIF('Queen Discography'!$Q$4:$Q$22,C24)&gt;0,"Made In Heaven","NOT FOUND")))))))))))))))</f>
        <v>Queen</v>
      </c>
      <c r="I24" s="1"/>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
    </row>
    <row r="25">
      <c r="A25" s="1"/>
      <c r="C25" s="66" t="str">
        <f t="array" ref="C25">INDEX('Queen MIDI'!$C$4:$C$66,MATCH(F25,'Queen MIDI'!$D$4:$D$66,0))</f>
        <v>Seven Seas of Rhye</v>
      </c>
      <c r="D25" s="117">
        <v>4.0</v>
      </c>
      <c r="E25" s="118" t="s">
        <v>359</v>
      </c>
      <c r="F25" s="66" t="str">
        <f t="shared" si="2"/>
        <v>Seven Seas of Rhye.1.mid</v>
      </c>
      <c r="G25" s="128">
        <f>HLOOKUP(H25,'Queen Discography'!$C$2:$Q$3,2,FALSE)</f>
        <v>1973</v>
      </c>
      <c r="H25" s="66" t="str">
        <f>IF(COUNTIF('Queen Discography'!$C$4:$C$22,C25)&gt;0,"Queen",
IF(COUNTIF('Queen Discography'!$D$4:$D$22,C25)&gt;0,"Queen II",
IF(COUNTIF('Queen Discography'!$E$4:$E$22,C25)&gt;0,"Sheer Heart Attack",
IF(COUNTIF('Queen Discography'!$F$4:$F$22,C25)&gt;0,"A Night At The Opera",
IF(COUNTIF('Queen Discography'!$G$4:$G$22,C25)&gt;0,"A Day At The Races",
IF(COUNTIF('Queen Discography'!$H$4:$H$22,C25)&gt;0,"News Of The World",
IF(COUNTIF('Queen Discography'!$I$4:$I$22,C25)&gt;0,"Jazz",
IF(COUNTIF('Queen Discography'!$J$4:$J$22,C25)&gt;0,"The Game",
IF(COUNTIF('Queen Discography'!$K$4:$K$22,C25)&gt;0,"Flash Gordon",
IF(COUNTIF('Queen Discography'!$L$4:$L$22,C25)&gt;0,"Hot Space",
IF(COUNTIF('Queen Discography'!$M$4:$M$22,C25)&gt;0,"The Works",
IF(COUNTIF('Queen Discography'!$N$4:$N$22,C25)&gt;0,"A Kind Of Magic",
IF(COUNTIF('Queen Discography'!$O$4:$O$22,C25)&gt;0,"The Miracle",
IF(COUNTIF('Queen Discography'!$P$4:$P$22,C25)&gt;0,"Innuendo",
IF(COUNTIF('Queen Discography'!$Q$4:$Q$22,C25)&gt;0,"Made In Heaven","NOT FOUND")))))))))))))))</f>
        <v>Queen</v>
      </c>
      <c r="I25" s="1"/>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
    </row>
    <row r="26">
      <c r="A26" s="1"/>
      <c r="C26" s="66" t="str">
        <f t="array" ref="C26">INDEX('Queen MIDI'!$C$4:$C$66,MATCH(F26,'Queen MIDI'!$D$4:$D$66,0))</f>
        <v>Father to Son</v>
      </c>
      <c r="D26" s="117">
        <v>4.0</v>
      </c>
      <c r="E26" s="118" t="s">
        <v>361</v>
      </c>
      <c r="F26" s="66" t="str">
        <f t="shared" si="2"/>
        <v>Father to Son.mid</v>
      </c>
      <c r="G26" s="122">
        <f>HLOOKUP(H26,'Queen Discography'!$C$2:$Q$3,2,FALSE)</f>
        <v>1974</v>
      </c>
      <c r="H26" s="66" t="str">
        <f>IF(COUNTIF('Queen Discography'!$C$4:$C$22,C26)&gt;0,"Queen",
IF(COUNTIF('Queen Discography'!$D$4:$D$22,C26)&gt;0,"Queen II",
IF(COUNTIF('Queen Discography'!$E$4:$E$22,C26)&gt;0,"Sheer Heart Attack",
IF(COUNTIF('Queen Discography'!$F$4:$F$22,C26)&gt;0,"A Night At The Opera",
IF(COUNTIF('Queen Discography'!$G$4:$G$22,C26)&gt;0,"A Day At The Races",
IF(COUNTIF('Queen Discography'!$H$4:$H$22,C26)&gt;0,"News Of The World",
IF(COUNTIF('Queen Discography'!$I$4:$I$22,C26)&gt;0,"Jazz",
IF(COUNTIF('Queen Discography'!$J$4:$J$22,C26)&gt;0,"The Game",
IF(COUNTIF('Queen Discography'!$K$4:$K$22,C26)&gt;0,"Flash Gordon",
IF(COUNTIF('Queen Discography'!$L$4:$L$22,C26)&gt;0,"Hot Space",
IF(COUNTIF('Queen Discography'!$M$4:$M$22,C26)&gt;0,"The Works",
IF(COUNTIF('Queen Discography'!$N$4:$N$22,C26)&gt;0,"A Kind Of Magic",
IF(COUNTIF('Queen Discography'!$O$4:$O$22,C26)&gt;0,"The Miracle",
IF(COUNTIF('Queen Discography'!$P$4:$P$22,C26)&gt;0,"Innuendo",
IF(COUNTIF('Queen Discography'!$Q$4:$Q$22,C26)&gt;0,"Made In Heaven","NOT FOUND")))))))))))))))</f>
        <v>Queen II</v>
      </c>
      <c r="I26" s="1"/>
      <c r="J26" s="113"/>
      <c r="K26" s="1"/>
      <c r="L26" s="1"/>
      <c r="M26" s="1"/>
      <c r="N26" s="87"/>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row>
    <row r="27">
      <c r="A27" s="1"/>
      <c r="C27" s="66" t="str">
        <f t="array" ref="C27">INDEX('Queen MIDI'!$C$4:$C$66,MATCH(F27,'Queen MIDI'!$D$4:$D$66,0))</f>
        <v>Bohemian Rhapsody</v>
      </c>
      <c r="D27" s="117">
        <v>4.0</v>
      </c>
      <c r="E27" s="118" t="s">
        <v>366</v>
      </c>
      <c r="F27" s="66" t="str">
        <f t="shared" si="2"/>
        <v>Bohemian Rhapsody.1.mid</v>
      </c>
      <c r="G27" s="121">
        <f>HLOOKUP(H27,'Queen Discography'!$C$2:$Q$3,2,FALSE)</f>
        <v>1975</v>
      </c>
      <c r="H27" s="66" t="str">
        <f>IF(COUNTIF('Queen Discography'!$C$4:$C$22,C27)&gt;0,"Queen",
IF(COUNTIF('Queen Discography'!$D$4:$D$22,C27)&gt;0,"Queen II",
IF(COUNTIF('Queen Discography'!$E$4:$E$22,C27)&gt;0,"Sheer Heart Attack",
IF(COUNTIF('Queen Discography'!$F$4:$F$22,C27)&gt;0,"A Night At The Opera",
IF(COUNTIF('Queen Discography'!$G$4:$G$22,C27)&gt;0,"A Day At The Races",
IF(COUNTIF('Queen Discography'!$H$4:$H$22,C27)&gt;0,"News Of The World",
IF(COUNTIF('Queen Discography'!$I$4:$I$22,C27)&gt;0,"Jazz",
IF(COUNTIF('Queen Discography'!$J$4:$J$22,C27)&gt;0,"The Game",
IF(COUNTIF('Queen Discography'!$K$4:$K$22,C27)&gt;0,"Flash Gordon",
IF(COUNTIF('Queen Discography'!$L$4:$L$22,C27)&gt;0,"Hot Space",
IF(COUNTIF('Queen Discography'!$M$4:$M$22,C27)&gt;0,"The Works",
IF(COUNTIF('Queen Discography'!$N$4:$N$22,C27)&gt;0,"A Kind Of Magic",
IF(COUNTIF('Queen Discography'!$O$4:$O$22,C27)&gt;0,"The Miracle",
IF(COUNTIF('Queen Discography'!$P$4:$P$22,C27)&gt;0,"Innuendo",
IF(COUNTIF('Queen Discography'!$Q$4:$Q$22,C27)&gt;0,"Made In Heaven","NOT FOUND")))))))))))))))</f>
        <v>A Night At The Opera</v>
      </c>
      <c r="I27" s="1"/>
      <c r="J27" s="1"/>
      <c r="K27" s="1"/>
      <c r="L27" s="1"/>
      <c r="M27" s="1"/>
      <c r="N27" s="87"/>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row>
    <row r="28">
      <c r="A28" s="1"/>
      <c r="C28" s="66" t="str">
        <f t="array" ref="C28">INDEX('Queen MIDI'!$C$4:$C$66,MATCH(F28,'Queen MIDI'!$D$4:$D$66,0))</f>
        <v>You're My Best Friend</v>
      </c>
      <c r="D28" s="117">
        <v>4.0</v>
      </c>
      <c r="E28" s="118" t="s">
        <v>369</v>
      </c>
      <c r="F28" s="66" t="str">
        <f t="shared" si="2"/>
        <v>You_re My Best Friend.mid</v>
      </c>
      <c r="G28" s="133">
        <f>HLOOKUP(H28,'Queen Discography'!$C$2:$Q$3,2,FALSE)</f>
        <v>1975</v>
      </c>
      <c r="H28" s="66" t="str">
        <f>IF(COUNTIF('Queen Discography'!$C$4:$C$22,C28)&gt;0,"Queen",
IF(COUNTIF('Queen Discography'!$D$4:$D$22,C28)&gt;0,"Queen II",
IF(COUNTIF('Queen Discography'!$E$4:$E$22,C28)&gt;0,"Sheer Heart Attack",
IF(COUNTIF('Queen Discography'!$F$4:$F$22,C28)&gt;0,"A Night At The Opera",
IF(COUNTIF('Queen Discography'!$G$4:$G$22,C28)&gt;0,"A Day At The Races",
IF(COUNTIF('Queen Discography'!$H$4:$H$22,C28)&gt;0,"News Of The World",
IF(COUNTIF('Queen Discography'!$I$4:$I$22,C28)&gt;0,"Jazz",
IF(COUNTIF('Queen Discography'!$J$4:$J$22,C28)&gt;0,"The Game",
IF(COUNTIF('Queen Discography'!$K$4:$K$22,C28)&gt;0,"Flash Gordon",
IF(COUNTIF('Queen Discography'!$L$4:$L$22,C28)&gt;0,"Hot Space",
IF(COUNTIF('Queen Discography'!$M$4:$M$22,C28)&gt;0,"The Works",
IF(COUNTIF('Queen Discography'!$N$4:$N$22,C28)&gt;0,"A Kind Of Magic",
IF(COUNTIF('Queen Discography'!$O$4:$O$22,C28)&gt;0,"The Miracle",
IF(COUNTIF('Queen Discography'!$P$4:$P$22,C28)&gt;0,"Innuendo",
IF(COUNTIF('Queen Discography'!$Q$4:$Q$22,C28)&gt;0,"Made In Heaven","NOT FOUND")))))))))))))))</f>
        <v>A Night At The Opera</v>
      </c>
      <c r="I28" s="1"/>
      <c r="J28" s="1"/>
      <c r="K28" s="1"/>
      <c r="L28" s="1"/>
      <c r="M28" s="1"/>
      <c r="N28" s="87"/>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c r="A29" s="1"/>
      <c r="C29" s="66" t="str">
        <f t="array" ref="C29">INDEX('Queen MIDI'!$C$4:$C$66,MATCH(F29,'Queen MIDI'!$D$4:$D$66,0))</f>
        <v>39</v>
      </c>
      <c r="D29" s="117">
        <v>4.0</v>
      </c>
      <c r="E29" s="118" t="s">
        <v>365</v>
      </c>
      <c r="F29" s="66" t="str">
        <f t="shared" si="2"/>
        <v>_39.mid</v>
      </c>
      <c r="G29" s="122">
        <f>HLOOKUP(H29,'Queen Discography'!$C$2:$Q$3,2,FALSE)</f>
        <v>1975</v>
      </c>
      <c r="H29" s="66" t="str">
        <f>IF(COUNTIF('Queen Discography'!$C$4:$C$22,C29)&gt;0,"Queen",
IF(COUNTIF('Queen Discography'!$D$4:$D$22,C29)&gt;0,"Queen II",
IF(COUNTIF('Queen Discography'!$E$4:$E$22,C29)&gt;0,"Sheer Heart Attack",
IF(COUNTIF('Queen Discography'!$F$4:$F$22,C29)&gt;0,"A Night At The Opera",
IF(COUNTIF('Queen Discography'!$G$4:$G$22,C29)&gt;0,"A Day At The Races",
IF(COUNTIF('Queen Discography'!$H$4:$H$22,C29)&gt;0,"News Of The World",
IF(COUNTIF('Queen Discography'!$I$4:$I$22,C29)&gt;0,"Jazz",
IF(COUNTIF('Queen Discography'!$J$4:$J$22,C29)&gt;0,"The Game",
IF(COUNTIF('Queen Discography'!$K$4:$K$22,C29)&gt;0,"Flash Gordon",
IF(COUNTIF('Queen Discography'!$L$4:$L$22,C29)&gt;0,"Hot Space",
IF(COUNTIF('Queen Discography'!$M$4:$M$22,C29)&gt;0,"The Works",
IF(COUNTIF('Queen Discography'!$N$4:$N$22,C29)&gt;0,"A Kind Of Magic",
IF(COUNTIF('Queen Discography'!$O$4:$O$22,C29)&gt;0,"The Miracle",
IF(COUNTIF('Queen Discography'!$P$4:$P$22,C29)&gt;0,"Innuendo",
IF(COUNTIF('Queen Discography'!$Q$4:$Q$22,C29)&gt;0,"Made In Heaven","NOT FOUND")))))))))))))))</f>
        <v>A Night At The Opera</v>
      </c>
      <c r="I29" s="1"/>
      <c r="J29" s="1"/>
      <c r="K29" s="1"/>
      <c r="L29" s="1"/>
      <c r="M29" s="1"/>
      <c r="N29" s="87"/>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row>
    <row r="30">
      <c r="A30" s="1"/>
      <c r="C30" s="66" t="str">
        <f t="array" ref="C30">INDEX('Queen MIDI'!$C$4:$C$66,MATCH(F30,'Queen MIDI'!$D$4:$D$66,0))</f>
        <v>Spread Your Wings</v>
      </c>
      <c r="D30" s="117">
        <v>4.0</v>
      </c>
      <c r="E30" s="118" t="s">
        <v>374</v>
      </c>
      <c r="F30" s="66" t="str">
        <f t="shared" si="2"/>
        <v>Spread Your Wings.mid</v>
      </c>
      <c r="G30" s="127">
        <f>HLOOKUP(H30,'Queen Discography'!$C$2:$Q$3,2,FALSE)</f>
        <v>1977</v>
      </c>
      <c r="H30" s="66" t="str">
        <f>IF(COUNTIF('Queen Discography'!$C$4:$C$22,C30)&gt;0,"Queen",
IF(COUNTIF('Queen Discography'!$D$4:$D$22,C30)&gt;0,"Queen II",
IF(COUNTIF('Queen Discography'!$E$4:$E$22,C30)&gt;0,"Sheer Heart Attack",
IF(COUNTIF('Queen Discography'!$F$4:$F$22,C30)&gt;0,"A Night At The Opera",
IF(COUNTIF('Queen Discography'!$G$4:$G$22,C30)&gt;0,"A Day At The Races",
IF(COUNTIF('Queen Discography'!$H$4:$H$22,C30)&gt;0,"News Of The World",
IF(COUNTIF('Queen Discography'!$I$4:$I$22,C30)&gt;0,"Jazz",
IF(COUNTIF('Queen Discography'!$J$4:$J$22,C30)&gt;0,"The Game",
IF(COUNTIF('Queen Discography'!$K$4:$K$22,C30)&gt;0,"Flash Gordon",
IF(COUNTIF('Queen Discography'!$L$4:$L$22,C30)&gt;0,"Hot Space",
IF(COUNTIF('Queen Discography'!$M$4:$M$22,C30)&gt;0,"The Works",
IF(COUNTIF('Queen Discography'!$N$4:$N$22,C30)&gt;0,"A Kind Of Magic",
IF(COUNTIF('Queen Discography'!$O$4:$O$22,C30)&gt;0,"The Miracle",
IF(COUNTIF('Queen Discography'!$P$4:$P$22,C30)&gt;0,"Innuendo",
IF(COUNTIF('Queen Discography'!$Q$4:$Q$22,C30)&gt;0,"Made In Heaven","NOT FOUND")))))))))))))))</f>
        <v>News Of The World</v>
      </c>
      <c r="I30" s="1"/>
      <c r="J30" s="1"/>
      <c r="K30" s="1"/>
      <c r="L30" s="1"/>
      <c r="M30" s="1"/>
      <c r="N30" s="87"/>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row>
    <row r="31">
      <c r="A31" s="1"/>
      <c r="C31" s="66" t="str">
        <f t="array" ref="C31">INDEX('Queen MIDI'!$C$4:$C$66,MATCH(F31,'Queen MIDI'!$D$4:$D$66,0))</f>
        <v>We Are The Champions</v>
      </c>
      <c r="D31" s="117">
        <v>4.0</v>
      </c>
      <c r="E31" s="118" t="s">
        <v>375</v>
      </c>
      <c r="F31" s="66" t="str">
        <f t="shared" si="2"/>
        <v>We Are The Champions.1.mid</v>
      </c>
      <c r="G31" s="124">
        <f>HLOOKUP(H31,'Queen Discography'!$C$2:$Q$3,2,FALSE)</f>
        <v>1977</v>
      </c>
      <c r="H31" s="66" t="str">
        <f>IF(COUNTIF('Queen Discography'!$C$4:$C$22,C31)&gt;0,"Queen",
IF(COUNTIF('Queen Discography'!$D$4:$D$22,C31)&gt;0,"Queen II",
IF(COUNTIF('Queen Discography'!$E$4:$E$22,C31)&gt;0,"Sheer Heart Attack",
IF(COUNTIF('Queen Discography'!$F$4:$F$22,C31)&gt;0,"A Night At The Opera",
IF(COUNTIF('Queen Discography'!$G$4:$G$22,C31)&gt;0,"A Day At The Races",
IF(COUNTIF('Queen Discography'!$H$4:$H$22,C31)&gt;0,"News Of The World",
IF(COUNTIF('Queen Discography'!$I$4:$I$22,C31)&gt;0,"Jazz",
IF(COUNTIF('Queen Discography'!$J$4:$J$22,C31)&gt;0,"The Game",
IF(COUNTIF('Queen Discography'!$K$4:$K$22,C31)&gt;0,"Flash Gordon",
IF(COUNTIF('Queen Discography'!$L$4:$L$22,C31)&gt;0,"Hot Space",
IF(COUNTIF('Queen Discography'!$M$4:$M$22,C31)&gt;0,"The Works",
IF(COUNTIF('Queen Discography'!$N$4:$N$22,C31)&gt;0,"A Kind Of Magic",
IF(COUNTIF('Queen Discography'!$O$4:$O$22,C31)&gt;0,"The Miracle",
IF(COUNTIF('Queen Discography'!$P$4:$P$22,C31)&gt;0,"Innuendo",
IF(COUNTIF('Queen Discography'!$Q$4:$Q$22,C31)&gt;0,"Made In Heaven","NOT FOUND")))))))))))))))</f>
        <v>News Of The World</v>
      </c>
      <c r="I31" s="1"/>
      <c r="J31" s="1"/>
      <c r="K31" s="1"/>
      <c r="L31" s="1"/>
      <c r="M31" s="1"/>
      <c r="N31" s="87"/>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c r="A32" s="1"/>
      <c r="C32" s="66" t="str">
        <f t="array" ref="C32">INDEX('Queen MIDI'!$C$4:$C$66,MATCH(F32,'Queen MIDI'!$D$4:$D$66,0))</f>
        <v>Fat Bottomed Girls</v>
      </c>
      <c r="D32" s="117">
        <v>4.0</v>
      </c>
      <c r="E32" s="118" t="s">
        <v>378</v>
      </c>
      <c r="F32" s="66" t="str">
        <f t="shared" si="2"/>
        <v>Fat Bottomed Girls.mid</v>
      </c>
      <c r="G32" s="126">
        <f>HLOOKUP(H32,'Queen Discography'!$C$2:$Q$3,2,FALSE)</f>
        <v>1978</v>
      </c>
      <c r="H32" s="66" t="str">
        <f>IF(COUNTIF('Queen Discography'!$C$4:$C$22,C32)&gt;0,"Queen",
IF(COUNTIF('Queen Discography'!$D$4:$D$22,C32)&gt;0,"Queen II",
IF(COUNTIF('Queen Discography'!$E$4:$E$22,C32)&gt;0,"Sheer Heart Attack",
IF(COUNTIF('Queen Discography'!$F$4:$F$22,C32)&gt;0,"A Night At The Opera",
IF(COUNTIF('Queen Discography'!$G$4:$G$22,C32)&gt;0,"A Day At The Races",
IF(COUNTIF('Queen Discography'!$H$4:$H$22,C32)&gt;0,"News Of The World",
IF(COUNTIF('Queen Discography'!$I$4:$I$22,C32)&gt;0,"Jazz",
IF(COUNTIF('Queen Discography'!$J$4:$J$22,C32)&gt;0,"The Game",
IF(COUNTIF('Queen Discography'!$K$4:$K$22,C32)&gt;0,"Flash Gordon",
IF(COUNTIF('Queen Discography'!$L$4:$L$22,C32)&gt;0,"Hot Space",
IF(COUNTIF('Queen Discography'!$M$4:$M$22,C32)&gt;0,"The Works",
IF(COUNTIF('Queen Discography'!$N$4:$N$22,C32)&gt;0,"A Kind Of Magic",
IF(COUNTIF('Queen Discography'!$O$4:$O$22,C32)&gt;0,"The Miracle",
IF(COUNTIF('Queen Discography'!$P$4:$P$22,C32)&gt;0,"Innuendo",
IF(COUNTIF('Queen Discography'!$Q$4:$Q$22,C32)&gt;0,"Made In Heaven","NOT FOUND")))))))))))))))</f>
        <v>Jazz</v>
      </c>
      <c r="I32" s="1"/>
      <c r="J32" s="1"/>
      <c r="K32" s="1"/>
      <c r="L32" s="1"/>
      <c r="M32" s="1"/>
      <c r="N32" s="87"/>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row>
    <row r="33">
      <c r="A33" s="1"/>
      <c r="C33" s="66" t="str">
        <f t="array" ref="C33">INDEX('Queen MIDI'!$C$4:$C$66,MATCH(F33,'Queen MIDI'!$D$4:$D$66,0))</f>
        <v>In Only Seven Days</v>
      </c>
      <c r="D33" s="117">
        <v>4.0</v>
      </c>
      <c r="E33" s="118" t="s">
        <v>380</v>
      </c>
      <c r="F33" s="66" t="str">
        <f t="shared" si="2"/>
        <v>In Only Seven Days.mid</v>
      </c>
      <c r="G33" s="131">
        <f>HLOOKUP(H33,'Queen Discography'!$C$2:$Q$3,2,FALSE)</f>
        <v>1978</v>
      </c>
      <c r="H33" s="66" t="str">
        <f>IF(COUNTIF('Queen Discography'!$C$4:$C$22,C33)&gt;0,"Queen",
IF(COUNTIF('Queen Discography'!$D$4:$D$22,C33)&gt;0,"Queen II",
IF(COUNTIF('Queen Discography'!$E$4:$E$22,C33)&gt;0,"Sheer Heart Attack",
IF(COUNTIF('Queen Discography'!$F$4:$F$22,C33)&gt;0,"A Night At The Opera",
IF(COUNTIF('Queen Discography'!$G$4:$G$22,C33)&gt;0,"A Day At The Races",
IF(COUNTIF('Queen Discography'!$H$4:$H$22,C33)&gt;0,"News Of The World",
IF(COUNTIF('Queen Discography'!$I$4:$I$22,C33)&gt;0,"Jazz",
IF(COUNTIF('Queen Discography'!$J$4:$J$22,C33)&gt;0,"The Game",
IF(COUNTIF('Queen Discography'!$K$4:$K$22,C33)&gt;0,"Flash Gordon",
IF(COUNTIF('Queen Discography'!$L$4:$L$22,C33)&gt;0,"Hot Space",
IF(COUNTIF('Queen Discography'!$M$4:$M$22,C33)&gt;0,"The Works",
IF(COUNTIF('Queen Discography'!$N$4:$N$22,C33)&gt;0,"A Kind Of Magic",
IF(COUNTIF('Queen Discography'!$O$4:$O$22,C33)&gt;0,"The Miracle",
IF(COUNTIF('Queen Discography'!$P$4:$P$22,C33)&gt;0,"Innuendo",
IF(COUNTIF('Queen Discography'!$Q$4:$Q$22,C33)&gt;0,"Made In Heaven","NOT FOUND")))))))))))))))</f>
        <v>Jazz</v>
      </c>
      <c r="I33" s="1"/>
      <c r="J33" s="1"/>
      <c r="K33" s="1"/>
      <c r="L33" s="1"/>
      <c r="M33" s="1"/>
      <c r="N33" s="87"/>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row>
    <row r="34">
      <c r="A34" s="1"/>
      <c r="C34" s="66" t="str">
        <f t="array" ref="C34">INDEX('Queen MIDI'!$C$4:$C$66,MATCH(F34,'Queen MIDI'!$D$4:$D$66,0))</f>
        <v>Crazy Little Thing Called Love</v>
      </c>
      <c r="D34" s="117">
        <v>4.0</v>
      </c>
      <c r="E34" s="118" t="s">
        <v>382</v>
      </c>
      <c r="F34" s="66" t="str">
        <f t="shared" si="2"/>
        <v>Crazy Little Thing Called Love.2.mid</v>
      </c>
      <c r="G34" s="123">
        <f>HLOOKUP(H34,'Queen Discography'!$C$2:$Q$3,2,FALSE)</f>
        <v>1980</v>
      </c>
      <c r="H34" s="66" t="str">
        <f>IF(COUNTIF('Queen Discography'!$C$4:$C$22,C34)&gt;0,"Queen",
IF(COUNTIF('Queen Discography'!$D$4:$D$22,C34)&gt;0,"Queen II",
IF(COUNTIF('Queen Discography'!$E$4:$E$22,C34)&gt;0,"Sheer Heart Attack",
IF(COUNTIF('Queen Discography'!$F$4:$F$22,C34)&gt;0,"A Night At The Opera",
IF(COUNTIF('Queen Discography'!$G$4:$G$22,C34)&gt;0,"A Day At The Races",
IF(COUNTIF('Queen Discography'!$H$4:$H$22,C34)&gt;0,"News Of The World",
IF(COUNTIF('Queen Discography'!$I$4:$I$22,C34)&gt;0,"Jazz",
IF(COUNTIF('Queen Discography'!$J$4:$J$22,C34)&gt;0,"The Game",
IF(COUNTIF('Queen Discography'!$K$4:$K$22,C34)&gt;0,"Flash Gordon",
IF(COUNTIF('Queen Discography'!$L$4:$L$22,C34)&gt;0,"Hot Space",
IF(COUNTIF('Queen Discography'!$M$4:$M$22,C34)&gt;0,"The Works",
IF(COUNTIF('Queen Discography'!$N$4:$N$22,C34)&gt;0,"A Kind Of Magic",
IF(COUNTIF('Queen Discography'!$O$4:$O$22,C34)&gt;0,"The Miracle",
IF(COUNTIF('Queen Discography'!$P$4:$P$22,C34)&gt;0,"Innuendo",
IF(COUNTIF('Queen Discography'!$Q$4:$Q$22,C34)&gt;0,"Made In Heaven","NOT FOUND")))))))))))))))</f>
        <v>The Game</v>
      </c>
      <c r="I34" s="1"/>
      <c r="J34" s="1"/>
      <c r="K34" s="1"/>
      <c r="L34" s="1"/>
      <c r="M34" s="1"/>
      <c r="N34" s="87"/>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row>
    <row r="35">
      <c r="A35" s="1"/>
      <c r="C35" s="66" t="str">
        <f t="array" ref="C35">INDEX('Queen MIDI'!$C$4:$C$66,MATCH(F35,'Queen MIDI'!$D$4:$D$66,0))</f>
        <v>Under Pressure</v>
      </c>
      <c r="D35" s="117">
        <v>4.0</v>
      </c>
      <c r="E35" s="118" t="s">
        <v>385</v>
      </c>
      <c r="F35" s="66" t="str">
        <f t="shared" si="2"/>
        <v>Under Pressure.7.mid</v>
      </c>
      <c r="G35" s="124">
        <f>HLOOKUP(H35,'Queen Discography'!$C$2:$Q$3,2,FALSE)</f>
        <v>1982</v>
      </c>
      <c r="H35" s="66" t="str">
        <f>IF(COUNTIF('Queen Discography'!$C$4:$C$22,C35)&gt;0,"Queen",
IF(COUNTIF('Queen Discography'!$D$4:$D$22,C35)&gt;0,"Queen II",
IF(COUNTIF('Queen Discography'!$E$4:$E$22,C35)&gt;0,"Sheer Heart Attack",
IF(COUNTIF('Queen Discography'!$F$4:$F$22,C35)&gt;0,"A Night At The Opera",
IF(COUNTIF('Queen Discography'!$G$4:$G$22,C35)&gt;0,"A Day At The Races",
IF(COUNTIF('Queen Discography'!$H$4:$H$22,C35)&gt;0,"News Of The World",
IF(COUNTIF('Queen Discography'!$I$4:$I$22,C35)&gt;0,"Jazz",
IF(COUNTIF('Queen Discography'!$J$4:$J$22,C35)&gt;0,"The Game",
IF(COUNTIF('Queen Discography'!$K$4:$K$22,C35)&gt;0,"Flash Gordon",
IF(COUNTIF('Queen Discography'!$L$4:$L$22,C35)&gt;0,"Hot Space",
IF(COUNTIF('Queen Discography'!$M$4:$M$22,C35)&gt;0,"The Works",
IF(COUNTIF('Queen Discography'!$N$4:$N$22,C35)&gt;0,"A Kind Of Magic",
IF(COUNTIF('Queen Discography'!$O$4:$O$22,C35)&gt;0,"The Miracle",
IF(COUNTIF('Queen Discography'!$P$4:$P$22,C35)&gt;0,"Innuendo",
IF(COUNTIF('Queen Discography'!$Q$4:$Q$22,C35)&gt;0,"Made In Heaven","NOT FOUND")))))))))))))))</f>
        <v>Hot Space</v>
      </c>
      <c r="I35" s="1"/>
      <c r="J35" s="1"/>
      <c r="K35" s="1"/>
      <c r="L35" s="1"/>
      <c r="M35" s="1"/>
      <c r="N35" s="87"/>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row>
    <row r="36">
      <c r="A36" s="1"/>
      <c r="C36" s="66" t="str">
        <f t="array" ref="C36">INDEX('Queen MIDI'!$C$4:$C$66,MATCH(F36,'Queen MIDI'!$D$4:$D$66,0))</f>
        <v>Hammer to Fall</v>
      </c>
      <c r="D36" s="117">
        <v>4.0</v>
      </c>
      <c r="E36" s="118" t="s">
        <v>386</v>
      </c>
      <c r="F36" s="66" t="str">
        <f t="shared" si="2"/>
        <v>Hammer to Fall.mid</v>
      </c>
      <c r="G36" s="119">
        <f>HLOOKUP(H36,'Queen Discography'!$C$2:$Q$3,2,FALSE)</f>
        <v>1984</v>
      </c>
      <c r="H36" s="66" t="str">
        <f>IF(COUNTIF('Queen Discography'!$C$4:$C$22,C36)&gt;0,"Queen",
IF(COUNTIF('Queen Discography'!$D$4:$D$22,C36)&gt;0,"Queen II",
IF(COUNTIF('Queen Discography'!$E$4:$E$22,C36)&gt;0,"Sheer Heart Attack",
IF(COUNTIF('Queen Discography'!$F$4:$F$22,C36)&gt;0,"A Night At The Opera",
IF(COUNTIF('Queen Discography'!$G$4:$G$22,C36)&gt;0,"A Day At The Races",
IF(COUNTIF('Queen Discography'!$H$4:$H$22,C36)&gt;0,"News Of The World",
IF(COUNTIF('Queen Discography'!$I$4:$I$22,C36)&gt;0,"Jazz",
IF(COUNTIF('Queen Discography'!$J$4:$J$22,C36)&gt;0,"The Game",
IF(COUNTIF('Queen Discography'!$K$4:$K$22,C36)&gt;0,"Flash Gordon",
IF(COUNTIF('Queen Discography'!$L$4:$L$22,C36)&gt;0,"Hot Space",
IF(COUNTIF('Queen Discography'!$M$4:$M$22,C36)&gt;0,"The Works",
IF(COUNTIF('Queen Discography'!$N$4:$N$22,C36)&gt;0,"A Kind Of Magic",
IF(COUNTIF('Queen Discography'!$O$4:$O$22,C36)&gt;0,"The Miracle",
IF(COUNTIF('Queen Discography'!$P$4:$P$22,C36)&gt;0,"Innuendo",
IF(COUNTIF('Queen Discography'!$Q$4:$Q$22,C36)&gt;0,"Made In Heaven","NOT FOUND")))))))))))))))</f>
        <v>The Works</v>
      </c>
      <c r="I36" s="1"/>
      <c r="J36" s="1"/>
      <c r="K36" s="1"/>
      <c r="L36" s="1"/>
      <c r="M36" s="87"/>
      <c r="N36" s="87"/>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row>
    <row r="37">
      <c r="A37" s="1"/>
      <c r="C37" s="66" t="str">
        <f t="array" ref="C37">INDEX('Queen MIDI'!$C$4:$C$66,MATCH(F37,'Queen MIDI'!$D$4:$D$66,0))</f>
        <v>I Want to Break Free</v>
      </c>
      <c r="D37" s="117">
        <v>4.0</v>
      </c>
      <c r="E37" s="118" t="s">
        <v>387</v>
      </c>
      <c r="F37" s="66" t="str">
        <f t="shared" si="2"/>
        <v>I Want to Break Free.3.mid</v>
      </c>
      <c r="G37" s="125">
        <f>HLOOKUP(H37,'Queen Discography'!$C$2:$Q$3,2,FALSE)</f>
        <v>1984</v>
      </c>
      <c r="H37" s="66" t="str">
        <f>IF(COUNTIF('Queen Discography'!$C$4:$C$22,C37)&gt;0,"Queen",
IF(COUNTIF('Queen Discography'!$D$4:$D$22,C37)&gt;0,"Queen II",
IF(COUNTIF('Queen Discography'!$E$4:$E$22,C37)&gt;0,"Sheer Heart Attack",
IF(COUNTIF('Queen Discography'!$F$4:$F$22,C37)&gt;0,"A Night At The Opera",
IF(COUNTIF('Queen Discography'!$G$4:$G$22,C37)&gt;0,"A Day At The Races",
IF(COUNTIF('Queen Discography'!$H$4:$H$22,C37)&gt;0,"News Of The World",
IF(COUNTIF('Queen Discography'!$I$4:$I$22,C37)&gt;0,"Jazz",
IF(COUNTIF('Queen Discography'!$J$4:$J$22,C37)&gt;0,"The Game",
IF(COUNTIF('Queen Discography'!$K$4:$K$22,C37)&gt;0,"Flash Gordon",
IF(COUNTIF('Queen Discography'!$L$4:$L$22,C37)&gt;0,"Hot Space",
IF(COUNTIF('Queen Discography'!$M$4:$M$22,C37)&gt;0,"The Works",
IF(COUNTIF('Queen Discography'!$N$4:$N$22,C37)&gt;0,"A Kind Of Magic",
IF(COUNTIF('Queen Discography'!$O$4:$O$22,C37)&gt;0,"The Miracle",
IF(COUNTIF('Queen Discography'!$P$4:$P$22,C37)&gt;0,"Innuendo",
IF(COUNTIF('Queen Discography'!$Q$4:$Q$22,C37)&gt;0,"Made In Heaven","NOT FOUND")))))))))))))))</f>
        <v>The Works</v>
      </c>
      <c r="I37" s="1"/>
      <c r="J37" s="1"/>
      <c r="K37" s="1"/>
      <c r="L37" s="1"/>
      <c r="M37" s="87"/>
      <c r="N37" s="87"/>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row>
    <row r="38">
      <c r="A38" s="1"/>
      <c r="C38" s="66" t="str">
        <f t="array" ref="C38">INDEX('Queen MIDI'!$C$4:$C$66,MATCH(F38,'Queen MIDI'!$D$4:$D$66,0))</f>
        <v>It's a Hard Life</v>
      </c>
      <c r="D38" s="117">
        <v>4.0</v>
      </c>
      <c r="E38" s="118" t="s">
        <v>388</v>
      </c>
      <c r="F38" s="66" t="str">
        <f t="shared" si="2"/>
        <v>It_s a Hard Life.mid</v>
      </c>
      <c r="G38" s="131">
        <f>HLOOKUP(H38,'Queen Discography'!$C$2:$Q$3,2,FALSE)</f>
        <v>1984</v>
      </c>
      <c r="H38" s="66" t="str">
        <f>IF(COUNTIF('Queen Discography'!$C$4:$C$22,C38)&gt;0,"Queen",
IF(COUNTIF('Queen Discography'!$D$4:$D$22,C38)&gt;0,"Queen II",
IF(COUNTIF('Queen Discography'!$E$4:$E$22,C38)&gt;0,"Sheer Heart Attack",
IF(COUNTIF('Queen Discography'!$F$4:$F$22,C38)&gt;0,"A Night At The Opera",
IF(COUNTIF('Queen Discography'!$G$4:$G$22,C38)&gt;0,"A Day At The Races",
IF(COUNTIF('Queen Discography'!$H$4:$H$22,C38)&gt;0,"News Of The World",
IF(COUNTIF('Queen Discography'!$I$4:$I$22,C38)&gt;0,"Jazz",
IF(COUNTIF('Queen Discography'!$J$4:$J$22,C38)&gt;0,"The Game",
IF(COUNTIF('Queen Discography'!$K$4:$K$22,C38)&gt;0,"Flash Gordon",
IF(COUNTIF('Queen Discography'!$L$4:$L$22,C38)&gt;0,"Hot Space",
IF(COUNTIF('Queen Discography'!$M$4:$M$22,C38)&gt;0,"The Works",
IF(COUNTIF('Queen Discography'!$N$4:$N$22,C38)&gt;0,"A Kind Of Magic",
IF(COUNTIF('Queen Discography'!$O$4:$O$22,C38)&gt;0,"The Miracle",
IF(COUNTIF('Queen Discography'!$P$4:$P$22,C38)&gt;0,"Innuendo",
IF(COUNTIF('Queen Discography'!$Q$4:$Q$22,C38)&gt;0,"Made In Heaven","NOT FOUND")))))))))))))))</f>
        <v>The Works</v>
      </c>
      <c r="I38" s="1"/>
      <c r="J38" s="1"/>
      <c r="K38" s="1"/>
      <c r="L38" s="1"/>
      <c r="M38" s="87"/>
      <c r="N38" s="87"/>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c r="A39" s="1"/>
      <c r="C39" s="66" t="str">
        <f t="array" ref="C39">INDEX('Queen MIDI'!$C$4:$C$66,MATCH(F39,'Queen MIDI'!$D$4:$D$66,0))</f>
        <v>Radio Ga Ga</v>
      </c>
      <c r="D39" s="117">
        <v>4.0</v>
      </c>
      <c r="E39" s="118" t="s">
        <v>389</v>
      </c>
      <c r="F39" s="66" t="str">
        <f t="shared" si="2"/>
        <v>Radio Ga Ga.5.mid</v>
      </c>
      <c r="G39" s="129">
        <f>HLOOKUP(H39,'Queen Discography'!$C$2:$Q$3,2,FALSE)</f>
        <v>1984</v>
      </c>
      <c r="H39" s="66" t="str">
        <f>IF(COUNTIF('Queen Discography'!$C$4:$C$22,C39)&gt;0,"Queen",
IF(COUNTIF('Queen Discography'!$D$4:$D$22,C39)&gt;0,"Queen II",
IF(COUNTIF('Queen Discography'!$E$4:$E$22,C39)&gt;0,"Sheer Heart Attack",
IF(COUNTIF('Queen Discography'!$F$4:$F$22,C39)&gt;0,"A Night At The Opera",
IF(COUNTIF('Queen Discography'!$G$4:$G$22,C39)&gt;0,"A Day At The Races",
IF(COUNTIF('Queen Discography'!$H$4:$H$22,C39)&gt;0,"News Of The World",
IF(COUNTIF('Queen Discography'!$I$4:$I$22,C39)&gt;0,"Jazz",
IF(COUNTIF('Queen Discography'!$J$4:$J$22,C39)&gt;0,"The Game",
IF(COUNTIF('Queen Discography'!$K$4:$K$22,C39)&gt;0,"Flash Gordon",
IF(COUNTIF('Queen Discography'!$L$4:$L$22,C39)&gt;0,"Hot Space",
IF(COUNTIF('Queen Discography'!$M$4:$M$22,C39)&gt;0,"The Works",
IF(COUNTIF('Queen Discography'!$N$4:$N$22,C39)&gt;0,"A Kind Of Magic",
IF(COUNTIF('Queen Discography'!$O$4:$O$22,C39)&gt;0,"The Miracle",
IF(COUNTIF('Queen Discography'!$P$4:$P$22,C39)&gt;0,"Innuendo",
IF(COUNTIF('Queen Discography'!$Q$4:$Q$22,C39)&gt;0,"Made In Heaven","NOT FOUND")))))))))))))))</f>
        <v>The Works</v>
      </c>
      <c r="I39" s="1"/>
      <c r="J39" s="1"/>
      <c r="K39" s="1"/>
      <c r="L39" s="1"/>
      <c r="M39" s="87"/>
      <c r="N39" s="87"/>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row>
    <row r="40">
      <c r="A40" s="1"/>
      <c r="C40" s="66" t="str">
        <f t="array" ref="C40">INDEX('Queen MIDI'!$C$4:$C$66,MATCH(F40,'Queen MIDI'!$D$4:$D$66,0))</f>
        <v>Who Wants to Live Forever</v>
      </c>
      <c r="D40" s="117">
        <v>4.0</v>
      </c>
      <c r="E40" s="118" t="s">
        <v>394</v>
      </c>
      <c r="F40" s="66" t="str">
        <f t="shared" si="2"/>
        <v>Who Wants to Live Forever.4.mid</v>
      </c>
      <c r="G40" s="133">
        <f>HLOOKUP(H40,'Queen Discography'!$C$2:$Q$3,2,FALSE)</f>
        <v>1986</v>
      </c>
      <c r="H40" s="66" t="str">
        <f>IF(COUNTIF('Queen Discography'!$C$4:$C$22,C40)&gt;0,"Queen",
IF(COUNTIF('Queen Discography'!$D$4:$D$22,C40)&gt;0,"Queen II",
IF(COUNTIF('Queen Discography'!$E$4:$E$22,C40)&gt;0,"Sheer Heart Attack",
IF(COUNTIF('Queen Discography'!$F$4:$F$22,C40)&gt;0,"A Night At The Opera",
IF(COUNTIF('Queen Discography'!$G$4:$G$22,C40)&gt;0,"A Day At The Races",
IF(COUNTIF('Queen Discography'!$H$4:$H$22,C40)&gt;0,"News Of The World",
IF(COUNTIF('Queen Discography'!$I$4:$I$22,C40)&gt;0,"Jazz",
IF(COUNTIF('Queen Discography'!$J$4:$J$22,C40)&gt;0,"The Game",
IF(COUNTIF('Queen Discography'!$K$4:$K$22,C40)&gt;0,"Flash Gordon",
IF(COUNTIF('Queen Discography'!$L$4:$L$22,C40)&gt;0,"Hot Space",
IF(COUNTIF('Queen Discography'!$M$4:$M$22,C40)&gt;0,"The Works",
IF(COUNTIF('Queen Discography'!$N$4:$N$22,C40)&gt;0,"A Kind Of Magic",
IF(COUNTIF('Queen Discography'!$O$4:$O$22,C40)&gt;0,"The Miracle",
IF(COUNTIF('Queen Discography'!$P$4:$P$22,C40)&gt;0,"Innuendo",
IF(COUNTIF('Queen Discography'!$Q$4:$Q$22,C40)&gt;0,"Made In Heaven","NOT FOUND")))))))))))))))</f>
        <v>A Kind Of Magic</v>
      </c>
      <c r="I40" s="1"/>
      <c r="J40" s="1"/>
      <c r="K40" s="1"/>
      <c r="L40" s="1"/>
      <c r="M40" s="87"/>
      <c r="N40" s="87"/>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row>
    <row r="41">
      <c r="A41" s="1"/>
      <c r="C41" s="66" t="str">
        <f t="array" ref="C41">INDEX('Queen MIDI'!$C$4:$C$66,MATCH(F41,'Queen MIDI'!$D$4:$D$66,0))</f>
        <v>I Want It All</v>
      </c>
      <c r="D41" s="117">
        <v>4.0</v>
      </c>
      <c r="E41" s="118" t="s">
        <v>395</v>
      </c>
      <c r="F41" s="66" t="str">
        <f t="shared" si="2"/>
        <v>I Want It All.mid</v>
      </c>
      <c r="G41" s="125">
        <f>HLOOKUP(H41,'Queen Discography'!$C$2:$Q$3,2,FALSE)</f>
        <v>1989</v>
      </c>
      <c r="H41" s="66" t="str">
        <f>IF(COUNTIF('Queen Discography'!$C$4:$C$22,C41)&gt;0,"Queen",
IF(COUNTIF('Queen Discography'!$D$4:$D$22,C41)&gt;0,"Queen II",
IF(COUNTIF('Queen Discography'!$E$4:$E$22,C41)&gt;0,"Sheer Heart Attack",
IF(COUNTIF('Queen Discography'!$F$4:$F$22,C41)&gt;0,"A Night At The Opera",
IF(COUNTIF('Queen Discography'!$G$4:$G$22,C41)&gt;0,"A Day At The Races",
IF(COUNTIF('Queen Discography'!$H$4:$H$22,C41)&gt;0,"News Of The World",
IF(COUNTIF('Queen Discography'!$I$4:$I$22,C41)&gt;0,"Jazz",
IF(COUNTIF('Queen Discography'!$J$4:$J$22,C41)&gt;0,"The Game",
IF(COUNTIF('Queen Discography'!$K$4:$K$22,C41)&gt;0,"Flash Gordon",
IF(COUNTIF('Queen Discography'!$L$4:$L$22,C41)&gt;0,"Hot Space",
IF(COUNTIF('Queen Discography'!$M$4:$M$22,C41)&gt;0,"The Works",
IF(COUNTIF('Queen Discography'!$N$4:$N$22,C41)&gt;0,"A Kind Of Magic",
IF(COUNTIF('Queen Discography'!$O$4:$O$22,C41)&gt;0,"The Miracle",
IF(COUNTIF('Queen Discography'!$P$4:$P$22,C41)&gt;0,"Innuendo",
IF(COUNTIF('Queen Discography'!$Q$4:$Q$22,C41)&gt;0,"Made In Heaven","NOT FOUND")))))))))))))))</f>
        <v>The Miracle</v>
      </c>
      <c r="I41" s="1"/>
      <c r="J41" s="1"/>
      <c r="K41" s="1"/>
      <c r="L41" s="1"/>
      <c r="M41" s="87"/>
      <c r="N41" s="87"/>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row>
    <row r="42">
      <c r="A42" s="1"/>
      <c r="C42" s="66" t="str">
        <f t="array" ref="C42">INDEX('Queen MIDI'!$C$4:$C$66,MATCH(F42,'Queen MIDI'!$D$4:$D$66,0))</f>
        <v>Scandal</v>
      </c>
      <c r="D42" s="117">
        <v>4.0</v>
      </c>
      <c r="E42" s="118" t="s">
        <v>397</v>
      </c>
      <c r="F42" s="66" t="str">
        <f t="shared" si="2"/>
        <v>Scandal.mid</v>
      </c>
      <c r="G42" s="128">
        <f>HLOOKUP(H42,'Queen Discography'!$C$2:$Q$3,2,FALSE)</f>
        <v>1989</v>
      </c>
      <c r="H42" s="66" t="str">
        <f>IF(COUNTIF('Queen Discography'!$C$4:$C$22,C42)&gt;0,"Queen",
IF(COUNTIF('Queen Discography'!$D$4:$D$22,C42)&gt;0,"Queen II",
IF(COUNTIF('Queen Discography'!$E$4:$E$22,C42)&gt;0,"Sheer Heart Attack",
IF(COUNTIF('Queen Discography'!$F$4:$F$22,C42)&gt;0,"A Night At The Opera",
IF(COUNTIF('Queen Discography'!$G$4:$G$22,C42)&gt;0,"A Day At The Races",
IF(COUNTIF('Queen Discography'!$H$4:$H$22,C42)&gt;0,"News Of The World",
IF(COUNTIF('Queen Discography'!$I$4:$I$22,C42)&gt;0,"Jazz",
IF(COUNTIF('Queen Discography'!$J$4:$J$22,C42)&gt;0,"The Game",
IF(COUNTIF('Queen Discography'!$K$4:$K$22,C42)&gt;0,"Flash Gordon",
IF(COUNTIF('Queen Discography'!$L$4:$L$22,C42)&gt;0,"Hot Space",
IF(COUNTIF('Queen Discography'!$M$4:$M$22,C42)&gt;0,"The Works",
IF(COUNTIF('Queen Discography'!$N$4:$N$22,C42)&gt;0,"A Kind Of Magic",
IF(COUNTIF('Queen Discography'!$O$4:$O$22,C42)&gt;0,"The Miracle",
IF(COUNTIF('Queen Discography'!$P$4:$P$22,C42)&gt;0,"Innuendo",
IF(COUNTIF('Queen Discography'!$Q$4:$Q$22,C42)&gt;0,"Made In Heaven","NOT FOUND")))))))))))))))</f>
        <v>The Miracle</v>
      </c>
      <c r="I42" s="1"/>
      <c r="J42" s="1"/>
      <c r="K42" s="1"/>
      <c r="L42" s="1"/>
      <c r="M42" s="87"/>
      <c r="N42" s="87"/>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row>
    <row r="43">
      <c r="A43" s="1"/>
      <c r="C43" s="66" t="str">
        <f t="array" ref="C43">INDEX('Queen MIDI'!$C$4:$C$66,MATCH(F43,'Queen MIDI'!$D$4:$D$66,0))</f>
        <v>The Invisible Man</v>
      </c>
      <c r="D43" s="117">
        <v>4.0</v>
      </c>
      <c r="E43" s="118" t="s">
        <v>398</v>
      </c>
      <c r="F43" s="66" t="str">
        <f t="shared" si="2"/>
        <v>The Invisible Man.mid</v>
      </c>
      <c r="G43" s="120">
        <f>HLOOKUP(H43,'Queen Discography'!$C$2:$Q$3,2,FALSE)</f>
        <v>1989</v>
      </c>
      <c r="H43" s="66" t="str">
        <f>IF(COUNTIF('Queen Discography'!$C$4:$C$22,C43)&gt;0,"Queen",
IF(COUNTIF('Queen Discography'!$D$4:$D$22,C43)&gt;0,"Queen II",
IF(COUNTIF('Queen Discography'!$E$4:$E$22,C43)&gt;0,"Sheer Heart Attack",
IF(COUNTIF('Queen Discography'!$F$4:$F$22,C43)&gt;0,"A Night At The Opera",
IF(COUNTIF('Queen Discography'!$G$4:$G$22,C43)&gt;0,"A Day At The Races",
IF(COUNTIF('Queen Discography'!$H$4:$H$22,C43)&gt;0,"News Of The World",
IF(COUNTIF('Queen Discography'!$I$4:$I$22,C43)&gt;0,"Jazz",
IF(COUNTIF('Queen Discography'!$J$4:$J$22,C43)&gt;0,"The Game",
IF(COUNTIF('Queen Discography'!$K$4:$K$22,C43)&gt;0,"Flash Gordon",
IF(COUNTIF('Queen Discography'!$L$4:$L$22,C43)&gt;0,"Hot Space",
IF(COUNTIF('Queen Discography'!$M$4:$M$22,C43)&gt;0,"The Works",
IF(COUNTIF('Queen Discography'!$N$4:$N$22,C43)&gt;0,"A Kind Of Magic",
IF(COUNTIF('Queen Discography'!$O$4:$O$22,C43)&gt;0,"The Miracle",
IF(COUNTIF('Queen Discography'!$P$4:$P$22,C43)&gt;0,"Innuendo",
IF(COUNTIF('Queen Discography'!$Q$4:$Q$22,C43)&gt;0,"Made In Heaven","NOT FOUND")))))))))))))))</f>
        <v>The Miracle</v>
      </c>
      <c r="I43" s="1"/>
      <c r="J43" s="1"/>
      <c r="K43" s="1"/>
      <c r="L43" s="1"/>
      <c r="M43" s="87"/>
      <c r="N43" s="87"/>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row>
    <row r="44">
      <c r="A44" s="1"/>
      <c r="C44" s="66" t="str">
        <f t="array" ref="C44">INDEX('Queen MIDI'!$C$4:$C$66,MATCH(F44,'Queen MIDI'!$D$4:$D$66,0))</f>
        <v>Don't Try So Hard</v>
      </c>
      <c r="D44" s="117">
        <v>4.0</v>
      </c>
      <c r="E44" s="118" t="s">
        <v>402</v>
      </c>
      <c r="F44" s="66" t="str">
        <f t="shared" si="2"/>
        <v>Don_t Try So Hard.2.mid</v>
      </c>
      <c r="G44" s="119">
        <f>HLOOKUP(H44,'Queen Discography'!$C$2:$Q$3,2,FALSE)</f>
        <v>1991</v>
      </c>
      <c r="H44" s="66" t="str">
        <f>IF(COUNTIF('Queen Discography'!$C$4:$C$22,C44)&gt;0,"Queen",
IF(COUNTIF('Queen Discography'!$D$4:$D$22,C44)&gt;0,"Queen II",
IF(COUNTIF('Queen Discography'!$E$4:$E$22,C44)&gt;0,"Sheer Heart Attack",
IF(COUNTIF('Queen Discography'!$F$4:$F$22,C44)&gt;0,"A Night At The Opera",
IF(COUNTIF('Queen Discography'!$G$4:$G$22,C44)&gt;0,"A Day At The Races",
IF(COUNTIF('Queen Discography'!$H$4:$H$22,C44)&gt;0,"News Of The World",
IF(COUNTIF('Queen Discography'!$I$4:$I$22,C44)&gt;0,"Jazz",
IF(COUNTIF('Queen Discography'!$J$4:$J$22,C44)&gt;0,"The Game",
IF(COUNTIF('Queen Discography'!$K$4:$K$22,C44)&gt;0,"Flash Gordon",
IF(COUNTIF('Queen Discography'!$L$4:$L$22,C44)&gt;0,"Hot Space",
IF(COUNTIF('Queen Discography'!$M$4:$M$22,C44)&gt;0,"The Works",
IF(COUNTIF('Queen Discography'!$N$4:$N$22,C44)&gt;0,"A Kind Of Magic",
IF(COUNTIF('Queen Discography'!$O$4:$O$22,C44)&gt;0,"The Miracle",
IF(COUNTIF('Queen Discography'!$P$4:$P$22,C44)&gt;0,"Innuendo",
IF(COUNTIF('Queen Discography'!$Q$4:$Q$22,C44)&gt;0,"Made In Heaven","NOT FOUND")))))))))))))))</f>
        <v>Innuendo</v>
      </c>
      <c r="I44" s="1"/>
      <c r="J44" s="1"/>
      <c r="K44" s="1"/>
      <c r="L44" s="1"/>
      <c r="M44" s="87"/>
      <c r="N44" s="87"/>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row>
    <row r="45">
      <c r="A45" s="1"/>
      <c r="C45" s="66" t="str">
        <f t="array" ref="C45">INDEX('Queen MIDI'!$C$4:$C$66,MATCH(F45,'Queen MIDI'!$D$4:$D$66,0))</f>
        <v>I Can't Live With You</v>
      </c>
      <c r="D45" s="117">
        <v>4.0</v>
      </c>
      <c r="E45" s="118" t="s">
        <v>404</v>
      </c>
      <c r="F45" s="66" t="str">
        <f t="shared" si="2"/>
        <v>I Can_t Live With You.1.mid</v>
      </c>
      <c r="G45" s="125">
        <f>HLOOKUP(H45,'Queen Discography'!$C$2:$Q$3,2,FALSE)</f>
        <v>1991</v>
      </c>
      <c r="H45" s="66" t="str">
        <f>IF(COUNTIF('Queen Discography'!$C$4:$C$22,C45)&gt;0,"Queen",
IF(COUNTIF('Queen Discography'!$D$4:$D$22,C45)&gt;0,"Queen II",
IF(COUNTIF('Queen Discography'!$E$4:$E$22,C45)&gt;0,"Sheer Heart Attack",
IF(COUNTIF('Queen Discography'!$F$4:$F$22,C45)&gt;0,"A Night At The Opera",
IF(COUNTIF('Queen Discography'!$G$4:$G$22,C45)&gt;0,"A Day At The Races",
IF(COUNTIF('Queen Discography'!$H$4:$H$22,C45)&gt;0,"News Of The World",
IF(COUNTIF('Queen Discography'!$I$4:$I$22,C45)&gt;0,"Jazz",
IF(COUNTIF('Queen Discography'!$J$4:$J$22,C45)&gt;0,"The Game",
IF(COUNTIF('Queen Discography'!$K$4:$K$22,C45)&gt;0,"Flash Gordon",
IF(COUNTIF('Queen Discography'!$L$4:$L$22,C45)&gt;0,"Hot Space",
IF(COUNTIF('Queen Discography'!$M$4:$M$22,C45)&gt;0,"The Works",
IF(COUNTIF('Queen Discography'!$N$4:$N$22,C45)&gt;0,"A Kind Of Magic",
IF(COUNTIF('Queen Discography'!$O$4:$O$22,C45)&gt;0,"The Miracle",
IF(COUNTIF('Queen Discography'!$P$4:$P$22,C45)&gt;0,"Innuendo",
IF(COUNTIF('Queen Discography'!$Q$4:$Q$22,C45)&gt;0,"Made In Heaven","NOT FOUND")))))))))))))))</f>
        <v>Innuendo</v>
      </c>
      <c r="I45" s="1"/>
      <c r="J45" s="1"/>
      <c r="K45" s="1"/>
      <c r="L45" s="1"/>
      <c r="M45" s="87"/>
      <c r="N45" s="87"/>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row>
    <row r="46">
      <c r="A46" s="1"/>
      <c r="C46" s="66" t="str">
        <f t="array" ref="C46">INDEX('Queen MIDI'!$C$4:$C$66,MATCH(F46,'Queen MIDI'!$D$4:$D$66,0))</f>
        <v>These Are the Days of Our Lives</v>
      </c>
      <c r="D46" s="117">
        <v>4.0</v>
      </c>
      <c r="E46" s="118" t="s">
        <v>408</v>
      </c>
      <c r="F46" s="66" t="str">
        <f t="shared" si="2"/>
        <v>These Are the Days of Our Lives.3.mid</v>
      </c>
      <c r="G46" s="124">
        <f>HLOOKUP(H46,'Queen Discography'!$C$2:$Q$3,2,FALSE)</f>
        <v>1991</v>
      </c>
      <c r="H46" s="66" t="str">
        <f>IF(COUNTIF('Queen Discography'!$C$4:$C$22,C46)&gt;0,"Queen",
IF(COUNTIF('Queen Discography'!$D$4:$D$22,C46)&gt;0,"Queen II",
IF(COUNTIF('Queen Discography'!$E$4:$E$22,C46)&gt;0,"Sheer Heart Attack",
IF(COUNTIF('Queen Discography'!$F$4:$F$22,C46)&gt;0,"A Night At The Opera",
IF(COUNTIF('Queen Discography'!$G$4:$G$22,C46)&gt;0,"A Day At The Races",
IF(COUNTIF('Queen Discography'!$H$4:$H$22,C46)&gt;0,"News Of The World",
IF(COUNTIF('Queen Discography'!$I$4:$I$22,C46)&gt;0,"Jazz",
IF(COUNTIF('Queen Discography'!$J$4:$J$22,C46)&gt;0,"The Game",
IF(COUNTIF('Queen Discography'!$K$4:$K$22,C46)&gt;0,"Flash Gordon",
IF(COUNTIF('Queen Discography'!$L$4:$L$22,C46)&gt;0,"Hot Space",
IF(COUNTIF('Queen Discography'!$M$4:$M$22,C46)&gt;0,"The Works",
IF(COUNTIF('Queen Discography'!$N$4:$N$22,C46)&gt;0,"A Kind Of Magic",
IF(COUNTIF('Queen Discography'!$O$4:$O$22,C46)&gt;0,"The Miracle",
IF(COUNTIF('Queen Discography'!$P$4:$P$22,C46)&gt;0,"Innuendo",
IF(COUNTIF('Queen Discography'!$Q$4:$Q$22,C46)&gt;0,"Made In Heaven","NOT FOUND")))))))))))))))</f>
        <v>Innuendo</v>
      </c>
      <c r="I46" s="1"/>
      <c r="J46" s="1"/>
      <c r="K46" s="1"/>
      <c r="L46" s="1"/>
      <c r="M46" s="87"/>
      <c r="N46" s="87"/>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row>
    <row r="47">
      <c r="A47" s="1"/>
      <c r="C47" s="66" t="str">
        <f t="array" ref="C47">INDEX('Queen MIDI'!$C$4:$C$66,MATCH(F47,'Queen MIDI'!$D$4:$D$66,0))</f>
        <v>Heaven for Everyone</v>
      </c>
      <c r="D47" s="117">
        <v>4.0</v>
      </c>
      <c r="E47" s="118" t="s">
        <v>409</v>
      </c>
      <c r="F47" s="66" t="str">
        <f t="shared" si="2"/>
        <v>Heaven for Everyone.mid</v>
      </c>
      <c r="G47" s="122">
        <f>HLOOKUP(H47,'Queen Discography'!$C$2:$Q$3,2,FALSE)</f>
        <v>1995</v>
      </c>
      <c r="H47" s="66" t="str">
        <f>IF(COUNTIF('Queen Discography'!$C$4:$C$22,C47)&gt;0,"Queen",
IF(COUNTIF('Queen Discography'!$D$4:$D$22,C47)&gt;0,"Queen II",
IF(COUNTIF('Queen Discography'!$E$4:$E$22,C47)&gt;0,"Sheer Heart Attack",
IF(COUNTIF('Queen Discography'!$F$4:$F$22,C47)&gt;0,"A Night At The Opera",
IF(COUNTIF('Queen Discography'!$G$4:$G$22,C47)&gt;0,"A Day At The Races",
IF(COUNTIF('Queen Discography'!$H$4:$H$22,C47)&gt;0,"News Of The World",
IF(COUNTIF('Queen Discography'!$I$4:$I$22,C47)&gt;0,"Jazz",
IF(COUNTIF('Queen Discography'!$J$4:$J$22,C47)&gt;0,"The Game",
IF(COUNTIF('Queen Discography'!$K$4:$K$22,C47)&gt;0,"Flash Gordon",
IF(COUNTIF('Queen Discography'!$L$4:$L$22,C47)&gt;0,"Hot Space",
IF(COUNTIF('Queen Discography'!$M$4:$M$22,C47)&gt;0,"The Works",
IF(COUNTIF('Queen Discography'!$N$4:$N$22,C47)&gt;0,"A Kind Of Magic",
IF(COUNTIF('Queen Discography'!$O$4:$O$22,C47)&gt;0,"The Miracle",
IF(COUNTIF('Queen Discography'!$P$4:$P$22,C47)&gt;0,"Innuendo",
IF(COUNTIF('Queen Discography'!$Q$4:$Q$22,C47)&gt;0,"Made In Heaven","NOT FOUND")))))))))))))))</f>
        <v>Made In Heaven</v>
      </c>
      <c r="I47" s="1"/>
      <c r="J47" s="1"/>
      <c r="K47" s="1"/>
      <c r="L47" s="1"/>
      <c r="M47" s="87"/>
      <c r="N47" s="87"/>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row>
    <row r="48">
      <c r="A48" s="1"/>
      <c r="C48" s="66" t="str">
        <f t="array" ref="C48">INDEX('Queen MIDI'!$C$4:$C$66,MATCH(F48,'Queen MIDI'!$D$4:$D$66,0))</f>
        <v>I Was Born to Love You</v>
      </c>
      <c r="D48" s="117">
        <v>4.0</v>
      </c>
      <c r="E48" s="118" t="s">
        <v>410</v>
      </c>
      <c r="F48" s="66" t="str">
        <f t="shared" si="2"/>
        <v>I Was Born to Love You.mid</v>
      </c>
      <c r="G48" s="125">
        <f>HLOOKUP(H48,'Queen Discography'!$C$2:$Q$3,2,FALSE)</f>
        <v>1995</v>
      </c>
      <c r="H48" s="66" t="str">
        <f>IF(COUNTIF('Queen Discography'!$C$4:$C$22,C48)&gt;0,"Queen",
IF(COUNTIF('Queen Discography'!$D$4:$D$22,C48)&gt;0,"Queen II",
IF(COUNTIF('Queen Discography'!$E$4:$E$22,C48)&gt;0,"Sheer Heart Attack",
IF(COUNTIF('Queen Discography'!$F$4:$F$22,C48)&gt;0,"A Night At The Opera",
IF(COUNTIF('Queen Discography'!$G$4:$G$22,C48)&gt;0,"A Day At The Races",
IF(COUNTIF('Queen Discography'!$H$4:$H$22,C48)&gt;0,"News Of The World",
IF(COUNTIF('Queen Discography'!$I$4:$I$22,C48)&gt;0,"Jazz",
IF(COUNTIF('Queen Discography'!$J$4:$J$22,C48)&gt;0,"The Game",
IF(COUNTIF('Queen Discography'!$K$4:$K$22,C48)&gt;0,"Flash Gordon",
IF(COUNTIF('Queen Discography'!$L$4:$L$22,C48)&gt;0,"Hot Space",
IF(COUNTIF('Queen Discography'!$M$4:$M$22,C48)&gt;0,"The Works",
IF(COUNTIF('Queen Discography'!$N$4:$N$22,C48)&gt;0,"A Kind Of Magic",
IF(COUNTIF('Queen Discography'!$O$4:$O$22,C48)&gt;0,"The Miracle",
IF(COUNTIF('Queen Discography'!$P$4:$P$22,C48)&gt;0,"Innuendo",
IF(COUNTIF('Queen Discography'!$Q$4:$Q$22,C48)&gt;0,"Made In Heaven","NOT FOUND")))))))))))))))</f>
        <v>Made In Heaven</v>
      </c>
      <c r="I48" s="1"/>
      <c r="J48" s="1"/>
      <c r="K48" s="1"/>
      <c r="L48" s="1"/>
      <c r="M48" s="87"/>
      <c r="N48" s="87"/>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row>
    <row r="49">
      <c r="A49" s="1"/>
      <c r="C49" s="66" t="str">
        <f t="array" ref="C49">INDEX('Queen MIDI'!$C$4:$C$66,MATCH(F49,'Queen MIDI'!$D$4:$D$66,0))</f>
        <v>Made in Heaven</v>
      </c>
      <c r="D49" s="117">
        <v>4.0</v>
      </c>
      <c r="E49" s="118" t="s">
        <v>411</v>
      </c>
      <c r="F49" s="66" t="str">
        <f t="shared" si="2"/>
        <v>Made in Heaven.mid</v>
      </c>
      <c r="G49" s="131">
        <f>HLOOKUP(H49,'Queen Discography'!$C$2:$Q$3,2,FALSE)</f>
        <v>1995</v>
      </c>
      <c r="H49" s="66" t="str">
        <f>IF(COUNTIF('Queen Discography'!$C$4:$C$22,C49)&gt;0,"Queen",
IF(COUNTIF('Queen Discography'!$D$4:$D$22,C49)&gt;0,"Queen II",
IF(COUNTIF('Queen Discography'!$E$4:$E$22,C49)&gt;0,"Sheer Heart Attack",
IF(COUNTIF('Queen Discography'!$F$4:$F$22,C49)&gt;0,"A Night At The Opera",
IF(COUNTIF('Queen Discography'!$G$4:$G$22,C49)&gt;0,"A Day At The Races",
IF(COUNTIF('Queen Discography'!$H$4:$H$22,C49)&gt;0,"News Of The World",
IF(COUNTIF('Queen Discography'!$I$4:$I$22,C49)&gt;0,"Jazz",
IF(COUNTIF('Queen Discography'!$J$4:$J$22,C49)&gt;0,"The Game",
IF(COUNTIF('Queen Discography'!$K$4:$K$22,C49)&gt;0,"Flash Gordon",
IF(COUNTIF('Queen Discography'!$L$4:$L$22,C49)&gt;0,"Hot Space",
IF(COUNTIF('Queen Discography'!$M$4:$M$22,C49)&gt;0,"The Works",
IF(COUNTIF('Queen Discography'!$N$4:$N$22,C49)&gt;0,"A Kind Of Magic",
IF(COUNTIF('Queen Discography'!$O$4:$O$22,C49)&gt;0,"The Miracle",
IF(COUNTIF('Queen Discography'!$P$4:$P$22,C49)&gt;0,"Innuendo",
IF(COUNTIF('Queen Discography'!$Q$4:$Q$22,C49)&gt;0,"Made In Heaven","NOT FOUND")))))))))))))))</f>
        <v>Made In Heaven</v>
      </c>
      <c r="I49" s="1"/>
      <c r="J49" s="1"/>
      <c r="K49" s="1"/>
      <c r="L49" s="1"/>
      <c r="M49" s="87"/>
      <c r="N49" s="87"/>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row>
    <row r="50">
      <c r="A50" s="1"/>
      <c r="C50" s="66" t="str">
        <f t="array" ref="C50">INDEX('Queen MIDI'!$C$4:$C$66,MATCH(F50,'Queen MIDI'!$D$4:$D$66,0))</f>
        <v>Mother Love</v>
      </c>
      <c r="D50" s="117">
        <v>4.0</v>
      </c>
      <c r="E50" s="118" t="s">
        <v>412</v>
      </c>
      <c r="F50" s="66" t="str">
        <f t="shared" si="2"/>
        <v>Mother Love.mid</v>
      </c>
      <c r="G50" s="120">
        <f>HLOOKUP(H50,'Queen Discography'!$C$2:$Q$3,2,FALSE)</f>
        <v>1995</v>
      </c>
      <c r="H50" s="66" t="str">
        <f>IF(COUNTIF('Queen Discography'!$C$4:$C$22,C50)&gt;0,"Queen",
IF(COUNTIF('Queen Discography'!$D$4:$D$22,C50)&gt;0,"Queen II",
IF(COUNTIF('Queen Discography'!$E$4:$E$22,C50)&gt;0,"Sheer Heart Attack",
IF(COUNTIF('Queen Discography'!$F$4:$F$22,C50)&gt;0,"A Night At The Opera",
IF(COUNTIF('Queen Discography'!$G$4:$G$22,C50)&gt;0,"A Day At The Races",
IF(COUNTIF('Queen Discography'!$H$4:$H$22,C50)&gt;0,"News Of The World",
IF(COUNTIF('Queen Discography'!$I$4:$I$22,C50)&gt;0,"Jazz",
IF(COUNTIF('Queen Discography'!$J$4:$J$22,C50)&gt;0,"The Game",
IF(COUNTIF('Queen Discography'!$K$4:$K$22,C50)&gt;0,"Flash Gordon",
IF(COUNTIF('Queen Discography'!$L$4:$L$22,C50)&gt;0,"Hot Space",
IF(COUNTIF('Queen Discography'!$M$4:$M$22,C50)&gt;0,"The Works",
IF(COUNTIF('Queen Discography'!$N$4:$N$22,C50)&gt;0,"A Kind Of Magic",
IF(COUNTIF('Queen Discography'!$O$4:$O$22,C50)&gt;0,"The Miracle",
IF(COUNTIF('Queen Discography'!$P$4:$P$22,C50)&gt;0,"Innuendo",
IF(COUNTIF('Queen Discography'!$Q$4:$Q$22,C50)&gt;0,"Made In Heaven","NOT FOUND")))))))))))))))</f>
        <v>Made In Heaven</v>
      </c>
      <c r="I50" s="1"/>
      <c r="J50" s="1"/>
      <c r="K50" s="1"/>
      <c r="L50" s="1"/>
      <c r="M50" s="87"/>
      <c r="N50" s="87"/>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c r="A51" s="1"/>
      <c r="C51" s="66" t="str">
        <f t="array" ref="C51">INDEX('Queen MIDI'!$C$4:$C$66,MATCH(F51,'Queen MIDI'!$D$4:$D$66,0))</f>
        <v>My Life Has Been Saved</v>
      </c>
      <c r="D51" s="117">
        <v>4.0</v>
      </c>
      <c r="E51" s="118" t="s">
        <v>413</v>
      </c>
      <c r="F51" s="66" t="str">
        <f t="shared" si="2"/>
        <v>My Life Has Been Saved.mid</v>
      </c>
      <c r="G51" s="120">
        <f>HLOOKUP(H51,'Queen Discography'!$C$2:$Q$3,2,FALSE)</f>
        <v>1995</v>
      </c>
      <c r="H51" s="66" t="str">
        <f>IF(COUNTIF('Queen Discography'!$C$4:$C$22,C51)&gt;0,"Queen",
IF(COUNTIF('Queen Discography'!$D$4:$D$22,C51)&gt;0,"Queen II",
IF(COUNTIF('Queen Discography'!$E$4:$E$22,C51)&gt;0,"Sheer Heart Attack",
IF(COUNTIF('Queen Discography'!$F$4:$F$22,C51)&gt;0,"A Night At The Opera",
IF(COUNTIF('Queen Discography'!$G$4:$G$22,C51)&gt;0,"A Day At The Races",
IF(COUNTIF('Queen Discography'!$H$4:$H$22,C51)&gt;0,"News Of The World",
IF(COUNTIF('Queen Discography'!$I$4:$I$22,C51)&gt;0,"Jazz",
IF(COUNTIF('Queen Discography'!$J$4:$J$22,C51)&gt;0,"The Game",
IF(COUNTIF('Queen Discography'!$K$4:$K$22,C51)&gt;0,"Flash Gordon",
IF(COUNTIF('Queen Discography'!$L$4:$L$22,C51)&gt;0,"Hot Space",
IF(COUNTIF('Queen Discography'!$M$4:$M$22,C51)&gt;0,"The Works",
IF(COUNTIF('Queen Discography'!$N$4:$N$22,C51)&gt;0,"A Kind Of Magic",
IF(COUNTIF('Queen Discography'!$O$4:$O$22,C51)&gt;0,"The Miracle",
IF(COUNTIF('Queen Discography'!$P$4:$P$22,C51)&gt;0,"Innuendo",
IF(COUNTIF('Queen Discography'!$Q$4:$Q$22,C51)&gt;0,"Made In Heaven","NOT FOUND")))))))))))))))</f>
        <v>Made In Heaven</v>
      </c>
      <c r="I51" s="1"/>
      <c r="J51" s="1"/>
      <c r="K51" s="1"/>
      <c r="L51" s="1"/>
      <c r="M51" s="87"/>
      <c r="N51" s="87"/>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row>
    <row r="52">
      <c r="A52" s="1"/>
      <c r="C52" s="66" t="str">
        <f t="array" ref="C52">INDEX('Queen MIDI'!$C$4:$C$66,MATCH(F52,'Queen MIDI'!$D$4:$D$66,0))</f>
        <v>Too Much Love Will Kill You</v>
      </c>
      <c r="D52" s="117">
        <v>4.0</v>
      </c>
      <c r="E52" s="118" t="s">
        <v>414</v>
      </c>
      <c r="F52" s="66" t="str">
        <f t="shared" si="2"/>
        <v>Too Much Love Will Kill You.3.mid</v>
      </c>
      <c r="G52" s="124">
        <f>HLOOKUP(H52,'Queen Discography'!$C$2:$Q$3,2,FALSE)</f>
        <v>1995</v>
      </c>
      <c r="H52" s="66" t="str">
        <f>IF(COUNTIF('Queen Discography'!$C$4:$C$22,C52)&gt;0,"Queen",
IF(COUNTIF('Queen Discography'!$D$4:$D$22,C52)&gt;0,"Queen II",
IF(COUNTIF('Queen Discography'!$E$4:$E$22,C52)&gt;0,"Sheer Heart Attack",
IF(COUNTIF('Queen Discography'!$F$4:$F$22,C52)&gt;0,"A Night At The Opera",
IF(COUNTIF('Queen Discography'!$G$4:$G$22,C52)&gt;0,"A Day At The Races",
IF(COUNTIF('Queen Discography'!$H$4:$H$22,C52)&gt;0,"News Of The World",
IF(COUNTIF('Queen Discography'!$I$4:$I$22,C52)&gt;0,"Jazz",
IF(COUNTIF('Queen Discography'!$J$4:$J$22,C52)&gt;0,"The Game",
IF(COUNTIF('Queen Discography'!$K$4:$K$22,C52)&gt;0,"Flash Gordon",
IF(COUNTIF('Queen Discography'!$L$4:$L$22,C52)&gt;0,"Hot Space",
IF(COUNTIF('Queen Discography'!$M$4:$M$22,C52)&gt;0,"The Works",
IF(COUNTIF('Queen Discography'!$N$4:$N$22,C52)&gt;0,"A Kind Of Magic",
IF(COUNTIF('Queen Discography'!$O$4:$O$22,C52)&gt;0,"The Miracle",
IF(COUNTIF('Queen Discography'!$P$4:$P$22,C52)&gt;0,"Innuendo",
IF(COUNTIF('Queen Discography'!$Q$4:$Q$22,C52)&gt;0,"Made In Heaven","NOT FOUND")))))))))))))))</f>
        <v>Made In Heaven</v>
      </c>
      <c r="I52" s="1"/>
      <c r="J52" s="1"/>
      <c r="K52" s="1"/>
      <c r="L52" s="1"/>
      <c r="M52" s="87"/>
      <c r="N52" s="87"/>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row>
    <row r="53">
      <c r="A53" s="1"/>
      <c r="C53" s="66" t="str">
        <f t="array" ref="C53">INDEX('Queen MIDI'!$C$4:$C$66,MATCH(F53,'Queen MIDI'!$D$4:$D$66,0))</f>
        <v>Living on My Own</v>
      </c>
      <c r="D53" s="117">
        <v>4.0</v>
      </c>
      <c r="E53" s="118" t="s">
        <v>416</v>
      </c>
      <c r="F53" s="66" t="str">
        <f t="shared" si="2"/>
        <v>Living on My Own.mid</v>
      </c>
      <c r="G53" s="132" t="str">
        <f>HLOOKUP(H53,'Queen Discography'!$C$2:$Q$3,2,FALSE)</f>
        <v>#N/A</v>
      </c>
      <c r="H53" s="66" t="str">
        <f>IF(COUNTIF('Queen Discography'!$C$4:$C$22,C53)&gt;0,"Queen",
IF(COUNTIF('Queen Discography'!$D$4:$D$22,C53)&gt;0,"Queen II",
IF(COUNTIF('Queen Discography'!$E$4:$E$22,C53)&gt;0,"Sheer Heart Attack",
IF(COUNTIF('Queen Discography'!$F$4:$F$22,C53)&gt;0,"A Night At The Opera",
IF(COUNTIF('Queen Discography'!$G$4:$G$22,C53)&gt;0,"A Day At The Races",
IF(COUNTIF('Queen Discography'!$H$4:$H$22,C53)&gt;0,"News Of The World",
IF(COUNTIF('Queen Discography'!$I$4:$I$22,C53)&gt;0,"Jazz",
IF(COUNTIF('Queen Discography'!$J$4:$J$22,C53)&gt;0,"The Game",
IF(COUNTIF('Queen Discography'!$K$4:$K$22,C53)&gt;0,"Flash Gordon",
IF(COUNTIF('Queen Discography'!$L$4:$L$22,C53)&gt;0,"Hot Space",
IF(COUNTIF('Queen Discography'!$M$4:$M$22,C53)&gt;0,"The Works",
IF(COUNTIF('Queen Discography'!$N$4:$N$22,C53)&gt;0,"A Kind Of Magic",
IF(COUNTIF('Queen Discography'!$O$4:$O$22,C53)&gt;0,"The Miracle",
IF(COUNTIF('Queen Discography'!$P$4:$P$22,C53)&gt;0,"Innuendo",
IF(COUNTIF('Queen Discography'!$Q$4:$Q$22,C53)&gt;0,"Made In Heaven","NOT FOUND")))))))))))))))</f>
        <v>NOT FOUND</v>
      </c>
      <c r="I53" s="1"/>
      <c r="J53" s="1"/>
      <c r="K53" s="1"/>
      <c r="L53" s="1"/>
      <c r="M53" s="87"/>
      <c r="N53" s="87"/>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row>
    <row r="54">
      <c r="A54" s="1"/>
      <c r="C54" s="66" t="str">
        <f t="array" ref="C54">INDEX('Queen MIDI'!$C$4:$C$66,MATCH(F54,'Queen MIDI'!$D$4:$D$66,0))</f>
        <v>My Melancholy Blues</v>
      </c>
      <c r="D54" s="117">
        <v>5.0</v>
      </c>
      <c r="E54" s="118" t="s">
        <v>373</v>
      </c>
      <c r="F54" s="66" t="str">
        <f t="shared" si="2"/>
        <v>My Melancholy Blues.mid</v>
      </c>
      <c r="G54" s="120">
        <f>HLOOKUP(H54,'Queen Discography'!$C$2:$Q$3,2,FALSE)</f>
        <v>1977</v>
      </c>
      <c r="H54" s="66" t="str">
        <f>IF(COUNTIF('Queen Discography'!$C$4:$C$22,C54)&gt;0,"Queen",
IF(COUNTIF('Queen Discography'!$D$4:$D$22,C54)&gt;0,"Queen II",
IF(COUNTIF('Queen Discography'!$E$4:$E$22,C54)&gt;0,"Sheer Heart Attack",
IF(COUNTIF('Queen Discography'!$F$4:$F$22,C54)&gt;0,"A Night At The Opera",
IF(COUNTIF('Queen Discography'!$G$4:$G$22,C54)&gt;0,"A Day At The Races",
IF(COUNTIF('Queen Discography'!$H$4:$H$22,C54)&gt;0,"News Of The World",
IF(COUNTIF('Queen Discography'!$I$4:$I$22,C54)&gt;0,"Jazz",
IF(COUNTIF('Queen Discography'!$J$4:$J$22,C54)&gt;0,"The Game",
IF(COUNTIF('Queen Discography'!$K$4:$K$22,C54)&gt;0,"Flash Gordon",
IF(COUNTIF('Queen Discography'!$L$4:$L$22,C54)&gt;0,"Hot Space",
IF(COUNTIF('Queen Discography'!$M$4:$M$22,C54)&gt;0,"The Works",
IF(COUNTIF('Queen Discography'!$N$4:$N$22,C54)&gt;0,"A Kind Of Magic",
IF(COUNTIF('Queen Discography'!$O$4:$O$22,C54)&gt;0,"The Miracle",
IF(COUNTIF('Queen Discography'!$P$4:$P$22,C54)&gt;0,"Innuendo",
IF(COUNTIF('Queen Discography'!$Q$4:$Q$22,C54)&gt;0,"Made In Heaven","NOT FOUND")))))))))))))))</f>
        <v>News Of The World</v>
      </c>
      <c r="I54" s="1"/>
      <c r="J54" s="1"/>
      <c r="K54" s="1"/>
      <c r="L54" s="1"/>
      <c r="M54" s="87"/>
      <c r="N54" s="87"/>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row>
    <row r="55">
      <c r="A55" s="1"/>
      <c r="C55" s="66" t="str">
        <f t="array" ref="C55">INDEX('Queen MIDI'!$C$4:$C$66,MATCH(F55,'Queen MIDI'!$D$4:$D$66,0))</f>
        <v>One Year of Love</v>
      </c>
      <c r="D55" s="117">
        <v>6.0</v>
      </c>
      <c r="E55" s="118" t="s">
        <v>392</v>
      </c>
      <c r="F55" s="66" t="str">
        <f t="shared" si="2"/>
        <v>One Year of Love.mid</v>
      </c>
      <c r="G55" s="120">
        <f>HLOOKUP(H55,'Queen Discography'!$C$2:$Q$3,2,FALSE)</f>
        <v>1986</v>
      </c>
      <c r="H55" s="66" t="str">
        <f>IF(COUNTIF('Queen Discography'!$C$4:$C$22,C55)&gt;0,"Queen",
IF(COUNTIF('Queen Discography'!$D$4:$D$22,C55)&gt;0,"Queen II",
IF(COUNTIF('Queen Discography'!$E$4:$E$22,C55)&gt;0,"Sheer Heart Attack",
IF(COUNTIF('Queen Discography'!$F$4:$F$22,C55)&gt;0,"A Night At The Opera",
IF(COUNTIF('Queen Discography'!$G$4:$G$22,C55)&gt;0,"A Day At The Races",
IF(COUNTIF('Queen Discography'!$H$4:$H$22,C55)&gt;0,"News Of The World",
IF(COUNTIF('Queen Discography'!$I$4:$I$22,C55)&gt;0,"Jazz",
IF(COUNTIF('Queen Discography'!$J$4:$J$22,C55)&gt;0,"The Game",
IF(COUNTIF('Queen Discography'!$K$4:$K$22,C55)&gt;0,"Flash Gordon",
IF(COUNTIF('Queen Discography'!$L$4:$L$22,C55)&gt;0,"Hot Space",
IF(COUNTIF('Queen Discography'!$M$4:$M$22,C55)&gt;0,"The Works",
IF(COUNTIF('Queen Discography'!$N$4:$N$22,C55)&gt;0,"A Kind Of Magic",
IF(COUNTIF('Queen Discography'!$O$4:$O$22,C55)&gt;0,"The Miracle",
IF(COUNTIF('Queen Discography'!$P$4:$P$22,C55)&gt;0,"Innuendo",
IF(COUNTIF('Queen Discography'!$Q$4:$Q$22,C55)&gt;0,"Made In Heaven","NOT FOUND")))))))))))))))</f>
        <v>A Kind Of Magic</v>
      </c>
      <c r="I55" s="1"/>
      <c r="J55" s="1"/>
      <c r="K55" s="1"/>
      <c r="L55" s="1"/>
      <c r="M55" s="87"/>
      <c r="N55" s="87"/>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row>
    <row r="56">
      <c r="A56" s="1"/>
      <c r="C56" s="66" t="str">
        <f t="array" ref="C56">INDEX('Queen MIDI'!$C$4:$C$66,MATCH(F56,'Queen MIDI'!$D$4:$D$66,0))</f>
        <v>Procession</v>
      </c>
      <c r="D56" s="117">
        <v>7.0</v>
      </c>
      <c r="E56" s="118" t="s">
        <v>417</v>
      </c>
      <c r="F56" s="66" t="str">
        <f t="shared" si="2"/>
        <v>Procession.mid</v>
      </c>
      <c r="G56" s="129">
        <f>HLOOKUP(H56,'Queen Discography'!$C$2:$Q$3,2,FALSE)</f>
        <v>1974</v>
      </c>
      <c r="H56" s="66" t="str">
        <f>IF(COUNTIF('Queen Discography'!$C$4:$C$22,C56)&gt;0,"Queen",
IF(COUNTIF('Queen Discography'!$D$4:$D$22,C56)&gt;0,"Queen II",
IF(COUNTIF('Queen Discography'!$E$4:$E$22,C56)&gt;0,"Sheer Heart Attack",
IF(COUNTIF('Queen Discography'!$F$4:$F$22,C56)&gt;0,"A Night At The Opera",
IF(COUNTIF('Queen Discography'!$G$4:$G$22,C56)&gt;0,"A Day At The Races",
IF(COUNTIF('Queen Discography'!$H$4:$H$22,C56)&gt;0,"News Of The World",
IF(COUNTIF('Queen Discography'!$I$4:$I$22,C56)&gt;0,"Jazz",
IF(COUNTIF('Queen Discography'!$J$4:$J$22,C56)&gt;0,"The Game",
IF(COUNTIF('Queen Discography'!$K$4:$K$22,C56)&gt;0,"Flash Gordon",
IF(COUNTIF('Queen Discography'!$L$4:$L$22,C56)&gt;0,"Hot Space",
IF(COUNTIF('Queen Discography'!$M$4:$M$22,C56)&gt;0,"The Works",
IF(COUNTIF('Queen Discography'!$N$4:$N$22,C56)&gt;0,"A Kind Of Magic",
IF(COUNTIF('Queen Discography'!$O$4:$O$22,C56)&gt;0,"The Miracle",
IF(COUNTIF('Queen Discography'!$P$4:$P$22,C56)&gt;0,"Innuendo",
IF(COUNTIF('Queen Discography'!$Q$4:$Q$22,C56)&gt;0,"Made In Heaven","NOT FOUND")))))))))))))))</f>
        <v>Queen II</v>
      </c>
      <c r="I56" s="1"/>
      <c r="J56" s="1"/>
      <c r="K56" s="1"/>
      <c r="L56" s="1"/>
      <c r="M56" s="87"/>
      <c r="N56" s="87"/>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row>
    <row r="57">
      <c r="A57" s="1"/>
      <c r="C57" s="66" t="str">
        <f t="array" ref="C57">INDEX('Queen MIDI'!$C$4:$C$66,MATCH(F57,'Queen MIDI'!$D$4:$D$66,0))</f>
        <v>Save Me</v>
      </c>
      <c r="D57" s="117">
        <v>8.0</v>
      </c>
      <c r="E57" s="118" t="s">
        <v>384</v>
      </c>
      <c r="F57" s="66" t="str">
        <f t="shared" si="2"/>
        <v>Save Me.2.mid</v>
      </c>
      <c r="G57" s="128">
        <f>HLOOKUP(H57,'Queen Discography'!$C$2:$Q$3,2,FALSE)</f>
        <v>1980</v>
      </c>
      <c r="H57" s="66" t="str">
        <f>IF(COUNTIF('Queen Discography'!$C$4:$C$22,C57)&gt;0,"Queen",
IF(COUNTIF('Queen Discography'!$D$4:$D$22,C57)&gt;0,"Queen II",
IF(COUNTIF('Queen Discography'!$E$4:$E$22,C57)&gt;0,"Sheer Heart Attack",
IF(COUNTIF('Queen Discography'!$F$4:$F$22,C57)&gt;0,"A Night At The Opera",
IF(COUNTIF('Queen Discography'!$G$4:$G$22,C57)&gt;0,"A Day At The Races",
IF(COUNTIF('Queen Discography'!$H$4:$H$22,C57)&gt;0,"News Of The World",
IF(COUNTIF('Queen Discography'!$I$4:$I$22,C57)&gt;0,"Jazz",
IF(COUNTIF('Queen Discography'!$J$4:$J$22,C57)&gt;0,"The Game",
IF(COUNTIF('Queen Discography'!$K$4:$K$22,C57)&gt;0,"Flash Gordon",
IF(COUNTIF('Queen Discography'!$L$4:$L$22,C57)&gt;0,"Hot Space",
IF(COUNTIF('Queen Discography'!$M$4:$M$22,C57)&gt;0,"The Works",
IF(COUNTIF('Queen Discography'!$N$4:$N$22,C57)&gt;0,"A Kind Of Magic",
IF(COUNTIF('Queen Discography'!$O$4:$O$22,C57)&gt;0,"The Miracle",
IF(COUNTIF('Queen Discography'!$P$4:$P$22,C57)&gt;0,"Innuendo",
IF(COUNTIF('Queen Discography'!$Q$4:$Q$22,C57)&gt;0,"Made In Heaven","NOT FOUND")))))))))))))))</f>
        <v>The Game</v>
      </c>
      <c r="I57" s="1"/>
      <c r="J57" s="1"/>
      <c r="K57" s="1"/>
      <c r="L57" s="1"/>
      <c r="M57" s="87"/>
      <c r="N57" s="87"/>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row>
    <row r="58">
      <c r="A58" s="1"/>
      <c r="C58" s="66" t="str">
        <f t="array" ref="C58">INDEX('Queen MIDI'!$C$4:$C$66,MATCH(F58,'Queen MIDI'!$D$4:$D$66,0))</f>
        <v>Somebody to Love</v>
      </c>
      <c r="D58" s="117">
        <v>9.0</v>
      </c>
      <c r="E58" s="118" t="s">
        <v>371</v>
      </c>
      <c r="F58" s="66" t="str">
        <f t="shared" si="2"/>
        <v>Somebody to Love.3.mid</v>
      </c>
      <c r="G58" s="128">
        <f>HLOOKUP(H58,'Queen Discography'!$C$2:$Q$3,2,FALSE)</f>
        <v>1976</v>
      </c>
      <c r="H58" s="66" t="str">
        <f>IF(COUNTIF('Queen Discography'!$C$4:$C$22,C58)&gt;0,"Queen",
IF(COUNTIF('Queen Discography'!$D$4:$D$22,C58)&gt;0,"Queen II",
IF(COUNTIF('Queen Discography'!$E$4:$E$22,C58)&gt;0,"Sheer Heart Attack",
IF(COUNTIF('Queen Discography'!$F$4:$F$22,C58)&gt;0,"A Night At The Opera",
IF(COUNTIF('Queen Discography'!$G$4:$G$22,C58)&gt;0,"A Day At The Races",
IF(COUNTIF('Queen Discography'!$H$4:$H$22,C58)&gt;0,"News Of The World",
IF(COUNTIF('Queen Discography'!$I$4:$I$22,C58)&gt;0,"Jazz",
IF(COUNTIF('Queen Discography'!$J$4:$J$22,C58)&gt;0,"The Game",
IF(COUNTIF('Queen Discography'!$K$4:$K$22,C58)&gt;0,"Flash Gordon",
IF(COUNTIF('Queen Discography'!$L$4:$L$22,C58)&gt;0,"Hot Space",
IF(COUNTIF('Queen Discography'!$M$4:$M$22,C58)&gt;0,"The Works",
IF(COUNTIF('Queen Discography'!$N$4:$N$22,C58)&gt;0,"A Kind Of Magic",
IF(COUNTIF('Queen Discography'!$O$4:$O$22,C58)&gt;0,"The Miracle",
IF(COUNTIF('Queen Discography'!$P$4:$P$22,C58)&gt;0,"Innuendo",
IF(COUNTIF('Queen Discography'!$Q$4:$Q$22,C58)&gt;0,"Made In Heaven","NOT FOUND")))))))))))))))</f>
        <v>A Day At The Races</v>
      </c>
      <c r="I58" s="1"/>
      <c r="J58" s="1"/>
      <c r="K58" s="1"/>
      <c r="L58" s="1"/>
      <c r="M58" s="87"/>
      <c r="N58" s="87"/>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c r="A59" s="1"/>
      <c r="C59" s="66" t="str">
        <f t="array" ref="C59">INDEX('Queen MIDI'!$C$4:$C$66,MATCH(F59,'Queen MIDI'!$D$4:$D$66,0))</f>
        <v>Don't Stop Me Now</v>
      </c>
      <c r="D59" s="117">
        <v>9.0</v>
      </c>
      <c r="E59" s="118" t="s">
        <v>377</v>
      </c>
      <c r="F59" s="66" t="str">
        <f t="shared" si="2"/>
        <v>Don_t Stop Me Now.1.mid</v>
      </c>
      <c r="G59" s="119">
        <f>HLOOKUP(H59,'Queen Discography'!$C$2:$Q$3,2,FALSE)</f>
        <v>1978</v>
      </c>
      <c r="H59" s="66" t="str">
        <f>IF(COUNTIF('Queen Discography'!$C$4:$C$22,C59)&gt;0,"Queen",
IF(COUNTIF('Queen Discography'!$D$4:$D$22,C59)&gt;0,"Queen II",
IF(COUNTIF('Queen Discography'!$E$4:$E$22,C59)&gt;0,"Sheer Heart Attack",
IF(COUNTIF('Queen Discography'!$F$4:$F$22,C59)&gt;0,"A Night At The Opera",
IF(COUNTIF('Queen Discography'!$G$4:$G$22,C59)&gt;0,"A Day At The Races",
IF(COUNTIF('Queen Discography'!$H$4:$H$22,C59)&gt;0,"News Of The World",
IF(COUNTIF('Queen Discography'!$I$4:$I$22,C59)&gt;0,"Jazz",
IF(COUNTIF('Queen Discography'!$J$4:$J$22,C59)&gt;0,"The Game",
IF(COUNTIF('Queen Discography'!$K$4:$K$22,C59)&gt;0,"Flash Gordon",
IF(COUNTIF('Queen Discography'!$L$4:$L$22,C59)&gt;0,"Hot Space",
IF(COUNTIF('Queen Discography'!$M$4:$M$22,C59)&gt;0,"The Works",
IF(COUNTIF('Queen Discography'!$N$4:$N$22,C59)&gt;0,"A Kind Of Magic",
IF(COUNTIF('Queen Discography'!$O$4:$O$22,C59)&gt;0,"The Miracle",
IF(COUNTIF('Queen Discography'!$P$4:$P$22,C59)&gt;0,"Innuendo",
IF(COUNTIF('Queen Discography'!$Q$4:$Q$22,C59)&gt;0,"Made In Heaven","NOT FOUND")))))))))))))))</f>
        <v>Jazz</v>
      </c>
      <c r="I59" s="1"/>
      <c r="J59" s="1"/>
      <c r="K59" s="1"/>
      <c r="L59" s="1"/>
      <c r="M59" s="87"/>
      <c r="N59" s="87"/>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row>
    <row r="60">
      <c r="A60" s="1"/>
      <c r="C60" s="66" t="str">
        <f t="array" ref="C60">INDEX('Queen MIDI'!$C$4:$C$66,MATCH(F60,'Queen MIDI'!$D$4:$D$66,0))</f>
        <v>Play the Game</v>
      </c>
      <c r="D60" s="117">
        <v>9.0</v>
      </c>
      <c r="E60" s="118" t="s">
        <v>383</v>
      </c>
      <c r="F60" s="66" t="str">
        <f t="shared" si="2"/>
        <v>Play the Game.1.mid</v>
      </c>
      <c r="G60" s="120">
        <f>HLOOKUP(H60,'Queen Discography'!$C$2:$Q$3,2,FALSE)</f>
        <v>1980</v>
      </c>
      <c r="H60" s="66" t="str">
        <f>IF(COUNTIF('Queen Discography'!$C$4:$C$22,C60)&gt;0,"Queen",
IF(COUNTIF('Queen Discography'!$D$4:$D$22,C60)&gt;0,"Queen II",
IF(COUNTIF('Queen Discography'!$E$4:$E$22,C60)&gt;0,"Sheer Heart Attack",
IF(COUNTIF('Queen Discography'!$F$4:$F$22,C60)&gt;0,"A Night At The Opera",
IF(COUNTIF('Queen Discography'!$G$4:$G$22,C60)&gt;0,"A Day At The Races",
IF(COUNTIF('Queen Discography'!$H$4:$H$22,C60)&gt;0,"News Of The World",
IF(COUNTIF('Queen Discography'!$I$4:$I$22,C60)&gt;0,"Jazz",
IF(COUNTIF('Queen Discography'!$J$4:$J$22,C60)&gt;0,"The Game",
IF(COUNTIF('Queen Discography'!$K$4:$K$22,C60)&gt;0,"Flash Gordon",
IF(COUNTIF('Queen Discography'!$L$4:$L$22,C60)&gt;0,"Hot Space",
IF(COUNTIF('Queen Discography'!$M$4:$M$22,C60)&gt;0,"The Works",
IF(COUNTIF('Queen Discography'!$N$4:$N$22,C60)&gt;0,"A Kind Of Magic",
IF(COUNTIF('Queen Discography'!$O$4:$O$22,C60)&gt;0,"The Miracle",
IF(COUNTIF('Queen Discography'!$P$4:$P$22,C60)&gt;0,"Innuendo",
IF(COUNTIF('Queen Discography'!$Q$4:$Q$22,C60)&gt;0,"Made In Heaven","NOT FOUND")))))))))))))))</f>
        <v>The Game</v>
      </c>
      <c r="I60" s="1"/>
      <c r="J60" s="1"/>
      <c r="K60" s="1"/>
      <c r="L60" s="1"/>
      <c r="M60" s="87"/>
      <c r="N60" s="87"/>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row>
    <row r="61">
      <c r="A61" s="1"/>
      <c r="C61" s="66" t="str">
        <f t="array" ref="C61">INDEX('Queen MIDI'!$C$4:$C$66,MATCH(F61,'Queen MIDI'!$D$4:$D$66,0))</f>
        <v>Friends Will Be Friends</v>
      </c>
      <c r="D61" s="117">
        <v>9.0</v>
      </c>
      <c r="E61" s="118" t="s">
        <v>391</v>
      </c>
      <c r="F61" s="66" t="str">
        <f t="shared" si="2"/>
        <v>Friends Will Be Friends.2.mid</v>
      </c>
      <c r="G61" s="122">
        <f>HLOOKUP(H61,'Queen Discography'!$C$2:$Q$3,2,FALSE)</f>
        <v>1986</v>
      </c>
      <c r="H61" s="66" t="str">
        <f>IF(COUNTIF('Queen Discography'!$C$4:$C$22,C61)&gt;0,"Queen",
IF(COUNTIF('Queen Discography'!$D$4:$D$22,C61)&gt;0,"Queen II",
IF(COUNTIF('Queen Discography'!$E$4:$E$22,C61)&gt;0,"Sheer Heart Attack",
IF(COUNTIF('Queen Discography'!$F$4:$F$22,C61)&gt;0,"A Night At The Opera",
IF(COUNTIF('Queen Discography'!$G$4:$G$22,C61)&gt;0,"A Day At The Races",
IF(COUNTIF('Queen Discography'!$H$4:$H$22,C61)&gt;0,"News Of The World",
IF(COUNTIF('Queen Discography'!$I$4:$I$22,C61)&gt;0,"Jazz",
IF(COUNTIF('Queen Discography'!$J$4:$J$22,C61)&gt;0,"The Game",
IF(COUNTIF('Queen Discography'!$K$4:$K$22,C61)&gt;0,"Flash Gordon",
IF(COUNTIF('Queen Discography'!$L$4:$L$22,C61)&gt;0,"Hot Space",
IF(COUNTIF('Queen Discography'!$M$4:$M$22,C61)&gt;0,"The Works",
IF(COUNTIF('Queen Discography'!$N$4:$N$22,C61)&gt;0,"A Kind Of Magic",
IF(COUNTIF('Queen Discography'!$O$4:$O$22,C61)&gt;0,"The Miracle",
IF(COUNTIF('Queen Discography'!$P$4:$P$22,C61)&gt;0,"Innuendo",
IF(COUNTIF('Queen Discography'!$Q$4:$Q$22,C61)&gt;0,"Made In Heaven","NOT FOUND")))))))))))))))</f>
        <v>A Kind Of Magic</v>
      </c>
      <c r="I61" s="1"/>
      <c r="J61" s="1"/>
      <c r="K61" s="1"/>
      <c r="L61" s="1"/>
      <c r="M61" s="87"/>
      <c r="N61" s="87"/>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row>
    <row r="62">
      <c r="A62" s="1"/>
      <c r="C62" s="66" t="str">
        <f t="array" ref="C62">INDEX('Queen MIDI'!$C$4:$C$66,MATCH(F62,'Queen MIDI'!$D$4:$D$66,0))</f>
        <v>The Show Must Go On</v>
      </c>
      <c r="D62" s="117">
        <v>9.0</v>
      </c>
      <c r="E62" s="118" t="s">
        <v>407</v>
      </c>
      <c r="F62" s="66" t="str">
        <f t="shared" si="2"/>
        <v>The Show Must Go On.mid</v>
      </c>
      <c r="G62" s="124">
        <f>HLOOKUP(H62,'Queen Discography'!$C$2:$Q$3,2,FALSE)</f>
        <v>1991</v>
      </c>
      <c r="H62" s="66" t="str">
        <f>IF(COUNTIF('Queen Discography'!$C$4:$C$22,C62)&gt;0,"Queen",
IF(COUNTIF('Queen Discography'!$D$4:$D$22,C62)&gt;0,"Queen II",
IF(COUNTIF('Queen Discography'!$E$4:$E$22,C62)&gt;0,"Sheer Heart Attack",
IF(COUNTIF('Queen Discography'!$F$4:$F$22,C62)&gt;0,"A Night At The Opera",
IF(COUNTIF('Queen Discography'!$G$4:$G$22,C62)&gt;0,"A Day At The Races",
IF(COUNTIF('Queen Discography'!$H$4:$H$22,C62)&gt;0,"News Of The World",
IF(COUNTIF('Queen Discography'!$I$4:$I$22,C62)&gt;0,"Jazz",
IF(COUNTIF('Queen Discography'!$J$4:$J$22,C62)&gt;0,"The Game",
IF(COUNTIF('Queen Discography'!$K$4:$K$22,C62)&gt;0,"Flash Gordon",
IF(COUNTIF('Queen Discography'!$L$4:$L$22,C62)&gt;0,"Hot Space",
IF(COUNTIF('Queen Discography'!$M$4:$M$22,C62)&gt;0,"The Works",
IF(COUNTIF('Queen Discography'!$N$4:$N$22,C62)&gt;0,"A Kind Of Magic",
IF(COUNTIF('Queen Discography'!$O$4:$O$22,C62)&gt;0,"The Miracle",
IF(COUNTIF('Queen Discography'!$P$4:$P$22,C62)&gt;0,"Innuendo",
IF(COUNTIF('Queen Discography'!$Q$4:$Q$22,C62)&gt;0,"Made In Heaven","NOT FOUND")))))))))))))))</f>
        <v>Innuendo</v>
      </c>
      <c r="I62" s="1"/>
      <c r="J62" s="1"/>
      <c r="K62" s="1"/>
      <c r="L62" s="1"/>
      <c r="M62" s="87"/>
      <c r="N62" s="87"/>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c r="A63" s="1"/>
      <c r="C63" s="66" t="str">
        <f t="array" ref="C63">INDEX('Queen MIDI'!$C$4:$C$66,MATCH(F63,'Queen MIDI'!$D$4:$D$66,0))</f>
        <v>The Great Pretender</v>
      </c>
      <c r="D63" s="117">
        <v>10.0</v>
      </c>
      <c r="E63" s="118" t="s">
        <v>418</v>
      </c>
      <c r="F63" s="66" t="str">
        <f t="shared" si="2"/>
        <v>The Great Pretender.mid</v>
      </c>
      <c r="G63" s="127" t="str">
        <f>HLOOKUP(H63,'Queen Discography'!$C$2:$Q$3,2,FALSE)</f>
        <v>#N/A</v>
      </c>
      <c r="H63" s="66" t="str">
        <f>IF(COUNTIF('Queen Discography'!$C$4:$C$22,C63)&gt;0,"Queen",
IF(COUNTIF('Queen Discography'!$D$4:$D$22,C63)&gt;0,"Queen II",
IF(COUNTIF('Queen Discography'!$E$4:$E$22,C63)&gt;0,"Sheer Heart Attack",
IF(COUNTIF('Queen Discography'!$F$4:$F$22,C63)&gt;0,"A Night At The Opera",
IF(COUNTIF('Queen Discography'!$G$4:$G$22,C63)&gt;0,"A Day At The Races",
IF(COUNTIF('Queen Discography'!$H$4:$H$22,C63)&gt;0,"News Of The World",
IF(COUNTIF('Queen Discography'!$I$4:$I$22,C63)&gt;0,"Jazz",
IF(COUNTIF('Queen Discography'!$J$4:$J$22,C63)&gt;0,"The Game",
IF(COUNTIF('Queen Discography'!$K$4:$K$22,C63)&gt;0,"Flash Gordon",
IF(COUNTIF('Queen Discography'!$L$4:$L$22,C63)&gt;0,"Hot Space",
IF(COUNTIF('Queen Discography'!$M$4:$M$22,C63)&gt;0,"The Works",
IF(COUNTIF('Queen Discography'!$N$4:$N$22,C63)&gt;0,"A Kind Of Magic",
IF(COUNTIF('Queen Discography'!$O$4:$O$22,C63)&gt;0,"The Miracle",
IF(COUNTIF('Queen Discography'!$P$4:$P$22,C63)&gt;0,"Innuendo",
IF(COUNTIF('Queen Discography'!$Q$4:$Q$22,C63)&gt;0,"Made In Heaven","NOT FOUND")))))))))))))))</f>
        <v>NOT FOUND</v>
      </c>
      <c r="I63" s="1"/>
      <c r="J63" s="1"/>
      <c r="K63" s="1"/>
      <c r="L63" s="1"/>
      <c r="M63" s="87"/>
      <c r="N63" s="87"/>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row>
    <row r="64">
      <c r="A64" s="1"/>
      <c r="C64" s="66" t="str">
        <f t="array" ref="C64">INDEX('Queen MIDI'!$C$4:$C$66,MATCH(F64,'Queen MIDI'!$D$4:$D$66,0))</f>
        <v>We Will Rock You</v>
      </c>
      <c r="D64" s="117">
        <v>11.0</v>
      </c>
      <c r="E64" s="118" t="s">
        <v>419</v>
      </c>
      <c r="F64" s="66" t="str">
        <f t="shared" si="2"/>
        <v>We Will Rock You.6.mid</v>
      </c>
      <c r="G64" s="124">
        <f>HLOOKUP(H64,'Queen Discography'!$C$2:$Q$3,2,FALSE)</f>
        <v>1977</v>
      </c>
      <c r="H64" s="66" t="str">
        <f>IF(COUNTIF('Queen Discography'!$C$4:$C$22,C64)&gt;0,"Queen",
IF(COUNTIF('Queen Discography'!$D$4:$D$22,C64)&gt;0,"Queen II",
IF(COUNTIF('Queen Discography'!$E$4:$E$22,C64)&gt;0,"Sheer Heart Attack",
IF(COUNTIF('Queen Discography'!$F$4:$F$22,C64)&gt;0,"A Night At The Opera",
IF(COUNTIF('Queen Discography'!$G$4:$G$22,C64)&gt;0,"A Day At The Races",
IF(COUNTIF('Queen Discography'!$H$4:$H$22,C64)&gt;0,"News Of The World",
IF(COUNTIF('Queen Discography'!$I$4:$I$22,C64)&gt;0,"Jazz",
IF(COUNTIF('Queen Discography'!$J$4:$J$22,C64)&gt;0,"The Game",
IF(COUNTIF('Queen Discography'!$K$4:$K$22,C64)&gt;0,"Flash Gordon",
IF(COUNTIF('Queen Discography'!$L$4:$L$22,C64)&gt;0,"Hot Space",
IF(COUNTIF('Queen Discography'!$M$4:$M$22,C64)&gt;0,"The Works",
IF(COUNTIF('Queen Discography'!$N$4:$N$22,C64)&gt;0,"A Kind Of Magic",
IF(COUNTIF('Queen Discography'!$O$4:$O$22,C64)&gt;0,"The Miracle",
IF(COUNTIF('Queen Discography'!$P$4:$P$22,C64)&gt;0,"Innuendo",
IF(COUNTIF('Queen Discography'!$Q$4:$Q$22,C64)&gt;0,"Made In Heaven","NOT FOUND")))))))))))))))</f>
        <v>News Of The World</v>
      </c>
      <c r="I64" s="1"/>
      <c r="J64" s="1"/>
      <c r="K64" s="1"/>
      <c r="L64" s="1"/>
      <c r="M64" s="87"/>
      <c r="N64" s="87"/>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row>
    <row r="65">
      <c r="A65" s="1"/>
      <c r="C65" s="66" t="str">
        <f t="array" ref="C65">INDEX('Queen MIDI'!$C$4:$C$66,MATCH(F65,'Queen MIDI'!$D$4:$D$66,0))</f>
        <v>White Man</v>
      </c>
      <c r="D65" s="117">
        <v>12.0</v>
      </c>
      <c r="E65" s="118" t="s">
        <v>372</v>
      </c>
      <c r="F65" s="66" t="str">
        <f t="shared" si="2"/>
        <v>White Man.mid</v>
      </c>
      <c r="G65" s="124">
        <f>HLOOKUP(H65,'Queen Discography'!$C$2:$Q$3,2,FALSE)</f>
        <v>1976</v>
      </c>
      <c r="H65" s="66" t="str">
        <f>IF(COUNTIF('Queen Discography'!$C$4:$C$22,C65)&gt;0,"Queen",
IF(COUNTIF('Queen Discography'!$D$4:$D$22,C65)&gt;0,"Queen II",
IF(COUNTIF('Queen Discography'!$E$4:$E$22,C65)&gt;0,"Sheer Heart Attack",
IF(COUNTIF('Queen Discography'!$F$4:$F$22,C65)&gt;0,"A Night At The Opera",
IF(COUNTIF('Queen Discography'!$G$4:$G$22,C65)&gt;0,"A Day At The Races",
IF(COUNTIF('Queen Discography'!$H$4:$H$22,C65)&gt;0,"News Of The World",
IF(COUNTIF('Queen Discography'!$I$4:$I$22,C65)&gt;0,"Jazz",
IF(COUNTIF('Queen Discography'!$J$4:$J$22,C65)&gt;0,"The Game",
IF(COUNTIF('Queen Discography'!$K$4:$K$22,C65)&gt;0,"Flash Gordon",
IF(COUNTIF('Queen Discography'!$L$4:$L$22,C65)&gt;0,"Hot Space",
IF(COUNTIF('Queen Discography'!$M$4:$M$22,C65)&gt;0,"The Works",
IF(COUNTIF('Queen Discography'!$N$4:$N$22,C65)&gt;0,"A Kind Of Magic",
IF(COUNTIF('Queen Discography'!$O$4:$O$22,C65)&gt;0,"The Miracle",
IF(COUNTIF('Queen Discography'!$P$4:$P$22,C65)&gt;0,"Innuendo",
IF(COUNTIF('Queen Discography'!$Q$4:$Q$22,C65)&gt;0,"Made In Heaven","NOT FOUND")))))))))))))))</f>
        <v>A Day At The Races</v>
      </c>
      <c r="I65" s="1"/>
      <c r="J65" s="1"/>
      <c r="K65" s="1"/>
      <c r="L65" s="1"/>
      <c r="M65" s="87"/>
      <c r="N65" s="87"/>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row>
    <row r="66">
      <c r="A66" s="1"/>
      <c r="C66" s="66" t="str">
        <f t="array" ref="C66">INDEX('Queen MIDI'!$C$4:$C$66,MATCH(F66,'Queen MIDI'!$D$4:$D$66,0))</f>
        <v>You Don't Fool Me</v>
      </c>
      <c r="D66" s="117">
        <v>13.0</v>
      </c>
      <c r="E66" s="118" t="s">
        <v>415</v>
      </c>
      <c r="F66" s="66" t="str">
        <f t="shared" si="2"/>
        <v>You Don_t Fool Me.mid</v>
      </c>
      <c r="G66" s="123">
        <f>HLOOKUP(H66,'Queen Discography'!$C$2:$Q$3,2,FALSE)</f>
        <v>1995</v>
      </c>
      <c r="H66" s="66" t="str">
        <f>IF(COUNTIF('Queen Discography'!$C$4:$C$22,C66)&gt;0,"Queen",
IF(COUNTIF('Queen Discography'!$D$4:$D$22,C66)&gt;0,"Queen II",
IF(COUNTIF('Queen Discography'!$E$4:$E$22,C66)&gt;0,"Sheer Heart Attack",
IF(COUNTIF('Queen Discography'!$F$4:$F$22,C66)&gt;0,"A Night At The Opera",
IF(COUNTIF('Queen Discography'!$G$4:$G$22,C66)&gt;0,"A Day At The Races",
IF(COUNTIF('Queen Discography'!$H$4:$H$22,C66)&gt;0,"News Of The World",
IF(COUNTIF('Queen Discography'!$I$4:$I$22,C66)&gt;0,"Jazz",
IF(COUNTIF('Queen Discography'!$J$4:$J$22,C66)&gt;0,"The Game",
IF(COUNTIF('Queen Discography'!$K$4:$K$22,C66)&gt;0,"Flash Gordon",
IF(COUNTIF('Queen Discography'!$L$4:$L$22,C66)&gt;0,"Hot Space",
IF(COUNTIF('Queen Discography'!$M$4:$M$22,C66)&gt;0,"The Works",
IF(COUNTIF('Queen Discography'!$N$4:$N$22,C66)&gt;0,"A Kind Of Magic",
IF(COUNTIF('Queen Discography'!$O$4:$O$22,C66)&gt;0,"The Miracle",
IF(COUNTIF('Queen Discography'!$P$4:$P$22,C66)&gt;0,"Innuendo",
IF(COUNTIF('Queen Discography'!$Q$4:$Q$22,C66)&gt;0,"Made In Heaven","NOT FOUND")))))))))))))))</f>
        <v>Made In Heaven</v>
      </c>
      <c r="I66" s="1"/>
      <c r="J66" s="1"/>
      <c r="K66" s="1"/>
      <c r="L66" s="1"/>
      <c r="M66" s="87"/>
      <c r="N66" s="87"/>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row>
    <row r="67">
      <c r="A67" s="1"/>
      <c r="B67" s="19"/>
      <c r="C67" s="1"/>
      <c r="D67" s="1"/>
      <c r="E67" s="1"/>
      <c r="F67" s="1"/>
      <c r="G67" s="114"/>
      <c r="H67" s="1"/>
      <c r="I67" s="1"/>
      <c r="J67" s="1"/>
      <c r="K67" s="1"/>
      <c r="L67" s="1"/>
      <c r="M67" s="87"/>
      <c r="N67" s="87"/>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row>
  </sheetData>
  <autoFilter ref="$C$3:$H$66">
    <sortState ref="C3:H66">
      <sortCondition ref="D3:D66"/>
      <sortCondition ref="G3:G66"/>
      <sortCondition ref="H3:H66"/>
      <sortCondition ref="E3:E66"/>
    </sortState>
  </autoFilter>
  <mergeCells count="3">
    <mergeCell ref="C2:H2"/>
    <mergeCell ref="J2:BD2"/>
    <mergeCell ref="B4:B66"/>
  </mergeCells>
  <conditionalFormatting sqref="J4:BD21">
    <cfRule type="expression" dxfId="16" priority="1">
      <formula>$BD4=0</formula>
    </cfRule>
  </conditionalFormatting>
  <conditionalFormatting sqref="AF4:AU21">
    <cfRule type="expression" dxfId="17" priority="2">
      <formula>AND(AF4:AU4=MAX($AF4:$AU4),$BD4&lt;2)</formula>
    </cfRule>
  </conditionalFormatting>
  <conditionalFormatting sqref="P4:AE21">
    <cfRule type="expression" dxfId="18" priority="3">
      <formula>AND(P4:AE4=MAX($P4:$AE4),$BD4&lt;2)</formula>
    </cfRule>
  </conditionalFormatting>
  <conditionalFormatting sqref="J4:BD21">
    <cfRule type="expression" dxfId="19" priority="4">
      <formula>$BD4&lt;2</formula>
    </cfRule>
  </conditionalFormatting>
  <conditionalFormatting sqref="P4:AE21">
    <cfRule type="expression" dxfId="20" priority="5">
      <formula>P4:AE4=MAX($P4:$AE4)</formula>
    </cfRule>
  </conditionalFormatting>
  <conditionalFormatting sqref="AF4:AU21">
    <cfRule type="expression" dxfId="21" priority="6">
      <formula>AF4:AU4=MAX($AF4:$AU4)</formula>
    </cfRule>
  </conditionalFormatting>
  <conditionalFormatting sqref="C4:H66">
    <cfRule type="expression" dxfId="0" priority="7">
      <formula>$H4="NOT FOUND"</formula>
    </cfRule>
  </conditionalFormatting>
  <conditionalFormatting sqref="C4:H66">
    <cfRule type="expression" dxfId="1" priority="8">
      <formula>$H4="Queen"</formula>
    </cfRule>
  </conditionalFormatting>
  <conditionalFormatting sqref="C4:H66">
    <cfRule type="expression" dxfId="2" priority="9">
      <formula>$H4="Queen II"</formula>
    </cfRule>
  </conditionalFormatting>
  <conditionalFormatting sqref="C4:H66">
    <cfRule type="expression" dxfId="3" priority="10">
      <formula>$H4="Sheer Heart Attack"</formula>
    </cfRule>
  </conditionalFormatting>
  <conditionalFormatting sqref="C4:H66">
    <cfRule type="expression" dxfId="4" priority="11">
      <formula>$H4="A Night At The Opera"</formula>
    </cfRule>
  </conditionalFormatting>
  <conditionalFormatting sqref="C4:H66">
    <cfRule type="expression" dxfId="5" priority="12">
      <formula>$H4="A Day At The Races"</formula>
    </cfRule>
  </conditionalFormatting>
  <conditionalFormatting sqref="C4:H66">
    <cfRule type="expression" dxfId="6" priority="13">
      <formula>$H4="News Of The World"</formula>
    </cfRule>
  </conditionalFormatting>
  <conditionalFormatting sqref="C4:H66">
    <cfRule type="expression" dxfId="7" priority="14">
      <formula>$H4="Jazz"</formula>
    </cfRule>
  </conditionalFormatting>
  <conditionalFormatting sqref="C4:H66">
    <cfRule type="expression" dxfId="8" priority="15">
      <formula>$H4="The Game"</formula>
    </cfRule>
  </conditionalFormatting>
  <conditionalFormatting sqref="C4:H66">
    <cfRule type="expression" dxfId="9" priority="16">
      <formula>$H4="Flash Gordon"</formula>
    </cfRule>
  </conditionalFormatting>
  <conditionalFormatting sqref="C4:H66">
    <cfRule type="expression" dxfId="10" priority="17">
      <formula>$H4="Hot Space"</formula>
    </cfRule>
  </conditionalFormatting>
  <conditionalFormatting sqref="C4:H66">
    <cfRule type="expression" dxfId="11" priority="18">
      <formula>$H4="The Works"</formula>
    </cfRule>
  </conditionalFormatting>
  <conditionalFormatting sqref="C4:H66">
    <cfRule type="expression" dxfId="12" priority="19">
      <formula>$H4="A Kind Of Magic"</formula>
    </cfRule>
  </conditionalFormatting>
  <conditionalFormatting sqref="C4:H66">
    <cfRule type="expression" dxfId="13" priority="20">
      <formula>$H4="The Miracle"</formula>
    </cfRule>
  </conditionalFormatting>
  <conditionalFormatting sqref="C4:H66">
    <cfRule type="expression" dxfId="14" priority="21">
      <formula>$H4="Innuendo"</formula>
    </cfRule>
  </conditionalFormatting>
  <conditionalFormatting sqref="C4:H66">
    <cfRule type="expression" dxfId="15" priority="22">
      <formula>$H4="Made In Heaven"</formula>
    </cfRule>
  </conditionalFormatting>
  <conditionalFormatting sqref="G4:H4">
    <cfRule type="expression" dxfId="0" priority="23">
      <formula>$H4="NOT FOUND"</formula>
    </cfRule>
  </conditionalFormatting>
  <printOptions gridLines="1" horizontalCentered="1"/>
  <pageMargins bottom="0.75" footer="0.0" header="0.0" left="0.25" right="0.25" top="0.75"/>
  <pageSetup orientation="landscape" pageOrder="overThenDown" paperHeight="16in" paperWidth="16in"/>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pane xSplit="2.0" topLeftCell="C1" activePane="topRight" state="frozen"/>
      <selection activeCell="D2" sqref="D2" pane="topRight"/>
    </sheetView>
  </sheetViews>
  <sheetFormatPr customHeight="1" defaultColWidth="12.63" defaultRowHeight="15.0" outlineLevelCol="1"/>
  <cols>
    <col customWidth="1" min="1" max="1" width="2.75"/>
    <col customWidth="1" min="3" max="3" width="24.63"/>
    <col collapsed="1" customWidth="1" min="4" max="4" width="2.5"/>
    <col customWidth="1" hidden="1" min="5" max="5" width="2.5" outlineLevel="1"/>
    <col customWidth="1" hidden="1" min="6" max="6" width="30.25" outlineLevel="1"/>
    <col customWidth="1" min="7" max="7" width="6.75"/>
    <col customWidth="1" min="8" max="8" width="16.75"/>
    <col customWidth="1" min="9" max="9" width="2.75"/>
    <col customWidth="1" min="10" max="10" width="6.38"/>
    <col customWidth="1" min="11" max="14" width="5.75"/>
    <col collapsed="1" customWidth="1" min="15" max="15" width="5.75"/>
    <col customWidth="1" hidden="1" min="16" max="47" width="5.75" outlineLevel="1"/>
    <col customWidth="1" min="48" max="48" width="17.63"/>
    <col customWidth="1" min="49" max="50" width="6.38"/>
    <col customWidth="1" min="51" max="51" width="15.38"/>
    <col customWidth="1" min="52" max="54" width="6.38"/>
    <col customWidth="1" min="55" max="56" width="5.75"/>
    <col customWidth="1" min="57" max="57" width="2.75"/>
  </cols>
  <sheetData>
    <row r="1">
      <c r="A1" s="1" t="s">
        <v>0</v>
      </c>
      <c r="B1" s="1"/>
      <c r="C1" s="1"/>
      <c r="D1" s="1"/>
      <c r="E1" s="1"/>
      <c r="F1" s="1"/>
      <c r="G1" s="114"/>
      <c r="H1" s="1"/>
      <c r="I1" s="1"/>
      <c r="J1" s="1"/>
      <c r="K1" s="1"/>
      <c r="L1" s="1"/>
      <c r="M1" s="1"/>
      <c r="N1" s="87"/>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ht="31.5" customHeight="1">
      <c r="A2" s="2"/>
      <c r="B2" s="56"/>
      <c r="C2" s="167" t="s">
        <v>424</v>
      </c>
      <c r="I2" s="19"/>
      <c r="J2" s="89" t="s">
        <v>337</v>
      </c>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19"/>
    </row>
    <row r="3" ht="31.5" customHeight="1">
      <c r="A3" s="2"/>
      <c r="B3" s="60"/>
      <c r="C3" s="61" t="s">
        <v>185</v>
      </c>
      <c r="D3" s="61" t="s">
        <v>338</v>
      </c>
      <c r="E3" s="61" t="s">
        <v>339</v>
      </c>
      <c r="F3" s="61" t="s">
        <v>186</v>
      </c>
      <c r="G3" s="61" t="s">
        <v>340</v>
      </c>
      <c r="H3" s="61" t="s">
        <v>187</v>
      </c>
      <c r="I3" s="36"/>
      <c r="J3" s="92" t="s">
        <v>341</v>
      </c>
      <c r="K3" s="92" t="s">
        <v>342</v>
      </c>
      <c r="L3" s="92" t="s">
        <v>343</v>
      </c>
      <c r="M3" s="92" t="s">
        <v>344</v>
      </c>
      <c r="N3" s="93" t="s">
        <v>345</v>
      </c>
      <c r="O3" s="92" t="s">
        <v>346</v>
      </c>
      <c r="P3" s="94" t="str">
        <f t="array" ref="P3:AE3">TRANSPOSE('Queen MIDI'!$H$4:$H$19)</f>
        <v>Queen</v>
      </c>
      <c r="Q3" s="94" t="s">
        <v>2</v>
      </c>
      <c r="R3" s="94" t="s">
        <v>3</v>
      </c>
      <c r="S3" s="94" t="s">
        <v>4</v>
      </c>
      <c r="T3" s="94" t="s">
        <v>5</v>
      </c>
      <c r="U3" s="94" t="s">
        <v>6</v>
      </c>
      <c r="V3" s="94" t="s">
        <v>7</v>
      </c>
      <c r="W3" s="94" t="s">
        <v>8</v>
      </c>
      <c r="X3" s="94" t="s">
        <v>9</v>
      </c>
      <c r="Y3" s="94" t="s">
        <v>10</v>
      </c>
      <c r="Z3" s="94" t="s">
        <v>11</v>
      </c>
      <c r="AA3" s="94" t="s">
        <v>12</v>
      </c>
      <c r="AB3" s="94" t="s">
        <v>13</v>
      </c>
      <c r="AC3" s="94" t="s">
        <v>14</v>
      </c>
      <c r="AD3" s="94" t="s">
        <v>15</v>
      </c>
      <c r="AE3" s="94" t="s">
        <v>227</v>
      </c>
      <c r="AF3" s="94" t="str">
        <f t="array" ref="AF3:AU3">TRANSPOSE('Queen MIDI'!$H$4:$H$19)</f>
        <v>Queen</v>
      </c>
      <c r="AG3" s="94" t="s">
        <v>2</v>
      </c>
      <c r="AH3" s="94" t="s">
        <v>3</v>
      </c>
      <c r="AI3" s="94" t="s">
        <v>4</v>
      </c>
      <c r="AJ3" s="94" t="s">
        <v>5</v>
      </c>
      <c r="AK3" s="94" t="s">
        <v>6</v>
      </c>
      <c r="AL3" s="94" t="s">
        <v>7</v>
      </c>
      <c r="AM3" s="94" t="s">
        <v>8</v>
      </c>
      <c r="AN3" s="94" t="s">
        <v>9</v>
      </c>
      <c r="AO3" s="94" t="s">
        <v>10</v>
      </c>
      <c r="AP3" s="94" t="s">
        <v>11</v>
      </c>
      <c r="AQ3" s="94" t="s">
        <v>12</v>
      </c>
      <c r="AR3" s="94" t="s">
        <v>13</v>
      </c>
      <c r="AS3" s="94" t="s">
        <v>14</v>
      </c>
      <c r="AT3" s="94" t="s">
        <v>15</v>
      </c>
      <c r="AU3" s="94" t="s">
        <v>227</v>
      </c>
      <c r="AV3" s="92" t="s">
        <v>347</v>
      </c>
      <c r="AW3" s="92" t="s">
        <v>348</v>
      </c>
      <c r="AX3" s="92" t="s">
        <v>349</v>
      </c>
      <c r="AY3" s="92" t="s">
        <v>350</v>
      </c>
      <c r="AZ3" s="92" t="s">
        <v>351</v>
      </c>
      <c r="BA3" s="92" t="s">
        <v>352</v>
      </c>
      <c r="BB3" s="92" t="s">
        <v>353</v>
      </c>
      <c r="BC3" s="92" t="s">
        <v>354</v>
      </c>
      <c r="BD3" s="92" t="s">
        <v>355</v>
      </c>
      <c r="BE3" s="36"/>
    </row>
    <row r="4">
      <c r="A4" s="1"/>
      <c r="B4" s="56" t="str">
        <f>CONCATENATE("Songs",CHAR(10),"(",COUNTA(C4:C66),")")</f>
        <v>Songs
(63)</v>
      </c>
      <c r="C4" s="66" t="str">
        <f t="array" ref="C4">INDEX('Queen MIDI'!$C$4:$C$66,MATCH(F4,'Queen MIDI'!$D$4:$D$66,0))</f>
        <v>Another One Bites The Dust</v>
      </c>
      <c r="D4" s="168">
        <v>0.0</v>
      </c>
      <c r="E4" s="169" t="s">
        <v>381</v>
      </c>
      <c r="F4" s="66" t="str">
        <f t="shared" ref="F4:F66" si="2">RIGHT(E4,LEN(E4)-75)</f>
        <v>Another One Bites The Dust.1.mid</v>
      </c>
      <c r="G4" s="119">
        <f>HLOOKUP(H4,'Queen Discography'!$C$2:$Q$3,2,FALSE)</f>
        <v>1980</v>
      </c>
      <c r="H4" s="66" t="str">
        <f>IF(COUNTIF('Queen Discography'!$C$4:$C$22,C4)&gt;0,"Queen",
IF(COUNTIF('Queen Discography'!$D$4:$D$22,C4)&gt;0,"Queen II",
IF(COUNTIF('Queen Discography'!$E$4:$E$22,C4)&gt;0,"Sheer Heart Attack",
IF(COUNTIF('Queen Discography'!$F$4:$F$22,C4)&gt;0,"A Night At The Opera",
IF(COUNTIF('Queen Discography'!$G$4:$G$22,C4)&gt;0,"A Day At The Races",
IF(COUNTIF('Queen Discography'!$H$4:$H$22,C4)&gt;0,"News Of The World",
IF(COUNTIF('Queen Discography'!$I$4:$I$22,C4)&gt;0,"Jazz",
IF(COUNTIF('Queen Discography'!$J$4:$J$22,C4)&gt;0,"The Game",
IF(COUNTIF('Queen Discography'!$K$4:$K$22,C4)&gt;0,"Flash Gordon",
IF(COUNTIF('Queen Discography'!$L$4:$L$22,C4)&gt;0,"Hot Space",
IF(COUNTIF('Queen Discography'!$M$4:$M$22,C4)&gt;0,"The Works",
IF(COUNTIF('Queen Discography'!$N$4:$N$22,C4)&gt;0,"A Kind Of Magic",
IF(COUNTIF('Queen Discography'!$O$4:$O$22,C4)&gt;0,"The Miracle",
IF(COUNTIF('Queen Discography'!$P$4:$P$22,C4)&gt;0,"Innuendo",
IF(COUNTIF('Queen Discography'!$Q$4:$Q$22,C4)&gt;0,"Made In Heaven","NOT FOUND")))))))))))))))</f>
        <v>The Game</v>
      </c>
      <c r="I4" s="1"/>
      <c r="J4" s="98">
        <v>0.0</v>
      </c>
      <c r="K4" s="99">
        <f>IF(MINIFS($G$4:$G$66,$D$4:$D$66,$J4,$G$4:$G$66,"&lt;&gt;#N/A")=0,"N/A",MINIFS($G$4:$G$66,$D$4:$D$66,$J4,$G$4:$G$66,"&lt;&gt;#N/A"))</f>
        <v>1980</v>
      </c>
      <c r="L4" s="99">
        <f t="shared" ref="L4:L21" si="3">IF(MAXIFS($G$4:$G$66,$D$4:$D$66,$J4,$G$4:$G$66,"&lt;&gt;#N/A")=0,"N/A",MAXIFS($G$4:$G$66,$D$4:$D$66,$J4,$G$4:$G$66,"&lt;&gt;#N/A"))</f>
        <v>1980</v>
      </c>
      <c r="M4" s="99">
        <f t="shared" ref="M4:M21" si="4">IFERROR(ROUND(AVERAGEIFS($G$4:$G$66,$D$4:$D$66,$J4,$G$4:$G$66,"&lt;&gt;#N/A"),0),"N/A")</f>
        <v>1980</v>
      </c>
      <c r="N4" s="100">
        <f>IFERROR(__xludf.DUMMYFUNCTION("IFERROR(MEDIAN(FILTER($G$4:$G$66,$D$4:$D$66=$J4,ISNUMBER($G$4:$G$66))),""N/A"")"),1980.0)</f>
        <v>1980</v>
      </c>
      <c r="O4" s="99" t="str">
        <f>IFERROR(__xludf.DUMMYFUNCTION("IFERROR(MODE(FILTER($G$4:$G$66,$D$4:$D$66=$J4,ISNUMBER($G$4:$G$66))),""N/A"")"),"N/A")</f>
        <v>N/A</v>
      </c>
      <c r="P4" s="99">
        <f t="shared" ref="P4:AE4" si="1">COUNTIFS($H$4:$H$66,P$3,$D$4:$D$66,$J4)</f>
        <v>0</v>
      </c>
      <c r="Q4" s="99">
        <f t="shared" si="1"/>
        <v>0</v>
      </c>
      <c r="R4" s="99">
        <f t="shared" si="1"/>
        <v>0</v>
      </c>
      <c r="S4" s="99">
        <f t="shared" si="1"/>
        <v>0</v>
      </c>
      <c r="T4" s="99">
        <f t="shared" si="1"/>
        <v>0</v>
      </c>
      <c r="U4" s="99">
        <f t="shared" si="1"/>
        <v>0</v>
      </c>
      <c r="V4" s="99">
        <f t="shared" si="1"/>
        <v>0</v>
      </c>
      <c r="W4" s="99">
        <f t="shared" si="1"/>
        <v>1</v>
      </c>
      <c r="X4" s="99">
        <f t="shared" si="1"/>
        <v>0</v>
      </c>
      <c r="Y4" s="99">
        <f t="shared" si="1"/>
        <v>0</v>
      </c>
      <c r="Z4" s="99">
        <f t="shared" si="1"/>
        <v>0</v>
      </c>
      <c r="AA4" s="99">
        <f t="shared" si="1"/>
        <v>0</v>
      </c>
      <c r="AB4" s="99">
        <f t="shared" si="1"/>
        <v>0</v>
      </c>
      <c r="AC4" s="99">
        <f t="shared" si="1"/>
        <v>0</v>
      </c>
      <c r="AD4" s="99">
        <f t="shared" si="1"/>
        <v>0</v>
      </c>
      <c r="AE4" s="99">
        <f t="shared" si="1"/>
        <v>0</v>
      </c>
      <c r="AF4" s="101">
        <f t="array" ref="AF4:AU4">IFERROR(P4:AE4*TRANSPOSE('Queen MIDI'!$J$4:$J$19),"N/A")</f>
        <v>0</v>
      </c>
      <c r="AG4" s="101">
        <v>0.0</v>
      </c>
      <c r="AH4" s="101">
        <v>0.0</v>
      </c>
      <c r="AI4" s="101">
        <v>0.0</v>
      </c>
      <c r="AJ4" s="101">
        <v>0.0</v>
      </c>
      <c r="AK4" s="101">
        <v>0.0</v>
      </c>
      <c r="AL4" s="101">
        <v>0.0</v>
      </c>
      <c r="AM4" s="101">
        <v>0.984375</v>
      </c>
      <c r="AN4" s="101" t="s">
        <v>357</v>
      </c>
      <c r="AO4" s="101">
        <v>0.0</v>
      </c>
      <c r="AP4" s="101">
        <v>0.0</v>
      </c>
      <c r="AQ4" s="102">
        <v>0.0</v>
      </c>
      <c r="AR4" s="102">
        <v>0.0</v>
      </c>
      <c r="AS4" s="102">
        <v>0.0</v>
      </c>
      <c r="AT4" s="101">
        <v>0.0</v>
      </c>
      <c r="AU4" s="101">
        <v>0.0</v>
      </c>
      <c r="AV4" s="99" t="str">
        <f>IFERROR(__xludf.DUMMYFUNCTION("JOIN("", "",FILTER($P$3:$AE$3,$P4:$AE4=MAX($P4:$AE4)))"),"The Game")</f>
        <v>The Game</v>
      </c>
      <c r="AW4" s="99">
        <f t="shared" ref="AW4:AW21" si="6">MAX($P4:$AE4)</f>
        <v>1</v>
      </c>
      <c r="AX4" s="99">
        <f>IFERROR(__xludf.DUMMYFUNCTION("COUNTA(FILTER($P$3:$AE$3,$P4:$AE4=MAX($P4:$AE4)))"),1.0)</f>
        <v>1</v>
      </c>
      <c r="AY4" s="99" t="str">
        <f>IFERROR(__xludf.DUMMYFUNCTION("IFERROR(JOIN("", "",FILTER($AF$3:$AU$3,$AF4:$AU4=MAXIFS($AF4:$AU4,$AF$23:$AU$23,TRUE),$AF$23:$AU$23)),""N/A"")"),"The Game")</f>
        <v>The Game</v>
      </c>
      <c r="AZ4" s="170" t="str">
        <f>IFERROR(__xludf.DUMMYFUNCTION("IFERROR(JOIN("", "",FILTER($P4:$AE4,$AF4:$AU4=MAXIFS($AF4:$AU4,$AF$23:$AU$23,TRUE),$AF$23:$AU$23)),""N/A"")"),"1")</f>
        <v>1</v>
      </c>
      <c r="BA4" s="103">
        <f>MAXIFS(AF4:AU4,$AF$23:$AU$23,TRUE)/'Queen MIDI'!$J$20</f>
        <v>0.25</v>
      </c>
      <c r="BB4" s="98">
        <f>IFERROR(__xludf.DUMMYFUNCTION("COUNTA(IFERROR(FILTER($AF$3:$AU$3,$AF4:$AU4=MAXIFS($AF4:$AU4,$AF$23:$AU$23,TRUE),$AF$23:$AU$23),))"),1.0)</f>
        <v>1</v>
      </c>
      <c r="BC4" s="103">
        <f t="shared" ref="BC4:BC21" si="7">$BD4/$BD$22</f>
        <v>0.01587301587</v>
      </c>
      <c r="BD4" s="99">
        <f t="shared" ref="BD4:BD21" si="8">COUNTIF($D$4:$D$66,J4)</f>
        <v>1</v>
      </c>
      <c r="BE4" s="1"/>
    </row>
    <row r="5">
      <c r="A5" s="1"/>
      <c r="C5" s="66" t="str">
        <f t="array" ref="C5">INDEX('Queen MIDI'!$C$4:$C$66,MATCH(F5,'Queen MIDI'!$D$4:$D$66,0))</f>
        <v>Keep Yourself Alive</v>
      </c>
      <c r="D5" s="150">
        <v>1.0</v>
      </c>
      <c r="E5" s="151" t="s">
        <v>358</v>
      </c>
      <c r="F5" s="66" t="str">
        <f t="shared" si="2"/>
        <v>Keep Yourself Alive.mid</v>
      </c>
      <c r="G5" s="127">
        <f>HLOOKUP(H5,'Queen Discography'!$C$2:$Q$3,2,FALSE)</f>
        <v>1973</v>
      </c>
      <c r="H5" s="66" t="str">
        <f>IF(COUNTIF('Queen Discography'!$C$4:$C$22,C5)&gt;0,"Queen",
IF(COUNTIF('Queen Discography'!$D$4:$D$22,C5)&gt;0,"Queen II",
IF(COUNTIF('Queen Discography'!$E$4:$E$22,C5)&gt;0,"Sheer Heart Attack",
IF(COUNTIF('Queen Discography'!$F$4:$F$22,C5)&gt;0,"A Night At The Opera",
IF(COUNTIF('Queen Discography'!$G$4:$G$22,C5)&gt;0,"A Day At The Races",
IF(COUNTIF('Queen Discography'!$H$4:$H$22,C5)&gt;0,"News Of The World",
IF(COUNTIF('Queen Discography'!$I$4:$I$22,C5)&gt;0,"Jazz",
IF(COUNTIF('Queen Discography'!$J$4:$J$22,C5)&gt;0,"The Game",
IF(COUNTIF('Queen Discography'!$K$4:$K$22,C5)&gt;0,"Flash Gordon",
IF(COUNTIF('Queen Discography'!$L$4:$L$22,C5)&gt;0,"Hot Space",
IF(COUNTIF('Queen Discography'!$M$4:$M$22,C5)&gt;0,"The Works",
IF(COUNTIF('Queen Discography'!$N$4:$N$22,C5)&gt;0,"A Kind Of Magic",
IF(COUNTIF('Queen Discography'!$O$4:$O$22,C5)&gt;0,"The Miracle",
IF(COUNTIF('Queen Discography'!$P$4:$P$22,C5)&gt;0,"Innuendo",
IF(COUNTIF('Queen Discography'!$Q$4:$Q$22,C5)&gt;0,"Made In Heaven","NOT FOUND")))))))))))))))</f>
        <v>Queen</v>
      </c>
      <c r="I5" s="1"/>
      <c r="J5" s="98">
        <v>1.0</v>
      </c>
      <c r="K5" s="99">
        <f t="shared" ref="K5:K21" si="9">IF(MINIFS($G$4:$G$66,$D$4:$D$66,J5,$G$4:$G$66,"&lt;&gt;#N/A")=0,"N/A",MINIFS($G$4:$G$66,$D$4:$D$66,J5,$G$4:$G$66,"&lt;&gt;#N/A"))</f>
        <v>1973</v>
      </c>
      <c r="L5" s="99">
        <f t="shared" si="3"/>
        <v>1995</v>
      </c>
      <c r="M5" s="99">
        <f t="shared" si="4"/>
        <v>1985</v>
      </c>
      <c r="N5" s="99">
        <f>IFERROR(ROUND(AVERAGEIFS($G$4:$G$66,$D$4:$D$66,$J5,$G$4:$G$66,"&lt;&gt;#N/A"),0),"N/A")</f>
        <v>1985</v>
      </c>
      <c r="O5" s="99">
        <f>IFERROR(__xludf.DUMMYFUNCTION("IFERROR(MODE(FILTER($G$4:$G$66,$D$4:$D$66=$J5,ISNUMBER($G$4:$G$66))),""N/A"")"),1995.0)</f>
        <v>1995</v>
      </c>
      <c r="P5" s="99">
        <f t="shared" ref="P5:AE5" si="5">COUNTIFS($H$4:$H$66,P$3,$D$4:$D$66,$J5)</f>
        <v>2</v>
      </c>
      <c r="Q5" s="99">
        <f t="shared" si="5"/>
        <v>0</v>
      </c>
      <c r="R5" s="99">
        <f t="shared" si="5"/>
        <v>0</v>
      </c>
      <c r="S5" s="99">
        <f t="shared" si="5"/>
        <v>1</v>
      </c>
      <c r="T5" s="99">
        <f t="shared" si="5"/>
        <v>1</v>
      </c>
      <c r="U5" s="99">
        <f t="shared" si="5"/>
        <v>0</v>
      </c>
      <c r="V5" s="99">
        <f t="shared" si="5"/>
        <v>1</v>
      </c>
      <c r="W5" s="99">
        <f t="shared" si="5"/>
        <v>0</v>
      </c>
      <c r="X5" s="99">
        <f t="shared" si="5"/>
        <v>0</v>
      </c>
      <c r="Y5" s="99">
        <f t="shared" si="5"/>
        <v>0</v>
      </c>
      <c r="Z5" s="99">
        <f t="shared" si="5"/>
        <v>1</v>
      </c>
      <c r="AA5" s="99">
        <f t="shared" si="5"/>
        <v>2</v>
      </c>
      <c r="AB5" s="99">
        <f t="shared" si="5"/>
        <v>2</v>
      </c>
      <c r="AC5" s="99">
        <f t="shared" si="5"/>
        <v>2</v>
      </c>
      <c r="AD5" s="99">
        <f t="shared" si="5"/>
        <v>3</v>
      </c>
      <c r="AE5" s="99">
        <f t="shared" si="5"/>
        <v>0</v>
      </c>
      <c r="AF5" s="101">
        <f t="array" ref="AF5:AU5">IFERROR(P5:AE5*TRANSPOSE('Queen MIDI'!$J$4:$J$19),"N/A")</f>
        <v>1.96875</v>
      </c>
      <c r="AG5" s="101">
        <v>0.0</v>
      </c>
      <c r="AH5" s="101">
        <v>0.0</v>
      </c>
      <c r="AI5" s="101">
        <v>0.7875</v>
      </c>
      <c r="AJ5" s="101">
        <v>1.3125</v>
      </c>
      <c r="AK5" s="101">
        <v>0.0</v>
      </c>
      <c r="AL5" s="101">
        <v>0.7875</v>
      </c>
      <c r="AM5" s="101">
        <v>0.0</v>
      </c>
      <c r="AN5" s="101" t="s">
        <v>357</v>
      </c>
      <c r="AO5" s="101">
        <v>0.0</v>
      </c>
      <c r="AP5" s="101">
        <v>0.984375</v>
      </c>
      <c r="AQ5" s="101">
        <v>1.575</v>
      </c>
      <c r="AR5" s="101">
        <v>1.575</v>
      </c>
      <c r="AS5" s="101">
        <v>0.875</v>
      </c>
      <c r="AT5" s="101">
        <v>1.6875</v>
      </c>
      <c r="AU5" s="101">
        <v>0.0</v>
      </c>
      <c r="AV5" s="99" t="str">
        <f>IFERROR(__xludf.DUMMYFUNCTION("JOIN("", "",FILTER($P$3:$AE$3,$P5:$AE5=MAX($P5:$AE5)))"),"Made In Heaven")</f>
        <v>Made In Heaven</v>
      </c>
      <c r="AW5" s="99">
        <f t="shared" si="6"/>
        <v>3</v>
      </c>
      <c r="AX5" s="99">
        <f>IFERROR(__xludf.DUMMYFUNCTION("COUNTA(FILTER($P$3:$AE$3,$P5:$AE5=MAX($P5:$AE5)))"),1.0)</f>
        <v>1</v>
      </c>
      <c r="AY5" s="99" t="str">
        <f>IFERROR(__xludf.DUMMYFUNCTION("IFERROR(JOIN("", "",FILTER($AF$3:$AU$3,$AF5:$AU5=MAXIFS($AF5:$AU5,$AF$23:$AU$23,TRUE),$AF$23:$AU$23)),""N/A"")"),"Queen")</f>
        <v>Queen</v>
      </c>
      <c r="AZ5" s="171" t="str">
        <f>IFERROR(__xludf.DUMMYFUNCTION("IFERROR(JOIN("", "",FILTER($P5:$AE5,$AF5:$AU5=MAXIFS($AF5:$AU5,$AF$23:$AU$23,TRUE),$AF$23:$AU$23)),""N/A"")"),"2")</f>
        <v>2</v>
      </c>
      <c r="BA5" s="103">
        <f>MAXIFS(AF5:AU5,$AF$23:$AU$23,TRUE)/'Queen MIDI'!$J$20</f>
        <v>0.5</v>
      </c>
      <c r="BB5" s="98">
        <f>IFERROR(__xludf.DUMMYFUNCTION("COUNTA(IFERROR(FILTER($AF$3:$AU$3,$AF5:$AU5=MAXIFS($AF5:$AU5,$AF$23:$AU$23,TRUE),$AF$23:$AU$23),))"),1.0)</f>
        <v>1</v>
      </c>
      <c r="BC5" s="103">
        <f t="shared" si="7"/>
        <v>0.2380952381</v>
      </c>
      <c r="BD5" s="99">
        <f t="shared" si="8"/>
        <v>15</v>
      </c>
      <c r="BE5" s="1"/>
    </row>
    <row r="6">
      <c r="A6" s="1"/>
      <c r="C6" s="66" t="str">
        <f t="array" ref="C6">INDEX('Queen MIDI'!$C$4:$C$66,MATCH(F6,'Queen MIDI'!$D$4:$D$66,0))</f>
        <v>Son and Daughter</v>
      </c>
      <c r="D6" s="150">
        <v>1.0</v>
      </c>
      <c r="E6" s="151" t="s">
        <v>360</v>
      </c>
      <c r="F6" s="66" t="str">
        <f t="shared" si="2"/>
        <v>Son and Daughter.1.mid</v>
      </c>
      <c r="G6" s="129">
        <f>HLOOKUP(H6,'Queen Discography'!$C$2:$Q$3,2,FALSE)</f>
        <v>1973</v>
      </c>
      <c r="H6" s="66" t="str">
        <f>IF(COUNTIF('Queen Discography'!$C$4:$C$22,C6)&gt;0,"Queen",
IF(COUNTIF('Queen Discography'!$D$4:$D$22,C6)&gt;0,"Queen II",
IF(COUNTIF('Queen Discography'!$E$4:$E$22,C6)&gt;0,"Sheer Heart Attack",
IF(COUNTIF('Queen Discography'!$F$4:$F$22,C6)&gt;0,"A Night At The Opera",
IF(COUNTIF('Queen Discography'!$G$4:$G$22,C6)&gt;0,"A Day At The Races",
IF(COUNTIF('Queen Discography'!$H$4:$H$22,C6)&gt;0,"News Of The World",
IF(COUNTIF('Queen Discography'!$I$4:$I$22,C6)&gt;0,"Jazz",
IF(COUNTIF('Queen Discography'!$J$4:$J$22,C6)&gt;0,"The Game",
IF(COUNTIF('Queen Discography'!$K$4:$K$22,C6)&gt;0,"Flash Gordon",
IF(COUNTIF('Queen Discography'!$L$4:$L$22,C6)&gt;0,"Hot Space",
IF(COUNTIF('Queen Discography'!$M$4:$M$22,C6)&gt;0,"The Works",
IF(COUNTIF('Queen Discography'!$N$4:$N$22,C6)&gt;0,"A Kind Of Magic",
IF(COUNTIF('Queen Discography'!$O$4:$O$22,C6)&gt;0,"The Miracle",
IF(COUNTIF('Queen Discography'!$P$4:$P$22,C6)&gt;0,"Innuendo",
IF(COUNTIF('Queen Discography'!$Q$4:$Q$22,C6)&gt;0,"Made In Heaven","NOT FOUND")))))))))))))))</f>
        <v>Queen</v>
      </c>
      <c r="I6" s="1"/>
      <c r="J6" s="98">
        <v>2.0</v>
      </c>
      <c r="K6" s="99">
        <f t="shared" si="9"/>
        <v>1973</v>
      </c>
      <c r="L6" s="99">
        <f t="shared" si="3"/>
        <v>1995</v>
      </c>
      <c r="M6" s="99">
        <f t="shared" si="4"/>
        <v>1983</v>
      </c>
      <c r="N6" s="100">
        <f>IFERROR(__xludf.DUMMYFUNCTION("IFERROR(MEDIAN(FILTER($G$4:$G$66,$D$4:$D$66=$J6,ISNUMBER($G$4:$G$66))),""N/A"")"),1981.0)</f>
        <v>1981</v>
      </c>
      <c r="O6" s="99">
        <f>IFERROR(__xludf.DUMMYFUNCTION("IFERROR(MODE(FILTER($G$4:$G$66,$D$4:$D$66=$J6,ISNUMBER($G$4:$G$66))),""N/A"")"),1991.0)</f>
        <v>1991</v>
      </c>
      <c r="P6" s="99">
        <f t="shared" ref="P6:AE6" si="10">COUNTIFS($H$4:$H$66,P$3,$D$4:$D$66,$J6)</f>
        <v>2</v>
      </c>
      <c r="Q6" s="99">
        <f t="shared" si="10"/>
        <v>2</v>
      </c>
      <c r="R6" s="99">
        <f t="shared" si="10"/>
        <v>2</v>
      </c>
      <c r="S6" s="99">
        <f t="shared" si="10"/>
        <v>4</v>
      </c>
      <c r="T6" s="99">
        <f t="shared" si="10"/>
        <v>1</v>
      </c>
      <c r="U6" s="99">
        <f t="shared" si="10"/>
        <v>3</v>
      </c>
      <c r="V6" s="99">
        <f t="shared" si="10"/>
        <v>3</v>
      </c>
      <c r="W6" s="99">
        <f t="shared" si="10"/>
        <v>2</v>
      </c>
      <c r="X6" s="99">
        <f t="shared" si="10"/>
        <v>0</v>
      </c>
      <c r="Y6" s="99">
        <f t="shared" si="10"/>
        <v>1</v>
      </c>
      <c r="Z6" s="99">
        <f t="shared" si="10"/>
        <v>3</v>
      </c>
      <c r="AA6" s="99">
        <f t="shared" si="10"/>
        <v>2</v>
      </c>
      <c r="AB6" s="99">
        <f t="shared" si="10"/>
        <v>3</v>
      </c>
      <c r="AC6" s="99">
        <f t="shared" si="10"/>
        <v>6</v>
      </c>
      <c r="AD6" s="99">
        <f t="shared" si="10"/>
        <v>4</v>
      </c>
      <c r="AE6" s="99">
        <f t="shared" si="10"/>
        <v>1</v>
      </c>
      <c r="AF6" s="101">
        <f t="array" ref="AF6:AU6">IFERROR(P6:AE6*TRANSPOSE('Queen MIDI'!$J$4:$J$19),"N/A")</f>
        <v>1.96875</v>
      </c>
      <c r="AG6" s="101">
        <v>2.625</v>
      </c>
      <c r="AH6" s="101">
        <v>3.9375</v>
      </c>
      <c r="AI6" s="101">
        <v>3.15</v>
      </c>
      <c r="AJ6" s="101">
        <v>1.3125</v>
      </c>
      <c r="AK6" s="101">
        <v>2.953125</v>
      </c>
      <c r="AL6" s="101">
        <v>2.3625</v>
      </c>
      <c r="AM6" s="101">
        <v>1.96875</v>
      </c>
      <c r="AN6" s="101" t="s">
        <v>357</v>
      </c>
      <c r="AO6" s="101">
        <v>3.9375</v>
      </c>
      <c r="AP6" s="101">
        <v>2.953125</v>
      </c>
      <c r="AQ6" s="101">
        <v>1.575</v>
      </c>
      <c r="AR6" s="101">
        <v>2.3625</v>
      </c>
      <c r="AS6" s="101">
        <v>2.625</v>
      </c>
      <c r="AT6" s="101">
        <v>2.25</v>
      </c>
      <c r="AU6" s="101">
        <v>1.96875</v>
      </c>
      <c r="AV6" s="99" t="str">
        <f>IFERROR(__xludf.DUMMYFUNCTION("JOIN("", "",FILTER($P$3:$AE$3,$P6:$AE6=MAX($P6:$AE6)))"),"Innuendo")</f>
        <v>Innuendo</v>
      </c>
      <c r="AW6" s="99">
        <f t="shared" si="6"/>
        <v>6</v>
      </c>
      <c r="AX6" s="99">
        <f>IFERROR(__xludf.DUMMYFUNCTION("COUNTA(FILTER($P$3:$AE$3,$P6:$AE6=MAX($P6:$AE6)))"),1.0)</f>
        <v>1</v>
      </c>
      <c r="AY6" s="99" t="str">
        <f>IFERROR(__xludf.DUMMYFUNCTION("IFERROR(JOIN("", "",FILTER($AF$3:$AU$3,$AF6:$AU6=MAXIFS($AF6:$AU6,$AF$23:$AU$23,TRUE),$AF$23:$AU$23)),""N/A"")"),"Sheer Heart Attack")</f>
        <v>Sheer Heart Attack</v>
      </c>
      <c r="AZ6" s="172" t="str">
        <f>IFERROR(__xludf.DUMMYFUNCTION("IFERROR(JOIN("", "",FILTER($P6:$AE6,$AF6:$AU6=MAXIFS($AF6:$AU6,$AF$23:$AU$23,TRUE),$AF$23:$AU$23)),""N/A"")"),"2")</f>
        <v>2</v>
      </c>
      <c r="BA6" s="103">
        <f>MAXIFS(AF6:AU6,$AF$23:$AU$23,TRUE)/'Queen MIDI'!$J$20</f>
        <v>1</v>
      </c>
      <c r="BB6" s="98">
        <f>IFERROR(__xludf.DUMMYFUNCTION("COUNTA(IFERROR(FILTER($AF$3:$AU$3,$AF6:$AU6=MAXIFS($AF6:$AU6,$AF$23:$AU$23,TRUE),$AF$23:$AU$23),))"),1.0)</f>
        <v>1</v>
      </c>
      <c r="BC6" s="103">
        <f t="shared" si="7"/>
        <v>0.619047619</v>
      </c>
      <c r="BD6" s="99">
        <f t="shared" si="8"/>
        <v>39</v>
      </c>
      <c r="BE6" s="1"/>
    </row>
    <row r="7">
      <c r="A7" s="1"/>
      <c r="C7" s="66" t="str">
        <f t="array" ref="C7">INDEX('Queen MIDI'!$C$4:$C$66,MATCH(F7,'Queen MIDI'!$D$4:$D$66,0))</f>
        <v>Death On Two Legs</v>
      </c>
      <c r="D7" s="154">
        <v>1.0</v>
      </c>
      <c r="E7" s="155" t="s">
        <v>367</v>
      </c>
      <c r="F7" s="66" t="str">
        <f t="shared" si="2"/>
        <v>Death on Two Legs (Dedicated To...).mid</v>
      </c>
      <c r="G7" s="126">
        <f>HLOOKUP(H7,'Queen Discography'!$C$2:$Q$3,2,FALSE)</f>
        <v>1975</v>
      </c>
      <c r="H7" s="66" t="str">
        <f>IF(COUNTIF('Queen Discography'!$C$4:$C$22,C7)&gt;0,"Queen",
IF(COUNTIF('Queen Discography'!$D$4:$D$22,C7)&gt;0,"Queen II",
IF(COUNTIF('Queen Discography'!$E$4:$E$22,C7)&gt;0,"Sheer Heart Attack",
IF(COUNTIF('Queen Discography'!$F$4:$F$22,C7)&gt;0,"A Night At The Opera",
IF(COUNTIF('Queen Discography'!$G$4:$G$22,C7)&gt;0,"A Day At The Races",
IF(COUNTIF('Queen Discography'!$H$4:$H$22,C7)&gt;0,"News Of The World",
IF(COUNTIF('Queen Discography'!$I$4:$I$22,C7)&gt;0,"Jazz",
IF(COUNTIF('Queen Discography'!$J$4:$J$22,C7)&gt;0,"The Game",
IF(COUNTIF('Queen Discography'!$K$4:$K$22,C7)&gt;0,"Flash Gordon",
IF(COUNTIF('Queen Discography'!$L$4:$L$22,C7)&gt;0,"Hot Space",
IF(COUNTIF('Queen Discography'!$M$4:$M$22,C7)&gt;0,"The Works",
IF(COUNTIF('Queen Discography'!$N$4:$N$22,C7)&gt;0,"A Kind Of Magic",
IF(COUNTIF('Queen Discography'!$O$4:$O$22,C7)&gt;0,"The Miracle",
IF(COUNTIF('Queen Discography'!$P$4:$P$22,C7)&gt;0,"Innuendo",
IF(COUNTIF('Queen Discography'!$Q$4:$Q$22,C7)&gt;0,"Made In Heaven","NOT FOUND")))))))))))))))</f>
        <v>A Night At The Opera</v>
      </c>
      <c r="I7" s="1"/>
      <c r="J7" s="98">
        <v>3.0</v>
      </c>
      <c r="K7" s="99">
        <f t="shared" si="9"/>
        <v>1974</v>
      </c>
      <c r="L7" s="99">
        <f t="shared" si="3"/>
        <v>1974</v>
      </c>
      <c r="M7" s="99">
        <f t="shared" si="4"/>
        <v>1974</v>
      </c>
      <c r="N7" s="100">
        <f>IFERROR(__xludf.DUMMYFUNCTION("IFERROR(MEDIAN(FILTER($G$4:$G$66,$D$4:$D$66=$J7,ISNUMBER($G$4:$G$66))),""N/A"")"),1974.0)</f>
        <v>1974</v>
      </c>
      <c r="O7" s="99" t="str">
        <f>IFERROR(__xludf.DUMMYFUNCTION("IFERROR(MODE(FILTER($G$4:$G$66,$D$4:$D$66=$J7,ISNUMBER($G$4:$G$66))),""N/A"")"),"N/A")</f>
        <v>N/A</v>
      </c>
      <c r="P7" s="99">
        <f t="shared" ref="P7:AE7" si="11">COUNTIFS($H$4:$H$66,P$3,$D$4:$D$66,$J7)</f>
        <v>0</v>
      </c>
      <c r="Q7" s="99">
        <f t="shared" si="11"/>
        <v>1</v>
      </c>
      <c r="R7" s="99">
        <f t="shared" si="11"/>
        <v>0</v>
      </c>
      <c r="S7" s="99">
        <f t="shared" si="11"/>
        <v>0</v>
      </c>
      <c r="T7" s="99">
        <f t="shared" si="11"/>
        <v>0</v>
      </c>
      <c r="U7" s="99">
        <f t="shared" si="11"/>
        <v>0</v>
      </c>
      <c r="V7" s="99">
        <f t="shared" si="11"/>
        <v>0</v>
      </c>
      <c r="W7" s="99">
        <f t="shared" si="11"/>
        <v>0</v>
      </c>
      <c r="X7" s="99">
        <f t="shared" si="11"/>
        <v>0</v>
      </c>
      <c r="Y7" s="99">
        <f t="shared" si="11"/>
        <v>0</v>
      </c>
      <c r="Z7" s="99">
        <f t="shared" si="11"/>
        <v>0</v>
      </c>
      <c r="AA7" s="99">
        <f t="shared" si="11"/>
        <v>0</v>
      </c>
      <c r="AB7" s="99">
        <f t="shared" si="11"/>
        <v>0</v>
      </c>
      <c r="AC7" s="99">
        <f t="shared" si="11"/>
        <v>0</v>
      </c>
      <c r="AD7" s="99">
        <f t="shared" si="11"/>
        <v>0</v>
      </c>
      <c r="AE7" s="99">
        <f t="shared" si="11"/>
        <v>0</v>
      </c>
      <c r="AF7" s="101">
        <f t="array" ref="AF7:AU7">IFERROR(P7:AE7*TRANSPOSE('Queen MIDI'!$J$4:$J$19),"N/A")</f>
        <v>0</v>
      </c>
      <c r="AG7" s="101">
        <v>1.3125</v>
      </c>
      <c r="AH7" s="101">
        <v>0.0</v>
      </c>
      <c r="AI7" s="101">
        <v>0.0</v>
      </c>
      <c r="AJ7" s="101">
        <v>0.0</v>
      </c>
      <c r="AK7" s="101">
        <v>0.0</v>
      </c>
      <c r="AL7" s="101">
        <v>0.0</v>
      </c>
      <c r="AM7" s="101">
        <v>0.0</v>
      </c>
      <c r="AN7" s="101" t="s">
        <v>357</v>
      </c>
      <c r="AO7" s="101">
        <v>0.0</v>
      </c>
      <c r="AP7" s="101">
        <v>0.0</v>
      </c>
      <c r="AQ7" s="101">
        <v>0.0</v>
      </c>
      <c r="AR7" s="101">
        <v>0.0</v>
      </c>
      <c r="AS7" s="101">
        <v>0.0</v>
      </c>
      <c r="AT7" s="101">
        <v>0.0</v>
      </c>
      <c r="AU7" s="101">
        <v>0.0</v>
      </c>
      <c r="AV7" s="99" t="str">
        <f>IFERROR(__xludf.DUMMYFUNCTION("JOIN("", "",FILTER($P$3:$AE$3,$P7:$AE7=MAX($P7:$AE7)))"),"Queen II")</f>
        <v>Queen II</v>
      </c>
      <c r="AW7" s="99">
        <f t="shared" si="6"/>
        <v>1</v>
      </c>
      <c r="AX7" s="99">
        <f>IFERROR(__xludf.DUMMYFUNCTION("COUNTA(FILTER($P$3:$AE$3,$P7:$AE7=MAX($P7:$AE7)))"),1.0)</f>
        <v>1</v>
      </c>
      <c r="AY7" s="99" t="str">
        <f>IFERROR(__xludf.DUMMYFUNCTION("IFERROR(JOIN("", "",FILTER($AF$3:$AU$3,$AF7:$AU7=MAXIFS($AF7:$AU7,$AF$23:$AU$23,TRUE),$AF$23:$AU$23)),""N/A"")"),"Queen II")</f>
        <v>Queen II</v>
      </c>
      <c r="AZ7" s="173" t="str">
        <f>IFERROR(__xludf.DUMMYFUNCTION("IFERROR(JOIN("", "",FILTER($P7:$AE7,$AF7:$AU7=MAXIFS($AF7:$AU7,$AF$23:$AU$23,TRUE),$AF$23:$AU$23)),""N/A"")"),"1")</f>
        <v>1</v>
      </c>
      <c r="BA7" s="103">
        <f>MAXIFS(AF7:AU7,$AF$23:$AU$23,TRUE)/'Queen MIDI'!$J$20</f>
        <v>0.3333333333</v>
      </c>
      <c r="BB7" s="98">
        <f>IFERROR(__xludf.DUMMYFUNCTION("COUNTA(IFERROR(FILTER($AF$3:$AU$3,$AF7:$AU7=MAXIFS($AF7:$AU7,$AF$23:$AU$23,TRUE),$AF$23:$AU$23),))"),1.0)</f>
        <v>1</v>
      </c>
      <c r="BC7" s="103">
        <f t="shared" si="7"/>
        <v>0.01587301587</v>
      </c>
      <c r="BD7" s="99">
        <f t="shared" si="8"/>
        <v>1</v>
      </c>
      <c r="BE7" s="1"/>
    </row>
    <row r="8">
      <c r="A8" s="1"/>
      <c r="C8" s="66" t="str">
        <f t="array" ref="C8">INDEX('Queen MIDI'!$C$4:$C$66,MATCH(F8,'Queen MIDI'!$D$4:$D$66,0))</f>
        <v>White Man</v>
      </c>
      <c r="D8" s="156">
        <v>1.0</v>
      </c>
      <c r="E8" s="157" t="s">
        <v>372</v>
      </c>
      <c r="F8" s="66" t="str">
        <f t="shared" si="2"/>
        <v>White Man.mid</v>
      </c>
      <c r="G8" s="123">
        <f>HLOOKUP(H8,'Queen Discography'!$C$2:$Q$3,2,FALSE)</f>
        <v>1976</v>
      </c>
      <c r="H8" s="66" t="str">
        <f>IF(COUNTIF('Queen Discography'!$C$4:$C$22,C8)&gt;0,"Queen",
IF(COUNTIF('Queen Discography'!$D$4:$D$22,C8)&gt;0,"Queen II",
IF(COUNTIF('Queen Discography'!$E$4:$E$22,C8)&gt;0,"Sheer Heart Attack",
IF(COUNTIF('Queen Discography'!$F$4:$F$22,C8)&gt;0,"A Night At The Opera",
IF(COUNTIF('Queen Discography'!$G$4:$G$22,C8)&gt;0,"A Day At The Races",
IF(COUNTIF('Queen Discography'!$H$4:$H$22,C8)&gt;0,"News Of The World",
IF(COUNTIF('Queen Discography'!$I$4:$I$22,C8)&gt;0,"Jazz",
IF(COUNTIF('Queen Discography'!$J$4:$J$22,C8)&gt;0,"The Game",
IF(COUNTIF('Queen Discography'!$K$4:$K$22,C8)&gt;0,"Flash Gordon",
IF(COUNTIF('Queen Discography'!$L$4:$L$22,C8)&gt;0,"Hot Space",
IF(COUNTIF('Queen Discography'!$M$4:$M$22,C8)&gt;0,"The Works",
IF(COUNTIF('Queen Discography'!$N$4:$N$22,C8)&gt;0,"A Kind Of Magic",
IF(COUNTIF('Queen Discography'!$O$4:$O$22,C8)&gt;0,"The Miracle",
IF(COUNTIF('Queen Discography'!$P$4:$P$22,C8)&gt;0,"Innuendo",
IF(COUNTIF('Queen Discography'!$Q$4:$Q$22,C8)&gt;0,"Made In Heaven","NOT FOUND")))))))))))))))</f>
        <v>A Day At The Races</v>
      </c>
      <c r="I8" s="1"/>
      <c r="J8" s="98">
        <v>4.0</v>
      </c>
      <c r="K8" s="99">
        <f t="shared" si="9"/>
        <v>1976</v>
      </c>
      <c r="L8" s="99">
        <f t="shared" si="3"/>
        <v>1991</v>
      </c>
      <c r="M8" s="99">
        <f t="shared" si="4"/>
        <v>1982</v>
      </c>
      <c r="N8" s="100">
        <f>IFERROR(__xludf.DUMMYFUNCTION("IFERROR(MEDIAN(FILTER($G$4:$G$66,$D$4:$D$66=$J8,ISNUMBER($G$4:$G$66))),""N/A"")"),1980.0)</f>
        <v>1980</v>
      </c>
      <c r="O8" s="99" t="str">
        <f>IFERROR(__xludf.DUMMYFUNCTION("IFERROR(MODE(FILTER($G$4:$G$66,$D$4:$D$66=$J8,ISNUMBER($G$4:$G$66))),""N/A"")"),"N/A")</f>
        <v>N/A</v>
      </c>
      <c r="P8" s="99">
        <f t="shared" ref="P8:AE8" si="12">COUNTIFS($H$4:$H$66,P$3,$D$4:$D$66,$J8)</f>
        <v>0</v>
      </c>
      <c r="Q8" s="99">
        <f t="shared" si="12"/>
        <v>0</v>
      </c>
      <c r="R8" s="99">
        <f t="shared" si="12"/>
        <v>0</v>
      </c>
      <c r="S8" s="99">
        <f t="shared" si="12"/>
        <v>0</v>
      </c>
      <c r="T8" s="99">
        <f t="shared" si="12"/>
        <v>1</v>
      </c>
      <c r="U8" s="99">
        <f t="shared" si="12"/>
        <v>0</v>
      </c>
      <c r="V8" s="99">
        <f t="shared" si="12"/>
        <v>1</v>
      </c>
      <c r="W8" s="99">
        <f t="shared" si="12"/>
        <v>1</v>
      </c>
      <c r="X8" s="99">
        <f t="shared" si="12"/>
        <v>0</v>
      </c>
      <c r="Y8" s="99">
        <f t="shared" si="12"/>
        <v>0</v>
      </c>
      <c r="Z8" s="99">
        <f t="shared" si="12"/>
        <v>0</v>
      </c>
      <c r="AA8" s="99">
        <f t="shared" si="12"/>
        <v>1</v>
      </c>
      <c r="AB8" s="99">
        <f t="shared" si="12"/>
        <v>0</v>
      </c>
      <c r="AC8" s="99">
        <f t="shared" si="12"/>
        <v>1</v>
      </c>
      <c r="AD8" s="99">
        <f t="shared" si="12"/>
        <v>0</v>
      </c>
      <c r="AE8" s="99">
        <f t="shared" si="12"/>
        <v>0</v>
      </c>
      <c r="AF8" s="104">
        <f t="array" ref="AF8:AU8">IFERROR(P8:AE8*TRANSPOSE('Queen MIDI'!$J$4:$J$19),"N/A")</f>
        <v>0</v>
      </c>
      <c r="AG8" s="104">
        <v>0.0</v>
      </c>
      <c r="AH8" s="104">
        <v>0.0</v>
      </c>
      <c r="AI8" s="104">
        <v>0.0</v>
      </c>
      <c r="AJ8" s="104">
        <v>1.3125</v>
      </c>
      <c r="AK8" s="104">
        <v>0.0</v>
      </c>
      <c r="AL8" s="104">
        <v>0.7875</v>
      </c>
      <c r="AM8" s="104">
        <v>0.984375</v>
      </c>
      <c r="AN8" s="104" t="s">
        <v>357</v>
      </c>
      <c r="AO8" s="104">
        <v>0.0</v>
      </c>
      <c r="AP8" s="104">
        <v>0.0</v>
      </c>
      <c r="AQ8" s="104">
        <v>0.7875</v>
      </c>
      <c r="AR8" s="104">
        <v>0.0</v>
      </c>
      <c r="AS8" s="104">
        <v>0.4375</v>
      </c>
      <c r="AT8" s="104">
        <v>0.0</v>
      </c>
      <c r="AU8" s="104">
        <v>0.0</v>
      </c>
      <c r="AV8" s="99" t="str">
        <f>IFERROR(__xludf.DUMMYFUNCTION("JOIN("", "",FILTER($P$3:$AE$3,$P8:$AE8=MAX($P8:$AE8)))"),"A Day At The Races, Jazz, The Game, A Kind Of Magic, Innuendo")</f>
        <v>A Day At The Races, Jazz, The Game, A Kind Of Magic, Innuendo</v>
      </c>
      <c r="AW8" s="99">
        <f t="shared" si="6"/>
        <v>1</v>
      </c>
      <c r="AX8" s="99">
        <f>IFERROR(__xludf.DUMMYFUNCTION("COUNTA(FILTER($P$3:$AE$3,$P8:$AE8=MAX($P8:$AE8)))"),5.0)</f>
        <v>5</v>
      </c>
      <c r="AY8" s="99" t="str">
        <f>IFERROR(__xludf.DUMMYFUNCTION("IFERROR(JOIN("", "",FILTER($AF$3:$AU$3,$AF8:$AU8=MAXIFS($AF8:$AU8,$AF$23:$AU$23,TRUE),$AF$23:$AU$23)),""N/A"")"),"A Day At The Races")</f>
        <v>A Day At The Races</v>
      </c>
      <c r="AZ8" s="172" t="str">
        <f>IFERROR(__xludf.DUMMYFUNCTION("IFERROR(JOIN("", "",FILTER($P8:$AE8,$AF8:$AU8=MAXIFS($AF8:$AU8,$AF$23:$AU$23,TRUE),$AF$23:$AU$23)),""N/A"")"),"1")</f>
        <v>1</v>
      </c>
      <c r="BA8" s="103">
        <f>MAXIFS(AF8:AU8,$AF$23:$AU$23,TRUE)/'Queen MIDI'!$J$20</f>
        <v>0.3333333333</v>
      </c>
      <c r="BB8" s="98">
        <f>IFERROR(__xludf.DUMMYFUNCTION("COUNTA(IFERROR(FILTER($AF$3:$AU$3,$AF8:$AU8=MAXIFS($AF8:$AU8,$AF$23:$AU$23,TRUE),$AF$23:$AU$23),))"),1.0)</f>
        <v>1</v>
      </c>
      <c r="BC8" s="103">
        <f t="shared" si="7"/>
        <v>0.07936507937</v>
      </c>
      <c r="BD8" s="99">
        <f t="shared" si="8"/>
        <v>5</v>
      </c>
      <c r="BE8" s="1"/>
    </row>
    <row r="9">
      <c r="A9" s="1"/>
      <c r="C9" s="66" t="str">
        <f t="array" ref="C9">INDEX('Queen MIDI'!$C$4:$C$66,MATCH(F9,'Queen MIDI'!$D$4:$D$66,0))</f>
        <v>Fun It</v>
      </c>
      <c r="D9" s="138">
        <v>1.0</v>
      </c>
      <c r="E9" s="139" t="s">
        <v>379</v>
      </c>
      <c r="F9" s="66" t="str">
        <f t="shared" si="2"/>
        <v>Fun It.mid</v>
      </c>
      <c r="G9" s="119">
        <f>HLOOKUP(H9,'Queen Discography'!$C$2:$Q$3,2,FALSE)</f>
        <v>1978</v>
      </c>
      <c r="H9" s="66" t="str">
        <f>IF(COUNTIF('Queen Discography'!$C$4:$C$22,C9)&gt;0,"Queen",
IF(COUNTIF('Queen Discography'!$D$4:$D$22,C9)&gt;0,"Queen II",
IF(COUNTIF('Queen Discography'!$E$4:$E$22,C9)&gt;0,"Sheer Heart Attack",
IF(COUNTIF('Queen Discography'!$F$4:$F$22,C9)&gt;0,"A Night At The Opera",
IF(COUNTIF('Queen Discography'!$G$4:$G$22,C9)&gt;0,"A Day At The Races",
IF(COUNTIF('Queen Discography'!$H$4:$H$22,C9)&gt;0,"News Of The World",
IF(COUNTIF('Queen Discography'!$I$4:$I$22,C9)&gt;0,"Jazz",
IF(COUNTIF('Queen Discography'!$J$4:$J$22,C9)&gt;0,"The Game",
IF(COUNTIF('Queen Discography'!$K$4:$K$22,C9)&gt;0,"Flash Gordon",
IF(COUNTIF('Queen Discography'!$L$4:$L$22,C9)&gt;0,"Hot Space",
IF(COUNTIF('Queen Discography'!$M$4:$M$22,C9)&gt;0,"The Works",
IF(COUNTIF('Queen Discography'!$N$4:$N$22,C9)&gt;0,"A Kind Of Magic",
IF(COUNTIF('Queen Discography'!$O$4:$O$22,C9)&gt;0,"The Miracle",
IF(COUNTIF('Queen Discography'!$P$4:$P$22,C9)&gt;0,"Innuendo",
IF(COUNTIF('Queen Discography'!$Q$4:$Q$22,C9)&gt;0,"Made In Heaven","NOT FOUND")))))))))))))))</f>
        <v>Jazz</v>
      </c>
      <c r="I9" s="1"/>
      <c r="J9" s="98">
        <v>5.0</v>
      </c>
      <c r="K9" s="99" t="str">
        <f t="shared" si="9"/>
        <v>N/A</v>
      </c>
      <c r="L9" s="99" t="str">
        <f t="shared" si="3"/>
        <v>N/A</v>
      </c>
      <c r="M9" s="99" t="str">
        <f t="shared" si="4"/>
        <v>N/A</v>
      </c>
      <c r="N9" s="100" t="str">
        <f>IFERROR(__xludf.DUMMYFUNCTION("IFERROR(MEDIAN(FILTER($G$4:$G$66,$D$4:$D$66=$J9,ISNUMBER($G$4:$G$66))),""N/A"")"),"N/A")</f>
        <v>N/A</v>
      </c>
      <c r="O9" s="99" t="str">
        <f>IFERROR(__xludf.DUMMYFUNCTION("IFERROR(MODE(FILTER($G$4:$G$66,$D$4:$D$66=$J9,ISNUMBER($G$4:$G$66))),""N/A"")"),"N/A")</f>
        <v>N/A</v>
      </c>
      <c r="P9" s="99">
        <f t="shared" ref="P9:AE9" si="13">COUNTIFS($H$4:$H$66,P$3,$D$4:$D$66,$J9)</f>
        <v>0</v>
      </c>
      <c r="Q9" s="99">
        <f t="shared" si="13"/>
        <v>0</v>
      </c>
      <c r="R9" s="99">
        <f t="shared" si="13"/>
        <v>0</v>
      </c>
      <c r="S9" s="99">
        <f t="shared" si="13"/>
        <v>0</v>
      </c>
      <c r="T9" s="99">
        <f t="shared" si="13"/>
        <v>0</v>
      </c>
      <c r="U9" s="99">
        <f t="shared" si="13"/>
        <v>0</v>
      </c>
      <c r="V9" s="99">
        <f t="shared" si="13"/>
        <v>0</v>
      </c>
      <c r="W9" s="99">
        <f t="shared" si="13"/>
        <v>0</v>
      </c>
      <c r="X9" s="99">
        <f t="shared" si="13"/>
        <v>0</v>
      </c>
      <c r="Y9" s="99">
        <f t="shared" si="13"/>
        <v>0</v>
      </c>
      <c r="Z9" s="99">
        <f t="shared" si="13"/>
        <v>0</v>
      </c>
      <c r="AA9" s="99">
        <f t="shared" si="13"/>
        <v>0</v>
      </c>
      <c r="AB9" s="99">
        <f t="shared" si="13"/>
        <v>0</v>
      </c>
      <c r="AC9" s="99">
        <f t="shared" si="13"/>
        <v>0</v>
      </c>
      <c r="AD9" s="99">
        <f t="shared" si="13"/>
        <v>0</v>
      </c>
      <c r="AE9" s="99">
        <f t="shared" si="13"/>
        <v>1</v>
      </c>
      <c r="AF9" s="104">
        <f t="array" ref="AF9:AU9">IFERROR(P9:AE9*TRANSPOSE('Queen MIDI'!$J$4:$J$19),"N/A")</f>
        <v>0</v>
      </c>
      <c r="AG9" s="104">
        <v>0.0</v>
      </c>
      <c r="AH9" s="104">
        <v>0.0</v>
      </c>
      <c r="AI9" s="104">
        <v>0.0</v>
      </c>
      <c r="AJ9" s="104">
        <v>0.0</v>
      </c>
      <c r="AK9" s="104">
        <v>0.0</v>
      </c>
      <c r="AL9" s="104">
        <v>0.0</v>
      </c>
      <c r="AM9" s="104">
        <v>0.0</v>
      </c>
      <c r="AN9" s="104" t="s">
        <v>357</v>
      </c>
      <c r="AO9" s="104">
        <v>0.0</v>
      </c>
      <c r="AP9" s="104">
        <v>0.0</v>
      </c>
      <c r="AQ9" s="104">
        <v>0.0</v>
      </c>
      <c r="AR9" s="104">
        <v>0.0</v>
      </c>
      <c r="AS9" s="104">
        <v>0.0</v>
      </c>
      <c r="AT9" s="104">
        <v>0.0</v>
      </c>
      <c r="AU9" s="104">
        <v>1.96875</v>
      </c>
      <c r="AV9" s="99" t="str">
        <f>IFERROR(__xludf.DUMMYFUNCTION("JOIN("", "",FILTER($P$3:$AE$3,$P9:$AE9=MAX($P9:$AE9)))"),"NOT FOUND")</f>
        <v>NOT FOUND</v>
      </c>
      <c r="AW9" s="99">
        <f t="shared" si="6"/>
        <v>1</v>
      </c>
      <c r="AX9" s="99">
        <f>IFERROR(__xludf.DUMMYFUNCTION("COUNTA(FILTER($P$3:$AE$3,$P9:$AE9=MAX($P9:$AE9)))"),1.0)</f>
        <v>1</v>
      </c>
      <c r="AY9" s="99" t="str">
        <f>IFERROR(__xludf.DUMMYFUNCTION("IFERROR(JOIN("", "",FILTER($AF$3:$AU$3,$AF9:$AU9=MAXIFS($AF9:$AU9,$AF$23:$AU$23,TRUE),$AF$23:$AU$23)),""N/A"")"),"NOT FOUND")</f>
        <v>NOT FOUND</v>
      </c>
      <c r="AZ9" s="173" t="str">
        <f>IFERROR(__xludf.DUMMYFUNCTION("IFERROR(JOIN("", "",FILTER($P9:$AE9,$AF9:$AU9=MAXIFS($AF9:$AU9,$AF$23:$AU$23,TRUE),$AF$23:$AU$23)),""N/A"")"),"1")</f>
        <v>1</v>
      </c>
      <c r="BA9" s="103">
        <f>MAXIFS(AF9:AU9,$AF$23:$AU$23,TRUE)/'Queen MIDI'!$J$20</f>
        <v>0.5</v>
      </c>
      <c r="BB9" s="98">
        <f>IFERROR(__xludf.DUMMYFUNCTION("COUNTA(IFERROR(FILTER($AF$3:$AU$3,$AF9:$AU9=MAXIFS($AF9:$AU9,$AF$23:$AU$23,TRUE),$AF$23:$AU$23),))"),1.0)</f>
        <v>1</v>
      </c>
      <c r="BC9" s="103">
        <f t="shared" si="7"/>
        <v>0.01587301587</v>
      </c>
      <c r="BD9" s="99">
        <f t="shared" si="8"/>
        <v>1</v>
      </c>
      <c r="BE9" s="1"/>
    </row>
    <row r="10">
      <c r="A10" s="1"/>
      <c r="C10" s="66" t="str">
        <f t="array" ref="C10">INDEX('Queen MIDI'!$C$4:$C$66,MATCH(F10,'Queen MIDI'!$D$4:$D$66,0))</f>
        <v>I Want to Break Free</v>
      </c>
      <c r="D10" s="160">
        <v>1.0</v>
      </c>
      <c r="E10" s="161" t="s">
        <v>387</v>
      </c>
      <c r="F10" s="66" t="str">
        <f t="shared" si="2"/>
        <v>I Want to Break Free.3.mid</v>
      </c>
      <c r="G10" s="120">
        <f>HLOOKUP(H10,'Queen Discography'!$C$2:$Q$3,2,FALSE)</f>
        <v>1984</v>
      </c>
      <c r="H10" s="66" t="str">
        <f>IF(COUNTIF('Queen Discography'!$C$4:$C$22,C10)&gt;0,"Queen",
IF(COUNTIF('Queen Discography'!$D$4:$D$22,C10)&gt;0,"Queen II",
IF(COUNTIF('Queen Discography'!$E$4:$E$22,C10)&gt;0,"Sheer Heart Attack",
IF(COUNTIF('Queen Discography'!$F$4:$F$22,C10)&gt;0,"A Night At The Opera",
IF(COUNTIF('Queen Discography'!$G$4:$G$22,C10)&gt;0,"A Day At The Races",
IF(COUNTIF('Queen Discography'!$H$4:$H$22,C10)&gt;0,"News Of The World",
IF(COUNTIF('Queen Discography'!$I$4:$I$22,C10)&gt;0,"Jazz",
IF(COUNTIF('Queen Discography'!$J$4:$J$22,C10)&gt;0,"The Game",
IF(COUNTIF('Queen Discography'!$K$4:$K$22,C10)&gt;0,"Flash Gordon",
IF(COUNTIF('Queen Discography'!$L$4:$L$22,C10)&gt;0,"Hot Space",
IF(COUNTIF('Queen Discography'!$M$4:$M$22,C10)&gt;0,"The Works",
IF(COUNTIF('Queen Discography'!$N$4:$N$22,C10)&gt;0,"A Kind Of Magic",
IF(COUNTIF('Queen Discography'!$O$4:$O$22,C10)&gt;0,"The Miracle",
IF(COUNTIF('Queen Discography'!$P$4:$P$22,C10)&gt;0,"Innuendo",
IF(COUNTIF('Queen Discography'!$Q$4:$Q$22,C10)&gt;0,"Made In Heaven","NOT FOUND")))))))))))))))</f>
        <v>The Works</v>
      </c>
      <c r="I10" s="1"/>
      <c r="J10" s="98">
        <v>6.0</v>
      </c>
      <c r="K10" s="99">
        <f t="shared" si="9"/>
        <v>1977</v>
      </c>
      <c r="L10" s="99">
        <f t="shared" si="3"/>
        <v>1977</v>
      </c>
      <c r="M10" s="99">
        <f t="shared" si="4"/>
        <v>1977</v>
      </c>
      <c r="N10" s="100">
        <f>IFERROR(__xludf.DUMMYFUNCTION("IFERROR(MEDIAN(FILTER($G$4:$G$66,$D$4:$D$66=$J10,ISNUMBER($G$4:$G$66))),""N/A"")"),1977.0)</f>
        <v>1977</v>
      </c>
      <c r="O10" s="99" t="str">
        <f>IFERROR(__xludf.DUMMYFUNCTION("IFERROR(MODE(FILTER($G$4:$G$66,$D$4:$D$66=$J10,ISNUMBER($G$4:$G$66))),""N/A"")"),"N/A")</f>
        <v>N/A</v>
      </c>
      <c r="P10" s="99">
        <f t="shared" ref="P10:AE10" si="14">COUNTIFS($H$4:$H$66,P$3,$D$4:$D$66,$J10)</f>
        <v>0</v>
      </c>
      <c r="Q10" s="99">
        <f t="shared" si="14"/>
        <v>0</v>
      </c>
      <c r="R10" s="99">
        <f t="shared" si="14"/>
        <v>0</v>
      </c>
      <c r="S10" s="99">
        <f t="shared" si="14"/>
        <v>0</v>
      </c>
      <c r="T10" s="99">
        <f t="shared" si="14"/>
        <v>0</v>
      </c>
      <c r="U10" s="99">
        <f t="shared" si="14"/>
        <v>1</v>
      </c>
      <c r="V10" s="99">
        <f t="shared" si="14"/>
        <v>0</v>
      </c>
      <c r="W10" s="99">
        <f t="shared" si="14"/>
        <v>0</v>
      </c>
      <c r="X10" s="99">
        <f t="shared" si="14"/>
        <v>0</v>
      </c>
      <c r="Y10" s="99">
        <f t="shared" si="14"/>
        <v>0</v>
      </c>
      <c r="Z10" s="99">
        <f t="shared" si="14"/>
        <v>0</v>
      </c>
      <c r="AA10" s="99">
        <f t="shared" si="14"/>
        <v>0</v>
      </c>
      <c r="AB10" s="99">
        <f t="shared" si="14"/>
        <v>0</v>
      </c>
      <c r="AC10" s="99">
        <f t="shared" si="14"/>
        <v>0</v>
      </c>
      <c r="AD10" s="99">
        <f t="shared" si="14"/>
        <v>0</v>
      </c>
      <c r="AE10" s="99">
        <f t="shared" si="14"/>
        <v>0</v>
      </c>
      <c r="AF10" s="104">
        <f t="array" ref="AF10:AU10">IFERROR(P10:AE10*TRANSPOSE('Queen MIDI'!$J$4:$J$19),"N/A")</f>
        <v>0</v>
      </c>
      <c r="AG10" s="104">
        <v>0.0</v>
      </c>
      <c r="AH10" s="104">
        <v>0.0</v>
      </c>
      <c r="AI10" s="104">
        <v>0.0</v>
      </c>
      <c r="AJ10" s="104">
        <v>0.0</v>
      </c>
      <c r="AK10" s="104">
        <v>0.984375</v>
      </c>
      <c r="AL10" s="104">
        <v>0.0</v>
      </c>
      <c r="AM10" s="104">
        <v>0.0</v>
      </c>
      <c r="AN10" s="104" t="s">
        <v>357</v>
      </c>
      <c r="AO10" s="104">
        <v>0.0</v>
      </c>
      <c r="AP10" s="104">
        <v>0.0</v>
      </c>
      <c r="AQ10" s="104">
        <v>0.0</v>
      </c>
      <c r="AR10" s="104">
        <v>0.0</v>
      </c>
      <c r="AS10" s="104">
        <v>0.0</v>
      </c>
      <c r="AT10" s="104">
        <v>0.0</v>
      </c>
      <c r="AU10" s="104">
        <v>0.0</v>
      </c>
      <c r="AV10" s="99" t="str">
        <f>IFERROR(__xludf.DUMMYFUNCTION("JOIN("", "",FILTER($P$3:$AE$3,$P10:$AE10=MAX($P10:$AE10)))"),"News Of The World")</f>
        <v>News Of The World</v>
      </c>
      <c r="AW10" s="99">
        <f t="shared" si="6"/>
        <v>1</v>
      </c>
      <c r="AX10" s="99">
        <f>IFERROR(__xludf.DUMMYFUNCTION("COUNTA(FILTER($P$3:$AE$3,$P10:$AE10=MAX($P10:$AE10)))"),1.0)</f>
        <v>1</v>
      </c>
      <c r="AY10" s="99" t="str">
        <f>IFERROR(__xludf.DUMMYFUNCTION("IFERROR(JOIN("", "",FILTER($AF$3:$AU$3,$AF10:$AU10=MAXIFS($AF10:$AU10,$AF$23:$AU$23,TRUE),$AF$23:$AU$23)),""N/A"")"),"News Of The World")</f>
        <v>News Of The World</v>
      </c>
      <c r="AZ10" s="173" t="str">
        <f>IFERROR(__xludf.DUMMYFUNCTION("IFERROR(JOIN("", "",FILTER($P10:$AE10,$AF10:$AU10=MAXIFS($AF10:$AU10,$AF$23:$AU$23,TRUE),$AF$23:$AU$23)),""N/A"")"),"1")</f>
        <v>1</v>
      </c>
      <c r="BA10" s="103">
        <f>MAXIFS(AF10:AU10,$AF$23:$AU$23,TRUE)/'Queen MIDI'!$J$20</f>
        <v>0.25</v>
      </c>
      <c r="BB10" s="98">
        <f>IFERROR(__xludf.DUMMYFUNCTION("COUNTA(IFERROR(FILTER($AF$3:$AU$3,$AF10:$AU10=MAXIFS($AF10:$AU10,$AF$23:$AU$23,TRUE),$AF$23:$AU$23),))"),1.0)</f>
        <v>1</v>
      </c>
      <c r="BC10" s="103">
        <f t="shared" si="7"/>
        <v>0.01587301587</v>
      </c>
      <c r="BD10" s="99">
        <f t="shared" si="8"/>
        <v>1</v>
      </c>
      <c r="BE10" s="1"/>
    </row>
    <row r="11">
      <c r="A11" s="1"/>
      <c r="C11" s="66" t="str">
        <f t="array" ref="C11">INDEX('Queen MIDI'!$C$4:$C$66,MATCH(F11,'Queen MIDI'!$D$4:$D$66,0))</f>
        <v>A Kind of Magic</v>
      </c>
      <c r="D11" s="162">
        <v>1.0</v>
      </c>
      <c r="E11" s="163" t="s">
        <v>390</v>
      </c>
      <c r="F11" s="66" t="str">
        <f t="shared" si="2"/>
        <v>A Kind of Magic.1.mid</v>
      </c>
      <c r="G11" s="126">
        <f>HLOOKUP(H11,'Queen Discography'!$C$2:$Q$3,2,FALSE)</f>
        <v>1986</v>
      </c>
      <c r="H11" s="66" t="str">
        <f>IF(COUNTIF('Queen Discography'!$C$4:$C$22,C11)&gt;0,"Queen",
IF(COUNTIF('Queen Discography'!$D$4:$D$22,C11)&gt;0,"Queen II",
IF(COUNTIF('Queen Discography'!$E$4:$E$22,C11)&gt;0,"Sheer Heart Attack",
IF(COUNTIF('Queen Discography'!$F$4:$F$22,C11)&gt;0,"A Night At The Opera",
IF(COUNTIF('Queen Discography'!$G$4:$G$22,C11)&gt;0,"A Day At The Races",
IF(COUNTIF('Queen Discography'!$H$4:$H$22,C11)&gt;0,"News Of The World",
IF(COUNTIF('Queen Discography'!$I$4:$I$22,C11)&gt;0,"Jazz",
IF(COUNTIF('Queen Discography'!$J$4:$J$22,C11)&gt;0,"The Game",
IF(COUNTIF('Queen Discography'!$K$4:$K$22,C11)&gt;0,"Flash Gordon",
IF(COUNTIF('Queen Discography'!$L$4:$L$22,C11)&gt;0,"Hot Space",
IF(COUNTIF('Queen Discography'!$M$4:$M$22,C11)&gt;0,"The Works",
IF(COUNTIF('Queen Discography'!$N$4:$N$22,C11)&gt;0,"A Kind Of Magic",
IF(COUNTIF('Queen Discography'!$O$4:$O$22,C11)&gt;0,"The Miracle",
IF(COUNTIF('Queen Discography'!$P$4:$P$22,C11)&gt;0,"Innuendo",
IF(COUNTIF('Queen Discography'!$Q$4:$Q$22,C11)&gt;0,"Made In Heaven","NOT FOUND")))))))))))))))</f>
        <v>A Kind Of Magic</v>
      </c>
      <c r="I11" s="1"/>
      <c r="J11" s="98">
        <v>7.0</v>
      </c>
      <c r="K11" s="99" t="str">
        <f t="shared" si="9"/>
        <v>N/A</v>
      </c>
      <c r="L11" s="99" t="str">
        <f t="shared" si="3"/>
        <v>N/A</v>
      </c>
      <c r="M11" s="99" t="str">
        <f t="shared" si="4"/>
        <v>N/A</v>
      </c>
      <c r="N11" s="100" t="str">
        <f>IFERROR(__xludf.DUMMYFUNCTION("IFERROR(MEDIAN(FILTER($G$4:$G$66,$D$4:$D$66=$J11,ISNUMBER($G$4:$G$66))),""N/A"")"),"N/A")</f>
        <v>N/A</v>
      </c>
      <c r="O11" s="99" t="str">
        <f>IFERROR(__xludf.DUMMYFUNCTION("IFERROR(MODE(FILTER($G$4:$G$66,$D$4:$D$66=$J11,ISNUMBER($G$4:$G$66))),""N/A"")"),"N/A")</f>
        <v>N/A</v>
      </c>
      <c r="P11" s="99">
        <f t="shared" ref="P11:AE11" si="15">COUNTIFS($H$4:$H$66,P$3,$D$4:$D$66,$J11)</f>
        <v>0</v>
      </c>
      <c r="Q11" s="99">
        <f t="shared" si="15"/>
        <v>0</v>
      </c>
      <c r="R11" s="99">
        <f t="shared" si="15"/>
        <v>0</v>
      </c>
      <c r="S11" s="99">
        <f t="shared" si="15"/>
        <v>0</v>
      </c>
      <c r="T11" s="99">
        <f t="shared" si="15"/>
        <v>0</v>
      </c>
      <c r="U11" s="99">
        <f t="shared" si="15"/>
        <v>0</v>
      </c>
      <c r="V11" s="99">
        <f t="shared" si="15"/>
        <v>0</v>
      </c>
      <c r="W11" s="99">
        <f t="shared" si="15"/>
        <v>0</v>
      </c>
      <c r="X11" s="99">
        <f t="shared" si="15"/>
        <v>0</v>
      </c>
      <c r="Y11" s="99">
        <f t="shared" si="15"/>
        <v>0</v>
      </c>
      <c r="Z11" s="99">
        <f t="shared" si="15"/>
        <v>0</v>
      </c>
      <c r="AA11" s="99">
        <f t="shared" si="15"/>
        <v>0</v>
      </c>
      <c r="AB11" s="99">
        <f t="shared" si="15"/>
        <v>0</v>
      </c>
      <c r="AC11" s="99">
        <f t="shared" si="15"/>
        <v>0</v>
      </c>
      <c r="AD11" s="99">
        <f t="shared" si="15"/>
        <v>0</v>
      </c>
      <c r="AE11" s="99">
        <f t="shared" si="15"/>
        <v>0</v>
      </c>
      <c r="AF11" s="104">
        <f t="array" ref="AF11:AU11">IFERROR(P11:AE11*TRANSPOSE('Queen MIDI'!$J$4:$J$19),"N/A")</f>
        <v>0</v>
      </c>
      <c r="AG11" s="104">
        <v>0.0</v>
      </c>
      <c r="AH11" s="104">
        <v>0.0</v>
      </c>
      <c r="AI11" s="104">
        <v>0.0</v>
      </c>
      <c r="AJ11" s="104">
        <v>0.0</v>
      </c>
      <c r="AK11" s="104">
        <v>0.0</v>
      </c>
      <c r="AL11" s="104">
        <v>0.0</v>
      </c>
      <c r="AM11" s="104">
        <v>0.0</v>
      </c>
      <c r="AN11" s="104" t="s">
        <v>357</v>
      </c>
      <c r="AO11" s="104">
        <v>0.0</v>
      </c>
      <c r="AP11" s="104">
        <v>0.0</v>
      </c>
      <c r="AQ11" s="104">
        <v>0.0</v>
      </c>
      <c r="AR11" s="104">
        <v>0.0</v>
      </c>
      <c r="AS11" s="104">
        <v>0.0</v>
      </c>
      <c r="AT11" s="104">
        <v>0.0</v>
      </c>
      <c r="AU11" s="104">
        <v>0.0</v>
      </c>
      <c r="AV11" s="99" t="str">
        <f>IFERROR(__xludf.DUMMYFUNCTION("JOIN("", "",FILTER($P$3:$AE$3,$P11:$AE11=MAX($P11:$AE11)))"),"Queen,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1" s="99">
        <f t="shared" si="6"/>
        <v>0</v>
      </c>
      <c r="AX11" s="99">
        <f>IFERROR(__xludf.DUMMYFUNCTION("COUNTA(FILTER($P$3:$AE$3,$P11:$AE11=MAX($P11:$AE11)))"),16.0)</f>
        <v>16</v>
      </c>
      <c r="AY11" s="99" t="str">
        <f>IFERROR(__xludf.DUMMYFUNCTION("IFERROR(JOIN("", "",FILTER($AF$3:$AU$3,$AF11:$AU11=MAXIFS($AF11:$AU11,$AF$23:$AU$23,TRUE),$AF$23:$AU$23)),""N/A"")"),"Queen,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1" s="173" t="str">
        <f>IFERROR(__xludf.DUMMYFUNCTION("IFERROR(JOIN("", "",FILTER($P11:$AE11,$AF11:$AU11=MAXIFS($AF11:$AU11,$AF$23:$AU$23,TRUE),$AF$23:$AU$23)),""N/A"")"),"0, 0, 0, 0, 0, 0, 0, 0, 0, 0, 0, 0, 0, 0")</f>
        <v>0, 0, 0, 0, 0, 0, 0, 0, 0, 0, 0, 0, 0, 0</v>
      </c>
      <c r="BA11" s="103">
        <f>MAXIFS(AF11:AU11,$AF$23:$AU$23,TRUE)/'Queen MIDI'!$J$20</f>
        <v>0</v>
      </c>
      <c r="BB11" s="98">
        <f>IFERROR(__xludf.DUMMYFUNCTION("COUNTA(IFERROR(FILTER($AF$3:$AU$3,$AF11:$AU11=MAXIFS($AF11:$AU11,$AF$23:$AU$23,TRUE),$AF$23:$AU$23),))"),14.0)</f>
        <v>14</v>
      </c>
      <c r="BC11" s="103">
        <f t="shared" si="7"/>
        <v>0</v>
      </c>
      <c r="BD11" s="99">
        <f t="shared" si="8"/>
        <v>0</v>
      </c>
      <c r="BE11" s="1"/>
    </row>
    <row r="12">
      <c r="A12" s="1"/>
      <c r="C12" s="66" t="str">
        <f t="array" ref="C12">INDEX('Queen MIDI'!$C$4:$C$66,MATCH(F12,'Queen MIDI'!$D$4:$D$66,0))</f>
        <v>Princes of the Universe</v>
      </c>
      <c r="D12" s="162">
        <v>1.0</v>
      </c>
      <c r="E12" s="163" t="s">
        <v>393</v>
      </c>
      <c r="F12" s="66" t="str">
        <f t="shared" si="2"/>
        <v>Princes of the Universe.1.mid</v>
      </c>
      <c r="G12" s="122">
        <f>HLOOKUP(H12,'Queen Discography'!$C$2:$Q$3,2,FALSE)</f>
        <v>1986</v>
      </c>
      <c r="H12" s="66" t="str">
        <f>IF(COUNTIF('Queen Discography'!$C$4:$C$22,C12)&gt;0,"Queen",
IF(COUNTIF('Queen Discography'!$D$4:$D$22,C12)&gt;0,"Queen II",
IF(COUNTIF('Queen Discography'!$E$4:$E$22,C12)&gt;0,"Sheer Heart Attack",
IF(COUNTIF('Queen Discography'!$F$4:$F$22,C12)&gt;0,"A Night At The Opera",
IF(COUNTIF('Queen Discography'!$G$4:$G$22,C12)&gt;0,"A Day At The Races",
IF(COUNTIF('Queen Discography'!$H$4:$H$22,C12)&gt;0,"News Of The World",
IF(COUNTIF('Queen Discography'!$I$4:$I$22,C12)&gt;0,"Jazz",
IF(COUNTIF('Queen Discography'!$J$4:$J$22,C12)&gt;0,"The Game",
IF(COUNTIF('Queen Discography'!$K$4:$K$22,C12)&gt;0,"Flash Gordon",
IF(COUNTIF('Queen Discography'!$L$4:$L$22,C12)&gt;0,"Hot Space",
IF(COUNTIF('Queen Discography'!$M$4:$M$22,C12)&gt;0,"The Works",
IF(COUNTIF('Queen Discography'!$N$4:$N$22,C12)&gt;0,"A Kind Of Magic",
IF(COUNTIF('Queen Discography'!$O$4:$O$22,C12)&gt;0,"The Miracle",
IF(COUNTIF('Queen Discography'!$P$4:$P$22,C12)&gt;0,"Innuendo",
IF(COUNTIF('Queen Discography'!$Q$4:$Q$22,C12)&gt;0,"Made In Heaven","NOT FOUND")))))))))))))))</f>
        <v>A Kind Of Magic</v>
      </c>
      <c r="I12" s="1"/>
      <c r="J12" s="98">
        <v>8.0</v>
      </c>
      <c r="K12" s="99" t="str">
        <f t="shared" si="9"/>
        <v>N/A</v>
      </c>
      <c r="L12" s="99" t="str">
        <f t="shared" si="3"/>
        <v>N/A</v>
      </c>
      <c r="M12" s="99" t="str">
        <f t="shared" si="4"/>
        <v>N/A</v>
      </c>
      <c r="N12" s="100" t="str">
        <f>IFERROR(__xludf.DUMMYFUNCTION("IFERROR(MEDIAN(FILTER($G$4:$G$66,$D$4:$D$66=$J12,ISNUMBER($G$4:$G$66))),""N/A"")"),"N/A")</f>
        <v>N/A</v>
      </c>
      <c r="O12" s="99" t="str">
        <f>IFERROR(__xludf.DUMMYFUNCTION("IFERROR(MODE(FILTER($G$4:$G$66,$D$4:$D$66=$J12,ISNUMBER($G$4:$G$66))),""N/A"")"),"N/A")</f>
        <v>N/A</v>
      </c>
      <c r="P12" s="99">
        <f t="shared" ref="P12:AE12" si="16">COUNTIFS($H$4:$H$66,P$3,$D$4:$D$66,$J12)</f>
        <v>0</v>
      </c>
      <c r="Q12" s="99">
        <f t="shared" si="16"/>
        <v>0</v>
      </c>
      <c r="R12" s="99">
        <f t="shared" si="16"/>
        <v>0</v>
      </c>
      <c r="S12" s="99">
        <f t="shared" si="16"/>
        <v>0</v>
      </c>
      <c r="T12" s="99">
        <f t="shared" si="16"/>
        <v>0</v>
      </c>
      <c r="U12" s="99">
        <f t="shared" si="16"/>
        <v>0</v>
      </c>
      <c r="V12" s="99">
        <f t="shared" si="16"/>
        <v>0</v>
      </c>
      <c r="W12" s="99">
        <f t="shared" si="16"/>
        <v>0</v>
      </c>
      <c r="X12" s="99">
        <f t="shared" si="16"/>
        <v>0</v>
      </c>
      <c r="Y12" s="99">
        <f t="shared" si="16"/>
        <v>0</v>
      </c>
      <c r="Z12" s="99">
        <f t="shared" si="16"/>
        <v>0</v>
      </c>
      <c r="AA12" s="99">
        <f t="shared" si="16"/>
        <v>0</v>
      </c>
      <c r="AB12" s="99">
        <f t="shared" si="16"/>
        <v>0</v>
      </c>
      <c r="AC12" s="99">
        <f t="shared" si="16"/>
        <v>0</v>
      </c>
      <c r="AD12" s="99">
        <f t="shared" si="16"/>
        <v>0</v>
      </c>
      <c r="AE12" s="99">
        <f t="shared" si="16"/>
        <v>0</v>
      </c>
      <c r="AF12" s="104">
        <f t="array" ref="AF12:AU12">IFERROR(P12:AE12*TRANSPOSE('Queen MIDI'!$J$4:$J$19),"N/A")</f>
        <v>0</v>
      </c>
      <c r="AG12" s="104">
        <v>0.0</v>
      </c>
      <c r="AH12" s="104">
        <v>0.0</v>
      </c>
      <c r="AI12" s="104">
        <v>0.0</v>
      </c>
      <c r="AJ12" s="104">
        <v>0.0</v>
      </c>
      <c r="AK12" s="104">
        <v>0.0</v>
      </c>
      <c r="AL12" s="104">
        <v>0.0</v>
      </c>
      <c r="AM12" s="104">
        <v>0.0</v>
      </c>
      <c r="AN12" s="104" t="s">
        <v>357</v>
      </c>
      <c r="AO12" s="104">
        <v>0.0</v>
      </c>
      <c r="AP12" s="104">
        <v>0.0</v>
      </c>
      <c r="AQ12" s="104">
        <v>0.0</v>
      </c>
      <c r="AR12" s="104">
        <v>0.0</v>
      </c>
      <c r="AS12" s="104">
        <v>0.0</v>
      </c>
      <c r="AT12" s="104">
        <v>0.0</v>
      </c>
      <c r="AU12" s="104">
        <v>0.0</v>
      </c>
      <c r="AV12" s="99" t="str">
        <f>IFERROR(__xludf.DUMMYFUNCTION("JOIN("", "",FILTER($P$3:$AE$3,$P12:$AE12=MAX($P12:$AE12)))"),"Queen,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2" s="99">
        <f t="shared" si="6"/>
        <v>0</v>
      </c>
      <c r="AX12" s="99">
        <f>IFERROR(__xludf.DUMMYFUNCTION("COUNTA(FILTER($P$3:$AE$3,$P12:$AE12=MAX($P12:$AE12)))"),16.0)</f>
        <v>16</v>
      </c>
      <c r="AY12" s="99" t="str">
        <f>IFERROR(__xludf.DUMMYFUNCTION("IFERROR(JOIN("", "",FILTER($AF$3:$AU$3,$AF12:$AU12=MAXIFS($AF12:$AU12,$AF$23:$AU$23,TRUE),$AF$23:$AU$23)),""N/A"")"),"Queen,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2" s="173" t="str">
        <f>IFERROR(__xludf.DUMMYFUNCTION("IFERROR(JOIN("", "",FILTER($P12:$AE12,$AF12:$AU12=MAXIFS($AF12:$AU12,$AF$23:$AU$23,TRUE),$AF$23:$AU$23)),""N/A"")"),"0, 0, 0, 0, 0, 0, 0, 0, 0, 0, 0, 0, 0, 0")</f>
        <v>0, 0, 0, 0, 0, 0, 0, 0, 0, 0, 0, 0, 0, 0</v>
      </c>
      <c r="BA12" s="103">
        <f>MAXIFS(AF12:AU12,$AF$23:$AU$23,TRUE)/'Queen MIDI'!$J$20</f>
        <v>0</v>
      </c>
      <c r="BB12" s="98">
        <f>IFERROR(__xludf.DUMMYFUNCTION("COUNTA(IFERROR(FILTER($AF$3:$AU$3,$AF12:$AU12=MAXIFS($AF12:$AU12,$AF$23:$AU$23,TRUE),$AF$23:$AU$23),))"),14.0)</f>
        <v>14</v>
      </c>
      <c r="BC12" s="103">
        <f t="shared" si="7"/>
        <v>0</v>
      </c>
      <c r="BD12" s="99">
        <f t="shared" si="8"/>
        <v>0</v>
      </c>
      <c r="BE12" s="1"/>
    </row>
    <row r="13">
      <c r="A13" s="1"/>
      <c r="C13" s="66" t="str">
        <f t="array" ref="C13">INDEX('Queen MIDI'!$C$4:$C$66,MATCH(F13,'Queen MIDI'!$D$4:$D$66,0))</f>
        <v>I Want It All</v>
      </c>
      <c r="D13" s="140">
        <v>1.0</v>
      </c>
      <c r="E13" s="141" t="s">
        <v>395</v>
      </c>
      <c r="F13" s="66" t="str">
        <f t="shared" si="2"/>
        <v>I Want It All.mid</v>
      </c>
      <c r="G13" s="120">
        <f>HLOOKUP(H13,'Queen Discography'!$C$2:$Q$3,2,FALSE)</f>
        <v>1989</v>
      </c>
      <c r="H13" s="66" t="str">
        <f>IF(COUNTIF('Queen Discography'!$C$4:$C$22,C13)&gt;0,"Queen",
IF(COUNTIF('Queen Discography'!$D$4:$D$22,C13)&gt;0,"Queen II",
IF(COUNTIF('Queen Discography'!$E$4:$E$22,C13)&gt;0,"Sheer Heart Attack",
IF(COUNTIF('Queen Discography'!$F$4:$F$22,C13)&gt;0,"A Night At The Opera",
IF(COUNTIF('Queen Discography'!$G$4:$G$22,C13)&gt;0,"A Day At The Races",
IF(COUNTIF('Queen Discography'!$H$4:$H$22,C13)&gt;0,"News Of The World",
IF(COUNTIF('Queen Discography'!$I$4:$I$22,C13)&gt;0,"Jazz",
IF(COUNTIF('Queen Discography'!$J$4:$J$22,C13)&gt;0,"The Game",
IF(COUNTIF('Queen Discography'!$K$4:$K$22,C13)&gt;0,"Flash Gordon",
IF(COUNTIF('Queen Discography'!$L$4:$L$22,C13)&gt;0,"Hot Space",
IF(COUNTIF('Queen Discography'!$M$4:$M$22,C13)&gt;0,"The Works",
IF(COUNTIF('Queen Discography'!$N$4:$N$22,C13)&gt;0,"A Kind Of Magic",
IF(COUNTIF('Queen Discography'!$O$4:$O$22,C13)&gt;0,"The Miracle",
IF(COUNTIF('Queen Discography'!$P$4:$P$22,C13)&gt;0,"Innuendo",
IF(COUNTIF('Queen Discography'!$Q$4:$Q$22,C13)&gt;0,"Made In Heaven","NOT FOUND")))))))))))))))</f>
        <v>The Miracle</v>
      </c>
      <c r="I13" s="1"/>
      <c r="J13" s="98">
        <v>9.0</v>
      </c>
      <c r="K13" s="99" t="str">
        <f t="shared" si="9"/>
        <v>N/A</v>
      </c>
      <c r="L13" s="99" t="str">
        <f t="shared" si="3"/>
        <v>N/A</v>
      </c>
      <c r="M13" s="99" t="str">
        <f t="shared" si="4"/>
        <v>N/A</v>
      </c>
      <c r="N13" s="100" t="str">
        <f>IFERROR(__xludf.DUMMYFUNCTION("IFERROR(MEDIAN(FILTER($G$4:$G$66,$D$4:$D$66=$J13,ISNUMBER($G$4:$G$66))),""N/A"")"),"N/A")</f>
        <v>N/A</v>
      </c>
      <c r="O13" s="99" t="str">
        <f>IFERROR(__xludf.DUMMYFUNCTION("IFERROR(MODE(FILTER($G$4:$G$66,$D$4:$D$66=$J13,ISNUMBER($G$4:$G$66))),""N/A"")"),"N/A")</f>
        <v>N/A</v>
      </c>
      <c r="P13" s="99">
        <f t="shared" ref="P13:AE13" si="17">COUNTIFS($H$4:$H$66,P$3,$D$4:$D$66,$J13)</f>
        <v>0</v>
      </c>
      <c r="Q13" s="99">
        <f t="shared" si="17"/>
        <v>0</v>
      </c>
      <c r="R13" s="99">
        <f t="shared" si="17"/>
        <v>0</v>
      </c>
      <c r="S13" s="99">
        <f t="shared" si="17"/>
        <v>0</v>
      </c>
      <c r="T13" s="99">
        <f t="shared" si="17"/>
        <v>0</v>
      </c>
      <c r="U13" s="99">
        <f t="shared" si="17"/>
        <v>0</v>
      </c>
      <c r="V13" s="99">
        <f t="shared" si="17"/>
        <v>0</v>
      </c>
      <c r="W13" s="99">
        <f t="shared" si="17"/>
        <v>0</v>
      </c>
      <c r="X13" s="99">
        <f t="shared" si="17"/>
        <v>0</v>
      </c>
      <c r="Y13" s="99">
        <f t="shared" si="17"/>
        <v>0</v>
      </c>
      <c r="Z13" s="99">
        <f t="shared" si="17"/>
        <v>0</v>
      </c>
      <c r="AA13" s="99">
        <f t="shared" si="17"/>
        <v>0</v>
      </c>
      <c r="AB13" s="99">
        <f t="shared" si="17"/>
        <v>0</v>
      </c>
      <c r="AC13" s="99">
        <f t="shared" si="17"/>
        <v>0</v>
      </c>
      <c r="AD13" s="99">
        <f t="shared" si="17"/>
        <v>0</v>
      </c>
      <c r="AE13" s="99">
        <f t="shared" si="17"/>
        <v>0</v>
      </c>
      <c r="AF13" s="104">
        <f t="array" ref="AF13:AU13">IFERROR(P13:AE13*TRANSPOSE('Queen MIDI'!$J$4:$J$19),"N/A")</f>
        <v>0</v>
      </c>
      <c r="AG13" s="104">
        <v>0.0</v>
      </c>
      <c r="AH13" s="104">
        <v>0.0</v>
      </c>
      <c r="AI13" s="104">
        <v>0.0</v>
      </c>
      <c r="AJ13" s="104">
        <v>0.0</v>
      </c>
      <c r="AK13" s="104">
        <v>0.0</v>
      </c>
      <c r="AL13" s="104">
        <v>0.0</v>
      </c>
      <c r="AM13" s="104">
        <v>0.0</v>
      </c>
      <c r="AN13" s="104" t="s">
        <v>357</v>
      </c>
      <c r="AO13" s="104">
        <v>0.0</v>
      </c>
      <c r="AP13" s="104">
        <v>0.0</v>
      </c>
      <c r="AQ13" s="104">
        <v>0.0</v>
      </c>
      <c r="AR13" s="104">
        <v>0.0</v>
      </c>
      <c r="AS13" s="104">
        <v>0.0</v>
      </c>
      <c r="AT13" s="104">
        <v>0.0</v>
      </c>
      <c r="AU13" s="104">
        <v>0.0</v>
      </c>
      <c r="AV13" s="99" t="str">
        <f>IFERROR(__xludf.DUMMYFUNCTION("JOIN("", "",FILTER($P$3:$AE$3,$P13:$AE13=MAX($P13:$AE13)))"),"Queen,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3" s="99">
        <f t="shared" si="6"/>
        <v>0</v>
      </c>
      <c r="AX13" s="99">
        <f>IFERROR(__xludf.DUMMYFUNCTION("COUNTA(FILTER($P$3:$AE$3,$P13:$AE13=MAX($P13:$AE13)))"),16.0)</f>
        <v>16</v>
      </c>
      <c r="AY13" s="99" t="str">
        <f>IFERROR(__xludf.DUMMYFUNCTION("IFERROR(JOIN("", "",FILTER($AF$3:$AU$3,$AF13:$AU13=MAXIFS($AF13:$AU13,$AF$23:$AU$23,TRUE),$AF$23:$AU$23)),""N/A"")"),"Queen,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3" s="172" t="str">
        <f>IFERROR(__xludf.DUMMYFUNCTION("IFERROR(JOIN("", "",FILTER($P13:$AE13,$AF13:$AU13=MAXIFS($AF13:$AU13,$AF$23:$AU$23,TRUE),$AF$23:$AU$23)),""N/A"")"),"0, 0, 0, 0, 0, 0, 0, 0, 0, 0, 0, 0, 0, 0")</f>
        <v>0, 0, 0, 0, 0, 0, 0, 0, 0, 0, 0, 0, 0, 0</v>
      </c>
      <c r="BA13" s="103">
        <f>MAXIFS(AF13:AU13,$AF$23:$AU$23,TRUE)/'Queen MIDI'!$J$20</f>
        <v>0</v>
      </c>
      <c r="BB13" s="98">
        <f>IFERROR(__xludf.DUMMYFUNCTION("COUNTA(IFERROR(FILTER($AF$3:$AU$3,$AF13:$AU13=MAXIFS($AF13:$AU13,$AF$23:$AU$23,TRUE),$AF$23:$AU$23),))"),14.0)</f>
        <v>14</v>
      </c>
      <c r="BC13" s="103">
        <f t="shared" si="7"/>
        <v>0</v>
      </c>
      <c r="BD13" s="99">
        <f t="shared" si="8"/>
        <v>0</v>
      </c>
      <c r="BE13" s="1"/>
    </row>
    <row r="14">
      <c r="A14" s="1"/>
      <c r="C14" s="66" t="str">
        <f t="array" ref="C14">INDEX('Queen MIDI'!$C$4:$C$66,MATCH(F14,'Queen MIDI'!$D$4:$D$66,0))</f>
        <v>The Invisible Man</v>
      </c>
      <c r="D14" s="140">
        <v>1.0</v>
      </c>
      <c r="E14" s="141" t="s">
        <v>398</v>
      </c>
      <c r="F14" s="66" t="str">
        <f t="shared" si="2"/>
        <v>The Invisible Man.mid</v>
      </c>
      <c r="G14" s="127">
        <f>HLOOKUP(H14,'Queen Discography'!$C$2:$Q$3,2,FALSE)</f>
        <v>1989</v>
      </c>
      <c r="H14" s="66" t="str">
        <f>IF(COUNTIF('Queen Discography'!$C$4:$C$22,C14)&gt;0,"Queen",
IF(COUNTIF('Queen Discography'!$D$4:$D$22,C14)&gt;0,"Queen II",
IF(COUNTIF('Queen Discography'!$E$4:$E$22,C14)&gt;0,"Sheer Heart Attack",
IF(COUNTIF('Queen Discography'!$F$4:$F$22,C14)&gt;0,"A Night At The Opera",
IF(COUNTIF('Queen Discography'!$G$4:$G$22,C14)&gt;0,"A Day At The Races",
IF(COUNTIF('Queen Discography'!$H$4:$H$22,C14)&gt;0,"News Of The World",
IF(COUNTIF('Queen Discography'!$I$4:$I$22,C14)&gt;0,"Jazz",
IF(COUNTIF('Queen Discography'!$J$4:$J$22,C14)&gt;0,"The Game",
IF(COUNTIF('Queen Discography'!$K$4:$K$22,C14)&gt;0,"Flash Gordon",
IF(COUNTIF('Queen Discography'!$L$4:$L$22,C14)&gt;0,"Hot Space",
IF(COUNTIF('Queen Discography'!$M$4:$M$22,C14)&gt;0,"The Works",
IF(COUNTIF('Queen Discography'!$N$4:$N$22,C14)&gt;0,"A Kind Of Magic",
IF(COUNTIF('Queen Discography'!$O$4:$O$22,C14)&gt;0,"The Miracle",
IF(COUNTIF('Queen Discography'!$P$4:$P$22,C14)&gt;0,"Innuendo",
IF(COUNTIF('Queen Discography'!$Q$4:$Q$22,C14)&gt;0,"Made In Heaven","NOT FOUND")))))))))))))))</f>
        <v>The Miracle</v>
      </c>
      <c r="I14" s="1"/>
      <c r="J14" s="98">
        <v>10.0</v>
      </c>
      <c r="K14" s="99" t="str">
        <f t="shared" si="9"/>
        <v>N/A</v>
      </c>
      <c r="L14" s="99" t="str">
        <f t="shared" si="3"/>
        <v>N/A</v>
      </c>
      <c r="M14" s="99" t="str">
        <f t="shared" si="4"/>
        <v>N/A</v>
      </c>
      <c r="N14" s="100" t="str">
        <f>IFERROR(__xludf.DUMMYFUNCTION("IFERROR(MEDIAN(FILTER($G$4:$G$66,$D$4:$D$66=$J14,ISNUMBER($G$4:$G$66))),""N/A"")"),"N/A")</f>
        <v>N/A</v>
      </c>
      <c r="O14" s="99" t="str">
        <f>IFERROR(__xludf.DUMMYFUNCTION("IFERROR(MODE(FILTER($G$4:$G$66,$D$4:$D$66=$J14,ISNUMBER($G$4:$G$66))),""N/A"")"),"N/A")</f>
        <v>N/A</v>
      </c>
      <c r="P14" s="99">
        <f t="shared" ref="P14:AE14" si="18">COUNTIFS($H$4:$H$66,P$3,$D$4:$D$66,$J14)</f>
        <v>0</v>
      </c>
      <c r="Q14" s="99">
        <f t="shared" si="18"/>
        <v>0</v>
      </c>
      <c r="R14" s="99">
        <f t="shared" si="18"/>
        <v>0</v>
      </c>
      <c r="S14" s="99">
        <f t="shared" si="18"/>
        <v>0</v>
      </c>
      <c r="T14" s="99">
        <f t="shared" si="18"/>
        <v>0</v>
      </c>
      <c r="U14" s="99">
        <f t="shared" si="18"/>
        <v>0</v>
      </c>
      <c r="V14" s="99">
        <f t="shared" si="18"/>
        <v>0</v>
      </c>
      <c r="W14" s="99">
        <f t="shared" si="18"/>
        <v>0</v>
      </c>
      <c r="X14" s="99">
        <f t="shared" si="18"/>
        <v>0</v>
      </c>
      <c r="Y14" s="99">
        <f t="shared" si="18"/>
        <v>0</v>
      </c>
      <c r="Z14" s="99">
        <f t="shared" si="18"/>
        <v>0</v>
      </c>
      <c r="AA14" s="99">
        <f t="shared" si="18"/>
        <v>0</v>
      </c>
      <c r="AB14" s="99">
        <f t="shared" si="18"/>
        <v>0</v>
      </c>
      <c r="AC14" s="99">
        <f t="shared" si="18"/>
        <v>0</v>
      </c>
      <c r="AD14" s="99">
        <f t="shared" si="18"/>
        <v>0</v>
      </c>
      <c r="AE14" s="99">
        <f t="shared" si="18"/>
        <v>0</v>
      </c>
      <c r="AF14" s="104">
        <f t="array" ref="AF14:AU14">IFERROR(P14:AE14*TRANSPOSE('Queen MIDI'!$J$4:$J$19),"N/A")</f>
        <v>0</v>
      </c>
      <c r="AG14" s="104">
        <v>0.0</v>
      </c>
      <c r="AH14" s="104">
        <v>0.0</v>
      </c>
      <c r="AI14" s="104">
        <v>0.0</v>
      </c>
      <c r="AJ14" s="104">
        <v>0.0</v>
      </c>
      <c r="AK14" s="104">
        <v>0.0</v>
      </c>
      <c r="AL14" s="104">
        <v>0.0</v>
      </c>
      <c r="AM14" s="104">
        <v>0.0</v>
      </c>
      <c r="AN14" s="104" t="s">
        <v>357</v>
      </c>
      <c r="AO14" s="104">
        <v>0.0</v>
      </c>
      <c r="AP14" s="104">
        <v>0.0</v>
      </c>
      <c r="AQ14" s="104">
        <v>0.0</v>
      </c>
      <c r="AR14" s="104">
        <v>0.0</v>
      </c>
      <c r="AS14" s="104">
        <v>0.0</v>
      </c>
      <c r="AT14" s="104">
        <v>0.0</v>
      </c>
      <c r="AU14" s="104">
        <v>0.0</v>
      </c>
      <c r="AV14" s="99" t="str">
        <f>IFERROR(__xludf.DUMMYFUNCTION("JOIN("", "",FILTER($P$3:$AE$3,$P14:$AE14=MAX($P14:$AE14)))"),"Queen,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4" s="99">
        <f t="shared" si="6"/>
        <v>0</v>
      </c>
      <c r="AX14" s="99">
        <f>IFERROR(__xludf.DUMMYFUNCTION("COUNTA(FILTER($P$3:$AE$3,$P14:$AE14=MAX($P14:$AE14)))"),16.0)</f>
        <v>16</v>
      </c>
      <c r="AY14" s="99" t="str">
        <f>IFERROR(__xludf.DUMMYFUNCTION("IFERROR(JOIN("", "",FILTER($AF$3:$AU$3,$AF14:$AU14=MAXIFS($AF14:$AU14,$AF$23:$AU$23,TRUE),$AF$23:$AU$23)),""N/A"")"),"Queen,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4" s="173" t="str">
        <f>IFERROR(__xludf.DUMMYFUNCTION("IFERROR(JOIN("", "",FILTER($P14:$AE14,$AF14:$AU14=MAXIFS($AF14:$AU14,$AF$23:$AU$23,TRUE),$AF$23:$AU$23)),""N/A"")"),"0, 0, 0, 0, 0, 0, 0, 0, 0, 0, 0, 0, 0, 0")</f>
        <v>0, 0, 0, 0, 0, 0, 0, 0, 0, 0, 0, 0, 0, 0</v>
      </c>
      <c r="BA14" s="103">
        <f>MAXIFS(AF14:AU14,$AF$23:$AU$23,TRUE)/'Queen MIDI'!$J$20</f>
        <v>0</v>
      </c>
      <c r="BB14" s="98">
        <f>IFERROR(__xludf.DUMMYFUNCTION("COUNTA(IFERROR(FILTER($AF$3:$AU$3,$AF14:$AU14=MAXIFS($AF14:$AU14,$AF$23:$AU$23,TRUE),$AF$23:$AU$23),))"),14.0)</f>
        <v>14</v>
      </c>
      <c r="BC14" s="103">
        <f t="shared" si="7"/>
        <v>0</v>
      </c>
      <c r="BD14" s="99">
        <f t="shared" si="8"/>
        <v>0</v>
      </c>
      <c r="BE14" s="1"/>
    </row>
    <row r="15">
      <c r="A15" s="1"/>
      <c r="C15" s="66" t="str">
        <f t="array" ref="C15">INDEX('Queen MIDI'!$C$4:$C$66,MATCH(F15,'Queen MIDI'!$D$4:$D$66,0))</f>
        <v>Headlong</v>
      </c>
      <c r="D15" s="142">
        <v>1.0</v>
      </c>
      <c r="E15" s="143" t="s">
        <v>403</v>
      </c>
      <c r="F15" s="66" t="str">
        <f t="shared" si="2"/>
        <v>Headlong.mid</v>
      </c>
      <c r="G15" s="125">
        <f>HLOOKUP(H15,'Queen Discography'!$C$2:$Q$3,2,FALSE)</f>
        <v>1991</v>
      </c>
      <c r="H15" s="66" t="str">
        <f>IF(COUNTIF('Queen Discography'!$C$4:$C$22,C15)&gt;0,"Queen",
IF(COUNTIF('Queen Discography'!$D$4:$D$22,C15)&gt;0,"Queen II",
IF(COUNTIF('Queen Discography'!$E$4:$E$22,C15)&gt;0,"Sheer Heart Attack",
IF(COUNTIF('Queen Discography'!$F$4:$F$22,C15)&gt;0,"A Night At The Opera",
IF(COUNTIF('Queen Discography'!$G$4:$G$22,C15)&gt;0,"A Day At The Races",
IF(COUNTIF('Queen Discography'!$H$4:$H$22,C15)&gt;0,"News Of The World",
IF(COUNTIF('Queen Discography'!$I$4:$I$22,C15)&gt;0,"Jazz",
IF(COUNTIF('Queen Discography'!$J$4:$J$22,C15)&gt;0,"The Game",
IF(COUNTIF('Queen Discography'!$K$4:$K$22,C15)&gt;0,"Flash Gordon",
IF(COUNTIF('Queen Discography'!$L$4:$L$22,C15)&gt;0,"Hot Space",
IF(COUNTIF('Queen Discography'!$M$4:$M$22,C15)&gt;0,"The Works",
IF(COUNTIF('Queen Discography'!$N$4:$N$22,C15)&gt;0,"A Kind Of Magic",
IF(COUNTIF('Queen Discography'!$O$4:$O$22,C15)&gt;0,"The Miracle",
IF(COUNTIF('Queen Discography'!$P$4:$P$22,C15)&gt;0,"Innuendo",
IF(COUNTIF('Queen Discography'!$Q$4:$Q$22,C15)&gt;0,"Made In Heaven","NOT FOUND")))))))))))))))</f>
        <v>Innuendo</v>
      </c>
      <c r="I15" s="1"/>
      <c r="J15" s="98">
        <v>11.0</v>
      </c>
      <c r="K15" s="99" t="str">
        <f t="shared" si="9"/>
        <v>N/A</v>
      </c>
      <c r="L15" s="99" t="str">
        <f t="shared" si="3"/>
        <v>N/A</v>
      </c>
      <c r="M15" s="99" t="str">
        <f t="shared" si="4"/>
        <v>N/A</v>
      </c>
      <c r="N15" s="100" t="str">
        <f>IFERROR(__xludf.DUMMYFUNCTION("IFERROR(MEDIAN(FILTER($G$4:$G$66,$D$4:$D$66=$J15,ISNUMBER($G$4:$G$66))),""N/A"")"),"N/A")</f>
        <v>N/A</v>
      </c>
      <c r="O15" s="99" t="str">
        <f>IFERROR(__xludf.DUMMYFUNCTION("IFERROR(MODE(FILTER($G$4:$G$66,$D$4:$D$66=$J15,ISNUMBER($G$4:$G$66))),""N/A"")"),"N/A")</f>
        <v>N/A</v>
      </c>
      <c r="P15" s="99">
        <f t="shared" ref="P15:AE15" si="19">COUNTIFS($H$4:$H$66,P$3,$D$4:$D$66,$J15)</f>
        <v>0</v>
      </c>
      <c r="Q15" s="99">
        <f t="shared" si="19"/>
        <v>0</v>
      </c>
      <c r="R15" s="99">
        <f t="shared" si="19"/>
        <v>0</v>
      </c>
      <c r="S15" s="99">
        <f t="shared" si="19"/>
        <v>0</v>
      </c>
      <c r="T15" s="99">
        <f t="shared" si="19"/>
        <v>0</v>
      </c>
      <c r="U15" s="99">
        <f t="shared" si="19"/>
        <v>0</v>
      </c>
      <c r="V15" s="99">
        <f t="shared" si="19"/>
        <v>0</v>
      </c>
      <c r="W15" s="99">
        <f t="shared" si="19"/>
        <v>0</v>
      </c>
      <c r="X15" s="99">
        <f t="shared" si="19"/>
        <v>0</v>
      </c>
      <c r="Y15" s="99">
        <f t="shared" si="19"/>
        <v>0</v>
      </c>
      <c r="Z15" s="99">
        <f t="shared" si="19"/>
        <v>0</v>
      </c>
      <c r="AA15" s="99">
        <f t="shared" si="19"/>
        <v>0</v>
      </c>
      <c r="AB15" s="99">
        <f t="shared" si="19"/>
        <v>0</v>
      </c>
      <c r="AC15" s="99">
        <f t="shared" si="19"/>
        <v>0</v>
      </c>
      <c r="AD15" s="99">
        <f t="shared" si="19"/>
        <v>0</v>
      </c>
      <c r="AE15" s="99">
        <f t="shared" si="19"/>
        <v>0</v>
      </c>
      <c r="AF15" s="104">
        <f t="array" ref="AF15:AU15">IFERROR(P15:AE15*TRANSPOSE('Queen MIDI'!$J$4:$J$19),"N/A")</f>
        <v>0</v>
      </c>
      <c r="AG15" s="104">
        <v>0.0</v>
      </c>
      <c r="AH15" s="104">
        <v>0.0</v>
      </c>
      <c r="AI15" s="104">
        <v>0.0</v>
      </c>
      <c r="AJ15" s="104">
        <v>0.0</v>
      </c>
      <c r="AK15" s="104">
        <v>0.0</v>
      </c>
      <c r="AL15" s="104">
        <v>0.0</v>
      </c>
      <c r="AM15" s="104">
        <v>0.0</v>
      </c>
      <c r="AN15" s="104" t="s">
        <v>357</v>
      </c>
      <c r="AO15" s="104">
        <v>0.0</v>
      </c>
      <c r="AP15" s="104">
        <v>0.0</v>
      </c>
      <c r="AQ15" s="104">
        <v>0.0</v>
      </c>
      <c r="AR15" s="104">
        <v>0.0</v>
      </c>
      <c r="AS15" s="104">
        <v>0.0</v>
      </c>
      <c r="AT15" s="104">
        <v>0.0</v>
      </c>
      <c r="AU15" s="104">
        <v>0.0</v>
      </c>
      <c r="AV15" s="106" t="str">
        <f>IFERROR(__xludf.DUMMYFUNCTION("JOIN("", "",FILTER($P$3:$AE$3,$P15:$AE15=MAX($P15:$AE15)))"),"Queen,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5" s="99">
        <f t="shared" si="6"/>
        <v>0</v>
      </c>
      <c r="AX15" s="99">
        <f>IFERROR(__xludf.DUMMYFUNCTION("COUNTA(FILTER($P$3:$AE$3,$P15:$AE15=MAX($P15:$AE15)))"),16.0)</f>
        <v>16</v>
      </c>
      <c r="AY15" s="99" t="str">
        <f>IFERROR(__xludf.DUMMYFUNCTION("IFERROR(JOIN("", "",FILTER($AF$3:$AU$3,$AF15:$AU15=MAXIFS($AF15:$AU15,$AF$23:$AU$23,TRUE),$AF$23:$AU$23)),""N/A"")"),"Queen,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5" s="173" t="str">
        <f>IFERROR(__xludf.DUMMYFUNCTION("IFERROR(JOIN("", "",FILTER($P15:$AE15,$AF15:$AU15=MAXIFS($AF15:$AU15,$AF$23:$AU$23,TRUE),$AF$23:$AU$23)),""N/A"")"),"0, 0, 0, 0, 0, 0, 0, 0, 0, 0, 0, 0, 0, 0")</f>
        <v>0, 0, 0, 0, 0, 0, 0, 0, 0, 0, 0, 0, 0, 0</v>
      </c>
      <c r="BA15" s="103">
        <f>MAXIFS(AF15:AU15,$AF$23:$AU$23,TRUE)/'Queen MIDI'!$J$20</f>
        <v>0</v>
      </c>
      <c r="BB15" s="98">
        <f>IFERROR(__xludf.DUMMYFUNCTION("COUNTA(IFERROR(FILTER($AF$3:$AU$3,$AF15:$AU15=MAXIFS($AF15:$AU15,$AF$23:$AU$23,TRUE),$AF$23:$AU$23),))"),14.0)</f>
        <v>14</v>
      </c>
      <c r="BC15" s="103">
        <f t="shared" si="7"/>
        <v>0</v>
      </c>
      <c r="BD15" s="99">
        <f t="shared" si="8"/>
        <v>0</v>
      </c>
      <c r="BE15" s="1"/>
    </row>
    <row r="16">
      <c r="A16" s="1"/>
      <c r="C16" s="66" t="str">
        <f t="array" ref="C16">INDEX('Queen MIDI'!$C$4:$C$66,MATCH(F16,'Queen MIDI'!$D$4:$D$66,0))</f>
        <v>Innuendo</v>
      </c>
      <c r="D16" s="142">
        <v>1.0</v>
      </c>
      <c r="E16" s="143" t="s">
        <v>406</v>
      </c>
      <c r="F16" s="66" t="str">
        <f t="shared" si="2"/>
        <v>Innuendo.mid</v>
      </c>
      <c r="G16" s="131">
        <f>HLOOKUP(H16,'Queen Discography'!$C$2:$Q$3,2,FALSE)</f>
        <v>1991</v>
      </c>
      <c r="H16" s="66" t="str">
        <f>IF(COUNTIF('Queen Discography'!$C$4:$C$22,C16)&gt;0,"Queen",
IF(COUNTIF('Queen Discography'!$D$4:$D$22,C16)&gt;0,"Queen II",
IF(COUNTIF('Queen Discography'!$E$4:$E$22,C16)&gt;0,"Sheer Heart Attack",
IF(COUNTIF('Queen Discography'!$F$4:$F$22,C16)&gt;0,"A Night At The Opera",
IF(COUNTIF('Queen Discography'!$G$4:$G$22,C16)&gt;0,"A Day At The Races",
IF(COUNTIF('Queen Discography'!$H$4:$H$22,C16)&gt;0,"News Of The World",
IF(COUNTIF('Queen Discography'!$I$4:$I$22,C16)&gt;0,"Jazz",
IF(COUNTIF('Queen Discography'!$J$4:$J$22,C16)&gt;0,"The Game",
IF(COUNTIF('Queen Discography'!$K$4:$K$22,C16)&gt;0,"Flash Gordon",
IF(COUNTIF('Queen Discography'!$L$4:$L$22,C16)&gt;0,"Hot Space",
IF(COUNTIF('Queen Discography'!$M$4:$M$22,C16)&gt;0,"The Works",
IF(COUNTIF('Queen Discography'!$N$4:$N$22,C16)&gt;0,"A Kind Of Magic",
IF(COUNTIF('Queen Discography'!$O$4:$O$22,C16)&gt;0,"The Miracle",
IF(COUNTIF('Queen Discography'!$P$4:$P$22,C16)&gt;0,"Innuendo",
IF(COUNTIF('Queen Discography'!$Q$4:$Q$22,C16)&gt;0,"Made In Heaven","NOT FOUND")))))))))))))))</f>
        <v>Innuendo</v>
      </c>
      <c r="I16" s="1"/>
      <c r="J16" s="98">
        <v>12.0</v>
      </c>
      <c r="K16" s="99" t="str">
        <f t="shared" si="9"/>
        <v>N/A</v>
      </c>
      <c r="L16" s="99" t="str">
        <f t="shared" si="3"/>
        <v>N/A</v>
      </c>
      <c r="M16" s="99" t="str">
        <f t="shared" si="4"/>
        <v>N/A</v>
      </c>
      <c r="N16" s="100" t="str">
        <f>IFERROR(__xludf.DUMMYFUNCTION("IFERROR(MEDIAN(FILTER($G$4:$G$66,$D$4:$D$66=$J16,ISNUMBER($G$4:$G$66))),""N/A"")"),"N/A")</f>
        <v>N/A</v>
      </c>
      <c r="O16" s="99" t="str">
        <f>IFERROR(__xludf.DUMMYFUNCTION("IFERROR(MODE(FILTER($G$4:$G$66,$D$4:$D$66=$J16,ISNUMBER($G$4:$G$66))),""N/A"")"),"N/A")</f>
        <v>N/A</v>
      </c>
      <c r="P16" s="99">
        <f t="shared" ref="P16:AE16" si="20">COUNTIFS($H$4:$H$66,P$3,$D$4:$D$66,$J16)</f>
        <v>0</v>
      </c>
      <c r="Q16" s="99">
        <f t="shared" si="20"/>
        <v>0</v>
      </c>
      <c r="R16" s="99">
        <f t="shared" si="20"/>
        <v>0</v>
      </c>
      <c r="S16" s="99">
        <f t="shared" si="20"/>
        <v>0</v>
      </c>
      <c r="T16" s="99">
        <f t="shared" si="20"/>
        <v>0</v>
      </c>
      <c r="U16" s="99">
        <f t="shared" si="20"/>
        <v>0</v>
      </c>
      <c r="V16" s="99">
        <f t="shared" si="20"/>
        <v>0</v>
      </c>
      <c r="W16" s="99">
        <f t="shared" si="20"/>
        <v>0</v>
      </c>
      <c r="X16" s="99">
        <f t="shared" si="20"/>
        <v>0</v>
      </c>
      <c r="Y16" s="99">
        <f t="shared" si="20"/>
        <v>0</v>
      </c>
      <c r="Z16" s="99">
        <f t="shared" si="20"/>
        <v>0</v>
      </c>
      <c r="AA16" s="99">
        <f t="shared" si="20"/>
        <v>0</v>
      </c>
      <c r="AB16" s="99">
        <f t="shared" si="20"/>
        <v>0</v>
      </c>
      <c r="AC16" s="99">
        <f t="shared" si="20"/>
        <v>0</v>
      </c>
      <c r="AD16" s="99">
        <f t="shared" si="20"/>
        <v>0</v>
      </c>
      <c r="AE16" s="99">
        <f t="shared" si="20"/>
        <v>0</v>
      </c>
      <c r="AF16" s="104">
        <f t="array" ref="AF16:AU16">IFERROR(P16:AE16*TRANSPOSE('Queen MIDI'!$J$4:$J$19),"N/A")</f>
        <v>0</v>
      </c>
      <c r="AG16" s="104">
        <v>0.0</v>
      </c>
      <c r="AH16" s="104">
        <v>0.0</v>
      </c>
      <c r="AI16" s="104">
        <v>0.0</v>
      </c>
      <c r="AJ16" s="104">
        <v>0.0</v>
      </c>
      <c r="AK16" s="104">
        <v>0.0</v>
      </c>
      <c r="AL16" s="104">
        <v>0.0</v>
      </c>
      <c r="AM16" s="104">
        <v>0.0</v>
      </c>
      <c r="AN16" s="104" t="s">
        <v>357</v>
      </c>
      <c r="AO16" s="104">
        <v>0.0</v>
      </c>
      <c r="AP16" s="104">
        <v>0.0</v>
      </c>
      <c r="AQ16" s="104">
        <v>0.0</v>
      </c>
      <c r="AR16" s="104">
        <v>0.0</v>
      </c>
      <c r="AS16" s="104">
        <v>0.0</v>
      </c>
      <c r="AT16" s="104">
        <v>0.0</v>
      </c>
      <c r="AU16" s="104">
        <v>0.0</v>
      </c>
      <c r="AV16" s="99" t="str">
        <f>IFERROR(__xludf.DUMMYFUNCTION("JOIN("", "",FILTER($P$3:$AE$3,$P16:$AE16=MAX($P16:$AE16)))"),"Queen,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6" s="99">
        <f t="shared" si="6"/>
        <v>0</v>
      </c>
      <c r="AX16" s="99">
        <f>IFERROR(__xludf.DUMMYFUNCTION("COUNTA(FILTER($P$3:$AE$3,$P16:$AE16=MAX($P16:$AE16)))"),16.0)</f>
        <v>16</v>
      </c>
      <c r="AY16" s="99" t="str">
        <f>IFERROR(__xludf.DUMMYFUNCTION("IFERROR(JOIN("", "",FILTER($AF$3:$AU$3,$AF16:$AU16=MAXIFS($AF16:$AU16,$AF$23:$AU$23,TRUE),$AF$23:$AU$23)),""N/A"")"),"Queen,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6" s="173" t="str">
        <f>IFERROR(__xludf.DUMMYFUNCTION("IFERROR(JOIN("", "",FILTER($P16:$AE16,$AF16:$AU16=MAXIFS($AF16:$AU16,$AF$23:$AU$23,TRUE),$AF$23:$AU$23)),""N/A"")"),"0, 0, 0, 0, 0, 0, 0, 0, 0, 0, 0, 0, 0, 0")</f>
        <v>0, 0, 0, 0, 0, 0, 0, 0, 0, 0, 0, 0, 0, 0</v>
      </c>
      <c r="BA16" s="103">
        <f>MAXIFS(AF16:AU16,$AF$23:$AU$23,TRUE)/'Queen MIDI'!$J$20</f>
        <v>0</v>
      </c>
      <c r="BB16" s="98">
        <f>IFERROR(__xludf.DUMMYFUNCTION("COUNTA(IFERROR(FILTER($AF$3:$AU$3,$AF16:$AU16=MAXIFS($AF16:$AU16,$AF$23:$AU$23,TRUE),$AF$23:$AU$23),))"),14.0)</f>
        <v>14</v>
      </c>
      <c r="BC16" s="103">
        <f t="shared" si="7"/>
        <v>0</v>
      </c>
      <c r="BD16" s="99">
        <f t="shared" si="8"/>
        <v>0</v>
      </c>
      <c r="BE16" s="1"/>
    </row>
    <row r="17">
      <c r="A17" s="1"/>
      <c r="C17" s="66" t="str">
        <f t="array" ref="C17">INDEX('Queen MIDI'!$C$4:$C$66,MATCH(F17,'Queen MIDI'!$D$4:$D$66,0))</f>
        <v>Heaven for Everyone</v>
      </c>
      <c r="D17" s="164">
        <v>1.0</v>
      </c>
      <c r="E17" s="165" t="s">
        <v>409</v>
      </c>
      <c r="F17" s="66" t="str">
        <f t="shared" si="2"/>
        <v>Heaven for Everyone.mid</v>
      </c>
      <c r="G17" s="120">
        <f>HLOOKUP(H17,'Queen Discography'!$C$2:$Q$3,2,FALSE)</f>
        <v>1995</v>
      </c>
      <c r="H17" s="66" t="str">
        <f>IF(COUNTIF('Queen Discography'!$C$4:$C$22,C17)&gt;0,"Queen",
IF(COUNTIF('Queen Discography'!$D$4:$D$22,C17)&gt;0,"Queen II",
IF(COUNTIF('Queen Discography'!$E$4:$E$22,C17)&gt;0,"Sheer Heart Attack",
IF(COUNTIF('Queen Discography'!$F$4:$F$22,C17)&gt;0,"A Night At The Opera",
IF(COUNTIF('Queen Discography'!$G$4:$G$22,C17)&gt;0,"A Day At The Races",
IF(COUNTIF('Queen Discography'!$H$4:$H$22,C17)&gt;0,"News Of The World",
IF(COUNTIF('Queen Discography'!$I$4:$I$22,C17)&gt;0,"Jazz",
IF(COUNTIF('Queen Discography'!$J$4:$J$22,C17)&gt;0,"The Game",
IF(COUNTIF('Queen Discography'!$K$4:$K$22,C17)&gt;0,"Flash Gordon",
IF(COUNTIF('Queen Discography'!$L$4:$L$22,C17)&gt;0,"Hot Space",
IF(COUNTIF('Queen Discography'!$M$4:$M$22,C17)&gt;0,"The Works",
IF(COUNTIF('Queen Discography'!$N$4:$N$22,C17)&gt;0,"A Kind Of Magic",
IF(COUNTIF('Queen Discography'!$O$4:$O$22,C17)&gt;0,"The Miracle",
IF(COUNTIF('Queen Discography'!$P$4:$P$22,C17)&gt;0,"Innuendo",
IF(COUNTIF('Queen Discography'!$Q$4:$Q$22,C17)&gt;0,"Made In Heaven","NOT FOUND")))))))))))))))</f>
        <v>Made In Heaven</v>
      </c>
      <c r="I17" s="1"/>
      <c r="J17" s="98">
        <v>13.0</v>
      </c>
      <c r="K17" s="99" t="str">
        <f t="shared" si="9"/>
        <v>N/A</v>
      </c>
      <c r="L17" s="99" t="str">
        <f t="shared" si="3"/>
        <v>N/A</v>
      </c>
      <c r="M17" s="99" t="str">
        <f t="shared" si="4"/>
        <v>N/A</v>
      </c>
      <c r="N17" s="100" t="str">
        <f>IFERROR(__xludf.DUMMYFUNCTION("IFERROR(MEDIAN(FILTER($G$4:$G$66,$D$4:$D$66=$J17,ISNUMBER($G$4:$G$66))),""N/A"")"),"N/A")</f>
        <v>N/A</v>
      </c>
      <c r="O17" s="99" t="str">
        <f>IFERROR(__xludf.DUMMYFUNCTION("IFERROR(MODE(FILTER($G$4:$G$66,$D$4:$D$66=$J17,ISNUMBER($G$4:$G$66))),""N/A"")"),"N/A")</f>
        <v>N/A</v>
      </c>
      <c r="P17" s="99">
        <f t="shared" ref="P17:AE17" si="21">COUNTIFS($H$4:$H$66,P$3,$D$4:$D$66,$J17)</f>
        <v>0</v>
      </c>
      <c r="Q17" s="99">
        <f t="shared" si="21"/>
        <v>0</v>
      </c>
      <c r="R17" s="99">
        <f t="shared" si="21"/>
        <v>0</v>
      </c>
      <c r="S17" s="99">
        <f t="shared" si="21"/>
        <v>0</v>
      </c>
      <c r="T17" s="99">
        <f t="shared" si="21"/>
        <v>0</v>
      </c>
      <c r="U17" s="99">
        <f t="shared" si="21"/>
        <v>0</v>
      </c>
      <c r="V17" s="99">
        <f t="shared" si="21"/>
        <v>0</v>
      </c>
      <c r="W17" s="99">
        <f t="shared" si="21"/>
        <v>0</v>
      </c>
      <c r="X17" s="99">
        <f t="shared" si="21"/>
        <v>0</v>
      </c>
      <c r="Y17" s="99">
        <f t="shared" si="21"/>
        <v>0</v>
      </c>
      <c r="Z17" s="99">
        <f t="shared" si="21"/>
        <v>0</v>
      </c>
      <c r="AA17" s="99">
        <f t="shared" si="21"/>
        <v>0</v>
      </c>
      <c r="AB17" s="99">
        <f t="shared" si="21"/>
        <v>0</v>
      </c>
      <c r="AC17" s="99">
        <f t="shared" si="21"/>
        <v>0</v>
      </c>
      <c r="AD17" s="99">
        <f t="shared" si="21"/>
        <v>0</v>
      </c>
      <c r="AE17" s="99">
        <f t="shared" si="21"/>
        <v>0</v>
      </c>
      <c r="AF17" s="104">
        <f t="array" ref="AF17:AU17">IFERROR(P17:AE17*TRANSPOSE('Queen MIDI'!$J$4:$J$19),"N/A")</f>
        <v>0</v>
      </c>
      <c r="AG17" s="104">
        <v>0.0</v>
      </c>
      <c r="AH17" s="104">
        <v>0.0</v>
      </c>
      <c r="AI17" s="104">
        <v>0.0</v>
      </c>
      <c r="AJ17" s="104">
        <v>0.0</v>
      </c>
      <c r="AK17" s="104">
        <v>0.0</v>
      </c>
      <c r="AL17" s="104">
        <v>0.0</v>
      </c>
      <c r="AM17" s="104">
        <v>0.0</v>
      </c>
      <c r="AN17" s="104" t="s">
        <v>357</v>
      </c>
      <c r="AO17" s="104">
        <v>0.0</v>
      </c>
      <c r="AP17" s="104">
        <v>0.0</v>
      </c>
      <c r="AQ17" s="104">
        <v>0.0</v>
      </c>
      <c r="AR17" s="104">
        <v>0.0</v>
      </c>
      <c r="AS17" s="104">
        <v>0.0</v>
      </c>
      <c r="AT17" s="104">
        <v>0.0</v>
      </c>
      <c r="AU17" s="104">
        <v>0.0</v>
      </c>
      <c r="AV17" s="99" t="str">
        <f>IFERROR(__xludf.DUMMYFUNCTION("JOIN("", "",FILTER($P$3:$AE$3,$P17:$AE17=MAX($P17:$AE17)))"),"Queen,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7" s="99">
        <f t="shared" si="6"/>
        <v>0</v>
      </c>
      <c r="AX17" s="99">
        <f>IFERROR(__xludf.DUMMYFUNCTION("COUNTA(FILTER($P$3:$AE$3,$P17:$AE17=MAX($P17:$AE17)))"),16.0)</f>
        <v>16</v>
      </c>
      <c r="AY17" s="99" t="str">
        <f>IFERROR(__xludf.DUMMYFUNCTION("IFERROR(JOIN("", "",FILTER($AF$3:$AU$3,$AF17:$AU17=MAXIFS($AF17:$AU17,$AF$23:$AU$23,TRUE),$AF$23:$AU$23)),""N/A"")"),"Queen,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7" s="173" t="str">
        <f>IFERROR(__xludf.DUMMYFUNCTION("IFERROR(JOIN("", "",FILTER($P17:$AE17,$AF17:$AU17=MAXIFS($AF17:$AU17,$AF$23:$AU$23,TRUE),$AF$23:$AU$23)),""N/A"")"),"0, 0, 0, 0, 0, 0, 0, 0, 0, 0, 0, 0, 0, 0")</f>
        <v>0, 0, 0, 0, 0, 0, 0, 0, 0, 0, 0, 0, 0, 0</v>
      </c>
      <c r="BA17" s="103">
        <f>MAXIFS(AF17:AU17,$AF$23:$AU$23,TRUE)/'Queen MIDI'!$J$20</f>
        <v>0</v>
      </c>
      <c r="BB17" s="98">
        <f>IFERROR(__xludf.DUMMYFUNCTION("COUNTA(IFERROR(FILTER($AF$3:$AU$3,$AF17:$AU17=MAXIFS($AF17:$AU17,$AF$23:$AU$23,TRUE),$AF$23:$AU$23),))"),14.0)</f>
        <v>14</v>
      </c>
      <c r="BC17" s="103">
        <f t="shared" si="7"/>
        <v>0</v>
      </c>
      <c r="BD17" s="99">
        <f t="shared" si="8"/>
        <v>0</v>
      </c>
      <c r="BE17" s="1"/>
    </row>
    <row r="18">
      <c r="A18" s="1"/>
      <c r="C18" s="66" t="str">
        <f t="array" ref="C18">INDEX('Queen MIDI'!$C$4:$C$66,MATCH(F18,'Queen MIDI'!$D$4:$D$66,0))</f>
        <v>I Was Born to Love You</v>
      </c>
      <c r="D18" s="164">
        <v>1.0</v>
      </c>
      <c r="E18" s="165" t="s">
        <v>410</v>
      </c>
      <c r="F18" s="66" t="str">
        <f t="shared" si="2"/>
        <v>I Was Born to Love You.mid</v>
      </c>
      <c r="G18" s="131">
        <f>HLOOKUP(H18,'Queen Discography'!$C$2:$Q$3,2,FALSE)</f>
        <v>1995</v>
      </c>
      <c r="H18" s="66" t="str">
        <f>IF(COUNTIF('Queen Discography'!$C$4:$C$22,C18)&gt;0,"Queen",
IF(COUNTIF('Queen Discography'!$D$4:$D$22,C18)&gt;0,"Queen II",
IF(COUNTIF('Queen Discography'!$E$4:$E$22,C18)&gt;0,"Sheer Heart Attack",
IF(COUNTIF('Queen Discography'!$F$4:$F$22,C18)&gt;0,"A Night At The Opera",
IF(COUNTIF('Queen Discography'!$G$4:$G$22,C18)&gt;0,"A Day At The Races",
IF(COUNTIF('Queen Discography'!$H$4:$H$22,C18)&gt;0,"News Of The World",
IF(COUNTIF('Queen Discography'!$I$4:$I$22,C18)&gt;0,"Jazz",
IF(COUNTIF('Queen Discography'!$J$4:$J$22,C18)&gt;0,"The Game",
IF(COUNTIF('Queen Discography'!$K$4:$K$22,C18)&gt;0,"Flash Gordon",
IF(COUNTIF('Queen Discography'!$L$4:$L$22,C18)&gt;0,"Hot Space",
IF(COUNTIF('Queen Discography'!$M$4:$M$22,C18)&gt;0,"The Works",
IF(COUNTIF('Queen Discography'!$N$4:$N$22,C18)&gt;0,"A Kind Of Magic",
IF(COUNTIF('Queen Discography'!$O$4:$O$22,C18)&gt;0,"The Miracle",
IF(COUNTIF('Queen Discography'!$P$4:$P$22,C18)&gt;0,"Innuendo",
IF(COUNTIF('Queen Discography'!$Q$4:$Q$22,C18)&gt;0,"Made In Heaven","NOT FOUND")))))))))))))))</f>
        <v>Made In Heaven</v>
      </c>
      <c r="I18" s="1"/>
      <c r="J18" s="98">
        <v>14.0</v>
      </c>
      <c r="K18" s="99" t="str">
        <f t="shared" si="9"/>
        <v>N/A</v>
      </c>
      <c r="L18" s="99" t="str">
        <f t="shared" si="3"/>
        <v>N/A</v>
      </c>
      <c r="M18" s="99" t="str">
        <f t="shared" si="4"/>
        <v>N/A</v>
      </c>
      <c r="N18" s="100" t="str">
        <f>IFERROR(__xludf.DUMMYFUNCTION("IFERROR(MEDIAN(FILTER($G$4:$G$66,$D$4:$D$66=$J18,ISNUMBER($G$4:$G$66))),""N/A"")"),"N/A")</f>
        <v>N/A</v>
      </c>
      <c r="O18" s="99" t="str">
        <f>IFERROR(__xludf.DUMMYFUNCTION("IFERROR(MODE(FILTER($G$4:$G$66,$D$4:$D$66=$J18,ISNUMBER($G$4:$G$66))),""N/A"")"),"N/A")</f>
        <v>N/A</v>
      </c>
      <c r="P18" s="99">
        <f t="shared" ref="P18:AE18" si="22">COUNTIFS($H$4:$H$66,P$3,$D$4:$D$66,$J18)</f>
        <v>0</v>
      </c>
      <c r="Q18" s="99">
        <f t="shared" si="22"/>
        <v>0</v>
      </c>
      <c r="R18" s="99">
        <f t="shared" si="22"/>
        <v>0</v>
      </c>
      <c r="S18" s="99">
        <f t="shared" si="22"/>
        <v>0</v>
      </c>
      <c r="T18" s="99">
        <f t="shared" si="22"/>
        <v>0</v>
      </c>
      <c r="U18" s="99">
        <f t="shared" si="22"/>
        <v>0</v>
      </c>
      <c r="V18" s="99">
        <f t="shared" si="22"/>
        <v>0</v>
      </c>
      <c r="W18" s="99">
        <f t="shared" si="22"/>
        <v>0</v>
      </c>
      <c r="X18" s="99">
        <f t="shared" si="22"/>
        <v>0</v>
      </c>
      <c r="Y18" s="99">
        <f t="shared" si="22"/>
        <v>0</v>
      </c>
      <c r="Z18" s="99">
        <f t="shared" si="22"/>
        <v>0</v>
      </c>
      <c r="AA18" s="99">
        <f t="shared" si="22"/>
        <v>0</v>
      </c>
      <c r="AB18" s="99">
        <f t="shared" si="22"/>
        <v>0</v>
      </c>
      <c r="AC18" s="99">
        <f t="shared" si="22"/>
        <v>0</v>
      </c>
      <c r="AD18" s="99">
        <f t="shared" si="22"/>
        <v>0</v>
      </c>
      <c r="AE18" s="99">
        <f t="shared" si="22"/>
        <v>0</v>
      </c>
      <c r="AF18" s="104">
        <f t="array" ref="AF18:AU18">IFERROR(P18:AE18*TRANSPOSE('Queen MIDI'!$J$4:$J$19),"N/A")</f>
        <v>0</v>
      </c>
      <c r="AG18" s="104">
        <v>0.0</v>
      </c>
      <c r="AH18" s="104">
        <v>0.0</v>
      </c>
      <c r="AI18" s="104">
        <v>0.0</v>
      </c>
      <c r="AJ18" s="104">
        <v>0.0</v>
      </c>
      <c r="AK18" s="104">
        <v>0.0</v>
      </c>
      <c r="AL18" s="104">
        <v>0.0</v>
      </c>
      <c r="AM18" s="104">
        <v>0.0</v>
      </c>
      <c r="AN18" s="104" t="s">
        <v>357</v>
      </c>
      <c r="AO18" s="104">
        <v>0.0</v>
      </c>
      <c r="AP18" s="104">
        <v>0.0</v>
      </c>
      <c r="AQ18" s="104">
        <v>0.0</v>
      </c>
      <c r="AR18" s="104">
        <v>0.0</v>
      </c>
      <c r="AS18" s="104">
        <v>0.0</v>
      </c>
      <c r="AT18" s="104">
        <v>0.0</v>
      </c>
      <c r="AU18" s="104">
        <v>0.0</v>
      </c>
      <c r="AV18" s="99" t="str">
        <f>IFERROR(__xludf.DUMMYFUNCTION("JOIN("", "",FILTER($P$3:$AE$3,$P18:$AE18=MAX($P18:$AE18)))"),"Queen,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8" s="99">
        <f t="shared" si="6"/>
        <v>0</v>
      </c>
      <c r="AX18" s="99">
        <f>IFERROR(__xludf.DUMMYFUNCTION("COUNTA(FILTER($P$3:$AE$3,$P18:$AE18=MAX($P18:$AE18)))"),16.0)</f>
        <v>16</v>
      </c>
      <c r="AY18" s="99" t="str">
        <f>IFERROR(__xludf.DUMMYFUNCTION("IFERROR(JOIN("", "",FILTER($AF$3:$AU$3,$AF18:$AU18=MAXIFS($AF18:$AU18,$AF$23:$AU$23,TRUE),$AF$23:$AU$23)),""N/A"")"),"Queen,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8" s="174" t="str">
        <f>IFERROR(__xludf.DUMMYFUNCTION("IFERROR(JOIN("", "",FILTER($P18:$AE18,$AF18:$AU18=MAXIFS($AF18:$AU18,$AF$23:$AU$23,TRUE),$AF$23:$AU$23)),""N/A"")"),"0, 0, 0, 0, 0, 0, 0, 0, 0, 0, 0, 0, 0, 0")</f>
        <v>0, 0, 0, 0, 0, 0, 0, 0, 0, 0, 0, 0, 0, 0</v>
      </c>
      <c r="BA18" s="103">
        <f>MAXIFS(AF18:AU18,$AF$23:$AU$23,TRUE)/'Queen MIDI'!$J$20</f>
        <v>0</v>
      </c>
      <c r="BB18" s="98">
        <f>IFERROR(__xludf.DUMMYFUNCTION("COUNTA(IFERROR(FILTER($AF$3:$AU$3,$AF18:$AU18=MAXIFS($AF18:$AU18,$AF$23:$AU$23,TRUE),$AF$23:$AU$23),))"),14.0)</f>
        <v>14</v>
      </c>
      <c r="BC18" s="103">
        <f t="shared" si="7"/>
        <v>0</v>
      </c>
      <c r="BD18" s="99">
        <f t="shared" si="8"/>
        <v>0</v>
      </c>
      <c r="BE18" s="1"/>
    </row>
    <row r="19">
      <c r="A19" s="1"/>
      <c r="C19" s="66" t="str">
        <f t="array" ref="C19">INDEX('Queen MIDI'!$C$4:$C$66,MATCH(F19,'Queen MIDI'!$D$4:$D$66,0))</f>
        <v>You Don't Fool Me</v>
      </c>
      <c r="D19" s="164">
        <v>1.0</v>
      </c>
      <c r="E19" s="165" t="s">
        <v>415</v>
      </c>
      <c r="F19" s="66" t="str">
        <f t="shared" si="2"/>
        <v>You Don_t Fool Me.mid</v>
      </c>
      <c r="G19" s="124">
        <f>HLOOKUP(H19,'Queen Discography'!$C$2:$Q$3,2,FALSE)</f>
        <v>1995</v>
      </c>
      <c r="H19" s="66" t="str">
        <f>IF(COUNTIF('Queen Discography'!$C$4:$C$22,C19)&gt;0,"Queen",
IF(COUNTIF('Queen Discography'!$D$4:$D$22,C19)&gt;0,"Queen II",
IF(COUNTIF('Queen Discography'!$E$4:$E$22,C19)&gt;0,"Sheer Heart Attack",
IF(COUNTIF('Queen Discography'!$F$4:$F$22,C19)&gt;0,"A Night At The Opera",
IF(COUNTIF('Queen Discography'!$G$4:$G$22,C19)&gt;0,"A Day At The Races",
IF(COUNTIF('Queen Discography'!$H$4:$H$22,C19)&gt;0,"News Of The World",
IF(COUNTIF('Queen Discography'!$I$4:$I$22,C19)&gt;0,"Jazz",
IF(COUNTIF('Queen Discography'!$J$4:$J$22,C19)&gt;0,"The Game",
IF(COUNTIF('Queen Discography'!$K$4:$K$22,C19)&gt;0,"Flash Gordon",
IF(COUNTIF('Queen Discography'!$L$4:$L$22,C19)&gt;0,"Hot Space",
IF(COUNTIF('Queen Discography'!$M$4:$M$22,C19)&gt;0,"The Works",
IF(COUNTIF('Queen Discography'!$N$4:$N$22,C19)&gt;0,"A Kind Of Magic",
IF(COUNTIF('Queen Discography'!$O$4:$O$22,C19)&gt;0,"The Miracle",
IF(COUNTIF('Queen Discography'!$P$4:$P$22,C19)&gt;0,"Innuendo",
IF(COUNTIF('Queen Discography'!$Q$4:$Q$22,C19)&gt;0,"Made In Heaven","NOT FOUND")))))))))))))))</f>
        <v>Made In Heaven</v>
      </c>
      <c r="I19" s="1"/>
      <c r="J19" s="98">
        <v>15.0</v>
      </c>
      <c r="K19" s="99" t="str">
        <f t="shared" si="9"/>
        <v>N/A</v>
      </c>
      <c r="L19" s="99" t="str">
        <f t="shared" si="3"/>
        <v>N/A</v>
      </c>
      <c r="M19" s="99" t="str">
        <f t="shared" si="4"/>
        <v>N/A</v>
      </c>
      <c r="N19" s="100" t="str">
        <f>IFERROR(__xludf.DUMMYFUNCTION("IFERROR(MEDIAN(FILTER($G$4:$G$66,$D$4:$D$66=$J19,ISNUMBER($G$4:$G$66))),""N/A"")"),"N/A")</f>
        <v>N/A</v>
      </c>
      <c r="O19" s="99" t="str">
        <f>IFERROR(__xludf.DUMMYFUNCTION("IFERROR(MODE(FILTER($G$4:$G$66,$D$4:$D$66=$J19,ISNUMBER($G$4:$G$66))),""N/A"")"),"N/A")</f>
        <v>N/A</v>
      </c>
      <c r="P19" s="99">
        <f t="shared" ref="P19:AE19" si="23">COUNTIFS($H$4:$H$66,P$3,$D$4:$D$66,$J19)</f>
        <v>0</v>
      </c>
      <c r="Q19" s="99">
        <f t="shared" si="23"/>
        <v>0</v>
      </c>
      <c r="R19" s="99">
        <f t="shared" si="23"/>
        <v>0</v>
      </c>
      <c r="S19" s="99">
        <f t="shared" si="23"/>
        <v>0</v>
      </c>
      <c r="T19" s="99">
        <f t="shared" si="23"/>
        <v>0</v>
      </c>
      <c r="U19" s="99">
        <f t="shared" si="23"/>
        <v>0</v>
      </c>
      <c r="V19" s="99">
        <f t="shared" si="23"/>
        <v>0</v>
      </c>
      <c r="W19" s="99">
        <f t="shared" si="23"/>
        <v>0</v>
      </c>
      <c r="X19" s="99">
        <f t="shared" si="23"/>
        <v>0</v>
      </c>
      <c r="Y19" s="99">
        <f t="shared" si="23"/>
        <v>0</v>
      </c>
      <c r="Z19" s="99">
        <f t="shared" si="23"/>
        <v>0</v>
      </c>
      <c r="AA19" s="99">
        <f t="shared" si="23"/>
        <v>0</v>
      </c>
      <c r="AB19" s="99">
        <f t="shared" si="23"/>
        <v>0</v>
      </c>
      <c r="AC19" s="99">
        <f t="shared" si="23"/>
        <v>0</v>
      </c>
      <c r="AD19" s="99">
        <f t="shared" si="23"/>
        <v>0</v>
      </c>
      <c r="AE19" s="99">
        <f t="shared" si="23"/>
        <v>0</v>
      </c>
      <c r="AF19" s="104">
        <f t="array" ref="AF19:AU19">IFERROR(P19:AE19*TRANSPOSE('Queen MIDI'!$J$4:$J$19),"N/A")</f>
        <v>0</v>
      </c>
      <c r="AG19" s="104">
        <v>0.0</v>
      </c>
      <c r="AH19" s="104">
        <v>0.0</v>
      </c>
      <c r="AI19" s="104">
        <v>0.0</v>
      </c>
      <c r="AJ19" s="104">
        <v>0.0</v>
      </c>
      <c r="AK19" s="104">
        <v>0.0</v>
      </c>
      <c r="AL19" s="104">
        <v>0.0</v>
      </c>
      <c r="AM19" s="104">
        <v>0.0</v>
      </c>
      <c r="AN19" s="104" t="s">
        <v>357</v>
      </c>
      <c r="AO19" s="104">
        <v>0.0</v>
      </c>
      <c r="AP19" s="104">
        <v>0.0</v>
      </c>
      <c r="AQ19" s="104">
        <v>0.0</v>
      </c>
      <c r="AR19" s="104">
        <v>0.0</v>
      </c>
      <c r="AS19" s="104">
        <v>0.0</v>
      </c>
      <c r="AT19" s="104">
        <v>0.0</v>
      </c>
      <c r="AU19" s="104">
        <v>0.0</v>
      </c>
      <c r="AV19" s="99" t="str">
        <f>IFERROR(__xludf.DUMMYFUNCTION("JOIN("", "",FILTER($P$3:$AE$3,$P19:$AE19=MAX($P19:$AE19)))"),"Queen,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9" s="99">
        <f t="shared" si="6"/>
        <v>0</v>
      </c>
      <c r="AX19" s="99">
        <f>IFERROR(__xludf.DUMMYFUNCTION("COUNTA(FILTER($P$3:$AE$3,$P19:$AE19=MAX($P19:$AE19)))"),16.0)</f>
        <v>16</v>
      </c>
      <c r="AY19" s="99" t="str">
        <f>IFERROR(__xludf.DUMMYFUNCTION("IFERROR(JOIN("", "",FILTER($AF$3:$AU$3,$AF19:$AU19=MAXIFS($AF19:$AU19,$AF$23:$AU$23,TRUE),$AF$23:$AU$23)),""N/A"")"),"Queen,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9" s="174" t="str">
        <f>IFERROR(__xludf.DUMMYFUNCTION("IFERROR(JOIN("", "",FILTER($P19:$AE19,$AF19:$AU19=MAXIFS($AF19:$AU19,$AF$23:$AU$23,TRUE),$AF$23:$AU$23)),""N/A"")"),"0, 0, 0, 0, 0, 0, 0, 0, 0, 0, 0, 0, 0, 0")</f>
        <v>0, 0, 0, 0, 0, 0, 0, 0, 0, 0, 0, 0, 0, 0</v>
      </c>
      <c r="BA19" s="103">
        <f>MAXIFS(AF19:AU19,$AF$23:$AU$23,TRUE)/'Queen MIDI'!$J$20</f>
        <v>0</v>
      </c>
      <c r="BB19" s="98">
        <f>IFERROR(__xludf.DUMMYFUNCTION("COUNTA(IFERROR(FILTER($AF$3:$AU$3,$AF19:$AU19=MAXIFS($AF19:$AU19,$AF$23:$AU$23,TRUE),$AF$23:$AU$23),))"),14.0)</f>
        <v>14</v>
      </c>
      <c r="BC19" s="103">
        <f t="shared" si="7"/>
        <v>0</v>
      </c>
      <c r="BD19" s="99">
        <f t="shared" si="8"/>
        <v>0</v>
      </c>
      <c r="BE19" s="1"/>
    </row>
    <row r="20">
      <c r="A20" s="1"/>
      <c r="C20" s="66" t="str">
        <f t="array" ref="C20">INDEX('Queen MIDI'!$C$4:$C$66,MATCH(F20,'Queen MIDI'!$D$4:$D$66,0))</f>
        <v>Doing Alright</v>
      </c>
      <c r="D20" s="150">
        <v>2.0</v>
      </c>
      <c r="E20" s="151" t="s">
        <v>356</v>
      </c>
      <c r="F20" s="66" t="str">
        <f t="shared" si="2"/>
        <v>Doing All Right.1.mid</v>
      </c>
      <c r="G20" s="126">
        <f>HLOOKUP(H20,'Queen Discography'!$C$2:$Q$3,2,FALSE)</f>
        <v>1973</v>
      </c>
      <c r="H20" s="66" t="str">
        <f>IF(COUNTIF('Queen Discography'!$C$4:$C$22,C20)&gt;0,"Queen",
IF(COUNTIF('Queen Discography'!$D$4:$D$22,C20)&gt;0,"Queen II",
IF(COUNTIF('Queen Discography'!$E$4:$E$22,C20)&gt;0,"Sheer Heart Attack",
IF(COUNTIF('Queen Discography'!$F$4:$F$22,C20)&gt;0,"A Night At The Opera",
IF(COUNTIF('Queen Discography'!$G$4:$G$22,C20)&gt;0,"A Day At The Races",
IF(COUNTIF('Queen Discography'!$H$4:$H$22,C20)&gt;0,"News Of The World",
IF(COUNTIF('Queen Discography'!$I$4:$I$22,C20)&gt;0,"Jazz",
IF(COUNTIF('Queen Discography'!$J$4:$J$22,C20)&gt;0,"The Game",
IF(COUNTIF('Queen Discography'!$K$4:$K$22,C20)&gt;0,"Flash Gordon",
IF(COUNTIF('Queen Discography'!$L$4:$L$22,C20)&gt;0,"Hot Space",
IF(COUNTIF('Queen Discography'!$M$4:$M$22,C20)&gt;0,"The Works",
IF(COUNTIF('Queen Discography'!$N$4:$N$22,C20)&gt;0,"A Kind Of Magic",
IF(COUNTIF('Queen Discography'!$O$4:$O$22,C20)&gt;0,"The Miracle",
IF(COUNTIF('Queen Discography'!$P$4:$P$22,C20)&gt;0,"Innuendo",
IF(COUNTIF('Queen Discography'!$Q$4:$Q$22,C20)&gt;0,"Made In Heaven","NOT FOUND")))))))))))))))</f>
        <v>Queen</v>
      </c>
      <c r="I20" s="1"/>
      <c r="J20" s="98">
        <v>16.0</v>
      </c>
      <c r="K20" s="99" t="str">
        <f t="shared" si="9"/>
        <v>N/A</v>
      </c>
      <c r="L20" s="99" t="str">
        <f t="shared" si="3"/>
        <v>N/A</v>
      </c>
      <c r="M20" s="99" t="str">
        <f t="shared" si="4"/>
        <v>N/A</v>
      </c>
      <c r="N20" s="100" t="str">
        <f>IFERROR(__xludf.DUMMYFUNCTION("IFERROR(MEDIAN(FILTER($G$4:$G$66,$D$4:$D$66=$J20,ISNUMBER($G$4:$G$66))),""N/A"")"),"N/A")</f>
        <v>N/A</v>
      </c>
      <c r="O20" s="99" t="str">
        <f>IFERROR(__xludf.DUMMYFUNCTION("IFERROR(MODE(FILTER($G$4:$G$66,$D$4:$D$66=$J20,ISNUMBER($G$4:$G$66))),""N/A"")"),"N/A")</f>
        <v>N/A</v>
      </c>
      <c r="P20" s="99">
        <f t="shared" ref="P20:AE20" si="24">COUNTIFS($H$4:$H$66,P$3,$D$4:$D$66,$J20)</f>
        <v>0</v>
      </c>
      <c r="Q20" s="99">
        <f t="shared" si="24"/>
        <v>0</v>
      </c>
      <c r="R20" s="99">
        <f t="shared" si="24"/>
        <v>0</v>
      </c>
      <c r="S20" s="99">
        <f t="shared" si="24"/>
        <v>0</v>
      </c>
      <c r="T20" s="99">
        <f t="shared" si="24"/>
        <v>0</v>
      </c>
      <c r="U20" s="99">
        <f t="shared" si="24"/>
        <v>0</v>
      </c>
      <c r="V20" s="99">
        <f t="shared" si="24"/>
        <v>0</v>
      </c>
      <c r="W20" s="99">
        <f t="shared" si="24"/>
        <v>0</v>
      </c>
      <c r="X20" s="99">
        <f t="shared" si="24"/>
        <v>0</v>
      </c>
      <c r="Y20" s="99">
        <f t="shared" si="24"/>
        <v>0</v>
      </c>
      <c r="Z20" s="99">
        <f t="shared" si="24"/>
        <v>0</v>
      </c>
      <c r="AA20" s="99">
        <f t="shared" si="24"/>
        <v>0</v>
      </c>
      <c r="AB20" s="99">
        <f t="shared" si="24"/>
        <v>0</v>
      </c>
      <c r="AC20" s="99">
        <f t="shared" si="24"/>
        <v>0</v>
      </c>
      <c r="AD20" s="99">
        <f t="shared" si="24"/>
        <v>0</v>
      </c>
      <c r="AE20" s="99">
        <f t="shared" si="24"/>
        <v>0</v>
      </c>
      <c r="AF20" s="101">
        <f t="array" ref="AF20:AU20">IFERROR(P20:AE20*TRANSPOSE('Queen MIDI'!$J$4:$J$19),"N/A")</f>
        <v>0</v>
      </c>
      <c r="AG20" s="101">
        <v>0.0</v>
      </c>
      <c r="AH20" s="101">
        <v>0.0</v>
      </c>
      <c r="AI20" s="101">
        <v>0.0</v>
      </c>
      <c r="AJ20" s="101">
        <v>0.0</v>
      </c>
      <c r="AK20" s="101">
        <v>0.0</v>
      </c>
      <c r="AL20" s="101">
        <v>0.0</v>
      </c>
      <c r="AM20" s="101">
        <v>0.0</v>
      </c>
      <c r="AN20" s="101" t="s">
        <v>357</v>
      </c>
      <c r="AO20" s="101">
        <v>0.0</v>
      </c>
      <c r="AP20" s="101">
        <v>0.0</v>
      </c>
      <c r="AQ20" s="101">
        <v>0.0</v>
      </c>
      <c r="AR20" s="101">
        <v>0.0</v>
      </c>
      <c r="AS20" s="101">
        <v>0.0</v>
      </c>
      <c r="AT20" s="101">
        <v>0.0</v>
      </c>
      <c r="AU20" s="101">
        <v>0.0</v>
      </c>
      <c r="AV20" s="99" t="str">
        <f>IFERROR(__xludf.DUMMYFUNCTION("JOIN("", "",FILTER($P$3:$AE$3,$P20:$AE20=MAX($P20:$AE20)))"),"Queen,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0" s="99">
        <f t="shared" si="6"/>
        <v>0</v>
      </c>
      <c r="AX20" s="99">
        <f>IFERROR(__xludf.DUMMYFUNCTION("COUNTA(FILTER($P$3:$AE$3,$P20:$AE20=MAX($P20:$AE20)))"),16.0)</f>
        <v>16</v>
      </c>
      <c r="AY20" s="99" t="str">
        <f>IFERROR(__xludf.DUMMYFUNCTION("IFERROR(JOIN("", "",FILTER($AF$3:$AU$3,$AF20:$AU20=MAXIFS($AF20:$AU20,$AF$23:$AU$23,TRUE),$AF$23:$AU$23)),""N/A"")"),"Queen,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0" s="174" t="str">
        <f>IFERROR(__xludf.DUMMYFUNCTION("IFERROR(JOIN("", "",FILTER($P20:$AE20,$AF20:$AU20=MAXIFS($AF20:$AU20,$AF$23:$AU$23,TRUE),$AF$23:$AU$23)),""N/A"")"),"0, 0, 0, 0, 0, 0, 0, 0, 0, 0, 0, 0, 0, 0")</f>
        <v>0, 0, 0, 0, 0, 0, 0, 0, 0, 0, 0, 0, 0, 0</v>
      </c>
      <c r="BA20" s="103">
        <f>MAXIFS(AF20:AU20,$AF$23:$AU$23,TRUE)/'Queen MIDI'!$J$20</f>
        <v>0</v>
      </c>
      <c r="BB20" s="98">
        <f>IFERROR(__xludf.DUMMYFUNCTION("COUNTA(IFERROR(FILTER($AF$3:$AU$3,$AF20:$AU20=MAXIFS($AF20:$AU20,$AF$23:$AU$23,TRUE),$AF$23:$AU$23),))"),14.0)</f>
        <v>14</v>
      </c>
      <c r="BC20" s="103">
        <f t="shared" si="7"/>
        <v>0</v>
      </c>
      <c r="BD20" s="99">
        <f t="shared" si="8"/>
        <v>0</v>
      </c>
      <c r="BE20" s="1"/>
    </row>
    <row r="21">
      <c r="A21" s="1"/>
      <c r="C21" s="66" t="str">
        <f t="array" ref="C21">INDEX('Queen MIDI'!$C$4:$C$66,MATCH(F21,'Queen MIDI'!$D$4:$D$66,0))</f>
        <v>Seven Seas of Rhye</v>
      </c>
      <c r="D21" s="150">
        <v>2.0</v>
      </c>
      <c r="E21" s="151" t="s">
        <v>359</v>
      </c>
      <c r="F21" s="66" t="str">
        <f t="shared" si="2"/>
        <v>Seven Seas of Rhye.1.mid</v>
      </c>
      <c r="G21" s="129">
        <f>HLOOKUP(H21,'Queen Discography'!$C$2:$Q$3,2,FALSE)</f>
        <v>1973</v>
      </c>
      <c r="H21" s="66" t="str">
        <f>IF(COUNTIF('Queen Discography'!$C$4:$C$22,C21)&gt;0,"Queen",
IF(COUNTIF('Queen Discography'!$D$4:$D$22,C21)&gt;0,"Queen II",
IF(COUNTIF('Queen Discography'!$E$4:$E$22,C21)&gt;0,"Sheer Heart Attack",
IF(COUNTIF('Queen Discography'!$F$4:$F$22,C21)&gt;0,"A Night At The Opera",
IF(COUNTIF('Queen Discography'!$G$4:$G$22,C21)&gt;0,"A Day At The Races",
IF(COUNTIF('Queen Discography'!$H$4:$H$22,C21)&gt;0,"News Of The World",
IF(COUNTIF('Queen Discography'!$I$4:$I$22,C21)&gt;0,"Jazz",
IF(COUNTIF('Queen Discography'!$J$4:$J$22,C21)&gt;0,"The Game",
IF(COUNTIF('Queen Discography'!$K$4:$K$22,C21)&gt;0,"Flash Gordon",
IF(COUNTIF('Queen Discography'!$L$4:$L$22,C21)&gt;0,"Hot Space",
IF(COUNTIF('Queen Discography'!$M$4:$M$22,C21)&gt;0,"The Works",
IF(COUNTIF('Queen Discography'!$N$4:$N$22,C21)&gt;0,"A Kind Of Magic",
IF(COUNTIF('Queen Discography'!$O$4:$O$22,C21)&gt;0,"The Miracle",
IF(COUNTIF('Queen Discography'!$P$4:$P$22,C21)&gt;0,"Innuendo",
IF(COUNTIF('Queen Discography'!$Q$4:$Q$22,C21)&gt;0,"Made In Heaven","NOT FOUND")))))))))))))))</f>
        <v>Queen</v>
      </c>
      <c r="I21" s="1"/>
      <c r="J21" s="98">
        <v>17.0</v>
      </c>
      <c r="K21" s="99" t="str">
        <f t="shared" si="9"/>
        <v>N/A</v>
      </c>
      <c r="L21" s="99" t="str">
        <f t="shared" si="3"/>
        <v>N/A</v>
      </c>
      <c r="M21" s="99" t="str">
        <f t="shared" si="4"/>
        <v>N/A</v>
      </c>
      <c r="N21" s="100" t="str">
        <f>IFERROR(__xludf.DUMMYFUNCTION("IFERROR(MEDIAN(FILTER($G$4:$G$66,$D$4:$D$66=$J21,ISNUMBER($G$4:$G$66))),""N/A"")"),"N/A")</f>
        <v>N/A</v>
      </c>
      <c r="O21" s="99" t="str">
        <f>IFERROR(__xludf.DUMMYFUNCTION("IFERROR(MODE(FILTER($G$4:$G$66,$D$4:$D$66=$J21,ISNUMBER($G$4:$G$66))),""N/A"")"),"N/A")</f>
        <v>N/A</v>
      </c>
      <c r="P21" s="99">
        <f t="shared" ref="P21:AE21" si="25">COUNTIFS($H$4:$H$66,P$3,$D$4:$D$66,$J21)</f>
        <v>0</v>
      </c>
      <c r="Q21" s="99">
        <f t="shared" si="25"/>
        <v>0</v>
      </c>
      <c r="R21" s="99">
        <f t="shared" si="25"/>
        <v>0</v>
      </c>
      <c r="S21" s="99">
        <f t="shared" si="25"/>
        <v>0</v>
      </c>
      <c r="T21" s="99">
        <f t="shared" si="25"/>
        <v>0</v>
      </c>
      <c r="U21" s="99">
        <f t="shared" si="25"/>
        <v>0</v>
      </c>
      <c r="V21" s="99">
        <f t="shared" si="25"/>
        <v>0</v>
      </c>
      <c r="W21" s="99">
        <f t="shared" si="25"/>
        <v>0</v>
      </c>
      <c r="X21" s="99">
        <f t="shared" si="25"/>
        <v>0</v>
      </c>
      <c r="Y21" s="99">
        <f t="shared" si="25"/>
        <v>0</v>
      </c>
      <c r="Z21" s="99">
        <f t="shared" si="25"/>
        <v>0</v>
      </c>
      <c r="AA21" s="99">
        <f t="shared" si="25"/>
        <v>0</v>
      </c>
      <c r="AB21" s="99">
        <f t="shared" si="25"/>
        <v>0</v>
      </c>
      <c r="AC21" s="99">
        <f t="shared" si="25"/>
        <v>0</v>
      </c>
      <c r="AD21" s="99">
        <f t="shared" si="25"/>
        <v>0</v>
      </c>
      <c r="AE21" s="99">
        <f t="shared" si="25"/>
        <v>0</v>
      </c>
      <c r="AF21" s="101">
        <f t="array" ref="AF21:AU21">IFERROR(P21:AE21*TRANSPOSE('Queen MIDI'!$J$4:$J$19),"N/A")</f>
        <v>0</v>
      </c>
      <c r="AG21" s="101">
        <v>0.0</v>
      </c>
      <c r="AH21" s="101">
        <v>0.0</v>
      </c>
      <c r="AI21" s="101">
        <v>0.0</v>
      </c>
      <c r="AJ21" s="101">
        <v>0.0</v>
      </c>
      <c r="AK21" s="101">
        <v>0.0</v>
      </c>
      <c r="AL21" s="101">
        <v>0.0</v>
      </c>
      <c r="AM21" s="101">
        <v>0.0</v>
      </c>
      <c r="AN21" s="101" t="s">
        <v>357</v>
      </c>
      <c r="AO21" s="101">
        <v>0.0</v>
      </c>
      <c r="AP21" s="101">
        <v>0.0</v>
      </c>
      <c r="AQ21" s="101">
        <v>0.0</v>
      </c>
      <c r="AR21" s="101">
        <v>0.0</v>
      </c>
      <c r="AS21" s="101">
        <v>0.0</v>
      </c>
      <c r="AT21" s="101">
        <v>0.0</v>
      </c>
      <c r="AU21" s="101">
        <v>0.0</v>
      </c>
      <c r="AV21" s="99" t="str">
        <f>IFERROR(__xludf.DUMMYFUNCTION("JOIN("", "",FILTER($P$3:$AE$3,$P21:$AE21=MAX($P21:$AE21)))"),"Queen,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1" s="99">
        <f t="shared" si="6"/>
        <v>0</v>
      </c>
      <c r="AX21" s="99">
        <f>IFERROR(__xludf.DUMMYFUNCTION("COUNTA(FILTER($P$3:$AE$3,$P21:$AE21=MAX($P21:$AE21)))"),16.0)</f>
        <v>16</v>
      </c>
      <c r="AY21" s="99" t="str">
        <f>IFERROR(__xludf.DUMMYFUNCTION("IFERROR(JOIN("", "",FILTER($AF$3:$AU$3,$AF21:$AU21=MAXIFS($AF21:$AU21,$AF$23:$AU$23,TRUE),$AF$23:$AU$23)),""N/A"")"),"Queen,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1" s="174" t="str">
        <f>IFERROR(__xludf.DUMMYFUNCTION("IFERROR(JOIN("", "",FILTER($P21:$AE21,$AF21:$AU21=MAXIFS($AF21:$AU21,$AF$23:$AU$23,TRUE),$AF$23:$AU$23)),""N/A"")"),"0, 0, 0, 0, 0, 0, 0, 0, 0, 0, 0, 0, 0, 0")</f>
        <v>0, 0, 0, 0, 0, 0, 0, 0, 0, 0, 0, 0, 0, 0</v>
      </c>
      <c r="BA21" s="103">
        <f>MAXIFS(AF21:AU21,$AF$23:$AU$23,TRUE)/'Queen MIDI'!$J$20</f>
        <v>0</v>
      </c>
      <c r="BB21" s="98">
        <f>IFERROR(__xludf.DUMMYFUNCTION("COUNTA(IFERROR(FILTER($AF$3:$AU$3,$AF21:$AU21=MAXIFS($AF21:$AU21,$AF$23:$AU$23,TRUE),$AF$23:$AU$23),))"),14.0)</f>
        <v>14</v>
      </c>
      <c r="BC21" s="103">
        <f t="shared" si="7"/>
        <v>0</v>
      </c>
      <c r="BD21" s="99">
        <f t="shared" si="8"/>
        <v>0</v>
      </c>
      <c r="BE21" s="1"/>
    </row>
    <row r="22">
      <c r="A22" s="1"/>
      <c r="C22" s="66" t="str">
        <f t="array" ref="C22">INDEX('Queen MIDI'!$C$4:$C$66,MATCH(F22,'Queen MIDI'!$D$4:$D$66,0))</f>
        <v>Father to Son</v>
      </c>
      <c r="D22" s="146">
        <v>2.0</v>
      </c>
      <c r="E22" s="147" t="s">
        <v>361</v>
      </c>
      <c r="F22" s="66" t="str">
        <f t="shared" si="2"/>
        <v>Father to Son.mid</v>
      </c>
      <c r="G22" s="130">
        <f>HLOOKUP(H22,'Queen Discography'!$C$2:$Q$3,2,FALSE)</f>
        <v>1974</v>
      </c>
      <c r="H22" s="66" t="str">
        <f>IF(COUNTIF('Queen Discography'!$C$4:$C$22,C22)&gt;0,"Queen",
IF(COUNTIF('Queen Discography'!$D$4:$D$22,C22)&gt;0,"Queen II",
IF(COUNTIF('Queen Discography'!$E$4:$E$22,C22)&gt;0,"Sheer Heart Attack",
IF(COUNTIF('Queen Discography'!$F$4:$F$22,C22)&gt;0,"A Night At The Opera",
IF(COUNTIF('Queen Discography'!$G$4:$G$22,C22)&gt;0,"A Day At The Races",
IF(COUNTIF('Queen Discography'!$H$4:$H$22,C22)&gt;0,"News Of The World",
IF(COUNTIF('Queen Discography'!$I$4:$I$22,C22)&gt;0,"Jazz",
IF(COUNTIF('Queen Discography'!$J$4:$J$22,C22)&gt;0,"The Game",
IF(COUNTIF('Queen Discography'!$K$4:$K$22,C22)&gt;0,"Flash Gordon",
IF(COUNTIF('Queen Discography'!$L$4:$L$22,C22)&gt;0,"Hot Space",
IF(COUNTIF('Queen Discography'!$M$4:$M$22,C22)&gt;0,"The Works",
IF(COUNTIF('Queen Discography'!$N$4:$N$22,C22)&gt;0,"A Kind Of Magic",
IF(COUNTIF('Queen Discography'!$O$4:$O$22,C22)&gt;0,"The Miracle",
IF(COUNTIF('Queen Discography'!$P$4:$P$22,C22)&gt;0,"Innuendo",
IF(COUNTIF('Queen Discography'!$Q$4:$Q$22,C22)&gt;0,"Made In Heaven","NOT FOUND")))))))))))))))</f>
        <v>Queen II</v>
      </c>
      <c r="I22" s="1"/>
      <c r="J22" s="107"/>
      <c r="K22" s="1"/>
      <c r="L22" s="1"/>
      <c r="M22" s="1"/>
      <c r="N22" s="87"/>
      <c r="O22" s="1"/>
      <c r="P22" s="1"/>
      <c r="Q22" s="1"/>
      <c r="R22" s="1"/>
      <c r="S22" s="1"/>
      <c r="T22" s="1"/>
      <c r="U22" s="1"/>
      <c r="V22" s="1"/>
      <c r="W22" s="1"/>
      <c r="X22" s="1"/>
      <c r="Y22" s="1"/>
      <c r="Z22" s="1"/>
      <c r="AA22" s="1"/>
      <c r="AB22" s="1"/>
      <c r="AC22" s="1"/>
      <c r="AD22" s="1"/>
      <c r="AE22" s="1"/>
      <c r="AF22" s="108">
        <f t="array" ref="AF22:AU22">TRANSPOSE('Queen MIDI'!I4:I19)</f>
        <v>4</v>
      </c>
      <c r="AG22" s="108">
        <v>3.0</v>
      </c>
      <c r="AH22" s="108">
        <v>2.0</v>
      </c>
      <c r="AI22" s="108">
        <v>5.0</v>
      </c>
      <c r="AJ22" s="108">
        <v>3.0</v>
      </c>
      <c r="AK22" s="108">
        <v>4.0</v>
      </c>
      <c r="AL22" s="108">
        <v>5.0</v>
      </c>
      <c r="AM22" s="108">
        <v>4.0</v>
      </c>
      <c r="AN22" s="108">
        <v>0.0</v>
      </c>
      <c r="AO22" s="108">
        <v>1.0</v>
      </c>
      <c r="AP22" s="108">
        <v>4.0</v>
      </c>
      <c r="AQ22" s="108">
        <v>5.0</v>
      </c>
      <c r="AR22" s="108">
        <v>5.0</v>
      </c>
      <c r="AS22" s="108">
        <v>9.0</v>
      </c>
      <c r="AT22" s="108">
        <v>7.0</v>
      </c>
      <c r="AU22" s="108">
        <v>2.0</v>
      </c>
      <c r="AV22" s="79" t="s">
        <v>235</v>
      </c>
      <c r="AW22" s="1"/>
      <c r="AX22" s="1"/>
      <c r="AY22" s="1"/>
      <c r="AZ22" s="107"/>
      <c r="BA22" s="107"/>
      <c r="BB22" s="107"/>
      <c r="BC22" s="109" t="s">
        <v>230</v>
      </c>
      <c r="BD22" s="110">
        <f>SUM(BD4:BD21)</f>
        <v>63</v>
      </c>
      <c r="BE22" s="1"/>
    </row>
    <row r="23">
      <c r="A23" s="1"/>
      <c r="C23" s="66" t="str">
        <f t="array" ref="C23">INDEX('Queen MIDI'!$C$4:$C$66,MATCH(F23,'Queen MIDI'!$D$4:$D$66,0))</f>
        <v>Nevermore</v>
      </c>
      <c r="D23" s="146">
        <v>2.0</v>
      </c>
      <c r="E23" s="147" t="s">
        <v>362</v>
      </c>
      <c r="F23" s="66" t="str">
        <f t="shared" si="2"/>
        <v>Never More.mid</v>
      </c>
      <c r="G23" s="131">
        <f>HLOOKUP(H23,'Queen Discography'!$C$2:$Q$3,2,FALSE)</f>
        <v>1974</v>
      </c>
      <c r="H23" s="66" t="str">
        <f>IF(COUNTIF('Queen Discography'!$C$4:$C$22,C23)&gt;0,"Queen",
IF(COUNTIF('Queen Discography'!$D$4:$D$22,C23)&gt;0,"Queen II",
IF(COUNTIF('Queen Discography'!$E$4:$E$22,C23)&gt;0,"Sheer Heart Attack",
IF(COUNTIF('Queen Discography'!$F$4:$F$22,C23)&gt;0,"A Night At The Opera",
IF(COUNTIF('Queen Discography'!$G$4:$G$22,C23)&gt;0,"A Day At The Races",
IF(COUNTIF('Queen Discography'!$H$4:$H$22,C23)&gt;0,"News Of The World",
IF(COUNTIF('Queen Discography'!$I$4:$I$22,C23)&gt;0,"Jazz",
IF(COUNTIF('Queen Discography'!$J$4:$J$22,C23)&gt;0,"The Game",
IF(COUNTIF('Queen Discography'!$K$4:$K$22,C23)&gt;0,"Flash Gordon",
IF(COUNTIF('Queen Discography'!$L$4:$L$22,C23)&gt;0,"Hot Space",
IF(COUNTIF('Queen Discography'!$M$4:$M$22,C23)&gt;0,"The Works",
IF(COUNTIF('Queen Discography'!$N$4:$N$22,C23)&gt;0,"A Kind Of Magic",
IF(COUNTIF('Queen Discography'!$O$4:$O$22,C23)&gt;0,"The Miracle",
IF(COUNTIF('Queen Discography'!$P$4:$P$22,C23)&gt;0,"Innuendo",
IF(COUNTIF('Queen Discography'!$Q$4:$Q$22,C23)&gt;0,"Made In Heaven","NOT FOUND")))))))))))))))</f>
        <v>Queen II</v>
      </c>
      <c r="I23" s="1"/>
      <c r="J23" s="1"/>
      <c r="K23" s="1"/>
      <c r="L23" s="1"/>
      <c r="M23" s="1"/>
      <c r="N23" s="87"/>
      <c r="O23" s="1"/>
      <c r="P23" s="1"/>
      <c r="Q23" s="1"/>
      <c r="R23" s="1"/>
      <c r="S23" s="1"/>
      <c r="T23" s="1"/>
      <c r="U23" s="1"/>
      <c r="V23" s="1"/>
      <c r="W23" s="1"/>
      <c r="X23" s="1"/>
      <c r="Y23" s="1"/>
      <c r="Z23" s="1"/>
      <c r="AA23" s="1"/>
      <c r="AB23" s="1"/>
      <c r="AC23" s="1"/>
      <c r="AD23" s="1"/>
      <c r="AE23" s="1"/>
      <c r="AF23" s="111" t="b">
        <f t="shared" ref="AF23:AU23" si="26">IF(AF22&gt;=$AV$23,TRUE,FALSE)</f>
        <v>1</v>
      </c>
      <c r="AG23" s="111" t="b">
        <f t="shared" si="26"/>
        <v>1</v>
      </c>
      <c r="AH23" s="111" t="b">
        <f t="shared" si="26"/>
        <v>1</v>
      </c>
      <c r="AI23" s="111" t="b">
        <f t="shared" si="26"/>
        <v>1</v>
      </c>
      <c r="AJ23" s="111" t="b">
        <f t="shared" si="26"/>
        <v>1</v>
      </c>
      <c r="AK23" s="111" t="b">
        <f t="shared" si="26"/>
        <v>1</v>
      </c>
      <c r="AL23" s="111" t="b">
        <f t="shared" si="26"/>
        <v>1</v>
      </c>
      <c r="AM23" s="111" t="b">
        <f t="shared" si="26"/>
        <v>1</v>
      </c>
      <c r="AN23" s="111" t="b">
        <f t="shared" si="26"/>
        <v>0</v>
      </c>
      <c r="AO23" s="111" t="b">
        <f t="shared" si="26"/>
        <v>0</v>
      </c>
      <c r="AP23" s="111" t="b">
        <f t="shared" si="26"/>
        <v>1</v>
      </c>
      <c r="AQ23" s="111" t="b">
        <f t="shared" si="26"/>
        <v>1</v>
      </c>
      <c r="AR23" s="111" t="b">
        <f t="shared" si="26"/>
        <v>1</v>
      </c>
      <c r="AS23" s="111" t="b">
        <f t="shared" si="26"/>
        <v>1</v>
      </c>
      <c r="AT23" s="111" t="b">
        <f t="shared" si="26"/>
        <v>1</v>
      </c>
      <c r="AU23" s="111" t="b">
        <f t="shared" si="26"/>
        <v>1</v>
      </c>
      <c r="AV23" s="79">
        <f>'Queen MIDI'!I22</f>
        <v>2</v>
      </c>
      <c r="AW23" s="1"/>
      <c r="AX23" s="1"/>
      <c r="AY23" s="1"/>
      <c r="AZ23" s="1"/>
      <c r="BA23" s="1"/>
      <c r="BB23" s="1"/>
      <c r="BC23" s="1"/>
      <c r="BD23" s="1"/>
      <c r="BE23" s="1"/>
    </row>
    <row r="24">
      <c r="A24" s="1"/>
      <c r="C24" s="66" t="str">
        <f t="array" ref="C24">INDEX('Queen MIDI'!$C$4:$C$66,MATCH(F24,'Queen MIDI'!$D$4:$D$66,0))</f>
        <v>Killer Queen</v>
      </c>
      <c r="D24" s="152">
        <v>2.0</v>
      </c>
      <c r="E24" s="153" t="s">
        <v>363</v>
      </c>
      <c r="F24" s="66" t="str">
        <f t="shared" si="2"/>
        <v>Killer Queen.1.mid</v>
      </c>
      <c r="G24" s="125">
        <f>HLOOKUP(H24,'Queen Discography'!$C$2:$Q$3,2,FALSE)</f>
        <v>1974</v>
      </c>
      <c r="H24" s="66" t="str">
        <f>IF(COUNTIF('Queen Discography'!$C$4:$C$22,C24)&gt;0,"Queen",
IF(COUNTIF('Queen Discography'!$D$4:$D$22,C24)&gt;0,"Queen II",
IF(COUNTIF('Queen Discography'!$E$4:$E$22,C24)&gt;0,"Sheer Heart Attack",
IF(COUNTIF('Queen Discography'!$F$4:$F$22,C24)&gt;0,"A Night At The Opera",
IF(COUNTIF('Queen Discography'!$G$4:$G$22,C24)&gt;0,"A Day At The Races",
IF(COUNTIF('Queen Discography'!$H$4:$H$22,C24)&gt;0,"News Of The World",
IF(COUNTIF('Queen Discography'!$I$4:$I$22,C24)&gt;0,"Jazz",
IF(COUNTIF('Queen Discography'!$J$4:$J$22,C24)&gt;0,"The Game",
IF(COUNTIF('Queen Discography'!$K$4:$K$22,C24)&gt;0,"Flash Gordon",
IF(COUNTIF('Queen Discography'!$L$4:$L$22,C24)&gt;0,"Hot Space",
IF(COUNTIF('Queen Discography'!$M$4:$M$22,C24)&gt;0,"The Works",
IF(COUNTIF('Queen Discography'!$N$4:$N$22,C24)&gt;0,"A Kind Of Magic",
IF(COUNTIF('Queen Discography'!$O$4:$O$22,C24)&gt;0,"The Miracle",
IF(COUNTIF('Queen Discography'!$P$4:$P$22,C24)&gt;0,"Innuendo",
IF(COUNTIF('Queen Discography'!$Q$4:$Q$22,C24)&gt;0,"Made In Heaven","NOT FOUND")))))))))))))))</f>
        <v>Sheer Heart Attack</v>
      </c>
      <c r="I24" s="1"/>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
    </row>
    <row r="25">
      <c r="A25" s="1"/>
      <c r="C25" s="66" t="str">
        <f t="array" ref="C25">INDEX('Queen MIDI'!$C$4:$C$66,MATCH(F25,'Queen MIDI'!$D$4:$D$66,0))</f>
        <v>Now I'm Here</v>
      </c>
      <c r="D25" s="152">
        <v>2.0</v>
      </c>
      <c r="E25" s="153" t="s">
        <v>364</v>
      </c>
      <c r="F25" s="66" t="str">
        <f t="shared" si="2"/>
        <v>Now I_m Here.4.mid</v>
      </c>
      <c r="G25" s="124">
        <f>HLOOKUP(H25,'Queen Discography'!$C$2:$Q$3,2,FALSE)</f>
        <v>1974</v>
      </c>
      <c r="H25" s="66" t="str">
        <f>IF(COUNTIF('Queen Discography'!$C$4:$C$22,C25)&gt;0,"Queen",
IF(COUNTIF('Queen Discography'!$D$4:$D$22,C25)&gt;0,"Queen II",
IF(COUNTIF('Queen Discography'!$E$4:$E$22,C25)&gt;0,"Sheer Heart Attack",
IF(COUNTIF('Queen Discography'!$F$4:$F$22,C25)&gt;0,"A Night At The Opera",
IF(COUNTIF('Queen Discography'!$G$4:$G$22,C25)&gt;0,"A Day At The Races",
IF(COUNTIF('Queen Discography'!$H$4:$H$22,C25)&gt;0,"News Of The World",
IF(COUNTIF('Queen Discography'!$I$4:$I$22,C25)&gt;0,"Jazz",
IF(COUNTIF('Queen Discography'!$J$4:$J$22,C25)&gt;0,"The Game",
IF(COUNTIF('Queen Discography'!$K$4:$K$22,C25)&gt;0,"Flash Gordon",
IF(COUNTIF('Queen Discography'!$L$4:$L$22,C25)&gt;0,"Hot Space",
IF(COUNTIF('Queen Discography'!$M$4:$M$22,C25)&gt;0,"The Works",
IF(COUNTIF('Queen Discography'!$N$4:$N$22,C25)&gt;0,"A Kind Of Magic",
IF(COUNTIF('Queen Discography'!$O$4:$O$22,C25)&gt;0,"The Miracle",
IF(COUNTIF('Queen Discography'!$P$4:$P$22,C25)&gt;0,"Innuendo",
IF(COUNTIF('Queen Discography'!$Q$4:$Q$22,C25)&gt;0,"Made In Heaven","NOT FOUND")))))))))))))))</f>
        <v>Sheer Heart Attack</v>
      </c>
      <c r="I25" s="1"/>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
    </row>
    <row r="26">
      <c r="A26" s="1"/>
      <c r="C26" s="66" t="str">
        <f t="array" ref="C26">INDEX('Queen MIDI'!$C$4:$C$66,MATCH(F26,'Queen MIDI'!$D$4:$D$66,0))</f>
        <v>Bohemian Rhapsody</v>
      </c>
      <c r="D26" s="154">
        <v>2.0</v>
      </c>
      <c r="E26" s="155" t="s">
        <v>366</v>
      </c>
      <c r="F26" s="66" t="str">
        <f t="shared" si="2"/>
        <v>Bohemian Rhapsody.1.mid</v>
      </c>
      <c r="G26" s="130">
        <f>HLOOKUP(H26,'Queen Discography'!$C$2:$Q$3,2,FALSE)</f>
        <v>1975</v>
      </c>
      <c r="H26" s="66" t="str">
        <f>IF(COUNTIF('Queen Discography'!$C$4:$C$22,C26)&gt;0,"Queen",
IF(COUNTIF('Queen Discography'!$D$4:$D$22,C26)&gt;0,"Queen II",
IF(COUNTIF('Queen Discography'!$E$4:$E$22,C26)&gt;0,"Sheer Heart Attack",
IF(COUNTIF('Queen Discography'!$F$4:$F$22,C26)&gt;0,"A Night At The Opera",
IF(COUNTIF('Queen Discography'!$G$4:$G$22,C26)&gt;0,"A Day At The Races",
IF(COUNTIF('Queen Discography'!$H$4:$H$22,C26)&gt;0,"News Of The World",
IF(COUNTIF('Queen Discography'!$I$4:$I$22,C26)&gt;0,"Jazz",
IF(COUNTIF('Queen Discography'!$J$4:$J$22,C26)&gt;0,"The Game",
IF(COUNTIF('Queen Discography'!$K$4:$K$22,C26)&gt;0,"Flash Gordon",
IF(COUNTIF('Queen Discography'!$L$4:$L$22,C26)&gt;0,"Hot Space",
IF(COUNTIF('Queen Discography'!$M$4:$M$22,C26)&gt;0,"The Works",
IF(COUNTIF('Queen Discography'!$N$4:$N$22,C26)&gt;0,"A Kind Of Magic",
IF(COUNTIF('Queen Discography'!$O$4:$O$22,C26)&gt;0,"The Miracle",
IF(COUNTIF('Queen Discography'!$P$4:$P$22,C26)&gt;0,"Innuendo",
IF(COUNTIF('Queen Discography'!$Q$4:$Q$22,C26)&gt;0,"Made In Heaven","NOT FOUND")))))))))))))))</f>
        <v>A Night At The Opera</v>
      </c>
      <c r="I26" s="1"/>
      <c r="J26" s="113"/>
      <c r="K26" s="1"/>
      <c r="L26" s="1"/>
      <c r="M26" s="1"/>
      <c r="N26" s="87"/>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row>
    <row r="27">
      <c r="A27" s="1"/>
      <c r="C27" s="66" t="str">
        <f t="array" ref="C27">INDEX('Queen MIDI'!$C$4:$C$66,MATCH(F27,'Queen MIDI'!$D$4:$D$66,0))</f>
        <v>Love of My Life</v>
      </c>
      <c r="D27" s="154">
        <v>2.0</v>
      </c>
      <c r="E27" s="155" t="s">
        <v>368</v>
      </c>
      <c r="F27" s="66" t="str">
        <f t="shared" si="2"/>
        <v>Love of My Life.3.mid</v>
      </c>
      <c r="G27" s="128">
        <f>HLOOKUP(H27,'Queen Discography'!$C$2:$Q$3,2,FALSE)</f>
        <v>1975</v>
      </c>
      <c r="H27" s="66" t="str">
        <f>IF(COUNTIF('Queen Discography'!$C$4:$C$22,C27)&gt;0,"Queen",
IF(COUNTIF('Queen Discography'!$D$4:$D$22,C27)&gt;0,"Queen II",
IF(COUNTIF('Queen Discography'!$E$4:$E$22,C27)&gt;0,"Sheer Heart Attack",
IF(COUNTIF('Queen Discography'!$F$4:$F$22,C27)&gt;0,"A Night At The Opera",
IF(COUNTIF('Queen Discography'!$G$4:$G$22,C27)&gt;0,"A Day At The Races",
IF(COUNTIF('Queen Discography'!$H$4:$H$22,C27)&gt;0,"News Of The World",
IF(COUNTIF('Queen Discography'!$I$4:$I$22,C27)&gt;0,"Jazz",
IF(COUNTIF('Queen Discography'!$J$4:$J$22,C27)&gt;0,"The Game",
IF(COUNTIF('Queen Discography'!$K$4:$K$22,C27)&gt;0,"Flash Gordon",
IF(COUNTIF('Queen Discography'!$L$4:$L$22,C27)&gt;0,"Hot Space",
IF(COUNTIF('Queen Discography'!$M$4:$M$22,C27)&gt;0,"The Works",
IF(COUNTIF('Queen Discography'!$N$4:$N$22,C27)&gt;0,"A Kind Of Magic",
IF(COUNTIF('Queen Discography'!$O$4:$O$22,C27)&gt;0,"The Miracle",
IF(COUNTIF('Queen Discography'!$P$4:$P$22,C27)&gt;0,"Innuendo",
IF(COUNTIF('Queen Discography'!$Q$4:$Q$22,C27)&gt;0,"Made In Heaven","NOT FOUND")))))))))))))))</f>
        <v>A Night At The Opera</v>
      </c>
      <c r="I27" s="1"/>
      <c r="J27" s="1"/>
      <c r="K27" s="1"/>
      <c r="L27" s="1"/>
      <c r="M27" s="1"/>
      <c r="N27" s="87"/>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row>
    <row r="28">
      <c r="A28" s="1"/>
      <c r="C28" s="66" t="str">
        <f t="array" ref="C28">INDEX('Queen MIDI'!$C$4:$C$66,MATCH(F28,'Queen MIDI'!$D$4:$D$66,0))</f>
        <v>You're My Best Friend</v>
      </c>
      <c r="D28" s="154">
        <v>2.0</v>
      </c>
      <c r="E28" s="155" t="s">
        <v>369</v>
      </c>
      <c r="F28" s="66" t="str">
        <f t="shared" si="2"/>
        <v>You_re My Best Friend.mid</v>
      </c>
      <c r="G28" s="133">
        <f>HLOOKUP(H28,'Queen Discography'!$C$2:$Q$3,2,FALSE)</f>
        <v>1975</v>
      </c>
      <c r="H28" s="66" t="str">
        <f>IF(COUNTIF('Queen Discography'!$C$4:$C$22,C28)&gt;0,"Queen",
IF(COUNTIF('Queen Discography'!$D$4:$D$22,C28)&gt;0,"Queen II",
IF(COUNTIF('Queen Discography'!$E$4:$E$22,C28)&gt;0,"Sheer Heart Attack",
IF(COUNTIF('Queen Discography'!$F$4:$F$22,C28)&gt;0,"A Night At The Opera",
IF(COUNTIF('Queen Discography'!$G$4:$G$22,C28)&gt;0,"A Day At The Races",
IF(COUNTIF('Queen Discography'!$H$4:$H$22,C28)&gt;0,"News Of The World",
IF(COUNTIF('Queen Discography'!$I$4:$I$22,C28)&gt;0,"Jazz",
IF(COUNTIF('Queen Discography'!$J$4:$J$22,C28)&gt;0,"The Game",
IF(COUNTIF('Queen Discography'!$K$4:$K$22,C28)&gt;0,"Flash Gordon",
IF(COUNTIF('Queen Discography'!$L$4:$L$22,C28)&gt;0,"Hot Space",
IF(COUNTIF('Queen Discography'!$M$4:$M$22,C28)&gt;0,"The Works",
IF(COUNTIF('Queen Discography'!$N$4:$N$22,C28)&gt;0,"A Kind Of Magic",
IF(COUNTIF('Queen Discography'!$O$4:$O$22,C28)&gt;0,"The Miracle",
IF(COUNTIF('Queen Discography'!$P$4:$P$22,C28)&gt;0,"Innuendo",
IF(COUNTIF('Queen Discography'!$Q$4:$Q$22,C28)&gt;0,"Made In Heaven","NOT FOUND")))))))))))))))</f>
        <v>A Night At The Opera</v>
      </c>
      <c r="I28" s="1"/>
      <c r="J28" s="1"/>
      <c r="K28" s="1"/>
      <c r="L28" s="1"/>
      <c r="M28" s="1"/>
      <c r="N28" s="87"/>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c r="A29" s="1"/>
      <c r="C29" s="66" t="str">
        <f t="array" ref="C29">INDEX('Queen MIDI'!$C$4:$C$66,MATCH(F29,'Queen MIDI'!$D$4:$D$66,0))</f>
        <v>39</v>
      </c>
      <c r="D29" s="154">
        <v>2.0</v>
      </c>
      <c r="E29" s="155" t="s">
        <v>365</v>
      </c>
      <c r="F29" s="66" t="str">
        <f t="shared" si="2"/>
        <v>_39.mid</v>
      </c>
      <c r="G29" s="122">
        <f>HLOOKUP(H29,'Queen Discography'!$C$2:$Q$3,2,FALSE)</f>
        <v>1975</v>
      </c>
      <c r="H29" s="66" t="str">
        <f>IF(COUNTIF('Queen Discography'!$C$4:$C$22,C29)&gt;0,"Queen",
IF(COUNTIF('Queen Discography'!$D$4:$D$22,C29)&gt;0,"Queen II",
IF(COUNTIF('Queen Discography'!$E$4:$E$22,C29)&gt;0,"Sheer Heart Attack",
IF(COUNTIF('Queen Discography'!$F$4:$F$22,C29)&gt;0,"A Night At The Opera",
IF(COUNTIF('Queen Discography'!$G$4:$G$22,C29)&gt;0,"A Day At The Races",
IF(COUNTIF('Queen Discography'!$H$4:$H$22,C29)&gt;0,"News Of The World",
IF(COUNTIF('Queen Discography'!$I$4:$I$22,C29)&gt;0,"Jazz",
IF(COUNTIF('Queen Discography'!$J$4:$J$22,C29)&gt;0,"The Game",
IF(COUNTIF('Queen Discography'!$K$4:$K$22,C29)&gt;0,"Flash Gordon",
IF(COUNTIF('Queen Discography'!$L$4:$L$22,C29)&gt;0,"Hot Space",
IF(COUNTIF('Queen Discography'!$M$4:$M$22,C29)&gt;0,"The Works",
IF(COUNTIF('Queen Discography'!$N$4:$N$22,C29)&gt;0,"A Kind Of Magic",
IF(COUNTIF('Queen Discography'!$O$4:$O$22,C29)&gt;0,"The Miracle",
IF(COUNTIF('Queen Discography'!$P$4:$P$22,C29)&gt;0,"Innuendo",
IF(COUNTIF('Queen Discography'!$Q$4:$Q$22,C29)&gt;0,"Made In Heaven","NOT FOUND")))))))))))))))</f>
        <v>A Night At The Opera</v>
      </c>
      <c r="I29" s="1"/>
      <c r="J29" s="1"/>
      <c r="K29" s="1"/>
      <c r="L29" s="1"/>
      <c r="M29" s="1"/>
      <c r="N29" s="87"/>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row>
    <row r="30">
      <c r="A30" s="1"/>
      <c r="C30" s="66" t="str">
        <f t="array" ref="C30">INDEX('Queen MIDI'!$C$4:$C$66,MATCH(F30,'Queen MIDI'!$D$4:$D$66,0))</f>
        <v>Good Old-Fashioned Lover Boy</v>
      </c>
      <c r="D30" s="156">
        <v>2.0</v>
      </c>
      <c r="E30" s="157" t="s">
        <v>370</v>
      </c>
      <c r="F30" s="66" t="str">
        <f t="shared" si="2"/>
        <v>Good Old Fashioned Lover Boy.2.mid</v>
      </c>
      <c r="G30" s="119">
        <f>HLOOKUP(H30,'Queen Discography'!$C$2:$Q$3,2,FALSE)</f>
        <v>1976</v>
      </c>
      <c r="H30" s="66" t="str">
        <f>IF(COUNTIF('Queen Discography'!$C$4:$C$22,C30)&gt;0,"Queen",
IF(COUNTIF('Queen Discography'!$D$4:$D$22,C30)&gt;0,"Queen II",
IF(COUNTIF('Queen Discography'!$E$4:$E$22,C30)&gt;0,"Sheer Heart Attack",
IF(COUNTIF('Queen Discography'!$F$4:$F$22,C30)&gt;0,"A Night At The Opera",
IF(COUNTIF('Queen Discography'!$G$4:$G$22,C30)&gt;0,"A Day At The Races",
IF(COUNTIF('Queen Discography'!$H$4:$H$22,C30)&gt;0,"News Of The World",
IF(COUNTIF('Queen Discography'!$I$4:$I$22,C30)&gt;0,"Jazz",
IF(COUNTIF('Queen Discography'!$J$4:$J$22,C30)&gt;0,"The Game",
IF(COUNTIF('Queen Discography'!$K$4:$K$22,C30)&gt;0,"Flash Gordon",
IF(COUNTIF('Queen Discography'!$L$4:$L$22,C30)&gt;0,"Hot Space",
IF(COUNTIF('Queen Discography'!$M$4:$M$22,C30)&gt;0,"The Works",
IF(COUNTIF('Queen Discography'!$N$4:$N$22,C30)&gt;0,"A Kind Of Magic",
IF(COUNTIF('Queen Discography'!$O$4:$O$22,C30)&gt;0,"The Miracle",
IF(COUNTIF('Queen Discography'!$P$4:$P$22,C30)&gt;0,"Innuendo",
IF(COUNTIF('Queen Discography'!$Q$4:$Q$22,C30)&gt;0,"Made In Heaven","NOT FOUND")))))))))))))))</f>
        <v>A Day At The Races</v>
      </c>
      <c r="I30" s="1"/>
      <c r="J30" s="1"/>
      <c r="K30" s="1"/>
      <c r="L30" s="1"/>
      <c r="M30" s="1"/>
      <c r="N30" s="87"/>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row>
    <row r="31">
      <c r="A31" s="1"/>
      <c r="C31" s="66" t="str">
        <f t="array" ref="C31">INDEX('Queen MIDI'!$C$4:$C$66,MATCH(F31,'Queen MIDI'!$D$4:$D$66,0))</f>
        <v>My Melancholy Blues</v>
      </c>
      <c r="D31" s="136">
        <v>2.0</v>
      </c>
      <c r="E31" s="137" t="s">
        <v>373</v>
      </c>
      <c r="F31" s="66" t="str">
        <f t="shared" si="2"/>
        <v>My Melancholy Blues.mid</v>
      </c>
      <c r="G31" s="120">
        <f>HLOOKUP(H31,'Queen Discography'!$C$2:$Q$3,2,FALSE)</f>
        <v>1977</v>
      </c>
      <c r="H31" s="66" t="str">
        <f>IF(COUNTIF('Queen Discography'!$C$4:$C$22,C31)&gt;0,"Queen",
IF(COUNTIF('Queen Discography'!$D$4:$D$22,C31)&gt;0,"Queen II",
IF(COUNTIF('Queen Discography'!$E$4:$E$22,C31)&gt;0,"Sheer Heart Attack",
IF(COUNTIF('Queen Discography'!$F$4:$F$22,C31)&gt;0,"A Night At The Opera",
IF(COUNTIF('Queen Discography'!$G$4:$G$22,C31)&gt;0,"A Day At The Races",
IF(COUNTIF('Queen Discography'!$H$4:$H$22,C31)&gt;0,"News Of The World",
IF(COUNTIF('Queen Discography'!$I$4:$I$22,C31)&gt;0,"Jazz",
IF(COUNTIF('Queen Discography'!$J$4:$J$22,C31)&gt;0,"The Game",
IF(COUNTIF('Queen Discography'!$K$4:$K$22,C31)&gt;0,"Flash Gordon",
IF(COUNTIF('Queen Discography'!$L$4:$L$22,C31)&gt;0,"Hot Space",
IF(COUNTIF('Queen Discography'!$M$4:$M$22,C31)&gt;0,"The Works",
IF(COUNTIF('Queen Discography'!$N$4:$N$22,C31)&gt;0,"A Kind Of Magic",
IF(COUNTIF('Queen Discography'!$O$4:$O$22,C31)&gt;0,"The Miracle",
IF(COUNTIF('Queen Discography'!$P$4:$P$22,C31)&gt;0,"Innuendo",
IF(COUNTIF('Queen Discography'!$Q$4:$Q$22,C31)&gt;0,"Made In Heaven","NOT FOUND")))))))))))))))</f>
        <v>News Of The World</v>
      </c>
      <c r="I31" s="1"/>
      <c r="J31" s="1"/>
      <c r="K31" s="1"/>
      <c r="L31" s="1"/>
      <c r="M31" s="1"/>
      <c r="N31" s="87"/>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c r="A32" s="1"/>
      <c r="C32" s="66" t="str">
        <f t="array" ref="C32">INDEX('Queen MIDI'!$C$4:$C$66,MATCH(F32,'Queen MIDI'!$D$4:$D$66,0))</f>
        <v>Spread Your Wings</v>
      </c>
      <c r="D32" s="136">
        <v>2.0</v>
      </c>
      <c r="E32" s="137" t="s">
        <v>374</v>
      </c>
      <c r="F32" s="66" t="str">
        <f t="shared" si="2"/>
        <v>Spread Your Wings.mid</v>
      </c>
      <c r="G32" s="132">
        <f>HLOOKUP(H32,'Queen Discography'!$C$2:$Q$3,2,FALSE)</f>
        <v>1977</v>
      </c>
      <c r="H32" s="66" t="str">
        <f>IF(COUNTIF('Queen Discography'!$C$4:$C$22,C32)&gt;0,"Queen",
IF(COUNTIF('Queen Discography'!$D$4:$D$22,C32)&gt;0,"Queen II",
IF(COUNTIF('Queen Discography'!$E$4:$E$22,C32)&gt;0,"Sheer Heart Attack",
IF(COUNTIF('Queen Discography'!$F$4:$F$22,C32)&gt;0,"A Night At The Opera",
IF(COUNTIF('Queen Discography'!$G$4:$G$22,C32)&gt;0,"A Day At The Races",
IF(COUNTIF('Queen Discography'!$H$4:$H$22,C32)&gt;0,"News Of The World",
IF(COUNTIF('Queen Discography'!$I$4:$I$22,C32)&gt;0,"Jazz",
IF(COUNTIF('Queen Discography'!$J$4:$J$22,C32)&gt;0,"The Game",
IF(COUNTIF('Queen Discography'!$K$4:$K$22,C32)&gt;0,"Flash Gordon",
IF(COUNTIF('Queen Discography'!$L$4:$L$22,C32)&gt;0,"Hot Space",
IF(COUNTIF('Queen Discography'!$M$4:$M$22,C32)&gt;0,"The Works",
IF(COUNTIF('Queen Discography'!$N$4:$N$22,C32)&gt;0,"A Kind Of Magic",
IF(COUNTIF('Queen Discography'!$O$4:$O$22,C32)&gt;0,"The Miracle",
IF(COUNTIF('Queen Discography'!$P$4:$P$22,C32)&gt;0,"Innuendo",
IF(COUNTIF('Queen Discography'!$Q$4:$Q$22,C32)&gt;0,"Made In Heaven","NOT FOUND")))))))))))))))</f>
        <v>News Of The World</v>
      </c>
      <c r="I32" s="1"/>
      <c r="J32" s="1"/>
      <c r="K32" s="1"/>
      <c r="L32" s="1"/>
      <c r="M32" s="1"/>
      <c r="N32" s="87"/>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row>
    <row r="33">
      <c r="A33" s="1"/>
      <c r="C33" s="66" t="str">
        <f t="array" ref="C33">INDEX('Queen MIDI'!$C$4:$C$66,MATCH(F33,'Queen MIDI'!$D$4:$D$66,0))</f>
        <v>We Are The Champions</v>
      </c>
      <c r="D33" s="136">
        <v>2.0</v>
      </c>
      <c r="E33" s="137" t="s">
        <v>375</v>
      </c>
      <c r="F33" s="66" t="str">
        <f t="shared" si="2"/>
        <v>We Are The Champions.1.mid</v>
      </c>
      <c r="G33" s="124">
        <f>HLOOKUP(H33,'Queen Discography'!$C$2:$Q$3,2,FALSE)</f>
        <v>1977</v>
      </c>
      <c r="H33" s="66" t="str">
        <f>IF(COUNTIF('Queen Discography'!$C$4:$C$22,C33)&gt;0,"Queen",
IF(COUNTIF('Queen Discography'!$D$4:$D$22,C33)&gt;0,"Queen II",
IF(COUNTIF('Queen Discography'!$E$4:$E$22,C33)&gt;0,"Sheer Heart Attack",
IF(COUNTIF('Queen Discography'!$F$4:$F$22,C33)&gt;0,"A Night At The Opera",
IF(COUNTIF('Queen Discography'!$G$4:$G$22,C33)&gt;0,"A Day At The Races",
IF(COUNTIF('Queen Discography'!$H$4:$H$22,C33)&gt;0,"News Of The World",
IF(COUNTIF('Queen Discography'!$I$4:$I$22,C33)&gt;0,"Jazz",
IF(COUNTIF('Queen Discography'!$J$4:$J$22,C33)&gt;0,"The Game",
IF(COUNTIF('Queen Discography'!$K$4:$K$22,C33)&gt;0,"Flash Gordon",
IF(COUNTIF('Queen Discography'!$L$4:$L$22,C33)&gt;0,"Hot Space",
IF(COUNTIF('Queen Discography'!$M$4:$M$22,C33)&gt;0,"The Works",
IF(COUNTIF('Queen Discography'!$N$4:$N$22,C33)&gt;0,"A Kind Of Magic",
IF(COUNTIF('Queen Discography'!$O$4:$O$22,C33)&gt;0,"The Miracle",
IF(COUNTIF('Queen Discography'!$P$4:$P$22,C33)&gt;0,"Innuendo",
IF(COUNTIF('Queen Discography'!$Q$4:$Q$22,C33)&gt;0,"Made In Heaven","NOT FOUND")))))))))))))))</f>
        <v>News Of The World</v>
      </c>
      <c r="I33" s="1"/>
      <c r="J33" s="1"/>
      <c r="K33" s="1"/>
      <c r="L33" s="1"/>
      <c r="M33" s="1"/>
      <c r="N33" s="87"/>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row>
    <row r="34">
      <c r="A34" s="1"/>
      <c r="C34" s="66" t="str">
        <f t="array" ref="C34">INDEX('Queen MIDI'!$C$4:$C$66,MATCH(F34,'Queen MIDI'!$D$4:$D$66,0))</f>
        <v>Bicycle Race</v>
      </c>
      <c r="D34" s="138">
        <v>2.0</v>
      </c>
      <c r="E34" s="139" t="s">
        <v>376</v>
      </c>
      <c r="F34" s="66" t="str">
        <f t="shared" si="2"/>
        <v>Bicycle Race.mid</v>
      </c>
      <c r="G34" s="123">
        <f>HLOOKUP(H34,'Queen Discography'!$C$2:$Q$3,2,FALSE)</f>
        <v>1978</v>
      </c>
      <c r="H34" s="66" t="str">
        <f>IF(COUNTIF('Queen Discography'!$C$4:$C$22,C34)&gt;0,"Queen",
IF(COUNTIF('Queen Discography'!$D$4:$D$22,C34)&gt;0,"Queen II",
IF(COUNTIF('Queen Discography'!$E$4:$E$22,C34)&gt;0,"Sheer Heart Attack",
IF(COUNTIF('Queen Discography'!$F$4:$F$22,C34)&gt;0,"A Night At The Opera",
IF(COUNTIF('Queen Discography'!$G$4:$G$22,C34)&gt;0,"A Day At The Races",
IF(COUNTIF('Queen Discography'!$H$4:$H$22,C34)&gt;0,"News Of The World",
IF(COUNTIF('Queen Discography'!$I$4:$I$22,C34)&gt;0,"Jazz",
IF(COUNTIF('Queen Discography'!$J$4:$J$22,C34)&gt;0,"The Game",
IF(COUNTIF('Queen Discography'!$K$4:$K$22,C34)&gt;0,"Flash Gordon",
IF(COUNTIF('Queen Discography'!$L$4:$L$22,C34)&gt;0,"Hot Space",
IF(COUNTIF('Queen Discography'!$M$4:$M$22,C34)&gt;0,"The Works",
IF(COUNTIF('Queen Discography'!$N$4:$N$22,C34)&gt;0,"A Kind Of Magic",
IF(COUNTIF('Queen Discography'!$O$4:$O$22,C34)&gt;0,"The Miracle",
IF(COUNTIF('Queen Discography'!$P$4:$P$22,C34)&gt;0,"Innuendo",
IF(COUNTIF('Queen Discography'!$Q$4:$Q$22,C34)&gt;0,"Made In Heaven","NOT FOUND")))))))))))))))</f>
        <v>Jazz</v>
      </c>
      <c r="I34" s="1"/>
      <c r="J34" s="1"/>
      <c r="K34" s="1"/>
      <c r="L34" s="1"/>
      <c r="M34" s="1"/>
      <c r="N34" s="87"/>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row>
    <row r="35">
      <c r="A35" s="1"/>
      <c r="C35" s="66" t="str">
        <f t="array" ref="C35">INDEX('Queen MIDI'!$C$4:$C$66,MATCH(F35,'Queen MIDI'!$D$4:$D$66,0))</f>
        <v>Fat Bottomed Girls</v>
      </c>
      <c r="D35" s="138">
        <v>2.0</v>
      </c>
      <c r="E35" s="139" t="s">
        <v>378</v>
      </c>
      <c r="F35" s="66" t="str">
        <f t="shared" si="2"/>
        <v>Fat Bottomed Girls.mid</v>
      </c>
      <c r="G35" s="123">
        <f>HLOOKUP(H35,'Queen Discography'!$C$2:$Q$3,2,FALSE)</f>
        <v>1978</v>
      </c>
      <c r="H35" s="66" t="str">
        <f>IF(COUNTIF('Queen Discography'!$C$4:$C$22,C35)&gt;0,"Queen",
IF(COUNTIF('Queen Discography'!$D$4:$D$22,C35)&gt;0,"Queen II",
IF(COUNTIF('Queen Discography'!$E$4:$E$22,C35)&gt;0,"Sheer Heart Attack",
IF(COUNTIF('Queen Discography'!$F$4:$F$22,C35)&gt;0,"A Night At The Opera",
IF(COUNTIF('Queen Discography'!$G$4:$G$22,C35)&gt;0,"A Day At The Races",
IF(COUNTIF('Queen Discography'!$H$4:$H$22,C35)&gt;0,"News Of The World",
IF(COUNTIF('Queen Discography'!$I$4:$I$22,C35)&gt;0,"Jazz",
IF(COUNTIF('Queen Discography'!$J$4:$J$22,C35)&gt;0,"The Game",
IF(COUNTIF('Queen Discography'!$K$4:$K$22,C35)&gt;0,"Flash Gordon",
IF(COUNTIF('Queen Discography'!$L$4:$L$22,C35)&gt;0,"Hot Space",
IF(COUNTIF('Queen Discography'!$M$4:$M$22,C35)&gt;0,"The Works",
IF(COUNTIF('Queen Discography'!$N$4:$N$22,C35)&gt;0,"A Kind Of Magic",
IF(COUNTIF('Queen Discography'!$O$4:$O$22,C35)&gt;0,"The Miracle",
IF(COUNTIF('Queen Discography'!$P$4:$P$22,C35)&gt;0,"Innuendo",
IF(COUNTIF('Queen Discography'!$Q$4:$Q$22,C35)&gt;0,"Made In Heaven","NOT FOUND")))))))))))))))</f>
        <v>Jazz</v>
      </c>
      <c r="I35" s="1"/>
      <c r="J35" s="1"/>
      <c r="K35" s="1"/>
      <c r="L35" s="1"/>
      <c r="M35" s="1"/>
      <c r="N35" s="87"/>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row>
    <row r="36">
      <c r="A36" s="1"/>
      <c r="C36" s="66" t="str">
        <f t="array" ref="C36">INDEX('Queen MIDI'!$C$4:$C$66,MATCH(F36,'Queen MIDI'!$D$4:$D$66,0))</f>
        <v>In Only Seven Days</v>
      </c>
      <c r="D36" s="138">
        <v>2.0</v>
      </c>
      <c r="E36" s="139" t="s">
        <v>380</v>
      </c>
      <c r="F36" s="66" t="str">
        <f t="shared" si="2"/>
        <v>In Only Seven Days.mid</v>
      </c>
      <c r="G36" s="131">
        <f>HLOOKUP(H36,'Queen Discography'!$C$2:$Q$3,2,FALSE)</f>
        <v>1978</v>
      </c>
      <c r="H36" s="66" t="str">
        <f>IF(COUNTIF('Queen Discography'!$C$4:$C$22,C36)&gt;0,"Queen",
IF(COUNTIF('Queen Discography'!$D$4:$D$22,C36)&gt;0,"Queen II",
IF(COUNTIF('Queen Discography'!$E$4:$E$22,C36)&gt;0,"Sheer Heart Attack",
IF(COUNTIF('Queen Discography'!$F$4:$F$22,C36)&gt;0,"A Night At The Opera",
IF(COUNTIF('Queen Discography'!$G$4:$G$22,C36)&gt;0,"A Day At The Races",
IF(COUNTIF('Queen Discography'!$H$4:$H$22,C36)&gt;0,"News Of The World",
IF(COUNTIF('Queen Discography'!$I$4:$I$22,C36)&gt;0,"Jazz",
IF(COUNTIF('Queen Discography'!$J$4:$J$22,C36)&gt;0,"The Game",
IF(COUNTIF('Queen Discography'!$K$4:$K$22,C36)&gt;0,"Flash Gordon",
IF(COUNTIF('Queen Discography'!$L$4:$L$22,C36)&gt;0,"Hot Space",
IF(COUNTIF('Queen Discography'!$M$4:$M$22,C36)&gt;0,"The Works",
IF(COUNTIF('Queen Discography'!$N$4:$N$22,C36)&gt;0,"A Kind Of Magic",
IF(COUNTIF('Queen Discography'!$O$4:$O$22,C36)&gt;0,"The Miracle",
IF(COUNTIF('Queen Discography'!$P$4:$P$22,C36)&gt;0,"Innuendo",
IF(COUNTIF('Queen Discography'!$Q$4:$Q$22,C36)&gt;0,"Made In Heaven","NOT FOUND")))))))))))))))</f>
        <v>Jazz</v>
      </c>
      <c r="I36" s="1"/>
      <c r="J36" s="1"/>
      <c r="K36" s="1"/>
      <c r="L36" s="1"/>
      <c r="M36" s="87"/>
      <c r="N36" s="87"/>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row>
    <row r="37">
      <c r="A37" s="1"/>
      <c r="C37" s="66" t="str">
        <f t="array" ref="C37">INDEX('Queen MIDI'!$C$4:$C$66,MATCH(F37,'Queen MIDI'!$D$4:$D$66,0))</f>
        <v>Crazy Little Thing Called Love</v>
      </c>
      <c r="D37" s="148">
        <v>2.0</v>
      </c>
      <c r="E37" s="149" t="s">
        <v>382</v>
      </c>
      <c r="F37" s="66" t="str">
        <f t="shared" si="2"/>
        <v>Crazy Little Thing Called Love.2.mid</v>
      </c>
      <c r="G37" s="121">
        <f>HLOOKUP(H37,'Queen Discography'!$C$2:$Q$3,2,FALSE)</f>
        <v>1980</v>
      </c>
      <c r="H37" s="66" t="str">
        <f>IF(COUNTIF('Queen Discography'!$C$4:$C$22,C37)&gt;0,"Queen",
IF(COUNTIF('Queen Discography'!$D$4:$D$22,C37)&gt;0,"Queen II",
IF(COUNTIF('Queen Discography'!$E$4:$E$22,C37)&gt;0,"Sheer Heart Attack",
IF(COUNTIF('Queen Discography'!$F$4:$F$22,C37)&gt;0,"A Night At The Opera",
IF(COUNTIF('Queen Discography'!$G$4:$G$22,C37)&gt;0,"A Day At The Races",
IF(COUNTIF('Queen Discography'!$H$4:$H$22,C37)&gt;0,"News Of The World",
IF(COUNTIF('Queen Discography'!$I$4:$I$22,C37)&gt;0,"Jazz",
IF(COUNTIF('Queen Discography'!$J$4:$J$22,C37)&gt;0,"The Game",
IF(COUNTIF('Queen Discography'!$K$4:$K$22,C37)&gt;0,"Flash Gordon",
IF(COUNTIF('Queen Discography'!$L$4:$L$22,C37)&gt;0,"Hot Space",
IF(COUNTIF('Queen Discography'!$M$4:$M$22,C37)&gt;0,"The Works",
IF(COUNTIF('Queen Discography'!$N$4:$N$22,C37)&gt;0,"A Kind Of Magic",
IF(COUNTIF('Queen Discography'!$O$4:$O$22,C37)&gt;0,"The Miracle",
IF(COUNTIF('Queen Discography'!$P$4:$P$22,C37)&gt;0,"Innuendo",
IF(COUNTIF('Queen Discography'!$Q$4:$Q$22,C37)&gt;0,"Made In Heaven","NOT FOUND")))))))))))))))</f>
        <v>The Game</v>
      </c>
      <c r="I37" s="1"/>
      <c r="J37" s="1"/>
      <c r="K37" s="1"/>
      <c r="L37" s="1"/>
      <c r="M37" s="87"/>
      <c r="N37" s="87"/>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row>
    <row r="38">
      <c r="A38" s="1"/>
      <c r="C38" s="66" t="str">
        <f t="array" ref="C38">INDEX('Queen MIDI'!$C$4:$C$66,MATCH(F38,'Queen MIDI'!$D$4:$D$66,0))</f>
        <v>Save Me</v>
      </c>
      <c r="D38" s="148">
        <v>2.0</v>
      </c>
      <c r="E38" s="149" t="s">
        <v>384</v>
      </c>
      <c r="F38" s="66" t="str">
        <f t="shared" si="2"/>
        <v>Save Me.2.mid</v>
      </c>
      <c r="G38" s="120">
        <f>HLOOKUP(H38,'Queen Discography'!$C$2:$Q$3,2,FALSE)</f>
        <v>1980</v>
      </c>
      <c r="H38" s="66" t="str">
        <f>IF(COUNTIF('Queen Discography'!$C$4:$C$22,C38)&gt;0,"Queen",
IF(COUNTIF('Queen Discography'!$D$4:$D$22,C38)&gt;0,"Queen II",
IF(COUNTIF('Queen Discography'!$E$4:$E$22,C38)&gt;0,"Sheer Heart Attack",
IF(COUNTIF('Queen Discography'!$F$4:$F$22,C38)&gt;0,"A Night At The Opera",
IF(COUNTIF('Queen Discography'!$G$4:$G$22,C38)&gt;0,"A Day At The Races",
IF(COUNTIF('Queen Discography'!$H$4:$H$22,C38)&gt;0,"News Of The World",
IF(COUNTIF('Queen Discography'!$I$4:$I$22,C38)&gt;0,"Jazz",
IF(COUNTIF('Queen Discography'!$J$4:$J$22,C38)&gt;0,"The Game",
IF(COUNTIF('Queen Discography'!$K$4:$K$22,C38)&gt;0,"Flash Gordon",
IF(COUNTIF('Queen Discography'!$L$4:$L$22,C38)&gt;0,"Hot Space",
IF(COUNTIF('Queen Discography'!$M$4:$M$22,C38)&gt;0,"The Works",
IF(COUNTIF('Queen Discography'!$N$4:$N$22,C38)&gt;0,"A Kind Of Magic",
IF(COUNTIF('Queen Discography'!$O$4:$O$22,C38)&gt;0,"The Miracle",
IF(COUNTIF('Queen Discography'!$P$4:$P$22,C38)&gt;0,"Innuendo",
IF(COUNTIF('Queen Discography'!$Q$4:$Q$22,C38)&gt;0,"Made In Heaven","NOT FOUND")))))))))))))))</f>
        <v>The Game</v>
      </c>
      <c r="I38" s="1"/>
      <c r="J38" s="1"/>
      <c r="K38" s="1"/>
      <c r="L38" s="1"/>
      <c r="M38" s="87"/>
      <c r="N38" s="87"/>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c r="A39" s="1"/>
      <c r="C39" s="66" t="str">
        <f t="array" ref="C39">INDEX('Queen MIDI'!$C$4:$C$66,MATCH(F39,'Queen MIDI'!$D$4:$D$66,0))</f>
        <v>Under Pressure</v>
      </c>
      <c r="D39" s="158">
        <v>2.0</v>
      </c>
      <c r="E39" s="159" t="s">
        <v>385</v>
      </c>
      <c r="F39" s="66" t="str">
        <f t="shared" si="2"/>
        <v>Under Pressure.7.mid</v>
      </c>
      <c r="G39" s="124">
        <f>HLOOKUP(H39,'Queen Discography'!$C$2:$Q$3,2,FALSE)</f>
        <v>1982</v>
      </c>
      <c r="H39" s="66" t="str">
        <f>IF(COUNTIF('Queen Discography'!$C$4:$C$22,C39)&gt;0,"Queen",
IF(COUNTIF('Queen Discography'!$D$4:$D$22,C39)&gt;0,"Queen II",
IF(COUNTIF('Queen Discography'!$E$4:$E$22,C39)&gt;0,"Sheer Heart Attack",
IF(COUNTIF('Queen Discography'!$F$4:$F$22,C39)&gt;0,"A Night At The Opera",
IF(COUNTIF('Queen Discography'!$G$4:$G$22,C39)&gt;0,"A Day At The Races",
IF(COUNTIF('Queen Discography'!$H$4:$H$22,C39)&gt;0,"News Of The World",
IF(COUNTIF('Queen Discography'!$I$4:$I$22,C39)&gt;0,"Jazz",
IF(COUNTIF('Queen Discography'!$J$4:$J$22,C39)&gt;0,"The Game",
IF(COUNTIF('Queen Discography'!$K$4:$K$22,C39)&gt;0,"Flash Gordon",
IF(COUNTIF('Queen Discography'!$L$4:$L$22,C39)&gt;0,"Hot Space",
IF(COUNTIF('Queen Discography'!$M$4:$M$22,C39)&gt;0,"The Works",
IF(COUNTIF('Queen Discography'!$N$4:$N$22,C39)&gt;0,"A Kind Of Magic",
IF(COUNTIF('Queen Discography'!$O$4:$O$22,C39)&gt;0,"The Miracle",
IF(COUNTIF('Queen Discography'!$P$4:$P$22,C39)&gt;0,"Innuendo",
IF(COUNTIF('Queen Discography'!$Q$4:$Q$22,C39)&gt;0,"Made In Heaven","NOT FOUND")))))))))))))))</f>
        <v>Hot Space</v>
      </c>
      <c r="I39" s="1"/>
      <c r="J39" s="1"/>
      <c r="K39" s="1"/>
      <c r="L39" s="1"/>
      <c r="M39" s="87"/>
      <c r="N39" s="87"/>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row>
    <row r="40">
      <c r="A40" s="1"/>
      <c r="C40" s="66" t="str">
        <f t="array" ref="C40">INDEX('Queen MIDI'!$C$4:$C$66,MATCH(F40,'Queen MIDI'!$D$4:$D$66,0))</f>
        <v>Hammer to Fall</v>
      </c>
      <c r="D40" s="160">
        <v>2.0</v>
      </c>
      <c r="E40" s="161" t="s">
        <v>386</v>
      </c>
      <c r="F40" s="66" t="str">
        <f t="shared" si="2"/>
        <v>Hammer to Fall.mid</v>
      </c>
      <c r="G40" s="125">
        <f>HLOOKUP(H40,'Queen Discography'!$C$2:$Q$3,2,FALSE)</f>
        <v>1984</v>
      </c>
      <c r="H40" s="66" t="str">
        <f>IF(COUNTIF('Queen Discography'!$C$4:$C$22,C40)&gt;0,"Queen",
IF(COUNTIF('Queen Discography'!$D$4:$D$22,C40)&gt;0,"Queen II",
IF(COUNTIF('Queen Discography'!$E$4:$E$22,C40)&gt;0,"Sheer Heart Attack",
IF(COUNTIF('Queen Discography'!$F$4:$F$22,C40)&gt;0,"A Night At The Opera",
IF(COUNTIF('Queen Discography'!$G$4:$G$22,C40)&gt;0,"A Day At The Races",
IF(COUNTIF('Queen Discography'!$H$4:$H$22,C40)&gt;0,"News Of The World",
IF(COUNTIF('Queen Discography'!$I$4:$I$22,C40)&gt;0,"Jazz",
IF(COUNTIF('Queen Discography'!$J$4:$J$22,C40)&gt;0,"The Game",
IF(COUNTIF('Queen Discography'!$K$4:$K$22,C40)&gt;0,"Flash Gordon",
IF(COUNTIF('Queen Discography'!$L$4:$L$22,C40)&gt;0,"Hot Space",
IF(COUNTIF('Queen Discography'!$M$4:$M$22,C40)&gt;0,"The Works",
IF(COUNTIF('Queen Discography'!$N$4:$N$22,C40)&gt;0,"A Kind Of Magic",
IF(COUNTIF('Queen Discography'!$O$4:$O$22,C40)&gt;0,"The Miracle",
IF(COUNTIF('Queen Discography'!$P$4:$P$22,C40)&gt;0,"Innuendo",
IF(COUNTIF('Queen Discography'!$Q$4:$Q$22,C40)&gt;0,"Made In Heaven","NOT FOUND")))))))))))))))</f>
        <v>The Works</v>
      </c>
      <c r="I40" s="1"/>
      <c r="J40" s="1"/>
      <c r="K40" s="1"/>
      <c r="L40" s="1"/>
      <c r="M40" s="87"/>
      <c r="N40" s="87"/>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row>
    <row r="41">
      <c r="A41" s="1"/>
      <c r="C41" s="66" t="str">
        <f t="array" ref="C41">INDEX('Queen MIDI'!$C$4:$C$66,MATCH(F41,'Queen MIDI'!$D$4:$D$66,0))</f>
        <v>It's a Hard Life</v>
      </c>
      <c r="D41" s="160">
        <v>2.0</v>
      </c>
      <c r="E41" s="161" t="s">
        <v>388</v>
      </c>
      <c r="F41" s="66" t="str">
        <f t="shared" si="2"/>
        <v>It_s a Hard Life.mid</v>
      </c>
      <c r="G41" s="131">
        <f>HLOOKUP(H41,'Queen Discography'!$C$2:$Q$3,2,FALSE)</f>
        <v>1984</v>
      </c>
      <c r="H41" s="66" t="str">
        <f>IF(COUNTIF('Queen Discography'!$C$4:$C$22,C41)&gt;0,"Queen",
IF(COUNTIF('Queen Discography'!$D$4:$D$22,C41)&gt;0,"Queen II",
IF(COUNTIF('Queen Discography'!$E$4:$E$22,C41)&gt;0,"Sheer Heart Attack",
IF(COUNTIF('Queen Discography'!$F$4:$F$22,C41)&gt;0,"A Night At The Opera",
IF(COUNTIF('Queen Discography'!$G$4:$G$22,C41)&gt;0,"A Day At The Races",
IF(COUNTIF('Queen Discography'!$H$4:$H$22,C41)&gt;0,"News Of The World",
IF(COUNTIF('Queen Discography'!$I$4:$I$22,C41)&gt;0,"Jazz",
IF(COUNTIF('Queen Discography'!$J$4:$J$22,C41)&gt;0,"The Game",
IF(COUNTIF('Queen Discography'!$K$4:$K$22,C41)&gt;0,"Flash Gordon",
IF(COUNTIF('Queen Discography'!$L$4:$L$22,C41)&gt;0,"Hot Space",
IF(COUNTIF('Queen Discography'!$M$4:$M$22,C41)&gt;0,"The Works",
IF(COUNTIF('Queen Discography'!$N$4:$N$22,C41)&gt;0,"A Kind Of Magic",
IF(COUNTIF('Queen Discography'!$O$4:$O$22,C41)&gt;0,"The Miracle",
IF(COUNTIF('Queen Discography'!$P$4:$P$22,C41)&gt;0,"Innuendo",
IF(COUNTIF('Queen Discography'!$Q$4:$Q$22,C41)&gt;0,"Made In Heaven","NOT FOUND")))))))))))))))</f>
        <v>The Works</v>
      </c>
      <c r="I41" s="1"/>
      <c r="J41" s="1"/>
      <c r="K41" s="1"/>
      <c r="L41" s="1"/>
      <c r="M41" s="87"/>
      <c r="N41" s="87"/>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row>
    <row r="42">
      <c r="A42" s="1"/>
      <c r="C42" s="66" t="str">
        <f t="array" ref="C42">INDEX('Queen MIDI'!$C$4:$C$66,MATCH(F42,'Queen MIDI'!$D$4:$D$66,0))</f>
        <v>Radio Ga Ga</v>
      </c>
      <c r="D42" s="160">
        <v>2.0</v>
      </c>
      <c r="E42" s="161" t="s">
        <v>389</v>
      </c>
      <c r="F42" s="66" t="str">
        <f t="shared" si="2"/>
        <v>Radio Ga Ga.5.mid</v>
      </c>
      <c r="G42" s="120">
        <f>HLOOKUP(H42,'Queen Discography'!$C$2:$Q$3,2,FALSE)</f>
        <v>1984</v>
      </c>
      <c r="H42" s="66" t="str">
        <f>IF(COUNTIF('Queen Discography'!$C$4:$C$22,C42)&gt;0,"Queen",
IF(COUNTIF('Queen Discography'!$D$4:$D$22,C42)&gt;0,"Queen II",
IF(COUNTIF('Queen Discography'!$E$4:$E$22,C42)&gt;0,"Sheer Heart Attack",
IF(COUNTIF('Queen Discography'!$F$4:$F$22,C42)&gt;0,"A Night At The Opera",
IF(COUNTIF('Queen Discography'!$G$4:$G$22,C42)&gt;0,"A Day At The Races",
IF(COUNTIF('Queen Discography'!$H$4:$H$22,C42)&gt;0,"News Of The World",
IF(COUNTIF('Queen Discography'!$I$4:$I$22,C42)&gt;0,"Jazz",
IF(COUNTIF('Queen Discography'!$J$4:$J$22,C42)&gt;0,"The Game",
IF(COUNTIF('Queen Discography'!$K$4:$K$22,C42)&gt;0,"Flash Gordon",
IF(COUNTIF('Queen Discography'!$L$4:$L$22,C42)&gt;0,"Hot Space",
IF(COUNTIF('Queen Discography'!$M$4:$M$22,C42)&gt;0,"The Works",
IF(COUNTIF('Queen Discography'!$N$4:$N$22,C42)&gt;0,"A Kind Of Magic",
IF(COUNTIF('Queen Discography'!$O$4:$O$22,C42)&gt;0,"The Miracle",
IF(COUNTIF('Queen Discography'!$P$4:$P$22,C42)&gt;0,"Innuendo",
IF(COUNTIF('Queen Discography'!$Q$4:$Q$22,C42)&gt;0,"Made In Heaven","NOT FOUND")))))))))))))))</f>
        <v>The Works</v>
      </c>
      <c r="I42" s="1"/>
      <c r="J42" s="1"/>
      <c r="K42" s="1"/>
      <c r="L42" s="1"/>
      <c r="M42" s="87"/>
      <c r="N42" s="87"/>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row>
    <row r="43">
      <c r="A43" s="1"/>
      <c r="C43" s="66" t="str">
        <f t="array" ref="C43">INDEX('Queen MIDI'!$C$4:$C$66,MATCH(F43,'Queen MIDI'!$D$4:$D$66,0))</f>
        <v>One Year of Love</v>
      </c>
      <c r="D43" s="162">
        <v>2.0</v>
      </c>
      <c r="E43" s="163" t="s">
        <v>392</v>
      </c>
      <c r="F43" s="66" t="str">
        <f t="shared" si="2"/>
        <v>One Year of Love.mid</v>
      </c>
      <c r="G43" s="124">
        <f>HLOOKUP(H43,'Queen Discography'!$C$2:$Q$3,2,FALSE)</f>
        <v>1986</v>
      </c>
      <c r="H43" s="66" t="str">
        <f>IF(COUNTIF('Queen Discography'!$C$4:$C$22,C43)&gt;0,"Queen",
IF(COUNTIF('Queen Discography'!$D$4:$D$22,C43)&gt;0,"Queen II",
IF(COUNTIF('Queen Discography'!$E$4:$E$22,C43)&gt;0,"Sheer Heart Attack",
IF(COUNTIF('Queen Discography'!$F$4:$F$22,C43)&gt;0,"A Night At The Opera",
IF(COUNTIF('Queen Discography'!$G$4:$G$22,C43)&gt;0,"A Day At The Races",
IF(COUNTIF('Queen Discography'!$H$4:$H$22,C43)&gt;0,"News Of The World",
IF(COUNTIF('Queen Discography'!$I$4:$I$22,C43)&gt;0,"Jazz",
IF(COUNTIF('Queen Discography'!$J$4:$J$22,C43)&gt;0,"The Game",
IF(COUNTIF('Queen Discography'!$K$4:$K$22,C43)&gt;0,"Flash Gordon",
IF(COUNTIF('Queen Discography'!$L$4:$L$22,C43)&gt;0,"Hot Space",
IF(COUNTIF('Queen Discography'!$M$4:$M$22,C43)&gt;0,"The Works",
IF(COUNTIF('Queen Discography'!$N$4:$N$22,C43)&gt;0,"A Kind Of Magic",
IF(COUNTIF('Queen Discography'!$O$4:$O$22,C43)&gt;0,"The Miracle",
IF(COUNTIF('Queen Discography'!$P$4:$P$22,C43)&gt;0,"Innuendo",
IF(COUNTIF('Queen Discography'!$Q$4:$Q$22,C43)&gt;0,"Made In Heaven","NOT FOUND")))))))))))))))</f>
        <v>A Kind Of Magic</v>
      </c>
      <c r="I43" s="1"/>
      <c r="J43" s="1"/>
      <c r="K43" s="1"/>
      <c r="L43" s="1"/>
      <c r="M43" s="87"/>
      <c r="N43" s="87"/>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row>
    <row r="44">
      <c r="A44" s="1"/>
      <c r="C44" s="66" t="str">
        <f t="array" ref="C44">INDEX('Queen MIDI'!$C$4:$C$66,MATCH(F44,'Queen MIDI'!$D$4:$D$66,0))</f>
        <v>Who Wants to Live Forever</v>
      </c>
      <c r="D44" s="162">
        <v>2.0</v>
      </c>
      <c r="E44" s="163" t="s">
        <v>394</v>
      </c>
      <c r="F44" s="66" t="str">
        <f t="shared" si="2"/>
        <v>Who Wants to Live Forever.4.mid</v>
      </c>
      <c r="G44" s="124">
        <f>HLOOKUP(H44,'Queen Discography'!$C$2:$Q$3,2,FALSE)</f>
        <v>1986</v>
      </c>
      <c r="H44" s="66" t="str">
        <f>IF(COUNTIF('Queen Discography'!$C$4:$C$22,C44)&gt;0,"Queen",
IF(COUNTIF('Queen Discography'!$D$4:$D$22,C44)&gt;0,"Queen II",
IF(COUNTIF('Queen Discography'!$E$4:$E$22,C44)&gt;0,"Sheer Heart Attack",
IF(COUNTIF('Queen Discography'!$F$4:$F$22,C44)&gt;0,"A Night At The Opera",
IF(COUNTIF('Queen Discography'!$G$4:$G$22,C44)&gt;0,"A Day At The Races",
IF(COUNTIF('Queen Discography'!$H$4:$H$22,C44)&gt;0,"News Of The World",
IF(COUNTIF('Queen Discography'!$I$4:$I$22,C44)&gt;0,"Jazz",
IF(COUNTIF('Queen Discography'!$J$4:$J$22,C44)&gt;0,"The Game",
IF(COUNTIF('Queen Discography'!$K$4:$K$22,C44)&gt;0,"Flash Gordon",
IF(COUNTIF('Queen Discography'!$L$4:$L$22,C44)&gt;0,"Hot Space",
IF(COUNTIF('Queen Discography'!$M$4:$M$22,C44)&gt;0,"The Works",
IF(COUNTIF('Queen Discography'!$N$4:$N$22,C44)&gt;0,"A Kind Of Magic",
IF(COUNTIF('Queen Discography'!$O$4:$O$22,C44)&gt;0,"The Miracle",
IF(COUNTIF('Queen Discography'!$P$4:$P$22,C44)&gt;0,"Innuendo",
IF(COUNTIF('Queen Discography'!$Q$4:$Q$22,C44)&gt;0,"Made In Heaven","NOT FOUND")))))))))))))))</f>
        <v>A Kind Of Magic</v>
      </c>
      <c r="I44" s="1"/>
      <c r="J44" s="1"/>
      <c r="K44" s="1"/>
      <c r="L44" s="1"/>
      <c r="M44" s="87"/>
      <c r="N44" s="87"/>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row>
    <row r="45">
      <c r="A45" s="1"/>
      <c r="C45" s="66" t="str">
        <f t="array" ref="C45">INDEX('Queen MIDI'!$C$4:$C$66,MATCH(F45,'Queen MIDI'!$D$4:$D$66,0))</f>
        <v>Rain Must Fall</v>
      </c>
      <c r="D45" s="140">
        <v>2.0</v>
      </c>
      <c r="E45" s="141" t="s">
        <v>396</v>
      </c>
      <c r="F45" s="66" t="str">
        <f t="shared" si="2"/>
        <v>Rain Must Fall.mid</v>
      </c>
      <c r="G45" s="120">
        <f>HLOOKUP(H45,'Queen Discography'!$C$2:$Q$3,2,FALSE)</f>
        <v>1989</v>
      </c>
      <c r="H45" s="66" t="str">
        <f>IF(COUNTIF('Queen Discography'!$C$4:$C$22,C45)&gt;0,"Queen",
IF(COUNTIF('Queen Discography'!$D$4:$D$22,C45)&gt;0,"Queen II",
IF(COUNTIF('Queen Discography'!$E$4:$E$22,C45)&gt;0,"Sheer Heart Attack",
IF(COUNTIF('Queen Discography'!$F$4:$F$22,C45)&gt;0,"A Night At The Opera",
IF(COUNTIF('Queen Discography'!$G$4:$G$22,C45)&gt;0,"A Day At The Races",
IF(COUNTIF('Queen Discography'!$H$4:$H$22,C45)&gt;0,"News Of The World",
IF(COUNTIF('Queen Discography'!$I$4:$I$22,C45)&gt;0,"Jazz",
IF(COUNTIF('Queen Discography'!$J$4:$J$22,C45)&gt;0,"The Game",
IF(COUNTIF('Queen Discography'!$K$4:$K$22,C45)&gt;0,"Flash Gordon",
IF(COUNTIF('Queen Discography'!$L$4:$L$22,C45)&gt;0,"Hot Space",
IF(COUNTIF('Queen Discography'!$M$4:$M$22,C45)&gt;0,"The Works",
IF(COUNTIF('Queen Discography'!$N$4:$N$22,C45)&gt;0,"A Kind Of Magic",
IF(COUNTIF('Queen Discography'!$O$4:$O$22,C45)&gt;0,"The Miracle",
IF(COUNTIF('Queen Discography'!$P$4:$P$22,C45)&gt;0,"Innuendo",
IF(COUNTIF('Queen Discography'!$Q$4:$Q$22,C45)&gt;0,"Made In Heaven","NOT FOUND")))))))))))))))</f>
        <v>The Miracle</v>
      </c>
      <c r="I45" s="1"/>
      <c r="J45" s="1"/>
      <c r="K45" s="1"/>
      <c r="L45" s="1"/>
      <c r="M45" s="87"/>
      <c r="N45" s="87"/>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row>
    <row r="46">
      <c r="A46" s="1"/>
      <c r="C46" s="66" t="str">
        <f t="array" ref="C46">INDEX('Queen MIDI'!$C$4:$C$66,MATCH(F46,'Queen MIDI'!$D$4:$D$66,0))</f>
        <v>Scandal</v>
      </c>
      <c r="D46" s="140">
        <v>2.0</v>
      </c>
      <c r="E46" s="141" t="s">
        <v>397</v>
      </c>
      <c r="F46" s="66" t="str">
        <f t="shared" si="2"/>
        <v>Scandal.mid</v>
      </c>
      <c r="G46" s="129">
        <f>HLOOKUP(H46,'Queen Discography'!$C$2:$Q$3,2,FALSE)</f>
        <v>1989</v>
      </c>
      <c r="H46" s="66" t="str">
        <f>IF(COUNTIF('Queen Discography'!$C$4:$C$22,C46)&gt;0,"Queen",
IF(COUNTIF('Queen Discography'!$D$4:$D$22,C46)&gt;0,"Queen II",
IF(COUNTIF('Queen Discography'!$E$4:$E$22,C46)&gt;0,"Sheer Heart Attack",
IF(COUNTIF('Queen Discography'!$F$4:$F$22,C46)&gt;0,"A Night At The Opera",
IF(COUNTIF('Queen Discography'!$G$4:$G$22,C46)&gt;0,"A Day At The Races",
IF(COUNTIF('Queen Discography'!$H$4:$H$22,C46)&gt;0,"News Of The World",
IF(COUNTIF('Queen Discography'!$I$4:$I$22,C46)&gt;0,"Jazz",
IF(COUNTIF('Queen Discography'!$J$4:$J$22,C46)&gt;0,"The Game",
IF(COUNTIF('Queen Discography'!$K$4:$K$22,C46)&gt;0,"Flash Gordon",
IF(COUNTIF('Queen Discography'!$L$4:$L$22,C46)&gt;0,"Hot Space",
IF(COUNTIF('Queen Discography'!$M$4:$M$22,C46)&gt;0,"The Works",
IF(COUNTIF('Queen Discography'!$N$4:$N$22,C46)&gt;0,"A Kind Of Magic",
IF(COUNTIF('Queen Discography'!$O$4:$O$22,C46)&gt;0,"The Miracle",
IF(COUNTIF('Queen Discography'!$P$4:$P$22,C46)&gt;0,"Innuendo",
IF(COUNTIF('Queen Discography'!$Q$4:$Q$22,C46)&gt;0,"Made In Heaven","NOT FOUND")))))))))))))))</f>
        <v>The Miracle</v>
      </c>
      <c r="I46" s="1"/>
      <c r="J46" s="1"/>
      <c r="K46" s="1"/>
      <c r="L46" s="1"/>
      <c r="M46" s="87"/>
      <c r="N46" s="87"/>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row>
    <row r="47">
      <c r="A47" s="1"/>
      <c r="C47" s="66" t="str">
        <f t="array" ref="C47">INDEX('Queen MIDI'!$C$4:$C$66,MATCH(F47,'Queen MIDI'!$D$4:$D$66,0))</f>
        <v>The Miracle</v>
      </c>
      <c r="D47" s="140">
        <v>2.0</v>
      </c>
      <c r="E47" s="141" t="s">
        <v>399</v>
      </c>
      <c r="F47" s="66" t="str">
        <f t="shared" si="2"/>
        <v>The Miracle.1.mid</v>
      </c>
      <c r="G47" s="127">
        <f>HLOOKUP(H47,'Queen Discography'!$C$2:$Q$3,2,FALSE)</f>
        <v>1989</v>
      </c>
      <c r="H47" s="66" t="str">
        <f>IF(COUNTIF('Queen Discography'!$C$4:$C$22,C47)&gt;0,"Queen",
IF(COUNTIF('Queen Discography'!$D$4:$D$22,C47)&gt;0,"Queen II",
IF(COUNTIF('Queen Discography'!$E$4:$E$22,C47)&gt;0,"Sheer Heart Attack",
IF(COUNTIF('Queen Discography'!$F$4:$F$22,C47)&gt;0,"A Night At The Opera",
IF(COUNTIF('Queen Discography'!$G$4:$G$22,C47)&gt;0,"A Day At The Races",
IF(COUNTIF('Queen Discography'!$H$4:$H$22,C47)&gt;0,"News Of The World",
IF(COUNTIF('Queen Discography'!$I$4:$I$22,C47)&gt;0,"Jazz",
IF(COUNTIF('Queen Discography'!$J$4:$J$22,C47)&gt;0,"The Game",
IF(COUNTIF('Queen Discography'!$K$4:$K$22,C47)&gt;0,"Flash Gordon",
IF(COUNTIF('Queen Discography'!$L$4:$L$22,C47)&gt;0,"Hot Space",
IF(COUNTIF('Queen Discography'!$M$4:$M$22,C47)&gt;0,"The Works",
IF(COUNTIF('Queen Discography'!$N$4:$N$22,C47)&gt;0,"A Kind Of Magic",
IF(COUNTIF('Queen Discography'!$O$4:$O$22,C47)&gt;0,"The Miracle",
IF(COUNTIF('Queen Discography'!$P$4:$P$22,C47)&gt;0,"Innuendo",
IF(COUNTIF('Queen Discography'!$Q$4:$Q$22,C47)&gt;0,"Made In Heaven","NOT FOUND")))))))))))))))</f>
        <v>The Miracle</v>
      </c>
      <c r="I47" s="1"/>
      <c r="J47" s="1"/>
      <c r="K47" s="1"/>
      <c r="L47" s="1"/>
      <c r="M47" s="87"/>
      <c r="N47" s="87"/>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row>
    <row r="48">
      <c r="A48" s="1"/>
      <c r="C48" s="66" t="str">
        <f t="array" ref="C48">INDEX('Queen MIDI'!$C$4:$C$66,MATCH(F48,'Queen MIDI'!$D$4:$D$66,0))</f>
        <v>All God's People</v>
      </c>
      <c r="D48" s="142">
        <v>2.0</v>
      </c>
      <c r="E48" s="143" t="s">
        <v>400</v>
      </c>
      <c r="F48" s="66" t="str">
        <f t="shared" si="2"/>
        <v>All God_s People.mid</v>
      </c>
      <c r="G48" s="119">
        <f>HLOOKUP(H48,'Queen Discography'!$C$2:$Q$3,2,FALSE)</f>
        <v>1991</v>
      </c>
      <c r="H48" s="66" t="str">
        <f>IF(COUNTIF('Queen Discography'!$C$4:$C$22,C48)&gt;0,"Queen",
IF(COUNTIF('Queen Discography'!$D$4:$D$22,C48)&gt;0,"Queen II",
IF(COUNTIF('Queen Discography'!$E$4:$E$22,C48)&gt;0,"Sheer Heart Attack",
IF(COUNTIF('Queen Discography'!$F$4:$F$22,C48)&gt;0,"A Night At The Opera",
IF(COUNTIF('Queen Discography'!$G$4:$G$22,C48)&gt;0,"A Day At The Races",
IF(COUNTIF('Queen Discography'!$H$4:$H$22,C48)&gt;0,"News Of The World",
IF(COUNTIF('Queen Discography'!$I$4:$I$22,C48)&gt;0,"Jazz",
IF(COUNTIF('Queen Discography'!$J$4:$J$22,C48)&gt;0,"The Game",
IF(COUNTIF('Queen Discography'!$K$4:$K$22,C48)&gt;0,"Flash Gordon",
IF(COUNTIF('Queen Discography'!$L$4:$L$22,C48)&gt;0,"Hot Space",
IF(COUNTIF('Queen Discography'!$M$4:$M$22,C48)&gt;0,"The Works",
IF(COUNTIF('Queen Discography'!$N$4:$N$22,C48)&gt;0,"A Kind Of Magic",
IF(COUNTIF('Queen Discography'!$O$4:$O$22,C48)&gt;0,"The Miracle",
IF(COUNTIF('Queen Discography'!$P$4:$P$22,C48)&gt;0,"Innuendo",
IF(COUNTIF('Queen Discography'!$Q$4:$Q$22,C48)&gt;0,"Made In Heaven","NOT FOUND")))))))))))))))</f>
        <v>Innuendo</v>
      </c>
      <c r="I48" s="1"/>
      <c r="J48" s="1"/>
      <c r="K48" s="1"/>
      <c r="L48" s="1"/>
      <c r="M48" s="87"/>
      <c r="N48" s="87"/>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row>
    <row r="49">
      <c r="A49" s="1"/>
      <c r="C49" s="66" t="str">
        <f t="array" ref="C49">INDEX('Queen MIDI'!$C$4:$C$66,MATCH(F49,'Queen MIDI'!$D$4:$D$66,0))</f>
        <v>Bijou</v>
      </c>
      <c r="D49" s="142">
        <v>2.0</v>
      </c>
      <c r="E49" s="143" t="s">
        <v>401</v>
      </c>
      <c r="F49" s="66" t="str">
        <f t="shared" si="2"/>
        <v>Bijou.1.mid</v>
      </c>
      <c r="G49" s="126">
        <f>HLOOKUP(H49,'Queen Discography'!$C$2:$Q$3,2,FALSE)</f>
        <v>1991</v>
      </c>
      <c r="H49" s="66" t="str">
        <f>IF(COUNTIF('Queen Discography'!$C$4:$C$22,C49)&gt;0,"Queen",
IF(COUNTIF('Queen Discography'!$D$4:$D$22,C49)&gt;0,"Queen II",
IF(COUNTIF('Queen Discography'!$E$4:$E$22,C49)&gt;0,"Sheer Heart Attack",
IF(COUNTIF('Queen Discography'!$F$4:$F$22,C49)&gt;0,"A Night At The Opera",
IF(COUNTIF('Queen Discography'!$G$4:$G$22,C49)&gt;0,"A Day At The Races",
IF(COUNTIF('Queen Discography'!$H$4:$H$22,C49)&gt;0,"News Of The World",
IF(COUNTIF('Queen Discography'!$I$4:$I$22,C49)&gt;0,"Jazz",
IF(COUNTIF('Queen Discography'!$J$4:$J$22,C49)&gt;0,"The Game",
IF(COUNTIF('Queen Discography'!$K$4:$K$22,C49)&gt;0,"Flash Gordon",
IF(COUNTIF('Queen Discography'!$L$4:$L$22,C49)&gt;0,"Hot Space",
IF(COUNTIF('Queen Discography'!$M$4:$M$22,C49)&gt;0,"The Works",
IF(COUNTIF('Queen Discography'!$N$4:$N$22,C49)&gt;0,"A Kind Of Magic",
IF(COUNTIF('Queen Discography'!$O$4:$O$22,C49)&gt;0,"The Miracle",
IF(COUNTIF('Queen Discography'!$P$4:$P$22,C49)&gt;0,"Innuendo",
IF(COUNTIF('Queen Discography'!$Q$4:$Q$22,C49)&gt;0,"Made In Heaven","NOT FOUND")))))))))))))))</f>
        <v>Innuendo</v>
      </c>
      <c r="I49" s="1"/>
      <c r="J49" s="1"/>
      <c r="K49" s="1"/>
      <c r="L49" s="1"/>
      <c r="M49" s="87"/>
      <c r="N49" s="87"/>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row>
    <row r="50">
      <c r="A50" s="1"/>
      <c r="C50" s="66" t="str">
        <f t="array" ref="C50">INDEX('Queen MIDI'!$C$4:$C$66,MATCH(F50,'Queen MIDI'!$D$4:$D$66,0))</f>
        <v>Don't Try So Hard</v>
      </c>
      <c r="D50" s="142">
        <v>2.0</v>
      </c>
      <c r="E50" s="143" t="s">
        <v>402</v>
      </c>
      <c r="F50" s="66" t="str">
        <f t="shared" si="2"/>
        <v>Don_t Try So Hard.2.mid</v>
      </c>
      <c r="G50" s="121">
        <f>HLOOKUP(H50,'Queen Discography'!$C$2:$Q$3,2,FALSE)</f>
        <v>1991</v>
      </c>
      <c r="H50" s="66" t="str">
        <f>IF(COUNTIF('Queen Discography'!$C$4:$C$22,C50)&gt;0,"Queen",
IF(COUNTIF('Queen Discography'!$D$4:$D$22,C50)&gt;0,"Queen II",
IF(COUNTIF('Queen Discography'!$E$4:$E$22,C50)&gt;0,"Sheer Heart Attack",
IF(COUNTIF('Queen Discography'!$F$4:$F$22,C50)&gt;0,"A Night At The Opera",
IF(COUNTIF('Queen Discography'!$G$4:$G$22,C50)&gt;0,"A Day At The Races",
IF(COUNTIF('Queen Discography'!$H$4:$H$22,C50)&gt;0,"News Of The World",
IF(COUNTIF('Queen Discography'!$I$4:$I$22,C50)&gt;0,"Jazz",
IF(COUNTIF('Queen Discography'!$J$4:$J$22,C50)&gt;0,"The Game",
IF(COUNTIF('Queen Discography'!$K$4:$K$22,C50)&gt;0,"Flash Gordon",
IF(COUNTIF('Queen Discography'!$L$4:$L$22,C50)&gt;0,"Hot Space",
IF(COUNTIF('Queen Discography'!$M$4:$M$22,C50)&gt;0,"The Works",
IF(COUNTIF('Queen Discography'!$N$4:$N$22,C50)&gt;0,"A Kind Of Magic",
IF(COUNTIF('Queen Discography'!$O$4:$O$22,C50)&gt;0,"The Miracle",
IF(COUNTIF('Queen Discography'!$P$4:$P$22,C50)&gt;0,"Innuendo",
IF(COUNTIF('Queen Discography'!$Q$4:$Q$22,C50)&gt;0,"Made In Heaven","NOT FOUND")))))))))))))))</f>
        <v>Innuendo</v>
      </c>
      <c r="I50" s="1"/>
      <c r="J50" s="1"/>
      <c r="K50" s="1"/>
      <c r="L50" s="1"/>
      <c r="M50" s="87"/>
      <c r="N50" s="87"/>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c r="A51" s="1"/>
      <c r="C51" s="66" t="str">
        <f t="array" ref="C51">INDEX('Queen MIDI'!$C$4:$C$66,MATCH(F51,'Queen MIDI'!$D$4:$D$66,0))</f>
        <v>I Can't Live With You</v>
      </c>
      <c r="D51" s="142">
        <v>2.0</v>
      </c>
      <c r="E51" s="143" t="s">
        <v>404</v>
      </c>
      <c r="F51" s="66" t="str">
        <f t="shared" si="2"/>
        <v>I Can_t Live With You.1.mid</v>
      </c>
      <c r="G51" s="120">
        <f>HLOOKUP(H51,'Queen Discography'!$C$2:$Q$3,2,FALSE)</f>
        <v>1991</v>
      </c>
      <c r="H51" s="66" t="str">
        <f>IF(COUNTIF('Queen Discography'!$C$4:$C$22,C51)&gt;0,"Queen",
IF(COUNTIF('Queen Discography'!$D$4:$D$22,C51)&gt;0,"Queen II",
IF(COUNTIF('Queen Discography'!$E$4:$E$22,C51)&gt;0,"Sheer Heart Attack",
IF(COUNTIF('Queen Discography'!$F$4:$F$22,C51)&gt;0,"A Night At The Opera",
IF(COUNTIF('Queen Discography'!$G$4:$G$22,C51)&gt;0,"A Day At The Races",
IF(COUNTIF('Queen Discography'!$H$4:$H$22,C51)&gt;0,"News Of The World",
IF(COUNTIF('Queen Discography'!$I$4:$I$22,C51)&gt;0,"Jazz",
IF(COUNTIF('Queen Discography'!$J$4:$J$22,C51)&gt;0,"The Game",
IF(COUNTIF('Queen Discography'!$K$4:$K$22,C51)&gt;0,"Flash Gordon",
IF(COUNTIF('Queen Discography'!$L$4:$L$22,C51)&gt;0,"Hot Space",
IF(COUNTIF('Queen Discography'!$M$4:$M$22,C51)&gt;0,"The Works",
IF(COUNTIF('Queen Discography'!$N$4:$N$22,C51)&gt;0,"A Kind Of Magic",
IF(COUNTIF('Queen Discography'!$O$4:$O$22,C51)&gt;0,"The Miracle",
IF(COUNTIF('Queen Discography'!$P$4:$P$22,C51)&gt;0,"Innuendo",
IF(COUNTIF('Queen Discography'!$Q$4:$Q$22,C51)&gt;0,"Made In Heaven","NOT FOUND")))))))))))))))</f>
        <v>Innuendo</v>
      </c>
      <c r="I51" s="1"/>
      <c r="J51" s="1"/>
      <c r="K51" s="1"/>
      <c r="L51" s="1"/>
      <c r="M51" s="87"/>
      <c r="N51" s="87"/>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row>
    <row r="52">
      <c r="A52" s="1"/>
      <c r="C52" s="66" t="str">
        <f t="array" ref="C52">INDEX('Queen MIDI'!$C$4:$C$66,MATCH(F52,'Queen MIDI'!$D$4:$D$66,0))</f>
        <v>I'm Going Slightly Mad</v>
      </c>
      <c r="D52" s="142">
        <v>2.0</v>
      </c>
      <c r="E52" s="143" t="s">
        <v>405</v>
      </c>
      <c r="F52" s="66" t="str">
        <f t="shared" si="2"/>
        <v>I_m Going Slightly Mad.2.mid</v>
      </c>
      <c r="G52" s="122">
        <f>HLOOKUP(H52,'Queen Discography'!$C$2:$Q$3,2,FALSE)</f>
        <v>1991</v>
      </c>
      <c r="H52" s="66" t="str">
        <f>IF(COUNTIF('Queen Discography'!$C$4:$C$22,C52)&gt;0,"Queen",
IF(COUNTIF('Queen Discography'!$D$4:$D$22,C52)&gt;0,"Queen II",
IF(COUNTIF('Queen Discography'!$E$4:$E$22,C52)&gt;0,"Sheer Heart Attack",
IF(COUNTIF('Queen Discography'!$F$4:$F$22,C52)&gt;0,"A Night At The Opera",
IF(COUNTIF('Queen Discography'!$G$4:$G$22,C52)&gt;0,"A Day At The Races",
IF(COUNTIF('Queen Discography'!$H$4:$H$22,C52)&gt;0,"News Of The World",
IF(COUNTIF('Queen Discography'!$I$4:$I$22,C52)&gt;0,"Jazz",
IF(COUNTIF('Queen Discography'!$J$4:$J$22,C52)&gt;0,"The Game",
IF(COUNTIF('Queen Discography'!$K$4:$K$22,C52)&gt;0,"Flash Gordon",
IF(COUNTIF('Queen Discography'!$L$4:$L$22,C52)&gt;0,"Hot Space",
IF(COUNTIF('Queen Discography'!$M$4:$M$22,C52)&gt;0,"The Works",
IF(COUNTIF('Queen Discography'!$N$4:$N$22,C52)&gt;0,"A Kind Of Magic",
IF(COUNTIF('Queen Discography'!$O$4:$O$22,C52)&gt;0,"The Miracle",
IF(COUNTIF('Queen Discography'!$P$4:$P$22,C52)&gt;0,"Innuendo",
IF(COUNTIF('Queen Discography'!$Q$4:$Q$22,C52)&gt;0,"Made In Heaven","NOT FOUND")))))))))))))))</f>
        <v>Innuendo</v>
      </c>
      <c r="I52" s="1"/>
      <c r="J52" s="1"/>
      <c r="K52" s="1"/>
      <c r="L52" s="1"/>
      <c r="M52" s="87"/>
      <c r="N52" s="87"/>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row>
    <row r="53">
      <c r="A53" s="1"/>
      <c r="C53" s="66" t="str">
        <f t="array" ref="C53">INDEX('Queen MIDI'!$C$4:$C$66,MATCH(F53,'Queen MIDI'!$D$4:$D$66,0))</f>
        <v>These Are the Days of Our Lives</v>
      </c>
      <c r="D53" s="142">
        <v>2.0</v>
      </c>
      <c r="E53" s="143" t="s">
        <v>408</v>
      </c>
      <c r="F53" s="66" t="str">
        <f t="shared" si="2"/>
        <v>These Are the Days of Our Lives.3.mid</v>
      </c>
      <c r="G53" s="127">
        <f>HLOOKUP(H53,'Queen Discography'!$C$2:$Q$3,2,FALSE)</f>
        <v>1991</v>
      </c>
      <c r="H53" s="66" t="str">
        <f>IF(COUNTIF('Queen Discography'!$C$4:$C$22,C53)&gt;0,"Queen",
IF(COUNTIF('Queen Discography'!$D$4:$D$22,C53)&gt;0,"Queen II",
IF(COUNTIF('Queen Discography'!$E$4:$E$22,C53)&gt;0,"Sheer Heart Attack",
IF(COUNTIF('Queen Discography'!$F$4:$F$22,C53)&gt;0,"A Night At The Opera",
IF(COUNTIF('Queen Discography'!$G$4:$G$22,C53)&gt;0,"A Day At The Races",
IF(COUNTIF('Queen Discography'!$H$4:$H$22,C53)&gt;0,"News Of The World",
IF(COUNTIF('Queen Discography'!$I$4:$I$22,C53)&gt;0,"Jazz",
IF(COUNTIF('Queen Discography'!$J$4:$J$22,C53)&gt;0,"The Game",
IF(COUNTIF('Queen Discography'!$K$4:$K$22,C53)&gt;0,"Flash Gordon",
IF(COUNTIF('Queen Discography'!$L$4:$L$22,C53)&gt;0,"Hot Space",
IF(COUNTIF('Queen Discography'!$M$4:$M$22,C53)&gt;0,"The Works",
IF(COUNTIF('Queen Discography'!$N$4:$N$22,C53)&gt;0,"A Kind Of Magic",
IF(COUNTIF('Queen Discography'!$O$4:$O$22,C53)&gt;0,"The Miracle",
IF(COUNTIF('Queen Discography'!$P$4:$P$22,C53)&gt;0,"Innuendo",
IF(COUNTIF('Queen Discography'!$Q$4:$Q$22,C53)&gt;0,"Made In Heaven","NOT FOUND")))))))))))))))</f>
        <v>Innuendo</v>
      </c>
      <c r="I53" s="1"/>
      <c r="J53" s="1"/>
      <c r="K53" s="1"/>
      <c r="L53" s="1"/>
      <c r="M53" s="87"/>
      <c r="N53" s="87"/>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row>
    <row r="54">
      <c r="A54" s="1"/>
      <c r="C54" s="66" t="str">
        <f t="array" ref="C54">INDEX('Queen MIDI'!$C$4:$C$66,MATCH(F54,'Queen MIDI'!$D$4:$D$66,0))</f>
        <v>Made in Heaven</v>
      </c>
      <c r="D54" s="164">
        <v>2.0</v>
      </c>
      <c r="E54" s="165" t="s">
        <v>411</v>
      </c>
      <c r="F54" s="66" t="str">
        <f t="shared" si="2"/>
        <v>Made in Heaven.mid</v>
      </c>
      <c r="G54" s="128">
        <f>HLOOKUP(H54,'Queen Discography'!$C$2:$Q$3,2,FALSE)</f>
        <v>1995</v>
      </c>
      <c r="H54" s="66" t="str">
        <f>IF(COUNTIF('Queen Discography'!$C$4:$C$22,C54)&gt;0,"Queen",
IF(COUNTIF('Queen Discography'!$D$4:$D$22,C54)&gt;0,"Queen II",
IF(COUNTIF('Queen Discography'!$E$4:$E$22,C54)&gt;0,"Sheer Heart Attack",
IF(COUNTIF('Queen Discography'!$F$4:$F$22,C54)&gt;0,"A Night At The Opera",
IF(COUNTIF('Queen Discography'!$G$4:$G$22,C54)&gt;0,"A Day At The Races",
IF(COUNTIF('Queen Discography'!$H$4:$H$22,C54)&gt;0,"News Of The World",
IF(COUNTIF('Queen Discography'!$I$4:$I$22,C54)&gt;0,"Jazz",
IF(COUNTIF('Queen Discography'!$J$4:$J$22,C54)&gt;0,"The Game",
IF(COUNTIF('Queen Discography'!$K$4:$K$22,C54)&gt;0,"Flash Gordon",
IF(COUNTIF('Queen Discography'!$L$4:$L$22,C54)&gt;0,"Hot Space",
IF(COUNTIF('Queen Discography'!$M$4:$M$22,C54)&gt;0,"The Works",
IF(COUNTIF('Queen Discography'!$N$4:$N$22,C54)&gt;0,"A Kind Of Magic",
IF(COUNTIF('Queen Discography'!$O$4:$O$22,C54)&gt;0,"The Miracle",
IF(COUNTIF('Queen Discography'!$P$4:$P$22,C54)&gt;0,"Innuendo",
IF(COUNTIF('Queen Discography'!$Q$4:$Q$22,C54)&gt;0,"Made In Heaven","NOT FOUND")))))))))))))))</f>
        <v>Made In Heaven</v>
      </c>
      <c r="I54" s="1"/>
      <c r="J54" s="1"/>
      <c r="K54" s="1"/>
      <c r="L54" s="1"/>
      <c r="M54" s="87"/>
      <c r="N54" s="87"/>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row>
    <row r="55">
      <c r="A55" s="1"/>
      <c r="C55" s="66" t="str">
        <f t="array" ref="C55">INDEX('Queen MIDI'!$C$4:$C$66,MATCH(F55,'Queen MIDI'!$D$4:$D$66,0))</f>
        <v>Mother Love</v>
      </c>
      <c r="D55" s="164">
        <v>2.0</v>
      </c>
      <c r="E55" s="165" t="s">
        <v>412</v>
      </c>
      <c r="F55" s="66" t="str">
        <f t="shared" si="2"/>
        <v>Mother Love.mid</v>
      </c>
      <c r="G55" s="128">
        <f>HLOOKUP(H55,'Queen Discography'!$C$2:$Q$3,2,FALSE)</f>
        <v>1995</v>
      </c>
      <c r="H55" s="66" t="str">
        <f>IF(COUNTIF('Queen Discography'!$C$4:$C$22,C55)&gt;0,"Queen",
IF(COUNTIF('Queen Discography'!$D$4:$D$22,C55)&gt;0,"Queen II",
IF(COUNTIF('Queen Discography'!$E$4:$E$22,C55)&gt;0,"Sheer Heart Attack",
IF(COUNTIF('Queen Discography'!$F$4:$F$22,C55)&gt;0,"A Night At The Opera",
IF(COUNTIF('Queen Discography'!$G$4:$G$22,C55)&gt;0,"A Day At The Races",
IF(COUNTIF('Queen Discography'!$H$4:$H$22,C55)&gt;0,"News Of The World",
IF(COUNTIF('Queen Discography'!$I$4:$I$22,C55)&gt;0,"Jazz",
IF(COUNTIF('Queen Discography'!$J$4:$J$22,C55)&gt;0,"The Game",
IF(COUNTIF('Queen Discography'!$K$4:$K$22,C55)&gt;0,"Flash Gordon",
IF(COUNTIF('Queen Discography'!$L$4:$L$22,C55)&gt;0,"Hot Space",
IF(COUNTIF('Queen Discography'!$M$4:$M$22,C55)&gt;0,"The Works",
IF(COUNTIF('Queen Discography'!$N$4:$N$22,C55)&gt;0,"A Kind Of Magic",
IF(COUNTIF('Queen Discography'!$O$4:$O$22,C55)&gt;0,"The Miracle",
IF(COUNTIF('Queen Discography'!$P$4:$P$22,C55)&gt;0,"Innuendo",
IF(COUNTIF('Queen Discography'!$Q$4:$Q$22,C55)&gt;0,"Made In Heaven","NOT FOUND")))))))))))))))</f>
        <v>Made In Heaven</v>
      </c>
      <c r="I55" s="1"/>
      <c r="J55" s="1"/>
      <c r="K55" s="1"/>
      <c r="L55" s="1"/>
      <c r="M55" s="87"/>
      <c r="N55" s="87"/>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row>
    <row r="56">
      <c r="A56" s="1"/>
      <c r="C56" s="66" t="str">
        <f t="array" ref="C56">INDEX('Queen MIDI'!$C$4:$C$66,MATCH(F56,'Queen MIDI'!$D$4:$D$66,0))</f>
        <v>My Life Has Been Saved</v>
      </c>
      <c r="D56" s="164">
        <v>2.0</v>
      </c>
      <c r="E56" s="165" t="s">
        <v>413</v>
      </c>
      <c r="F56" s="66" t="str">
        <f t="shared" si="2"/>
        <v>My Life Has Been Saved.mid</v>
      </c>
      <c r="G56" s="120">
        <f>HLOOKUP(H56,'Queen Discography'!$C$2:$Q$3,2,FALSE)</f>
        <v>1995</v>
      </c>
      <c r="H56" s="66" t="str">
        <f>IF(COUNTIF('Queen Discography'!$C$4:$C$22,C56)&gt;0,"Queen",
IF(COUNTIF('Queen Discography'!$D$4:$D$22,C56)&gt;0,"Queen II",
IF(COUNTIF('Queen Discography'!$E$4:$E$22,C56)&gt;0,"Sheer Heart Attack",
IF(COUNTIF('Queen Discography'!$F$4:$F$22,C56)&gt;0,"A Night At The Opera",
IF(COUNTIF('Queen Discography'!$G$4:$G$22,C56)&gt;0,"A Day At The Races",
IF(COUNTIF('Queen Discography'!$H$4:$H$22,C56)&gt;0,"News Of The World",
IF(COUNTIF('Queen Discography'!$I$4:$I$22,C56)&gt;0,"Jazz",
IF(COUNTIF('Queen Discography'!$J$4:$J$22,C56)&gt;0,"The Game",
IF(COUNTIF('Queen Discography'!$K$4:$K$22,C56)&gt;0,"Flash Gordon",
IF(COUNTIF('Queen Discography'!$L$4:$L$22,C56)&gt;0,"Hot Space",
IF(COUNTIF('Queen Discography'!$M$4:$M$22,C56)&gt;0,"The Works",
IF(COUNTIF('Queen Discography'!$N$4:$N$22,C56)&gt;0,"A Kind Of Magic",
IF(COUNTIF('Queen Discography'!$O$4:$O$22,C56)&gt;0,"The Miracle",
IF(COUNTIF('Queen Discography'!$P$4:$P$22,C56)&gt;0,"Innuendo",
IF(COUNTIF('Queen Discography'!$Q$4:$Q$22,C56)&gt;0,"Made In Heaven","NOT FOUND")))))))))))))))</f>
        <v>Made In Heaven</v>
      </c>
      <c r="I56" s="1"/>
      <c r="J56" s="1"/>
      <c r="K56" s="1"/>
      <c r="L56" s="1"/>
      <c r="M56" s="87"/>
      <c r="N56" s="87"/>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row>
    <row r="57">
      <c r="A57" s="1"/>
      <c r="C57" s="66" t="str">
        <f t="array" ref="C57">INDEX('Queen MIDI'!$C$4:$C$66,MATCH(F57,'Queen MIDI'!$D$4:$D$66,0))</f>
        <v>Too Much Love Will Kill You</v>
      </c>
      <c r="D57" s="164">
        <v>2.0</v>
      </c>
      <c r="E57" s="165" t="s">
        <v>414</v>
      </c>
      <c r="F57" s="66" t="str">
        <f t="shared" si="2"/>
        <v>Too Much Love Will Kill You.3.mid</v>
      </c>
      <c r="G57" s="125">
        <f>HLOOKUP(H57,'Queen Discography'!$C$2:$Q$3,2,FALSE)</f>
        <v>1995</v>
      </c>
      <c r="H57" s="66" t="str">
        <f>IF(COUNTIF('Queen Discography'!$C$4:$C$22,C57)&gt;0,"Queen",
IF(COUNTIF('Queen Discography'!$D$4:$D$22,C57)&gt;0,"Queen II",
IF(COUNTIF('Queen Discography'!$E$4:$E$22,C57)&gt;0,"Sheer Heart Attack",
IF(COUNTIF('Queen Discography'!$F$4:$F$22,C57)&gt;0,"A Night At The Opera",
IF(COUNTIF('Queen Discography'!$G$4:$G$22,C57)&gt;0,"A Day At The Races",
IF(COUNTIF('Queen Discography'!$H$4:$H$22,C57)&gt;0,"News Of The World",
IF(COUNTIF('Queen Discography'!$I$4:$I$22,C57)&gt;0,"Jazz",
IF(COUNTIF('Queen Discography'!$J$4:$J$22,C57)&gt;0,"The Game",
IF(COUNTIF('Queen Discography'!$K$4:$K$22,C57)&gt;0,"Flash Gordon",
IF(COUNTIF('Queen Discography'!$L$4:$L$22,C57)&gt;0,"Hot Space",
IF(COUNTIF('Queen Discography'!$M$4:$M$22,C57)&gt;0,"The Works",
IF(COUNTIF('Queen Discography'!$N$4:$N$22,C57)&gt;0,"A Kind Of Magic",
IF(COUNTIF('Queen Discography'!$O$4:$O$22,C57)&gt;0,"The Miracle",
IF(COUNTIF('Queen Discography'!$P$4:$P$22,C57)&gt;0,"Innuendo",
IF(COUNTIF('Queen Discography'!$Q$4:$Q$22,C57)&gt;0,"Made In Heaven","NOT FOUND")))))))))))))))</f>
        <v>Made In Heaven</v>
      </c>
      <c r="I57" s="1"/>
      <c r="J57" s="1"/>
      <c r="K57" s="1"/>
      <c r="L57" s="1"/>
      <c r="M57" s="87"/>
      <c r="N57" s="87"/>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row>
    <row r="58">
      <c r="A58" s="1"/>
      <c r="C58" s="66" t="str">
        <f t="array" ref="C58">INDEX('Queen MIDI'!$C$4:$C$66,MATCH(F58,'Queen MIDI'!$D$4:$D$66,0))</f>
        <v>Living on My Own</v>
      </c>
      <c r="D58" s="144">
        <v>2.0</v>
      </c>
      <c r="E58" s="145" t="s">
        <v>416</v>
      </c>
      <c r="F58" s="66" t="str">
        <f t="shared" si="2"/>
        <v>Living on My Own.mid</v>
      </c>
      <c r="G58" s="125" t="str">
        <f>HLOOKUP(H58,'Queen Discography'!$C$2:$Q$3,2,FALSE)</f>
        <v>#N/A</v>
      </c>
      <c r="H58" s="66" t="str">
        <f>IF(COUNTIF('Queen Discography'!$C$4:$C$22,C58)&gt;0,"Queen",
IF(COUNTIF('Queen Discography'!$D$4:$D$22,C58)&gt;0,"Queen II",
IF(COUNTIF('Queen Discography'!$E$4:$E$22,C58)&gt;0,"Sheer Heart Attack",
IF(COUNTIF('Queen Discography'!$F$4:$F$22,C58)&gt;0,"A Night At The Opera",
IF(COUNTIF('Queen Discography'!$G$4:$G$22,C58)&gt;0,"A Day At The Races",
IF(COUNTIF('Queen Discography'!$H$4:$H$22,C58)&gt;0,"News Of The World",
IF(COUNTIF('Queen Discography'!$I$4:$I$22,C58)&gt;0,"Jazz",
IF(COUNTIF('Queen Discography'!$J$4:$J$22,C58)&gt;0,"The Game",
IF(COUNTIF('Queen Discography'!$K$4:$K$22,C58)&gt;0,"Flash Gordon",
IF(COUNTIF('Queen Discography'!$L$4:$L$22,C58)&gt;0,"Hot Space",
IF(COUNTIF('Queen Discography'!$M$4:$M$22,C58)&gt;0,"The Works",
IF(COUNTIF('Queen Discography'!$N$4:$N$22,C58)&gt;0,"A Kind Of Magic",
IF(COUNTIF('Queen Discography'!$O$4:$O$22,C58)&gt;0,"The Miracle",
IF(COUNTIF('Queen Discography'!$P$4:$P$22,C58)&gt;0,"Innuendo",
IF(COUNTIF('Queen Discography'!$Q$4:$Q$22,C58)&gt;0,"Made In Heaven","NOT FOUND")))))))))))))))</f>
        <v>NOT FOUND</v>
      </c>
      <c r="I58" s="1"/>
      <c r="J58" s="1"/>
      <c r="K58" s="1"/>
      <c r="L58" s="1"/>
      <c r="M58" s="87"/>
      <c r="N58" s="87"/>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c r="A59" s="1"/>
      <c r="C59" s="66" t="str">
        <f t="array" ref="C59">INDEX('Queen MIDI'!$C$4:$C$66,MATCH(F59,'Queen MIDI'!$D$4:$D$66,0))</f>
        <v>Procession</v>
      </c>
      <c r="D59" s="146">
        <v>3.0</v>
      </c>
      <c r="E59" s="147" t="s">
        <v>417</v>
      </c>
      <c r="F59" s="66" t="str">
        <f t="shared" si="2"/>
        <v>Procession.mid</v>
      </c>
      <c r="G59" s="122">
        <f>HLOOKUP(H59,'Queen Discography'!$C$2:$Q$3,2,FALSE)</f>
        <v>1974</v>
      </c>
      <c r="H59" s="66" t="str">
        <f>IF(COUNTIF('Queen Discography'!$C$4:$C$22,C59)&gt;0,"Queen",
IF(COUNTIF('Queen Discography'!$D$4:$D$22,C59)&gt;0,"Queen II",
IF(COUNTIF('Queen Discography'!$E$4:$E$22,C59)&gt;0,"Sheer Heart Attack",
IF(COUNTIF('Queen Discography'!$F$4:$F$22,C59)&gt;0,"A Night At The Opera",
IF(COUNTIF('Queen Discography'!$G$4:$G$22,C59)&gt;0,"A Day At The Races",
IF(COUNTIF('Queen Discography'!$H$4:$H$22,C59)&gt;0,"News Of The World",
IF(COUNTIF('Queen Discography'!$I$4:$I$22,C59)&gt;0,"Jazz",
IF(COUNTIF('Queen Discography'!$J$4:$J$22,C59)&gt;0,"The Game",
IF(COUNTIF('Queen Discography'!$K$4:$K$22,C59)&gt;0,"Flash Gordon",
IF(COUNTIF('Queen Discography'!$L$4:$L$22,C59)&gt;0,"Hot Space",
IF(COUNTIF('Queen Discography'!$M$4:$M$22,C59)&gt;0,"The Works",
IF(COUNTIF('Queen Discography'!$N$4:$N$22,C59)&gt;0,"A Kind Of Magic",
IF(COUNTIF('Queen Discography'!$O$4:$O$22,C59)&gt;0,"The Miracle",
IF(COUNTIF('Queen Discography'!$P$4:$P$22,C59)&gt;0,"Innuendo",
IF(COUNTIF('Queen Discography'!$Q$4:$Q$22,C59)&gt;0,"Made In Heaven","NOT FOUND")))))))))))))))</f>
        <v>Queen II</v>
      </c>
      <c r="I59" s="1"/>
      <c r="J59" s="1"/>
      <c r="K59" s="1"/>
      <c r="L59" s="1"/>
      <c r="M59" s="87"/>
      <c r="N59" s="87"/>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row>
    <row r="60">
      <c r="A60" s="1"/>
      <c r="C60" s="66" t="str">
        <f t="array" ref="C60">INDEX('Queen MIDI'!$C$4:$C$66,MATCH(F60,'Queen MIDI'!$D$4:$D$66,0))</f>
        <v>Somebody to Love</v>
      </c>
      <c r="D60" s="156">
        <v>4.0</v>
      </c>
      <c r="E60" s="157" t="s">
        <v>371</v>
      </c>
      <c r="F60" s="66" t="str">
        <f t="shared" si="2"/>
        <v>Somebody to Love.3.mid</v>
      </c>
      <c r="G60" s="129">
        <f>HLOOKUP(H60,'Queen Discography'!$C$2:$Q$3,2,FALSE)</f>
        <v>1976</v>
      </c>
      <c r="H60" s="66" t="str">
        <f>IF(COUNTIF('Queen Discography'!$C$4:$C$22,C60)&gt;0,"Queen",
IF(COUNTIF('Queen Discography'!$D$4:$D$22,C60)&gt;0,"Queen II",
IF(COUNTIF('Queen Discography'!$E$4:$E$22,C60)&gt;0,"Sheer Heart Attack",
IF(COUNTIF('Queen Discography'!$F$4:$F$22,C60)&gt;0,"A Night At The Opera",
IF(COUNTIF('Queen Discography'!$G$4:$G$22,C60)&gt;0,"A Day At The Races",
IF(COUNTIF('Queen Discography'!$H$4:$H$22,C60)&gt;0,"News Of The World",
IF(COUNTIF('Queen Discography'!$I$4:$I$22,C60)&gt;0,"Jazz",
IF(COUNTIF('Queen Discography'!$J$4:$J$22,C60)&gt;0,"The Game",
IF(COUNTIF('Queen Discography'!$K$4:$K$22,C60)&gt;0,"Flash Gordon",
IF(COUNTIF('Queen Discography'!$L$4:$L$22,C60)&gt;0,"Hot Space",
IF(COUNTIF('Queen Discography'!$M$4:$M$22,C60)&gt;0,"The Works",
IF(COUNTIF('Queen Discography'!$N$4:$N$22,C60)&gt;0,"A Kind Of Magic",
IF(COUNTIF('Queen Discography'!$O$4:$O$22,C60)&gt;0,"The Miracle",
IF(COUNTIF('Queen Discography'!$P$4:$P$22,C60)&gt;0,"Innuendo",
IF(COUNTIF('Queen Discography'!$Q$4:$Q$22,C60)&gt;0,"Made In Heaven","NOT FOUND")))))))))))))))</f>
        <v>A Day At The Races</v>
      </c>
      <c r="I60" s="1"/>
      <c r="J60" s="1"/>
      <c r="K60" s="1"/>
      <c r="L60" s="1"/>
      <c r="M60" s="87"/>
      <c r="N60" s="87"/>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row>
    <row r="61">
      <c r="A61" s="1"/>
      <c r="C61" s="66" t="str">
        <f t="array" ref="C61">INDEX('Queen MIDI'!$C$4:$C$66,MATCH(F61,'Queen MIDI'!$D$4:$D$66,0))</f>
        <v>Don't Stop Me Now</v>
      </c>
      <c r="D61" s="138">
        <v>4.0</v>
      </c>
      <c r="E61" s="139" t="s">
        <v>377</v>
      </c>
      <c r="F61" s="66" t="str">
        <f t="shared" si="2"/>
        <v>Don_t Stop Me Now.1.mid</v>
      </c>
      <c r="G61" s="121">
        <f>HLOOKUP(H61,'Queen Discography'!$C$2:$Q$3,2,FALSE)</f>
        <v>1978</v>
      </c>
      <c r="H61" s="66" t="str">
        <f>IF(COUNTIF('Queen Discography'!$C$4:$C$22,C61)&gt;0,"Queen",
IF(COUNTIF('Queen Discography'!$D$4:$D$22,C61)&gt;0,"Queen II",
IF(COUNTIF('Queen Discography'!$E$4:$E$22,C61)&gt;0,"Sheer Heart Attack",
IF(COUNTIF('Queen Discography'!$F$4:$F$22,C61)&gt;0,"A Night At The Opera",
IF(COUNTIF('Queen Discography'!$G$4:$G$22,C61)&gt;0,"A Day At The Races",
IF(COUNTIF('Queen Discography'!$H$4:$H$22,C61)&gt;0,"News Of The World",
IF(COUNTIF('Queen Discography'!$I$4:$I$22,C61)&gt;0,"Jazz",
IF(COUNTIF('Queen Discography'!$J$4:$J$22,C61)&gt;0,"The Game",
IF(COUNTIF('Queen Discography'!$K$4:$K$22,C61)&gt;0,"Flash Gordon",
IF(COUNTIF('Queen Discography'!$L$4:$L$22,C61)&gt;0,"Hot Space",
IF(COUNTIF('Queen Discography'!$M$4:$M$22,C61)&gt;0,"The Works",
IF(COUNTIF('Queen Discography'!$N$4:$N$22,C61)&gt;0,"A Kind Of Magic",
IF(COUNTIF('Queen Discography'!$O$4:$O$22,C61)&gt;0,"The Miracle",
IF(COUNTIF('Queen Discography'!$P$4:$P$22,C61)&gt;0,"Innuendo",
IF(COUNTIF('Queen Discography'!$Q$4:$Q$22,C61)&gt;0,"Made In Heaven","NOT FOUND")))))))))))))))</f>
        <v>Jazz</v>
      </c>
      <c r="I61" s="1"/>
      <c r="J61" s="1"/>
      <c r="K61" s="1"/>
      <c r="L61" s="1"/>
      <c r="M61" s="87"/>
      <c r="N61" s="87"/>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row>
    <row r="62">
      <c r="A62" s="1"/>
      <c r="C62" s="66" t="str">
        <f t="array" ref="C62">INDEX('Queen MIDI'!$C$4:$C$66,MATCH(F62,'Queen MIDI'!$D$4:$D$66,0))</f>
        <v>Play the Game</v>
      </c>
      <c r="D62" s="148">
        <v>4.0</v>
      </c>
      <c r="E62" s="149" t="s">
        <v>383</v>
      </c>
      <c r="F62" s="66" t="str">
        <f t="shared" si="2"/>
        <v>Play the Game.1.mid</v>
      </c>
      <c r="G62" s="124">
        <f>HLOOKUP(H62,'Queen Discography'!$C$2:$Q$3,2,FALSE)</f>
        <v>1980</v>
      </c>
      <c r="H62" s="66" t="str">
        <f>IF(COUNTIF('Queen Discography'!$C$4:$C$22,C62)&gt;0,"Queen",
IF(COUNTIF('Queen Discography'!$D$4:$D$22,C62)&gt;0,"Queen II",
IF(COUNTIF('Queen Discography'!$E$4:$E$22,C62)&gt;0,"Sheer Heart Attack",
IF(COUNTIF('Queen Discography'!$F$4:$F$22,C62)&gt;0,"A Night At The Opera",
IF(COUNTIF('Queen Discography'!$G$4:$G$22,C62)&gt;0,"A Day At The Races",
IF(COUNTIF('Queen Discography'!$H$4:$H$22,C62)&gt;0,"News Of The World",
IF(COUNTIF('Queen Discography'!$I$4:$I$22,C62)&gt;0,"Jazz",
IF(COUNTIF('Queen Discography'!$J$4:$J$22,C62)&gt;0,"The Game",
IF(COUNTIF('Queen Discography'!$K$4:$K$22,C62)&gt;0,"Flash Gordon",
IF(COUNTIF('Queen Discography'!$L$4:$L$22,C62)&gt;0,"Hot Space",
IF(COUNTIF('Queen Discography'!$M$4:$M$22,C62)&gt;0,"The Works",
IF(COUNTIF('Queen Discography'!$N$4:$N$22,C62)&gt;0,"A Kind Of Magic",
IF(COUNTIF('Queen Discography'!$O$4:$O$22,C62)&gt;0,"The Miracle",
IF(COUNTIF('Queen Discography'!$P$4:$P$22,C62)&gt;0,"Innuendo",
IF(COUNTIF('Queen Discography'!$Q$4:$Q$22,C62)&gt;0,"Made In Heaven","NOT FOUND")))))))))))))))</f>
        <v>The Game</v>
      </c>
      <c r="I62" s="1"/>
      <c r="J62" s="1"/>
      <c r="K62" s="1"/>
      <c r="L62" s="1"/>
      <c r="M62" s="87"/>
      <c r="N62" s="87"/>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c r="A63" s="1"/>
      <c r="C63" s="66" t="str">
        <f t="array" ref="C63">INDEX('Queen MIDI'!$C$4:$C$66,MATCH(F63,'Queen MIDI'!$D$4:$D$66,0))</f>
        <v>Friends Will Be Friends</v>
      </c>
      <c r="D63" s="162">
        <v>4.0</v>
      </c>
      <c r="E63" s="163" t="s">
        <v>391</v>
      </c>
      <c r="F63" s="66" t="str">
        <f t="shared" si="2"/>
        <v>Friends Will Be Friends.2.mid</v>
      </c>
      <c r="G63" s="119">
        <f>HLOOKUP(H63,'Queen Discography'!$C$2:$Q$3,2,FALSE)</f>
        <v>1986</v>
      </c>
      <c r="H63" s="66" t="str">
        <f>IF(COUNTIF('Queen Discography'!$C$4:$C$22,C63)&gt;0,"Queen",
IF(COUNTIF('Queen Discography'!$D$4:$D$22,C63)&gt;0,"Queen II",
IF(COUNTIF('Queen Discography'!$E$4:$E$22,C63)&gt;0,"Sheer Heart Attack",
IF(COUNTIF('Queen Discography'!$F$4:$F$22,C63)&gt;0,"A Night At The Opera",
IF(COUNTIF('Queen Discography'!$G$4:$G$22,C63)&gt;0,"A Day At The Races",
IF(COUNTIF('Queen Discography'!$H$4:$H$22,C63)&gt;0,"News Of The World",
IF(COUNTIF('Queen Discography'!$I$4:$I$22,C63)&gt;0,"Jazz",
IF(COUNTIF('Queen Discography'!$J$4:$J$22,C63)&gt;0,"The Game",
IF(COUNTIF('Queen Discography'!$K$4:$K$22,C63)&gt;0,"Flash Gordon",
IF(COUNTIF('Queen Discography'!$L$4:$L$22,C63)&gt;0,"Hot Space",
IF(COUNTIF('Queen Discography'!$M$4:$M$22,C63)&gt;0,"The Works",
IF(COUNTIF('Queen Discography'!$N$4:$N$22,C63)&gt;0,"A Kind Of Magic",
IF(COUNTIF('Queen Discography'!$O$4:$O$22,C63)&gt;0,"The Miracle",
IF(COUNTIF('Queen Discography'!$P$4:$P$22,C63)&gt;0,"Innuendo",
IF(COUNTIF('Queen Discography'!$Q$4:$Q$22,C63)&gt;0,"Made In Heaven","NOT FOUND")))))))))))))))</f>
        <v>A Kind Of Magic</v>
      </c>
      <c r="I63" s="1"/>
      <c r="J63" s="1"/>
      <c r="K63" s="1"/>
      <c r="L63" s="1"/>
      <c r="M63" s="87"/>
      <c r="N63" s="87"/>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row>
    <row r="64">
      <c r="A64" s="1"/>
      <c r="C64" s="66" t="str">
        <f t="array" ref="C64">INDEX('Queen MIDI'!$C$4:$C$66,MATCH(F64,'Queen MIDI'!$D$4:$D$66,0))</f>
        <v>The Show Must Go On</v>
      </c>
      <c r="D64" s="142">
        <v>4.0</v>
      </c>
      <c r="E64" s="143" t="s">
        <v>407</v>
      </c>
      <c r="F64" s="66" t="str">
        <f t="shared" si="2"/>
        <v>The Show Must Go On.mid</v>
      </c>
      <c r="G64" s="127">
        <f>HLOOKUP(H64,'Queen Discography'!$C$2:$Q$3,2,FALSE)</f>
        <v>1991</v>
      </c>
      <c r="H64" s="66" t="str">
        <f>IF(COUNTIF('Queen Discography'!$C$4:$C$22,C64)&gt;0,"Queen",
IF(COUNTIF('Queen Discography'!$D$4:$D$22,C64)&gt;0,"Queen II",
IF(COUNTIF('Queen Discography'!$E$4:$E$22,C64)&gt;0,"Sheer Heart Attack",
IF(COUNTIF('Queen Discography'!$F$4:$F$22,C64)&gt;0,"A Night At The Opera",
IF(COUNTIF('Queen Discography'!$G$4:$G$22,C64)&gt;0,"A Day At The Races",
IF(COUNTIF('Queen Discography'!$H$4:$H$22,C64)&gt;0,"News Of The World",
IF(COUNTIF('Queen Discography'!$I$4:$I$22,C64)&gt;0,"Jazz",
IF(COUNTIF('Queen Discography'!$J$4:$J$22,C64)&gt;0,"The Game",
IF(COUNTIF('Queen Discography'!$K$4:$K$22,C64)&gt;0,"Flash Gordon",
IF(COUNTIF('Queen Discography'!$L$4:$L$22,C64)&gt;0,"Hot Space",
IF(COUNTIF('Queen Discography'!$M$4:$M$22,C64)&gt;0,"The Works",
IF(COUNTIF('Queen Discography'!$N$4:$N$22,C64)&gt;0,"A Kind Of Magic",
IF(COUNTIF('Queen Discography'!$O$4:$O$22,C64)&gt;0,"The Miracle",
IF(COUNTIF('Queen Discography'!$P$4:$P$22,C64)&gt;0,"Innuendo",
IF(COUNTIF('Queen Discography'!$Q$4:$Q$22,C64)&gt;0,"Made In Heaven","NOT FOUND")))))))))))))))</f>
        <v>Innuendo</v>
      </c>
      <c r="I64" s="1"/>
      <c r="J64" s="1"/>
      <c r="K64" s="1"/>
      <c r="L64" s="1"/>
      <c r="M64" s="87"/>
      <c r="N64" s="87"/>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row>
    <row r="65">
      <c r="A65" s="1"/>
      <c r="C65" s="66" t="str">
        <f t="array" ref="C65">INDEX('Queen MIDI'!$C$4:$C$66,MATCH(F65,'Queen MIDI'!$D$4:$D$66,0))</f>
        <v>The Great Pretender</v>
      </c>
      <c r="D65" s="144">
        <v>5.0</v>
      </c>
      <c r="E65" s="145" t="s">
        <v>418</v>
      </c>
      <c r="F65" s="66" t="str">
        <f t="shared" si="2"/>
        <v>The Great Pretender.mid</v>
      </c>
      <c r="G65" s="128" t="str">
        <f>HLOOKUP(H65,'Queen Discography'!$C$2:$Q$3,2,FALSE)</f>
        <v>#N/A</v>
      </c>
      <c r="H65" s="66" t="str">
        <f>IF(COUNTIF('Queen Discography'!$C$4:$C$22,C65)&gt;0,"Queen",
IF(COUNTIF('Queen Discography'!$D$4:$D$22,C65)&gt;0,"Queen II",
IF(COUNTIF('Queen Discography'!$E$4:$E$22,C65)&gt;0,"Sheer Heart Attack",
IF(COUNTIF('Queen Discography'!$F$4:$F$22,C65)&gt;0,"A Night At The Opera",
IF(COUNTIF('Queen Discography'!$G$4:$G$22,C65)&gt;0,"A Day At The Races",
IF(COUNTIF('Queen Discography'!$H$4:$H$22,C65)&gt;0,"News Of The World",
IF(COUNTIF('Queen Discography'!$I$4:$I$22,C65)&gt;0,"Jazz",
IF(COUNTIF('Queen Discography'!$J$4:$J$22,C65)&gt;0,"The Game",
IF(COUNTIF('Queen Discography'!$K$4:$K$22,C65)&gt;0,"Flash Gordon",
IF(COUNTIF('Queen Discography'!$L$4:$L$22,C65)&gt;0,"Hot Space",
IF(COUNTIF('Queen Discography'!$M$4:$M$22,C65)&gt;0,"The Works",
IF(COUNTIF('Queen Discography'!$N$4:$N$22,C65)&gt;0,"A Kind Of Magic",
IF(COUNTIF('Queen Discography'!$O$4:$O$22,C65)&gt;0,"The Miracle",
IF(COUNTIF('Queen Discography'!$P$4:$P$22,C65)&gt;0,"Innuendo",
IF(COUNTIF('Queen Discography'!$Q$4:$Q$22,C65)&gt;0,"Made In Heaven","NOT FOUND")))))))))))))))</f>
        <v>NOT FOUND</v>
      </c>
      <c r="I65" s="1"/>
      <c r="J65" s="1"/>
      <c r="K65" s="1"/>
      <c r="L65" s="1"/>
      <c r="M65" s="87"/>
      <c r="N65" s="87"/>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row>
    <row r="66">
      <c r="A66" s="1"/>
      <c r="C66" s="66" t="str">
        <f t="array" ref="C66">INDEX('Queen MIDI'!$C$4:$C$66,MATCH(F66,'Queen MIDI'!$D$4:$D$66,0))</f>
        <v>We Will Rock You</v>
      </c>
      <c r="D66" s="136">
        <v>6.0</v>
      </c>
      <c r="E66" s="137" t="s">
        <v>419</v>
      </c>
      <c r="F66" s="66" t="str">
        <f t="shared" si="2"/>
        <v>We Will Rock You.6.mid</v>
      </c>
      <c r="G66" s="133">
        <f>HLOOKUP(H66,'Queen Discography'!$C$2:$Q$3,2,FALSE)</f>
        <v>1977</v>
      </c>
      <c r="H66" s="66" t="str">
        <f>IF(COUNTIF('Queen Discography'!$C$4:$C$22,C66)&gt;0,"Queen",
IF(COUNTIF('Queen Discography'!$D$4:$D$22,C66)&gt;0,"Queen II",
IF(COUNTIF('Queen Discography'!$E$4:$E$22,C66)&gt;0,"Sheer Heart Attack",
IF(COUNTIF('Queen Discography'!$F$4:$F$22,C66)&gt;0,"A Night At The Opera",
IF(COUNTIF('Queen Discography'!$G$4:$G$22,C66)&gt;0,"A Day At The Races",
IF(COUNTIF('Queen Discography'!$H$4:$H$22,C66)&gt;0,"News Of The World",
IF(COUNTIF('Queen Discography'!$I$4:$I$22,C66)&gt;0,"Jazz",
IF(COUNTIF('Queen Discography'!$J$4:$J$22,C66)&gt;0,"The Game",
IF(COUNTIF('Queen Discography'!$K$4:$K$22,C66)&gt;0,"Flash Gordon",
IF(COUNTIF('Queen Discography'!$L$4:$L$22,C66)&gt;0,"Hot Space",
IF(COUNTIF('Queen Discography'!$M$4:$M$22,C66)&gt;0,"The Works",
IF(COUNTIF('Queen Discography'!$N$4:$N$22,C66)&gt;0,"A Kind Of Magic",
IF(COUNTIF('Queen Discography'!$O$4:$O$22,C66)&gt;0,"The Miracle",
IF(COUNTIF('Queen Discography'!$P$4:$P$22,C66)&gt;0,"Innuendo",
IF(COUNTIF('Queen Discography'!$Q$4:$Q$22,C66)&gt;0,"Made In Heaven","NOT FOUND")))))))))))))))</f>
        <v>News Of The World</v>
      </c>
      <c r="I66" s="1"/>
      <c r="J66" s="1"/>
      <c r="K66" s="1"/>
      <c r="L66" s="1"/>
      <c r="M66" s="87"/>
      <c r="N66" s="87"/>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row>
    <row r="67">
      <c r="A67" s="1"/>
      <c r="B67" s="19"/>
      <c r="C67" s="1"/>
      <c r="D67" s="1"/>
      <c r="E67" s="1"/>
      <c r="F67" s="1"/>
      <c r="G67" s="114"/>
      <c r="H67" s="1"/>
      <c r="I67" s="1"/>
      <c r="J67" s="1"/>
      <c r="K67" s="1"/>
      <c r="L67" s="1"/>
      <c r="M67" s="87"/>
      <c r="N67" s="87"/>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row>
  </sheetData>
  <autoFilter ref="$C$3:$H$66">
    <sortState ref="C3:H66">
      <sortCondition ref="D3:D66"/>
      <sortCondition ref="G3:G66"/>
      <sortCondition ref="H3:H66"/>
    </sortState>
  </autoFilter>
  <mergeCells count="3">
    <mergeCell ref="C2:H2"/>
    <mergeCell ref="J2:BD2"/>
    <mergeCell ref="B4:B66"/>
  </mergeCells>
  <conditionalFormatting sqref="J4:BD21">
    <cfRule type="expression" dxfId="16" priority="1">
      <formula>$BD4=0</formula>
    </cfRule>
  </conditionalFormatting>
  <conditionalFormatting sqref="AF4:AU21">
    <cfRule type="expression" dxfId="17" priority="2">
      <formula>AND(AF4:AU4=MAX($AF4:$AU4),$BD4&lt;2)</formula>
    </cfRule>
  </conditionalFormatting>
  <conditionalFormatting sqref="P4:AE21">
    <cfRule type="expression" dxfId="18" priority="3">
      <formula>AND(P4:AE4=MAX($P4:$AE4),$BD4&lt;2)</formula>
    </cfRule>
  </conditionalFormatting>
  <conditionalFormatting sqref="J4:BD21">
    <cfRule type="expression" dxfId="19" priority="4">
      <formula>$BD4&lt;2</formula>
    </cfRule>
  </conditionalFormatting>
  <conditionalFormatting sqref="P4:AE21">
    <cfRule type="expression" dxfId="20" priority="5">
      <formula>P4:AE4=MAX($P4:$AE4)</formula>
    </cfRule>
  </conditionalFormatting>
  <conditionalFormatting sqref="AF4:AU21">
    <cfRule type="expression" dxfId="21" priority="6">
      <formula>AF4:AU4=MAX($AF4:$AU4)</formula>
    </cfRule>
  </conditionalFormatting>
  <conditionalFormatting sqref="C4:H66">
    <cfRule type="expression" dxfId="0" priority="7">
      <formula>$H4="NOT FOUND"</formula>
    </cfRule>
  </conditionalFormatting>
  <conditionalFormatting sqref="C4:H66">
    <cfRule type="expression" dxfId="1" priority="8">
      <formula>$H4="Queen"</formula>
    </cfRule>
  </conditionalFormatting>
  <conditionalFormatting sqref="C4:H66">
    <cfRule type="expression" dxfId="2" priority="9">
      <formula>$H4="Queen II"</formula>
    </cfRule>
  </conditionalFormatting>
  <conditionalFormatting sqref="C4:H66">
    <cfRule type="expression" dxfId="3" priority="10">
      <formula>$H4="Sheer Heart Attack"</formula>
    </cfRule>
  </conditionalFormatting>
  <conditionalFormatting sqref="C4:H66">
    <cfRule type="expression" dxfId="4" priority="11">
      <formula>$H4="A Night At The Opera"</formula>
    </cfRule>
  </conditionalFormatting>
  <conditionalFormatting sqref="C4:H66">
    <cfRule type="expression" dxfId="5" priority="12">
      <formula>$H4="A Day At The Races"</formula>
    </cfRule>
  </conditionalFormatting>
  <conditionalFormatting sqref="C4:H66">
    <cfRule type="expression" dxfId="6" priority="13">
      <formula>$H4="News Of The World"</formula>
    </cfRule>
  </conditionalFormatting>
  <conditionalFormatting sqref="C4:H66">
    <cfRule type="expression" dxfId="7" priority="14">
      <formula>$H4="Jazz"</formula>
    </cfRule>
  </conditionalFormatting>
  <conditionalFormatting sqref="C4:H66">
    <cfRule type="expression" dxfId="8" priority="15">
      <formula>$H4="The Game"</formula>
    </cfRule>
  </conditionalFormatting>
  <conditionalFormatting sqref="C4:H66">
    <cfRule type="expression" dxfId="9" priority="16">
      <formula>$H4="Flash Gordon"</formula>
    </cfRule>
  </conditionalFormatting>
  <conditionalFormatting sqref="C4:H66">
    <cfRule type="expression" dxfId="10" priority="17">
      <formula>$H4="Hot Space"</formula>
    </cfRule>
  </conditionalFormatting>
  <conditionalFormatting sqref="C4:H66">
    <cfRule type="expression" dxfId="11" priority="18">
      <formula>$H4="The Works"</formula>
    </cfRule>
  </conditionalFormatting>
  <conditionalFormatting sqref="C4:H66">
    <cfRule type="expression" dxfId="12" priority="19">
      <formula>$H4="A Kind Of Magic"</formula>
    </cfRule>
  </conditionalFormatting>
  <conditionalFormatting sqref="C4:H66">
    <cfRule type="expression" dxfId="13" priority="20">
      <formula>$H4="The Miracle"</formula>
    </cfRule>
  </conditionalFormatting>
  <conditionalFormatting sqref="C4:H66">
    <cfRule type="expression" dxfId="14" priority="21">
      <formula>$H4="Innuendo"</formula>
    </cfRule>
  </conditionalFormatting>
  <conditionalFormatting sqref="C4:H66">
    <cfRule type="expression" dxfId="15" priority="22">
      <formula>$H4="Made In Heaven"</formula>
    </cfRule>
  </conditionalFormatting>
  <conditionalFormatting sqref="G4:H4">
    <cfRule type="expression" dxfId="0" priority="23">
      <formula>$H4="NOT FOUND"</formula>
    </cfRule>
  </conditionalFormatting>
  <printOptions gridLines="1" horizontalCentered="1"/>
  <pageMargins bottom="0.75" footer="0.0" header="0.0" left="0.25" right="0.25" top="0.75"/>
  <pageSetup orientation="landscape" pageOrder="overThenDown" paperHeight="16in" paperWidth="16in"/>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pane xSplit="2.0" topLeftCell="C1" activePane="topRight" state="frozen"/>
      <selection activeCell="D2" sqref="D2" pane="topRight"/>
    </sheetView>
  </sheetViews>
  <sheetFormatPr customHeight="1" defaultColWidth="12.63" defaultRowHeight="15.0" outlineLevelCol="1"/>
  <cols>
    <col customWidth="1" min="1" max="1" width="2.75"/>
    <col customWidth="1" min="3" max="3" width="24.63"/>
    <col collapsed="1" customWidth="1" min="4" max="4" width="2.5"/>
    <col customWidth="1" hidden="1" min="5" max="5" width="2.5" outlineLevel="1"/>
    <col customWidth="1" hidden="1" min="6" max="6" width="30.25" outlineLevel="1"/>
    <col customWidth="1" min="7" max="7" width="6.75"/>
    <col customWidth="1" min="8" max="8" width="16.75"/>
    <col customWidth="1" min="9" max="9" width="2.75"/>
    <col customWidth="1" min="10" max="10" width="6.38"/>
    <col customWidth="1" min="11" max="14" width="5.75"/>
    <col collapsed="1" customWidth="1" min="15" max="15" width="5.75"/>
    <col customWidth="1" hidden="1" min="16" max="47" width="5.75" outlineLevel="1"/>
    <col customWidth="1" min="48" max="48" width="17.63"/>
    <col customWidth="1" min="49" max="50" width="6.38"/>
    <col customWidth="1" min="51" max="51" width="15.38"/>
    <col customWidth="1" min="52" max="54" width="6.38"/>
    <col customWidth="1" min="55" max="56" width="5.75"/>
    <col customWidth="1" min="57" max="57" width="2.75"/>
  </cols>
  <sheetData>
    <row r="1">
      <c r="A1" s="1" t="s">
        <v>0</v>
      </c>
      <c r="B1" s="1"/>
      <c r="C1" s="1"/>
      <c r="D1" s="1"/>
      <c r="E1" s="1"/>
      <c r="F1" s="1"/>
      <c r="G1" s="114"/>
      <c r="H1" s="1"/>
      <c r="I1" s="1"/>
      <c r="J1" s="1"/>
      <c r="K1" s="1"/>
      <c r="L1" s="1"/>
      <c r="M1" s="1"/>
      <c r="N1" s="87"/>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ht="31.5" customHeight="1">
      <c r="A2" s="2"/>
      <c r="B2" s="56"/>
      <c r="C2" s="175" t="s">
        <v>425</v>
      </c>
      <c r="I2" s="19"/>
      <c r="J2" s="176" t="s">
        <v>337</v>
      </c>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19"/>
    </row>
    <row r="3" ht="31.5" customHeight="1">
      <c r="A3" s="2"/>
      <c r="B3" s="60"/>
      <c r="C3" s="61" t="s">
        <v>185</v>
      </c>
      <c r="D3" s="61" t="s">
        <v>338</v>
      </c>
      <c r="E3" s="61" t="s">
        <v>339</v>
      </c>
      <c r="F3" s="61" t="s">
        <v>186</v>
      </c>
      <c r="G3" s="61" t="s">
        <v>340</v>
      </c>
      <c r="H3" s="61" t="s">
        <v>187</v>
      </c>
      <c r="I3" s="36"/>
      <c r="J3" s="62" t="s">
        <v>341</v>
      </c>
      <c r="K3" s="62" t="s">
        <v>342</v>
      </c>
      <c r="L3" s="62" t="s">
        <v>343</v>
      </c>
      <c r="M3" s="62" t="s">
        <v>344</v>
      </c>
      <c r="N3" s="62" t="s">
        <v>345</v>
      </c>
      <c r="O3" s="62" t="s">
        <v>346</v>
      </c>
      <c r="P3" s="177" t="str">
        <f t="array" ref="P3:AE3">TRANSPOSE('Queen MIDI'!$H$4:$H$19)</f>
        <v>Queen</v>
      </c>
      <c r="Q3" s="177" t="s">
        <v>2</v>
      </c>
      <c r="R3" s="177" t="s">
        <v>3</v>
      </c>
      <c r="S3" s="177" t="s">
        <v>4</v>
      </c>
      <c r="T3" s="177" t="s">
        <v>5</v>
      </c>
      <c r="U3" s="177" t="s">
        <v>6</v>
      </c>
      <c r="V3" s="177" t="s">
        <v>7</v>
      </c>
      <c r="W3" s="177" t="s">
        <v>8</v>
      </c>
      <c r="X3" s="177" t="s">
        <v>9</v>
      </c>
      <c r="Y3" s="177" t="s">
        <v>10</v>
      </c>
      <c r="Z3" s="177" t="s">
        <v>11</v>
      </c>
      <c r="AA3" s="177" t="s">
        <v>12</v>
      </c>
      <c r="AB3" s="177" t="s">
        <v>13</v>
      </c>
      <c r="AC3" s="177" t="s">
        <v>14</v>
      </c>
      <c r="AD3" s="177" t="s">
        <v>15</v>
      </c>
      <c r="AE3" s="177" t="s">
        <v>227</v>
      </c>
      <c r="AF3" s="177" t="str">
        <f t="array" ref="AF3:AU3">TRANSPOSE('Queen MIDI'!$H$4:$H$19)</f>
        <v>Queen</v>
      </c>
      <c r="AG3" s="177" t="s">
        <v>2</v>
      </c>
      <c r="AH3" s="177" t="s">
        <v>3</v>
      </c>
      <c r="AI3" s="177" t="s">
        <v>4</v>
      </c>
      <c r="AJ3" s="177" t="s">
        <v>5</v>
      </c>
      <c r="AK3" s="177" t="s">
        <v>6</v>
      </c>
      <c r="AL3" s="177" t="s">
        <v>7</v>
      </c>
      <c r="AM3" s="177" t="s">
        <v>8</v>
      </c>
      <c r="AN3" s="177" t="s">
        <v>9</v>
      </c>
      <c r="AO3" s="177" t="s">
        <v>10</v>
      </c>
      <c r="AP3" s="177" t="s">
        <v>11</v>
      </c>
      <c r="AQ3" s="177" t="s">
        <v>12</v>
      </c>
      <c r="AR3" s="177" t="s">
        <v>13</v>
      </c>
      <c r="AS3" s="177" t="s">
        <v>14</v>
      </c>
      <c r="AT3" s="177" t="s">
        <v>15</v>
      </c>
      <c r="AU3" s="177" t="s">
        <v>227</v>
      </c>
      <c r="AV3" s="62" t="s">
        <v>347</v>
      </c>
      <c r="AW3" s="62" t="s">
        <v>348</v>
      </c>
      <c r="AX3" s="62" t="s">
        <v>349</v>
      </c>
      <c r="AY3" s="62" t="s">
        <v>350</v>
      </c>
      <c r="AZ3" s="62" t="s">
        <v>351</v>
      </c>
      <c r="BA3" s="62" t="s">
        <v>352</v>
      </c>
      <c r="BB3" s="62" t="s">
        <v>353</v>
      </c>
      <c r="BC3" s="62" t="s">
        <v>354</v>
      </c>
      <c r="BD3" s="62" t="s">
        <v>355</v>
      </c>
      <c r="BE3" s="36"/>
    </row>
    <row r="4">
      <c r="A4" s="1"/>
      <c r="B4" s="56" t="str">
        <f>CONCATENATE("Songs",CHAR(10),"(",COUNTA(C4:C66),")")</f>
        <v>Songs
(63)</v>
      </c>
      <c r="C4" s="66" t="str">
        <f t="array" ref="C4">INDEX('Queen MIDI'!$C$4:$C$66,MATCH(F4,'Queen MIDI'!$D$4:$D$66,0))</f>
        <v>Another One Bites The Dust</v>
      </c>
      <c r="D4" s="117">
        <v>0.0</v>
      </c>
      <c r="E4" s="118" t="s">
        <v>381</v>
      </c>
      <c r="F4" s="66" t="str">
        <f t="shared" ref="F4:F66" si="2">RIGHT(E4,LEN(E4)-75)</f>
        <v>Another One Bites The Dust.1.mid</v>
      </c>
      <c r="G4" s="119">
        <f>HLOOKUP(H4,'Queen Discography'!$C$2:$Q$3,2,FALSE)</f>
        <v>1980</v>
      </c>
      <c r="H4" s="66" t="str">
        <f>IF(COUNTIF('Queen Discography'!$C$4:$C$22,C4)&gt;0,"Queen",
IF(COUNTIF('Queen Discography'!$D$4:$D$22,C4)&gt;0,"Queen II",
IF(COUNTIF('Queen Discography'!$E$4:$E$22,C4)&gt;0,"Sheer Heart Attack",
IF(COUNTIF('Queen Discography'!$F$4:$F$22,C4)&gt;0,"A Night At The Opera",
IF(COUNTIF('Queen Discography'!$G$4:$G$22,C4)&gt;0,"A Day At The Races",
IF(COUNTIF('Queen Discography'!$H$4:$H$22,C4)&gt;0,"News Of The World",
IF(COUNTIF('Queen Discography'!$I$4:$I$22,C4)&gt;0,"Jazz",
IF(COUNTIF('Queen Discography'!$J$4:$J$22,C4)&gt;0,"The Game",
IF(COUNTIF('Queen Discography'!$K$4:$K$22,C4)&gt;0,"Flash Gordon",
IF(COUNTIF('Queen Discography'!$L$4:$L$22,C4)&gt;0,"Hot Space",
IF(COUNTIF('Queen Discography'!$M$4:$M$22,C4)&gt;0,"The Works",
IF(COUNTIF('Queen Discography'!$N$4:$N$22,C4)&gt;0,"A Kind Of Magic",
IF(COUNTIF('Queen Discography'!$O$4:$O$22,C4)&gt;0,"The Miracle",
IF(COUNTIF('Queen Discography'!$P$4:$P$22,C4)&gt;0,"Innuendo",
IF(COUNTIF('Queen Discography'!$Q$4:$Q$22,C4)&gt;0,"Made In Heaven","NOT FOUND")))))))))))))))</f>
        <v>The Game</v>
      </c>
      <c r="I4" s="1"/>
      <c r="J4" s="178">
        <v>0.0</v>
      </c>
      <c r="K4" s="106">
        <f>IF(MINIFS($G$4:$G$66,$D$4:$D$66,$J4,$G$4:$G$66,"&lt;&gt;#N/A")=0,"N/A",MINIFS($G$4:$G$66,$D$4:$D$66,$J4,$G$4:$G$66,"&lt;&gt;#N/A"))</f>
        <v>1980</v>
      </c>
      <c r="L4" s="106">
        <f t="shared" ref="L4:L21" si="3">IF(MAXIFS($G$4:$G$66,$D$4:$D$66,$J4,$G$4:$G$66,"&lt;&gt;#N/A")=0,"N/A",MAXIFS($G$4:$G$66,$D$4:$D$66,$J4,$G$4:$G$66,"&lt;&gt;#N/A"))</f>
        <v>1980</v>
      </c>
      <c r="M4" s="106">
        <f t="shared" ref="M4:M21" si="4">IFERROR(ROUND(AVERAGEIFS($G$4:$G$66,$D$4:$D$66,$J4,$G$4:$G$66,"&lt;&gt;#N/A"),0),"N/A")</f>
        <v>1980</v>
      </c>
      <c r="N4" s="106">
        <f>IFERROR(__xludf.DUMMYFUNCTION("IFERROR(MEDIAN(FILTER($G$4:$G$66,$D$4:$D$66=$J4,ISNUMBER($G$4:$G$66))),""N/A"")"),1980.0)</f>
        <v>1980</v>
      </c>
      <c r="O4" s="106" t="str">
        <f>IFERROR(__xludf.DUMMYFUNCTION("IFERROR(MODE(FILTER($G$4:$G$66,$D$4:$D$66=$J4,ISNUMBER($G$4:$G$66))),""N/A"")"),"N/A")</f>
        <v>N/A</v>
      </c>
      <c r="P4" s="106">
        <f t="shared" ref="P4:AE4" si="1">COUNTIFS($H$4:$H$66,P$3,$D$4:$D$66,$J4)</f>
        <v>0</v>
      </c>
      <c r="Q4" s="106">
        <f t="shared" si="1"/>
        <v>0</v>
      </c>
      <c r="R4" s="106">
        <f t="shared" si="1"/>
        <v>0</v>
      </c>
      <c r="S4" s="106">
        <f t="shared" si="1"/>
        <v>0</v>
      </c>
      <c r="T4" s="106">
        <f t="shared" si="1"/>
        <v>0</v>
      </c>
      <c r="U4" s="106">
        <f t="shared" si="1"/>
        <v>0</v>
      </c>
      <c r="V4" s="106">
        <f t="shared" si="1"/>
        <v>0</v>
      </c>
      <c r="W4" s="106">
        <f t="shared" si="1"/>
        <v>1</v>
      </c>
      <c r="X4" s="106">
        <f t="shared" si="1"/>
        <v>0</v>
      </c>
      <c r="Y4" s="106">
        <f t="shared" si="1"/>
        <v>0</v>
      </c>
      <c r="Z4" s="106">
        <f t="shared" si="1"/>
        <v>0</v>
      </c>
      <c r="AA4" s="106">
        <f t="shared" si="1"/>
        <v>0</v>
      </c>
      <c r="AB4" s="106">
        <f t="shared" si="1"/>
        <v>0</v>
      </c>
      <c r="AC4" s="106">
        <f t="shared" si="1"/>
        <v>0</v>
      </c>
      <c r="AD4" s="106">
        <f t="shared" si="1"/>
        <v>0</v>
      </c>
      <c r="AE4" s="106">
        <f t="shared" si="1"/>
        <v>0</v>
      </c>
      <c r="AF4" s="179">
        <f t="array" ref="AF4:AU4">IFERROR(P4:AE4*TRANSPOSE('Queen MIDI'!$J$4:$J$19),"N/A")</f>
        <v>0</v>
      </c>
      <c r="AG4" s="179">
        <v>0.0</v>
      </c>
      <c r="AH4" s="179">
        <v>0.0</v>
      </c>
      <c r="AI4" s="179">
        <v>0.0</v>
      </c>
      <c r="AJ4" s="179">
        <v>0.0</v>
      </c>
      <c r="AK4" s="179">
        <v>0.0</v>
      </c>
      <c r="AL4" s="179">
        <v>0.0</v>
      </c>
      <c r="AM4" s="179">
        <v>0.984375</v>
      </c>
      <c r="AN4" s="179" t="s">
        <v>357</v>
      </c>
      <c r="AO4" s="179">
        <v>0.0</v>
      </c>
      <c r="AP4" s="179">
        <v>0.0</v>
      </c>
      <c r="AQ4" s="180">
        <v>0.0</v>
      </c>
      <c r="AR4" s="180">
        <v>0.0</v>
      </c>
      <c r="AS4" s="180">
        <v>0.0</v>
      </c>
      <c r="AT4" s="179">
        <v>0.0</v>
      </c>
      <c r="AU4" s="179">
        <v>0.0</v>
      </c>
      <c r="AV4" s="106" t="str">
        <f>IFERROR(__xludf.DUMMYFUNCTION("JOIN("", "",FILTER($P$3:$AE$3,$P4:$AE4=MAX($P4:$AE4)))"),"The Game")</f>
        <v>The Game</v>
      </c>
      <c r="AW4" s="106">
        <f t="shared" ref="AW4:AW21" si="6">MAX($P4:$AE4)</f>
        <v>1</v>
      </c>
      <c r="AX4" s="106">
        <f>IFERROR(__xludf.DUMMYFUNCTION("COUNTA(FILTER($P$3:$AE$3,$P4:$AE4=MAX($P4:$AE4)))"),1.0)</f>
        <v>1</v>
      </c>
      <c r="AY4" s="106" t="str">
        <f>IFERROR(__xludf.DUMMYFUNCTION("IFERROR(JOIN("", "",FILTER($AF$3:$AU$3,$AF4:$AU4=MAXIFS($AF4:$AU4,$AF$23:$AU$23,TRUE),$AF$23:$AU$23)),""N/A"")"),"The Game")</f>
        <v>The Game</v>
      </c>
      <c r="AZ4" s="181" t="str">
        <f>IFERROR(__xludf.DUMMYFUNCTION("IFERROR(JOIN("", "",FILTER($P4:$AE4,$AF4:$AU4=MAXIFS($AF4:$AU4,$AF$23:$AU$23,TRUE),$AF$23:$AU$23)),""N/A"")"),"1")</f>
        <v>1</v>
      </c>
      <c r="BA4" s="182">
        <f>MAXIFS(AF4:AU4,$AF$23:$AU$23,TRUE)/'Queen MIDI'!$J$20</f>
        <v>0.25</v>
      </c>
      <c r="BB4" s="183">
        <f>IFERROR(__xludf.DUMMYFUNCTION("COUNTA(IFERROR(FILTER($AF$3:$AU$3,$AF4:$AU4=MAXIFS($AF4:$AU4,$AF$23:$AU$23,TRUE),$AF$23:$AU$23),))"),1.0)</f>
        <v>1</v>
      </c>
      <c r="BC4" s="182">
        <f t="shared" ref="BC4:BC21" si="7">$BD4/$BD$22</f>
        <v>0.01587301587</v>
      </c>
      <c r="BD4" s="106">
        <f t="shared" ref="BD4:BD21" si="8">COUNTIF($D$4:$D$66,J4)</f>
        <v>1</v>
      </c>
      <c r="BE4" s="1"/>
    </row>
    <row r="5">
      <c r="A5" s="1"/>
      <c r="C5" s="66" t="str">
        <f t="array" ref="C5">INDEX('Queen MIDI'!$C$4:$C$66,MATCH(F5,'Queen MIDI'!$D$4:$D$66,0))</f>
        <v>Nevermore</v>
      </c>
      <c r="D5" s="117">
        <v>1.0</v>
      </c>
      <c r="E5" s="118" t="s">
        <v>362</v>
      </c>
      <c r="F5" s="66" t="str">
        <f t="shared" si="2"/>
        <v>Never More.mid</v>
      </c>
      <c r="G5" s="128">
        <f>HLOOKUP(H5,'Queen Discography'!$C$2:$Q$3,2,FALSE)</f>
        <v>1974</v>
      </c>
      <c r="H5" s="66" t="str">
        <f>IF(COUNTIF('Queen Discography'!$C$4:$C$22,C5)&gt;0,"Queen",
IF(COUNTIF('Queen Discography'!$D$4:$D$22,C5)&gt;0,"Queen II",
IF(COUNTIF('Queen Discography'!$E$4:$E$22,C5)&gt;0,"Sheer Heart Attack",
IF(COUNTIF('Queen Discography'!$F$4:$F$22,C5)&gt;0,"A Night At The Opera",
IF(COUNTIF('Queen Discography'!$G$4:$G$22,C5)&gt;0,"A Day At The Races",
IF(COUNTIF('Queen Discography'!$H$4:$H$22,C5)&gt;0,"News Of The World",
IF(COUNTIF('Queen Discography'!$I$4:$I$22,C5)&gt;0,"Jazz",
IF(COUNTIF('Queen Discography'!$J$4:$J$22,C5)&gt;0,"The Game",
IF(COUNTIF('Queen Discography'!$K$4:$K$22,C5)&gt;0,"Flash Gordon",
IF(COUNTIF('Queen Discography'!$L$4:$L$22,C5)&gt;0,"Hot Space",
IF(COUNTIF('Queen Discography'!$M$4:$M$22,C5)&gt;0,"The Works",
IF(COUNTIF('Queen Discography'!$N$4:$N$22,C5)&gt;0,"A Kind Of Magic",
IF(COUNTIF('Queen Discography'!$O$4:$O$22,C5)&gt;0,"The Miracle",
IF(COUNTIF('Queen Discography'!$P$4:$P$22,C5)&gt;0,"Innuendo",
IF(COUNTIF('Queen Discography'!$Q$4:$Q$22,C5)&gt;0,"Made In Heaven","NOT FOUND")))))))))))))))</f>
        <v>Queen II</v>
      </c>
      <c r="I5" s="1"/>
      <c r="J5" s="178">
        <v>1.0</v>
      </c>
      <c r="K5" s="106">
        <f t="shared" ref="K5:K21" si="9">IF(MINIFS($G$4:$G$66,$D$4:$D$66,J5,$G$4:$G$66,"&lt;&gt;#N/A")=0,"N/A",MINIFS($G$4:$G$66,$D$4:$D$66,J5,$G$4:$G$66,"&lt;&gt;#N/A"))</f>
        <v>1974</v>
      </c>
      <c r="L5" s="106">
        <f t="shared" si="3"/>
        <v>1995</v>
      </c>
      <c r="M5" s="106">
        <f t="shared" si="4"/>
        <v>1982</v>
      </c>
      <c r="N5" s="106">
        <f>IFERROR(ROUND(AVERAGEIFS($G$4:$G$66,$D$4:$D$66,$J5,$G$4:$G$66,"&lt;&gt;#N/A"),0),"N/A")</f>
        <v>1982</v>
      </c>
      <c r="O5" s="106">
        <f>IFERROR(__xludf.DUMMYFUNCTION("IFERROR(MODE(FILTER($G$4:$G$66,$D$4:$D$66=$J5,ISNUMBER($G$4:$G$66))),""N/A"")"),1974.0)</f>
        <v>1974</v>
      </c>
      <c r="P5" s="106">
        <f t="shared" ref="P5:AE5" si="5">COUNTIFS($H$4:$H$66,P$3,$D$4:$D$66,$J5)</f>
        <v>0</v>
      </c>
      <c r="Q5" s="106">
        <f t="shared" si="5"/>
        <v>1</v>
      </c>
      <c r="R5" s="106">
        <f t="shared" si="5"/>
        <v>2</v>
      </c>
      <c r="S5" s="106">
        <f t="shared" si="5"/>
        <v>2</v>
      </c>
      <c r="T5" s="106">
        <f t="shared" si="5"/>
        <v>1</v>
      </c>
      <c r="U5" s="106">
        <f t="shared" si="5"/>
        <v>1</v>
      </c>
      <c r="V5" s="106">
        <f t="shared" si="5"/>
        <v>1</v>
      </c>
      <c r="W5" s="106">
        <f t="shared" si="5"/>
        <v>0</v>
      </c>
      <c r="X5" s="106">
        <f t="shared" si="5"/>
        <v>0</v>
      </c>
      <c r="Y5" s="106">
        <f t="shared" si="5"/>
        <v>0</v>
      </c>
      <c r="Z5" s="106">
        <f t="shared" si="5"/>
        <v>0</v>
      </c>
      <c r="AA5" s="106">
        <f t="shared" si="5"/>
        <v>0</v>
      </c>
      <c r="AB5" s="106">
        <f t="shared" si="5"/>
        <v>2</v>
      </c>
      <c r="AC5" s="106">
        <f t="shared" si="5"/>
        <v>3</v>
      </c>
      <c r="AD5" s="106">
        <f t="shared" si="5"/>
        <v>1</v>
      </c>
      <c r="AE5" s="106">
        <f t="shared" si="5"/>
        <v>0</v>
      </c>
      <c r="AF5" s="179">
        <f t="array" ref="AF5:AU5">IFERROR(P5:AE5*TRANSPOSE('Queen MIDI'!$J$4:$J$19),"N/A")</f>
        <v>0</v>
      </c>
      <c r="AG5" s="179">
        <v>1.3125</v>
      </c>
      <c r="AH5" s="179">
        <v>3.9375</v>
      </c>
      <c r="AI5" s="179">
        <v>1.575</v>
      </c>
      <c r="AJ5" s="179">
        <v>1.3125</v>
      </c>
      <c r="AK5" s="179">
        <v>0.984375</v>
      </c>
      <c r="AL5" s="179">
        <v>0.7875</v>
      </c>
      <c r="AM5" s="179">
        <v>0.0</v>
      </c>
      <c r="AN5" s="179" t="s">
        <v>357</v>
      </c>
      <c r="AO5" s="179">
        <v>0.0</v>
      </c>
      <c r="AP5" s="179">
        <v>0.0</v>
      </c>
      <c r="AQ5" s="179">
        <v>0.0</v>
      </c>
      <c r="AR5" s="179">
        <v>1.575</v>
      </c>
      <c r="AS5" s="179">
        <v>1.3125</v>
      </c>
      <c r="AT5" s="179">
        <v>0.5625</v>
      </c>
      <c r="AU5" s="179">
        <v>0.0</v>
      </c>
      <c r="AV5" s="106" t="str">
        <f>IFERROR(__xludf.DUMMYFUNCTION("JOIN("", "",FILTER($P$3:$AE$3,$P5:$AE5=MAX($P5:$AE5)))"),"Innuendo")</f>
        <v>Innuendo</v>
      </c>
      <c r="AW5" s="106">
        <f t="shared" si="6"/>
        <v>3</v>
      </c>
      <c r="AX5" s="106">
        <f>IFERROR(__xludf.DUMMYFUNCTION("COUNTA(FILTER($P$3:$AE$3,$P5:$AE5=MAX($P5:$AE5)))"),1.0)</f>
        <v>1</v>
      </c>
      <c r="AY5" s="106" t="str">
        <f>IFERROR(__xludf.DUMMYFUNCTION("IFERROR(JOIN("", "",FILTER($AF$3:$AU$3,$AF5:$AU5=MAXIFS($AF5:$AU5,$AF$23:$AU$23,TRUE),$AF$23:$AU$23)),""N/A"")"),"Sheer Heart Attack")</f>
        <v>Sheer Heart Attack</v>
      </c>
      <c r="AZ5" s="171" t="str">
        <f>IFERROR(__xludf.DUMMYFUNCTION("IFERROR(JOIN("", "",FILTER($P5:$AE5,$AF5:$AU5=MAXIFS($AF5:$AU5,$AF$23:$AU$23,TRUE),$AF$23:$AU$23)),""N/A"")"),"2")</f>
        <v>2</v>
      </c>
      <c r="BA5" s="182">
        <f>MAXIFS(AF5:AU5,$AF$23:$AU$23,TRUE)/'Queen MIDI'!$J$20</f>
        <v>1</v>
      </c>
      <c r="BB5" s="183">
        <f>IFERROR(__xludf.DUMMYFUNCTION("COUNTA(IFERROR(FILTER($AF$3:$AU$3,$AF5:$AU5=MAXIFS($AF5:$AU5,$AF$23:$AU$23,TRUE),$AF$23:$AU$23),))"),1.0)</f>
        <v>1</v>
      </c>
      <c r="BC5" s="182">
        <f t="shared" si="7"/>
        <v>0.2222222222</v>
      </c>
      <c r="BD5" s="106">
        <f t="shared" si="8"/>
        <v>14</v>
      </c>
      <c r="BE5" s="1"/>
    </row>
    <row r="6">
      <c r="A6" s="1"/>
      <c r="C6" s="66" t="str">
        <f t="array" ref="C6">INDEX('Queen MIDI'!$C$4:$C$66,MATCH(F6,'Queen MIDI'!$D$4:$D$66,0))</f>
        <v>Killer Queen</v>
      </c>
      <c r="D6" s="117">
        <v>1.0</v>
      </c>
      <c r="E6" s="118" t="s">
        <v>363</v>
      </c>
      <c r="F6" s="66" t="str">
        <f t="shared" si="2"/>
        <v>Killer Queen.1.mid</v>
      </c>
      <c r="G6" s="127">
        <f>HLOOKUP(H6,'Queen Discography'!$C$2:$Q$3,2,FALSE)</f>
        <v>1974</v>
      </c>
      <c r="H6" s="66" t="str">
        <f>IF(COUNTIF('Queen Discography'!$C$4:$C$22,C6)&gt;0,"Queen",
IF(COUNTIF('Queen Discography'!$D$4:$D$22,C6)&gt;0,"Queen II",
IF(COUNTIF('Queen Discography'!$E$4:$E$22,C6)&gt;0,"Sheer Heart Attack",
IF(COUNTIF('Queen Discography'!$F$4:$F$22,C6)&gt;0,"A Night At The Opera",
IF(COUNTIF('Queen Discography'!$G$4:$G$22,C6)&gt;0,"A Day At The Races",
IF(COUNTIF('Queen Discography'!$H$4:$H$22,C6)&gt;0,"News Of The World",
IF(COUNTIF('Queen Discography'!$I$4:$I$22,C6)&gt;0,"Jazz",
IF(COUNTIF('Queen Discography'!$J$4:$J$22,C6)&gt;0,"The Game",
IF(COUNTIF('Queen Discography'!$K$4:$K$22,C6)&gt;0,"Flash Gordon",
IF(COUNTIF('Queen Discography'!$L$4:$L$22,C6)&gt;0,"Hot Space",
IF(COUNTIF('Queen Discography'!$M$4:$M$22,C6)&gt;0,"The Works",
IF(COUNTIF('Queen Discography'!$N$4:$N$22,C6)&gt;0,"A Kind Of Magic",
IF(COUNTIF('Queen Discography'!$O$4:$O$22,C6)&gt;0,"The Miracle",
IF(COUNTIF('Queen Discography'!$P$4:$P$22,C6)&gt;0,"Innuendo",
IF(COUNTIF('Queen Discography'!$Q$4:$Q$22,C6)&gt;0,"Made In Heaven","NOT FOUND")))))))))))))))</f>
        <v>Sheer Heart Attack</v>
      </c>
      <c r="I6" s="1"/>
      <c r="J6" s="178">
        <v>2.0</v>
      </c>
      <c r="K6" s="106">
        <f t="shared" si="9"/>
        <v>1991</v>
      </c>
      <c r="L6" s="106">
        <f t="shared" si="3"/>
        <v>1991</v>
      </c>
      <c r="M6" s="106">
        <f t="shared" si="4"/>
        <v>1991</v>
      </c>
      <c r="N6" s="106">
        <f>IFERROR(__xludf.DUMMYFUNCTION("IFERROR(MEDIAN(FILTER($G$4:$G$66,$D$4:$D$66=$J6,ISNUMBER($G$4:$G$66))),""N/A"")"),1991.0)</f>
        <v>1991</v>
      </c>
      <c r="O6" s="106" t="str">
        <f>IFERROR(__xludf.DUMMYFUNCTION("IFERROR(MODE(FILTER($G$4:$G$66,$D$4:$D$66=$J6,ISNUMBER($G$4:$G$66))),""N/A"")"),"N/A")</f>
        <v>N/A</v>
      </c>
      <c r="P6" s="106">
        <f t="shared" ref="P6:AE6" si="10">COUNTIFS($H$4:$H$66,P$3,$D$4:$D$66,$J6)</f>
        <v>0</v>
      </c>
      <c r="Q6" s="106">
        <f t="shared" si="10"/>
        <v>0</v>
      </c>
      <c r="R6" s="106">
        <f t="shared" si="10"/>
        <v>0</v>
      </c>
      <c r="S6" s="106">
        <f t="shared" si="10"/>
        <v>0</v>
      </c>
      <c r="T6" s="106">
        <f t="shared" si="10"/>
        <v>0</v>
      </c>
      <c r="U6" s="106">
        <f t="shared" si="10"/>
        <v>0</v>
      </c>
      <c r="V6" s="106">
        <f t="shared" si="10"/>
        <v>0</v>
      </c>
      <c r="W6" s="106">
        <f t="shared" si="10"/>
        <v>0</v>
      </c>
      <c r="X6" s="106">
        <f t="shared" si="10"/>
        <v>0</v>
      </c>
      <c r="Y6" s="106">
        <f t="shared" si="10"/>
        <v>0</v>
      </c>
      <c r="Z6" s="106">
        <f t="shared" si="10"/>
        <v>0</v>
      </c>
      <c r="AA6" s="106">
        <f t="shared" si="10"/>
        <v>0</v>
      </c>
      <c r="AB6" s="106">
        <f t="shared" si="10"/>
        <v>0</v>
      </c>
      <c r="AC6" s="106">
        <f t="shared" si="10"/>
        <v>1</v>
      </c>
      <c r="AD6" s="106">
        <f t="shared" si="10"/>
        <v>0</v>
      </c>
      <c r="AE6" s="106">
        <f t="shared" si="10"/>
        <v>0</v>
      </c>
      <c r="AF6" s="179">
        <f t="array" ref="AF6:AU6">IFERROR(P6:AE6*TRANSPOSE('Queen MIDI'!$J$4:$J$19),"N/A")</f>
        <v>0</v>
      </c>
      <c r="AG6" s="179">
        <v>0.0</v>
      </c>
      <c r="AH6" s="179">
        <v>0.0</v>
      </c>
      <c r="AI6" s="179">
        <v>0.0</v>
      </c>
      <c r="AJ6" s="179">
        <v>0.0</v>
      </c>
      <c r="AK6" s="179">
        <v>0.0</v>
      </c>
      <c r="AL6" s="179">
        <v>0.0</v>
      </c>
      <c r="AM6" s="179">
        <v>0.0</v>
      </c>
      <c r="AN6" s="179" t="s">
        <v>357</v>
      </c>
      <c r="AO6" s="179">
        <v>0.0</v>
      </c>
      <c r="AP6" s="179">
        <v>0.0</v>
      </c>
      <c r="AQ6" s="179">
        <v>0.0</v>
      </c>
      <c r="AR6" s="179">
        <v>0.0</v>
      </c>
      <c r="AS6" s="179">
        <v>0.4375</v>
      </c>
      <c r="AT6" s="179">
        <v>0.0</v>
      </c>
      <c r="AU6" s="179">
        <v>0.0</v>
      </c>
      <c r="AV6" s="106" t="str">
        <f>IFERROR(__xludf.DUMMYFUNCTION("JOIN("", "",FILTER($P$3:$AE$3,$P6:$AE6=MAX($P6:$AE6)))"),"Innuendo")</f>
        <v>Innuendo</v>
      </c>
      <c r="AW6" s="106">
        <f t="shared" si="6"/>
        <v>1</v>
      </c>
      <c r="AX6" s="106">
        <f>IFERROR(__xludf.DUMMYFUNCTION("COUNTA(FILTER($P$3:$AE$3,$P6:$AE6=MAX($P6:$AE6)))"),1.0)</f>
        <v>1</v>
      </c>
      <c r="AY6" s="106" t="str">
        <f>IFERROR(__xludf.DUMMYFUNCTION("IFERROR(JOIN("", "",FILTER($AF$3:$AU$3,$AF6:$AU6=MAXIFS($AF6:$AU6,$AF$23:$AU$23,TRUE),$AF$23:$AU$23)),""N/A"")"),"Innuendo")</f>
        <v>Innuendo</v>
      </c>
      <c r="AZ6" s="171" t="str">
        <f>IFERROR(__xludf.DUMMYFUNCTION("IFERROR(JOIN("", "",FILTER($P6:$AE6,$AF6:$AU6=MAXIFS($AF6:$AU6,$AF$23:$AU$23,TRUE),$AF$23:$AU$23)),""N/A"")"),"1")</f>
        <v>1</v>
      </c>
      <c r="BA6" s="182">
        <f>MAXIFS(AF6:AU6,$AF$23:$AU$23,TRUE)/'Queen MIDI'!$J$20</f>
        <v>0.1111111111</v>
      </c>
      <c r="BB6" s="183">
        <f>IFERROR(__xludf.DUMMYFUNCTION("COUNTA(IFERROR(FILTER($AF$3:$AU$3,$AF6:$AU6=MAXIFS($AF6:$AU6,$AF$23:$AU$23,TRUE),$AF$23:$AU$23),))"),1.0)</f>
        <v>1</v>
      </c>
      <c r="BC6" s="182">
        <f t="shared" si="7"/>
        <v>0.01587301587</v>
      </c>
      <c r="BD6" s="106">
        <f t="shared" si="8"/>
        <v>1</v>
      </c>
      <c r="BE6" s="1"/>
    </row>
    <row r="7">
      <c r="A7" s="1"/>
      <c r="C7" s="66" t="str">
        <f t="array" ref="C7">INDEX('Queen MIDI'!$C$4:$C$66,MATCH(F7,'Queen MIDI'!$D$4:$D$66,0))</f>
        <v>Now I'm Here</v>
      </c>
      <c r="D7" s="117">
        <v>1.0</v>
      </c>
      <c r="E7" s="118" t="s">
        <v>364</v>
      </c>
      <c r="F7" s="66" t="str">
        <f t="shared" si="2"/>
        <v>Now I_m Here.4.mid</v>
      </c>
      <c r="G7" s="128">
        <f>HLOOKUP(H7,'Queen Discography'!$C$2:$Q$3,2,FALSE)</f>
        <v>1974</v>
      </c>
      <c r="H7" s="66" t="str">
        <f>IF(COUNTIF('Queen Discography'!$C$4:$C$22,C7)&gt;0,"Queen",
IF(COUNTIF('Queen Discography'!$D$4:$D$22,C7)&gt;0,"Queen II",
IF(COUNTIF('Queen Discography'!$E$4:$E$22,C7)&gt;0,"Sheer Heart Attack",
IF(COUNTIF('Queen Discography'!$F$4:$F$22,C7)&gt;0,"A Night At The Opera",
IF(COUNTIF('Queen Discography'!$G$4:$G$22,C7)&gt;0,"A Day At The Races",
IF(COUNTIF('Queen Discography'!$H$4:$H$22,C7)&gt;0,"News Of The World",
IF(COUNTIF('Queen Discography'!$I$4:$I$22,C7)&gt;0,"Jazz",
IF(COUNTIF('Queen Discography'!$J$4:$J$22,C7)&gt;0,"The Game",
IF(COUNTIF('Queen Discography'!$K$4:$K$22,C7)&gt;0,"Flash Gordon",
IF(COUNTIF('Queen Discography'!$L$4:$L$22,C7)&gt;0,"Hot Space",
IF(COUNTIF('Queen Discography'!$M$4:$M$22,C7)&gt;0,"The Works",
IF(COUNTIF('Queen Discography'!$N$4:$N$22,C7)&gt;0,"A Kind Of Magic",
IF(COUNTIF('Queen Discography'!$O$4:$O$22,C7)&gt;0,"The Miracle",
IF(COUNTIF('Queen Discography'!$P$4:$P$22,C7)&gt;0,"Innuendo",
IF(COUNTIF('Queen Discography'!$Q$4:$Q$22,C7)&gt;0,"Made In Heaven","NOT FOUND")))))))))))))))</f>
        <v>Sheer Heart Attack</v>
      </c>
      <c r="I7" s="1"/>
      <c r="J7" s="178">
        <v>3.0</v>
      </c>
      <c r="K7" s="106">
        <f t="shared" si="9"/>
        <v>1975</v>
      </c>
      <c r="L7" s="106">
        <f t="shared" si="3"/>
        <v>1995</v>
      </c>
      <c r="M7" s="106">
        <f t="shared" si="4"/>
        <v>1983</v>
      </c>
      <c r="N7" s="106">
        <f>IFERROR(__xludf.DUMMYFUNCTION("IFERROR(MEDIAN(FILTER($G$4:$G$66,$D$4:$D$66=$J7,ISNUMBER($G$4:$G$66))),""N/A"")"),1984.0)</f>
        <v>1984</v>
      </c>
      <c r="O7" s="106">
        <f>IFERROR(__xludf.DUMMYFUNCTION("IFERROR(MODE(FILTER($G$4:$G$66,$D$4:$D$66=$J7,ISNUMBER($G$4:$G$66))),""N/A"")"),1984.0)</f>
        <v>1984</v>
      </c>
      <c r="P7" s="106">
        <f t="shared" ref="P7:AE7" si="11">COUNTIFS($H$4:$H$66,P$3,$D$4:$D$66,$J7)</f>
        <v>0</v>
      </c>
      <c r="Q7" s="106">
        <f t="shared" si="11"/>
        <v>0</v>
      </c>
      <c r="R7" s="106">
        <f t="shared" si="11"/>
        <v>0</v>
      </c>
      <c r="S7" s="106">
        <f t="shared" si="11"/>
        <v>1</v>
      </c>
      <c r="T7" s="106">
        <f t="shared" si="11"/>
        <v>1</v>
      </c>
      <c r="U7" s="106">
        <f t="shared" si="11"/>
        <v>0</v>
      </c>
      <c r="V7" s="106">
        <f t="shared" si="11"/>
        <v>1</v>
      </c>
      <c r="W7" s="106">
        <f t="shared" si="11"/>
        <v>1</v>
      </c>
      <c r="X7" s="106">
        <f t="shared" si="11"/>
        <v>0</v>
      </c>
      <c r="Y7" s="106">
        <f t="shared" si="11"/>
        <v>0</v>
      </c>
      <c r="Z7" s="106">
        <f t="shared" si="11"/>
        <v>2</v>
      </c>
      <c r="AA7" s="106">
        <f t="shared" si="11"/>
        <v>2</v>
      </c>
      <c r="AB7" s="106">
        <f t="shared" si="11"/>
        <v>0</v>
      </c>
      <c r="AC7" s="106">
        <f t="shared" si="11"/>
        <v>0</v>
      </c>
      <c r="AD7" s="106">
        <f t="shared" si="11"/>
        <v>1</v>
      </c>
      <c r="AE7" s="106">
        <f t="shared" si="11"/>
        <v>0</v>
      </c>
      <c r="AF7" s="179">
        <f t="array" ref="AF7:AU7">IFERROR(P7:AE7*TRANSPOSE('Queen MIDI'!$J$4:$J$19),"N/A")</f>
        <v>0</v>
      </c>
      <c r="AG7" s="179">
        <v>0.0</v>
      </c>
      <c r="AH7" s="179">
        <v>0.0</v>
      </c>
      <c r="AI7" s="179">
        <v>0.7875</v>
      </c>
      <c r="AJ7" s="179">
        <v>1.3125</v>
      </c>
      <c r="AK7" s="179">
        <v>0.0</v>
      </c>
      <c r="AL7" s="179">
        <v>0.7875</v>
      </c>
      <c r="AM7" s="179">
        <v>0.984375</v>
      </c>
      <c r="AN7" s="179" t="s">
        <v>357</v>
      </c>
      <c r="AO7" s="179">
        <v>0.0</v>
      </c>
      <c r="AP7" s="179">
        <v>1.96875</v>
      </c>
      <c r="AQ7" s="179">
        <v>1.575</v>
      </c>
      <c r="AR7" s="179">
        <v>0.0</v>
      </c>
      <c r="AS7" s="179">
        <v>0.0</v>
      </c>
      <c r="AT7" s="179">
        <v>0.5625</v>
      </c>
      <c r="AU7" s="179">
        <v>0.0</v>
      </c>
      <c r="AV7" s="106" t="str">
        <f>IFERROR(__xludf.DUMMYFUNCTION("JOIN("", "",FILTER($P$3:$AE$3,$P7:$AE7=MAX($P7:$AE7)))"),"The Works, A Kind Of Magic")</f>
        <v>The Works, A Kind Of Magic</v>
      </c>
      <c r="AW7" s="106">
        <f t="shared" si="6"/>
        <v>2</v>
      </c>
      <c r="AX7" s="106">
        <f>IFERROR(__xludf.DUMMYFUNCTION("COUNTA(FILTER($P$3:$AE$3,$P7:$AE7=MAX($P7:$AE7)))"),2.0)</f>
        <v>2</v>
      </c>
      <c r="AY7" s="106" t="str">
        <f>IFERROR(__xludf.DUMMYFUNCTION("IFERROR(JOIN("", "",FILTER($AF$3:$AU$3,$AF7:$AU7=MAXIFS($AF7:$AU7,$AF$23:$AU$23,TRUE),$AF$23:$AU$23)),""N/A"")"),"The Works")</f>
        <v>The Works</v>
      </c>
      <c r="AZ7" s="171" t="str">
        <f>IFERROR(__xludf.DUMMYFUNCTION("IFERROR(JOIN("", "",FILTER($P7:$AE7,$AF7:$AU7=MAXIFS($AF7:$AU7,$AF$23:$AU$23,TRUE),$AF$23:$AU$23)),""N/A"")"),"2")</f>
        <v>2</v>
      </c>
      <c r="BA7" s="182">
        <f>MAXIFS(AF7:AU7,$AF$23:$AU$23,TRUE)/'Queen MIDI'!$J$20</f>
        <v>0.5</v>
      </c>
      <c r="BB7" s="183">
        <f>IFERROR(__xludf.DUMMYFUNCTION("COUNTA(IFERROR(FILTER($AF$3:$AU$3,$AF7:$AU7=MAXIFS($AF7:$AU7,$AF$23:$AU$23,TRUE),$AF$23:$AU$23),))"),1.0)</f>
        <v>1</v>
      </c>
      <c r="BC7" s="182">
        <f t="shared" si="7"/>
        <v>0.1428571429</v>
      </c>
      <c r="BD7" s="106">
        <f t="shared" si="8"/>
        <v>9</v>
      </c>
      <c r="BE7" s="1"/>
    </row>
    <row r="8">
      <c r="A8" s="1"/>
      <c r="C8" s="66" t="str">
        <f t="array" ref="C8">INDEX('Queen MIDI'!$C$4:$C$66,MATCH(F8,'Queen MIDI'!$D$4:$D$66,0))</f>
        <v>Death On Two Legs</v>
      </c>
      <c r="D8" s="117">
        <v>1.0</v>
      </c>
      <c r="E8" s="118" t="s">
        <v>367</v>
      </c>
      <c r="F8" s="66" t="str">
        <f t="shared" si="2"/>
        <v>Death on Two Legs (Dedicated To...).mid</v>
      </c>
      <c r="G8" s="119">
        <f>HLOOKUP(H8,'Queen Discography'!$C$2:$Q$3,2,FALSE)</f>
        <v>1975</v>
      </c>
      <c r="H8" s="66" t="str">
        <f>IF(COUNTIF('Queen Discography'!$C$4:$C$22,C8)&gt;0,"Queen",
IF(COUNTIF('Queen Discography'!$D$4:$D$22,C8)&gt;0,"Queen II",
IF(COUNTIF('Queen Discography'!$E$4:$E$22,C8)&gt;0,"Sheer Heart Attack",
IF(COUNTIF('Queen Discography'!$F$4:$F$22,C8)&gt;0,"A Night At The Opera",
IF(COUNTIF('Queen Discography'!$G$4:$G$22,C8)&gt;0,"A Day At The Races",
IF(COUNTIF('Queen Discography'!$H$4:$H$22,C8)&gt;0,"News Of The World",
IF(COUNTIF('Queen Discography'!$I$4:$I$22,C8)&gt;0,"Jazz",
IF(COUNTIF('Queen Discography'!$J$4:$J$22,C8)&gt;0,"The Game",
IF(COUNTIF('Queen Discography'!$K$4:$K$22,C8)&gt;0,"Flash Gordon",
IF(COUNTIF('Queen Discography'!$L$4:$L$22,C8)&gt;0,"Hot Space",
IF(COUNTIF('Queen Discography'!$M$4:$M$22,C8)&gt;0,"The Works",
IF(COUNTIF('Queen Discography'!$N$4:$N$22,C8)&gt;0,"A Kind Of Magic",
IF(COUNTIF('Queen Discography'!$O$4:$O$22,C8)&gt;0,"The Miracle",
IF(COUNTIF('Queen Discography'!$P$4:$P$22,C8)&gt;0,"Innuendo",
IF(COUNTIF('Queen Discography'!$Q$4:$Q$22,C8)&gt;0,"Made In Heaven","NOT FOUND")))))))))))))))</f>
        <v>A Night At The Opera</v>
      </c>
      <c r="I8" s="1"/>
      <c r="J8" s="178">
        <v>4.0</v>
      </c>
      <c r="K8" s="106">
        <f t="shared" si="9"/>
        <v>1978</v>
      </c>
      <c r="L8" s="106">
        <f t="shared" si="3"/>
        <v>1978</v>
      </c>
      <c r="M8" s="106">
        <f t="shared" si="4"/>
        <v>1978</v>
      </c>
      <c r="N8" s="106">
        <f>IFERROR(__xludf.DUMMYFUNCTION("IFERROR(MEDIAN(FILTER($G$4:$G$66,$D$4:$D$66=$J8,ISNUMBER($G$4:$G$66))),""N/A"")"),1978.0)</f>
        <v>1978</v>
      </c>
      <c r="O8" s="106" t="str">
        <f>IFERROR(__xludf.DUMMYFUNCTION("IFERROR(MODE(FILTER($G$4:$G$66,$D$4:$D$66=$J8,ISNUMBER($G$4:$G$66))),""N/A"")"),"N/A")</f>
        <v>N/A</v>
      </c>
      <c r="P8" s="106">
        <f t="shared" ref="P8:AE8" si="12">COUNTIFS($H$4:$H$66,P$3,$D$4:$D$66,$J8)</f>
        <v>0</v>
      </c>
      <c r="Q8" s="106">
        <f t="shared" si="12"/>
        <v>0</v>
      </c>
      <c r="R8" s="106">
        <f t="shared" si="12"/>
        <v>0</v>
      </c>
      <c r="S8" s="106">
        <f t="shared" si="12"/>
        <v>0</v>
      </c>
      <c r="T8" s="106">
        <f t="shared" si="12"/>
        <v>0</v>
      </c>
      <c r="U8" s="106">
        <f t="shared" si="12"/>
        <v>0</v>
      </c>
      <c r="V8" s="106">
        <f t="shared" si="12"/>
        <v>1</v>
      </c>
      <c r="W8" s="106">
        <f t="shared" si="12"/>
        <v>0</v>
      </c>
      <c r="X8" s="106">
        <f t="shared" si="12"/>
        <v>0</v>
      </c>
      <c r="Y8" s="106">
        <f t="shared" si="12"/>
        <v>0</v>
      </c>
      <c r="Z8" s="106">
        <f t="shared" si="12"/>
        <v>0</v>
      </c>
      <c r="AA8" s="106">
        <f t="shared" si="12"/>
        <v>0</v>
      </c>
      <c r="AB8" s="106">
        <f t="shared" si="12"/>
        <v>0</v>
      </c>
      <c r="AC8" s="106">
        <f t="shared" si="12"/>
        <v>0</v>
      </c>
      <c r="AD8" s="106">
        <f t="shared" si="12"/>
        <v>0</v>
      </c>
      <c r="AE8" s="106">
        <f t="shared" si="12"/>
        <v>0</v>
      </c>
      <c r="AF8" s="179">
        <f t="array" ref="AF8:AU8">IFERROR(P8:AE8*TRANSPOSE('Queen MIDI'!$J$4:$J$19),"N/A")</f>
        <v>0</v>
      </c>
      <c r="AG8" s="179">
        <v>0.0</v>
      </c>
      <c r="AH8" s="179">
        <v>0.0</v>
      </c>
      <c r="AI8" s="179">
        <v>0.0</v>
      </c>
      <c r="AJ8" s="179">
        <v>0.0</v>
      </c>
      <c r="AK8" s="179">
        <v>0.0</v>
      </c>
      <c r="AL8" s="179">
        <v>0.7875</v>
      </c>
      <c r="AM8" s="179">
        <v>0.0</v>
      </c>
      <c r="AN8" s="179" t="s">
        <v>357</v>
      </c>
      <c r="AO8" s="179">
        <v>0.0</v>
      </c>
      <c r="AP8" s="179">
        <v>0.0</v>
      </c>
      <c r="AQ8" s="179">
        <v>0.0</v>
      </c>
      <c r="AR8" s="179">
        <v>0.0</v>
      </c>
      <c r="AS8" s="179">
        <v>0.0</v>
      </c>
      <c r="AT8" s="179">
        <v>0.0</v>
      </c>
      <c r="AU8" s="179">
        <v>0.0</v>
      </c>
      <c r="AV8" s="106" t="str">
        <f>IFERROR(__xludf.DUMMYFUNCTION("JOIN("", "",FILTER($P$3:$AE$3,$P8:$AE8=MAX($P8:$AE8)))"),"Jazz")</f>
        <v>Jazz</v>
      </c>
      <c r="AW8" s="106">
        <f t="shared" si="6"/>
        <v>1</v>
      </c>
      <c r="AX8" s="106">
        <f>IFERROR(__xludf.DUMMYFUNCTION("COUNTA(FILTER($P$3:$AE$3,$P8:$AE8=MAX($P8:$AE8)))"),1.0)</f>
        <v>1</v>
      </c>
      <c r="AY8" s="106" t="str">
        <f>IFERROR(__xludf.DUMMYFUNCTION("IFERROR(JOIN("", "",FILTER($AF$3:$AU$3,$AF8:$AU8=MAXIFS($AF8:$AU8,$AF$23:$AU$23,TRUE),$AF$23:$AU$23)),""N/A"")"),"Jazz")</f>
        <v>Jazz</v>
      </c>
      <c r="AZ8" s="171" t="str">
        <f>IFERROR(__xludf.DUMMYFUNCTION("IFERROR(JOIN("", "",FILTER($P8:$AE8,$AF8:$AU8=MAXIFS($AF8:$AU8,$AF$23:$AU$23,TRUE),$AF$23:$AU$23)),""N/A"")"),"1")</f>
        <v>1</v>
      </c>
      <c r="BA8" s="182">
        <f>MAXIFS(AF8:AU8,$AF$23:$AU$23,TRUE)/'Queen MIDI'!$J$20</f>
        <v>0.2</v>
      </c>
      <c r="BB8" s="183">
        <f>IFERROR(__xludf.DUMMYFUNCTION("COUNTA(IFERROR(FILTER($AF$3:$AU$3,$AF8:$AU8=MAXIFS($AF8:$AU8,$AF$23:$AU$23,TRUE),$AF$23:$AU$23),))"),1.0)</f>
        <v>1</v>
      </c>
      <c r="BC8" s="182">
        <f t="shared" si="7"/>
        <v>0.01587301587</v>
      </c>
      <c r="BD8" s="106">
        <f t="shared" si="8"/>
        <v>1</v>
      </c>
      <c r="BE8" s="1"/>
    </row>
    <row r="9">
      <c r="A9" s="1"/>
      <c r="C9" s="66" t="str">
        <f t="array" ref="C9">INDEX('Queen MIDI'!$C$4:$C$66,MATCH(F9,'Queen MIDI'!$D$4:$D$66,0))</f>
        <v>Love of My Life</v>
      </c>
      <c r="D9" s="117">
        <v>1.0</v>
      </c>
      <c r="E9" s="118" t="s">
        <v>368</v>
      </c>
      <c r="F9" s="66" t="str">
        <f t="shared" si="2"/>
        <v>Love of My Life.3.mid</v>
      </c>
      <c r="G9" s="127">
        <f>HLOOKUP(H9,'Queen Discography'!$C$2:$Q$3,2,FALSE)</f>
        <v>1975</v>
      </c>
      <c r="H9" s="66" t="str">
        <f>IF(COUNTIF('Queen Discography'!$C$4:$C$22,C9)&gt;0,"Queen",
IF(COUNTIF('Queen Discography'!$D$4:$D$22,C9)&gt;0,"Queen II",
IF(COUNTIF('Queen Discography'!$E$4:$E$22,C9)&gt;0,"Sheer Heart Attack",
IF(COUNTIF('Queen Discography'!$F$4:$F$22,C9)&gt;0,"A Night At The Opera",
IF(COUNTIF('Queen Discography'!$G$4:$G$22,C9)&gt;0,"A Day At The Races",
IF(COUNTIF('Queen Discography'!$H$4:$H$22,C9)&gt;0,"News Of The World",
IF(COUNTIF('Queen Discography'!$I$4:$I$22,C9)&gt;0,"Jazz",
IF(COUNTIF('Queen Discography'!$J$4:$J$22,C9)&gt;0,"The Game",
IF(COUNTIF('Queen Discography'!$K$4:$K$22,C9)&gt;0,"Flash Gordon",
IF(COUNTIF('Queen Discography'!$L$4:$L$22,C9)&gt;0,"Hot Space",
IF(COUNTIF('Queen Discography'!$M$4:$M$22,C9)&gt;0,"The Works",
IF(COUNTIF('Queen Discography'!$N$4:$N$22,C9)&gt;0,"A Kind Of Magic",
IF(COUNTIF('Queen Discography'!$O$4:$O$22,C9)&gt;0,"The Miracle",
IF(COUNTIF('Queen Discography'!$P$4:$P$22,C9)&gt;0,"Innuendo",
IF(COUNTIF('Queen Discography'!$Q$4:$Q$22,C9)&gt;0,"Made In Heaven","NOT FOUND")))))))))))))))</f>
        <v>A Night At The Opera</v>
      </c>
      <c r="I9" s="1"/>
      <c r="J9" s="178">
        <v>5.0</v>
      </c>
      <c r="K9" s="106">
        <f t="shared" si="9"/>
        <v>1991</v>
      </c>
      <c r="L9" s="106">
        <f t="shared" si="3"/>
        <v>1991</v>
      </c>
      <c r="M9" s="106">
        <f t="shared" si="4"/>
        <v>1991</v>
      </c>
      <c r="N9" s="106">
        <f>IFERROR(__xludf.DUMMYFUNCTION("IFERROR(MEDIAN(FILTER($G$4:$G$66,$D$4:$D$66=$J9,ISNUMBER($G$4:$G$66))),""N/A"")"),1991.0)</f>
        <v>1991</v>
      </c>
      <c r="O9" s="106" t="str">
        <f>IFERROR(__xludf.DUMMYFUNCTION("IFERROR(MODE(FILTER($G$4:$G$66,$D$4:$D$66=$J9,ISNUMBER($G$4:$G$66))),""N/A"")"),"N/A")</f>
        <v>N/A</v>
      </c>
      <c r="P9" s="106">
        <f t="shared" ref="P9:AE9" si="13">COUNTIFS($H$4:$H$66,P$3,$D$4:$D$66,$J9)</f>
        <v>0</v>
      </c>
      <c r="Q9" s="106">
        <f t="shared" si="13"/>
        <v>0</v>
      </c>
      <c r="R9" s="106">
        <f t="shared" si="13"/>
        <v>0</v>
      </c>
      <c r="S9" s="106">
        <f t="shared" si="13"/>
        <v>0</v>
      </c>
      <c r="T9" s="106">
        <f t="shared" si="13"/>
        <v>0</v>
      </c>
      <c r="U9" s="106">
        <f t="shared" si="13"/>
        <v>0</v>
      </c>
      <c r="V9" s="106">
        <f t="shared" si="13"/>
        <v>0</v>
      </c>
      <c r="W9" s="106">
        <f t="shared" si="13"/>
        <v>0</v>
      </c>
      <c r="X9" s="106">
        <f t="shared" si="13"/>
        <v>0</v>
      </c>
      <c r="Y9" s="106">
        <f t="shared" si="13"/>
        <v>0</v>
      </c>
      <c r="Z9" s="106">
        <f t="shared" si="13"/>
        <v>0</v>
      </c>
      <c r="AA9" s="106">
        <f t="shared" si="13"/>
        <v>0</v>
      </c>
      <c r="AB9" s="106">
        <f t="shared" si="13"/>
        <v>0</v>
      </c>
      <c r="AC9" s="106">
        <f t="shared" si="13"/>
        <v>1</v>
      </c>
      <c r="AD9" s="106">
        <f t="shared" si="13"/>
        <v>0</v>
      </c>
      <c r="AE9" s="106">
        <f t="shared" si="13"/>
        <v>0</v>
      </c>
      <c r="AF9" s="179">
        <f t="array" ref="AF9:AU9">IFERROR(P9:AE9*TRANSPOSE('Queen MIDI'!$J$4:$J$19),"N/A")</f>
        <v>0</v>
      </c>
      <c r="AG9" s="179">
        <v>0.0</v>
      </c>
      <c r="AH9" s="179">
        <v>0.0</v>
      </c>
      <c r="AI9" s="179">
        <v>0.0</v>
      </c>
      <c r="AJ9" s="179">
        <v>0.0</v>
      </c>
      <c r="AK9" s="179">
        <v>0.0</v>
      </c>
      <c r="AL9" s="179">
        <v>0.0</v>
      </c>
      <c r="AM9" s="179">
        <v>0.0</v>
      </c>
      <c r="AN9" s="179" t="s">
        <v>357</v>
      </c>
      <c r="AO9" s="179">
        <v>0.0</v>
      </c>
      <c r="AP9" s="179">
        <v>0.0</v>
      </c>
      <c r="AQ9" s="179">
        <v>0.0</v>
      </c>
      <c r="AR9" s="179">
        <v>0.0</v>
      </c>
      <c r="AS9" s="179">
        <v>0.4375</v>
      </c>
      <c r="AT9" s="179">
        <v>0.0</v>
      </c>
      <c r="AU9" s="179">
        <v>0.0</v>
      </c>
      <c r="AV9" s="106" t="str">
        <f>IFERROR(__xludf.DUMMYFUNCTION("JOIN("", "",FILTER($P$3:$AE$3,$P9:$AE9=MAX($P9:$AE9)))"),"Innuendo")</f>
        <v>Innuendo</v>
      </c>
      <c r="AW9" s="106">
        <f t="shared" si="6"/>
        <v>1</v>
      </c>
      <c r="AX9" s="106">
        <f>IFERROR(__xludf.DUMMYFUNCTION("COUNTA(FILTER($P$3:$AE$3,$P9:$AE9=MAX($P9:$AE9)))"),1.0)</f>
        <v>1</v>
      </c>
      <c r="AY9" s="106" t="str">
        <f>IFERROR(__xludf.DUMMYFUNCTION("IFERROR(JOIN("", "",FILTER($AF$3:$AU$3,$AF9:$AU9=MAXIFS($AF9:$AU9,$AF$23:$AU$23,TRUE),$AF$23:$AU$23)),""N/A"")"),"Innuendo")</f>
        <v>Innuendo</v>
      </c>
      <c r="AZ9" s="171" t="str">
        <f>IFERROR(__xludf.DUMMYFUNCTION("IFERROR(JOIN("", "",FILTER($P9:$AE9,$AF9:$AU9=MAXIFS($AF9:$AU9,$AF$23:$AU$23,TRUE),$AF$23:$AU$23)),""N/A"")"),"1")</f>
        <v>1</v>
      </c>
      <c r="BA9" s="182">
        <f>MAXIFS(AF9:AU9,$AF$23:$AU$23,TRUE)/'Queen MIDI'!$J$20</f>
        <v>0.1111111111</v>
      </c>
      <c r="BB9" s="183">
        <f>IFERROR(__xludf.DUMMYFUNCTION("COUNTA(IFERROR(FILTER($AF$3:$AU$3,$AF9:$AU9=MAXIFS($AF9:$AU9,$AF$23:$AU$23,TRUE),$AF$23:$AU$23),))"),1.0)</f>
        <v>1</v>
      </c>
      <c r="BC9" s="182">
        <f t="shared" si="7"/>
        <v>0.01587301587</v>
      </c>
      <c r="BD9" s="106">
        <f t="shared" si="8"/>
        <v>1</v>
      </c>
      <c r="BE9" s="1"/>
    </row>
    <row r="10">
      <c r="A10" s="1"/>
      <c r="C10" s="66" t="str">
        <f t="array" ref="C10">INDEX('Queen MIDI'!$C$4:$C$66,MATCH(F10,'Queen MIDI'!$D$4:$D$66,0))</f>
        <v>Good Old-Fashioned Lover Boy</v>
      </c>
      <c r="D10" s="117">
        <v>1.0</v>
      </c>
      <c r="E10" s="118" t="s">
        <v>370</v>
      </c>
      <c r="F10" s="66" t="str">
        <f t="shared" si="2"/>
        <v>Good Old Fashioned Lover Boy.2.mid</v>
      </c>
      <c r="G10" s="121">
        <f>HLOOKUP(H10,'Queen Discography'!$C$2:$Q$3,2,FALSE)</f>
        <v>1976</v>
      </c>
      <c r="H10" s="66" t="str">
        <f>IF(COUNTIF('Queen Discography'!$C$4:$C$22,C10)&gt;0,"Queen",
IF(COUNTIF('Queen Discography'!$D$4:$D$22,C10)&gt;0,"Queen II",
IF(COUNTIF('Queen Discography'!$E$4:$E$22,C10)&gt;0,"Sheer Heart Attack",
IF(COUNTIF('Queen Discography'!$F$4:$F$22,C10)&gt;0,"A Night At The Opera",
IF(COUNTIF('Queen Discography'!$G$4:$G$22,C10)&gt;0,"A Day At The Races",
IF(COUNTIF('Queen Discography'!$H$4:$H$22,C10)&gt;0,"News Of The World",
IF(COUNTIF('Queen Discography'!$I$4:$I$22,C10)&gt;0,"Jazz",
IF(COUNTIF('Queen Discography'!$J$4:$J$22,C10)&gt;0,"The Game",
IF(COUNTIF('Queen Discography'!$K$4:$K$22,C10)&gt;0,"Flash Gordon",
IF(COUNTIF('Queen Discography'!$L$4:$L$22,C10)&gt;0,"Hot Space",
IF(COUNTIF('Queen Discography'!$M$4:$M$22,C10)&gt;0,"The Works",
IF(COUNTIF('Queen Discography'!$N$4:$N$22,C10)&gt;0,"A Kind Of Magic",
IF(COUNTIF('Queen Discography'!$O$4:$O$22,C10)&gt;0,"The Miracle",
IF(COUNTIF('Queen Discography'!$P$4:$P$22,C10)&gt;0,"Innuendo",
IF(COUNTIF('Queen Discography'!$Q$4:$Q$22,C10)&gt;0,"Made In Heaven","NOT FOUND")))))))))))))))</f>
        <v>A Day At The Races</v>
      </c>
      <c r="I10" s="1"/>
      <c r="J10" s="178">
        <v>6.0</v>
      </c>
      <c r="K10" s="106">
        <f t="shared" si="9"/>
        <v>1973</v>
      </c>
      <c r="L10" s="106">
        <f t="shared" si="3"/>
        <v>1995</v>
      </c>
      <c r="M10" s="106">
        <f t="shared" si="4"/>
        <v>1985</v>
      </c>
      <c r="N10" s="106">
        <f>IFERROR(__xludf.DUMMYFUNCTION("IFERROR(MEDIAN(FILTER($G$4:$G$66,$D$4:$D$66=$J10,ISNUMBER($G$4:$G$66))),""N/A"")"),1986.0)</f>
        <v>1986</v>
      </c>
      <c r="O10" s="106">
        <f>IFERROR(__xludf.DUMMYFUNCTION("IFERROR(MODE(FILTER($G$4:$G$66,$D$4:$D$66=$J10,ISNUMBER($G$4:$G$66))),""N/A"")"),1995.0)</f>
        <v>1995</v>
      </c>
      <c r="P10" s="106">
        <f t="shared" ref="P10:AE10" si="14">COUNTIFS($H$4:$H$66,P$3,$D$4:$D$66,$J10)</f>
        <v>2</v>
      </c>
      <c r="Q10" s="106">
        <f t="shared" si="14"/>
        <v>1</v>
      </c>
      <c r="R10" s="106">
        <f t="shared" si="14"/>
        <v>0</v>
      </c>
      <c r="S10" s="106">
        <f t="shared" si="14"/>
        <v>0</v>
      </c>
      <c r="T10" s="106">
        <f t="shared" si="14"/>
        <v>0</v>
      </c>
      <c r="U10" s="106">
        <f t="shared" si="14"/>
        <v>0</v>
      </c>
      <c r="V10" s="106">
        <f t="shared" si="14"/>
        <v>0</v>
      </c>
      <c r="W10" s="106">
        <f t="shared" si="14"/>
        <v>0</v>
      </c>
      <c r="X10" s="106">
        <f t="shared" si="14"/>
        <v>0</v>
      </c>
      <c r="Y10" s="106">
        <f t="shared" si="14"/>
        <v>0</v>
      </c>
      <c r="Z10" s="106">
        <f t="shared" si="14"/>
        <v>2</v>
      </c>
      <c r="AA10" s="106">
        <f t="shared" si="14"/>
        <v>1</v>
      </c>
      <c r="AB10" s="106">
        <f t="shared" si="14"/>
        <v>1</v>
      </c>
      <c r="AC10" s="106">
        <f t="shared" si="14"/>
        <v>1</v>
      </c>
      <c r="AD10" s="106">
        <f t="shared" si="14"/>
        <v>3</v>
      </c>
      <c r="AE10" s="106">
        <f t="shared" si="14"/>
        <v>0</v>
      </c>
      <c r="AF10" s="179">
        <f t="array" ref="AF10:AU10">IFERROR(P10:AE10*TRANSPOSE('Queen MIDI'!$J$4:$J$19),"N/A")</f>
        <v>1.96875</v>
      </c>
      <c r="AG10" s="179">
        <v>1.3125</v>
      </c>
      <c r="AH10" s="179">
        <v>0.0</v>
      </c>
      <c r="AI10" s="179">
        <v>0.0</v>
      </c>
      <c r="AJ10" s="179">
        <v>0.0</v>
      </c>
      <c r="AK10" s="179">
        <v>0.0</v>
      </c>
      <c r="AL10" s="179">
        <v>0.0</v>
      </c>
      <c r="AM10" s="179">
        <v>0.0</v>
      </c>
      <c r="AN10" s="179" t="s">
        <v>357</v>
      </c>
      <c r="AO10" s="179">
        <v>0.0</v>
      </c>
      <c r="AP10" s="179">
        <v>1.96875</v>
      </c>
      <c r="AQ10" s="179">
        <v>0.7875</v>
      </c>
      <c r="AR10" s="179">
        <v>0.7875</v>
      </c>
      <c r="AS10" s="179">
        <v>0.4375</v>
      </c>
      <c r="AT10" s="179">
        <v>1.6875</v>
      </c>
      <c r="AU10" s="179">
        <v>0.0</v>
      </c>
      <c r="AV10" s="106" t="str">
        <f>IFERROR(__xludf.DUMMYFUNCTION("JOIN("", "",FILTER($P$3:$AE$3,$P10:$AE10=MAX($P10:$AE10)))"),"Made In Heaven")</f>
        <v>Made In Heaven</v>
      </c>
      <c r="AW10" s="106">
        <f t="shared" si="6"/>
        <v>3</v>
      </c>
      <c r="AX10" s="106">
        <f>IFERROR(__xludf.DUMMYFUNCTION("COUNTA(FILTER($P$3:$AE$3,$P10:$AE10=MAX($P10:$AE10)))"),1.0)</f>
        <v>1</v>
      </c>
      <c r="AY10" s="106" t="str">
        <f>IFERROR(__xludf.DUMMYFUNCTION("IFERROR(JOIN("", "",FILTER($AF$3:$AU$3,$AF10:$AU10=MAXIFS($AF10:$AU10,$AF$23:$AU$23,TRUE),$AF$23:$AU$23)),""N/A"")"),"Queen, The Works")</f>
        <v>Queen, The Works</v>
      </c>
      <c r="AZ10" s="171" t="str">
        <f>IFERROR(__xludf.DUMMYFUNCTION("IFERROR(JOIN("", "",FILTER($P10:$AE10,$AF10:$AU10=MAXIFS($AF10:$AU10,$AF$23:$AU$23,TRUE),$AF$23:$AU$23)),""N/A"")"),"2, 2")</f>
        <v>2, 2</v>
      </c>
      <c r="BA10" s="182">
        <f>MAXIFS(AF10:AU10,$AF$23:$AU$23,TRUE)/'Queen MIDI'!$J$20</f>
        <v>0.5</v>
      </c>
      <c r="BB10" s="183">
        <f>IFERROR(__xludf.DUMMYFUNCTION("COUNTA(IFERROR(FILTER($AF$3:$AU$3,$AF10:$AU10=MAXIFS($AF10:$AU10,$AF$23:$AU$23,TRUE),$AF$23:$AU$23),))"),2.0)</f>
        <v>2</v>
      </c>
      <c r="BC10" s="182">
        <f t="shared" si="7"/>
        <v>0.1746031746</v>
      </c>
      <c r="BD10" s="106">
        <f t="shared" si="8"/>
        <v>11</v>
      </c>
      <c r="BE10" s="1"/>
    </row>
    <row r="11">
      <c r="A11" s="1"/>
      <c r="C11" s="66" t="str">
        <f t="array" ref="C11">INDEX('Queen MIDI'!$C$4:$C$66,MATCH(F11,'Queen MIDI'!$D$4:$D$66,0))</f>
        <v>We Are The Champions</v>
      </c>
      <c r="D11" s="117">
        <v>1.0</v>
      </c>
      <c r="E11" s="118" t="s">
        <v>375</v>
      </c>
      <c r="F11" s="66" t="str">
        <f t="shared" si="2"/>
        <v>We Are The Champions.1.mid</v>
      </c>
      <c r="G11" s="124">
        <f>HLOOKUP(H11,'Queen Discography'!$C$2:$Q$3,2,FALSE)</f>
        <v>1977</v>
      </c>
      <c r="H11" s="66" t="str">
        <f>IF(COUNTIF('Queen Discography'!$C$4:$C$22,C11)&gt;0,"Queen",
IF(COUNTIF('Queen Discography'!$D$4:$D$22,C11)&gt;0,"Queen II",
IF(COUNTIF('Queen Discography'!$E$4:$E$22,C11)&gt;0,"Sheer Heart Attack",
IF(COUNTIF('Queen Discography'!$F$4:$F$22,C11)&gt;0,"A Night At The Opera",
IF(COUNTIF('Queen Discography'!$G$4:$G$22,C11)&gt;0,"A Day At The Races",
IF(COUNTIF('Queen Discography'!$H$4:$H$22,C11)&gt;0,"News Of The World",
IF(COUNTIF('Queen Discography'!$I$4:$I$22,C11)&gt;0,"Jazz",
IF(COUNTIF('Queen Discography'!$J$4:$J$22,C11)&gt;0,"The Game",
IF(COUNTIF('Queen Discography'!$K$4:$K$22,C11)&gt;0,"Flash Gordon",
IF(COUNTIF('Queen Discography'!$L$4:$L$22,C11)&gt;0,"Hot Space",
IF(COUNTIF('Queen Discography'!$M$4:$M$22,C11)&gt;0,"The Works",
IF(COUNTIF('Queen Discography'!$N$4:$N$22,C11)&gt;0,"A Kind Of Magic",
IF(COUNTIF('Queen Discography'!$O$4:$O$22,C11)&gt;0,"The Miracle",
IF(COUNTIF('Queen Discography'!$P$4:$P$22,C11)&gt;0,"Innuendo",
IF(COUNTIF('Queen Discography'!$Q$4:$Q$22,C11)&gt;0,"Made In Heaven","NOT FOUND")))))))))))))))</f>
        <v>News Of The World</v>
      </c>
      <c r="I11" s="1"/>
      <c r="J11" s="178">
        <v>7.0</v>
      </c>
      <c r="K11" s="106">
        <f t="shared" si="9"/>
        <v>1978</v>
      </c>
      <c r="L11" s="106">
        <f t="shared" si="3"/>
        <v>1991</v>
      </c>
      <c r="M11" s="106">
        <f t="shared" si="4"/>
        <v>1985</v>
      </c>
      <c r="N11" s="106">
        <f>IFERROR(__xludf.DUMMYFUNCTION("IFERROR(MEDIAN(FILTER($G$4:$G$66,$D$4:$D$66=$J11,ISNUMBER($G$4:$G$66))),""N/A"")"),1984.5)</f>
        <v>1984.5</v>
      </c>
      <c r="O11" s="106" t="str">
        <f>IFERROR(__xludf.DUMMYFUNCTION("IFERROR(MODE(FILTER($G$4:$G$66,$D$4:$D$66=$J11,ISNUMBER($G$4:$G$66))),""N/A"")"),"N/A")</f>
        <v>N/A</v>
      </c>
      <c r="P11" s="106">
        <f t="shared" ref="P11:AE11" si="15">COUNTIFS($H$4:$H$66,P$3,$D$4:$D$66,$J11)</f>
        <v>0</v>
      </c>
      <c r="Q11" s="106">
        <f t="shared" si="15"/>
        <v>0</v>
      </c>
      <c r="R11" s="106">
        <f t="shared" si="15"/>
        <v>0</v>
      </c>
      <c r="S11" s="106">
        <f t="shared" si="15"/>
        <v>0</v>
      </c>
      <c r="T11" s="106">
        <f t="shared" si="15"/>
        <v>0</v>
      </c>
      <c r="U11" s="106">
        <f t="shared" si="15"/>
        <v>0</v>
      </c>
      <c r="V11" s="106">
        <f t="shared" si="15"/>
        <v>1</v>
      </c>
      <c r="W11" s="106">
        <f t="shared" si="15"/>
        <v>0</v>
      </c>
      <c r="X11" s="106">
        <f t="shared" si="15"/>
        <v>0</v>
      </c>
      <c r="Y11" s="106">
        <f t="shared" si="15"/>
        <v>0</v>
      </c>
      <c r="Z11" s="106">
        <f t="shared" si="15"/>
        <v>0</v>
      </c>
      <c r="AA11" s="106">
        <f t="shared" si="15"/>
        <v>0</v>
      </c>
      <c r="AB11" s="106">
        <f t="shared" si="15"/>
        <v>0</v>
      </c>
      <c r="AC11" s="106">
        <f t="shared" si="15"/>
        <v>1</v>
      </c>
      <c r="AD11" s="106">
        <f t="shared" si="15"/>
        <v>0</v>
      </c>
      <c r="AE11" s="106">
        <f t="shared" si="15"/>
        <v>0</v>
      </c>
      <c r="AF11" s="179">
        <f t="array" ref="AF11:AU11">IFERROR(P11:AE11*TRANSPOSE('Queen MIDI'!$J$4:$J$19),"N/A")</f>
        <v>0</v>
      </c>
      <c r="AG11" s="179">
        <v>0.0</v>
      </c>
      <c r="AH11" s="179">
        <v>0.0</v>
      </c>
      <c r="AI11" s="179">
        <v>0.0</v>
      </c>
      <c r="AJ11" s="179">
        <v>0.0</v>
      </c>
      <c r="AK11" s="179">
        <v>0.0</v>
      </c>
      <c r="AL11" s="179">
        <v>0.7875</v>
      </c>
      <c r="AM11" s="179">
        <v>0.0</v>
      </c>
      <c r="AN11" s="179" t="s">
        <v>357</v>
      </c>
      <c r="AO11" s="179">
        <v>0.0</v>
      </c>
      <c r="AP11" s="179">
        <v>0.0</v>
      </c>
      <c r="AQ11" s="179">
        <v>0.0</v>
      </c>
      <c r="AR11" s="179">
        <v>0.0</v>
      </c>
      <c r="AS11" s="179">
        <v>0.4375</v>
      </c>
      <c r="AT11" s="179">
        <v>0.0</v>
      </c>
      <c r="AU11" s="179">
        <v>0.0</v>
      </c>
      <c r="AV11" s="106" t="str">
        <f>IFERROR(__xludf.DUMMYFUNCTION("JOIN("", "",FILTER($P$3:$AE$3,$P11:$AE11=MAX($P11:$AE11)))"),"Jazz, Innuendo")</f>
        <v>Jazz, Innuendo</v>
      </c>
      <c r="AW11" s="106">
        <f t="shared" si="6"/>
        <v>1</v>
      </c>
      <c r="AX11" s="106">
        <f>IFERROR(__xludf.DUMMYFUNCTION("COUNTA(FILTER($P$3:$AE$3,$P11:$AE11=MAX($P11:$AE11)))"),2.0)</f>
        <v>2</v>
      </c>
      <c r="AY11" s="106" t="str">
        <f>IFERROR(__xludf.DUMMYFUNCTION("IFERROR(JOIN("", "",FILTER($AF$3:$AU$3,$AF11:$AU11=MAXIFS($AF11:$AU11,$AF$23:$AU$23,TRUE),$AF$23:$AU$23)),""N/A"")"),"Jazz")</f>
        <v>Jazz</v>
      </c>
      <c r="AZ11" s="171" t="str">
        <f>IFERROR(__xludf.DUMMYFUNCTION("IFERROR(JOIN("", "",FILTER($P11:$AE11,$AF11:$AU11=MAXIFS($AF11:$AU11,$AF$23:$AU$23,TRUE),$AF$23:$AU$23)),""N/A"")"),"1")</f>
        <v>1</v>
      </c>
      <c r="BA11" s="182">
        <f>MAXIFS(AF11:AU11,$AF$23:$AU$23,TRUE)/'Queen MIDI'!$J$20</f>
        <v>0.2</v>
      </c>
      <c r="BB11" s="183">
        <f>IFERROR(__xludf.DUMMYFUNCTION("COUNTA(IFERROR(FILTER($AF$3:$AU$3,$AF11:$AU11=MAXIFS($AF11:$AU11,$AF$23:$AU$23,TRUE),$AF$23:$AU$23),))"),1.0)</f>
        <v>1</v>
      </c>
      <c r="BC11" s="182">
        <f t="shared" si="7"/>
        <v>0.03174603175</v>
      </c>
      <c r="BD11" s="106">
        <f t="shared" si="8"/>
        <v>2</v>
      </c>
      <c r="BE11" s="1"/>
    </row>
    <row r="12">
      <c r="A12" s="1"/>
      <c r="C12" s="66" t="str">
        <f t="array" ref="C12">INDEX('Queen MIDI'!$C$4:$C$66,MATCH(F12,'Queen MIDI'!$D$4:$D$66,0))</f>
        <v>Bicycle Race</v>
      </c>
      <c r="D12" s="117">
        <v>1.0</v>
      </c>
      <c r="E12" s="118" t="s">
        <v>376</v>
      </c>
      <c r="F12" s="66" t="str">
        <f t="shared" si="2"/>
        <v>Bicycle Race.mid</v>
      </c>
      <c r="G12" s="119">
        <f>HLOOKUP(H12,'Queen Discography'!$C$2:$Q$3,2,FALSE)</f>
        <v>1978</v>
      </c>
      <c r="H12" s="66" t="str">
        <f>IF(COUNTIF('Queen Discography'!$C$4:$C$22,C12)&gt;0,"Queen",
IF(COUNTIF('Queen Discography'!$D$4:$D$22,C12)&gt;0,"Queen II",
IF(COUNTIF('Queen Discography'!$E$4:$E$22,C12)&gt;0,"Sheer Heart Attack",
IF(COUNTIF('Queen Discography'!$F$4:$F$22,C12)&gt;0,"A Night At The Opera",
IF(COUNTIF('Queen Discography'!$G$4:$G$22,C12)&gt;0,"A Day At The Races",
IF(COUNTIF('Queen Discography'!$H$4:$H$22,C12)&gt;0,"News Of The World",
IF(COUNTIF('Queen Discography'!$I$4:$I$22,C12)&gt;0,"Jazz",
IF(COUNTIF('Queen Discography'!$J$4:$J$22,C12)&gt;0,"The Game",
IF(COUNTIF('Queen Discography'!$K$4:$K$22,C12)&gt;0,"Flash Gordon",
IF(COUNTIF('Queen Discography'!$L$4:$L$22,C12)&gt;0,"Hot Space",
IF(COUNTIF('Queen Discography'!$M$4:$M$22,C12)&gt;0,"The Works",
IF(COUNTIF('Queen Discography'!$N$4:$N$22,C12)&gt;0,"A Kind Of Magic",
IF(COUNTIF('Queen Discography'!$O$4:$O$22,C12)&gt;0,"The Miracle",
IF(COUNTIF('Queen Discography'!$P$4:$P$22,C12)&gt;0,"Innuendo",
IF(COUNTIF('Queen Discography'!$Q$4:$Q$22,C12)&gt;0,"Made In Heaven","NOT FOUND")))))))))))))))</f>
        <v>Jazz</v>
      </c>
      <c r="I12" s="1"/>
      <c r="J12" s="178">
        <v>8.0</v>
      </c>
      <c r="K12" s="106">
        <f t="shared" si="9"/>
        <v>1973</v>
      </c>
      <c r="L12" s="106">
        <f t="shared" si="3"/>
        <v>1995</v>
      </c>
      <c r="M12" s="106">
        <f t="shared" si="4"/>
        <v>1983</v>
      </c>
      <c r="N12" s="106">
        <f>IFERROR(__xludf.DUMMYFUNCTION("IFERROR(MEDIAN(FILTER($G$4:$G$66,$D$4:$D$66=$J12,ISNUMBER($G$4:$G$66))),""N/A"")"),1982.0)</f>
        <v>1982</v>
      </c>
      <c r="O12" s="106">
        <f>IFERROR(__xludf.DUMMYFUNCTION("IFERROR(MODE(FILTER($G$4:$G$66,$D$4:$D$66=$J12,ISNUMBER($G$4:$G$66))),""N/A"")"),1975.0)</f>
        <v>1975</v>
      </c>
      <c r="P12" s="106">
        <f t="shared" ref="P12:AE12" si="16">COUNTIFS($H$4:$H$66,P$3,$D$4:$D$66,$J12)</f>
        <v>1</v>
      </c>
      <c r="Q12" s="106">
        <f t="shared" si="16"/>
        <v>0</v>
      </c>
      <c r="R12" s="106">
        <f t="shared" si="16"/>
        <v>0</v>
      </c>
      <c r="S12" s="106">
        <f t="shared" si="16"/>
        <v>2</v>
      </c>
      <c r="T12" s="106">
        <f t="shared" si="16"/>
        <v>0</v>
      </c>
      <c r="U12" s="106">
        <f t="shared" si="16"/>
        <v>1</v>
      </c>
      <c r="V12" s="106">
        <f t="shared" si="16"/>
        <v>1</v>
      </c>
      <c r="W12" s="106">
        <f t="shared" si="16"/>
        <v>1</v>
      </c>
      <c r="X12" s="106">
        <f t="shared" si="16"/>
        <v>0</v>
      </c>
      <c r="Y12" s="106">
        <f t="shared" si="16"/>
        <v>1</v>
      </c>
      <c r="Z12" s="106">
        <f t="shared" si="16"/>
        <v>0</v>
      </c>
      <c r="AA12" s="106">
        <f t="shared" si="16"/>
        <v>2</v>
      </c>
      <c r="AB12" s="106">
        <f t="shared" si="16"/>
        <v>0</v>
      </c>
      <c r="AC12" s="106">
        <f t="shared" si="16"/>
        <v>2</v>
      </c>
      <c r="AD12" s="106">
        <f t="shared" si="16"/>
        <v>2</v>
      </c>
      <c r="AE12" s="106">
        <f t="shared" si="16"/>
        <v>1</v>
      </c>
      <c r="AF12" s="179">
        <f t="array" ref="AF12:AU12">IFERROR(P12:AE12*TRANSPOSE('Queen MIDI'!$J$4:$J$19),"N/A")</f>
        <v>0.984375</v>
      </c>
      <c r="AG12" s="179">
        <v>0.0</v>
      </c>
      <c r="AH12" s="179">
        <v>0.0</v>
      </c>
      <c r="AI12" s="179">
        <v>1.575</v>
      </c>
      <c r="AJ12" s="179">
        <v>0.0</v>
      </c>
      <c r="AK12" s="179">
        <v>0.984375</v>
      </c>
      <c r="AL12" s="179">
        <v>0.7875</v>
      </c>
      <c r="AM12" s="179">
        <v>0.984375</v>
      </c>
      <c r="AN12" s="179" t="s">
        <v>357</v>
      </c>
      <c r="AO12" s="179">
        <v>3.9375</v>
      </c>
      <c r="AP12" s="179">
        <v>0.0</v>
      </c>
      <c r="AQ12" s="179">
        <v>1.575</v>
      </c>
      <c r="AR12" s="179">
        <v>0.0</v>
      </c>
      <c r="AS12" s="179">
        <v>0.875</v>
      </c>
      <c r="AT12" s="179">
        <v>1.125</v>
      </c>
      <c r="AU12" s="179">
        <v>1.96875</v>
      </c>
      <c r="AV12" s="106" t="str">
        <f>IFERROR(__xludf.DUMMYFUNCTION("JOIN("", "",FILTER($P$3:$AE$3,$P12:$AE12=MAX($P12:$AE12)))"),"A Night At The Opera, A Kind Of Magic, Innuendo, Made In Heaven")</f>
        <v>A Night At The Opera, A Kind Of Magic, Innuendo, Made In Heaven</v>
      </c>
      <c r="AW12" s="106">
        <f t="shared" si="6"/>
        <v>2</v>
      </c>
      <c r="AX12" s="106">
        <f>IFERROR(__xludf.DUMMYFUNCTION("COUNTA(FILTER($P$3:$AE$3,$P12:$AE12=MAX($P12:$AE12)))"),4.0)</f>
        <v>4</v>
      </c>
      <c r="AY12" s="106" t="str">
        <f>IFERROR(__xludf.DUMMYFUNCTION("IFERROR(JOIN("", "",FILTER($AF$3:$AU$3,$AF12:$AU12=MAXIFS($AF12:$AU12,$AF$23:$AU$23,TRUE),$AF$23:$AU$23)),""N/A"")"),"NOT FOUND")</f>
        <v>NOT FOUND</v>
      </c>
      <c r="AZ12" s="171" t="str">
        <f>IFERROR(__xludf.DUMMYFUNCTION("IFERROR(JOIN("", "",FILTER($P12:$AE12,$AF12:$AU12=MAXIFS($AF12:$AU12,$AF$23:$AU$23,TRUE),$AF$23:$AU$23)),""N/A"")"),"1")</f>
        <v>1</v>
      </c>
      <c r="BA12" s="182">
        <f>MAXIFS(AF12:AU12,$AF$23:$AU$23,TRUE)/'Queen MIDI'!$J$20</f>
        <v>0.5</v>
      </c>
      <c r="BB12" s="183">
        <f>IFERROR(__xludf.DUMMYFUNCTION("COUNTA(IFERROR(FILTER($AF$3:$AU$3,$AF12:$AU12=MAXIFS($AF12:$AU12,$AF$23:$AU$23,TRUE),$AF$23:$AU$23),))"),1.0)</f>
        <v>1</v>
      </c>
      <c r="BC12" s="182">
        <f t="shared" si="7"/>
        <v>0.2222222222</v>
      </c>
      <c r="BD12" s="106">
        <f t="shared" si="8"/>
        <v>14</v>
      </c>
      <c r="BE12" s="1"/>
    </row>
    <row r="13">
      <c r="A13" s="1"/>
      <c r="C13" s="66" t="str">
        <f t="array" ref="C13">INDEX('Queen MIDI'!$C$4:$C$66,MATCH(F13,'Queen MIDI'!$D$4:$D$66,0))</f>
        <v>Rain Must Fall</v>
      </c>
      <c r="D13" s="117">
        <v>1.0</v>
      </c>
      <c r="E13" s="118" t="s">
        <v>396</v>
      </c>
      <c r="F13" s="66" t="str">
        <f t="shared" si="2"/>
        <v>Rain Must Fall.mid</v>
      </c>
      <c r="G13" s="120">
        <f>HLOOKUP(H13,'Queen Discography'!$C$2:$Q$3,2,FALSE)</f>
        <v>1989</v>
      </c>
      <c r="H13" s="66" t="str">
        <f>IF(COUNTIF('Queen Discography'!$C$4:$C$22,C13)&gt;0,"Queen",
IF(COUNTIF('Queen Discography'!$D$4:$D$22,C13)&gt;0,"Queen II",
IF(COUNTIF('Queen Discography'!$E$4:$E$22,C13)&gt;0,"Sheer Heart Attack",
IF(COUNTIF('Queen Discography'!$F$4:$F$22,C13)&gt;0,"A Night At The Opera",
IF(COUNTIF('Queen Discography'!$G$4:$G$22,C13)&gt;0,"A Day At The Races",
IF(COUNTIF('Queen Discography'!$H$4:$H$22,C13)&gt;0,"News Of The World",
IF(COUNTIF('Queen Discography'!$I$4:$I$22,C13)&gt;0,"Jazz",
IF(COUNTIF('Queen Discography'!$J$4:$J$22,C13)&gt;0,"The Game",
IF(COUNTIF('Queen Discography'!$K$4:$K$22,C13)&gt;0,"Flash Gordon",
IF(COUNTIF('Queen Discography'!$L$4:$L$22,C13)&gt;0,"Hot Space",
IF(COUNTIF('Queen Discography'!$M$4:$M$22,C13)&gt;0,"The Works",
IF(COUNTIF('Queen Discography'!$N$4:$N$22,C13)&gt;0,"A Kind Of Magic",
IF(COUNTIF('Queen Discography'!$O$4:$O$22,C13)&gt;0,"The Miracle",
IF(COUNTIF('Queen Discography'!$P$4:$P$22,C13)&gt;0,"Innuendo",
IF(COUNTIF('Queen Discography'!$Q$4:$Q$22,C13)&gt;0,"Made In Heaven","NOT FOUND")))))))))))))))</f>
        <v>The Miracle</v>
      </c>
      <c r="I13" s="1"/>
      <c r="J13" s="178">
        <v>9.0</v>
      </c>
      <c r="K13" s="106">
        <f t="shared" si="9"/>
        <v>1977</v>
      </c>
      <c r="L13" s="106">
        <f t="shared" si="3"/>
        <v>1977</v>
      </c>
      <c r="M13" s="106">
        <f t="shared" si="4"/>
        <v>1977</v>
      </c>
      <c r="N13" s="106">
        <f>IFERROR(__xludf.DUMMYFUNCTION("IFERROR(MEDIAN(FILTER($G$4:$G$66,$D$4:$D$66=$J13,ISNUMBER($G$4:$G$66))),""N/A"")"),1977.0)</f>
        <v>1977</v>
      </c>
      <c r="O13" s="106" t="str">
        <f>IFERROR(__xludf.DUMMYFUNCTION("IFERROR(MODE(FILTER($G$4:$G$66,$D$4:$D$66=$J13,ISNUMBER($G$4:$G$66))),""N/A"")"),"N/A")</f>
        <v>N/A</v>
      </c>
      <c r="P13" s="106">
        <f t="shared" ref="P13:AE13" si="17">COUNTIFS($H$4:$H$66,P$3,$D$4:$D$66,$J13)</f>
        <v>0</v>
      </c>
      <c r="Q13" s="106">
        <f t="shared" si="17"/>
        <v>0</v>
      </c>
      <c r="R13" s="106">
        <f t="shared" si="17"/>
        <v>0</v>
      </c>
      <c r="S13" s="106">
        <f t="shared" si="17"/>
        <v>0</v>
      </c>
      <c r="T13" s="106">
        <f t="shared" si="17"/>
        <v>0</v>
      </c>
      <c r="U13" s="106">
        <f t="shared" si="17"/>
        <v>1</v>
      </c>
      <c r="V13" s="106">
        <f t="shared" si="17"/>
        <v>0</v>
      </c>
      <c r="W13" s="106">
        <f t="shared" si="17"/>
        <v>0</v>
      </c>
      <c r="X13" s="106">
        <f t="shared" si="17"/>
        <v>0</v>
      </c>
      <c r="Y13" s="106">
        <f t="shared" si="17"/>
        <v>0</v>
      </c>
      <c r="Z13" s="106">
        <f t="shared" si="17"/>
        <v>0</v>
      </c>
      <c r="AA13" s="106">
        <f t="shared" si="17"/>
        <v>0</v>
      </c>
      <c r="AB13" s="106">
        <f t="shared" si="17"/>
        <v>0</v>
      </c>
      <c r="AC13" s="106">
        <f t="shared" si="17"/>
        <v>0</v>
      </c>
      <c r="AD13" s="106">
        <f t="shared" si="17"/>
        <v>0</v>
      </c>
      <c r="AE13" s="106">
        <f t="shared" si="17"/>
        <v>0</v>
      </c>
      <c r="AF13" s="179">
        <f t="array" ref="AF13:AU13">IFERROR(P13:AE13*TRANSPOSE('Queen MIDI'!$J$4:$J$19),"N/A")</f>
        <v>0</v>
      </c>
      <c r="AG13" s="179">
        <v>0.0</v>
      </c>
      <c r="AH13" s="179">
        <v>0.0</v>
      </c>
      <c r="AI13" s="179">
        <v>0.0</v>
      </c>
      <c r="AJ13" s="179">
        <v>0.0</v>
      </c>
      <c r="AK13" s="179">
        <v>0.984375</v>
      </c>
      <c r="AL13" s="179">
        <v>0.0</v>
      </c>
      <c r="AM13" s="179">
        <v>0.0</v>
      </c>
      <c r="AN13" s="179" t="s">
        <v>357</v>
      </c>
      <c r="AO13" s="179">
        <v>0.0</v>
      </c>
      <c r="AP13" s="179">
        <v>0.0</v>
      </c>
      <c r="AQ13" s="179">
        <v>0.0</v>
      </c>
      <c r="AR13" s="179">
        <v>0.0</v>
      </c>
      <c r="AS13" s="179">
        <v>0.0</v>
      </c>
      <c r="AT13" s="179">
        <v>0.0</v>
      </c>
      <c r="AU13" s="179">
        <v>0.0</v>
      </c>
      <c r="AV13" s="106" t="str">
        <f>IFERROR(__xludf.DUMMYFUNCTION("JOIN("", "",FILTER($P$3:$AE$3,$P13:$AE13=MAX($P13:$AE13)))"),"News Of The World")</f>
        <v>News Of The World</v>
      </c>
      <c r="AW13" s="106">
        <f t="shared" si="6"/>
        <v>1</v>
      </c>
      <c r="AX13" s="106">
        <f>IFERROR(__xludf.DUMMYFUNCTION("COUNTA(FILTER($P$3:$AE$3,$P13:$AE13=MAX($P13:$AE13)))"),1.0)</f>
        <v>1</v>
      </c>
      <c r="AY13" s="106" t="str">
        <f>IFERROR(__xludf.DUMMYFUNCTION("IFERROR(JOIN("", "",FILTER($AF$3:$AU$3,$AF13:$AU13=MAXIFS($AF13:$AU13,$AF$23:$AU$23,TRUE),$AF$23:$AU$23)),""N/A"")"),"News Of The World")</f>
        <v>News Of The World</v>
      </c>
      <c r="AZ13" s="171" t="str">
        <f>IFERROR(__xludf.DUMMYFUNCTION("IFERROR(JOIN("", "",FILTER($P13:$AE13,$AF13:$AU13=MAXIFS($AF13:$AU13,$AF$23:$AU$23,TRUE),$AF$23:$AU$23)),""N/A"")"),"1")</f>
        <v>1</v>
      </c>
      <c r="BA13" s="182">
        <f>MAXIFS(AF13:AU13,$AF$23:$AU$23,TRUE)/'Queen MIDI'!$J$20</f>
        <v>0.25</v>
      </c>
      <c r="BB13" s="183">
        <f>IFERROR(__xludf.DUMMYFUNCTION("COUNTA(IFERROR(FILTER($AF$3:$AU$3,$AF13:$AU13=MAXIFS($AF13:$AU13,$AF$23:$AU$23,TRUE),$AF$23:$AU$23),))"),1.0)</f>
        <v>1</v>
      </c>
      <c r="BC13" s="182">
        <f t="shared" si="7"/>
        <v>0.01587301587</v>
      </c>
      <c r="BD13" s="106">
        <f t="shared" si="8"/>
        <v>1</v>
      </c>
      <c r="BE13" s="1"/>
    </row>
    <row r="14">
      <c r="A14" s="1"/>
      <c r="C14" s="66" t="str">
        <f t="array" ref="C14">INDEX('Queen MIDI'!$C$4:$C$66,MATCH(F14,'Queen MIDI'!$D$4:$D$66,0))</f>
        <v>The Miracle</v>
      </c>
      <c r="D14" s="117">
        <v>1.0</v>
      </c>
      <c r="E14" s="118" t="s">
        <v>399</v>
      </c>
      <c r="F14" s="66" t="str">
        <f t="shared" si="2"/>
        <v>The Miracle.1.mid</v>
      </c>
      <c r="G14" s="120">
        <f>HLOOKUP(H14,'Queen Discography'!$C$2:$Q$3,2,FALSE)</f>
        <v>1989</v>
      </c>
      <c r="H14" s="66" t="str">
        <f>IF(COUNTIF('Queen Discography'!$C$4:$C$22,C14)&gt;0,"Queen",
IF(COUNTIF('Queen Discography'!$D$4:$D$22,C14)&gt;0,"Queen II",
IF(COUNTIF('Queen Discography'!$E$4:$E$22,C14)&gt;0,"Sheer Heart Attack",
IF(COUNTIF('Queen Discography'!$F$4:$F$22,C14)&gt;0,"A Night At The Opera",
IF(COUNTIF('Queen Discography'!$G$4:$G$22,C14)&gt;0,"A Day At The Races",
IF(COUNTIF('Queen Discography'!$H$4:$H$22,C14)&gt;0,"News Of The World",
IF(COUNTIF('Queen Discography'!$I$4:$I$22,C14)&gt;0,"Jazz",
IF(COUNTIF('Queen Discography'!$J$4:$J$22,C14)&gt;0,"The Game",
IF(COUNTIF('Queen Discography'!$K$4:$K$22,C14)&gt;0,"Flash Gordon",
IF(COUNTIF('Queen Discography'!$L$4:$L$22,C14)&gt;0,"Hot Space",
IF(COUNTIF('Queen Discography'!$M$4:$M$22,C14)&gt;0,"The Works",
IF(COUNTIF('Queen Discography'!$N$4:$N$22,C14)&gt;0,"A Kind Of Magic",
IF(COUNTIF('Queen Discography'!$O$4:$O$22,C14)&gt;0,"The Miracle",
IF(COUNTIF('Queen Discography'!$P$4:$P$22,C14)&gt;0,"Innuendo",
IF(COUNTIF('Queen Discography'!$Q$4:$Q$22,C14)&gt;0,"Made In Heaven","NOT FOUND")))))))))))))))</f>
        <v>The Miracle</v>
      </c>
      <c r="I14" s="1"/>
      <c r="J14" s="178">
        <v>10.0</v>
      </c>
      <c r="K14" s="106">
        <f t="shared" si="9"/>
        <v>1980</v>
      </c>
      <c r="L14" s="106">
        <f t="shared" si="3"/>
        <v>1980</v>
      </c>
      <c r="M14" s="106">
        <f t="shared" si="4"/>
        <v>1980</v>
      </c>
      <c r="N14" s="106">
        <f>IFERROR(__xludf.DUMMYFUNCTION("IFERROR(MEDIAN(FILTER($G$4:$G$66,$D$4:$D$66=$J14,ISNUMBER($G$4:$G$66))),""N/A"")"),1980.0)</f>
        <v>1980</v>
      </c>
      <c r="O14" s="106" t="str">
        <f>IFERROR(__xludf.DUMMYFUNCTION("IFERROR(MODE(FILTER($G$4:$G$66,$D$4:$D$66=$J14,ISNUMBER($G$4:$G$66))),""N/A"")"),"N/A")</f>
        <v>N/A</v>
      </c>
      <c r="P14" s="106">
        <f t="shared" ref="P14:AE14" si="18">COUNTIFS($H$4:$H$66,P$3,$D$4:$D$66,$J14)</f>
        <v>0</v>
      </c>
      <c r="Q14" s="106">
        <f t="shared" si="18"/>
        <v>0</v>
      </c>
      <c r="R14" s="106">
        <f t="shared" si="18"/>
        <v>0</v>
      </c>
      <c r="S14" s="106">
        <f t="shared" si="18"/>
        <v>0</v>
      </c>
      <c r="T14" s="106">
        <f t="shared" si="18"/>
        <v>0</v>
      </c>
      <c r="U14" s="106">
        <f t="shared" si="18"/>
        <v>0</v>
      </c>
      <c r="V14" s="106">
        <f t="shared" si="18"/>
        <v>0</v>
      </c>
      <c r="W14" s="106">
        <f t="shared" si="18"/>
        <v>1</v>
      </c>
      <c r="X14" s="106">
        <f t="shared" si="18"/>
        <v>0</v>
      </c>
      <c r="Y14" s="106">
        <f t="shared" si="18"/>
        <v>0</v>
      </c>
      <c r="Z14" s="106">
        <f t="shared" si="18"/>
        <v>0</v>
      </c>
      <c r="AA14" s="106">
        <f t="shared" si="18"/>
        <v>0</v>
      </c>
      <c r="AB14" s="106">
        <f t="shared" si="18"/>
        <v>0</v>
      </c>
      <c r="AC14" s="106">
        <f t="shared" si="18"/>
        <v>0</v>
      </c>
      <c r="AD14" s="106">
        <f t="shared" si="18"/>
        <v>0</v>
      </c>
      <c r="AE14" s="106">
        <f t="shared" si="18"/>
        <v>0</v>
      </c>
      <c r="AF14" s="179">
        <f t="array" ref="AF14:AU14">IFERROR(P14:AE14*TRANSPOSE('Queen MIDI'!$J$4:$J$19),"N/A")</f>
        <v>0</v>
      </c>
      <c r="AG14" s="179">
        <v>0.0</v>
      </c>
      <c r="AH14" s="179">
        <v>0.0</v>
      </c>
      <c r="AI14" s="179">
        <v>0.0</v>
      </c>
      <c r="AJ14" s="179">
        <v>0.0</v>
      </c>
      <c r="AK14" s="179">
        <v>0.0</v>
      </c>
      <c r="AL14" s="179">
        <v>0.0</v>
      </c>
      <c r="AM14" s="179">
        <v>0.984375</v>
      </c>
      <c r="AN14" s="179" t="s">
        <v>357</v>
      </c>
      <c r="AO14" s="179">
        <v>0.0</v>
      </c>
      <c r="AP14" s="179">
        <v>0.0</v>
      </c>
      <c r="AQ14" s="179">
        <v>0.0</v>
      </c>
      <c r="AR14" s="179">
        <v>0.0</v>
      </c>
      <c r="AS14" s="179">
        <v>0.0</v>
      </c>
      <c r="AT14" s="179">
        <v>0.0</v>
      </c>
      <c r="AU14" s="179">
        <v>0.0</v>
      </c>
      <c r="AV14" s="106" t="str">
        <f>IFERROR(__xludf.DUMMYFUNCTION("JOIN("", "",FILTER($P$3:$AE$3,$P14:$AE14=MAX($P14:$AE14)))"),"The Game")</f>
        <v>The Game</v>
      </c>
      <c r="AW14" s="106">
        <f t="shared" si="6"/>
        <v>1</v>
      </c>
      <c r="AX14" s="106">
        <f>IFERROR(__xludf.DUMMYFUNCTION("COUNTA(FILTER($P$3:$AE$3,$P14:$AE14=MAX($P14:$AE14)))"),1.0)</f>
        <v>1</v>
      </c>
      <c r="AY14" s="106" t="str">
        <f>IFERROR(__xludf.DUMMYFUNCTION("IFERROR(JOIN("", "",FILTER($AF$3:$AU$3,$AF14:$AU14=MAXIFS($AF14:$AU14,$AF$23:$AU$23,TRUE),$AF$23:$AU$23)),""N/A"")"),"The Game")</f>
        <v>The Game</v>
      </c>
      <c r="AZ14" s="171" t="str">
        <f>IFERROR(__xludf.DUMMYFUNCTION("IFERROR(JOIN("", "",FILTER($P14:$AE14,$AF14:$AU14=MAXIFS($AF14:$AU14,$AF$23:$AU$23,TRUE),$AF$23:$AU$23)),""N/A"")"),"1")</f>
        <v>1</v>
      </c>
      <c r="BA14" s="182">
        <f>MAXIFS(AF14:AU14,$AF$23:$AU$23,TRUE)/'Queen MIDI'!$J$20</f>
        <v>0.25</v>
      </c>
      <c r="BB14" s="183">
        <f>IFERROR(__xludf.DUMMYFUNCTION("COUNTA(IFERROR(FILTER($AF$3:$AU$3,$AF14:$AU14=MAXIFS($AF14:$AU14,$AF$23:$AU$23,TRUE),$AF$23:$AU$23),))"),1.0)</f>
        <v>1</v>
      </c>
      <c r="BC14" s="182">
        <f t="shared" si="7"/>
        <v>0.01587301587</v>
      </c>
      <c r="BD14" s="106">
        <f t="shared" si="8"/>
        <v>1</v>
      </c>
      <c r="BE14" s="1"/>
    </row>
    <row r="15">
      <c r="A15" s="1"/>
      <c r="C15" s="66" t="str">
        <f t="array" ref="C15">INDEX('Queen MIDI'!$C$4:$C$66,MATCH(F15,'Queen MIDI'!$D$4:$D$66,0))</f>
        <v>All God's People</v>
      </c>
      <c r="D15" s="117">
        <v>1.0</v>
      </c>
      <c r="E15" s="118" t="s">
        <v>400</v>
      </c>
      <c r="F15" s="66" t="str">
        <f t="shared" si="2"/>
        <v>All God_s People.mid</v>
      </c>
      <c r="G15" s="119">
        <f>HLOOKUP(H15,'Queen Discography'!$C$2:$Q$3,2,FALSE)</f>
        <v>1991</v>
      </c>
      <c r="H15" s="66" t="str">
        <f>IF(COUNTIF('Queen Discography'!$C$4:$C$22,C15)&gt;0,"Queen",
IF(COUNTIF('Queen Discography'!$D$4:$D$22,C15)&gt;0,"Queen II",
IF(COUNTIF('Queen Discography'!$E$4:$E$22,C15)&gt;0,"Sheer Heart Attack",
IF(COUNTIF('Queen Discography'!$F$4:$F$22,C15)&gt;0,"A Night At The Opera",
IF(COUNTIF('Queen Discography'!$G$4:$G$22,C15)&gt;0,"A Day At The Races",
IF(COUNTIF('Queen Discography'!$H$4:$H$22,C15)&gt;0,"News Of The World",
IF(COUNTIF('Queen Discography'!$I$4:$I$22,C15)&gt;0,"Jazz",
IF(COUNTIF('Queen Discography'!$J$4:$J$22,C15)&gt;0,"The Game",
IF(COUNTIF('Queen Discography'!$K$4:$K$22,C15)&gt;0,"Flash Gordon",
IF(COUNTIF('Queen Discography'!$L$4:$L$22,C15)&gt;0,"Hot Space",
IF(COUNTIF('Queen Discography'!$M$4:$M$22,C15)&gt;0,"The Works",
IF(COUNTIF('Queen Discography'!$N$4:$N$22,C15)&gt;0,"A Kind Of Magic",
IF(COUNTIF('Queen Discography'!$O$4:$O$22,C15)&gt;0,"The Miracle",
IF(COUNTIF('Queen Discography'!$P$4:$P$22,C15)&gt;0,"Innuendo",
IF(COUNTIF('Queen Discography'!$Q$4:$Q$22,C15)&gt;0,"Made In Heaven","NOT FOUND")))))))))))))))</f>
        <v>Innuendo</v>
      </c>
      <c r="I15" s="1"/>
      <c r="J15" s="178">
        <v>11.0</v>
      </c>
      <c r="K15" s="106">
        <f t="shared" si="9"/>
        <v>1974</v>
      </c>
      <c r="L15" s="106">
        <f t="shared" si="3"/>
        <v>1974</v>
      </c>
      <c r="M15" s="106">
        <f t="shared" si="4"/>
        <v>1974</v>
      </c>
      <c r="N15" s="106">
        <f>IFERROR(__xludf.DUMMYFUNCTION("IFERROR(MEDIAN(FILTER($G$4:$G$66,$D$4:$D$66=$J15,ISNUMBER($G$4:$G$66))),""N/A"")"),1974.0)</f>
        <v>1974</v>
      </c>
      <c r="O15" s="106" t="str">
        <f>IFERROR(__xludf.DUMMYFUNCTION("IFERROR(MODE(FILTER($G$4:$G$66,$D$4:$D$66=$J15,ISNUMBER($G$4:$G$66))),""N/A"")"),"N/A")</f>
        <v>N/A</v>
      </c>
      <c r="P15" s="106">
        <f t="shared" ref="P15:AE15" si="19">COUNTIFS($H$4:$H$66,P$3,$D$4:$D$66,$J15)</f>
        <v>0</v>
      </c>
      <c r="Q15" s="106">
        <f t="shared" si="19"/>
        <v>1</v>
      </c>
      <c r="R15" s="106">
        <f t="shared" si="19"/>
        <v>0</v>
      </c>
      <c r="S15" s="106">
        <f t="shared" si="19"/>
        <v>0</v>
      </c>
      <c r="T15" s="106">
        <f t="shared" si="19"/>
        <v>0</v>
      </c>
      <c r="U15" s="106">
        <f t="shared" si="19"/>
        <v>0</v>
      </c>
      <c r="V15" s="106">
        <f t="shared" si="19"/>
        <v>0</v>
      </c>
      <c r="W15" s="106">
        <f t="shared" si="19"/>
        <v>0</v>
      </c>
      <c r="X15" s="106">
        <f t="shared" si="19"/>
        <v>0</v>
      </c>
      <c r="Y15" s="106">
        <f t="shared" si="19"/>
        <v>0</v>
      </c>
      <c r="Z15" s="106">
        <f t="shared" si="19"/>
        <v>0</v>
      </c>
      <c r="AA15" s="106">
        <f t="shared" si="19"/>
        <v>0</v>
      </c>
      <c r="AB15" s="106">
        <f t="shared" si="19"/>
        <v>0</v>
      </c>
      <c r="AC15" s="106">
        <f t="shared" si="19"/>
        <v>0</v>
      </c>
      <c r="AD15" s="106">
        <f t="shared" si="19"/>
        <v>0</v>
      </c>
      <c r="AE15" s="106">
        <f t="shared" si="19"/>
        <v>0</v>
      </c>
      <c r="AF15" s="179">
        <f t="array" ref="AF15:AU15">IFERROR(P15:AE15*TRANSPOSE('Queen MIDI'!$J$4:$J$19),"N/A")</f>
        <v>0</v>
      </c>
      <c r="AG15" s="179">
        <v>1.3125</v>
      </c>
      <c r="AH15" s="179">
        <v>0.0</v>
      </c>
      <c r="AI15" s="179">
        <v>0.0</v>
      </c>
      <c r="AJ15" s="179">
        <v>0.0</v>
      </c>
      <c r="AK15" s="179">
        <v>0.0</v>
      </c>
      <c r="AL15" s="179">
        <v>0.0</v>
      </c>
      <c r="AM15" s="179">
        <v>0.0</v>
      </c>
      <c r="AN15" s="179" t="s">
        <v>357</v>
      </c>
      <c r="AO15" s="179">
        <v>0.0</v>
      </c>
      <c r="AP15" s="179">
        <v>0.0</v>
      </c>
      <c r="AQ15" s="179">
        <v>0.0</v>
      </c>
      <c r="AR15" s="179">
        <v>0.0</v>
      </c>
      <c r="AS15" s="179">
        <v>0.0</v>
      </c>
      <c r="AT15" s="179">
        <v>0.0</v>
      </c>
      <c r="AU15" s="179">
        <v>0.0</v>
      </c>
      <c r="AV15" s="106" t="str">
        <f>IFERROR(__xludf.DUMMYFUNCTION("JOIN("", "",FILTER($P$3:$AE$3,$P15:$AE15=MAX($P15:$AE15)))"),"Queen II")</f>
        <v>Queen II</v>
      </c>
      <c r="AW15" s="106">
        <f t="shared" si="6"/>
        <v>1</v>
      </c>
      <c r="AX15" s="106">
        <f>IFERROR(__xludf.DUMMYFUNCTION("COUNTA(FILTER($P$3:$AE$3,$P15:$AE15=MAX($P15:$AE15)))"),1.0)</f>
        <v>1</v>
      </c>
      <c r="AY15" s="106" t="str">
        <f>IFERROR(__xludf.DUMMYFUNCTION("IFERROR(JOIN("", "",FILTER($AF$3:$AU$3,$AF15:$AU15=MAXIFS($AF15:$AU15,$AF$23:$AU$23,TRUE),$AF$23:$AU$23)),""N/A"")"),"Queen II")</f>
        <v>Queen II</v>
      </c>
      <c r="AZ15" s="171" t="str">
        <f>IFERROR(__xludf.DUMMYFUNCTION("IFERROR(JOIN("", "",FILTER($P15:$AE15,$AF15:$AU15=MAXIFS($AF15:$AU15,$AF$23:$AU$23,TRUE),$AF$23:$AU$23)),""N/A"")"),"1")</f>
        <v>1</v>
      </c>
      <c r="BA15" s="182">
        <f>MAXIFS(AF15:AU15,$AF$23:$AU$23,TRUE)/'Queen MIDI'!$J$20</f>
        <v>0.3333333333</v>
      </c>
      <c r="BB15" s="183">
        <f>IFERROR(__xludf.DUMMYFUNCTION("COUNTA(IFERROR(FILTER($AF$3:$AU$3,$AF15:$AU15=MAXIFS($AF15:$AU15,$AF$23:$AU$23,TRUE),$AF$23:$AU$23),))"),1.0)</f>
        <v>1</v>
      </c>
      <c r="BC15" s="182">
        <f t="shared" si="7"/>
        <v>0.01587301587</v>
      </c>
      <c r="BD15" s="106">
        <f t="shared" si="8"/>
        <v>1</v>
      </c>
      <c r="BE15" s="1"/>
    </row>
    <row r="16">
      <c r="A16" s="1"/>
      <c r="C16" s="66" t="str">
        <f t="array" ref="C16">INDEX('Queen MIDI'!$C$4:$C$66,MATCH(F16,'Queen MIDI'!$D$4:$D$66,0))</f>
        <v>Innuendo</v>
      </c>
      <c r="D16" s="117">
        <v>1.0</v>
      </c>
      <c r="E16" s="118" t="s">
        <v>406</v>
      </c>
      <c r="F16" s="66" t="str">
        <f t="shared" si="2"/>
        <v>Innuendo.mid</v>
      </c>
      <c r="G16" s="131">
        <f>HLOOKUP(H16,'Queen Discography'!$C$2:$Q$3,2,FALSE)</f>
        <v>1991</v>
      </c>
      <c r="H16" s="66" t="str">
        <f>IF(COUNTIF('Queen Discography'!$C$4:$C$22,C16)&gt;0,"Queen",
IF(COUNTIF('Queen Discography'!$D$4:$D$22,C16)&gt;0,"Queen II",
IF(COUNTIF('Queen Discography'!$E$4:$E$22,C16)&gt;0,"Sheer Heart Attack",
IF(COUNTIF('Queen Discography'!$F$4:$F$22,C16)&gt;0,"A Night At The Opera",
IF(COUNTIF('Queen Discography'!$G$4:$G$22,C16)&gt;0,"A Day At The Races",
IF(COUNTIF('Queen Discography'!$H$4:$H$22,C16)&gt;0,"News Of The World",
IF(COUNTIF('Queen Discography'!$I$4:$I$22,C16)&gt;0,"Jazz",
IF(COUNTIF('Queen Discography'!$J$4:$J$22,C16)&gt;0,"The Game",
IF(COUNTIF('Queen Discography'!$K$4:$K$22,C16)&gt;0,"Flash Gordon",
IF(COUNTIF('Queen Discography'!$L$4:$L$22,C16)&gt;0,"Hot Space",
IF(COUNTIF('Queen Discography'!$M$4:$M$22,C16)&gt;0,"The Works",
IF(COUNTIF('Queen Discography'!$N$4:$N$22,C16)&gt;0,"A Kind Of Magic",
IF(COUNTIF('Queen Discography'!$O$4:$O$22,C16)&gt;0,"The Miracle",
IF(COUNTIF('Queen Discography'!$P$4:$P$22,C16)&gt;0,"Innuendo",
IF(COUNTIF('Queen Discography'!$Q$4:$Q$22,C16)&gt;0,"Made In Heaven","NOT FOUND")))))))))))))))</f>
        <v>Innuendo</v>
      </c>
      <c r="I16" s="1"/>
      <c r="J16" s="178">
        <v>12.0</v>
      </c>
      <c r="K16" s="106">
        <f t="shared" si="9"/>
        <v>1989</v>
      </c>
      <c r="L16" s="106">
        <f t="shared" si="3"/>
        <v>1989</v>
      </c>
      <c r="M16" s="106">
        <f t="shared" si="4"/>
        <v>1989</v>
      </c>
      <c r="N16" s="106">
        <f>IFERROR(__xludf.DUMMYFUNCTION("IFERROR(MEDIAN(FILTER($G$4:$G$66,$D$4:$D$66=$J16,ISNUMBER($G$4:$G$66))),""N/A"")"),1989.0)</f>
        <v>1989</v>
      </c>
      <c r="O16" s="106" t="str">
        <f>IFERROR(__xludf.DUMMYFUNCTION("IFERROR(MODE(FILTER($G$4:$G$66,$D$4:$D$66=$J16,ISNUMBER($G$4:$G$66))),""N/A"")"),"N/A")</f>
        <v>N/A</v>
      </c>
      <c r="P16" s="106">
        <f t="shared" ref="P16:AE16" si="20">COUNTIFS($H$4:$H$66,P$3,$D$4:$D$66,$J16)</f>
        <v>0</v>
      </c>
      <c r="Q16" s="106">
        <f t="shared" si="20"/>
        <v>0</v>
      </c>
      <c r="R16" s="106">
        <f t="shared" si="20"/>
        <v>0</v>
      </c>
      <c r="S16" s="106">
        <f t="shared" si="20"/>
        <v>0</v>
      </c>
      <c r="T16" s="106">
        <f t="shared" si="20"/>
        <v>0</v>
      </c>
      <c r="U16" s="106">
        <f t="shared" si="20"/>
        <v>0</v>
      </c>
      <c r="V16" s="106">
        <f t="shared" si="20"/>
        <v>0</v>
      </c>
      <c r="W16" s="106">
        <f t="shared" si="20"/>
        <v>0</v>
      </c>
      <c r="X16" s="106">
        <f t="shared" si="20"/>
        <v>0</v>
      </c>
      <c r="Y16" s="106">
        <f t="shared" si="20"/>
        <v>0</v>
      </c>
      <c r="Z16" s="106">
        <f t="shared" si="20"/>
        <v>0</v>
      </c>
      <c r="AA16" s="106">
        <f t="shared" si="20"/>
        <v>0</v>
      </c>
      <c r="AB16" s="106">
        <f t="shared" si="20"/>
        <v>1</v>
      </c>
      <c r="AC16" s="106">
        <f t="shared" si="20"/>
        <v>0</v>
      </c>
      <c r="AD16" s="106">
        <f t="shared" si="20"/>
        <v>0</v>
      </c>
      <c r="AE16" s="106">
        <f t="shared" si="20"/>
        <v>0</v>
      </c>
      <c r="AF16" s="179">
        <f t="array" ref="AF16:AU16">IFERROR(P16:AE16*TRANSPOSE('Queen MIDI'!$J$4:$J$19),"N/A")</f>
        <v>0</v>
      </c>
      <c r="AG16" s="179">
        <v>0.0</v>
      </c>
      <c r="AH16" s="179">
        <v>0.0</v>
      </c>
      <c r="AI16" s="179">
        <v>0.0</v>
      </c>
      <c r="AJ16" s="179">
        <v>0.0</v>
      </c>
      <c r="AK16" s="179">
        <v>0.0</v>
      </c>
      <c r="AL16" s="179">
        <v>0.0</v>
      </c>
      <c r="AM16" s="179">
        <v>0.0</v>
      </c>
      <c r="AN16" s="179" t="s">
        <v>357</v>
      </c>
      <c r="AO16" s="179">
        <v>0.0</v>
      </c>
      <c r="AP16" s="179">
        <v>0.0</v>
      </c>
      <c r="AQ16" s="179">
        <v>0.0</v>
      </c>
      <c r="AR16" s="179">
        <v>0.7875</v>
      </c>
      <c r="AS16" s="179">
        <v>0.0</v>
      </c>
      <c r="AT16" s="179">
        <v>0.0</v>
      </c>
      <c r="AU16" s="179">
        <v>0.0</v>
      </c>
      <c r="AV16" s="106" t="str">
        <f>IFERROR(__xludf.DUMMYFUNCTION("JOIN("", "",FILTER($P$3:$AE$3,$P16:$AE16=MAX($P16:$AE16)))"),"The Miracle")</f>
        <v>The Miracle</v>
      </c>
      <c r="AW16" s="106">
        <f t="shared" si="6"/>
        <v>1</v>
      </c>
      <c r="AX16" s="106">
        <f>IFERROR(__xludf.DUMMYFUNCTION("COUNTA(FILTER($P$3:$AE$3,$P16:$AE16=MAX($P16:$AE16)))"),1.0)</f>
        <v>1</v>
      </c>
      <c r="AY16" s="106" t="str">
        <f>IFERROR(__xludf.DUMMYFUNCTION("IFERROR(JOIN("", "",FILTER($AF$3:$AU$3,$AF16:$AU16=MAXIFS($AF16:$AU16,$AF$23:$AU$23,TRUE),$AF$23:$AU$23)),""N/A"")"),"The Miracle")</f>
        <v>The Miracle</v>
      </c>
      <c r="AZ16" s="171" t="str">
        <f>IFERROR(__xludf.DUMMYFUNCTION("IFERROR(JOIN("", "",FILTER($P16:$AE16,$AF16:$AU16=MAXIFS($AF16:$AU16,$AF$23:$AU$23,TRUE),$AF$23:$AU$23)),""N/A"")"),"1")</f>
        <v>1</v>
      </c>
      <c r="BA16" s="182">
        <f>MAXIFS(AF16:AU16,$AF$23:$AU$23,TRUE)/'Queen MIDI'!$J$20</f>
        <v>0.2</v>
      </c>
      <c r="BB16" s="183">
        <f>IFERROR(__xludf.DUMMYFUNCTION("COUNTA(IFERROR(FILTER($AF$3:$AU$3,$AF16:$AU16=MAXIFS($AF16:$AU16,$AF$23:$AU$23,TRUE),$AF$23:$AU$23),))"),1.0)</f>
        <v>1</v>
      </c>
      <c r="BC16" s="182">
        <f t="shared" si="7"/>
        <v>0.01587301587</v>
      </c>
      <c r="BD16" s="106">
        <f t="shared" si="8"/>
        <v>1</v>
      </c>
      <c r="BE16" s="1"/>
    </row>
    <row r="17">
      <c r="A17" s="1"/>
      <c r="C17" s="66" t="str">
        <f t="array" ref="C17">INDEX('Queen MIDI'!$C$4:$C$66,MATCH(F17,'Queen MIDI'!$D$4:$D$66,0))</f>
        <v>I'm Going Slightly Mad</v>
      </c>
      <c r="D17" s="117">
        <v>1.0</v>
      </c>
      <c r="E17" s="118" t="s">
        <v>405</v>
      </c>
      <c r="F17" s="66" t="str">
        <f t="shared" si="2"/>
        <v>I_m Going Slightly Mad.2.mid</v>
      </c>
      <c r="G17" s="129">
        <f>HLOOKUP(H17,'Queen Discography'!$C$2:$Q$3,2,FALSE)</f>
        <v>1991</v>
      </c>
      <c r="H17" s="66" t="str">
        <f>IF(COUNTIF('Queen Discography'!$C$4:$C$22,C17)&gt;0,"Queen",
IF(COUNTIF('Queen Discography'!$D$4:$D$22,C17)&gt;0,"Queen II",
IF(COUNTIF('Queen Discography'!$E$4:$E$22,C17)&gt;0,"Sheer Heart Attack",
IF(COUNTIF('Queen Discography'!$F$4:$F$22,C17)&gt;0,"A Night At The Opera",
IF(COUNTIF('Queen Discography'!$G$4:$G$22,C17)&gt;0,"A Day At The Races",
IF(COUNTIF('Queen Discography'!$H$4:$H$22,C17)&gt;0,"News Of The World",
IF(COUNTIF('Queen Discography'!$I$4:$I$22,C17)&gt;0,"Jazz",
IF(COUNTIF('Queen Discography'!$J$4:$J$22,C17)&gt;0,"The Game",
IF(COUNTIF('Queen Discography'!$K$4:$K$22,C17)&gt;0,"Flash Gordon",
IF(COUNTIF('Queen Discography'!$L$4:$L$22,C17)&gt;0,"Hot Space",
IF(COUNTIF('Queen Discography'!$M$4:$M$22,C17)&gt;0,"The Works",
IF(COUNTIF('Queen Discography'!$N$4:$N$22,C17)&gt;0,"A Kind Of Magic",
IF(COUNTIF('Queen Discography'!$O$4:$O$22,C17)&gt;0,"The Miracle",
IF(COUNTIF('Queen Discography'!$P$4:$P$22,C17)&gt;0,"Innuendo",
IF(COUNTIF('Queen Discography'!$Q$4:$Q$22,C17)&gt;0,"Made In Heaven","NOT FOUND")))))))))))))))</f>
        <v>Innuendo</v>
      </c>
      <c r="I17" s="1"/>
      <c r="J17" s="178">
        <v>13.0</v>
      </c>
      <c r="K17" s="106">
        <f t="shared" si="9"/>
        <v>1973</v>
      </c>
      <c r="L17" s="106">
        <f t="shared" si="3"/>
        <v>1973</v>
      </c>
      <c r="M17" s="106">
        <f t="shared" si="4"/>
        <v>1973</v>
      </c>
      <c r="N17" s="106">
        <f>IFERROR(__xludf.DUMMYFUNCTION("IFERROR(MEDIAN(FILTER($G$4:$G$66,$D$4:$D$66=$J17,ISNUMBER($G$4:$G$66))),""N/A"")"),1973.0)</f>
        <v>1973</v>
      </c>
      <c r="O17" s="106" t="str">
        <f>IFERROR(__xludf.DUMMYFUNCTION("IFERROR(MODE(FILTER($G$4:$G$66,$D$4:$D$66=$J17,ISNUMBER($G$4:$G$66))),""N/A"")"),"N/A")</f>
        <v>N/A</v>
      </c>
      <c r="P17" s="106">
        <f t="shared" ref="P17:AE17" si="21">COUNTIFS($H$4:$H$66,P$3,$D$4:$D$66,$J17)</f>
        <v>1</v>
      </c>
      <c r="Q17" s="106">
        <f t="shared" si="21"/>
        <v>0</v>
      </c>
      <c r="R17" s="106">
        <f t="shared" si="21"/>
        <v>0</v>
      </c>
      <c r="S17" s="106">
        <f t="shared" si="21"/>
        <v>0</v>
      </c>
      <c r="T17" s="106">
        <f t="shared" si="21"/>
        <v>0</v>
      </c>
      <c r="U17" s="106">
        <f t="shared" si="21"/>
        <v>0</v>
      </c>
      <c r="V17" s="106">
        <f t="shared" si="21"/>
        <v>0</v>
      </c>
      <c r="W17" s="106">
        <f t="shared" si="21"/>
        <v>0</v>
      </c>
      <c r="X17" s="106">
        <f t="shared" si="21"/>
        <v>0</v>
      </c>
      <c r="Y17" s="106">
        <f t="shared" si="21"/>
        <v>0</v>
      </c>
      <c r="Z17" s="106">
        <f t="shared" si="21"/>
        <v>0</v>
      </c>
      <c r="AA17" s="106">
        <f t="shared" si="21"/>
        <v>0</v>
      </c>
      <c r="AB17" s="106">
        <f t="shared" si="21"/>
        <v>0</v>
      </c>
      <c r="AC17" s="106">
        <f t="shared" si="21"/>
        <v>0</v>
      </c>
      <c r="AD17" s="106">
        <f t="shared" si="21"/>
        <v>0</v>
      </c>
      <c r="AE17" s="106">
        <f t="shared" si="21"/>
        <v>0</v>
      </c>
      <c r="AF17" s="179">
        <f t="array" ref="AF17:AU17">IFERROR(P17:AE17*TRANSPOSE('Queen MIDI'!$J$4:$J$19),"N/A")</f>
        <v>0.984375</v>
      </c>
      <c r="AG17" s="179">
        <v>0.0</v>
      </c>
      <c r="AH17" s="179">
        <v>0.0</v>
      </c>
      <c r="AI17" s="179">
        <v>0.0</v>
      </c>
      <c r="AJ17" s="179">
        <v>0.0</v>
      </c>
      <c r="AK17" s="179">
        <v>0.0</v>
      </c>
      <c r="AL17" s="179">
        <v>0.0</v>
      </c>
      <c r="AM17" s="179">
        <v>0.0</v>
      </c>
      <c r="AN17" s="179" t="s">
        <v>357</v>
      </c>
      <c r="AO17" s="179">
        <v>0.0</v>
      </c>
      <c r="AP17" s="179">
        <v>0.0</v>
      </c>
      <c r="AQ17" s="179">
        <v>0.0</v>
      </c>
      <c r="AR17" s="179">
        <v>0.0</v>
      </c>
      <c r="AS17" s="179">
        <v>0.0</v>
      </c>
      <c r="AT17" s="179">
        <v>0.0</v>
      </c>
      <c r="AU17" s="179">
        <v>0.0</v>
      </c>
      <c r="AV17" s="106" t="str">
        <f>IFERROR(__xludf.DUMMYFUNCTION("JOIN("", "",FILTER($P$3:$AE$3,$P17:$AE17=MAX($P17:$AE17)))"),"Queen")</f>
        <v>Queen</v>
      </c>
      <c r="AW17" s="106">
        <f t="shared" si="6"/>
        <v>1</v>
      </c>
      <c r="AX17" s="106">
        <f>IFERROR(__xludf.DUMMYFUNCTION("COUNTA(FILTER($P$3:$AE$3,$P17:$AE17=MAX($P17:$AE17)))"),1.0)</f>
        <v>1</v>
      </c>
      <c r="AY17" s="106" t="str">
        <f>IFERROR(__xludf.DUMMYFUNCTION("IFERROR(JOIN("", "",FILTER($AF$3:$AU$3,$AF17:$AU17=MAXIFS($AF17:$AU17,$AF$23:$AU$23,TRUE),$AF$23:$AU$23)),""N/A"")"),"Queen")</f>
        <v>Queen</v>
      </c>
      <c r="AZ17" s="171" t="str">
        <f>IFERROR(__xludf.DUMMYFUNCTION("IFERROR(JOIN("", "",FILTER($P17:$AE17,$AF17:$AU17=MAXIFS($AF17:$AU17,$AF$23:$AU$23,TRUE),$AF$23:$AU$23)),""N/A"")"),"1")</f>
        <v>1</v>
      </c>
      <c r="BA17" s="182">
        <f>MAXIFS(AF17:AU17,$AF$23:$AU$23,TRUE)/'Queen MIDI'!$J$20</f>
        <v>0.25</v>
      </c>
      <c r="BB17" s="183">
        <f>IFERROR(__xludf.DUMMYFUNCTION("COUNTA(IFERROR(FILTER($AF$3:$AU$3,$AF17:$AU17=MAXIFS($AF17:$AU17,$AF$23:$AU$23,TRUE),$AF$23:$AU$23),))"),1.0)</f>
        <v>1</v>
      </c>
      <c r="BC17" s="182">
        <f t="shared" si="7"/>
        <v>0.01587301587</v>
      </c>
      <c r="BD17" s="106">
        <f t="shared" si="8"/>
        <v>1</v>
      </c>
      <c r="BE17" s="1"/>
    </row>
    <row r="18">
      <c r="A18" s="1"/>
      <c r="C18" s="66" t="str">
        <f t="array" ref="C18">INDEX('Queen MIDI'!$C$4:$C$66,MATCH(F18,'Queen MIDI'!$D$4:$D$66,0))</f>
        <v>Made in Heaven</v>
      </c>
      <c r="D18" s="117">
        <v>1.0</v>
      </c>
      <c r="E18" s="118" t="s">
        <v>411</v>
      </c>
      <c r="F18" s="66" t="str">
        <f t="shared" si="2"/>
        <v>Made in Heaven.mid</v>
      </c>
      <c r="G18" s="127">
        <f>HLOOKUP(H18,'Queen Discography'!$C$2:$Q$3,2,FALSE)</f>
        <v>1995</v>
      </c>
      <c r="H18" s="66" t="str">
        <f>IF(COUNTIF('Queen Discography'!$C$4:$C$22,C18)&gt;0,"Queen",
IF(COUNTIF('Queen Discography'!$D$4:$D$22,C18)&gt;0,"Queen II",
IF(COUNTIF('Queen Discography'!$E$4:$E$22,C18)&gt;0,"Sheer Heart Attack",
IF(COUNTIF('Queen Discography'!$F$4:$F$22,C18)&gt;0,"A Night At The Opera",
IF(COUNTIF('Queen Discography'!$G$4:$G$22,C18)&gt;0,"A Day At The Races",
IF(COUNTIF('Queen Discography'!$H$4:$H$22,C18)&gt;0,"News Of The World",
IF(COUNTIF('Queen Discography'!$I$4:$I$22,C18)&gt;0,"Jazz",
IF(COUNTIF('Queen Discography'!$J$4:$J$22,C18)&gt;0,"The Game",
IF(COUNTIF('Queen Discography'!$K$4:$K$22,C18)&gt;0,"Flash Gordon",
IF(COUNTIF('Queen Discography'!$L$4:$L$22,C18)&gt;0,"Hot Space",
IF(COUNTIF('Queen Discography'!$M$4:$M$22,C18)&gt;0,"The Works",
IF(COUNTIF('Queen Discography'!$N$4:$N$22,C18)&gt;0,"A Kind Of Magic",
IF(COUNTIF('Queen Discography'!$O$4:$O$22,C18)&gt;0,"The Miracle",
IF(COUNTIF('Queen Discography'!$P$4:$P$22,C18)&gt;0,"Innuendo",
IF(COUNTIF('Queen Discography'!$Q$4:$Q$22,C18)&gt;0,"Made In Heaven","NOT FOUND")))))))))))))))</f>
        <v>Made In Heaven</v>
      </c>
      <c r="I18" s="1"/>
      <c r="J18" s="178">
        <v>14.0</v>
      </c>
      <c r="K18" s="106" t="str">
        <f t="shared" si="9"/>
        <v>N/A</v>
      </c>
      <c r="L18" s="106" t="str">
        <f t="shared" si="3"/>
        <v>N/A</v>
      </c>
      <c r="M18" s="106" t="str">
        <f t="shared" si="4"/>
        <v>N/A</v>
      </c>
      <c r="N18" s="106" t="str">
        <f>IFERROR(__xludf.DUMMYFUNCTION("IFERROR(MEDIAN(FILTER($G$4:$G$66,$D$4:$D$66=$J18,ISNUMBER($G$4:$G$66))),""N/A"")"),"N/A")</f>
        <v>N/A</v>
      </c>
      <c r="O18" s="106" t="str">
        <f>IFERROR(__xludf.DUMMYFUNCTION("IFERROR(MODE(FILTER($G$4:$G$66,$D$4:$D$66=$J18,ISNUMBER($G$4:$G$66))),""N/A"")"),"N/A")</f>
        <v>N/A</v>
      </c>
      <c r="P18" s="106">
        <f t="shared" ref="P18:AE18" si="22">COUNTIFS($H$4:$H$66,P$3,$D$4:$D$66,$J18)</f>
        <v>0</v>
      </c>
      <c r="Q18" s="106">
        <f t="shared" si="22"/>
        <v>0</v>
      </c>
      <c r="R18" s="106">
        <f t="shared" si="22"/>
        <v>0</v>
      </c>
      <c r="S18" s="106">
        <f t="shared" si="22"/>
        <v>0</v>
      </c>
      <c r="T18" s="106">
        <f t="shared" si="22"/>
        <v>0</v>
      </c>
      <c r="U18" s="106">
        <f t="shared" si="22"/>
        <v>0</v>
      </c>
      <c r="V18" s="106">
        <f t="shared" si="22"/>
        <v>0</v>
      </c>
      <c r="W18" s="106">
        <f t="shared" si="22"/>
        <v>0</v>
      </c>
      <c r="X18" s="106">
        <f t="shared" si="22"/>
        <v>0</v>
      </c>
      <c r="Y18" s="106">
        <f t="shared" si="22"/>
        <v>0</v>
      </c>
      <c r="Z18" s="106">
        <f t="shared" si="22"/>
        <v>0</v>
      </c>
      <c r="AA18" s="106">
        <f t="shared" si="22"/>
        <v>0</v>
      </c>
      <c r="AB18" s="106">
        <f t="shared" si="22"/>
        <v>0</v>
      </c>
      <c r="AC18" s="106">
        <f t="shared" si="22"/>
        <v>0</v>
      </c>
      <c r="AD18" s="106">
        <f t="shared" si="22"/>
        <v>0</v>
      </c>
      <c r="AE18" s="106">
        <f t="shared" si="22"/>
        <v>1</v>
      </c>
      <c r="AF18" s="179">
        <f t="array" ref="AF18:AU18">IFERROR(P18:AE18*TRANSPOSE('Queen MIDI'!$J$4:$J$19),"N/A")</f>
        <v>0</v>
      </c>
      <c r="AG18" s="179">
        <v>0.0</v>
      </c>
      <c r="AH18" s="179">
        <v>0.0</v>
      </c>
      <c r="AI18" s="179">
        <v>0.0</v>
      </c>
      <c r="AJ18" s="179">
        <v>0.0</v>
      </c>
      <c r="AK18" s="179">
        <v>0.0</v>
      </c>
      <c r="AL18" s="179">
        <v>0.0</v>
      </c>
      <c r="AM18" s="179">
        <v>0.0</v>
      </c>
      <c r="AN18" s="179" t="s">
        <v>357</v>
      </c>
      <c r="AO18" s="179">
        <v>0.0</v>
      </c>
      <c r="AP18" s="179">
        <v>0.0</v>
      </c>
      <c r="AQ18" s="179">
        <v>0.0</v>
      </c>
      <c r="AR18" s="179">
        <v>0.0</v>
      </c>
      <c r="AS18" s="179">
        <v>0.0</v>
      </c>
      <c r="AT18" s="179">
        <v>0.0</v>
      </c>
      <c r="AU18" s="179">
        <v>1.96875</v>
      </c>
      <c r="AV18" s="106" t="str">
        <f>IFERROR(__xludf.DUMMYFUNCTION("JOIN("", "",FILTER($P$3:$AE$3,$P18:$AE18=MAX($P18:$AE18)))"),"NOT FOUND")</f>
        <v>NOT FOUND</v>
      </c>
      <c r="AW18" s="106">
        <f t="shared" si="6"/>
        <v>1</v>
      </c>
      <c r="AX18" s="106">
        <f>IFERROR(__xludf.DUMMYFUNCTION("COUNTA(FILTER($P$3:$AE$3,$P18:$AE18=MAX($P18:$AE18)))"),1.0)</f>
        <v>1</v>
      </c>
      <c r="AY18" s="106" t="str">
        <f>IFERROR(__xludf.DUMMYFUNCTION("IFERROR(JOIN("", "",FILTER($AF$3:$AU$3,$AF18:$AU18=MAXIFS($AF18:$AU18,$AF$23:$AU$23,TRUE),$AF$23:$AU$23)),""N/A"")"),"NOT FOUND")</f>
        <v>NOT FOUND</v>
      </c>
      <c r="AZ18" s="171" t="str">
        <f>IFERROR(__xludf.DUMMYFUNCTION("IFERROR(JOIN("", "",FILTER($P18:$AE18,$AF18:$AU18=MAXIFS($AF18:$AU18,$AF$23:$AU$23,TRUE),$AF$23:$AU$23)),""N/A"")"),"1")</f>
        <v>1</v>
      </c>
      <c r="BA18" s="182">
        <f>MAXIFS(AF18:AU18,$AF$23:$AU$23,TRUE)/'Queen MIDI'!$J$20</f>
        <v>0.5</v>
      </c>
      <c r="BB18" s="183">
        <f>IFERROR(__xludf.DUMMYFUNCTION("COUNTA(IFERROR(FILTER($AF$3:$AU$3,$AF18:$AU18=MAXIFS($AF18:$AU18,$AF$23:$AU$23,TRUE),$AF$23:$AU$23),))"),1.0)</f>
        <v>1</v>
      </c>
      <c r="BC18" s="182">
        <f t="shared" si="7"/>
        <v>0.01587301587</v>
      </c>
      <c r="BD18" s="106">
        <f t="shared" si="8"/>
        <v>1</v>
      </c>
      <c r="BE18" s="1"/>
    </row>
    <row r="19">
      <c r="A19" s="1"/>
      <c r="C19" s="66" t="str">
        <f t="array" ref="C19">INDEX('Queen MIDI'!$C$4:$C$66,MATCH(F19,'Queen MIDI'!$D$4:$D$66,0))</f>
        <v>Bijou</v>
      </c>
      <c r="D19" s="117">
        <v>2.0</v>
      </c>
      <c r="E19" s="118" t="s">
        <v>401</v>
      </c>
      <c r="F19" s="66" t="str">
        <f t="shared" si="2"/>
        <v>Bijou.1.mid</v>
      </c>
      <c r="G19" s="126">
        <f>HLOOKUP(H19,'Queen Discography'!$C$2:$Q$3,2,FALSE)</f>
        <v>1991</v>
      </c>
      <c r="H19" s="66" t="str">
        <f>IF(COUNTIF('Queen Discography'!$C$4:$C$22,C19)&gt;0,"Queen",
IF(COUNTIF('Queen Discography'!$D$4:$D$22,C19)&gt;0,"Queen II",
IF(COUNTIF('Queen Discography'!$E$4:$E$22,C19)&gt;0,"Sheer Heart Attack",
IF(COUNTIF('Queen Discography'!$F$4:$F$22,C19)&gt;0,"A Night At The Opera",
IF(COUNTIF('Queen Discography'!$G$4:$G$22,C19)&gt;0,"A Day At The Races",
IF(COUNTIF('Queen Discography'!$H$4:$H$22,C19)&gt;0,"News Of The World",
IF(COUNTIF('Queen Discography'!$I$4:$I$22,C19)&gt;0,"Jazz",
IF(COUNTIF('Queen Discography'!$J$4:$J$22,C19)&gt;0,"The Game",
IF(COUNTIF('Queen Discography'!$K$4:$K$22,C19)&gt;0,"Flash Gordon",
IF(COUNTIF('Queen Discography'!$L$4:$L$22,C19)&gt;0,"Hot Space",
IF(COUNTIF('Queen Discography'!$M$4:$M$22,C19)&gt;0,"The Works",
IF(COUNTIF('Queen Discography'!$N$4:$N$22,C19)&gt;0,"A Kind Of Magic",
IF(COUNTIF('Queen Discography'!$O$4:$O$22,C19)&gt;0,"The Miracle",
IF(COUNTIF('Queen Discography'!$P$4:$P$22,C19)&gt;0,"Innuendo",
IF(COUNTIF('Queen Discography'!$Q$4:$Q$22,C19)&gt;0,"Made In Heaven","NOT FOUND")))))))))))))))</f>
        <v>Innuendo</v>
      </c>
      <c r="I19" s="1"/>
      <c r="J19" s="178">
        <v>15.0</v>
      </c>
      <c r="K19" s="106">
        <f t="shared" si="9"/>
        <v>1989</v>
      </c>
      <c r="L19" s="106">
        <f t="shared" si="3"/>
        <v>1989</v>
      </c>
      <c r="M19" s="106">
        <f t="shared" si="4"/>
        <v>1989</v>
      </c>
      <c r="N19" s="106">
        <f>IFERROR(__xludf.DUMMYFUNCTION("IFERROR(MEDIAN(FILTER($G$4:$G$66,$D$4:$D$66=$J19,ISNUMBER($G$4:$G$66))),""N/A"")"),1989.0)</f>
        <v>1989</v>
      </c>
      <c r="O19" s="106" t="str">
        <f>IFERROR(__xludf.DUMMYFUNCTION("IFERROR(MODE(FILTER($G$4:$G$66,$D$4:$D$66=$J19,ISNUMBER($G$4:$G$66))),""N/A"")"),"N/A")</f>
        <v>N/A</v>
      </c>
      <c r="P19" s="106">
        <f t="shared" ref="P19:AE19" si="23">COUNTIFS($H$4:$H$66,P$3,$D$4:$D$66,$J19)</f>
        <v>0</v>
      </c>
      <c r="Q19" s="106">
        <f t="shared" si="23"/>
        <v>0</v>
      </c>
      <c r="R19" s="106">
        <f t="shared" si="23"/>
        <v>0</v>
      </c>
      <c r="S19" s="106">
        <f t="shared" si="23"/>
        <v>0</v>
      </c>
      <c r="T19" s="106">
        <f t="shared" si="23"/>
        <v>0</v>
      </c>
      <c r="U19" s="106">
        <f t="shared" si="23"/>
        <v>0</v>
      </c>
      <c r="V19" s="106">
        <f t="shared" si="23"/>
        <v>0</v>
      </c>
      <c r="W19" s="106">
        <f t="shared" si="23"/>
        <v>0</v>
      </c>
      <c r="X19" s="106">
        <f t="shared" si="23"/>
        <v>0</v>
      </c>
      <c r="Y19" s="106">
        <f t="shared" si="23"/>
        <v>0</v>
      </c>
      <c r="Z19" s="106">
        <f t="shared" si="23"/>
        <v>0</v>
      </c>
      <c r="AA19" s="106">
        <f t="shared" si="23"/>
        <v>0</v>
      </c>
      <c r="AB19" s="106">
        <f t="shared" si="23"/>
        <v>1</v>
      </c>
      <c r="AC19" s="106">
        <f t="shared" si="23"/>
        <v>0</v>
      </c>
      <c r="AD19" s="106">
        <f t="shared" si="23"/>
        <v>0</v>
      </c>
      <c r="AE19" s="106">
        <f t="shared" si="23"/>
        <v>0</v>
      </c>
      <c r="AF19" s="179">
        <f t="array" ref="AF19:AU19">IFERROR(P19:AE19*TRANSPOSE('Queen MIDI'!$J$4:$J$19),"N/A")</f>
        <v>0</v>
      </c>
      <c r="AG19" s="179">
        <v>0.0</v>
      </c>
      <c r="AH19" s="179">
        <v>0.0</v>
      </c>
      <c r="AI19" s="179">
        <v>0.0</v>
      </c>
      <c r="AJ19" s="179">
        <v>0.0</v>
      </c>
      <c r="AK19" s="179">
        <v>0.0</v>
      </c>
      <c r="AL19" s="179">
        <v>0.0</v>
      </c>
      <c r="AM19" s="179">
        <v>0.0</v>
      </c>
      <c r="AN19" s="179" t="s">
        <v>357</v>
      </c>
      <c r="AO19" s="179">
        <v>0.0</v>
      </c>
      <c r="AP19" s="179">
        <v>0.0</v>
      </c>
      <c r="AQ19" s="179">
        <v>0.0</v>
      </c>
      <c r="AR19" s="179">
        <v>0.7875</v>
      </c>
      <c r="AS19" s="179">
        <v>0.0</v>
      </c>
      <c r="AT19" s="179">
        <v>0.0</v>
      </c>
      <c r="AU19" s="179">
        <v>0.0</v>
      </c>
      <c r="AV19" s="106" t="str">
        <f>IFERROR(__xludf.DUMMYFUNCTION("JOIN("", "",FILTER($P$3:$AE$3,$P19:$AE19=MAX($P19:$AE19)))"),"The Miracle")</f>
        <v>The Miracle</v>
      </c>
      <c r="AW19" s="106">
        <f t="shared" si="6"/>
        <v>1</v>
      </c>
      <c r="AX19" s="106">
        <f>IFERROR(__xludf.DUMMYFUNCTION("COUNTA(FILTER($P$3:$AE$3,$P19:$AE19=MAX($P19:$AE19)))"),1.0)</f>
        <v>1</v>
      </c>
      <c r="AY19" s="106" t="str">
        <f>IFERROR(__xludf.DUMMYFUNCTION("IFERROR(JOIN("", "",FILTER($AF$3:$AU$3,$AF19:$AU19=MAXIFS($AF19:$AU19,$AF$23:$AU$23,TRUE),$AF$23:$AU$23)),""N/A"")"),"The Miracle")</f>
        <v>The Miracle</v>
      </c>
      <c r="AZ19" s="171" t="str">
        <f>IFERROR(__xludf.DUMMYFUNCTION("IFERROR(JOIN("", "",FILTER($P19:$AE19,$AF19:$AU19=MAXIFS($AF19:$AU19,$AF$23:$AU$23,TRUE),$AF$23:$AU$23)),""N/A"")"),"1")</f>
        <v>1</v>
      </c>
      <c r="BA19" s="182">
        <f>MAXIFS(AF19:AU19,$AF$23:$AU$23,TRUE)/'Queen MIDI'!$J$20</f>
        <v>0.2</v>
      </c>
      <c r="BB19" s="183">
        <f>IFERROR(__xludf.DUMMYFUNCTION("COUNTA(IFERROR(FILTER($AF$3:$AU$3,$AF19:$AU19=MAXIFS($AF19:$AU19,$AF$23:$AU$23,TRUE),$AF$23:$AU$23),))"),1.0)</f>
        <v>1</v>
      </c>
      <c r="BC19" s="182">
        <f t="shared" si="7"/>
        <v>0.01587301587</v>
      </c>
      <c r="BD19" s="106">
        <f t="shared" si="8"/>
        <v>1</v>
      </c>
      <c r="BE19" s="1"/>
    </row>
    <row r="20">
      <c r="A20" s="1"/>
      <c r="C20" s="66" t="str">
        <f t="array" ref="C20">INDEX('Queen MIDI'!$C$4:$C$66,MATCH(F20,'Queen MIDI'!$D$4:$D$66,0))</f>
        <v>Bohemian Rhapsody</v>
      </c>
      <c r="D20" s="117">
        <v>3.0</v>
      </c>
      <c r="E20" s="118" t="s">
        <v>366</v>
      </c>
      <c r="F20" s="66" t="str">
        <f t="shared" si="2"/>
        <v>Bohemian Rhapsody.1.mid</v>
      </c>
      <c r="G20" s="126">
        <f>HLOOKUP(H20,'Queen Discography'!$C$2:$Q$3,2,FALSE)</f>
        <v>1975</v>
      </c>
      <c r="H20" s="66" t="str">
        <f>IF(COUNTIF('Queen Discography'!$C$4:$C$22,C20)&gt;0,"Queen",
IF(COUNTIF('Queen Discography'!$D$4:$D$22,C20)&gt;0,"Queen II",
IF(COUNTIF('Queen Discography'!$E$4:$E$22,C20)&gt;0,"Sheer Heart Attack",
IF(COUNTIF('Queen Discography'!$F$4:$F$22,C20)&gt;0,"A Night At The Opera",
IF(COUNTIF('Queen Discography'!$G$4:$G$22,C20)&gt;0,"A Day At The Races",
IF(COUNTIF('Queen Discography'!$H$4:$H$22,C20)&gt;0,"News Of The World",
IF(COUNTIF('Queen Discography'!$I$4:$I$22,C20)&gt;0,"Jazz",
IF(COUNTIF('Queen Discography'!$J$4:$J$22,C20)&gt;0,"The Game",
IF(COUNTIF('Queen Discography'!$K$4:$K$22,C20)&gt;0,"Flash Gordon",
IF(COUNTIF('Queen Discography'!$L$4:$L$22,C20)&gt;0,"Hot Space",
IF(COUNTIF('Queen Discography'!$M$4:$M$22,C20)&gt;0,"The Works",
IF(COUNTIF('Queen Discography'!$N$4:$N$22,C20)&gt;0,"A Kind Of Magic",
IF(COUNTIF('Queen Discography'!$O$4:$O$22,C20)&gt;0,"The Miracle",
IF(COUNTIF('Queen Discography'!$P$4:$P$22,C20)&gt;0,"Innuendo",
IF(COUNTIF('Queen Discography'!$Q$4:$Q$22,C20)&gt;0,"Made In Heaven","NOT FOUND")))))))))))))))</f>
        <v>A Night At The Opera</v>
      </c>
      <c r="I20" s="1"/>
      <c r="J20" s="178">
        <v>16.0</v>
      </c>
      <c r="K20" s="106">
        <f t="shared" si="9"/>
        <v>1977</v>
      </c>
      <c r="L20" s="106">
        <f t="shared" si="3"/>
        <v>1977</v>
      </c>
      <c r="M20" s="106">
        <f t="shared" si="4"/>
        <v>1977</v>
      </c>
      <c r="N20" s="106">
        <f>IFERROR(__xludf.DUMMYFUNCTION("IFERROR(MEDIAN(FILTER($G$4:$G$66,$D$4:$D$66=$J20,ISNUMBER($G$4:$G$66))),""N/A"")"),1977.0)</f>
        <v>1977</v>
      </c>
      <c r="O20" s="106" t="str">
        <f>IFERROR(__xludf.DUMMYFUNCTION("IFERROR(MODE(FILTER($G$4:$G$66,$D$4:$D$66=$J20,ISNUMBER($G$4:$G$66))),""N/A"")"),"N/A")</f>
        <v>N/A</v>
      </c>
      <c r="P20" s="106">
        <f t="shared" ref="P20:AE20" si="24">COUNTIFS($H$4:$H$66,P$3,$D$4:$D$66,$J20)</f>
        <v>0</v>
      </c>
      <c r="Q20" s="106">
        <f t="shared" si="24"/>
        <v>0</v>
      </c>
      <c r="R20" s="106">
        <f t="shared" si="24"/>
        <v>0</v>
      </c>
      <c r="S20" s="106">
        <f t="shared" si="24"/>
        <v>0</v>
      </c>
      <c r="T20" s="106">
        <f t="shared" si="24"/>
        <v>0</v>
      </c>
      <c r="U20" s="106">
        <f t="shared" si="24"/>
        <v>1</v>
      </c>
      <c r="V20" s="106">
        <f t="shared" si="24"/>
        <v>0</v>
      </c>
      <c r="W20" s="106">
        <f t="shared" si="24"/>
        <v>0</v>
      </c>
      <c r="X20" s="106">
        <f t="shared" si="24"/>
        <v>0</v>
      </c>
      <c r="Y20" s="106">
        <f t="shared" si="24"/>
        <v>0</v>
      </c>
      <c r="Z20" s="106">
        <f t="shared" si="24"/>
        <v>0</v>
      </c>
      <c r="AA20" s="106">
        <f t="shared" si="24"/>
        <v>0</v>
      </c>
      <c r="AB20" s="106">
        <f t="shared" si="24"/>
        <v>0</v>
      </c>
      <c r="AC20" s="106">
        <f t="shared" si="24"/>
        <v>0</v>
      </c>
      <c r="AD20" s="106">
        <f t="shared" si="24"/>
        <v>0</v>
      </c>
      <c r="AE20" s="106">
        <f t="shared" si="24"/>
        <v>0</v>
      </c>
      <c r="AF20" s="179">
        <f t="array" ref="AF20:AU20">IFERROR(P20:AE20*TRANSPOSE('Queen MIDI'!$J$4:$J$19),"N/A")</f>
        <v>0</v>
      </c>
      <c r="AG20" s="179">
        <v>0.0</v>
      </c>
      <c r="AH20" s="179">
        <v>0.0</v>
      </c>
      <c r="AI20" s="179">
        <v>0.0</v>
      </c>
      <c r="AJ20" s="179">
        <v>0.0</v>
      </c>
      <c r="AK20" s="179">
        <v>0.984375</v>
      </c>
      <c r="AL20" s="179">
        <v>0.0</v>
      </c>
      <c r="AM20" s="179">
        <v>0.0</v>
      </c>
      <c r="AN20" s="179" t="s">
        <v>357</v>
      </c>
      <c r="AO20" s="179">
        <v>0.0</v>
      </c>
      <c r="AP20" s="179">
        <v>0.0</v>
      </c>
      <c r="AQ20" s="179">
        <v>0.0</v>
      </c>
      <c r="AR20" s="179">
        <v>0.0</v>
      </c>
      <c r="AS20" s="179">
        <v>0.0</v>
      </c>
      <c r="AT20" s="179">
        <v>0.0</v>
      </c>
      <c r="AU20" s="179">
        <v>0.0</v>
      </c>
      <c r="AV20" s="106" t="str">
        <f>IFERROR(__xludf.DUMMYFUNCTION("JOIN("", "",FILTER($P$3:$AE$3,$P20:$AE20=MAX($P20:$AE20)))"),"News Of The World")</f>
        <v>News Of The World</v>
      </c>
      <c r="AW20" s="106">
        <f t="shared" si="6"/>
        <v>1</v>
      </c>
      <c r="AX20" s="106">
        <f>IFERROR(__xludf.DUMMYFUNCTION("COUNTA(FILTER($P$3:$AE$3,$P20:$AE20=MAX($P20:$AE20)))"),1.0)</f>
        <v>1</v>
      </c>
      <c r="AY20" s="106" t="str">
        <f>IFERROR(__xludf.DUMMYFUNCTION("IFERROR(JOIN("", "",FILTER($AF$3:$AU$3,$AF20:$AU20=MAXIFS($AF20:$AU20,$AF$23:$AU$23,TRUE),$AF$23:$AU$23)),""N/A"")"),"News Of The World")</f>
        <v>News Of The World</v>
      </c>
      <c r="AZ20" s="171" t="str">
        <f>IFERROR(__xludf.DUMMYFUNCTION("IFERROR(JOIN("", "",FILTER($P20:$AE20,$AF20:$AU20=MAXIFS($AF20:$AU20,$AF$23:$AU$23,TRUE),$AF$23:$AU$23)),""N/A"")"),"1")</f>
        <v>1</v>
      </c>
      <c r="BA20" s="182">
        <f>MAXIFS(AF20:AU20,$AF$23:$AU$23,TRUE)/'Queen MIDI'!$J$20</f>
        <v>0.25</v>
      </c>
      <c r="BB20" s="183">
        <f>IFERROR(__xludf.DUMMYFUNCTION("COUNTA(IFERROR(FILTER($AF$3:$AU$3,$AF20:$AU20=MAXIFS($AF20:$AU20,$AF$23:$AU$23,TRUE),$AF$23:$AU$23),))"),1.0)</f>
        <v>1</v>
      </c>
      <c r="BC20" s="182">
        <f t="shared" si="7"/>
        <v>0.01587301587</v>
      </c>
      <c r="BD20" s="106">
        <f t="shared" si="8"/>
        <v>1</v>
      </c>
      <c r="BE20" s="1"/>
    </row>
    <row r="21">
      <c r="A21" s="1"/>
      <c r="C21" s="66" t="str">
        <f t="array" ref="C21">INDEX('Queen MIDI'!$C$4:$C$66,MATCH(F21,'Queen MIDI'!$D$4:$D$66,0))</f>
        <v>Somebody to Love</v>
      </c>
      <c r="D21" s="117">
        <v>3.0</v>
      </c>
      <c r="E21" s="118" t="s">
        <v>371</v>
      </c>
      <c r="F21" s="66" t="str">
        <f t="shared" si="2"/>
        <v>Somebody to Love.3.mid</v>
      </c>
      <c r="G21" s="120">
        <f>HLOOKUP(H21,'Queen Discography'!$C$2:$Q$3,2,FALSE)</f>
        <v>1976</v>
      </c>
      <c r="H21" s="66" t="str">
        <f>IF(COUNTIF('Queen Discography'!$C$4:$C$22,C21)&gt;0,"Queen",
IF(COUNTIF('Queen Discography'!$D$4:$D$22,C21)&gt;0,"Queen II",
IF(COUNTIF('Queen Discography'!$E$4:$E$22,C21)&gt;0,"Sheer Heart Attack",
IF(COUNTIF('Queen Discography'!$F$4:$F$22,C21)&gt;0,"A Night At The Opera",
IF(COUNTIF('Queen Discography'!$G$4:$G$22,C21)&gt;0,"A Day At The Races",
IF(COUNTIF('Queen Discography'!$H$4:$H$22,C21)&gt;0,"News Of The World",
IF(COUNTIF('Queen Discography'!$I$4:$I$22,C21)&gt;0,"Jazz",
IF(COUNTIF('Queen Discography'!$J$4:$J$22,C21)&gt;0,"The Game",
IF(COUNTIF('Queen Discography'!$K$4:$K$22,C21)&gt;0,"Flash Gordon",
IF(COUNTIF('Queen Discography'!$L$4:$L$22,C21)&gt;0,"Hot Space",
IF(COUNTIF('Queen Discography'!$M$4:$M$22,C21)&gt;0,"The Works",
IF(COUNTIF('Queen Discography'!$N$4:$N$22,C21)&gt;0,"A Kind Of Magic",
IF(COUNTIF('Queen Discography'!$O$4:$O$22,C21)&gt;0,"The Miracle",
IF(COUNTIF('Queen Discography'!$P$4:$P$22,C21)&gt;0,"Innuendo",
IF(COUNTIF('Queen Discography'!$Q$4:$Q$22,C21)&gt;0,"Made In Heaven","NOT FOUND")))))))))))))))</f>
        <v>A Day At The Races</v>
      </c>
      <c r="I21" s="1"/>
      <c r="J21" s="178">
        <v>17.0</v>
      </c>
      <c r="K21" s="106">
        <f t="shared" si="9"/>
        <v>1976</v>
      </c>
      <c r="L21" s="106">
        <f t="shared" si="3"/>
        <v>1976</v>
      </c>
      <c r="M21" s="106">
        <f t="shared" si="4"/>
        <v>1976</v>
      </c>
      <c r="N21" s="106">
        <f>IFERROR(__xludf.DUMMYFUNCTION("IFERROR(MEDIAN(FILTER($G$4:$G$66,$D$4:$D$66=$J21,ISNUMBER($G$4:$G$66))),""N/A"")"),1976.0)</f>
        <v>1976</v>
      </c>
      <c r="O21" s="106" t="str">
        <f>IFERROR(__xludf.DUMMYFUNCTION("IFERROR(MODE(FILTER($G$4:$G$66,$D$4:$D$66=$J21,ISNUMBER($G$4:$G$66))),""N/A"")"),"N/A")</f>
        <v>N/A</v>
      </c>
      <c r="P21" s="106">
        <f t="shared" ref="P21:AE21" si="25">COUNTIFS($H$4:$H$66,P$3,$D$4:$D$66,$J21)</f>
        <v>0</v>
      </c>
      <c r="Q21" s="106">
        <f t="shared" si="25"/>
        <v>0</v>
      </c>
      <c r="R21" s="106">
        <f t="shared" si="25"/>
        <v>0</v>
      </c>
      <c r="S21" s="106">
        <f t="shared" si="25"/>
        <v>0</v>
      </c>
      <c r="T21" s="106">
        <f t="shared" si="25"/>
        <v>1</v>
      </c>
      <c r="U21" s="106">
        <f t="shared" si="25"/>
        <v>0</v>
      </c>
      <c r="V21" s="106">
        <f t="shared" si="25"/>
        <v>0</v>
      </c>
      <c r="W21" s="106">
        <f t="shared" si="25"/>
        <v>0</v>
      </c>
      <c r="X21" s="106">
        <f t="shared" si="25"/>
        <v>0</v>
      </c>
      <c r="Y21" s="106">
        <f t="shared" si="25"/>
        <v>0</v>
      </c>
      <c r="Z21" s="106">
        <f t="shared" si="25"/>
        <v>0</v>
      </c>
      <c r="AA21" s="106">
        <f t="shared" si="25"/>
        <v>0</v>
      </c>
      <c r="AB21" s="106">
        <f t="shared" si="25"/>
        <v>0</v>
      </c>
      <c r="AC21" s="106">
        <f t="shared" si="25"/>
        <v>0</v>
      </c>
      <c r="AD21" s="106">
        <f t="shared" si="25"/>
        <v>0</v>
      </c>
      <c r="AE21" s="106">
        <f t="shared" si="25"/>
        <v>0</v>
      </c>
      <c r="AF21" s="179">
        <f t="array" ref="AF21:AU21">IFERROR(P21:AE21*TRANSPOSE('Queen MIDI'!$J$4:$J$19),"N/A")</f>
        <v>0</v>
      </c>
      <c r="AG21" s="179">
        <v>0.0</v>
      </c>
      <c r="AH21" s="179">
        <v>0.0</v>
      </c>
      <c r="AI21" s="179">
        <v>0.0</v>
      </c>
      <c r="AJ21" s="179">
        <v>1.3125</v>
      </c>
      <c r="AK21" s="179">
        <v>0.0</v>
      </c>
      <c r="AL21" s="179">
        <v>0.0</v>
      </c>
      <c r="AM21" s="179">
        <v>0.0</v>
      </c>
      <c r="AN21" s="179" t="s">
        <v>357</v>
      </c>
      <c r="AO21" s="179">
        <v>0.0</v>
      </c>
      <c r="AP21" s="179">
        <v>0.0</v>
      </c>
      <c r="AQ21" s="179">
        <v>0.0</v>
      </c>
      <c r="AR21" s="179">
        <v>0.0</v>
      </c>
      <c r="AS21" s="179">
        <v>0.0</v>
      </c>
      <c r="AT21" s="179">
        <v>0.0</v>
      </c>
      <c r="AU21" s="179">
        <v>0.0</v>
      </c>
      <c r="AV21" s="106" t="str">
        <f>IFERROR(__xludf.DUMMYFUNCTION("JOIN("", "",FILTER($P$3:$AE$3,$P21:$AE21=MAX($P21:$AE21)))"),"A Day At The Races")</f>
        <v>A Day At The Races</v>
      </c>
      <c r="AW21" s="106">
        <f t="shared" si="6"/>
        <v>1</v>
      </c>
      <c r="AX21" s="106">
        <f>IFERROR(__xludf.DUMMYFUNCTION("COUNTA(FILTER($P$3:$AE$3,$P21:$AE21=MAX($P21:$AE21)))"),1.0)</f>
        <v>1</v>
      </c>
      <c r="AY21" s="106" t="str">
        <f>IFERROR(__xludf.DUMMYFUNCTION("IFERROR(JOIN("", "",FILTER($AF$3:$AU$3,$AF21:$AU21=MAXIFS($AF21:$AU21,$AF$23:$AU$23,TRUE),$AF$23:$AU$23)),""N/A"")"),"A Day At The Races")</f>
        <v>A Day At The Races</v>
      </c>
      <c r="AZ21" s="171" t="str">
        <f>IFERROR(__xludf.DUMMYFUNCTION("IFERROR(JOIN("", "",FILTER($P21:$AE21,$AF21:$AU21=MAXIFS($AF21:$AU21,$AF$23:$AU$23,TRUE),$AF$23:$AU$23)),""N/A"")"),"1")</f>
        <v>1</v>
      </c>
      <c r="BA21" s="182">
        <f>MAXIFS(AF21:AU21,$AF$23:$AU$23,TRUE)/'Queen MIDI'!$J$20</f>
        <v>0.3333333333</v>
      </c>
      <c r="BB21" s="183">
        <f>IFERROR(__xludf.DUMMYFUNCTION("COUNTA(IFERROR(FILTER($AF$3:$AU$3,$AF21:$AU21=MAXIFS($AF21:$AU21,$AF$23:$AU$23,TRUE),$AF$23:$AU$23),))"),1.0)</f>
        <v>1</v>
      </c>
      <c r="BC21" s="182">
        <f t="shared" si="7"/>
        <v>0.01587301587</v>
      </c>
      <c r="BD21" s="106">
        <f t="shared" si="8"/>
        <v>1</v>
      </c>
      <c r="BE21" s="1"/>
    </row>
    <row r="22">
      <c r="A22" s="1"/>
      <c r="C22" s="66" t="str">
        <f t="array" ref="C22">INDEX('Queen MIDI'!$C$4:$C$66,MATCH(F22,'Queen MIDI'!$D$4:$D$66,0))</f>
        <v>Don't Stop Me Now</v>
      </c>
      <c r="D22" s="117">
        <v>3.0</v>
      </c>
      <c r="E22" s="118" t="s">
        <v>377</v>
      </c>
      <c r="F22" s="66" t="str">
        <f t="shared" si="2"/>
        <v>Don_t Stop Me Now.1.mid</v>
      </c>
      <c r="G22" s="121">
        <f>HLOOKUP(H22,'Queen Discography'!$C$2:$Q$3,2,FALSE)</f>
        <v>1978</v>
      </c>
      <c r="H22" s="66" t="str">
        <f>IF(COUNTIF('Queen Discography'!$C$4:$C$22,C22)&gt;0,"Queen",
IF(COUNTIF('Queen Discography'!$D$4:$D$22,C22)&gt;0,"Queen II",
IF(COUNTIF('Queen Discography'!$E$4:$E$22,C22)&gt;0,"Sheer Heart Attack",
IF(COUNTIF('Queen Discography'!$F$4:$F$22,C22)&gt;0,"A Night At The Opera",
IF(COUNTIF('Queen Discography'!$G$4:$G$22,C22)&gt;0,"A Day At The Races",
IF(COUNTIF('Queen Discography'!$H$4:$H$22,C22)&gt;0,"News Of The World",
IF(COUNTIF('Queen Discography'!$I$4:$I$22,C22)&gt;0,"Jazz",
IF(COUNTIF('Queen Discography'!$J$4:$J$22,C22)&gt;0,"The Game",
IF(COUNTIF('Queen Discography'!$K$4:$K$22,C22)&gt;0,"Flash Gordon",
IF(COUNTIF('Queen Discography'!$L$4:$L$22,C22)&gt;0,"Hot Space",
IF(COUNTIF('Queen Discography'!$M$4:$M$22,C22)&gt;0,"The Works",
IF(COUNTIF('Queen Discography'!$N$4:$N$22,C22)&gt;0,"A Kind Of Magic",
IF(COUNTIF('Queen Discography'!$O$4:$O$22,C22)&gt;0,"The Miracle",
IF(COUNTIF('Queen Discography'!$P$4:$P$22,C22)&gt;0,"Innuendo",
IF(COUNTIF('Queen Discography'!$Q$4:$Q$22,C22)&gt;0,"Made In Heaven","NOT FOUND")))))))))))))))</f>
        <v>Jazz</v>
      </c>
      <c r="I22" s="1"/>
      <c r="J22" s="107"/>
      <c r="K22" s="1"/>
      <c r="L22" s="1"/>
      <c r="M22" s="1"/>
      <c r="N22" s="87"/>
      <c r="O22" s="1"/>
      <c r="P22" s="1"/>
      <c r="Q22" s="1"/>
      <c r="R22" s="1"/>
      <c r="S22" s="1"/>
      <c r="T22" s="1"/>
      <c r="U22" s="1"/>
      <c r="V22" s="1"/>
      <c r="W22" s="1"/>
      <c r="X22" s="1"/>
      <c r="Y22" s="1"/>
      <c r="Z22" s="1"/>
      <c r="AA22" s="1"/>
      <c r="AB22" s="1"/>
      <c r="AC22" s="1"/>
      <c r="AD22" s="1"/>
      <c r="AE22" s="1"/>
      <c r="AF22" s="108">
        <f t="array" ref="AF22:AU22">TRANSPOSE('Queen MIDI'!I4:I19)</f>
        <v>4</v>
      </c>
      <c r="AG22" s="108">
        <v>3.0</v>
      </c>
      <c r="AH22" s="108">
        <v>2.0</v>
      </c>
      <c r="AI22" s="108">
        <v>5.0</v>
      </c>
      <c r="AJ22" s="108">
        <v>3.0</v>
      </c>
      <c r="AK22" s="108">
        <v>4.0</v>
      </c>
      <c r="AL22" s="108">
        <v>5.0</v>
      </c>
      <c r="AM22" s="108">
        <v>4.0</v>
      </c>
      <c r="AN22" s="108">
        <v>0.0</v>
      </c>
      <c r="AO22" s="108">
        <v>1.0</v>
      </c>
      <c r="AP22" s="108">
        <v>4.0</v>
      </c>
      <c r="AQ22" s="108">
        <v>5.0</v>
      </c>
      <c r="AR22" s="108">
        <v>5.0</v>
      </c>
      <c r="AS22" s="108">
        <v>9.0</v>
      </c>
      <c r="AT22" s="108">
        <v>7.0</v>
      </c>
      <c r="AU22" s="108">
        <v>2.0</v>
      </c>
      <c r="AV22" s="79" t="s">
        <v>235</v>
      </c>
      <c r="AW22" s="1"/>
      <c r="AX22" s="1"/>
      <c r="AY22" s="1"/>
      <c r="AZ22" s="107"/>
      <c r="BA22" s="107"/>
      <c r="BB22" s="107"/>
      <c r="BC22" s="109" t="s">
        <v>230</v>
      </c>
      <c r="BD22" s="110">
        <f>SUM(BD4:BD21)</f>
        <v>63</v>
      </c>
      <c r="BE22" s="1"/>
    </row>
    <row r="23">
      <c r="A23" s="1"/>
      <c r="C23" s="66" t="str">
        <f t="array" ref="C23">INDEX('Queen MIDI'!$C$4:$C$66,MATCH(F23,'Queen MIDI'!$D$4:$D$66,0))</f>
        <v>Crazy Little Thing Called Love</v>
      </c>
      <c r="D23" s="117">
        <v>3.0</v>
      </c>
      <c r="E23" s="118" t="s">
        <v>382</v>
      </c>
      <c r="F23" s="66" t="str">
        <f t="shared" si="2"/>
        <v>Crazy Little Thing Called Love.2.mid</v>
      </c>
      <c r="G23" s="126">
        <f>HLOOKUP(H23,'Queen Discography'!$C$2:$Q$3,2,FALSE)</f>
        <v>1980</v>
      </c>
      <c r="H23" s="66" t="str">
        <f>IF(COUNTIF('Queen Discography'!$C$4:$C$22,C23)&gt;0,"Queen",
IF(COUNTIF('Queen Discography'!$D$4:$D$22,C23)&gt;0,"Queen II",
IF(COUNTIF('Queen Discography'!$E$4:$E$22,C23)&gt;0,"Sheer Heart Attack",
IF(COUNTIF('Queen Discography'!$F$4:$F$22,C23)&gt;0,"A Night At The Opera",
IF(COUNTIF('Queen Discography'!$G$4:$G$22,C23)&gt;0,"A Day At The Races",
IF(COUNTIF('Queen Discography'!$H$4:$H$22,C23)&gt;0,"News Of The World",
IF(COUNTIF('Queen Discography'!$I$4:$I$22,C23)&gt;0,"Jazz",
IF(COUNTIF('Queen Discography'!$J$4:$J$22,C23)&gt;0,"The Game",
IF(COUNTIF('Queen Discography'!$K$4:$K$22,C23)&gt;0,"Flash Gordon",
IF(COUNTIF('Queen Discography'!$L$4:$L$22,C23)&gt;0,"Hot Space",
IF(COUNTIF('Queen Discography'!$M$4:$M$22,C23)&gt;0,"The Works",
IF(COUNTIF('Queen Discography'!$N$4:$N$22,C23)&gt;0,"A Kind Of Magic",
IF(COUNTIF('Queen Discography'!$O$4:$O$22,C23)&gt;0,"The Miracle",
IF(COUNTIF('Queen Discography'!$P$4:$P$22,C23)&gt;0,"Innuendo",
IF(COUNTIF('Queen Discography'!$Q$4:$Q$22,C23)&gt;0,"Made In Heaven","NOT FOUND")))))))))))))))</f>
        <v>The Game</v>
      </c>
      <c r="I23" s="1"/>
      <c r="J23" s="1"/>
      <c r="K23" s="1"/>
      <c r="L23" s="1"/>
      <c r="M23" s="1"/>
      <c r="N23" s="87"/>
      <c r="O23" s="1"/>
      <c r="P23" s="1"/>
      <c r="Q23" s="1"/>
      <c r="R23" s="1"/>
      <c r="S23" s="1"/>
      <c r="T23" s="1"/>
      <c r="U23" s="1"/>
      <c r="V23" s="1"/>
      <c r="W23" s="1"/>
      <c r="X23" s="1"/>
      <c r="Y23" s="1"/>
      <c r="Z23" s="1"/>
      <c r="AA23" s="1"/>
      <c r="AB23" s="1"/>
      <c r="AC23" s="1"/>
      <c r="AD23" s="1"/>
      <c r="AE23" s="1"/>
      <c r="AF23" s="111" t="b">
        <f t="shared" ref="AF23:AU23" si="26">IF(AF22&gt;=$AV$23,TRUE,FALSE)</f>
        <v>1</v>
      </c>
      <c r="AG23" s="111" t="b">
        <f t="shared" si="26"/>
        <v>1</v>
      </c>
      <c r="AH23" s="111" t="b">
        <f t="shared" si="26"/>
        <v>1</v>
      </c>
      <c r="AI23" s="111" t="b">
        <f t="shared" si="26"/>
        <v>1</v>
      </c>
      <c r="AJ23" s="111" t="b">
        <f t="shared" si="26"/>
        <v>1</v>
      </c>
      <c r="AK23" s="111" t="b">
        <f t="shared" si="26"/>
        <v>1</v>
      </c>
      <c r="AL23" s="111" t="b">
        <f t="shared" si="26"/>
        <v>1</v>
      </c>
      <c r="AM23" s="111" t="b">
        <f t="shared" si="26"/>
        <v>1</v>
      </c>
      <c r="AN23" s="111" t="b">
        <f t="shared" si="26"/>
        <v>0</v>
      </c>
      <c r="AO23" s="111" t="b">
        <f t="shared" si="26"/>
        <v>0</v>
      </c>
      <c r="AP23" s="111" t="b">
        <f t="shared" si="26"/>
        <v>1</v>
      </c>
      <c r="AQ23" s="111" t="b">
        <f t="shared" si="26"/>
        <v>1</v>
      </c>
      <c r="AR23" s="111" t="b">
        <f t="shared" si="26"/>
        <v>1</v>
      </c>
      <c r="AS23" s="111" t="b">
        <f t="shared" si="26"/>
        <v>1</v>
      </c>
      <c r="AT23" s="111" t="b">
        <f t="shared" si="26"/>
        <v>1</v>
      </c>
      <c r="AU23" s="111" t="b">
        <f t="shared" si="26"/>
        <v>1</v>
      </c>
      <c r="AV23" s="79">
        <f>'Queen MIDI'!I22</f>
        <v>2</v>
      </c>
      <c r="AW23" s="1"/>
      <c r="AX23" s="1"/>
      <c r="AY23" s="1"/>
      <c r="AZ23" s="1"/>
      <c r="BA23" s="1"/>
      <c r="BB23" s="1"/>
      <c r="BC23" s="1"/>
      <c r="BD23" s="1"/>
      <c r="BE23" s="1"/>
    </row>
    <row r="24">
      <c r="A24" s="1"/>
      <c r="C24" s="66" t="str">
        <f t="array" ref="C24">INDEX('Queen MIDI'!$C$4:$C$66,MATCH(F24,'Queen MIDI'!$D$4:$D$66,0))</f>
        <v>Hammer to Fall</v>
      </c>
      <c r="D24" s="117">
        <v>3.0</v>
      </c>
      <c r="E24" s="118" t="s">
        <v>386</v>
      </c>
      <c r="F24" s="66" t="str">
        <f t="shared" si="2"/>
        <v>Hammer to Fall.mid</v>
      </c>
      <c r="G24" s="131">
        <f>HLOOKUP(H24,'Queen Discography'!$C$2:$Q$3,2,FALSE)</f>
        <v>1984</v>
      </c>
      <c r="H24" s="66" t="str">
        <f>IF(COUNTIF('Queen Discography'!$C$4:$C$22,C24)&gt;0,"Queen",
IF(COUNTIF('Queen Discography'!$D$4:$D$22,C24)&gt;0,"Queen II",
IF(COUNTIF('Queen Discography'!$E$4:$E$22,C24)&gt;0,"Sheer Heart Attack",
IF(COUNTIF('Queen Discography'!$F$4:$F$22,C24)&gt;0,"A Night At The Opera",
IF(COUNTIF('Queen Discography'!$G$4:$G$22,C24)&gt;0,"A Day At The Races",
IF(COUNTIF('Queen Discography'!$H$4:$H$22,C24)&gt;0,"News Of The World",
IF(COUNTIF('Queen Discography'!$I$4:$I$22,C24)&gt;0,"Jazz",
IF(COUNTIF('Queen Discography'!$J$4:$J$22,C24)&gt;0,"The Game",
IF(COUNTIF('Queen Discography'!$K$4:$K$22,C24)&gt;0,"Flash Gordon",
IF(COUNTIF('Queen Discography'!$L$4:$L$22,C24)&gt;0,"Hot Space",
IF(COUNTIF('Queen Discography'!$M$4:$M$22,C24)&gt;0,"The Works",
IF(COUNTIF('Queen Discography'!$N$4:$N$22,C24)&gt;0,"A Kind Of Magic",
IF(COUNTIF('Queen Discography'!$O$4:$O$22,C24)&gt;0,"The Miracle",
IF(COUNTIF('Queen Discography'!$P$4:$P$22,C24)&gt;0,"Innuendo",
IF(COUNTIF('Queen Discography'!$Q$4:$Q$22,C24)&gt;0,"Made In Heaven","NOT FOUND")))))))))))))))</f>
        <v>The Works</v>
      </c>
      <c r="I24" s="1"/>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
    </row>
    <row r="25">
      <c r="A25" s="1"/>
      <c r="C25" s="66" t="str">
        <f t="array" ref="C25">INDEX('Queen MIDI'!$C$4:$C$66,MATCH(F25,'Queen MIDI'!$D$4:$D$66,0))</f>
        <v>It's a Hard Life</v>
      </c>
      <c r="D25" s="117">
        <v>3.0</v>
      </c>
      <c r="E25" s="118" t="s">
        <v>388</v>
      </c>
      <c r="F25" s="66" t="str">
        <f t="shared" si="2"/>
        <v>It_s a Hard Life.mid</v>
      </c>
      <c r="G25" s="129">
        <f>HLOOKUP(H25,'Queen Discography'!$C$2:$Q$3,2,FALSE)</f>
        <v>1984</v>
      </c>
      <c r="H25" s="66" t="str">
        <f>IF(COUNTIF('Queen Discography'!$C$4:$C$22,C25)&gt;0,"Queen",
IF(COUNTIF('Queen Discography'!$D$4:$D$22,C25)&gt;0,"Queen II",
IF(COUNTIF('Queen Discography'!$E$4:$E$22,C25)&gt;0,"Sheer Heart Attack",
IF(COUNTIF('Queen Discography'!$F$4:$F$22,C25)&gt;0,"A Night At The Opera",
IF(COUNTIF('Queen Discography'!$G$4:$G$22,C25)&gt;0,"A Day At The Races",
IF(COUNTIF('Queen Discography'!$H$4:$H$22,C25)&gt;0,"News Of The World",
IF(COUNTIF('Queen Discography'!$I$4:$I$22,C25)&gt;0,"Jazz",
IF(COUNTIF('Queen Discography'!$J$4:$J$22,C25)&gt;0,"The Game",
IF(COUNTIF('Queen Discography'!$K$4:$K$22,C25)&gt;0,"Flash Gordon",
IF(COUNTIF('Queen Discography'!$L$4:$L$22,C25)&gt;0,"Hot Space",
IF(COUNTIF('Queen Discography'!$M$4:$M$22,C25)&gt;0,"The Works",
IF(COUNTIF('Queen Discography'!$N$4:$N$22,C25)&gt;0,"A Kind Of Magic",
IF(COUNTIF('Queen Discography'!$O$4:$O$22,C25)&gt;0,"The Miracle",
IF(COUNTIF('Queen Discography'!$P$4:$P$22,C25)&gt;0,"Innuendo",
IF(COUNTIF('Queen Discography'!$Q$4:$Q$22,C25)&gt;0,"Made In Heaven","NOT FOUND")))))))))))))))</f>
        <v>The Works</v>
      </c>
      <c r="I25" s="1"/>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
    </row>
    <row r="26">
      <c r="A26" s="1"/>
      <c r="C26" s="66" t="str">
        <f t="array" ref="C26">INDEX('Queen MIDI'!$C$4:$C$66,MATCH(F26,'Queen MIDI'!$D$4:$D$66,0))</f>
        <v>A Kind of Magic</v>
      </c>
      <c r="D26" s="117">
        <v>3.0</v>
      </c>
      <c r="E26" s="118" t="s">
        <v>390</v>
      </c>
      <c r="F26" s="66" t="str">
        <f t="shared" si="2"/>
        <v>A Kind of Magic.1.mid</v>
      </c>
      <c r="G26" s="126">
        <f>HLOOKUP(H26,'Queen Discography'!$C$2:$Q$3,2,FALSE)</f>
        <v>1986</v>
      </c>
      <c r="H26" s="66" t="str">
        <f>IF(COUNTIF('Queen Discography'!$C$4:$C$22,C26)&gt;0,"Queen",
IF(COUNTIF('Queen Discography'!$D$4:$D$22,C26)&gt;0,"Queen II",
IF(COUNTIF('Queen Discography'!$E$4:$E$22,C26)&gt;0,"Sheer Heart Attack",
IF(COUNTIF('Queen Discography'!$F$4:$F$22,C26)&gt;0,"A Night At The Opera",
IF(COUNTIF('Queen Discography'!$G$4:$G$22,C26)&gt;0,"A Day At The Races",
IF(COUNTIF('Queen Discography'!$H$4:$H$22,C26)&gt;0,"News Of The World",
IF(COUNTIF('Queen Discography'!$I$4:$I$22,C26)&gt;0,"Jazz",
IF(COUNTIF('Queen Discography'!$J$4:$J$22,C26)&gt;0,"The Game",
IF(COUNTIF('Queen Discography'!$K$4:$K$22,C26)&gt;0,"Flash Gordon",
IF(COUNTIF('Queen Discography'!$L$4:$L$22,C26)&gt;0,"Hot Space",
IF(COUNTIF('Queen Discography'!$M$4:$M$22,C26)&gt;0,"The Works",
IF(COUNTIF('Queen Discography'!$N$4:$N$22,C26)&gt;0,"A Kind Of Magic",
IF(COUNTIF('Queen Discography'!$O$4:$O$22,C26)&gt;0,"The Miracle",
IF(COUNTIF('Queen Discography'!$P$4:$P$22,C26)&gt;0,"Innuendo",
IF(COUNTIF('Queen Discography'!$Q$4:$Q$22,C26)&gt;0,"Made In Heaven","NOT FOUND")))))))))))))))</f>
        <v>A Kind Of Magic</v>
      </c>
      <c r="I26" s="1"/>
      <c r="J26" s="113"/>
      <c r="K26" s="1"/>
      <c r="L26" s="1"/>
      <c r="M26" s="1"/>
      <c r="N26" s="87"/>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row>
    <row r="27">
      <c r="A27" s="1"/>
      <c r="C27" s="66" t="str">
        <f t="array" ref="C27">INDEX('Queen MIDI'!$C$4:$C$66,MATCH(F27,'Queen MIDI'!$D$4:$D$66,0))</f>
        <v>Friends Will Be Friends</v>
      </c>
      <c r="D27" s="117">
        <v>3.0</v>
      </c>
      <c r="E27" s="118" t="s">
        <v>391</v>
      </c>
      <c r="F27" s="66" t="str">
        <f t="shared" si="2"/>
        <v>Friends Will Be Friends.2.mid</v>
      </c>
      <c r="G27" s="130">
        <f>HLOOKUP(H27,'Queen Discography'!$C$2:$Q$3,2,FALSE)</f>
        <v>1986</v>
      </c>
      <c r="H27" s="66" t="str">
        <f>IF(COUNTIF('Queen Discography'!$C$4:$C$22,C27)&gt;0,"Queen",
IF(COUNTIF('Queen Discography'!$D$4:$D$22,C27)&gt;0,"Queen II",
IF(COUNTIF('Queen Discography'!$E$4:$E$22,C27)&gt;0,"Sheer Heart Attack",
IF(COUNTIF('Queen Discography'!$F$4:$F$22,C27)&gt;0,"A Night At The Opera",
IF(COUNTIF('Queen Discography'!$G$4:$G$22,C27)&gt;0,"A Day At The Races",
IF(COUNTIF('Queen Discography'!$H$4:$H$22,C27)&gt;0,"News Of The World",
IF(COUNTIF('Queen Discography'!$I$4:$I$22,C27)&gt;0,"Jazz",
IF(COUNTIF('Queen Discography'!$J$4:$J$22,C27)&gt;0,"The Game",
IF(COUNTIF('Queen Discography'!$K$4:$K$22,C27)&gt;0,"Flash Gordon",
IF(COUNTIF('Queen Discography'!$L$4:$L$22,C27)&gt;0,"Hot Space",
IF(COUNTIF('Queen Discography'!$M$4:$M$22,C27)&gt;0,"The Works",
IF(COUNTIF('Queen Discography'!$N$4:$N$22,C27)&gt;0,"A Kind Of Magic",
IF(COUNTIF('Queen Discography'!$O$4:$O$22,C27)&gt;0,"The Miracle",
IF(COUNTIF('Queen Discography'!$P$4:$P$22,C27)&gt;0,"Innuendo",
IF(COUNTIF('Queen Discography'!$Q$4:$Q$22,C27)&gt;0,"Made In Heaven","NOT FOUND")))))))))))))))</f>
        <v>A Kind Of Magic</v>
      </c>
      <c r="I27" s="1"/>
      <c r="J27" s="1"/>
      <c r="K27" s="1"/>
      <c r="L27" s="1"/>
      <c r="M27" s="1"/>
      <c r="N27" s="87"/>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row>
    <row r="28">
      <c r="A28" s="1"/>
      <c r="C28" s="66" t="str">
        <f t="array" ref="C28">INDEX('Queen MIDI'!$C$4:$C$66,MATCH(F28,'Queen MIDI'!$D$4:$D$66,0))</f>
        <v>Heaven for Everyone</v>
      </c>
      <c r="D28" s="117">
        <v>3.0</v>
      </c>
      <c r="E28" s="118" t="s">
        <v>409</v>
      </c>
      <c r="F28" s="66" t="str">
        <f t="shared" si="2"/>
        <v>Heaven for Everyone.mid</v>
      </c>
      <c r="G28" s="131">
        <f>HLOOKUP(H28,'Queen Discography'!$C$2:$Q$3,2,FALSE)</f>
        <v>1995</v>
      </c>
      <c r="H28" s="66" t="str">
        <f>IF(COUNTIF('Queen Discography'!$C$4:$C$22,C28)&gt;0,"Queen",
IF(COUNTIF('Queen Discography'!$D$4:$D$22,C28)&gt;0,"Queen II",
IF(COUNTIF('Queen Discography'!$E$4:$E$22,C28)&gt;0,"Sheer Heart Attack",
IF(COUNTIF('Queen Discography'!$F$4:$F$22,C28)&gt;0,"A Night At The Opera",
IF(COUNTIF('Queen Discography'!$G$4:$G$22,C28)&gt;0,"A Day At The Races",
IF(COUNTIF('Queen Discography'!$H$4:$H$22,C28)&gt;0,"News Of The World",
IF(COUNTIF('Queen Discography'!$I$4:$I$22,C28)&gt;0,"Jazz",
IF(COUNTIF('Queen Discography'!$J$4:$J$22,C28)&gt;0,"The Game",
IF(COUNTIF('Queen Discography'!$K$4:$K$22,C28)&gt;0,"Flash Gordon",
IF(COUNTIF('Queen Discography'!$L$4:$L$22,C28)&gt;0,"Hot Space",
IF(COUNTIF('Queen Discography'!$M$4:$M$22,C28)&gt;0,"The Works",
IF(COUNTIF('Queen Discography'!$N$4:$N$22,C28)&gt;0,"A Kind Of Magic",
IF(COUNTIF('Queen Discography'!$O$4:$O$22,C28)&gt;0,"The Miracle",
IF(COUNTIF('Queen Discography'!$P$4:$P$22,C28)&gt;0,"Innuendo",
IF(COUNTIF('Queen Discography'!$Q$4:$Q$22,C28)&gt;0,"Made In Heaven","NOT FOUND")))))))))))))))</f>
        <v>Made In Heaven</v>
      </c>
      <c r="I28" s="1"/>
      <c r="J28" s="1"/>
      <c r="K28" s="1"/>
      <c r="L28" s="1"/>
      <c r="M28" s="1"/>
      <c r="N28" s="87"/>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c r="A29" s="1"/>
      <c r="C29" s="66" t="str">
        <f t="array" ref="C29">INDEX('Queen MIDI'!$C$4:$C$66,MATCH(F29,'Queen MIDI'!$D$4:$D$66,0))</f>
        <v>Fun It</v>
      </c>
      <c r="D29" s="117">
        <v>4.0</v>
      </c>
      <c r="E29" s="118" t="s">
        <v>379</v>
      </c>
      <c r="F29" s="66" t="str">
        <f t="shared" si="2"/>
        <v>Fun It.mid</v>
      </c>
      <c r="G29" s="119">
        <f>HLOOKUP(H29,'Queen Discography'!$C$2:$Q$3,2,FALSE)</f>
        <v>1978</v>
      </c>
      <c r="H29" s="66" t="str">
        <f>IF(COUNTIF('Queen Discography'!$C$4:$C$22,C29)&gt;0,"Queen",
IF(COUNTIF('Queen Discography'!$D$4:$D$22,C29)&gt;0,"Queen II",
IF(COUNTIF('Queen Discography'!$E$4:$E$22,C29)&gt;0,"Sheer Heart Attack",
IF(COUNTIF('Queen Discography'!$F$4:$F$22,C29)&gt;0,"A Night At The Opera",
IF(COUNTIF('Queen Discography'!$G$4:$G$22,C29)&gt;0,"A Day At The Races",
IF(COUNTIF('Queen Discography'!$H$4:$H$22,C29)&gt;0,"News Of The World",
IF(COUNTIF('Queen Discography'!$I$4:$I$22,C29)&gt;0,"Jazz",
IF(COUNTIF('Queen Discography'!$J$4:$J$22,C29)&gt;0,"The Game",
IF(COUNTIF('Queen Discography'!$K$4:$K$22,C29)&gt;0,"Flash Gordon",
IF(COUNTIF('Queen Discography'!$L$4:$L$22,C29)&gt;0,"Hot Space",
IF(COUNTIF('Queen Discography'!$M$4:$M$22,C29)&gt;0,"The Works",
IF(COUNTIF('Queen Discography'!$N$4:$N$22,C29)&gt;0,"A Kind Of Magic",
IF(COUNTIF('Queen Discography'!$O$4:$O$22,C29)&gt;0,"The Miracle",
IF(COUNTIF('Queen Discography'!$P$4:$P$22,C29)&gt;0,"Innuendo",
IF(COUNTIF('Queen Discography'!$Q$4:$Q$22,C29)&gt;0,"Made In Heaven","NOT FOUND")))))))))))))))</f>
        <v>Jazz</v>
      </c>
      <c r="I29" s="1"/>
      <c r="J29" s="1"/>
      <c r="K29" s="1"/>
      <c r="L29" s="1"/>
      <c r="M29" s="1"/>
      <c r="N29" s="87"/>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row>
    <row r="30">
      <c r="A30" s="1"/>
      <c r="C30" s="66" t="str">
        <f t="array" ref="C30">INDEX('Queen MIDI'!$C$4:$C$66,MATCH(F30,'Queen MIDI'!$D$4:$D$66,0))</f>
        <v>Headlong</v>
      </c>
      <c r="D30" s="117">
        <v>5.0</v>
      </c>
      <c r="E30" s="118" t="s">
        <v>403</v>
      </c>
      <c r="F30" s="66" t="str">
        <f t="shared" si="2"/>
        <v>Headlong.mid</v>
      </c>
      <c r="G30" s="122">
        <f>HLOOKUP(H30,'Queen Discography'!$C$2:$Q$3,2,FALSE)</f>
        <v>1991</v>
      </c>
      <c r="H30" s="66" t="str">
        <f>IF(COUNTIF('Queen Discography'!$C$4:$C$22,C30)&gt;0,"Queen",
IF(COUNTIF('Queen Discography'!$D$4:$D$22,C30)&gt;0,"Queen II",
IF(COUNTIF('Queen Discography'!$E$4:$E$22,C30)&gt;0,"Sheer Heart Attack",
IF(COUNTIF('Queen Discography'!$F$4:$F$22,C30)&gt;0,"A Night At The Opera",
IF(COUNTIF('Queen Discography'!$G$4:$G$22,C30)&gt;0,"A Day At The Races",
IF(COUNTIF('Queen Discography'!$H$4:$H$22,C30)&gt;0,"News Of The World",
IF(COUNTIF('Queen Discography'!$I$4:$I$22,C30)&gt;0,"Jazz",
IF(COUNTIF('Queen Discography'!$J$4:$J$22,C30)&gt;0,"The Game",
IF(COUNTIF('Queen Discography'!$K$4:$K$22,C30)&gt;0,"Flash Gordon",
IF(COUNTIF('Queen Discography'!$L$4:$L$22,C30)&gt;0,"Hot Space",
IF(COUNTIF('Queen Discography'!$M$4:$M$22,C30)&gt;0,"The Works",
IF(COUNTIF('Queen Discography'!$N$4:$N$22,C30)&gt;0,"A Kind Of Magic",
IF(COUNTIF('Queen Discography'!$O$4:$O$22,C30)&gt;0,"The Miracle",
IF(COUNTIF('Queen Discography'!$P$4:$P$22,C30)&gt;0,"Innuendo",
IF(COUNTIF('Queen Discography'!$Q$4:$Q$22,C30)&gt;0,"Made In Heaven","NOT FOUND")))))))))))))))</f>
        <v>Innuendo</v>
      </c>
      <c r="I30" s="1"/>
      <c r="J30" s="1"/>
      <c r="K30" s="1"/>
      <c r="L30" s="1"/>
      <c r="M30" s="1"/>
      <c r="N30" s="87"/>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row>
    <row r="31">
      <c r="A31" s="1"/>
      <c r="C31" s="66" t="str">
        <f t="array" ref="C31">INDEX('Queen MIDI'!$C$4:$C$66,MATCH(F31,'Queen MIDI'!$D$4:$D$66,0))</f>
        <v>Keep Yourself Alive</v>
      </c>
      <c r="D31" s="117">
        <v>6.0</v>
      </c>
      <c r="E31" s="118" t="s">
        <v>358</v>
      </c>
      <c r="F31" s="66" t="str">
        <f t="shared" si="2"/>
        <v>Keep Yourself Alive.mid</v>
      </c>
      <c r="G31" s="128">
        <f>HLOOKUP(H31,'Queen Discography'!$C$2:$Q$3,2,FALSE)</f>
        <v>1973</v>
      </c>
      <c r="H31" s="66" t="str">
        <f>IF(COUNTIF('Queen Discography'!$C$4:$C$22,C31)&gt;0,"Queen",
IF(COUNTIF('Queen Discography'!$D$4:$D$22,C31)&gt;0,"Queen II",
IF(COUNTIF('Queen Discography'!$E$4:$E$22,C31)&gt;0,"Sheer Heart Attack",
IF(COUNTIF('Queen Discography'!$F$4:$F$22,C31)&gt;0,"A Night At The Opera",
IF(COUNTIF('Queen Discography'!$G$4:$G$22,C31)&gt;0,"A Day At The Races",
IF(COUNTIF('Queen Discography'!$H$4:$H$22,C31)&gt;0,"News Of The World",
IF(COUNTIF('Queen Discography'!$I$4:$I$22,C31)&gt;0,"Jazz",
IF(COUNTIF('Queen Discography'!$J$4:$J$22,C31)&gt;0,"The Game",
IF(COUNTIF('Queen Discography'!$K$4:$K$22,C31)&gt;0,"Flash Gordon",
IF(COUNTIF('Queen Discography'!$L$4:$L$22,C31)&gt;0,"Hot Space",
IF(COUNTIF('Queen Discography'!$M$4:$M$22,C31)&gt;0,"The Works",
IF(COUNTIF('Queen Discography'!$N$4:$N$22,C31)&gt;0,"A Kind Of Magic",
IF(COUNTIF('Queen Discography'!$O$4:$O$22,C31)&gt;0,"The Miracle",
IF(COUNTIF('Queen Discography'!$P$4:$P$22,C31)&gt;0,"Innuendo",
IF(COUNTIF('Queen Discography'!$Q$4:$Q$22,C31)&gt;0,"Made In Heaven","NOT FOUND")))))))))))))))</f>
        <v>Queen</v>
      </c>
      <c r="I31" s="1"/>
      <c r="J31" s="1"/>
      <c r="K31" s="1"/>
      <c r="L31" s="1"/>
      <c r="M31" s="1"/>
      <c r="N31" s="87"/>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c r="A32" s="1"/>
      <c r="C32" s="66" t="str">
        <f t="array" ref="C32">INDEX('Queen MIDI'!$C$4:$C$66,MATCH(F32,'Queen MIDI'!$D$4:$D$66,0))</f>
        <v>Seven Seas of Rhye</v>
      </c>
      <c r="D32" s="117">
        <v>6.0</v>
      </c>
      <c r="E32" s="118" t="s">
        <v>359</v>
      </c>
      <c r="F32" s="66" t="str">
        <f t="shared" si="2"/>
        <v>Seven Seas of Rhye.1.mid</v>
      </c>
      <c r="G32" s="124">
        <f>HLOOKUP(H32,'Queen Discography'!$C$2:$Q$3,2,FALSE)</f>
        <v>1973</v>
      </c>
      <c r="H32" s="66" t="str">
        <f>IF(COUNTIF('Queen Discography'!$C$4:$C$22,C32)&gt;0,"Queen",
IF(COUNTIF('Queen Discography'!$D$4:$D$22,C32)&gt;0,"Queen II",
IF(COUNTIF('Queen Discography'!$E$4:$E$22,C32)&gt;0,"Sheer Heart Attack",
IF(COUNTIF('Queen Discography'!$F$4:$F$22,C32)&gt;0,"A Night At The Opera",
IF(COUNTIF('Queen Discography'!$G$4:$G$22,C32)&gt;0,"A Day At The Races",
IF(COUNTIF('Queen Discography'!$H$4:$H$22,C32)&gt;0,"News Of The World",
IF(COUNTIF('Queen Discography'!$I$4:$I$22,C32)&gt;0,"Jazz",
IF(COUNTIF('Queen Discography'!$J$4:$J$22,C32)&gt;0,"The Game",
IF(COUNTIF('Queen Discography'!$K$4:$K$22,C32)&gt;0,"Flash Gordon",
IF(COUNTIF('Queen Discography'!$L$4:$L$22,C32)&gt;0,"Hot Space",
IF(COUNTIF('Queen Discography'!$M$4:$M$22,C32)&gt;0,"The Works",
IF(COUNTIF('Queen Discography'!$N$4:$N$22,C32)&gt;0,"A Kind Of Magic",
IF(COUNTIF('Queen Discography'!$O$4:$O$22,C32)&gt;0,"The Miracle",
IF(COUNTIF('Queen Discography'!$P$4:$P$22,C32)&gt;0,"Innuendo",
IF(COUNTIF('Queen Discography'!$Q$4:$Q$22,C32)&gt;0,"Made In Heaven","NOT FOUND")))))))))))))))</f>
        <v>Queen</v>
      </c>
      <c r="I32" s="1"/>
      <c r="J32" s="1"/>
      <c r="K32" s="1"/>
      <c r="L32" s="1"/>
      <c r="M32" s="1"/>
      <c r="N32" s="87"/>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row>
    <row r="33">
      <c r="A33" s="1"/>
      <c r="C33" s="66" t="str">
        <f t="array" ref="C33">INDEX('Queen MIDI'!$C$4:$C$66,MATCH(F33,'Queen MIDI'!$D$4:$D$66,0))</f>
        <v>Father to Son</v>
      </c>
      <c r="D33" s="117">
        <v>6.0</v>
      </c>
      <c r="E33" s="118" t="s">
        <v>361</v>
      </c>
      <c r="F33" s="66" t="str">
        <f t="shared" si="2"/>
        <v>Father to Son.mid</v>
      </c>
      <c r="G33" s="123">
        <f>HLOOKUP(H33,'Queen Discography'!$C$2:$Q$3,2,FALSE)</f>
        <v>1974</v>
      </c>
      <c r="H33" s="66" t="str">
        <f>IF(COUNTIF('Queen Discography'!$C$4:$C$22,C33)&gt;0,"Queen",
IF(COUNTIF('Queen Discography'!$D$4:$D$22,C33)&gt;0,"Queen II",
IF(COUNTIF('Queen Discography'!$E$4:$E$22,C33)&gt;0,"Sheer Heart Attack",
IF(COUNTIF('Queen Discography'!$F$4:$F$22,C33)&gt;0,"A Night At The Opera",
IF(COUNTIF('Queen Discography'!$G$4:$G$22,C33)&gt;0,"A Day At The Races",
IF(COUNTIF('Queen Discography'!$H$4:$H$22,C33)&gt;0,"News Of The World",
IF(COUNTIF('Queen Discography'!$I$4:$I$22,C33)&gt;0,"Jazz",
IF(COUNTIF('Queen Discography'!$J$4:$J$22,C33)&gt;0,"The Game",
IF(COUNTIF('Queen Discography'!$K$4:$K$22,C33)&gt;0,"Flash Gordon",
IF(COUNTIF('Queen Discography'!$L$4:$L$22,C33)&gt;0,"Hot Space",
IF(COUNTIF('Queen Discography'!$M$4:$M$22,C33)&gt;0,"The Works",
IF(COUNTIF('Queen Discography'!$N$4:$N$22,C33)&gt;0,"A Kind Of Magic",
IF(COUNTIF('Queen Discography'!$O$4:$O$22,C33)&gt;0,"The Miracle",
IF(COUNTIF('Queen Discography'!$P$4:$P$22,C33)&gt;0,"Innuendo",
IF(COUNTIF('Queen Discography'!$Q$4:$Q$22,C33)&gt;0,"Made In Heaven","NOT FOUND")))))))))))))))</f>
        <v>Queen II</v>
      </c>
      <c r="I33" s="1"/>
      <c r="J33" s="1"/>
      <c r="K33" s="1"/>
      <c r="L33" s="1"/>
      <c r="M33" s="1"/>
      <c r="N33" s="87"/>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row>
    <row r="34">
      <c r="A34" s="1"/>
      <c r="C34" s="66" t="str">
        <f t="array" ref="C34">INDEX('Queen MIDI'!$C$4:$C$66,MATCH(F34,'Queen MIDI'!$D$4:$D$66,0))</f>
        <v>I Want to Break Free</v>
      </c>
      <c r="D34" s="117">
        <v>6.0</v>
      </c>
      <c r="E34" s="118" t="s">
        <v>387</v>
      </c>
      <c r="F34" s="66" t="str">
        <f t="shared" si="2"/>
        <v>I Want to Break Free.3.mid</v>
      </c>
      <c r="G34" s="129">
        <f>HLOOKUP(H34,'Queen Discography'!$C$2:$Q$3,2,FALSE)</f>
        <v>1984</v>
      </c>
      <c r="H34" s="66" t="str">
        <f>IF(COUNTIF('Queen Discography'!$C$4:$C$22,C34)&gt;0,"Queen",
IF(COUNTIF('Queen Discography'!$D$4:$D$22,C34)&gt;0,"Queen II",
IF(COUNTIF('Queen Discography'!$E$4:$E$22,C34)&gt;0,"Sheer Heart Attack",
IF(COUNTIF('Queen Discography'!$F$4:$F$22,C34)&gt;0,"A Night At The Opera",
IF(COUNTIF('Queen Discography'!$G$4:$G$22,C34)&gt;0,"A Day At The Races",
IF(COUNTIF('Queen Discography'!$H$4:$H$22,C34)&gt;0,"News Of The World",
IF(COUNTIF('Queen Discography'!$I$4:$I$22,C34)&gt;0,"Jazz",
IF(COUNTIF('Queen Discography'!$J$4:$J$22,C34)&gt;0,"The Game",
IF(COUNTIF('Queen Discography'!$K$4:$K$22,C34)&gt;0,"Flash Gordon",
IF(COUNTIF('Queen Discography'!$L$4:$L$22,C34)&gt;0,"Hot Space",
IF(COUNTIF('Queen Discography'!$M$4:$M$22,C34)&gt;0,"The Works",
IF(COUNTIF('Queen Discography'!$N$4:$N$22,C34)&gt;0,"A Kind Of Magic",
IF(COUNTIF('Queen Discography'!$O$4:$O$22,C34)&gt;0,"The Miracle",
IF(COUNTIF('Queen Discography'!$P$4:$P$22,C34)&gt;0,"Innuendo",
IF(COUNTIF('Queen Discography'!$Q$4:$Q$22,C34)&gt;0,"Made In Heaven","NOT FOUND")))))))))))))))</f>
        <v>The Works</v>
      </c>
      <c r="I34" s="1"/>
      <c r="J34" s="1"/>
      <c r="K34" s="1"/>
      <c r="L34" s="1"/>
      <c r="M34" s="1"/>
      <c r="N34" s="87"/>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row>
    <row r="35">
      <c r="A35" s="1"/>
      <c r="C35" s="66" t="str">
        <f t="array" ref="C35">INDEX('Queen MIDI'!$C$4:$C$66,MATCH(F35,'Queen MIDI'!$D$4:$D$66,0))</f>
        <v>Radio Ga Ga</v>
      </c>
      <c r="D35" s="117">
        <v>6.0</v>
      </c>
      <c r="E35" s="118" t="s">
        <v>389</v>
      </c>
      <c r="F35" s="66" t="str">
        <f t="shared" si="2"/>
        <v>Radio Ga Ga.5.mid</v>
      </c>
      <c r="G35" s="125">
        <f>HLOOKUP(H35,'Queen Discography'!$C$2:$Q$3,2,FALSE)</f>
        <v>1984</v>
      </c>
      <c r="H35" s="66" t="str">
        <f>IF(COUNTIF('Queen Discography'!$C$4:$C$22,C35)&gt;0,"Queen",
IF(COUNTIF('Queen Discography'!$D$4:$D$22,C35)&gt;0,"Queen II",
IF(COUNTIF('Queen Discography'!$E$4:$E$22,C35)&gt;0,"Sheer Heart Attack",
IF(COUNTIF('Queen Discography'!$F$4:$F$22,C35)&gt;0,"A Night At The Opera",
IF(COUNTIF('Queen Discography'!$G$4:$G$22,C35)&gt;0,"A Day At The Races",
IF(COUNTIF('Queen Discography'!$H$4:$H$22,C35)&gt;0,"News Of The World",
IF(COUNTIF('Queen Discography'!$I$4:$I$22,C35)&gt;0,"Jazz",
IF(COUNTIF('Queen Discography'!$J$4:$J$22,C35)&gt;0,"The Game",
IF(COUNTIF('Queen Discography'!$K$4:$K$22,C35)&gt;0,"Flash Gordon",
IF(COUNTIF('Queen Discography'!$L$4:$L$22,C35)&gt;0,"Hot Space",
IF(COUNTIF('Queen Discography'!$M$4:$M$22,C35)&gt;0,"The Works",
IF(COUNTIF('Queen Discography'!$N$4:$N$22,C35)&gt;0,"A Kind Of Magic",
IF(COUNTIF('Queen Discography'!$O$4:$O$22,C35)&gt;0,"The Miracle",
IF(COUNTIF('Queen Discography'!$P$4:$P$22,C35)&gt;0,"Innuendo",
IF(COUNTIF('Queen Discography'!$Q$4:$Q$22,C35)&gt;0,"Made In Heaven","NOT FOUND")))))))))))))))</f>
        <v>The Works</v>
      </c>
      <c r="I35" s="1"/>
      <c r="J35" s="1"/>
      <c r="K35" s="1"/>
      <c r="L35" s="1"/>
      <c r="M35" s="1"/>
      <c r="N35" s="87"/>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row>
    <row r="36">
      <c r="A36" s="1"/>
      <c r="C36" s="66" t="str">
        <f t="array" ref="C36">INDEX('Queen MIDI'!$C$4:$C$66,MATCH(F36,'Queen MIDI'!$D$4:$D$66,0))</f>
        <v>Princes of the Universe</v>
      </c>
      <c r="D36" s="117">
        <v>6.0</v>
      </c>
      <c r="E36" s="118" t="s">
        <v>393</v>
      </c>
      <c r="F36" s="66" t="str">
        <f t="shared" si="2"/>
        <v>Princes of the Universe.1.mid</v>
      </c>
      <c r="G36" s="125">
        <f>HLOOKUP(H36,'Queen Discography'!$C$2:$Q$3,2,FALSE)</f>
        <v>1986</v>
      </c>
      <c r="H36" s="66" t="str">
        <f>IF(COUNTIF('Queen Discography'!$C$4:$C$22,C36)&gt;0,"Queen",
IF(COUNTIF('Queen Discography'!$D$4:$D$22,C36)&gt;0,"Queen II",
IF(COUNTIF('Queen Discography'!$E$4:$E$22,C36)&gt;0,"Sheer Heart Attack",
IF(COUNTIF('Queen Discography'!$F$4:$F$22,C36)&gt;0,"A Night At The Opera",
IF(COUNTIF('Queen Discography'!$G$4:$G$22,C36)&gt;0,"A Day At The Races",
IF(COUNTIF('Queen Discography'!$H$4:$H$22,C36)&gt;0,"News Of The World",
IF(COUNTIF('Queen Discography'!$I$4:$I$22,C36)&gt;0,"Jazz",
IF(COUNTIF('Queen Discography'!$J$4:$J$22,C36)&gt;0,"The Game",
IF(COUNTIF('Queen Discography'!$K$4:$K$22,C36)&gt;0,"Flash Gordon",
IF(COUNTIF('Queen Discography'!$L$4:$L$22,C36)&gt;0,"Hot Space",
IF(COUNTIF('Queen Discography'!$M$4:$M$22,C36)&gt;0,"The Works",
IF(COUNTIF('Queen Discography'!$N$4:$N$22,C36)&gt;0,"A Kind Of Magic",
IF(COUNTIF('Queen Discography'!$O$4:$O$22,C36)&gt;0,"The Miracle",
IF(COUNTIF('Queen Discography'!$P$4:$P$22,C36)&gt;0,"Innuendo",
IF(COUNTIF('Queen Discography'!$Q$4:$Q$22,C36)&gt;0,"Made In Heaven","NOT FOUND")))))))))))))))</f>
        <v>A Kind Of Magic</v>
      </c>
      <c r="I36" s="1"/>
      <c r="J36" s="1"/>
      <c r="K36" s="1"/>
      <c r="L36" s="1"/>
      <c r="M36" s="87"/>
      <c r="N36" s="87"/>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row>
    <row r="37">
      <c r="A37" s="1"/>
      <c r="C37" s="66" t="str">
        <f t="array" ref="C37">INDEX('Queen MIDI'!$C$4:$C$66,MATCH(F37,'Queen MIDI'!$D$4:$D$66,0))</f>
        <v>I Want It All</v>
      </c>
      <c r="D37" s="117">
        <v>6.0</v>
      </c>
      <c r="E37" s="118" t="s">
        <v>395</v>
      </c>
      <c r="F37" s="66" t="str">
        <f t="shared" si="2"/>
        <v>I Want It All.mid</v>
      </c>
      <c r="G37" s="131">
        <f>HLOOKUP(H37,'Queen Discography'!$C$2:$Q$3,2,FALSE)</f>
        <v>1989</v>
      </c>
      <c r="H37" s="66" t="str">
        <f>IF(COUNTIF('Queen Discography'!$C$4:$C$22,C37)&gt;0,"Queen",
IF(COUNTIF('Queen Discography'!$D$4:$D$22,C37)&gt;0,"Queen II",
IF(COUNTIF('Queen Discography'!$E$4:$E$22,C37)&gt;0,"Sheer Heart Attack",
IF(COUNTIF('Queen Discography'!$F$4:$F$22,C37)&gt;0,"A Night At The Opera",
IF(COUNTIF('Queen Discography'!$G$4:$G$22,C37)&gt;0,"A Day At The Races",
IF(COUNTIF('Queen Discography'!$H$4:$H$22,C37)&gt;0,"News Of The World",
IF(COUNTIF('Queen Discography'!$I$4:$I$22,C37)&gt;0,"Jazz",
IF(COUNTIF('Queen Discography'!$J$4:$J$22,C37)&gt;0,"The Game",
IF(COUNTIF('Queen Discography'!$K$4:$K$22,C37)&gt;0,"Flash Gordon",
IF(COUNTIF('Queen Discography'!$L$4:$L$22,C37)&gt;0,"Hot Space",
IF(COUNTIF('Queen Discography'!$M$4:$M$22,C37)&gt;0,"The Works",
IF(COUNTIF('Queen Discography'!$N$4:$N$22,C37)&gt;0,"A Kind Of Magic",
IF(COUNTIF('Queen Discography'!$O$4:$O$22,C37)&gt;0,"The Miracle",
IF(COUNTIF('Queen Discography'!$P$4:$P$22,C37)&gt;0,"Innuendo",
IF(COUNTIF('Queen Discography'!$Q$4:$Q$22,C37)&gt;0,"Made In Heaven","NOT FOUND")))))))))))))))</f>
        <v>The Miracle</v>
      </c>
      <c r="I37" s="1"/>
      <c r="J37" s="1"/>
      <c r="K37" s="1"/>
      <c r="L37" s="1"/>
      <c r="M37" s="87"/>
      <c r="N37" s="87"/>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row>
    <row r="38">
      <c r="A38" s="1"/>
      <c r="C38" s="66" t="str">
        <f t="array" ref="C38">INDEX('Queen MIDI'!$C$4:$C$66,MATCH(F38,'Queen MIDI'!$D$4:$D$66,0))</f>
        <v>The Show Must Go On</v>
      </c>
      <c r="D38" s="117">
        <v>6.0</v>
      </c>
      <c r="E38" s="118" t="s">
        <v>407</v>
      </c>
      <c r="F38" s="66" t="str">
        <f t="shared" si="2"/>
        <v>The Show Must Go On.mid</v>
      </c>
      <c r="G38" s="120">
        <f>HLOOKUP(H38,'Queen Discography'!$C$2:$Q$3,2,FALSE)</f>
        <v>1991</v>
      </c>
      <c r="H38" s="66" t="str">
        <f>IF(COUNTIF('Queen Discography'!$C$4:$C$22,C38)&gt;0,"Queen",
IF(COUNTIF('Queen Discography'!$D$4:$D$22,C38)&gt;0,"Queen II",
IF(COUNTIF('Queen Discography'!$E$4:$E$22,C38)&gt;0,"Sheer Heart Attack",
IF(COUNTIF('Queen Discography'!$F$4:$F$22,C38)&gt;0,"A Night At The Opera",
IF(COUNTIF('Queen Discography'!$G$4:$G$22,C38)&gt;0,"A Day At The Races",
IF(COUNTIF('Queen Discography'!$H$4:$H$22,C38)&gt;0,"News Of The World",
IF(COUNTIF('Queen Discography'!$I$4:$I$22,C38)&gt;0,"Jazz",
IF(COUNTIF('Queen Discography'!$J$4:$J$22,C38)&gt;0,"The Game",
IF(COUNTIF('Queen Discography'!$K$4:$K$22,C38)&gt;0,"Flash Gordon",
IF(COUNTIF('Queen Discography'!$L$4:$L$22,C38)&gt;0,"Hot Space",
IF(COUNTIF('Queen Discography'!$M$4:$M$22,C38)&gt;0,"The Works",
IF(COUNTIF('Queen Discography'!$N$4:$N$22,C38)&gt;0,"A Kind Of Magic",
IF(COUNTIF('Queen Discography'!$O$4:$O$22,C38)&gt;0,"The Miracle",
IF(COUNTIF('Queen Discography'!$P$4:$P$22,C38)&gt;0,"Innuendo",
IF(COUNTIF('Queen Discography'!$Q$4:$Q$22,C38)&gt;0,"Made In Heaven","NOT FOUND")))))))))))))))</f>
        <v>Innuendo</v>
      </c>
      <c r="I38" s="1"/>
      <c r="J38" s="1"/>
      <c r="K38" s="1"/>
      <c r="L38" s="1"/>
      <c r="M38" s="87"/>
      <c r="N38" s="87"/>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c r="A39" s="1"/>
      <c r="C39" s="66" t="str">
        <f t="array" ref="C39">INDEX('Queen MIDI'!$C$4:$C$66,MATCH(F39,'Queen MIDI'!$D$4:$D$66,0))</f>
        <v>I Was Born to Love You</v>
      </c>
      <c r="D39" s="117">
        <v>6.0</v>
      </c>
      <c r="E39" s="118" t="s">
        <v>410</v>
      </c>
      <c r="F39" s="66" t="str">
        <f t="shared" si="2"/>
        <v>I Was Born to Love You.mid</v>
      </c>
      <c r="G39" s="122">
        <f>HLOOKUP(H39,'Queen Discography'!$C$2:$Q$3,2,FALSE)</f>
        <v>1995</v>
      </c>
      <c r="H39" s="66" t="str">
        <f>IF(COUNTIF('Queen Discography'!$C$4:$C$22,C39)&gt;0,"Queen",
IF(COUNTIF('Queen Discography'!$D$4:$D$22,C39)&gt;0,"Queen II",
IF(COUNTIF('Queen Discography'!$E$4:$E$22,C39)&gt;0,"Sheer Heart Attack",
IF(COUNTIF('Queen Discography'!$F$4:$F$22,C39)&gt;0,"A Night At The Opera",
IF(COUNTIF('Queen Discography'!$G$4:$G$22,C39)&gt;0,"A Day At The Races",
IF(COUNTIF('Queen Discography'!$H$4:$H$22,C39)&gt;0,"News Of The World",
IF(COUNTIF('Queen Discography'!$I$4:$I$22,C39)&gt;0,"Jazz",
IF(COUNTIF('Queen Discography'!$J$4:$J$22,C39)&gt;0,"The Game",
IF(COUNTIF('Queen Discography'!$K$4:$K$22,C39)&gt;0,"Flash Gordon",
IF(COUNTIF('Queen Discography'!$L$4:$L$22,C39)&gt;0,"Hot Space",
IF(COUNTIF('Queen Discography'!$M$4:$M$22,C39)&gt;0,"The Works",
IF(COUNTIF('Queen Discography'!$N$4:$N$22,C39)&gt;0,"A Kind Of Magic",
IF(COUNTIF('Queen Discography'!$O$4:$O$22,C39)&gt;0,"The Miracle",
IF(COUNTIF('Queen Discography'!$P$4:$P$22,C39)&gt;0,"Innuendo",
IF(COUNTIF('Queen Discography'!$Q$4:$Q$22,C39)&gt;0,"Made In Heaven","NOT FOUND")))))))))))))))</f>
        <v>Made In Heaven</v>
      </c>
      <c r="I39" s="1"/>
      <c r="J39" s="1"/>
      <c r="K39" s="1"/>
      <c r="L39" s="1"/>
      <c r="M39" s="87"/>
      <c r="N39" s="87"/>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row>
    <row r="40">
      <c r="A40" s="1"/>
      <c r="C40" s="66" t="str">
        <f t="array" ref="C40">INDEX('Queen MIDI'!$C$4:$C$66,MATCH(F40,'Queen MIDI'!$D$4:$D$66,0))</f>
        <v>Mother Love</v>
      </c>
      <c r="D40" s="117">
        <v>6.0</v>
      </c>
      <c r="E40" s="118" t="s">
        <v>412</v>
      </c>
      <c r="F40" s="66" t="str">
        <f t="shared" si="2"/>
        <v>Mother Love.mid</v>
      </c>
      <c r="G40" s="129">
        <f>HLOOKUP(H40,'Queen Discography'!$C$2:$Q$3,2,FALSE)</f>
        <v>1995</v>
      </c>
      <c r="H40" s="66" t="str">
        <f>IF(COUNTIF('Queen Discography'!$C$4:$C$22,C40)&gt;0,"Queen",
IF(COUNTIF('Queen Discography'!$D$4:$D$22,C40)&gt;0,"Queen II",
IF(COUNTIF('Queen Discography'!$E$4:$E$22,C40)&gt;0,"Sheer Heart Attack",
IF(COUNTIF('Queen Discography'!$F$4:$F$22,C40)&gt;0,"A Night At The Opera",
IF(COUNTIF('Queen Discography'!$G$4:$G$22,C40)&gt;0,"A Day At The Races",
IF(COUNTIF('Queen Discography'!$H$4:$H$22,C40)&gt;0,"News Of The World",
IF(COUNTIF('Queen Discography'!$I$4:$I$22,C40)&gt;0,"Jazz",
IF(COUNTIF('Queen Discography'!$J$4:$J$22,C40)&gt;0,"The Game",
IF(COUNTIF('Queen Discography'!$K$4:$K$22,C40)&gt;0,"Flash Gordon",
IF(COUNTIF('Queen Discography'!$L$4:$L$22,C40)&gt;0,"Hot Space",
IF(COUNTIF('Queen Discography'!$M$4:$M$22,C40)&gt;0,"The Works",
IF(COUNTIF('Queen Discography'!$N$4:$N$22,C40)&gt;0,"A Kind Of Magic",
IF(COUNTIF('Queen Discography'!$O$4:$O$22,C40)&gt;0,"The Miracle",
IF(COUNTIF('Queen Discography'!$P$4:$P$22,C40)&gt;0,"Innuendo",
IF(COUNTIF('Queen Discography'!$Q$4:$Q$22,C40)&gt;0,"Made In Heaven","NOT FOUND")))))))))))))))</f>
        <v>Made In Heaven</v>
      </c>
      <c r="I40" s="1"/>
      <c r="J40" s="1"/>
      <c r="K40" s="1"/>
      <c r="L40" s="1"/>
      <c r="M40" s="87"/>
      <c r="N40" s="87"/>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row>
    <row r="41">
      <c r="A41" s="1"/>
      <c r="C41" s="66" t="str">
        <f t="array" ref="C41">INDEX('Queen MIDI'!$C$4:$C$66,MATCH(F41,'Queen MIDI'!$D$4:$D$66,0))</f>
        <v>You Don't Fool Me</v>
      </c>
      <c r="D41" s="117">
        <v>6.0</v>
      </c>
      <c r="E41" s="118" t="s">
        <v>415</v>
      </c>
      <c r="F41" s="66" t="str">
        <f t="shared" si="2"/>
        <v>You Don_t Fool Me.mid</v>
      </c>
      <c r="G41" s="123">
        <f>HLOOKUP(H41,'Queen Discography'!$C$2:$Q$3,2,FALSE)</f>
        <v>1995</v>
      </c>
      <c r="H41" s="66" t="str">
        <f>IF(COUNTIF('Queen Discography'!$C$4:$C$22,C41)&gt;0,"Queen",
IF(COUNTIF('Queen Discography'!$D$4:$D$22,C41)&gt;0,"Queen II",
IF(COUNTIF('Queen Discography'!$E$4:$E$22,C41)&gt;0,"Sheer Heart Attack",
IF(COUNTIF('Queen Discography'!$F$4:$F$22,C41)&gt;0,"A Night At The Opera",
IF(COUNTIF('Queen Discography'!$G$4:$G$22,C41)&gt;0,"A Day At The Races",
IF(COUNTIF('Queen Discography'!$H$4:$H$22,C41)&gt;0,"News Of The World",
IF(COUNTIF('Queen Discography'!$I$4:$I$22,C41)&gt;0,"Jazz",
IF(COUNTIF('Queen Discography'!$J$4:$J$22,C41)&gt;0,"The Game",
IF(COUNTIF('Queen Discography'!$K$4:$K$22,C41)&gt;0,"Flash Gordon",
IF(COUNTIF('Queen Discography'!$L$4:$L$22,C41)&gt;0,"Hot Space",
IF(COUNTIF('Queen Discography'!$M$4:$M$22,C41)&gt;0,"The Works",
IF(COUNTIF('Queen Discography'!$N$4:$N$22,C41)&gt;0,"A Kind Of Magic",
IF(COUNTIF('Queen Discography'!$O$4:$O$22,C41)&gt;0,"The Miracle",
IF(COUNTIF('Queen Discography'!$P$4:$P$22,C41)&gt;0,"Innuendo",
IF(COUNTIF('Queen Discography'!$Q$4:$Q$22,C41)&gt;0,"Made In Heaven","NOT FOUND")))))))))))))))</f>
        <v>Made In Heaven</v>
      </c>
      <c r="I41" s="1"/>
      <c r="J41" s="1"/>
      <c r="K41" s="1"/>
      <c r="L41" s="1"/>
      <c r="M41" s="87"/>
      <c r="N41" s="87"/>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row>
    <row r="42">
      <c r="A42" s="1"/>
      <c r="C42" s="66" t="str">
        <f t="array" ref="C42">INDEX('Queen MIDI'!$C$4:$C$66,MATCH(F42,'Queen MIDI'!$D$4:$D$66,0))</f>
        <v>In Only Seven Days</v>
      </c>
      <c r="D42" s="117">
        <v>7.0</v>
      </c>
      <c r="E42" s="118" t="s">
        <v>380</v>
      </c>
      <c r="F42" s="66" t="str">
        <f t="shared" si="2"/>
        <v>In Only Seven Days.mid</v>
      </c>
      <c r="G42" s="122">
        <f>HLOOKUP(H42,'Queen Discography'!$C$2:$Q$3,2,FALSE)</f>
        <v>1978</v>
      </c>
      <c r="H42" s="66" t="str">
        <f>IF(COUNTIF('Queen Discography'!$C$4:$C$22,C42)&gt;0,"Queen",
IF(COUNTIF('Queen Discography'!$D$4:$D$22,C42)&gt;0,"Queen II",
IF(COUNTIF('Queen Discography'!$E$4:$E$22,C42)&gt;0,"Sheer Heart Attack",
IF(COUNTIF('Queen Discography'!$F$4:$F$22,C42)&gt;0,"A Night At The Opera",
IF(COUNTIF('Queen Discography'!$G$4:$G$22,C42)&gt;0,"A Day At The Races",
IF(COUNTIF('Queen Discography'!$H$4:$H$22,C42)&gt;0,"News Of The World",
IF(COUNTIF('Queen Discography'!$I$4:$I$22,C42)&gt;0,"Jazz",
IF(COUNTIF('Queen Discography'!$J$4:$J$22,C42)&gt;0,"The Game",
IF(COUNTIF('Queen Discography'!$K$4:$K$22,C42)&gt;0,"Flash Gordon",
IF(COUNTIF('Queen Discography'!$L$4:$L$22,C42)&gt;0,"Hot Space",
IF(COUNTIF('Queen Discography'!$M$4:$M$22,C42)&gt;0,"The Works",
IF(COUNTIF('Queen Discography'!$N$4:$N$22,C42)&gt;0,"A Kind Of Magic",
IF(COUNTIF('Queen Discography'!$O$4:$O$22,C42)&gt;0,"The Miracle",
IF(COUNTIF('Queen Discography'!$P$4:$P$22,C42)&gt;0,"Innuendo",
IF(COUNTIF('Queen Discography'!$Q$4:$Q$22,C42)&gt;0,"Made In Heaven","NOT FOUND")))))))))))))))</f>
        <v>Jazz</v>
      </c>
      <c r="I42" s="1"/>
      <c r="J42" s="1"/>
      <c r="K42" s="1"/>
      <c r="L42" s="1"/>
      <c r="M42" s="87"/>
      <c r="N42" s="87"/>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row>
    <row r="43">
      <c r="A43" s="1"/>
      <c r="C43" s="66" t="str">
        <f t="array" ref="C43">INDEX('Queen MIDI'!$C$4:$C$66,MATCH(F43,'Queen MIDI'!$D$4:$D$66,0))</f>
        <v>These Are the Days of Our Lives</v>
      </c>
      <c r="D43" s="117">
        <v>7.0</v>
      </c>
      <c r="E43" s="118" t="s">
        <v>408</v>
      </c>
      <c r="F43" s="66" t="str">
        <f t="shared" si="2"/>
        <v>These Are the Days of Our Lives.3.mid</v>
      </c>
      <c r="G43" s="120">
        <f>HLOOKUP(H43,'Queen Discography'!$C$2:$Q$3,2,FALSE)</f>
        <v>1991</v>
      </c>
      <c r="H43" s="66" t="str">
        <f>IF(COUNTIF('Queen Discography'!$C$4:$C$22,C43)&gt;0,"Queen",
IF(COUNTIF('Queen Discography'!$D$4:$D$22,C43)&gt;0,"Queen II",
IF(COUNTIF('Queen Discography'!$E$4:$E$22,C43)&gt;0,"Sheer Heart Attack",
IF(COUNTIF('Queen Discography'!$F$4:$F$22,C43)&gt;0,"A Night At The Opera",
IF(COUNTIF('Queen Discography'!$G$4:$G$22,C43)&gt;0,"A Day At The Races",
IF(COUNTIF('Queen Discography'!$H$4:$H$22,C43)&gt;0,"News Of The World",
IF(COUNTIF('Queen Discography'!$I$4:$I$22,C43)&gt;0,"Jazz",
IF(COUNTIF('Queen Discography'!$J$4:$J$22,C43)&gt;0,"The Game",
IF(COUNTIF('Queen Discography'!$K$4:$K$22,C43)&gt;0,"Flash Gordon",
IF(COUNTIF('Queen Discography'!$L$4:$L$22,C43)&gt;0,"Hot Space",
IF(COUNTIF('Queen Discography'!$M$4:$M$22,C43)&gt;0,"The Works",
IF(COUNTIF('Queen Discography'!$N$4:$N$22,C43)&gt;0,"A Kind Of Magic",
IF(COUNTIF('Queen Discography'!$O$4:$O$22,C43)&gt;0,"The Miracle",
IF(COUNTIF('Queen Discography'!$P$4:$P$22,C43)&gt;0,"Innuendo",
IF(COUNTIF('Queen Discography'!$Q$4:$Q$22,C43)&gt;0,"Made In Heaven","NOT FOUND")))))))))))))))</f>
        <v>Innuendo</v>
      </c>
      <c r="I43" s="1"/>
      <c r="J43" s="1"/>
      <c r="K43" s="1"/>
      <c r="L43" s="1"/>
      <c r="M43" s="87"/>
      <c r="N43" s="87"/>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row>
    <row r="44">
      <c r="A44" s="1"/>
      <c r="C44" s="66" t="str">
        <f t="array" ref="C44">INDEX('Queen MIDI'!$C$4:$C$66,MATCH(F44,'Queen MIDI'!$D$4:$D$66,0))</f>
        <v>Doing Alright</v>
      </c>
      <c r="D44" s="117">
        <v>8.0</v>
      </c>
      <c r="E44" s="118" t="s">
        <v>356</v>
      </c>
      <c r="F44" s="66" t="str">
        <f t="shared" si="2"/>
        <v>Doing All Right.1.mid</v>
      </c>
      <c r="G44" s="130">
        <f>HLOOKUP(H44,'Queen Discography'!$C$2:$Q$3,2,FALSE)</f>
        <v>1973</v>
      </c>
      <c r="H44" s="66" t="str">
        <f>IF(COUNTIF('Queen Discography'!$C$4:$C$22,C44)&gt;0,"Queen",
IF(COUNTIF('Queen Discography'!$D$4:$D$22,C44)&gt;0,"Queen II",
IF(COUNTIF('Queen Discography'!$E$4:$E$22,C44)&gt;0,"Sheer Heart Attack",
IF(COUNTIF('Queen Discography'!$F$4:$F$22,C44)&gt;0,"A Night At The Opera",
IF(COUNTIF('Queen Discography'!$G$4:$G$22,C44)&gt;0,"A Day At The Races",
IF(COUNTIF('Queen Discography'!$H$4:$H$22,C44)&gt;0,"News Of The World",
IF(COUNTIF('Queen Discography'!$I$4:$I$22,C44)&gt;0,"Jazz",
IF(COUNTIF('Queen Discography'!$J$4:$J$22,C44)&gt;0,"The Game",
IF(COUNTIF('Queen Discography'!$K$4:$K$22,C44)&gt;0,"Flash Gordon",
IF(COUNTIF('Queen Discography'!$L$4:$L$22,C44)&gt;0,"Hot Space",
IF(COUNTIF('Queen Discography'!$M$4:$M$22,C44)&gt;0,"The Works",
IF(COUNTIF('Queen Discography'!$N$4:$N$22,C44)&gt;0,"A Kind Of Magic",
IF(COUNTIF('Queen Discography'!$O$4:$O$22,C44)&gt;0,"The Miracle",
IF(COUNTIF('Queen Discography'!$P$4:$P$22,C44)&gt;0,"Innuendo",
IF(COUNTIF('Queen Discography'!$Q$4:$Q$22,C44)&gt;0,"Made In Heaven","NOT FOUND")))))))))))))))</f>
        <v>Queen</v>
      </c>
      <c r="I44" s="1"/>
      <c r="J44" s="1"/>
      <c r="K44" s="1"/>
      <c r="L44" s="1"/>
      <c r="M44" s="87"/>
      <c r="N44" s="87"/>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row>
    <row r="45">
      <c r="A45" s="1"/>
      <c r="C45" s="66" t="str">
        <f t="array" ref="C45">INDEX('Queen MIDI'!$C$4:$C$66,MATCH(F45,'Queen MIDI'!$D$4:$D$66,0))</f>
        <v>You're My Best Friend</v>
      </c>
      <c r="D45" s="117">
        <v>8.0</v>
      </c>
      <c r="E45" s="118" t="s">
        <v>369</v>
      </c>
      <c r="F45" s="66" t="str">
        <f t="shared" si="2"/>
        <v>You_re My Best Friend.mid</v>
      </c>
      <c r="G45" s="133">
        <f>HLOOKUP(H45,'Queen Discography'!$C$2:$Q$3,2,FALSE)</f>
        <v>1975</v>
      </c>
      <c r="H45" s="66" t="str">
        <f>IF(COUNTIF('Queen Discography'!$C$4:$C$22,C45)&gt;0,"Queen",
IF(COUNTIF('Queen Discography'!$D$4:$D$22,C45)&gt;0,"Queen II",
IF(COUNTIF('Queen Discography'!$E$4:$E$22,C45)&gt;0,"Sheer Heart Attack",
IF(COUNTIF('Queen Discography'!$F$4:$F$22,C45)&gt;0,"A Night At The Opera",
IF(COUNTIF('Queen Discography'!$G$4:$G$22,C45)&gt;0,"A Day At The Races",
IF(COUNTIF('Queen Discography'!$H$4:$H$22,C45)&gt;0,"News Of The World",
IF(COUNTIF('Queen Discography'!$I$4:$I$22,C45)&gt;0,"Jazz",
IF(COUNTIF('Queen Discography'!$J$4:$J$22,C45)&gt;0,"The Game",
IF(COUNTIF('Queen Discography'!$K$4:$K$22,C45)&gt;0,"Flash Gordon",
IF(COUNTIF('Queen Discography'!$L$4:$L$22,C45)&gt;0,"Hot Space",
IF(COUNTIF('Queen Discography'!$M$4:$M$22,C45)&gt;0,"The Works",
IF(COUNTIF('Queen Discography'!$N$4:$N$22,C45)&gt;0,"A Kind Of Magic",
IF(COUNTIF('Queen Discography'!$O$4:$O$22,C45)&gt;0,"The Miracle",
IF(COUNTIF('Queen Discography'!$P$4:$P$22,C45)&gt;0,"Innuendo",
IF(COUNTIF('Queen Discography'!$Q$4:$Q$22,C45)&gt;0,"Made In Heaven","NOT FOUND")))))))))))))))</f>
        <v>A Night At The Opera</v>
      </c>
      <c r="I45" s="1"/>
      <c r="J45" s="1"/>
      <c r="K45" s="1"/>
      <c r="L45" s="1"/>
      <c r="M45" s="87"/>
      <c r="N45" s="87"/>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row>
    <row r="46">
      <c r="A46" s="1"/>
      <c r="C46" s="66" t="str">
        <f t="array" ref="C46">INDEX('Queen MIDI'!$C$4:$C$66,MATCH(F46,'Queen MIDI'!$D$4:$D$66,0))</f>
        <v>39</v>
      </c>
      <c r="D46" s="117">
        <v>8.0</v>
      </c>
      <c r="E46" s="118" t="s">
        <v>365</v>
      </c>
      <c r="F46" s="66" t="str">
        <f t="shared" si="2"/>
        <v>_39.mid</v>
      </c>
      <c r="G46" s="122">
        <f>HLOOKUP(H46,'Queen Discography'!$C$2:$Q$3,2,FALSE)</f>
        <v>1975</v>
      </c>
      <c r="H46" s="66" t="str">
        <f>IF(COUNTIF('Queen Discography'!$C$4:$C$22,C46)&gt;0,"Queen",
IF(COUNTIF('Queen Discography'!$D$4:$D$22,C46)&gt;0,"Queen II",
IF(COUNTIF('Queen Discography'!$E$4:$E$22,C46)&gt;0,"Sheer Heart Attack",
IF(COUNTIF('Queen Discography'!$F$4:$F$22,C46)&gt;0,"A Night At The Opera",
IF(COUNTIF('Queen Discography'!$G$4:$G$22,C46)&gt;0,"A Day At The Races",
IF(COUNTIF('Queen Discography'!$H$4:$H$22,C46)&gt;0,"News Of The World",
IF(COUNTIF('Queen Discography'!$I$4:$I$22,C46)&gt;0,"Jazz",
IF(COUNTIF('Queen Discography'!$J$4:$J$22,C46)&gt;0,"The Game",
IF(COUNTIF('Queen Discography'!$K$4:$K$22,C46)&gt;0,"Flash Gordon",
IF(COUNTIF('Queen Discography'!$L$4:$L$22,C46)&gt;0,"Hot Space",
IF(COUNTIF('Queen Discography'!$M$4:$M$22,C46)&gt;0,"The Works",
IF(COUNTIF('Queen Discography'!$N$4:$N$22,C46)&gt;0,"A Kind Of Magic",
IF(COUNTIF('Queen Discography'!$O$4:$O$22,C46)&gt;0,"The Miracle",
IF(COUNTIF('Queen Discography'!$P$4:$P$22,C46)&gt;0,"Innuendo",
IF(COUNTIF('Queen Discography'!$Q$4:$Q$22,C46)&gt;0,"Made In Heaven","NOT FOUND")))))))))))))))</f>
        <v>A Night At The Opera</v>
      </c>
      <c r="I46" s="1"/>
      <c r="J46" s="1"/>
      <c r="K46" s="1"/>
      <c r="L46" s="1"/>
      <c r="M46" s="87"/>
      <c r="N46" s="87"/>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row>
    <row r="47">
      <c r="A47" s="1"/>
      <c r="C47" s="66" t="str">
        <f t="array" ref="C47">INDEX('Queen MIDI'!$C$4:$C$66,MATCH(F47,'Queen MIDI'!$D$4:$D$66,0))</f>
        <v>Spread Your Wings</v>
      </c>
      <c r="D47" s="117">
        <v>8.0</v>
      </c>
      <c r="E47" s="118" t="s">
        <v>374</v>
      </c>
      <c r="F47" s="66" t="str">
        <f t="shared" si="2"/>
        <v>Spread Your Wings.mid</v>
      </c>
      <c r="G47" s="125">
        <f>HLOOKUP(H47,'Queen Discography'!$C$2:$Q$3,2,FALSE)</f>
        <v>1977</v>
      </c>
      <c r="H47" s="66" t="str">
        <f>IF(COUNTIF('Queen Discography'!$C$4:$C$22,C47)&gt;0,"Queen",
IF(COUNTIF('Queen Discography'!$D$4:$D$22,C47)&gt;0,"Queen II",
IF(COUNTIF('Queen Discography'!$E$4:$E$22,C47)&gt;0,"Sheer Heart Attack",
IF(COUNTIF('Queen Discography'!$F$4:$F$22,C47)&gt;0,"A Night At The Opera",
IF(COUNTIF('Queen Discography'!$G$4:$G$22,C47)&gt;0,"A Day At The Races",
IF(COUNTIF('Queen Discography'!$H$4:$H$22,C47)&gt;0,"News Of The World",
IF(COUNTIF('Queen Discography'!$I$4:$I$22,C47)&gt;0,"Jazz",
IF(COUNTIF('Queen Discography'!$J$4:$J$22,C47)&gt;0,"The Game",
IF(COUNTIF('Queen Discography'!$K$4:$K$22,C47)&gt;0,"Flash Gordon",
IF(COUNTIF('Queen Discography'!$L$4:$L$22,C47)&gt;0,"Hot Space",
IF(COUNTIF('Queen Discography'!$M$4:$M$22,C47)&gt;0,"The Works",
IF(COUNTIF('Queen Discography'!$N$4:$N$22,C47)&gt;0,"A Kind Of Magic",
IF(COUNTIF('Queen Discography'!$O$4:$O$22,C47)&gt;0,"The Miracle",
IF(COUNTIF('Queen Discography'!$P$4:$P$22,C47)&gt;0,"Innuendo",
IF(COUNTIF('Queen Discography'!$Q$4:$Q$22,C47)&gt;0,"Made In Heaven","NOT FOUND")))))))))))))))</f>
        <v>News Of The World</v>
      </c>
      <c r="I47" s="1"/>
      <c r="J47" s="1"/>
      <c r="K47" s="1"/>
      <c r="L47" s="1"/>
      <c r="M47" s="87"/>
      <c r="N47" s="87"/>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row>
    <row r="48">
      <c r="A48" s="1"/>
      <c r="C48" s="66" t="str">
        <f t="array" ref="C48">INDEX('Queen MIDI'!$C$4:$C$66,MATCH(F48,'Queen MIDI'!$D$4:$D$66,0))</f>
        <v>Fat Bottomed Girls</v>
      </c>
      <c r="D48" s="117">
        <v>8.0</v>
      </c>
      <c r="E48" s="118" t="s">
        <v>378</v>
      </c>
      <c r="F48" s="66" t="str">
        <f t="shared" si="2"/>
        <v>Fat Bottomed Girls.mid</v>
      </c>
      <c r="G48" s="123">
        <f>HLOOKUP(H48,'Queen Discography'!$C$2:$Q$3,2,FALSE)</f>
        <v>1978</v>
      </c>
      <c r="H48" s="66" t="str">
        <f>IF(COUNTIF('Queen Discography'!$C$4:$C$22,C48)&gt;0,"Queen",
IF(COUNTIF('Queen Discography'!$D$4:$D$22,C48)&gt;0,"Queen II",
IF(COUNTIF('Queen Discography'!$E$4:$E$22,C48)&gt;0,"Sheer Heart Attack",
IF(COUNTIF('Queen Discography'!$F$4:$F$22,C48)&gt;0,"A Night At The Opera",
IF(COUNTIF('Queen Discography'!$G$4:$G$22,C48)&gt;0,"A Day At The Races",
IF(COUNTIF('Queen Discography'!$H$4:$H$22,C48)&gt;0,"News Of The World",
IF(COUNTIF('Queen Discography'!$I$4:$I$22,C48)&gt;0,"Jazz",
IF(COUNTIF('Queen Discography'!$J$4:$J$22,C48)&gt;0,"The Game",
IF(COUNTIF('Queen Discography'!$K$4:$K$22,C48)&gt;0,"Flash Gordon",
IF(COUNTIF('Queen Discography'!$L$4:$L$22,C48)&gt;0,"Hot Space",
IF(COUNTIF('Queen Discography'!$M$4:$M$22,C48)&gt;0,"The Works",
IF(COUNTIF('Queen Discography'!$N$4:$N$22,C48)&gt;0,"A Kind Of Magic",
IF(COUNTIF('Queen Discography'!$O$4:$O$22,C48)&gt;0,"The Miracle",
IF(COUNTIF('Queen Discography'!$P$4:$P$22,C48)&gt;0,"Innuendo",
IF(COUNTIF('Queen Discography'!$Q$4:$Q$22,C48)&gt;0,"Made In Heaven","NOT FOUND")))))))))))))))</f>
        <v>Jazz</v>
      </c>
      <c r="I48" s="1"/>
      <c r="J48" s="1"/>
      <c r="K48" s="1"/>
      <c r="L48" s="1"/>
      <c r="M48" s="87"/>
      <c r="N48" s="87"/>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row>
    <row r="49">
      <c r="A49" s="1"/>
      <c r="C49" s="66" t="str">
        <f t="array" ref="C49">INDEX('Queen MIDI'!$C$4:$C$66,MATCH(F49,'Queen MIDI'!$D$4:$D$66,0))</f>
        <v>Save Me</v>
      </c>
      <c r="D49" s="117">
        <v>8.0</v>
      </c>
      <c r="E49" s="118" t="s">
        <v>384</v>
      </c>
      <c r="F49" s="66" t="str">
        <f t="shared" si="2"/>
        <v>Save Me.2.mid</v>
      </c>
      <c r="G49" s="120">
        <f>HLOOKUP(H49,'Queen Discography'!$C$2:$Q$3,2,FALSE)</f>
        <v>1980</v>
      </c>
      <c r="H49" s="66" t="str">
        <f>IF(COUNTIF('Queen Discography'!$C$4:$C$22,C49)&gt;0,"Queen",
IF(COUNTIF('Queen Discography'!$D$4:$D$22,C49)&gt;0,"Queen II",
IF(COUNTIF('Queen Discography'!$E$4:$E$22,C49)&gt;0,"Sheer Heart Attack",
IF(COUNTIF('Queen Discography'!$F$4:$F$22,C49)&gt;0,"A Night At The Opera",
IF(COUNTIF('Queen Discography'!$G$4:$G$22,C49)&gt;0,"A Day At The Races",
IF(COUNTIF('Queen Discography'!$H$4:$H$22,C49)&gt;0,"News Of The World",
IF(COUNTIF('Queen Discography'!$I$4:$I$22,C49)&gt;0,"Jazz",
IF(COUNTIF('Queen Discography'!$J$4:$J$22,C49)&gt;0,"The Game",
IF(COUNTIF('Queen Discography'!$K$4:$K$22,C49)&gt;0,"Flash Gordon",
IF(COUNTIF('Queen Discography'!$L$4:$L$22,C49)&gt;0,"Hot Space",
IF(COUNTIF('Queen Discography'!$M$4:$M$22,C49)&gt;0,"The Works",
IF(COUNTIF('Queen Discography'!$N$4:$N$22,C49)&gt;0,"A Kind Of Magic",
IF(COUNTIF('Queen Discography'!$O$4:$O$22,C49)&gt;0,"The Miracle",
IF(COUNTIF('Queen Discography'!$P$4:$P$22,C49)&gt;0,"Innuendo",
IF(COUNTIF('Queen Discography'!$Q$4:$Q$22,C49)&gt;0,"Made In Heaven","NOT FOUND")))))))))))))))</f>
        <v>The Game</v>
      </c>
      <c r="I49" s="1"/>
      <c r="J49" s="1"/>
      <c r="K49" s="1"/>
      <c r="L49" s="1"/>
      <c r="M49" s="87"/>
      <c r="N49" s="87"/>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row>
    <row r="50">
      <c r="A50" s="1"/>
      <c r="C50" s="66" t="str">
        <f t="array" ref="C50">INDEX('Queen MIDI'!$C$4:$C$66,MATCH(F50,'Queen MIDI'!$D$4:$D$66,0))</f>
        <v>Under Pressure</v>
      </c>
      <c r="D50" s="117">
        <v>8.0</v>
      </c>
      <c r="E50" s="118" t="s">
        <v>385</v>
      </c>
      <c r="F50" s="66" t="str">
        <f t="shared" si="2"/>
        <v>Under Pressure.7.mid</v>
      </c>
      <c r="G50" s="124">
        <f>HLOOKUP(H50,'Queen Discography'!$C$2:$Q$3,2,FALSE)</f>
        <v>1982</v>
      </c>
      <c r="H50" s="66" t="str">
        <f>IF(COUNTIF('Queen Discography'!$C$4:$C$22,C50)&gt;0,"Queen",
IF(COUNTIF('Queen Discography'!$D$4:$D$22,C50)&gt;0,"Queen II",
IF(COUNTIF('Queen Discography'!$E$4:$E$22,C50)&gt;0,"Sheer Heart Attack",
IF(COUNTIF('Queen Discography'!$F$4:$F$22,C50)&gt;0,"A Night At The Opera",
IF(COUNTIF('Queen Discography'!$G$4:$G$22,C50)&gt;0,"A Day At The Races",
IF(COUNTIF('Queen Discography'!$H$4:$H$22,C50)&gt;0,"News Of The World",
IF(COUNTIF('Queen Discography'!$I$4:$I$22,C50)&gt;0,"Jazz",
IF(COUNTIF('Queen Discography'!$J$4:$J$22,C50)&gt;0,"The Game",
IF(COUNTIF('Queen Discography'!$K$4:$K$22,C50)&gt;0,"Flash Gordon",
IF(COUNTIF('Queen Discography'!$L$4:$L$22,C50)&gt;0,"Hot Space",
IF(COUNTIF('Queen Discography'!$M$4:$M$22,C50)&gt;0,"The Works",
IF(COUNTIF('Queen Discography'!$N$4:$N$22,C50)&gt;0,"A Kind Of Magic",
IF(COUNTIF('Queen Discography'!$O$4:$O$22,C50)&gt;0,"The Miracle",
IF(COUNTIF('Queen Discography'!$P$4:$P$22,C50)&gt;0,"Innuendo",
IF(COUNTIF('Queen Discography'!$Q$4:$Q$22,C50)&gt;0,"Made In Heaven","NOT FOUND")))))))))))))))</f>
        <v>Hot Space</v>
      </c>
      <c r="I50" s="1"/>
      <c r="J50" s="1"/>
      <c r="K50" s="1"/>
      <c r="L50" s="1"/>
      <c r="M50" s="87"/>
      <c r="N50" s="87"/>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c r="A51" s="1"/>
      <c r="C51" s="66" t="str">
        <f t="array" ref="C51">INDEX('Queen MIDI'!$C$4:$C$66,MATCH(F51,'Queen MIDI'!$D$4:$D$66,0))</f>
        <v>One Year of Love</v>
      </c>
      <c r="D51" s="117">
        <v>8.0</v>
      </c>
      <c r="E51" s="118" t="s">
        <v>392</v>
      </c>
      <c r="F51" s="66" t="str">
        <f t="shared" si="2"/>
        <v>One Year of Love.mid</v>
      </c>
      <c r="G51" s="128">
        <f>HLOOKUP(H51,'Queen Discography'!$C$2:$Q$3,2,FALSE)</f>
        <v>1986</v>
      </c>
      <c r="H51" s="66" t="str">
        <f>IF(COUNTIF('Queen Discography'!$C$4:$C$22,C51)&gt;0,"Queen",
IF(COUNTIF('Queen Discography'!$D$4:$D$22,C51)&gt;0,"Queen II",
IF(COUNTIF('Queen Discography'!$E$4:$E$22,C51)&gt;0,"Sheer Heart Attack",
IF(COUNTIF('Queen Discography'!$F$4:$F$22,C51)&gt;0,"A Night At The Opera",
IF(COUNTIF('Queen Discography'!$G$4:$G$22,C51)&gt;0,"A Day At The Races",
IF(COUNTIF('Queen Discography'!$H$4:$H$22,C51)&gt;0,"News Of The World",
IF(COUNTIF('Queen Discography'!$I$4:$I$22,C51)&gt;0,"Jazz",
IF(COUNTIF('Queen Discography'!$J$4:$J$22,C51)&gt;0,"The Game",
IF(COUNTIF('Queen Discography'!$K$4:$K$22,C51)&gt;0,"Flash Gordon",
IF(COUNTIF('Queen Discography'!$L$4:$L$22,C51)&gt;0,"Hot Space",
IF(COUNTIF('Queen Discography'!$M$4:$M$22,C51)&gt;0,"The Works",
IF(COUNTIF('Queen Discography'!$N$4:$N$22,C51)&gt;0,"A Kind Of Magic",
IF(COUNTIF('Queen Discography'!$O$4:$O$22,C51)&gt;0,"The Miracle",
IF(COUNTIF('Queen Discography'!$P$4:$P$22,C51)&gt;0,"Innuendo",
IF(COUNTIF('Queen Discography'!$Q$4:$Q$22,C51)&gt;0,"Made In Heaven","NOT FOUND")))))))))))))))</f>
        <v>A Kind Of Magic</v>
      </c>
      <c r="I51" s="1"/>
      <c r="J51" s="1"/>
      <c r="K51" s="1"/>
      <c r="L51" s="1"/>
      <c r="M51" s="87"/>
      <c r="N51" s="87"/>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row>
    <row r="52">
      <c r="A52" s="1"/>
      <c r="C52" s="66" t="str">
        <f t="array" ref="C52">INDEX('Queen MIDI'!$C$4:$C$66,MATCH(F52,'Queen MIDI'!$D$4:$D$66,0))</f>
        <v>Who Wants to Live Forever</v>
      </c>
      <c r="D52" s="117">
        <v>8.0</v>
      </c>
      <c r="E52" s="118" t="s">
        <v>394</v>
      </c>
      <c r="F52" s="66" t="str">
        <f t="shared" si="2"/>
        <v>Who Wants to Live Forever.4.mid</v>
      </c>
      <c r="G52" s="133">
        <f>HLOOKUP(H52,'Queen Discography'!$C$2:$Q$3,2,FALSE)</f>
        <v>1986</v>
      </c>
      <c r="H52" s="66" t="str">
        <f>IF(COUNTIF('Queen Discography'!$C$4:$C$22,C52)&gt;0,"Queen",
IF(COUNTIF('Queen Discography'!$D$4:$D$22,C52)&gt;0,"Queen II",
IF(COUNTIF('Queen Discography'!$E$4:$E$22,C52)&gt;0,"Sheer Heart Attack",
IF(COUNTIF('Queen Discography'!$F$4:$F$22,C52)&gt;0,"A Night At The Opera",
IF(COUNTIF('Queen Discography'!$G$4:$G$22,C52)&gt;0,"A Day At The Races",
IF(COUNTIF('Queen Discography'!$H$4:$H$22,C52)&gt;0,"News Of The World",
IF(COUNTIF('Queen Discography'!$I$4:$I$22,C52)&gt;0,"Jazz",
IF(COUNTIF('Queen Discography'!$J$4:$J$22,C52)&gt;0,"The Game",
IF(COUNTIF('Queen Discography'!$K$4:$K$22,C52)&gt;0,"Flash Gordon",
IF(COUNTIF('Queen Discography'!$L$4:$L$22,C52)&gt;0,"Hot Space",
IF(COUNTIF('Queen Discography'!$M$4:$M$22,C52)&gt;0,"The Works",
IF(COUNTIF('Queen Discography'!$N$4:$N$22,C52)&gt;0,"A Kind Of Magic",
IF(COUNTIF('Queen Discography'!$O$4:$O$22,C52)&gt;0,"The Miracle",
IF(COUNTIF('Queen Discography'!$P$4:$P$22,C52)&gt;0,"Innuendo",
IF(COUNTIF('Queen Discography'!$Q$4:$Q$22,C52)&gt;0,"Made In Heaven","NOT FOUND")))))))))))))))</f>
        <v>A Kind Of Magic</v>
      </c>
      <c r="I52" s="1"/>
      <c r="J52" s="1"/>
      <c r="K52" s="1"/>
      <c r="L52" s="1"/>
      <c r="M52" s="87"/>
      <c r="N52" s="87"/>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row>
    <row r="53">
      <c r="A53" s="1"/>
      <c r="C53" s="66" t="str">
        <f t="array" ref="C53">INDEX('Queen MIDI'!$C$4:$C$66,MATCH(F53,'Queen MIDI'!$D$4:$D$66,0))</f>
        <v>Don't Try So Hard</v>
      </c>
      <c r="D53" s="117">
        <v>8.0</v>
      </c>
      <c r="E53" s="118" t="s">
        <v>402</v>
      </c>
      <c r="F53" s="66" t="str">
        <f t="shared" si="2"/>
        <v>Don_t Try So Hard.2.mid</v>
      </c>
      <c r="G53" s="121">
        <f>HLOOKUP(H53,'Queen Discography'!$C$2:$Q$3,2,FALSE)</f>
        <v>1991</v>
      </c>
      <c r="H53" s="66" t="str">
        <f>IF(COUNTIF('Queen Discography'!$C$4:$C$22,C53)&gt;0,"Queen",
IF(COUNTIF('Queen Discography'!$D$4:$D$22,C53)&gt;0,"Queen II",
IF(COUNTIF('Queen Discography'!$E$4:$E$22,C53)&gt;0,"Sheer Heart Attack",
IF(COUNTIF('Queen Discography'!$F$4:$F$22,C53)&gt;0,"A Night At The Opera",
IF(COUNTIF('Queen Discography'!$G$4:$G$22,C53)&gt;0,"A Day At The Races",
IF(COUNTIF('Queen Discography'!$H$4:$H$22,C53)&gt;0,"News Of The World",
IF(COUNTIF('Queen Discography'!$I$4:$I$22,C53)&gt;0,"Jazz",
IF(COUNTIF('Queen Discography'!$J$4:$J$22,C53)&gt;0,"The Game",
IF(COUNTIF('Queen Discography'!$K$4:$K$22,C53)&gt;0,"Flash Gordon",
IF(COUNTIF('Queen Discography'!$L$4:$L$22,C53)&gt;0,"Hot Space",
IF(COUNTIF('Queen Discography'!$M$4:$M$22,C53)&gt;0,"The Works",
IF(COUNTIF('Queen Discography'!$N$4:$N$22,C53)&gt;0,"A Kind Of Magic",
IF(COUNTIF('Queen Discography'!$O$4:$O$22,C53)&gt;0,"The Miracle",
IF(COUNTIF('Queen Discography'!$P$4:$P$22,C53)&gt;0,"Innuendo",
IF(COUNTIF('Queen Discography'!$Q$4:$Q$22,C53)&gt;0,"Made In Heaven","NOT FOUND")))))))))))))))</f>
        <v>Innuendo</v>
      </c>
      <c r="I53" s="1"/>
      <c r="J53" s="1"/>
      <c r="K53" s="1"/>
      <c r="L53" s="1"/>
      <c r="M53" s="87"/>
      <c r="N53" s="87"/>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row>
    <row r="54">
      <c r="A54" s="1"/>
      <c r="C54" s="66" t="str">
        <f t="array" ref="C54">INDEX('Queen MIDI'!$C$4:$C$66,MATCH(F54,'Queen MIDI'!$D$4:$D$66,0))</f>
        <v>I Can't Live With You</v>
      </c>
      <c r="D54" s="117">
        <v>8.0</v>
      </c>
      <c r="E54" s="118" t="s">
        <v>404</v>
      </c>
      <c r="F54" s="66" t="str">
        <f t="shared" si="2"/>
        <v>I Can_t Live With You.1.mid</v>
      </c>
      <c r="G54" s="131">
        <f>HLOOKUP(H54,'Queen Discography'!$C$2:$Q$3,2,FALSE)</f>
        <v>1991</v>
      </c>
      <c r="H54" s="66" t="str">
        <f>IF(COUNTIF('Queen Discography'!$C$4:$C$22,C54)&gt;0,"Queen",
IF(COUNTIF('Queen Discography'!$D$4:$D$22,C54)&gt;0,"Queen II",
IF(COUNTIF('Queen Discography'!$E$4:$E$22,C54)&gt;0,"Sheer Heart Attack",
IF(COUNTIF('Queen Discography'!$F$4:$F$22,C54)&gt;0,"A Night At The Opera",
IF(COUNTIF('Queen Discography'!$G$4:$G$22,C54)&gt;0,"A Day At The Races",
IF(COUNTIF('Queen Discography'!$H$4:$H$22,C54)&gt;0,"News Of The World",
IF(COUNTIF('Queen Discography'!$I$4:$I$22,C54)&gt;0,"Jazz",
IF(COUNTIF('Queen Discography'!$J$4:$J$22,C54)&gt;0,"The Game",
IF(COUNTIF('Queen Discography'!$K$4:$K$22,C54)&gt;0,"Flash Gordon",
IF(COUNTIF('Queen Discography'!$L$4:$L$22,C54)&gt;0,"Hot Space",
IF(COUNTIF('Queen Discography'!$M$4:$M$22,C54)&gt;0,"The Works",
IF(COUNTIF('Queen Discography'!$N$4:$N$22,C54)&gt;0,"A Kind Of Magic",
IF(COUNTIF('Queen Discography'!$O$4:$O$22,C54)&gt;0,"The Miracle",
IF(COUNTIF('Queen Discography'!$P$4:$P$22,C54)&gt;0,"Innuendo",
IF(COUNTIF('Queen Discography'!$Q$4:$Q$22,C54)&gt;0,"Made In Heaven","NOT FOUND")))))))))))))))</f>
        <v>Innuendo</v>
      </c>
      <c r="I54" s="1"/>
      <c r="J54" s="1"/>
      <c r="K54" s="1"/>
      <c r="L54" s="1"/>
      <c r="M54" s="87"/>
      <c r="N54" s="87"/>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row>
    <row r="55">
      <c r="A55" s="1"/>
      <c r="C55" s="66" t="str">
        <f t="array" ref="C55">INDEX('Queen MIDI'!$C$4:$C$66,MATCH(F55,'Queen MIDI'!$D$4:$D$66,0))</f>
        <v>My Life Has Been Saved</v>
      </c>
      <c r="D55" s="117">
        <v>8.0</v>
      </c>
      <c r="E55" s="118" t="s">
        <v>413</v>
      </c>
      <c r="F55" s="66" t="str">
        <f t="shared" si="2"/>
        <v>My Life Has Been Saved.mid</v>
      </c>
      <c r="G55" s="127">
        <f>HLOOKUP(H55,'Queen Discography'!$C$2:$Q$3,2,FALSE)</f>
        <v>1995</v>
      </c>
      <c r="H55" s="66" t="str">
        <f>IF(COUNTIF('Queen Discography'!$C$4:$C$22,C55)&gt;0,"Queen",
IF(COUNTIF('Queen Discography'!$D$4:$D$22,C55)&gt;0,"Queen II",
IF(COUNTIF('Queen Discography'!$E$4:$E$22,C55)&gt;0,"Sheer Heart Attack",
IF(COUNTIF('Queen Discography'!$F$4:$F$22,C55)&gt;0,"A Night At The Opera",
IF(COUNTIF('Queen Discography'!$G$4:$G$22,C55)&gt;0,"A Day At The Races",
IF(COUNTIF('Queen Discography'!$H$4:$H$22,C55)&gt;0,"News Of The World",
IF(COUNTIF('Queen Discography'!$I$4:$I$22,C55)&gt;0,"Jazz",
IF(COUNTIF('Queen Discography'!$J$4:$J$22,C55)&gt;0,"The Game",
IF(COUNTIF('Queen Discography'!$K$4:$K$22,C55)&gt;0,"Flash Gordon",
IF(COUNTIF('Queen Discography'!$L$4:$L$22,C55)&gt;0,"Hot Space",
IF(COUNTIF('Queen Discography'!$M$4:$M$22,C55)&gt;0,"The Works",
IF(COUNTIF('Queen Discography'!$N$4:$N$22,C55)&gt;0,"A Kind Of Magic",
IF(COUNTIF('Queen Discography'!$O$4:$O$22,C55)&gt;0,"The Miracle",
IF(COUNTIF('Queen Discography'!$P$4:$P$22,C55)&gt;0,"Innuendo",
IF(COUNTIF('Queen Discography'!$Q$4:$Q$22,C55)&gt;0,"Made In Heaven","NOT FOUND")))))))))))))))</f>
        <v>Made In Heaven</v>
      </c>
      <c r="I55" s="1"/>
      <c r="J55" s="1"/>
      <c r="K55" s="1"/>
      <c r="L55" s="1"/>
      <c r="M55" s="87"/>
      <c r="N55" s="87"/>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row>
    <row r="56">
      <c r="A56" s="1"/>
      <c r="C56" s="66" t="str">
        <f t="array" ref="C56">INDEX('Queen MIDI'!$C$4:$C$66,MATCH(F56,'Queen MIDI'!$D$4:$D$66,0))</f>
        <v>Too Much Love Will Kill You</v>
      </c>
      <c r="D56" s="117">
        <v>8.0</v>
      </c>
      <c r="E56" s="118" t="s">
        <v>414</v>
      </c>
      <c r="F56" s="66" t="str">
        <f t="shared" si="2"/>
        <v>Too Much Love Will Kill You.3.mid</v>
      </c>
      <c r="G56" s="124">
        <f>HLOOKUP(H56,'Queen Discography'!$C$2:$Q$3,2,FALSE)</f>
        <v>1995</v>
      </c>
      <c r="H56" s="66" t="str">
        <f>IF(COUNTIF('Queen Discography'!$C$4:$C$22,C56)&gt;0,"Queen",
IF(COUNTIF('Queen Discography'!$D$4:$D$22,C56)&gt;0,"Queen II",
IF(COUNTIF('Queen Discography'!$E$4:$E$22,C56)&gt;0,"Sheer Heart Attack",
IF(COUNTIF('Queen Discography'!$F$4:$F$22,C56)&gt;0,"A Night At The Opera",
IF(COUNTIF('Queen Discography'!$G$4:$G$22,C56)&gt;0,"A Day At The Races",
IF(COUNTIF('Queen Discography'!$H$4:$H$22,C56)&gt;0,"News Of The World",
IF(COUNTIF('Queen Discography'!$I$4:$I$22,C56)&gt;0,"Jazz",
IF(COUNTIF('Queen Discography'!$J$4:$J$22,C56)&gt;0,"The Game",
IF(COUNTIF('Queen Discography'!$K$4:$K$22,C56)&gt;0,"Flash Gordon",
IF(COUNTIF('Queen Discography'!$L$4:$L$22,C56)&gt;0,"Hot Space",
IF(COUNTIF('Queen Discography'!$M$4:$M$22,C56)&gt;0,"The Works",
IF(COUNTIF('Queen Discography'!$N$4:$N$22,C56)&gt;0,"A Kind Of Magic",
IF(COUNTIF('Queen Discography'!$O$4:$O$22,C56)&gt;0,"The Miracle",
IF(COUNTIF('Queen Discography'!$P$4:$P$22,C56)&gt;0,"Innuendo",
IF(COUNTIF('Queen Discography'!$Q$4:$Q$22,C56)&gt;0,"Made In Heaven","NOT FOUND")))))))))))))))</f>
        <v>Made In Heaven</v>
      </c>
      <c r="I56" s="1"/>
      <c r="J56" s="1"/>
      <c r="K56" s="1"/>
      <c r="L56" s="1"/>
      <c r="M56" s="87"/>
      <c r="N56" s="87"/>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row>
    <row r="57">
      <c r="A57" s="1"/>
      <c r="C57" s="66" t="str">
        <f t="array" ref="C57">INDEX('Queen MIDI'!$C$4:$C$66,MATCH(F57,'Queen MIDI'!$D$4:$D$66,0))</f>
        <v>Living on My Own</v>
      </c>
      <c r="D57" s="117">
        <v>8.0</v>
      </c>
      <c r="E57" s="118" t="s">
        <v>416</v>
      </c>
      <c r="F57" s="66" t="str">
        <f t="shared" si="2"/>
        <v>Living on My Own.mid</v>
      </c>
      <c r="G57" s="127" t="str">
        <f>HLOOKUP(H57,'Queen Discography'!$C$2:$Q$3,2,FALSE)</f>
        <v>#N/A</v>
      </c>
      <c r="H57" s="66" t="str">
        <f>IF(COUNTIF('Queen Discography'!$C$4:$C$22,C57)&gt;0,"Queen",
IF(COUNTIF('Queen Discography'!$D$4:$D$22,C57)&gt;0,"Queen II",
IF(COUNTIF('Queen Discography'!$E$4:$E$22,C57)&gt;0,"Sheer Heart Attack",
IF(COUNTIF('Queen Discography'!$F$4:$F$22,C57)&gt;0,"A Night At The Opera",
IF(COUNTIF('Queen Discography'!$G$4:$G$22,C57)&gt;0,"A Day At The Races",
IF(COUNTIF('Queen Discography'!$H$4:$H$22,C57)&gt;0,"News Of The World",
IF(COUNTIF('Queen Discography'!$I$4:$I$22,C57)&gt;0,"Jazz",
IF(COUNTIF('Queen Discography'!$J$4:$J$22,C57)&gt;0,"The Game",
IF(COUNTIF('Queen Discography'!$K$4:$K$22,C57)&gt;0,"Flash Gordon",
IF(COUNTIF('Queen Discography'!$L$4:$L$22,C57)&gt;0,"Hot Space",
IF(COUNTIF('Queen Discography'!$M$4:$M$22,C57)&gt;0,"The Works",
IF(COUNTIF('Queen Discography'!$N$4:$N$22,C57)&gt;0,"A Kind Of Magic",
IF(COUNTIF('Queen Discography'!$O$4:$O$22,C57)&gt;0,"The Miracle",
IF(COUNTIF('Queen Discography'!$P$4:$P$22,C57)&gt;0,"Innuendo",
IF(COUNTIF('Queen Discography'!$Q$4:$Q$22,C57)&gt;0,"Made In Heaven","NOT FOUND")))))))))))))))</f>
        <v>NOT FOUND</v>
      </c>
      <c r="I57" s="1"/>
      <c r="J57" s="1"/>
      <c r="K57" s="1"/>
      <c r="L57" s="1"/>
      <c r="M57" s="87"/>
      <c r="N57" s="87"/>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row>
    <row r="58">
      <c r="A58" s="1"/>
      <c r="C58" s="66" t="str">
        <f t="array" ref="C58">INDEX('Queen MIDI'!$C$4:$C$66,MATCH(F58,'Queen MIDI'!$D$4:$D$66,0))</f>
        <v>My Melancholy Blues</v>
      </c>
      <c r="D58" s="117">
        <v>9.0</v>
      </c>
      <c r="E58" s="118" t="s">
        <v>373</v>
      </c>
      <c r="F58" s="66" t="str">
        <f t="shared" si="2"/>
        <v>My Melancholy Blues.mid</v>
      </c>
      <c r="G58" s="132">
        <f>HLOOKUP(H58,'Queen Discography'!$C$2:$Q$3,2,FALSE)</f>
        <v>1977</v>
      </c>
      <c r="H58" s="66" t="str">
        <f>IF(COUNTIF('Queen Discography'!$C$4:$C$22,C58)&gt;0,"Queen",
IF(COUNTIF('Queen Discography'!$D$4:$D$22,C58)&gt;0,"Queen II",
IF(COUNTIF('Queen Discography'!$E$4:$E$22,C58)&gt;0,"Sheer Heart Attack",
IF(COUNTIF('Queen Discography'!$F$4:$F$22,C58)&gt;0,"A Night At The Opera",
IF(COUNTIF('Queen Discography'!$G$4:$G$22,C58)&gt;0,"A Day At The Races",
IF(COUNTIF('Queen Discography'!$H$4:$H$22,C58)&gt;0,"News Of The World",
IF(COUNTIF('Queen Discography'!$I$4:$I$22,C58)&gt;0,"Jazz",
IF(COUNTIF('Queen Discography'!$J$4:$J$22,C58)&gt;0,"The Game",
IF(COUNTIF('Queen Discography'!$K$4:$K$22,C58)&gt;0,"Flash Gordon",
IF(COUNTIF('Queen Discography'!$L$4:$L$22,C58)&gt;0,"Hot Space",
IF(COUNTIF('Queen Discography'!$M$4:$M$22,C58)&gt;0,"The Works",
IF(COUNTIF('Queen Discography'!$N$4:$N$22,C58)&gt;0,"A Kind Of Magic",
IF(COUNTIF('Queen Discography'!$O$4:$O$22,C58)&gt;0,"The Miracle",
IF(COUNTIF('Queen Discography'!$P$4:$P$22,C58)&gt;0,"Innuendo",
IF(COUNTIF('Queen Discography'!$Q$4:$Q$22,C58)&gt;0,"Made In Heaven","NOT FOUND")))))))))))))))</f>
        <v>News Of The World</v>
      </c>
      <c r="I58" s="1"/>
      <c r="J58" s="1"/>
      <c r="K58" s="1"/>
      <c r="L58" s="1"/>
      <c r="M58" s="87"/>
      <c r="N58" s="87"/>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c r="A59" s="1"/>
      <c r="C59" s="66" t="str">
        <f t="array" ref="C59">INDEX('Queen MIDI'!$C$4:$C$66,MATCH(F59,'Queen MIDI'!$D$4:$D$66,0))</f>
        <v>Play the Game</v>
      </c>
      <c r="D59" s="117">
        <v>10.0</v>
      </c>
      <c r="E59" s="118" t="s">
        <v>383</v>
      </c>
      <c r="F59" s="66" t="str">
        <f t="shared" si="2"/>
        <v>Play the Game.1.mid</v>
      </c>
      <c r="G59" s="125">
        <f>HLOOKUP(H59,'Queen Discography'!$C$2:$Q$3,2,FALSE)</f>
        <v>1980</v>
      </c>
      <c r="H59" s="66" t="str">
        <f>IF(COUNTIF('Queen Discography'!$C$4:$C$22,C59)&gt;0,"Queen",
IF(COUNTIF('Queen Discography'!$D$4:$D$22,C59)&gt;0,"Queen II",
IF(COUNTIF('Queen Discography'!$E$4:$E$22,C59)&gt;0,"Sheer Heart Attack",
IF(COUNTIF('Queen Discography'!$F$4:$F$22,C59)&gt;0,"A Night At The Opera",
IF(COUNTIF('Queen Discography'!$G$4:$G$22,C59)&gt;0,"A Day At The Races",
IF(COUNTIF('Queen Discography'!$H$4:$H$22,C59)&gt;0,"News Of The World",
IF(COUNTIF('Queen Discography'!$I$4:$I$22,C59)&gt;0,"Jazz",
IF(COUNTIF('Queen Discography'!$J$4:$J$22,C59)&gt;0,"The Game",
IF(COUNTIF('Queen Discography'!$K$4:$K$22,C59)&gt;0,"Flash Gordon",
IF(COUNTIF('Queen Discography'!$L$4:$L$22,C59)&gt;0,"Hot Space",
IF(COUNTIF('Queen Discography'!$M$4:$M$22,C59)&gt;0,"The Works",
IF(COUNTIF('Queen Discography'!$N$4:$N$22,C59)&gt;0,"A Kind Of Magic",
IF(COUNTIF('Queen Discography'!$O$4:$O$22,C59)&gt;0,"The Miracle",
IF(COUNTIF('Queen Discography'!$P$4:$P$22,C59)&gt;0,"Innuendo",
IF(COUNTIF('Queen Discography'!$Q$4:$Q$22,C59)&gt;0,"Made In Heaven","NOT FOUND")))))))))))))))</f>
        <v>The Game</v>
      </c>
      <c r="I59" s="1"/>
      <c r="J59" s="1"/>
      <c r="K59" s="1"/>
      <c r="L59" s="1"/>
      <c r="M59" s="87"/>
      <c r="N59" s="87"/>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row>
    <row r="60">
      <c r="A60" s="1"/>
      <c r="C60" s="66" t="str">
        <f t="array" ref="C60">INDEX('Queen MIDI'!$C$4:$C$66,MATCH(F60,'Queen MIDI'!$D$4:$D$66,0))</f>
        <v>Procession</v>
      </c>
      <c r="D60" s="117">
        <v>11.0</v>
      </c>
      <c r="E60" s="118" t="s">
        <v>417</v>
      </c>
      <c r="F60" s="66" t="str">
        <f t="shared" si="2"/>
        <v>Procession.mid</v>
      </c>
      <c r="G60" s="124">
        <f>HLOOKUP(H60,'Queen Discography'!$C$2:$Q$3,2,FALSE)</f>
        <v>1974</v>
      </c>
      <c r="H60" s="66" t="str">
        <f>IF(COUNTIF('Queen Discography'!$C$4:$C$22,C60)&gt;0,"Queen",
IF(COUNTIF('Queen Discography'!$D$4:$D$22,C60)&gt;0,"Queen II",
IF(COUNTIF('Queen Discography'!$E$4:$E$22,C60)&gt;0,"Sheer Heart Attack",
IF(COUNTIF('Queen Discography'!$F$4:$F$22,C60)&gt;0,"A Night At The Opera",
IF(COUNTIF('Queen Discography'!$G$4:$G$22,C60)&gt;0,"A Day At The Races",
IF(COUNTIF('Queen Discography'!$H$4:$H$22,C60)&gt;0,"News Of The World",
IF(COUNTIF('Queen Discography'!$I$4:$I$22,C60)&gt;0,"Jazz",
IF(COUNTIF('Queen Discography'!$J$4:$J$22,C60)&gt;0,"The Game",
IF(COUNTIF('Queen Discography'!$K$4:$K$22,C60)&gt;0,"Flash Gordon",
IF(COUNTIF('Queen Discography'!$L$4:$L$22,C60)&gt;0,"Hot Space",
IF(COUNTIF('Queen Discography'!$M$4:$M$22,C60)&gt;0,"The Works",
IF(COUNTIF('Queen Discography'!$N$4:$N$22,C60)&gt;0,"A Kind Of Magic",
IF(COUNTIF('Queen Discography'!$O$4:$O$22,C60)&gt;0,"The Miracle",
IF(COUNTIF('Queen Discography'!$P$4:$P$22,C60)&gt;0,"Innuendo",
IF(COUNTIF('Queen Discography'!$Q$4:$Q$22,C60)&gt;0,"Made In Heaven","NOT FOUND")))))))))))))))</f>
        <v>Queen II</v>
      </c>
      <c r="I60" s="1"/>
      <c r="J60" s="1"/>
      <c r="K60" s="1"/>
      <c r="L60" s="1"/>
      <c r="M60" s="87"/>
      <c r="N60" s="87"/>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row>
    <row r="61">
      <c r="A61" s="1"/>
      <c r="C61" s="66" t="str">
        <f t="array" ref="C61">INDEX('Queen MIDI'!$C$4:$C$66,MATCH(F61,'Queen MIDI'!$D$4:$D$66,0))</f>
        <v>Scandal</v>
      </c>
      <c r="D61" s="117">
        <v>12.0</v>
      </c>
      <c r="E61" s="118" t="s">
        <v>397</v>
      </c>
      <c r="F61" s="66" t="str">
        <f t="shared" si="2"/>
        <v>Scandal.mid</v>
      </c>
      <c r="G61" s="120">
        <f>HLOOKUP(H61,'Queen Discography'!$C$2:$Q$3,2,FALSE)</f>
        <v>1989</v>
      </c>
      <c r="H61" s="66" t="str">
        <f>IF(COUNTIF('Queen Discography'!$C$4:$C$22,C61)&gt;0,"Queen",
IF(COUNTIF('Queen Discography'!$D$4:$D$22,C61)&gt;0,"Queen II",
IF(COUNTIF('Queen Discography'!$E$4:$E$22,C61)&gt;0,"Sheer Heart Attack",
IF(COUNTIF('Queen Discography'!$F$4:$F$22,C61)&gt;0,"A Night At The Opera",
IF(COUNTIF('Queen Discography'!$G$4:$G$22,C61)&gt;0,"A Day At The Races",
IF(COUNTIF('Queen Discography'!$H$4:$H$22,C61)&gt;0,"News Of The World",
IF(COUNTIF('Queen Discography'!$I$4:$I$22,C61)&gt;0,"Jazz",
IF(COUNTIF('Queen Discography'!$J$4:$J$22,C61)&gt;0,"The Game",
IF(COUNTIF('Queen Discography'!$K$4:$K$22,C61)&gt;0,"Flash Gordon",
IF(COUNTIF('Queen Discography'!$L$4:$L$22,C61)&gt;0,"Hot Space",
IF(COUNTIF('Queen Discography'!$M$4:$M$22,C61)&gt;0,"The Works",
IF(COUNTIF('Queen Discography'!$N$4:$N$22,C61)&gt;0,"A Kind Of Magic",
IF(COUNTIF('Queen Discography'!$O$4:$O$22,C61)&gt;0,"The Miracle",
IF(COUNTIF('Queen Discography'!$P$4:$P$22,C61)&gt;0,"Innuendo",
IF(COUNTIF('Queen Discography'!$Q$4:$Q$22,C61)&gt;0,"Made In Heaven","NOT FOUND")))))))))))))))</f>
        <v>The Miracle</v>
      </c>
      <c r="I61" s="1"/>
      <c r="J61" s="1"/>
      <c r="K61" s="1"/>
      <c r="L61" s="1"/>
      <c r="M61" s="87"/>
      <c r="N61" s="87"/>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row>
    <row r="62">
      <c r="A62" s="1"/>
      <c r="C62" s="66" t="str">
        <f t="array" ref="C62">INDEX('Queen MIDI'!$C$4:$C$66,MATCH(F62,'Queen MIDI'!$D$4:$D$66,0))</f>
        <v>Son and Daughter</v>
      </c>
      <c r="D62" s="117">
        <v>13.0</v>
      </c>
      <c r="E62" s="118" t="s">
        <v>360</v>
      </c>
      <c r="F62" s="66" t="str">
        <f t="shared" si="2"/>
        <v>Son and Daughter.1.mid</v>
      </c>
      <c r="G62" s="125">
        <f>HLOOKUP(H62,'Queen Discography'!$C$2:$Q$3,2,FALSE)</f>
        <v>1973</v>
      </c>
      <c r="H62" s="66" t="str">
        <f>IF(COUNTIF('Queen Discography'!$C$4:$C$22,C62)&gt;0,"Queen",
IF(COUNTIF('Queen Discography'!$D$4:$D$22,C62)&gt;0,"Queen II",
IF(COUNTIF('Queen Discography'!$E$4:$E$22,C62)&gt;0,"Sheer Heart Attack",
IF(COUNTIF('Queen Discography'!$F$4:$F$22,C62)&gt;0,"A Night At The Opera",
IF(COUNTIF('Queen Discography'!$G$4:$G$22,C62)&gt;0,"A Day At The Races",
IF(COUNTIF('Queen Discography'!$H$4:$H$22,C62)&gt;0,"News Of The World",
IF(COUNTIF('Queen Discography'!$I$4:$I$22,C62)&gt;0,"Jazz",
IF(COUNTIF('Queen Discography'!$J$4:$J$22,C62)&gt;0,"The Game",
IF(COUNTIF('Queen Discography'!$K$4:$K$22,C62)&gt;0,"Flash Gordon",
IF(COUNTIF('Queen Discography'!$L$4:$L$22,C62)&gt;0,"Hot Space",
IF(COUNTIF('Queen Discography'!$M$4:$M$22,C62)&gt;0,"The Works",
IF(COUNTIF('Queen Discography'!$N$4:$N$22,C62)&gt;0,"A Kind Of Magic",
IF(COUNTIF('Queen Discography'!$O$4:$O$22,C62)&gt;0,"The Miracle",
IF(COUNTIF('Queen Discography'!$P$4:$P$22,C62)&gt;0,"Innuendo",
IF(COUNTIF('Queen Discography'!$Q$4:$Q$22,C62)&gt;0,"Made In Heaven","NOT FOUND")))))))))))))))</f>
        <v>Queen</v>
      </c>
      <c r="I62" s="1"/>
      <c r="J62" s="1"/>
      <c r="K62" s="1"/>
      <c r="L62" s="1"/>
      <c r="M62" s="87"/>
      <c r="N62" s="87"/>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c r="A63" s="1"/>
      <c r="C63" s="66" t="str">
        <f t="array" ref="C63">INDEX('Queen MIDI'!$C$4:$C$66,MATCH(F63,'Queen MIDI'!$D$4:$D$66,0))</f>
        <v>The Great Pretender</v>
      </c>
      <c r="D63" s="117">
        <v>14.0</v>
      </c>
      <c r="E63" s="118" t="s">
        <v>418</v>
      </c>
      <c r="F63" s="66" t="str">
        <f t="shared" si="2"/>
        <v>The Great Pretender.mid</v>
      </c>
      <c r="G63" s="120" t="str">
        <f>HLOOKUP(H63,'Queen Discography'!$C$2:$Q$3,2,FALSE)</f>
        <v>#N/A</v>
      </c>
      <c r="H63" s="66" t="str">
        <f>IF(COUNTIF('Queen Discography'!$C$4:$C$22,C63)&gt;0,"Queen",
IF(COUNTIF('Queen Discography'!$D$4:$D$22,C63)&gt;0,"Queen II",
IF(COUNTIF('Queen Discography'!$E$4:$E$22,C63)&gt;0,"Sheer Heart Attack",
IF(COUNTIF('Queen Discography'!$F$4:$F$22,C63)&gt;0,"A Night At The Opera",
IF(COUNTIF('Queen Discography'!$G$4:$G$22,C63)&gt;0,"A Day At The Races",
IF(COUNTIF('Queen Discography'!$H$4:$H$22,C63)&gt;0,"News Of The World",
IF(COUNTIF('Queen Discography'!$I$4:$I$22,C63)&gt;0,"Jazz",
IF(COUNTIF('Queen Discography'!$J$4:$J$22,C63)&gt;0,"The Game",
IF(COUNTIF('Queen Discography'!$K$4:$K$22,C63)&gt;0,"Flash Gordon",
IF(COUNTIF('Queen Discography'!$L$4:$L$22,C63)&gt;0,"Hot Space",
IF(COUNTIF('Queen Discography'!$M$4:$M$22,C63)&gt;0,"The Works",
IF(COUNTIF('Queen Discography'!$N$4:$N$22,C63)&gt;0,"A Kind Of Magic",
IF(COUNTIF('Queen Discography'!$O$4:$O$22,C63)&gt;0,"The Miracle",
IF(COUNTIF('Queen Discography'!$P$4:$P$22,C63)&gt;0,"Innuendo",
IF(COUNTIF('Queen Discography'!$Q$4:$Q$22,C63)&gt;0,"Made In Heaven","NOT FOUND")))))))))))))))</f>
        <v>NOT FOUND</v>
      </c>
      <c r="I63" s="1"/>
      <c r="J63" s="1"/>
      <c r="K63" s="1"/>
      <c r="L63" s="1"/>
      <c r="M63" s="87"/>
      <c r="N63" s="87"/>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row>
    <row r="64">
      <c r="A64" s="1"/>
      <c r="C64" s="66" t="str">
        <f t="array" ref="C64">INDEX('Queen MIDI'!$C$4:$C$66,MATCH(F64,'Queen MIDI'!$D$4:$D$66,0))</f>
        <v>The Invisible Man</v>
      </c>
      <c r="D64" s="117">
        <v>15.0</v>
      </c>
      <c r="E64" s="118" t="s">
        <v>398</v>
      </c>
      <c r="F64" s="66" t="str">
        <f t="shared" si="2"/>
        <v>The Invisible Man.mid</v>
      </c>
      <c r="G64" s="120">
        <f>HLOOKUP(H64,'Queen Discography'!$C$2:$Q$3,2,FALSE)</f>
        <v>1989</v>
      </c>
      <c r="H64" s="66" t="str">
        <f>IF(COUNTIF('Queen Discography'!$C$4:$C$22,C64)&gt;0,"Queen",
IF(COUNTIF('Queen Discography'!$D$4:$D$22,C64)&gt;0,"Queen II",
IF(COUNTIF('Queen Discography'!$E$4:$E$22,C64)&gt;0,"Sheer Heart Attack",
IF(COUNTIF('Queen Discography'!$F$4:$F$22,C64)&gt;0,"A Night At The Opera",
IF(COUNTIF('Queen Discography'!$G$4:$G$22,C64)&gt;0,"A Day At The Races",
IF(COUNTIF('Queen Discography'!$H$4:$H$22,C64)&gt;0,"News Of The World",
IF(COUNTIF('Queen Discography'!$I$4:$I$22,C64)&gt;0,"Jazz",
IF(COUNTIF('Queen Discography'!$J$4:$J$22,C64)&gt;0,"The Game",
IF(COUNTIF('Queen Discography'!$K$4:$K$22,C64)&gt;0,"Flash Gordon",
IF(COUNTIF('Queen Discography'!$L$4:$L$22,C64)&gt;0,"Hot Space",
IF(COUNTIF('Queen Discography'!$M$4:$M$22,C64)&gt;0,"The Works",
IF(COUNTIF('Queen Discography'!$N$4:$N$22,C64)&gt;0,"A Kind Of Magic",
IF(COUNTIF('Queen Discography'!$O$4:$O$22,C64)&gt;0,"The Miracle",
IF(COUNTIF('Queen Discography'!$P$4:$P$22,C64)&gt;0,"Innuendo",
IF(COUNTIF('Queen Discography'!$Q$4:$Q$22,C64)&gt;0,"Made In Heaven","NOT FOUND")))))))))))))))</f>
        <v>The Miracle</v>
      </c>
      <c r="I64" s="1"/>
      <c r="J64" s="1"/>
      <c r="K64" s="1"/>
      <c r="L64" s="1"/>
      <c r="M64" s="87"/>
      <c r="N64" s="87"/>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row>
    <row r="65">
      <c r="A65" s="1"/>
      <c r="C65" s="66" t="str">
        <f t="array" ref="C65">INDEX('Queen MIDI'!$C$4:$C$66,MATCH(F65,'Queen MIDI'!$D$4:$D$66,0))</f>
        <v>We Will Rock You</v>
      </c>
      <c r="D65" s="117">
        <v>16.0</v>
      </c>
      <c r="E65" s="118" t="s">
        <v>419</v>
      </c>
      <c r="F65" s="66" t="str">
        <f t="shared" si="2"/>
        <v>We Will Rock You.6.mid</v>
      </c>
      <c r="G65" s="124">
        <f>HLOOKUP(H65,'Queen Discography'!$C$2:$Q$3,2,FALSE)</f>
        <v>1977</v>
      </c>
      <c r="H65" s="66" t="str">
        <f>IF(COUNTIF('Queen Discography'!$C$4:$C$22,C65)&gt;0,"Queen",
IF(COUNTIF('Queen Discography'!$D$4:$D$22,C65)&gt;0,"Queen II",
IF(COUNTIF('Queen Discography'!$E$4:$E$22,C65)&gt;0,"Sheer Heart Attack",
IF(COUNTIF('Queen Discography'!$F$4:$F$22,C65)&gt;0,"A Night At The Opera",
IF(COUNTIF('Queen Discography'!$G$4:$G$22,C65)&gt;0,"A Day At The Races",
IF(COUNTIF('Queen Discography'!$H$4:$H$22,C65)&gt;0,"News Of The World",
IF(COUNTIF('Queen Discography'!$I$4:$I$22,C65)&gt;0,"Jazz",
IF(COUNTIF('Queen Discography'!$J$4:$J$22,C65)&gt;0,"The Game",
IF(COUNTIF('Queen Discography'!$K$4:$K$22,C65)&gt;0,"Flash Gordon",
IF(COUNTIF('Queen Discography'!$L$4:$L$22,C65)&gt;0,"Hot Space",
IF(COUNTIF('Queen Discography'!$M$4:$M$22,C65)&gt;0,"The Works",
IF(COUNTIF('Queen Discography'!$N$4:$N$22,C65)&gt;0,"A Kind Of Magic",
IF(COUNTIF('Queen Discography'!$O$4:$O$22,C65)&gt;0,"The Miracle",
IF(COUNTIF('Queen Discography'!$P$4:$P$22,C65)&gt;0,"Innuendo",
IF(COUNTIF('Queen Discography'!$Q$4:$Q$22,C65)&gt;0,"Made In Heaven","NOT FOUND")))))))))))))))</f>
        <v>News Of The World</v>
      </c>
      <c r="I65" s="1"/>
      <c r="J65" s="1"/>
      <c r="K65" s="1"/>
      <c r="L65" s="1"/>
      <c r="M65" s="87"/>
      <c r="N65" s="87"/>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row>
    <row r="66">
      <c r="A66" s="1"/>
      <c r="C66" s="66" t="str">
        <f t="array" ref="C66">INDEX('Queen MIDI'!$C$4:$C$66,MATCH(F66,'Queen MIDI'!$D$4:$D$66,0))</f>
        <v>White Man</v>
      </c>
      <c r="D66" s="117">
        <v>17.0</v>
      </c>
      <c r="E66" s="118" t="s">
        <v>372</v>
      </c>
      <c r="F66" s="66" t="str">
        <f t="shared" si="2"/>
        <v>White Man.mid</v>
      </c>
      <c r="G66" s="124">
        <f>HLOOKUP(H66,'Queen Discography'!$C$2:$Q$3,2,FALSE)</f>
        <v>1976</v>
      </c>
      <c r="H66" s="66" t="str">
        <f>IF(COUNTIF('Queen Discography'!$C$4:$C$22,C66)&gt;0,"Queen",
IF(COUNTIF('Queen Discography'!$D$4:$D$22,C66)&gt;0,"Queen II",
IF(COUNTIF('Queen Discography'!$E$4:$E$22,C66)&gt;0,"Sheer Heart Attack",
IF(COUNTIF('Queen Discography'!$F$4:$F$22,C66)&gt;0,"A Night At The Opera",
IF(COUNTIF('Queen Discography'!$G$4:$G$22,C66)&gt;0,"A Day At The Races",
IF(COUNTIF('Queen Discography'!$H$4:$H$22,C66)&gt;0,"News Of The World",
IF(COUNTIF('Queen Discography'!$I$4:$I$22,C66)&gt;0,"Jazz",
IF(COUNTIF('Queen Discography'!$J$4:$J$22,C66)&gt;0,"The Game",
IF(COUNTIF('Queen Discography'!$K$4:$K$22,C66)&gt;0,"Flash Gordon",
IF(COUNTIF('Queen Discography'!$L$4:$L$22,C66)&gt;0,"Hot Space",
IF(COUNTIF('Queen Discography'!$M$4:$M$22,C66)&gt;0,"The Works",
IF(COUNTIF('Queen Discography'!$N$4:$N$22,C66)&gt;0,"A Kind Of Magic",
IF(COUNTIF('Queen Discography'!$O$4:$O$22,C66)&gt;0,"The Miracle",
IF(COUNTIF('Queen Discography'!$P$4:$P$22,C66)&gt;0,"Innuendo",
IF(COUNTIF('Queen Discography'!$Q$4:$Q$22,C66)&gt;0,"Made In Heaven","NOT FOUND")))))))))))))))</f>
        <v>A Day At The Races</v>
      </c>
      <c r="I66" s="1"/>
      <c r="J66" s="1"/>
      <c r="K66" s="1"/>
      <c r="L66" s="1"/>
      <c r="M66" s="87"/>
      <c r="N66" s="87"/>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row>
    <row r="67">
      <c r="A67" s="1"/>
      <c r="B67" s="19"/>
      <c r="C67" s="1"/>
      <c r="D67" s="1"/>
      <c r="E67" s="1"/>
      <c r="F67" s="1"/>
      <c r="G67" s="114"/>
      <c r="H67" s="1"/>
      <c r="I67" s="1"/>
      <c r="J67" s="1"/>
      <c r="K67" s="1"/>
      <c r="L67" s="1"/>
      <c r="M67" s="87"/>
      <c r="N67" s="87"/>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row>
  </sheetData>
  <autoFilter ref="$C$3:$H$66">
    <sortState ref="C3:H66">
      <sortCondition ref="D3:D66"/>
      <sortCondition ref="G3:G66"/>
      <sortCondition ref="H3:H66"/>
    </sortState>
  </autoFilter>
  <mergeCells count="3">
    <mergeCell ref="C2:H2"/>
    <mergeCell ref="J2:BD2"/>
    <mergeCell ref="B4:B66"/>
  </mergeCells>
  <conditionalFormatting sqref="J4:BD21">
    <cfRule type="expression" dxfId="16" priority="1">
      <formula>$BD4=0</formula>
    </cfRule>
  </conditionalFormatting>
  <conditionalFormatting sqref="AF4:AU21">
    <cfRule type="expression" dxfId="17" priority="2">
      <formula>AND(AF4:AU4=MAX($AF4:$AU4),$BD4&lt;2)</formula>
    </cfRule>
  </conditionalFormatting>
  <conditionalFormatting sqref="P4:AE21">
    <cfRule type="expression" dxfId="18" priority="3">
      <formula>AND(P4:AE4=MAX($P4:$AE4),$BD4&lt;2)</formula>
    </cfRule>
  </conditionalFormatting>
  <conditionalFormatting sqref="J4:BD21">
    <cfRule type="expression" dxfId="19" priority="4">
      <formula>$BD4&lt;2</formula>
    </cfRule>
  </conditionalFormatting>
  <conditionalFormatting sqref="P4:AE21">
    <cfRule type="expression" dxfId="20" priority="5">
      <formula>P4:AE4=MAX($P4:$AE4)</formula>
    </cfRule>
  </conditionalFormatting>
  <conditionalFormatting sqref="AF4:AU21">
    <cfRule type="expression" dxfId="21" priority="6">
      <formula>AF4:AU4=MAX($AF4:$AU4)</formula>
    </cfRule>
  </conditionalFormatting>
  <conditionalFormatting sqref="C4:H66">
    <cfRule type="expression" dxfId="0" priority="7">
      <formula>$H4="NOT FOUND"</formula>
    </cfRule>
  </conditionalFormatting>
  <conditionalFormatting sqref="C4:H66">
    <cfRule type="expression" dxfId="1" priority="8">
      <formula>$H4="Queen"</formula>
    </cfRule>
  </conditionalFormatting>
  <conditionalFormatting sqref="C4:H66">
    <cfRule type="expression" dxfId="2" priority="9">
      <formula>$H4="Queen II"</formula>
    </cfRule>
  </conditionalFormatting>
  <conditionalFormatting sqref="C4:H66">
    <cfRule type="expression" dxfId="3" priority="10">
      <formula>$H4="Sheer Heart Attack"</formula>
    </cfRule>
  </conditionalFormatting>
  <conditionalFormatting sqref="C4:H66">
    <cfRule type="expression" dxfId="4" priority="11">
      <formula>$H4="A Night At The Opera"</formula>
    </cfRule>
  </conditionalFormatting>
  <conditionalFormatting sqref="C4:H66">
    <cfRule type="expression" dxfId="5" priority="12">
      <formula>$H4="A Day At The Races"</formula>
    </cfRule>
  </conditionalFormatting>
  <conditionalFormatting sqref="C4:H66">
    <cfRule type="expression" dxfId="6" priority="13">
      <formula>$H4="News Of The World"</formula>
    </cfRule>
  </conditionalFormatting>
  <conditionalFormatting sqref="C4:H66">
    <cfRule type="expression" dxfId="7" priority="14">
      <formula>$H4="Jazz"</formula>
    </cfRule>
  </conditionalFormatting>
  <conditionalFormatting sqref="C4:H66">
    <cfRule type="expression" dxfId="8" priority="15">
      <formula>$H4="The Game"</formula>
    </cfRule>
  </conditionalFormatting>
  <conditionalFormatting sqref="C4:H66">
    <cfRule type="expression" dxfId="9" priority="16">
      <formula>$H4="Flash Gordon"</formula>
    </cfRule>
  </conditionalFormatting>
  <conditionalFormatting sqref="C4:H66">
    <cfRule type="expression" dxfId="10" priority="17">
      <formula>$H4="Hot Space"</formula>
    </cfRule>
  </conditionalFormatting>
  <conditionalFormatting sqref="C4:H66">
    <cfRule type="expression" dxfId="11" priority="18">
      <formula>$H4="The Works"</formula>
    </cfRule>
  </conditionalFormatting>
  <conditionalFormatting sqref="C4:H66">
    <cfRule type="expression" dxfId="12" priority="19">
      <formula>$H4="A Kind Of Magic"</formula>
    </cfRule>
  </conditionalFormatting>
  <conditionalFormatting sqref="C4:H66">
    <cfRule type="expression" dxfId="13" priority="20">
      <formula>$H4="The Miracle"</formula>
    </cfRule>
  </conditionalFormatting>
  <conditionalFormatting sqref="C4:H66">
    <cfRule type="expression" dxfId="14" priority="21">
      <formula>$H4="Innuendo"</formula>
    </cfRule>
  </conditionalFormatting>
  <conditionalFormatting sqref="C4:H66">
    <cfRule type="expression" dxfId="15" priority="22">
      <formula>$H4="Made In Heaven"</formula>
    </cfRule>
  </conditionalFormatting>
  <conditionalFormatting sqref="G4:H4">
    <cfRule type="expression" dxfId="0" priority="23">
      <formula>$H4="NOT FOUND"</formula>
    </cfRule>
  </conditionalFormatting>
  <printOptions gridLines="1" horizontalCentered="1"/>
  <pageMargins bottom="0.75" footer="0.0" header="0.0" left="0.25" right="0.25" top="0.75"/>
  <pageSetup orientation="landscape" pageOrder="overThenDown" paperHeight="16in" paperWidth="16in"/>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pane xSplit="2.0" topLeftCell="C1" activePane="topRight" state="frozen"/>
      <selection activeCell="D2" sqref="D2" pane="topRight"/>
    </sheetView>
  </sheetViews>
  <sheetFormatPr customHeight="1" defaultColWidth="12.63" defaultRowHeight="15.0" outlineLevelCol="1"/>
  <cols>
    <col customWidth="1" min="1" max="1" width="2.75"/>
    <col customWidth="1" min="3" max="3" width="24.63"/>
    <col collapsed="1" customWidth="1" min="4" max="4" width="2.5"/>
    <col customWidth="1" hidden="1" min="5" max="5" width="2.5" outlineLevel="1"/>
    <col customWidth="1" hidden="1" min="6" max="6" width="30.25" outlineLevel="1"/>
    <col customWidth="1" min="7" max="7" width="6.75"/>
    <col customWidth="1" min="8" max="8" width="16.75"/>
    <col customWidth="1" min="9" max="9" width="2.75"/>
    <col customWidth="1" min="10" max="10" width="6.38"/>
    <col customWidth="1" min="11" max="14" width="5.75"/>
    <col collapsed="1" customWidth="1" min="15" max="15" width="5.75"/>
    <col customWidth="1" hidden="1" min="16" max="47" width="5.75" outlineLevel="1"/>
    <col customWidth="1" min="48" max="48" width="17.63"/>
    <col customWidth="1" min="49" max="50" width="6.38"/>
    <col customWidth="1" min="51" max="51" width="15.38"/>
    <col customWidth="1" min="52" max="54" width="6.38"/>
    <col customWidth="1" min="55" max="56" width="5.75"/>
    <col customWidth="1" min="57" max="57" width="2.75"/>
  </cols>
  <sheetData>
    <row r="1">
      <c r="A1" s="1" t="s">
        <v>0</v>
      </c>
      <c r="B1" s="1"/>
      <c r="C1" s="1"/>
      <c r="D1" s="1"/>
      <c r="E1" s="1"/>
      <c r="F1" s="1"/>
      <c r="G1" s="114"/>
      <c r="H1" s="1"/>
      <c r="I1" s="1"/>
      <c r="J1" s="1"/>
      <c r="K1" s="1"/>
      <c r="L1" s="1"/>
      <c r="M1" s="1"/>
      <c r="N1" s="87"/>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ht="31.5" customHeight="1">
      <c r="A2" s="2"/>
      <c r="B2" s="56"/>
      <c r="C2" s="175" t="s">
        <v>426</v>
      </c>
      <c r="I2" s="19"/>
      <c r="J2" s="89" t="s">
        <v>337</v>
      </c>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19"/>
    </row>
    <row r="3" ht="31.5" customHeight="1">
      <c r="A3" s="2"/>
      <c r="B3" s="60"/>
      <c r="C3" s="61" t="s">
        <v>185</v>
      </c>
      <c r="D3" s="61" t="s">
        <v>338</v>
      </c>
      <c r="E3" s="61" t="s">
        <v>339</v>
      </c>
      <c r="F3" s="61" t="s">
        <v>186</v>
      </c>
      <c r="G3" s="61" t="s">
        <v>340</v>
      </c>
      <c r="H3" s="61" t="s">
        <v>187</v>
      </c>
      <c r="I3" s="36"/>
      <c r="J3" s="92" t="s">
        <v>341</v>
      </c>
      <c r="K3" s="92" t="s">
        <v>342</v>
      </c>
      <c r="L3" s="92" t="s">
        <v>343</v>
      </c>
      <c r="M3" s="92" t="s">
        <v>344</v>
      </c>
      <c r="N3" s="92" t="s">
        <v>345</v>
      </c>
      <c r="O3" s="92" t="s">
        <v>346</v>
      </c>
      <c r="P3" s="94" t="str">
        <f t="array" ref="P3:AE3">TRANSPOSE('Queen MIDI'!$H$4:$H$19)</f>
        <v>Queen</v>
      </c>
      <c r="Q3" s="94" t="s">
        <v>2</v>
      </c>
      <c r="R3" s="94" t="s">
        <v>3</v>
      </c>
      <c r="S3" s="94" t="s">
        <v>4</v>
      </c>
      <c r="T3" s="94" t="s">
        <v>5</v>
      </c>
      <c r="U3" s="94" t="s">
        <v>6</v>
      </c>
      <c r="V3" s="94" t="s">
        <v>7</v>
      </c>
      <c r="W3" s="94" t="s">
        <v>8</v>
      </c>
      <c r="X3" s="94" t="s">
        <v>9</v>
      </c>
      <c r="Y3" s="94" t="s">
        <v>10</v>
      </c>
      <c r="Z3" s="94" t="s">
        <v>11</v>
      </c>
      <c r="AA3" s="94" t="s">
        <v>12</v>
      </c>
      <c r="AB3" s="94" t="s">
        <v>13</v>
      </c>
      <c r="AC3" s="94" t="s">
        <v>14</v>
      </c>
      <c r="AD3" s="94" t="s">
        <v>15</v>
      </c>
      <c r="AE3" s="94" t="s">
        <v>227</v>
      </c>
      <c r="AF3" s="94" t="str">
        <f t="array" ref="AF3:AU3">TRANSPOSE('Queen MIDI'!$H$4:$H$19)</f>
        <v>Queen</v>
      </c>
      <c r="AG3" s="94" t="s">
        <v>2</v>
      </c>
      <c r="AH3" s="94" t="s">
        <v>3</v>
      </c>
      <c r="AI3" s="94" t="s">
        <v>4</v>
      </c>
      <c r="AJ3" s="94" t="s">
        <v>5</v>
      </c>
      <c r="AK3" s="94" t="s">
        <v>6</v>
      </c>
      <c r="AL3" s="94" t="s">
        <v>7</v>
      </c>
      <c r="AM3" s="94" t="s">
        <v>8</v>
      </c>
      <c r="AN3" s="94" t="s">
        <v>9</v>
      </c>
      <c r="AO3" s="94" t="s">
        <v>10</v>
      </c>
      <c r="AP3" s="94" t="s">
        <v>11</v>
      </c>
      <c r="AQ3" s="94" t="s">
        <v>12</v>
      </c>
      <c r="AR3" s="94" t="s">
        <v>13</v>
      </c>
      <c r="AS3" s="94" t="s">
        <v>14</v>
      </c>
      <c r="AT3" s="94" t="s">
        <v>15</v>
      </c>
      <c r="AU3" s="94" t="s">
        <v>227</v>
      </c>
      <c r="AV3" s="92" t="s">
        <v>347</v>
      </c>
      <c r="AW3" s="92" t="s">
        <v>348</v>
      </c>
      <c r="AX3" s="92" t="s">
        <v>349</v>
      </c>
      <c r="AY3" s="92" t="s">
        <v>350</v>
      </c>
      <c r="AZ3" s="92" t="s">
        <v>351</v>
      </c>
      <c r="BA3" s="92" t="s">
        <v>352</v>
      </c>
      <c r="BB3" s="92" t="s">
        <v>353</v>
      </c>
      <c r="BC3" s="92" t="s">
        <v>354</v>
      </c>
      <c r="BD3" s="92" t="s">
        <v>355</v>
      </c>
      <c r="BE3" s="36"/>
    </row>
    <row r="4">
      <c r="A4" s="1"/>
      <c r="B4" s="56" t="str">
        <f>CONCATENATE("Songs",CHAR(10),"(",COUNTA(C4:C66),")")</f>
        <v>Songs
(63)</v>
      </c>
      <c r="C4" s="66" t="str">
        <f t="array" ref="C4">INDEX('Queen MIDI'!$C$4:$C$66,MATCH(F4,'Queen MIDI'!$D$4:$D$66,0))</f>
        <v>Another One Bites The Dust</v>
      </c>
      <c r="D4" s="117">
        <v>0.0</v>
      </c>
      <c r="E4" s="118" t="s">
        <v>381</v>
      </c>
      <c r="F4" s="66" t="str">
        <f t="shared" ref="F4:F66" si="2">RIGHT(E4,LEN(E4)-75)</f>
        <v>Another One Bites The Dust.1.mid</v>
      </c>
      <c r="G4" s="131">
        <f>HLOOKUP(H4,'Queen Discography'!$C$2:$Q$3,2,FALSE)</f>
        <v>1980</v>
      </c>
      <c r="H4" s="66" t="str">
        <f>IF(COUNTIF('Queen Discography'!$C$4:$C$22,C4)&gt;0,"Queen",
IF(COUNTIF('Queen Discography'!$D$4:$D$22,C4)&gt;0,"Queen II",
IF(COUNTIF('Queen Discography'!$E$4:$E$22,C4)&gt;0,"Sheer Heart Attack",
IF(COUNTIF('Queen Discography'!$F$4:$F$22,C4)&gt;0,"A Night At The Opera",
IF(COUNTIF('Queen Discography'!$G$4:$G$22,C4)&gt;0,"A Day At The Races",
IF(COUNTIF('Queen Discography'!$H$4:$H$22,C4)&gt;0,"News Of The World",
IF(COUNTIF('Queen Discography'!$I$4:$I$22,C4)&gt;0,"Jazz",
IF(COUNTIF('Queen Discography'!$J$4:$J$22,C4)&gt;0,"The Game",
IF(COUNTIF('Queen Discography'!$K$4:$K$22,C4)&gt;0,"Flash Gordon",
IF(COUNTIF('Queen Discography'!$L$4:$L$22,C4)&gt;0,"Hot Space",
IF(COUNTIF('Queen Discography'!$M$4:$M$22,C4)&gt;0,"The Works",
IF(COUNTIF('Queen Discography'!$N$4:$N$22,C4)&gt;0,"A Kind Of Magic",
IF(COUNTIF('Queen Discography'!$O$4:$O$22,C4)&gt;0,"The Miracle",
IF(COUNTIF('Queen Discography'!$P$4:$P$22,C4)&gt;0,"Innuendo",
IF(COUNTIF('Queen Discography'!$Q$4:$Q$22,C4)&gt;0,"Made In Heaven","NOT FOUND")))))))))))))))</f>
        <v>The Game</v>
      </c>
      <c r="I4" s="1"/>
      <c r="J4" s="178">
        <v>0.0</v>
      </c>
      <c r="K4" s="106">
        <f>IF(MINIFS($G$4:$G$66,$D$4:$D$66,$J4,$G$4:$G$66,"&lt;&gt;#N/A")=0,"N/A",MINIFS($G$4:$G$66,$D$4:$D$66,$J4,$G$4:$G$66,"&lt;&gt;#N/A"))</f>
        <v>1980</v>
      </c>
      <c r="L4" s="106">
        <f t="shared" ref="L4:L21" si="3">IF(MAXIFS($G$4:$G$66,$D$4:$D$66,$J4,$G$4:$G$66,"&lt;&gt;#N/A")=0,"N/A",MAXIFS($G$4:$G$66,$D$4:$D$66,$J4,$G$4:$G$66,"&lt;&gt;#N/A"))</f>
        <v>1980</v>
      </c>
      <c r="M4" s="106">
        <f t="shared" ref="M4:M21" si="4">IFERROR(ROUND(AVERAGEIFS($G$4:$G$66,$D$4:$D$66,$J4,$G$4:$G$66,"&lt;&gt;#N/A"),0),"N/A")</f>
        <v>1980</v>
      </c>
      <c r="N4" s="106">
        <f>IFERROR(__xludf.DUMMYFUNCTION("IFERROR(MEDIAN(FILTER($G$4:$G$66,$D$4:$D$66=$J4,ISNUMBER($G$4:$G$66))),""N/A"")"),1980.0)</f>
        <v>1980</v>
      </c>
      <c r="O4" s="106" t="str">
        <f>IFERROR(__xludf.DUMMYFUNCTION("IFERROR(MODE(FILTER($G$4:$G$66,$D$4:$D$66=$J4,ISNUMBER($G$4:$G$66))),""N/A"")"),"N/A")</f>
        <v>N/A</v>
      </c>
      <c r="P4" s="106">
        <f t="shared" ref="P4:AE4" si="1">COUNTIFS($H$4:$H$66,P$3,$D$4:$D$66,$J4)</f>
        <v>0</v>
      </c>
      <c r="Q4" s="106">
        <f t="shared" si="1"/>
        <v>0</v>
      </c>
      <c r="R4" s="106">
        <f t="shared" si="1"/>
        <v>0</v>
      </c>
      <c r="S4" s="106">
        <f t="shared" si="1"/>
        <v>0</v>
      </c>
      <c r="T4" s="106">
        <f t="shared" si="1"/>
        <v>0</v>
      </c>
      <c r="U4" s="106">
        <f t="shared" si="1"/>
        <v>0</v>
      </c>
      <c r="V4" s="106">
        <f t="shared" si="1"/>
        <v>0</v>
      </c>
      <c r="W4" s="106">
        <f t="shared" si="1"/>
        <v>1</v>
      </c>
      <c r="X4" s="106">
        <f t="shared" si="1"/>
        <v>0</v>
      </c>
      <c r="Y4" s="106">
        <f t="shared" si="1"/>
        <v>0</v>
      </c>
      <c r="Z4" s="106">
        <f t="shared" si="1"/>
        <v>0</v>
      </c>
      <c r="AA4" s="106">
        <f t="shared" si="1"/>
        <v>0</v>
      </c>
      <c r="AB4" s="106">
        <f t="shared" si="1"/>
        <v>0</v>
      </c>
      <c r="AC4" s="106">
        <f t="shared" si="1"/>
        <v>0</v>
      </c>
      <c r="AD4" s="106">
        <f t="shared" si="1"/>
        <v>0</v>
      </c>
      <c r="AE4" s="106">
        <f t="shared" si="1"/>
        <v>0</v>
      </c>
      <c r="AF4" s="179">
        <f t="array" ref="AF4:AU4">IFERROR(P4:AE4*TRANSPOSE('Queen MIDI'!$J$4:$J$19),"N/A")</f>
        <v>0</v>
      </c>
      <c r="AG4" s="179">
        <v>0.0</v>
      </c>
      <c r="AH4" s="179">
        <v>0.0</v>
      </c>
      <c r="AI4" s="179">
        <v>0.0</v>
      </c>
      <c r="AJ4" s="179">
        <v>0.0</v>
      </c>
      <c r="AK4" s="179">
        <v>0.0</v>
      </c>
      <c r="AL4" s="179">
        <v>0.0</v>
      </c>
      <c r="AM4" s="179">
        <v>0.984375</v>
      </c>
      <c r="AN4" s="179" t="s">
        <v>357</v>
      </c>
      <c r="AO4" s="179">
        <v>0.0</v>
      </c>
      <c r="AP4" s="179">
        <v>0.0</v>
      </c>
      <c r="AQ4" s="180">
        <v>0.0</v>
      </c>
      <c r="AR4" s="180">
        <v>0.0</v>
      </c>
      <c r="AS4" s="180">
        <v>0.0</v>
      </c>
      <c r="AT4" s="179">
        <v>0.0</v>
      </c>
      <c r="AU4" s="179">
        <v>0.0</v>
      </c>
      <c r="AV4" s="106" t="str">
        <f>IFERROR(__xludf.DUMMYFUNCTION("JOIN("", "",FILTER($P$3:$AE$3,$P4:$AE4=MAX($P4:$AE4)))"),"The Game")</f>
        <v>The Game</v>
      </c>
      <c r="AW4" s="106">
        <f t="shared" ref="AW4:AW21" si="6">MAX($P4:$AE4)</f>
        <v>1</v>
      </c>
      <c r="AX4" s="106">
        <f>IFERROR(__xludf.DUMMYFUNCTION("COUNTA(FILTER($P$3:$AE$3,$P4:$AE4=MAX($P4:$AE4)))"),1.0)</f>
        <v>1</v>
      </c>
      <c r="AY4" s="106" t="str">
        <f>IFERROR(__xludf.DUMMYFUNCTION("IFERROR(JOIN("", "",FILTER($AF$3:$AU$3,$AF4:$AU4=MAXIFS($AF4:$AU4,$AF$23:$AU$23,TRUE),$AF$23:$AU$23)),""N/A"")"),"The Game")</f>
        <v>The Game</v>
      </c>
      <c r="AZ4" s="181" t="str">
        <f>IFERROR(__xludf.DUMMYFUNCTION("IFERROR(JOIN("", "",FILTER($P4:$AE4,$AF4:$AU4=MAXIFS($AF4:$AU4,$AF$23:$AU$23,TRUE),$AF$23:$AU$23)),""N/A"")"),"1")</f>
        <v>1</v>
      </c>
      <c r="BA4" s="182">
        <f>MAXIFS(AF4:AU4,$AF$23:$AU$23,TRUE)/'Queen MIDI'!$J$20</f>
        <v>0.25</v>
      </c>
      <c r="BB4" s="183">
        <f>IFERROR(__xludf.DUMMYFUNCTION("COUNTA(IFERROR(FILTER($AF$3:$AU$3,$AF4:$AU4=MAXIFS($AF4:$AU4,$AF$23:$AU$23,TRUE),$AF$23:$AU$23),))"),1.0)</f>
        <v>1</v>
      </c>
      <c r="BC4" s="182">
        <f t="shared" ref="BC4:BC21" si="7">$BD4/$BD$22</f>
        <v>0.01587301587</v>
      </c>
      <c r="BD4" s="106">
        <f t="shared" ref="BD4:BD21" si="8">COUNTIF($D$4:$D$66,J4)</f>
        <v>1</v>
      </c>
      <c r="BE4" s="1"/>
    </row>
    <row r="5">
      <c r="A5" s="1"/>
      <c r="C5" s="66" t="str">
        <f t="array" ref="C5">INDEX('Queen MIDI'!$C$4:$C$66,MATCH(F5,'Queen MIDI'!$D$4:$D$66,0))</f>
        <v>Keep Yourself Alive</v>
      </c>
      <c r="D5" s="117">
        <v>1.0</v>
      </c>
      <c r="E5" s="118" t="s">
        <v>358</v>
      </c>
      <c r="F5" s="66" t="str">
        <f t="shared" si="2"/>
        <v>Keep Yourself Alive.mid</v>
      </c>
      <c r="G5" s="122">
        <f>HLOOKUP(H5,'Queen Discography'!$C$2:$Q$3,2,FALSE)</f>
        <v>1973</v>
      </c>
      <c r="H5" s="66" t="str">
        <f>IF(COUNTIF('Queen Discography'!$C$4:$C$22,C5)&gt;0,"Queen",
IF(COUNTIF('Queen Discography'!$D$4:$D$22,C5)&gt;0,"Queen II",
IF(COUNTIF('Queen Discography'!$E$4:$E$22,C5)&gt;0,"Sheer Heart Attack",
IF(COUNTIF('Queen Discography'!$F$4:$F$22,C5)&gt;0,"A Night At The Opera",
IF(COUNTIF('Queen Discography'!$G$4:$G$22,C5)&gt;0,"A Day At The Races",
IF(COUNTIF('Queen Discography'!$H$4:$H$22,C5)&gt;0,"News Of The World",
IF(COUNTIF('Queen Discography'!$I$4:$I$22,C5)&gt;0,"Jazz",
IF(COUNTIF('Queen Discography'!$J$4:$J$22,C5)&gt;0,"The Game",
IF(COUNTIF('Queen Discography'!$K$4:$K$22,C5)&gt;0,"Flash Gordon",
IF(COUNTIF('Queen Discography'!$L$4:$L$22,C5)&gt;0,"Hot Space",
IF(COUNTIF('Queen Discography'!$M$4:$M$22,C5)&gt;0,"The Works",
IF(COUNTIF('Queen Discography'!$N$4:$N$22,C5)&gt;0,"A Kind Of Magic",
IF(COUNTIF('Queen Discography'!$O$4:$O$22,C5)&gt;0,"The Miracle",
IF(COUNTIF('Queen Discography'!$P$4:$P$22,C5)&gt;0,"Innuendo",
IF(COUNTIF('Queen Discography'!$Q$4:$Q$22,C5)&gt;0,"Made In Heaven","NOT FOUND")))))))))))))))</f>
        <v>Queen</v>
      </c>
      <c r="I5" s="1"/>
      <c r="J5" s="178">
        <v>1.0</v>
      </c>
      <c r="K5" s="106">
        <f t="shared" ref="K5:K21" si="9">IF(MINIFS($G$4:$G$66,$D$4:$D$66,J5,$G$4:$G$66,"&lt;&gt;#N/A")=0,"N/A",MINIFS($G$4:$G$66,$D$4:$D$66,J5,$G$4:$G$66,"&lt;&gt;#N/A"))</f>
        <v>1973</v>
      </c>
      <c r="L5" s="106">
        <f t="shared" si="3"/>
        <v>1995</v>
      </c>
      <c r="M5" s="106">
        <f t="shared" si="4"/>
        <v>1983</v>
      </c>
      <c r="N5" s="106">
        <f>IFERROR(ROUND(AVERAGEIFS($G$4:$G$66,$D$4:$D$66,$J5,$G$4:$G$66,"&lt;&gt;#N/A"),0),"N/A")</f>
        <v>1983</v>
      </c>
      <c r="O5" s="106">
        <f>IFERROR(__xludf.DUMMYFUNCTION("IFERROR(MODE(FILTER($G$4:$G$66,$D$4:$D$66=$J5,ISNUMBER($G$4:$G$66))),""N/A"")"),1991.0)</f>
        <v>1991</v>
      </c>
      <c r="P5" s="106">
        <f t="shared" ref="P5:AE5" si="5">COUNTIFS($H$4:$H$66,P$3,$D$4:$D$66,$J5)</f>
        <v>2</v>
      </c>
      <c r="Q5" s="106">
        <f t="shared" si="5"/>
        <v>1</v>
      </c>
      <c r="R5" s="106">
        <f t="shared" si="5"/>
        <v>2</v>
      </c>
      <c r="S5" s="106">
        <f t="shared" si="5"/>
        <v>4</v>
      </c>
      <c r="T5" s="106">
        <f t="shared" si="5"/>
        <v>1</v>
      </c>
      <c r="U5" s="106">
        <f t="shared" si="5"/>
        <v>2</v>
      </c>
      <c r="V5" s="106">
        <f t="shared" si="5"/>
        <v>1</v>
      </c>
      <c r="W5" s="106">
        <f t="shared" si="5"/>
        <v>1</v>
      </c>
      <c r="X5" s="106">
        <f t="shared" si="5"/>
        <v>0</v>
      </c>
      <c r="Y5" s="106">
        <f t="shared" si="5"/>
        <v>1</v>
      </c>
      <c r="Z5" s="106">
        <f t="shared" si="5"/>
        <v>1</v>
      </c>
      <c r="AA5" s="106">
        <f t="shared" si="5"/>
        <v>1</v>
      </c>
      <c r="AB5" s="106">
        <f t="shared" si="5"/>
        <v>2</v>
      </c>
      <c r="AC5" s="106">
        <f t="shared" si="5"/>
        <v>7</v>
      </c>
      <c r="AD5" s="106">
        <f t="shared" si="5"/>
        <v>4</v>
      </c>
      <c r="AE5" s="106">
        <f t="shared" si="5"/>
        <v>0</v>
      </c>
      <c r="AF5" s="179">
        <f t="array" ref="AF5:AU5">IFERROR(P5:AE5*TRANSPOSE('Queen MIDI'!$J$4:$J$19),"N/A")</f>
        <v>1.96875</v>
      </c>
      <c r="AG5" s="179">
        <v>1.3125</v>
      </c>
      <c r="AH5" s="179">
        <v>3.9375</v>
      </c>
      <c r="AI5" s="179">
        <v>3.15</v>
      </c>
      <c r="AJ5" s="179">
        <v>1.3125</v>
      </c>
      <c r="AK5" s="179">
        <v>1.96875</v>
      </c>
      <c r="AL5" s="179">
        <v>0.7875</v>
      </c>
      <c r="AM5" s="179">
        <v>0.984375</v>
      </c>
      <c r="AN5" s="179" t="s">
        <v>357</v>
      </c>
      <c r="AO5" s="179">
        <v>3.9375</v>
      </c>
      <c r="AP5" s="179">
        <v>0.984375</v>
      </c>
      <c r="AQ5" s="179">
        <v>0.7875</v>
      </c>
      <c r="AR5" s="179">
        <v>1.575</v>
      </c>
      <c r="AS5" s="179">
        <v>3.0625</v>
      </c>
      <c r="AT5" s="179">
        <v>2.25</v>
      </c>
      <c r="AU5" s="179">
        <v>0.0</v>
      </c>
      <c r="AV5" s="106" t="str">
        <f>IFERROR(__xludf.DUMMYFUNCTION("JOIN("", "",FILTER($P$3:$AE$3,$P5:$AE5=MAX($P5:$AE5)))"),"Innuendo")</f>
        <v>Innuendo</v>
      </c>
      <c r="AW5" s="106">
        <f t="shared" si="6"/>
        <v>7</v>
      </c>
      <c r="AX5" s="106">
        <f>IFERROR(__xludf.DUMMYFUNCTION("COUNTA(FILTER($P$3:$AE$3,$P5:$AE5=MAX($P5:$AE5)))"),1.0)</f>
        <v>1</v>
      </c>
      <c r="AY5" s="106" t="str">
        <f>IFERROR(__xludf.DUMMYFUNCTION("IFERROR(JOIN("", "",FILTER($AF$3:$AU$3,$AF5:$AU5=MAXIFS($AF5:$AU5,$AF$23:$AU$23,TRUE),$AF$23:$AU$23)),""N/A"")"),"Sheer Heart Attack")</f>
        <v>Sheer Heart Attack</v>
      </c>
      <c r="AZ5" s="171" t="str">
        <f>IFERROR(__xludf.DUMMYFUNCTION("IFERROR(JOIN("", "",FILTER($P5:$AE5,$AF5:$AU5=MAXIFS($AF5:$AU5,$AF$23:$AU$23,TRUE),$AF$23:$AU$23)),""N/A"")"),"2")</f>
        <v>2</v>
      </c>
      <c r="BA5" s="182">
        <f>MAXIFS(AF5:AU5,$AF$23:$AU$23,TRUE)/'Queen MIDI'!$J$20</f>
        <v>1</v>
      </c>
      <c r="BB5" s="183">
        <f>IFERROR(__xludf.DUMMYFUNCTION("COUNTA(IFERROR(FILTER($AF$3:$AU$3,$AF5:$AU5=MAXIFS($AF5:$AU5,$AF$23:$AU$23,TRUE),$AF$23:$AU$23),))"),1.0)</f>
        <v>1</v>
      </c>
      <c r="BC5" s="182">
        <f t="shared" si="7"/>
        <v>0.4761904762</v>
      </c>
      <c r="BD5" s="106">
        <f t="shared" si="8"/>
        <v>30</v>
      </c>
      <c r="BE5" s="1"/>
    </row>
    <row r="6">
      <c r="A6" s="1"/>
      <c r="C6" s="66" t="str">
        <f t="array" ref="C6">INDEX('Queen MIDI'!$C$4:$C$66,MATCH(F6,'Queen MIDI'!$D$4:$D$66,0))</f>
        <v>Son and Daughter</v>
      </c>
      <c r="D6" s="117">
        <v>1.0</v>
      </c>
      <c r="E6" s="118" t="s">
        <v>360</v>
      </c>
      <c r="F6" s="66" t="str">
        <f t="shared" si="2"/>
        <v>Son and Daughter.1.mid</v>
      </c>
      <c r="G6" s="125">
        <f>HLOOKUP(H6,'Queen Discography'!$C$2:$Q$3,2,FALSE)</f>
        <v>1973</v>
      </c>
      <c r="H6" s="66" t="str">
        <f>IF(COUNTIF('Queen Discography'!$C$4:$C$22,C6)&gt;0,"Queen",
IF(COUNTIF('Queen Discography'!$D$4:$D$22,C6)&gt;0,"Queen II",
IF(COUNTIF('Queen Discography'!$E$4:$E$22,C6)&gt;0,"Sheer Heart Attack",
IF(COUNTIF('Queen Discography'!$F$4:$F$22,C6)&gt;0,"A Night At The Opera",
IF(COUNTIF('Queen Discography'!$G$4:$G$22,C6)&gt;0,"A Day At The Races",
IF(COUNTIF('Queen Discography'!$H$4:$H$22,C6)&gt;0,"News Of The World",
IF(COUNTIF('Queen Discography'!$I$4:$I$22,C6)&gt;0,"Jazz",
IF(COUNTIF('Queen Discography'!$J$4:$J$22,C6)&gt;0,"The Game",
IF(COUNTIF('Queen Discography'!$K$4:$K$22,C6)&gt;0,"Flash Gordon",
IF(COUNTIF('Queen Discography'!$L$4:$L$22,C6)&gt;0,"Hot Space",
IF(COUNTIF('Queen Discography'!$M$4:$M$22,C6)&gt;0,"The Works",
IF(COUNTIF('Queen Discography'!$N$4:$N$22,C6)&gt;0,"A Kind Of Magic",
IF(COUNTIF('Queen Discography'!$O$4:$O$22,C6)&gt;0,"The Miracle",
IF(COUNTIF('Queen Discography'!$P$4:$P$22,C6)&gt;0,"Innuendo",
IF(COUNTIF('Queen Discography'!$Q$4:$Q$22,C6)&gt;0,"Made In Heaven","NOT FOUND")))))))))))))))</f>
        <v>Queen</v>
      </c>
      <c r="I6" s="1"/>
      <c r="J6" s="178">
        <v>2.0</v>
      </c>
      <c r="K6" s="106">
        <f t="shared" si="9"/>
        <v>1975</v>
      </c>
      <c r="L6" s="106">
        <f t="shared" si="3"/>
        <v>1986</v>
      </c>
      <c r="M6" s="106">
        <f t="shared" si="4"/>
        <v>1981</v>
      </c>
      <c r="N6" s="106">
        <f>IFERROR(__xludf.DUMMYFUNCTION("IFERROR(MEDIAN(FILTER($G$4:$G$66,$D$4:$D$66=$J6,ISNUMBER($G$4:$G$66))),""N/A"")"),1980.0)</f>
        <v>1980</v>
      </c>
      <c r="O6" s="106">
        <f>IFERROR(__xludf.DUMMYFUNCTION("IFERROR(MODE(FILTER($G$4:$G$66,$D$4:$D$66=$J6,ISNUMBER($G$4:$G$66))),""N/A"")"),1976.0)</f>
        <v>1976</v>
      </c>
      <c r="P6" s="106">
        <f t="shared" ref="P6:AE6" si="10">COUNTIFS($H$4:$H$66,P$3,$D$4:$D$66,$J6)</f>
        <v>0</v>
      </c>
      <c r="Q6" s="106">
        <f t="shared" si="10"/>
        <v>0</v>
      </c>
      <c r="R6" s="106">
        <f t="shared" si="10"/>
        <v>0</v>
      </c>
      <c r="S6" s="106">
        <f t="shared" si="10"/>
        <v>1</v>
      </c>
      <c r="T6" s="106">
        <f t="shared" si="10"/>
        <v>2</v>
      </c>
      <c r="U6" s="106">
        <f t="shared" si="10"/>
        <v>0</v>
      </c>
      <c r="V6" s="106">
        <f t="shared" si="10"/>
        <v>1</v>
      </c>
      <c r="W6" s="106">
        <f t="shared" si="10"/>
        <v>1</v>
      </c>
      <c r="X6" s="106">
        <f t="shared" si="10"/>
        <v>0</v>
      </c>
      <c r="Y6" s="106">
        <f t="shared" si="10"/>
        <v>0</v>
      </c>
      <c r="Z6" s="106">
        <f t="shared" si="10"/>
        <v>2</v>
      </c>
      <c r="AA6" s="106">
        <f t="shared" si="10"/>
        <v>2</v>
      </c>
      <c r="AB6" s="106">
        <f t="shared" si="10"/>
        <v>0</v>
      </c>
      <c r="AC6" s="106">
        <f t="shared" si="10"/>
        <v>0</v>
      </c>
      <c r="AD6" s="106">
        <f t="shared" si="10"/>
        <v>0</v>
      </c>
      <c r="AE6" s="106">
        <f t="shared" si="10"/>
        <v>0</v>
      </c>
      <c r="AF6" s="179">
        <f t="array" ref="AF6:AU6">IFERROR(P6:AE6*TRANSPOSE('Queen MIDI'!$J$4:$J$19),"N/A")</f>
        <v>0</v>
      </c>
      <c r="AG6" s="179">
        <v>0.0</v>
      </c>
      <c r="AH6" s="179">
        <v>0.0</v>
      </c>
      <c r="AI6" s="179">
        <v>0.7875</v>
      </c>
      <c r="AJ6" s="179">
        <v>2.625</v>
      </c>
      <c r="AK6" s="179">
        <v>0.0</v>
      </c>
      <c r="AL6" s="179">
        <v>0.7875</v>
      </c>
      <c r="AM6" s="179">
        <v>0.984375</v>
      </c>
      <c r="AN6" s="179" t="s">
        <v>357</v>
      </c>
      <c r="AO6" s="179">
        <v>0.0</v>
      </c>
      <c r="AP6" s="179">
        <v>1.96875</v>
      </c>
      <c r="AQ6" s="179">
        <v>1.575</v>
      </c>
      <c r="AR6" s="179">
        <v>0.0</v>
      </c>
      <c r="AS6" s="179">
        <v>0.0</v>
      </c>
      <c r="AT6" s="179">
        <v>0.0</v>
      </c>
      <c r="AU6" s="179">
        <v>0.0</v>
      </c>
      <c r="AV6" s="106" t="str">
        <f>IFERROR(__xludf.DUMMYFUNCTION("JOIN("", "",FILTER($P$3:$AE$3,$P6:$AE6=MAX($P6:$AE6)))"),"A Day At The Races, The Works, A Kind Of Magic")</f>
        <v>A Day At The Races, The Works, A Kind Of Magic</v>
      </c>
      <c r="AW6" s="106">
        <f t="shared" si="6"/>
        <v>2</v>
      </c>
      <c r="AX6" s="106">
        <f>IFERROR(__xludf.DUMMYFUNCTION("COUNTA(FILTER($P$3:$AE$3,$P6:$AE6=MAX($P6:$AE6)))"),3.0)</f>
        <v>3</v>
      </c>
      <c r="AY6" s="106" t="str">
        <f>IFERROR(__xludf.DUMMYFUNCTION("IFERROR(JOIN("", "",FILTER($AF$3:$AU$3,$AF6:$AU6=MAXIFS($AF6:$AU6,$AF$23:$AU$23,TRUE),$AF$23:$AU$23)),""N/A"")"),"A Day At The Races")</f>
        <v>A Day At The Races</v>
      </c>
      <c r="AZ6" s="171" t="str">
        <f>IFERROR(__xludf.DUMMYFUNCTION("IFERROR(JOIN("", "",FILTER($P6:$AE6,$AF6:$AU6=MAXIFS($AF6:$AU6,$AF$23:$AU$23,TRUE),$AF$23:$AU$23)),""N/A"")"),"2")</f>
        <v>2</v>
      </c>
      <c r="BA6" s="182">
        <f>MAXIFS(AF6:AU6,$AF$23:$AU$23,TRUE)/'Queen MIDI'!$J$20</f>
        <v>0.6666666667</v>
      </c>
      <c r="BB6" s="183">
        <f>IFERROR(__xludf.DUMMYFUNCTION("COUNTA(IFERROR(FILTER($AF$3:$AU$3,$AF6:$AU6=MAXIFS($AF6:$AU6,$AF$23:$AU$23,TRUE),$AF$23:$AU$23),))"),1.0)</f>
        <v>1</v>
      </c>
      <c r="BC6" s="182">
        <f t="shared" si="7"/>
        <v>0.1428571429</v>
      </c>
      <c r="BD6" s="106">
        <f t="shared" si="8"/>
        <v>9</v>
      </c>
      <c r="BE6" s="1"/>
    </row>
    <row r="7">
      <c r="A7" s="1"/>
      <c r="C7" s="66" t="str">
        <f t="array" ref="C7">INDEX('Queen MIDI'!$C$4:$C$66,MATCH(F7,'Queen MIDI'!$D$4:$D$66,0))</f>
        <v>Nevermore</v>
      </c>
      <c r="D7" s="117">
        <v>1.0</v>
      </c>
      <c r="E7" s="118" t="s">
        <v>362</v>
      </c>
      <c r="F7" s="66" t="str">
        <f t="shared" si="2"/>
        <v>Never More.mid</v>
      </c>
      <c r="G7" s="127">
        <f>HLOOKUP(H7,'Queen Discography'!$C$2:$Q$3,2,FALSE)</f>
        <v>1974</v>
      </c>
      <c r="H7" s="66" t="str">
        <f>IF(COUNTIF('Queen Discography'!$C$4:$C$22,C7)&gt;0,"Queen",
IF(COUNTIF('Queen Discography'!$D$4:$D$22,C7)&gt;0,"Queen II",
IF(COUNTIF('Queen Discography'!$E$4:$E$22,C7)&gt;0,"Sheer Heart Attack",
IF(COUNTIF('Queen Discography'!$F$4:$F$22,C7)&gt;0,"A Night At The Opera",
IF(COUNTIF('Queen Discography'!$G$4:$G$22,C7)&gt;0,"A Day At The Races",
IF(COUNTIF('Queen Discography'!$H$4:$H$22,C7)&gt;0,"News Of The World",
IF(COUNTIF('Queen Discography'!$I$4:$I$22,C7)&gt;0,"Jazz",
IF(COUNTIF('Queen Discography'!$J$4:$J$22,C7)&gt;0,"The Game",
IF(COUNTIF('Queen Discography'!$K$4:$K$22,C7)&gt;0,"Flash Gordon",
IF(COUNTIF('Queen Discography'!$L$4:$L$22,C7)&gt;0,"Hot Space",
IF(COUNTIF('Queen Discography'!$M$4:$M$22,C7)&gt;0,"The Works",
IF(COUNTIF('Queen Discography'!$N$4:$N$22,C7)&gt;0,"A Kind Of Magic",
IF(COUNTIF('Queen Discography'!$O$4:$O$22,C7)&gt;0,"The Miracle",
IF(COUNTIF('Queen Discography'!$P$4:$P$22,C7)&gt;0,"Innuendo",
IF(COUNTIF('Queen Discography'!$Q$4:$Q$22,C7)&gt;0,"Made In Heaven","NOT FOUND")))))))))))))))</f>
        <v>Queen II</v>
      </c>
      <c r="I7" s="1"/>
      <c r="J7" s="178">
        <v>3.0</v>
      </c>
      <c r="K7" s="106">
        <f t="shared" si="9"/>
        <v>1973</v>
      </c>
      <c r="L7" s="106">
        <f t="shared" si="3"/>
        <v>1989</v>
      </c>
      <c r="M7" s="106">
        <f t="shared" si="4"/>
        <v>1979</v>
      </c>
      <c r="N7" s="106">
        <f>IFERROR(__xludf.DUMMYFUNCTION("IFERROR(MEDIAN(FILTER($G$4:$G$66,$D$4:$D$66=$J7,ISNUMBER($G$4:$G$66))),""N/A"")"),1978.0)</f>
        <v>1978</v>
      </c>
      <c r="O7" s="106">
        <f>IFERROR(__xludf.DUMMYFUNCTION("IFERROR(MODE(FILTER($G$4:$G$66,$D$4:$D$66=$J7,ISNUMBER($G$4:$G$66))),""N/A"")"),1973.0)</f>
        <v>1973</v>
      </c>
      <c r="P7" s="106">
        <f t="shared" ref="P7:AE7" si="11">COUNTIFS($H$4:$H$66,P$3,$D$4:$D$66,$J7)</f>
        <v>2</v>
      </c>
      <c r="Q7" s="106">
        <f t="shared" si="11"/>
        <v>1</v>
      </c>
      <c r="R7" s="106">
        <f t="shared" si="11"/>
        <v>0</v>
      </c>
      <c r="S7" s="106">
        <f t="shared" si="11"/>
        <v>0</v>
      </c>
      <c r="T7" s="106">
        <f t="shared" si="11"/>
        <v>0</v>
      </c>
      <c r="U7" s="106">
        <f t="shared" si="11"/>
        <v>0</v>
      </c>
      <c r="V7" s="106">
        <f t="shared" si="11"/>
        <v>2</v>
      </c>
      <c r="W7" s="106">
        <f t="shared" si="11"/>
        <v>0</v>
      </c>
      <c r="X7" s="106">
        <f t="shared" si="11"/>
        <v>0</v>
      </c>
      <c r="Y7" s="106">
        <f t="shared" si="11"/>
        <v>0</v>
      </c>
      <c r="Z7" s="106">
        <f t="shared" si="11"/>
        <v>0</v>
      </c>
      <c r="AA7" s="106">
        <f t="shared" si="11"/>
        <v>0</v>
      </c>
      <c r="AB7" s="106">
        <f t="shared" si="11"/>
        <v>2</v>
      </c>
      <c r="AC7" s="106">
        <f t="shared" si="11"/>
        <v>0</v>
      </c>
      <c r="AD7" s="106">
        <f t="shared" si="11"/>
        <v>0</v>
      </c>
      <c r="AE7" s="106">
        <f t="shared" si="11"/>
        <v>1</v>
      </c>
      <c r="AF7" s="179">
        <f t="array" ref="AF7:AU7">IFERROR(P7:AE7*TRANSPOSE('Queen MIDI'!$J$4:$J$19),"N/A")</f>
        <v>1.96875</v>
      </c>
      <c r="AG7" s="179">
        <v>1.3125</v>
      </c>
      <c r="AH7" s="179">
        <v>0.0</v>
      </c>
      <c r="AI7" s="179">
        <v>0.0</v>
      </c>
      <c r="AJ7" s="179">
        <v>0.0</v>
      </c>
      <c r="AK7" s="179">
        <v>0.0</v>
      </c>
      <c r="AL7" s="179">
        <v>1.575</v>
      </c>
      <c r="AM7" s="179">
        <v>0.0</v>
      </c>
      <c r="AN7" s="179" t="s">
        <v>357</v>
      </c>
      <c r="AO7" s="179">
        <v>0.0</v>
      </c>
      <c r="AP7" s="179">
        <v>0.0</v>
      </c>
      <c r="AQ7" s="179">
        <v>0.0</v>
      </c>
      <c r="AR7" s="179">
        <v>1.575</v>
      </c>
      <c r="AS7" s="179">
        <v>0.0</v>
      </c>
      <c r="AT7" s="179">
        <v>0.0</v>
      </c>
      <c r="AU7" s="179">
        <v>1.96875</v>
      </c>
      <c r="AV7" s="106" t="str">
        <f>IFERROR(__xludf.DUMMYFUNCTION("JOIN("", "",FILTER($P$3:$AE$3,$P7:$AE7=MAX($P7:$AE7)))"),"Queen, Jazz, The Miracle")</f>
        <v>Queen, Jazz, The Miracle</v>
      </c>
      <c r="AW7" s="106">
        <f t="shared" si="6"/>
        <v>2</v>
      </c>
      <c r="AX7" s="106">
        <f>IFERROR(__xludf.DUMMYFUNCTION("COUNTA(FILTER($P$3:$AE$3,$P7:$AE7=MAX($P7:$AE7)))"),3.0)</f>
        <v>3</v>
      </c>
      <c r="AY7" s="106" t="str">
        <f>IFERROR(__xludf.DUMMYFUNCTION("IFERROR(JOIN("", "",FILTER($AF$3:$AU$3,$AF7:$AU7=MAXIFS($AF7:$AU7,$AF$23:$AU$23,TRUE),$AF$23:$AU$23)),""N/A"")"),"Queen, NOT FOUND")</f>
        <v>Queen, NOT FOUND</v>
      </c>
      <c r="AZ7" s="171" t="str">
        <f>IFERROR(__xludf.DUMMYFUNCTION("IFERROR(JOIN("", "",FILTER($P7:$AE7,$AF7:$AU7=MAXIFS($AF7:$AU7,$AF$23:$AU$23,TRUE),$AF$23:$AU$23)),""N/A"")"),"2, 1")</f>
        <v>2, 1</v>
      </c>
      <c r="BA7" s="182">
        <f>MAXIFS(AF7:AU7,$AF$23:$AU$23,TRUE)/'Queen MIDI'!$J$20</f>
        <v>0.5</v>
      </c>
      <c r="BB7" s="183">
        <f>IFERROR(__xludf.DUMMYFUNCTION("COUNTA(IFERROR(FILTER($AF$3:$AU$3,$AF7:$AU7=MAXIFS($AF7:$AU7,$AF$23:$AU$23,TRUE),$AF$23:$AU$23),))"),2.0)</f>
        <v>2</v>
      </c>
      <c r="BC7" s="182">
        <f t="shared" si="7"/>
        <v>0.126984127</v>
      </c>
      <c r="BD7" s="106">
        <f t="shared" si="8"/>
        <v>8</v>
      </c>
      <c r="BE7" s="1"/>
    </row>
    <row r="8">
      <c r="A8" s="1"/>
      <c r="C8" s="66" t="str">
        <f t="array" ref="C8">INDEX('Queen MIDI'!$C$4:$C$66,MATCH(F8,'Queen MIDI'!$D$4:$D$66,0))</f>
        <v>Killer Queen</v>
      </c>
      <c r="D8" s="117">
        <v>1.0</v>
      </c>
      <c r="E8" s="118" t="s">
        <v>363</v>
      </c>
      <c r="F8" s="66" t="str">
        <f t="shared" si="2"/>
        <v>Killer Queen.1.mid</v>
      </c>
      <c r="G8" s="122">
        <f>HLOOKUP(H8,'Queen Discography'!$C$2:$Q$3,2,FALSE)</f>
        <v>1974</v>
      </c>
      <c r="H8" s="66" t="str">
        <f>IF(COUNTIF('Queen Discography'!$C$4:$C$22,C8)&gt;0,"Queen",
IF(COUNTIF('Queen Discography'!$D$4:$D$22,C8)&gt;0,"Queen II",
IF(COUNTIF('Queen Discography'!$E$4:$E$22,C8)&gt;0,"Sheer Heart Attack",
IF(COUNTIF('Queen Discography'!$F$4:$F$22,C8)&gt;0,"A Night At The Opera",
IF(COUNTIF('Queen Discography'!$G$4:$G$22,C8)&gt;0,"A Day At The Races",
IF(COUNTIF('Queen Discography'!$H$4:$H$22,C8)&gt;0,"News Of The World",
IF(COUNTIF('Queen Discography'!$I$4:$I$22,C8)&gt;0,"Jazz",
IF(COUNTIF('Queen Discography'!$J$4:$J$22,C8)&gt;0,"The Game",
IF(COUNTIF('Queen Discography'!$K$4:$K$22,C8)&gt;0,"Flash Gordon",
IF(COUNTIF('Queen Discography'!$L$4:$L$22,C8)&gt;0,"Hot Space",
IF(COUNTIF('Queen Discography'!$M$4:$M$22,C8)&gt;0,"The Works",
IF(COUNTIF('Queen Discography'!$N$4:$N$22,C8)&gt;0,"A Kind Of Magic",
IF(COUNTIF('Queen Discography'!$O$4:$O$22,C8)&gt;0,"The Miracle",
IF(COUNTIF('Queen Discography'!$P$4:$P$22,C8)&gt;0,"Innuendo",
IF(COUNTIF('Queen Discography'!$Q$4:$Q$22,C8)&gt;0,"Made In Heaven","NOT FOUND")))))))))))))))</f>
        <v>Sheer Heart Attack</v>
      </c>
      <c r="I8" s="1"/>
      <c r="J8" s="178">
        <v>4.0</v>
      </c>
      <c r="K8" s="106">
        <f t="shared" si="9"/>
        <v>1991</v>
      </c>
      <c r="L8" s="106">
        <f t="shared" si="3"/>
        <v>1991</v>
      </c>
      <c r="M8" s="106">
        <f t="shared" si="4"/>
        <v>1991</v>
      </c>
      <c r="N8" s="106">
        <f>IFERROR(__xludf.DUMMYFUNCTION("IFERROR(MEDIAN(FILTER($G$4:$G$66,$D$4:$D$66=$J8,ISNUMBER($G$4:$G$66))),""N/A"")"),1991.0)</f>
        <v>1991</v>
      </c>
      <c r="O8" s="106" t="str">
        <f>IFERROR(__xludf.DUMMYFUNCTION("IFERROR(MODE(FILTER($G$4:$G$66,$D$4:$D$66=$J8,ISNUMBER($G$4:$G$66))),""N/A"")"),"N/A")</f>
        <v>N/A</v>
      </c>
      <c r="P8" s="106">
        <f t="shared" ref="P8:AE8" si="12">COUNTIFS($H$4:$H$66,P$3,$D$4:$D$66,$J8)</f>
        <v>0</v>
      </c>
      <c r="Q8" s="106">
        <f t="shared" si="12"/>
        <v>0</v>
      </c>
      <c r="R8" s="106">
        <f t="shared" si="12"/>
        <v>0</v>
      </c>
      <c r="S8" s="106">
        <f t="shared" si="12"/>
        <v>0</v>
      </c>
      <c r="T8" s="106">
        <f t="shared" si="12"/>
        <v>0</v>
      </c>
      <c r="U8" s="106">
        <f t="shared" si="12"/>
        <v>0</v>
      </c>
      <c r="V8" s="106">
        <f t="shared" si="12"/>
        <v>0</v>
      </c>
      <c r="W8" s="106">
        <f t="shared" si="12"/>
        <v>0</v>
      </c>
      <c r="X8" s="106">
        <f t="shared" si="12"/>
        <v>0</v>
      </c>
      <c r="Y8" s="106">
        <f t="shared" si="12"/>
        <v>0</v>
      </c>
      <c r="Z8" s="106">
        <f t="shared" si="12"/>
        <v>0</v>
      </c>
      <c r="AA8" s="106">
        <f t="shared" si="12"/>
        <v>0</v>
      </c>
      <c r="AB8" s="106">
        <f t="shared" si="12"/>
        <v>0</v>
      </c>
      <c r="AC8" s="106">
        <f t="shared" si="12"/>
        <v>1</v>
      </c>
      <c r="AD8" s="106">
        <f t="shared" si="12"/>
        <v>0</v>
      </c>
      <c r="AE8" s="106">
        <f t="shared" si="12"/>
        <v>0</v>
      </c>
      <c r="AF8" s="179">
        <f t="array" ref="AF8:AU8">IFERROR(P8:AE8*TRANSPOSE('Queen MIDI'!$J$4:$J$19),"N/A")</f>
        <v>0</v>
      </c>
      <c r="AG8" s="179">
        <v>0.0</v>
      </c>
      <c r="AH8" s="179">
        <v>0.0</v>
      </c>
      <c r="AI8" s="179">
        <v>0.0</v>
      </c>
      <c r="AJ8" s="179">
        <v>0.0</v>
      </c>
      <c r="AK8" s="179">
        <v>0.0</v>
      </c>
      <c r="AL8" s="179">
        <v>0.0</v>
      </c>
      <c r="AM8" s="179">
        <v>0.0</v>
      </c>
      <c r="AN8" s="179" t="s">
        <v>357</v>
      </c>
      <c r="AO8" s="179">
        <v>0.0</v>
      </c>
      <c r="AP8" s="179">
        <v>0.0</v>
      </c>
      <c r="AQ8" s="179">
        <v>0.0</v>
      </c>
      <c r="AR8" s="179">
        <v>0.0</v>
      </c>
      <c r="AS8" s="179">
        <v>0.4375</v>
      </c>
      <c r="AT8" s="179">
        <v>0.0</v>
      </c>
      <c r="AU8" s="179">
        <v>0.0</v>
      </c>
      <c r="AV8" s="106" t="str">
        <f>IFERROR(__xludf.DUMMYFUNCTION("JOIN("", "",FILTER($P$3:$AE$3,$P8:$AE8=MAX($P8:$AE8)))"),"Innuendo")</f>
        <v>Innuendo</v>
      </c>
      <c r="AW8" s="106">
        <f t="shared" si="6"/>
        <v>1</v>
      </c>
      <c r="AX8" s="106">
        <f>IFERROR(__xludf.DUMMYFUNCTION("COUNTA(FILTER($P$3:$AE$3,$P8:$AE8=MAX($P8:$AE8)))"),1.0)</f>
        <v>1</v>
      </c>
      <c r="AY8" s="106" t="str">
        <f>IFERROR(__xludf.DUMMYFUNCTION("IFERROR(JOIN("", "",FILTER($AF$3:$AU$3,$AF8:$AU8=MAXIFS($AF8:$AU8,$AF$23:$AU$23,TRUE),$AF$23:$AU$23)),""N/A"")"),"Innuendo")</f>
        <v>Innuendo</v>
      </c>
      <c r="AZ8" s="171" t="str">
        <f>IFERROR(__xludf.DUMMYFUNCTION("IFERROR(JOIN("", "",FILTER($P8:$AE8,$AF8:$AU8=MAXIFS($AF8:$AU8,$AF$23:$AU$23,TRUE),$AF$23:$AU$23)),""N/A"")"),"1")</f>
        <v>1</v>
      </c>
      <c r="BA8" s="182">
        <f>MAXIFS(AF8:AU8,$AF$23:$AU$23,TRUE)/'Queen MIDI'!$J$20</f>
        <v>0.1111111111</v>
      </c>
      <c r="BB8" s="183">
        <f>IFERROR(__xludf.DUMMYFUNCTION("COUNTA(IFERROR(FILTER($AF$3:$AU$3,$AF8:$AU8=MAXIFS($AF8:$AU8,$AF$23:$AU$23,TRUE),$AF$23:$AU$23),))"),1.0)</f>
        <v>1</v>
      </c>
      <c r="BC8" s="182">
        <f t="shared" si="7"/>
        <v>0.01587301587</v>
      </c>
      <c r="BD8" s="106">
        <f t="shared" si="8"/>
        <v>1</v>
      </c>
      <c r="BE8" s="1"/>
    </row>
    <row r="9">
      <c r="A9" s="1"/>
      <c r="C9" s="66" t="str">
        <f t="array" ref="C9">INDEX('Queen MIDI'!$C$4:$C$66,MATCH(F9,'Queen MIDI'!$D$4:$D$66,0))</f>
        <v>Now I'm Here</v>
      </c>
      <c r="D9" s="117">
        <v>1.0</v>
      </c>
      <c r="E9" s="118" t="s">
        <v>364</v>
      </c>
      <c r="F9" s="66" t="str">
        <f t="shared" si="2"/>
        <v>Now I_m Here.4.mid</v>
      </c>
      <c r="G9" s="125">
        <f>HLOOKUP(H9,'Queen Discography'!$C$2:$Q$3,2,FALSE)</f>
        <v>1974</v>
      </c>
      <c r="H9" s="66" t="str">
        <f>IF(COUNTIF('Queen Discography'!$C$4:$C$22,C9)&gt;0,"Queen",
IF(COUNTIF('Queen Discography'!$D$4:$D$22,C9)&gt;0,"Queen II",
IF(COUNTIF('Queen Discography'!$E$4:$E$22,C9)&gt;0,"Sheer Heart Attack",
IF(COUNTIF('Queen Discography'!$F$4:$F$22,C9)&gt;0,"A Night At The Opera",
IF(COUNTIF('Queen Discography'!$G$4:$G$22,C9)&gt;0,"A Day At The Races",
IF(COUNTIF('Queen Discography'!$H$4:$H$22,C9)&gt;0,"News Of The World",
IF(COUNTIF('Queen Discography'!$I$4:$I$22,C9)&gt;0,"Jazz",
IF(COUNTIF('Queen Discography'!$J$4:$J$22,C9)&gt;0,"The Game",
IF(COUNTIF('Queen Discography'!$K$4:$K$22,C9)&gt;0,"Flash Gordon",
IF(COUNTIF('Queen Discography'!$L$4:$L$22,C9)&gt;0,"Hot Space",
IF(COUNTIF('Queen Discography'!$M$4:$M$22,C9)&gt;0,"The Works",
IF(COUNTIF('Queen Discography'!$N$4:$N$22,C9)&gt;0,"A Kind Of Magic",
IF(COUNTIF('Queen Discography'!$O$4:$O$22,C9)&gt;0,"The Miracle",
IF(COUNTIF('Queen Discography'!$P$4:$P$22,C9)&gt;0,"Innuendo",
IF(COUNTIF('Queen Discography'!$Q$4:$Q$22,C9)&gt;0,"Made In Heaven","NOT FOUND")))))))))))))))</f>
        <v>Sheer Heart Attack</v>
      </c>
      <c r="I9" s="1"/>
      <c r="J9" s="178">
        <v>5.0</v>
      </c>
      <c r="K9" s="106">
        <f t="shared" si="9"/>
        <v>1978</v>
      </c>
      <c r="L9" s="106">
        <f t="shared" si="3"/>
        <v>1995</v>
      </c>
      <c r="M9" s="106">
        <f t="shared" si="4"/>
        <v>1988</v>
      </c>
      <c r="N9" s="106">
        <f>IFERROR(__xludf.DUMMYFUNCTION("IFERROR(MEDIAN(FILTER($G$4:$G$66,$D$4:$D$66=$J9,ISNUMBER($G$4:$G$66))),""N/A"")"),1989.0)</f>
        <v>1989</v>
      </c>
      <c r="O9" s="106">
        <f>IFERROR(__xludf.DUMMYFUNCTION("IFERROR(MODE(FILTER($G$4:$G$66,$D$4:$D$66=$J9,ISNUMBER($G$4:$G$66))),""N/A"")"),1995.0)</f>
        <v>1995</v>
      </c>
      <c r="P9" s="106">
        <f t="shared" ref="P9:AE9" si="13">COUNTIFS($H$4:$H$66,P$3,$D$4:$D$66,$J9)</f>
        <v>0</v>
      </c>
      <c r="Q9" s="106">
        <f t="shared" si="13"/>
        <v>0</v>
      </c>
      <c r="R9" s="106">
        <f t="shared" si="13"/>
        <v>0</v>
      </c>
      <c r="S9" s="106">
        <f t="shared" si="13"/>
        <v>0</v>
      </c>
      <c r="T9" s="106">
        <f t="shared" si="13"/>
        <v>0</v>
      </c>
      <c r="U9" s="106">
        <f t="shared" si="13"/>
        <v>0</v>
      </c>
      <c r="V9" s="106">
        <f t="shared" si="13"/>
        <v>1</v>
      </c>
      <c r="W9" s="106">
        <f t="shared" si="13"/>
        <v>1</v>
      </c>
      <c r="X9" s="106">
        <f t="shared" si="13"/>
        <v>0</v>
      </c>
      <c r="Y9" s="106">
        <f t="shared" si="13"/>
        <v>0</v>
      </c>
      <c r="Z9" s="106">
        <f t="shared" si="13"/>
        <v>1</v>
      </c>
      <c r="AA9" s="106">
        <f t="shared" si="13"/>
        <v>1</v>
      </c>
      <c r="AB9" s="106">
        <f t="shared" si="13"/>
        <v>1</v>
      </c>
      <c r="AC9" s="106">
        <f t="shared" si="13"/>
        <v>1</v>
      </c>
      <c r="AD9" s="106">
        <f t="shared" si="13"/>
        <v>3</v>
      </c>
      <c r="AE9" s="106">
        <f t="shared" si="13"/>
        <v>0</v>
      </c>
      <c r="AF9" s="179">
        <f t="array" ref="AF9:AU9">IFERROR(P9:AE9*TRANSPOSE('Queen MIDI'!$J$4:$J$19),"N/A")</f>
        <v>0</v>
      </c>
      <c r="AG9" s="179">
        <v>0.0</v>
      </c>
      <c r="AH9" s="179">
        <v>0.0</v>
      </c>
      <c r="AI9" s="179">
        <v>0.0</v>
      </c>
      <c r="AJ9" s="179">
        <v>0.0</v>
      </c>
      <c r="AK9" s="179">
        <v>0.0</v>
      </c>
      <c r="AL9" s="179">
        <v>0.7875</v>
      </c>
      <c r="AM9" s="179">
        <v>0.984375</v>
      </c>
      <c r="AN9" s="179" t="s">
        <v>357</v>
      </c>
      <c r="AO9" s="179">
        <v>0.0</v>
      </c>
      <c r="AP9" s="179">
        <v>0.984375</v>
      </c>
      <c r="AQ9" s="179">
        <v>0.7875</v>
      </c>
      <c r="AR9" s="179">
        <v>0.7875</v>
      </c>
      <c r="AS9" s="179">
        <v>0.4375</v>
      </c>
      <c r="AT9" s="179">
        <v>1.6875</v>
      </c>
      <c r="AU9" s="179">
        <v>0.0</v>
      </c>
      <c r="AV9" s="106" t="str">
        <f>IFERROR(__xludf.DUMMYFUNCTION("JOIN("", "",FILTER($P$3:$AE$3,$P9:$AE9=MAX($P9:$AE9)))"),"Made In Heaven")</f>
        <v>Made In Heaven</v>
      </c>
      <c r="AW9" s="106">
        <f t="shared" si="6"/>
        <v>3</v>
      </c>
      <c r="AX9" s="106">
        <f>IFERROR(__xludf.DUMMYFUNCTION("COUNTA(FILTER($P$3:$AE$3,$P9:$AE9=MAX($P9:$AE9)))"),1.0)</f>
        <v>1</v>
      </c>
      <c r="AY9" s="106" t="str">
        <f>IFERROR(__xludf.DUMMYFUNCTION("IFERROR(JOIN("", "",FILTER($AF$3:$AU$3,$AF9:$AU9=MAXIFS($AF9:$AU9,$AF$23:$AU$23,TRUE),$AF$23:$AU$23)),""N/A"")"),"Made In Heaven")</f>
        <v>Made In Heaven</v>
      </c>
      <c r="AZ9" s="171" t="str">
        <f>IFERROR(__xludf.DUMMYFUNCTION("IFERROR(JOIN("", "",FILTER($P9:$AE9,$AF9:$AU9=MAXIFS($AF9:$AU9,$AF$23:$AU$23,TRUE),$AF$23:$AU$23)),""N/A"")"),"3")</f>
        <v>3</v>
      </c>
      <c r="BA9" s="182">
        <f>MAXIFS(AF9:AU9,$AF$23:$AU$23,TRUE)/'Queen MIDI'!$J$20</f>
        <v>0.4285714286</v>
      </c>
      <c r="BB9" s="183">
        <f>IFERROR(__xludf.DUMMYFUNCTION("COUNTA(IFERROR(FILTER($AF$3:$AU$3,$AF9:$AU9=MAXIFS($AF9:$AU9,$AF$23:$AU$23,TRUE),$AF$23:$AU$23),))"),1.0)</f>
        <v>1</v>
      </c>
      <c r="BC9" s="182">
        <f t="shared" si="7"/>
        <v>0.1428571429</v>
      </c>
      <c r="BD9" s="106">
        <f t="shared" si="8"/>
        <v>9</v>
      </c>
      <c r="BE9" s="1"/>
    </row>
    <row r="10">
      <c r="A10" s="1"/>
      <c r="C10" s="66" t="str">
        <f t="array" ref="C10">INDEX('Queen MIDI'!$C$4:$C$66,MATCH(F10,'Queen MIDI'!$D$4:$D$66,0))</f>
        <v>Death On Two Legs</v>
      </c>
      <c r="D10" s="117">
        <v>1.0</v>
      </c>
      <c r="E10" s="118" t="s">
        <v>367</v>
      </c>
      <c r="F10" s="66" t="str">
        <f t="shared" si="2"/>
        <v>Death on Two Legs (Dedicated To...).mid</v>
      </c>
      <c r="G10" s="123">
        <f>HLOOKUP(H10,'Queen Discography'!$C$2:$Q$3,2,FALSE)</f>
        <v>1975</v>
      </c>
      <c r="H10" s="66" t="str">
        <f>IF(COUNTIF('Queen Discography'!$C$4:$C$22,C10)&gt;0,"Queen",
IF(COUNTIF('Queen Discography'!$D$4:$D$22,C10)&gt;0,"Queen II",
IF(COUNTIF('Queen Discography'!$E$4:$E$22,C10)&gt;0,"Sheer Heart Attack",
IF(COUNTIF('Queen Discography'!$F$4:$F$22,C10)&gt;0,"A Night At The Opera",
IF(COUNTIF('Queen Discography'!$G$4:$G$22,C10)&gt;0,"A Day At The Races",
IF(COUNTIF('Queen Discography'!$H$4:$H$22,C10)&gt;0,"News Of The World",
IF(COUNTIF('Queen Discography'!$I$4:$I$22,C10)&gt;0,"Jazz",
IF(COUNTIF('Queen Discography'!$J$4:$J$22,C10)&gt;0,"The Game",
IF(COUNTIF('Queen Discography'!$K$4:$K$22,C10)&gt;0,"Flash Gordon",
IF(COUNTIF('Queen Discography'!$L$4:$L$22,C10)&gt;0,"Hot Space",
IF(COUNTIF('Queen Discography'!$M$4:$M$22,C10)&gt;0,"The Works",
IF(COUNTIF('Queen Discography'!$N$4:$N$22,C10)&gt;0,"A Kind Of Magic",
IF(COUNTIF('Queen Discography'!$O$4:$O$22,C10)&gt;0,"The Miracle",
IF(COUNTIF('Queen Discography'!$P$4:$P$22,C10)&gt;0,"Innuendo",
IF(COUNTIF('Queen Discography'!$Q$4:$Q$22,C10)&gt;0,"Made In Heaven","NOT FOUND")))))))))))))))</f>
        <v>A Night At The Opera</v>
      </c>
      <c r="I10" s="1"/>
      <c r="J10" s="178">
        <v>6.0</v>
      </c>
      <c r="K10" s="106">
        <f t="shared" si="9"/>
        <v>1977</v>
      </c>
      <c r="L10" s="106">
        <f t="shared" si="3"/>
        <v>1977</v>
      </c>
      <c r="M10" s="106">
        <f t="shared" si="4"/>
        <v>1977</v>
      </c>
      <c r="N10" s="106">
        <f>IFERROR(__xludf.DUMMYFUNCTION("IFERROR(MEDIAN(FILTER($G$4:$G$66,$D$4:$D$66=$J10,ISNUMBER($G$4:$G$66))),""N/A"")"),1977.0)</f>
        <v>1977</v>
      </c>
      <c r="O10" s="106" t="str">
        <f>IFERROR(__xludf.DUMMYFUNCTION("IFERROR(MODE(FILTER($G$4:$G$66,$D$4:$D$66=$J10,ISNUMBER($G$4:$G$66))),""N/A"")"),"N/A")</f>
        <v>N/A</v>
      </c>
      <c r="P10" s="106">
        <f t="shared" ref="P10:AE10" si="14">COUNTIFS($H$4:$H$66,P$3,$D$4:$D$66,$J10)</f>
        <v>0</v>
      </c>
      <c r="Q10" s="106">
        <f t="shared" si="14"/>
        <v>0</v>
      </c>
      <c r="R10" s="106">
        <f t="shared" si="14"/>
        <v>0</v>
      </c>
      <c r="S10" s="106">
        <f t="shared" si="14"/>
        <v>0</v>
      </c>
      <c r="T10" s="106">
        <f t="shared" si="14"/>
        <v>0</v>
      </c>
      <c r="U10" s="106">
        <f t="shared" si="14"/>
        <v>1</v>
      </c>
      <c r="V10" s="106">
        <f t="shared" si="14"/>
        <v>0</v>
      </c>
      <c r="W10" s="106">
        <f t="shared" si="14"/>
        <v>0</v>
      </c>
      <c r="X10" s="106">
        <f t="shared" si="14"/>
        <v>0</v>
      </c>
      <c r="Y10" s="106">
        <f t="shared" si="14"/>
        <v>0</v>
      </c>
      <c r="Z10" s="106">
        <f t="shared" si="14"/>
        <v>0</v>
      </c>
      <c r="AA10" s="106">
        <f t="shared" si="14"/>
        <v>0</v>
      </c>
      <c r="AB10" s="106">
        <f t="shared" si="14"/>
        <v>0</v>
      </c>
      <c r="AC10" s="106">
        <f t="shared" si="14"/>
        <v>0</v>
      </c>
      <c r="AD10" s="106">
        <f t="shared" si="14"/>
        <v>0</v>
      </c>
      <c r="AE10" s="106">
        <f t="shared" si="14"/>
        <v>0</v>
      </c>
      <c r="AF10" s="179">
        <f t="array" ref="AF10:AU10">IFERROR(P10:AE10*TRANSPOSE('Queen MIDI'!$J$4:$J$19),"N/A")</f>
        <v>0</v>
      </c>
      <c r="AG10" s="179">
        <v>0.0</v>
      </c>
      <c r="AH10" s="179">
        <v>0.0</v>
      </c>
      <c r="AI10" s="179">
        <v>0.0</v>
      </c>
      <c r="AJ10" s="179">
        <v>0.0</v>
      </c>
      <c r="AK10" s="179">
        <v>0.984375</v>
      </c>
      <c r="AL10" s="179">
        <v>0.0</v>
      </c>
      <c r="AM10" s="179">
        <v>0.0</v>
      </c>
      <c r="AN10" s="179" t="s">
        <v>357</v>
      </c>
      <c r="AO10" s="179">
        <v>0.0</v>
      </c>
      <c r="AP10" s="179">
        <v>0.0</v>
      </c>
      <c r="AQ10" s="179">
        <v>0.0</v>
      </c>
      <c r="AR10" s="179">
        <v>0.0</v>
      </c>
      <c r="AS10" s="179">
        <v>0.0</v>
      </c>
      <c r="AT10" s="179">
        <v>0.0</v>
      </c>
      <c r="AU10" s="179">
        <v>0.0</v>
      </c>
      <c r="AV10" s="106" t="str">
        <f>IFERROR(__xludf.DUMMYFUNCTION("JOIN("", "",FILTER($P$3:$AE$3,$P10:$AE10=MAX($P10:$AE10)))"),"News Of The World")</f>
        <v>News Of The World</v>
      </c>
      <c r="AW10" s="106">
        <f t="shared" si="6"/>
        <v>1</v>
      </c>
      <c r="AX10" s="106">
        <f>IFERROR(__xludf.DUMMYFUNCTION("COUNTA(FILTER($P$3:$AE$3,$P10:$AE10=MAX($P10:$AE10)))"),1.0)</f>
        <v>1</v>
      </c>
      <c r="AY10" s="106" t="str">
        <f>IFERROR(__xludf.DUMMYFUNCTION("IFERROR(JOIN("", "",FILTER($AF$3:$AU$3,$AF10:$AU10=MAXIFS($AF10:$AU10,$AF$23:$AU$23,TRUE),$AF$23:$AU$23)),""N/A"")"),"News Of The World")</f>
        <v>News Of The World</v>
      </c>
      <c r="AZ10" s="171" t="str">
        <f>IFERROR(__xludf.DUMMYFUNCTION("IFERROR(JOIN("", "",FILTER($P10:$AE10,$AF10:$AU10=MAXIFS($AF10:$AU10,$AF$23:$AU$23,TRUE),$AF$23:$AU$23)),""N/A"")"),"1")</f>
        <v>1</v>
      </c>
      <c r="BA10" s="182">
        <f>MAXIFS(AF10:AU10,$AF$23:$AU$23,TRUE)/'Queen MIDI'!$J$20</f>
        <v>0.25</v>
      </c>
      <c r="BB10" s="183">
        <f>IFERROR(__xludf.DUMMYFUNCTION("COUNTA(IFERROR(FILTER($AF$3:$AU$3,$AF10:$AU10=MAXIFS($AF10:$AU10,$AF$23:$AU$23,TRUE),$AF$23:$AU$23),))"),1.0)</f>
        <v>1</v>
      </c>
      <c r="BC10" s="182">
        <f t="shared" si="7"/>
        <v>0.01587301587</v>
      </c>
      <c r="BD10" s="106">
        <f t="shared" si="8"/>
        <v>1</v>
      </c>
      <c r="BE10" s="1"/>
    </row>
    <row r="11">
      <c r="A11" s="1"/>
      <c r="C11" s="66" t="str">
        <f t="array" ref="C11">INDEX('Queen MIDI'!$C$4:$C$66,MATCH(F11,'Queen MIDI'!$D$4:$D$66,0))</f>
        <v>Love of My Life</v>
      </c>
      <c r="D11" s="117">
        <v>1.0</v>
      </c>
      <c r="E11" s="118" t="s">
        <v>368</v>
      </c>
      <c r="F11" s="66" t="str">
        <f t="shared" si="2"/>
        <v>Love of My Life.3.mid</v>
      </c>
      <c r="G11" s="131">
        <f>HLOOKUP(H11,'Queen Discography'!$C$2:$Q$3,2,FALSE)</f>
        <v>1975</v>
      </c>
      <c r="H11" s="66" t="str">
        <f>IF(COUNTIF('Queen Discography'!$C$4:$C$22,C11)&gt;0,"Queen",
IF(COUNTIF('Queen Discography'!$D$4:$D$22,C11)&gt;0,"Queen II",
IF(COUNTIF('Queen Discography'!$E$4:$E$22,C11)&gt;0,"Sheer Heart Attack",
IF(COUNTIF('Queen Discography'!$F$4:$F$22,C11)&gt;0,"A Night At The Opera",
IF(COUNTIF('Queen Discography'!$G$4:$G$22,C11)&gt;0,"A Day At The Races",
IF(COUNTIF('Queen Discography'!$H$4:$H$22,C11)&gt;0,"News Of The World",
IF(COUNTIF('Queen Discography'!$I$4:$I$22,C11)&gt;0,"Jazz",
IF(COUNTIF('Queen Discography'!$J$4:$J$22,C11)&gt;0,"The Game",
IF(COUNTIF('Queen Discography'!$K$4:$K$22,C11)&gt;0,"Flash Gordon",
IF(COUNTIF('Queen Discography'!$L$4:$L$22,C11)&gt;0,"Hot Space",
IF(COUNTIF('Queen Discography'!$M$4:$M$22,C11)&gt;0,"The Works",
IF(COUNTIF('Queen Discography'!$N$4:$N$22,C11)&gt;0,"A Kind Of Magic",
IF(COUNTIF('Queen Discography'!$O$4:$O$22,C11)&gt;0,"The Miracle",
IF(COUNTIF('Queen Discography'!$P$4:$P$22,C11)&gt;0,"Innuendo",
IF(COUNTIF('Queen Discography'!$Q$4:$Q$22,C11)&gt;0,"Made In Heaven","NOT FOUND")))))))))))))))</f>
        <v>A Night At The Opera</v>
      </c>
      <c r="I11" s="1"/>
      <c r="J11" s="178">
        <v>7.0</v>
      </c>
      <c r="K11" s="106">
        <f t="shared" si="9"/>
        <v>1986</v>
      </c>
      <c r="L11" s="106">
        <f t="shared" si="3"/>
        <v>1986</v>
      </c>
      <c r="M11" s="106">
        <f t="shared" si="4"/>
        <v>1986</v>
      </c>
      <c r="N11" s="106">
        <f>IFERROR(__xludf.DUMMYFUNCTION("IFERROR(MEDIAN(FILTER($G$4:$G$66,$D$4:$D$66=$J11,ISNUMBER($G$4:$G$66))),""N/A"")"),1986.0)</f>
        <v>1986</v>
      </c>
      <c r="O11" s="106" t="str">
        <f>IFERROR(__xludf.DUMMYFUNCTION("IFERROR(MODE(FILTER($G$4:$G$66,$D$4:$D$66=$J11,ISNUMBER($G$4:$G$66))),""N/A"")"),"N/A")</f>
        <v>N/A</v>
      </c>
      <c r="P11" s="106">
        <f t="shared" ref="P11:AE11" si="15">COUNTIFS($H$4:$H$66,P$3,$D$4:$D$66,$J11)</f>
        <v>0</v>
      </c>
      <c r="Q11" s="106">
        <f t="shared" si="15"/>
        <v>0</v>
      </c>
      <c r="R11" s="106">
        <f t="shared" si="15"/>
        <v>0</v>
      </c>
      <c r="S11" s="106">
        <f t="shared" si="15"/>
        <v>0</v>
      </c>
      <c r="T11" s="106">
        <f t="shared" si="15"/>
        <v>0</v>
      </c>
      <c r="U11" s="106">
        <f t="shared" si="15"/>
        <v>0</v>
      </c>
      <c r="V11" s="106">
        <f t="shared" si="15"/>
        <v>0</v>
      </c>
      <c r="W11" s="106">
        <f t="shared" si="15"/>
        <v>0</v>
      </c>
      <c r="X11" s="106">
        <f t="shared" si="15"/>
        <v>0</v>
      </c>
      <c r="Y11" s="106">
        <f t="shared" si="15"/>
        <v>0</v>
      </c>
      <c r="Z11" s="106">
        <f t="shared" si="15"/>
        <v>0</v>
      </c>
      <c r="AA11" s="106">
        <f t="shared" si="15"/>
        <v>1</v>
      </c>
      <c r="AB11" s="106">
        <f t="shared" si="15"/>
        <v>0</v>
      </c>
      <c r="AC11" s="106">
        <f t="shared" si="15"/>
        <v>0</v>
      </c>
      <c r="AD11" s="106">
        <f t="shared" si="15"/>
        <v>0</v>
      </c>
      <c r="AE11" s="106">
        <f t="shared" si="15"/>
        <v>0</v>
      </c>
      <c r="AF11" s="179">
        <f t="array" ref="AF11:AU11">IFERROR(P11:AE11*TRANSPOSE('Queen MIDI'!$J$4:$J$19),"N/A")</f>
        <v>0</v>
      </c>
      <c r="AG11" s="179">
        <v>0.0</v>
      </c>
      <c r="AH11" s="179">
        <v>0.0</v>
      </c>
      <c r="AI11" s="179">
        <v>0.0</v>
      </c>
      <c r="AJ11" s="179">
        <v>0.0</v>
      </c>
      <c r="AK11" s="179">
        <v>0.0</v>
      </c>
      <c r="AL11" s="179">
        <v>0.0</v>
      </c>
      <c r="AM11" s="179">
        <v>0.0</v>
      </c>
      <c r="AN11" s="179" t="s">
        <v>357</v>
      </c>
      <c r="AO11" s="179">
        <v>0.0</v>
      </c>
      <c r="AP11" s="179">
        <v>0.0</v>
      </c>
      <c r="AQ11" s="179">
        <v>0.7875</v>
      </c>
      <c r="AR11" s="179">
        <v>0.0</v>
      </c>
      <c r="AS11" s="179">
        <v>0.0</v>
      </c>
      <c r="AT11" s="179">
        <v>0.0</v>
      </c>
      <c r="AU11" s="179">
        <v>0.0</v>
      </c>
      <c r="AV11" s="106" t="str">
        <f>IFERROR(__xludf.DUMMYFUNCTION("JOIN("", "",FILTER($P$3:$AE$3,$P11:$AE11=MAX($P11:$AE11)))"),"A Kind Of Magic")</f>
        <v>A Kind Of Magic</v>
      </c>
      <c r="AW11" s="106">
        <f t="shared" si="6"/>
        <v>1</v>
      </c>
      <c r="AX11" s="106">
        <f>IFERROR(__xludf.DUMMYFUNCTION("COUNTA(FILTER($P$3:$AE$3,$P11:$AE11=MAX($P11:$AE11)))"),1.0)</f>
        <v>1</v>
      </c>
      <c r="AY11" s="106" t="str">
        <f>IFERROR(__xludf.DUMMYFUNCTION("IFERROR(JOIN("", "",FILTER($AF$3:$AU$3,$AF11:$AU11=MAXIFS($AF11:$AU11,$AF$23:$AU$23,TRUE),$AF$23:$AU$23)),""N/A"")"),"A Kind Of Magic")</f>
        <v>A Kind Of Magic</v>
      </c>
      <c r="AZ11" s="171" t="str">
        <f>IFERROR(__xludf.DUMMYFUNCTION("IFERROR(JOIN("", "",FILTER($P11:$AE11,$AF11:$AU11=MAXIFS($AF11:$AU11,$AF$23:$AU$23,TRUE),$AF$23:$AU$23)),""N/A"")"),"1")</f>
        <v>1</v>
      </c>
      <c r="BA11" s="182">
        <f>MAXIFS(AF11:AU11,$AF$23:$AU$23,TRUE)/'Queen MIDI'!$J$20</f>
        <v>0.2</v>
      </c>
      <c r="BB11" s="183">
        <f>IFERROR(__xludf.DUMMYFUNCTION("COUNTA(IFERROR(FILTER($AF$3:$AU$3,$AF11:$AU11=MAXIFS($AF11:$AU11,$AF$23:$AU$23,TRUE),$AF$23:$AU$23),))"),1.0)</f>
        <v>1</v>
      </c>
      <c r="BC11" s="182">
        <f t="shared" si="7"/>
        <v>0.01587301587</v>
      </c>
      <c r="BD11" s="106">
        <f t="shared" si="8"/>
        <v>1</v>
      </c>
      <c r="BE11" s="1"/>
    </row>
    <row r="12">
      <c r="A12" s="1"/>
      <c r="C12" s="66" t="str">
        <f t="array" ref="C12">INDEX('Queen MIDI'!$C$4:$C$66,MATCH(F12,'Queen MIDI'!$D$4:$D$66,0))</f>
        <v>You're My Best Friend</v>
      </c>
      <c r="D12" s="117">
        <v>1.0</v>
      </c>
      <c r="E12" s="118" t="s">
        <v>369</v>
      </c>
      <c r="F12" s="66" t="str">
        <f t="shared" si="2"/>
        <v>You_re My Best Friend.mid</v>
      </c>
      <c r="G12" s="133">
        <f>HLOOKUP(H12,'Queen Discography'!$C$2:$Q$3,2,FALSE)</f>
        <v>1975</v>
      </c>
      <c r="H12" s="66" t="str">
        <f>IF(COUNTIF('Queen Discography'!$C$4:$C$22,C12)&gt;0,"Queen",
IF(COUNTIF('Queen Discography'!$D$4:$D$22,C12)&gt;0,"Queen II",
IF(COUNTIF('Queen Discography'!$E$4:$E$22,C12)&gt;0,"Sheer Heart Attack",
IF(COUNTIF('Queen Discography'!$F$4:$F$22,C12)&gt;0,"A Night At The Opera",
IF(COUNTIF('Queen Discography'!$G$4:$G$22,C12)&gt;0,"A Day At The Races",
IF(COUNTIF('Queen Discography'!$H$4:$H$22,C12)&gt;0,"News Of The World",
IF(COUNTIF('Queen Discography'!$I$4:$I$22,C12)&gt;0,"Jazz",
IF(COUNTIF('Queen Discography'!$J$4:$J$22,C12)&gt;0,"The Game",
IF(COUNTIF('Queen Discography'!$K$4:$K$22,C12)&gt;0,"Flash Gordon",
IF(COUNTIF('Queen Discography'!$L$4:$L$22,C12)&gt;0,"Hot Space",
IF(COUNTIF('Queen Discography'!$M$4:$M$22,C12)&gt;0,"The Works",
IF(COUNTIF('Queen Discography'!$N$4:$N$22,C12)&gt;0,"A Kind Of Magic",
IF(COUNTIF('Queen Discography'!$O$4:$O$22,C12)&gt;0,"The Miracle",
IF(COUNTIF('Queen Discography'!$P$4:$P$22,C12)&gt;0,"Innuendo",
IF(COUNTIF('Queen Discography'!$Q$4:$Q$22,C12)&gt;0,"Made In Heaven","NOT FOUND")))))))))))))))</f>
        <v>A Night At The Opera</v>
      </c>
      <c r="I12" s="1"/>
      <c r="J12" s="178">
        <v>8.0</v>
      </c>
      <c r="K12" s="106">
        <f t="shared" si="9"/>
        <v>1974</v>
      </c>
      <c r="L12" s="106">
        <f t="shared" si="3"/>
        <v>1974</v>
      </c>
      <c r="M12" s="106">
        <f t="shared" si="4"/>
        <v>1974</v>
      </c>
      <c r="N12" s="106">
        <f>IFERROR(__xludf.DUMMYFUNCTION("IFERROR(MEDIAN(FILTER($G$4:$G$66,$D$4:$D$66=$J12,ISNUMBER($G$4:$G$66))),""N/A"")"),1974.0)</f>
        <v>1974</v>
      </c>
      <c r="O12" s="106" t="str">
        <f>IFERROR(__xludf.DUMMYFUNCTION("IFERROR(MODE(FILTER($G$4:$G$66,$D$4:$D$66=$J12,ISNUMBER($G$4:$G$66))),""N/A"")"),"N/A")</f>
        <v>N/A</v>
      </c>
      <c r="P12" s="106">
        <f t="shared" ref="P12:AE12" si="16">COUNTIFS($H$4:$H$66,P$3,$D$4:$D$66,$J12)</f>
        <v>0</v>
      </c>
      <c r="Q12" s="106">
        <f t="shared" si="16"/>
        <v>1</v>
      </c>
      <c r="R12" s="106">
        <f t="shared" si="16"/>
        <v>0</v>
      </c>
      <c r="S12" s="106">
        <f t="shared" si="16"/>
        <v>0</v>
      </c>
      <c r="T12" s="106">
        <f t="shared" si="16"/>
        <v>0</v>
      </c>
      <c r="U12" s="106">
        <f t="shared" si="16"/>
        <v>0</v>
      </c>
      <c r="V12" s="106">
        <f t="shared" si="16"/>
        <v>0</v>
      </c>
      <c r="W12" s="106">
        <f t="shared" si="16"/>
        <v>0</v>
      </c>
      <c r="X12" s="106">
        <f t="shared" si="16"/>
        <v>0</v>
      </c>
      <c r="Y12" s="106">
        <f t="shared" si="16"/>
        <v>0</v>
      </c>
      <c r="Z12" s="106">
        <f t="shared" si="16"/>
        <v>0</v>
      </c>
      <c r="AA12" s="106">
        <f t="shared" si="16"/>
        <v>0</v>
      </c>
      <c r="AB12" s="106">
        <f t="shared" si="16"/>
        <v>0</v>
      </c>
      <c r="AC12" s="106">
        <f t="shared" si="16"/>
        <v>0</v>
      </c>
      <c r="AD12" s="106">
        <f t="shared" si="16"/>
        <v>0</v>
      </c>
      <c r="AE12" s="106">
        <f t="shared" si="16"/>
        <v>0</v>
      </c>
      <c r="AF12" s="179">
        <f t="array" ref="AF12:AU12">IFERROR(P12:AE12*TRANSPOSE('Queen MIDI'!$J$4:$J$19),"N/A")</f>
        <v>0</v>
      </c>
      <c r="AG12" s="179">
        <v>1.3125</v>
      </c>
      <c r="AH12" s="179">
        <v>0.0</v>
      </c>
      <c r="AI12" s="179">
        <v>0.0</v>
      </c>
      <c r="AJ12" s="179">
        <v>0.0</v>
      </c>
      <c r="AK12" s="179">
        <v>0.0</v>
      </c>
      <c r="AL12" s="179">
        <v>0.0</v>
      </c>
      <c r="AM12" s="179">
        <v>0.0</v>
      </c>
      <c r="AN12" s="179" t="s">
        <v>357</v>
      </c>
      <c r="AO12" s="179">
        <v>0.0</v>
      </c>
      <c r="AP12" s="179">
        <v>0.0</v>
      </c>
      <c r="AQ12" s="179">
        <v>0.0</v>
      </c>
      <c r="AR12" s="179">
        <v>0.0</v>
      </c>
      <c r="AS12" s="179">
        <v>0.0</v>
      </c>
      <c r="AT12" s="179">
        <v>0.0</v>
      </c>
      <c r="AU12" s="179">
        <v>0.0</v>
      </c>
      <c r="AV12" s="106" t="str">
        <f>IFERROR(__xludf.DUMMYFUNCTION("JOIN("", "",FILTER($P$3:$AE$3,$P12:$AE12=MAX($P12:$AE12)))"),"Queen II")</f>
        <v>Queen II</v>
      </c>
      <c r="AW12" s="106">
        <f t="shared" si="6"/>
        <v>1</v>
      </c>
      <c r="AX12" s="106">
        <f>IFERROR(__xludf.DUMMYFUNCTION("COUNTA(FILTER($P$3:$AE$3,$P12:$AE12=MAX($P12:$AE12)))"),1.0)</f>
        <v>1</v>
      </c>
      <c r="AY12" s="106" t="str">
        <f>IFERROR(__xludf.DUMMYFUNCTION("IFERROR(JOIN("", "",FILTER($AF$3:$AU$3,$AF12:$AU12=MAXIFS($AF12:$AU12,$AF$23:$AU$23,TRUE),$AF$23:$AU$23)),""N/A"")"),"Queen II")</f>
        <v>Queen II</v>
      </c>
      <c r="AZ12" s="171" t="str">
        <f>IFERROR(__xludf.DUMMYFUNCTION("IFERROR(JOIN("", "",FILTER($P12:$AE12,$AF12:$AU12=MAXIFS($AF12:$AU12,$AF$23:$AU$23,TRUE),$AF$23:$AU$23)),""N/A"")"),"1")</f>
        <v>1</v>
      </c>
      <c r="BA12" s="182">
        <f>MAXIFS(AF12:AU12,$AF$23:$AU$23,TRUE)/'Queen MIDI'!$J$20</f>
        <v>0.3333333333</v>
      </c>
      <c r="BB12" s="183">
        <f>IFERROR(__xludf.DUMMYFUNCTION("COUNTA(IFERROR(FILTER($AF$3:$AU$3,$AF12:$AU12=MAXIFS($AF12:$AU12,$AF$23:$AU$23,TRUE),$AF$23:$AU$23),))"),1.0)</f>
        <v>1</v>
      </c>
      <c r="BC12" s="182">
        <f t="shared" si="7"/>
        <v>0.01587301587</v>
      </c>
      <c r="BD12" s="106">
        <f t="shared" si="8"/>
        <v>1</v>
      </c>
      <c r="BE12" s="1"/>
    </row>
    <row r="13">
      <c r="A13" s="1"/>
      <c r="C13" s="66" t="str">
        <f t="array" ref="C13">INDEX('Queen MIDI'!$C$4:$C$66,MATCH(F13,'Queen MIDI'!$D$4:$D$66,0))</f>
        <v>39</v>
      </c>
      <c r="D13" s="117">
        <v>1.0</v>
      </c>
      <c r="E13" s="118" t="s">
        <v>365</v>
      </c>
      <c r="F13" s="66" t="str">
        <f t="shared" si="2"/>
        <v>_39.mid</v>
      </c>
      <c r="G13" s="122">
        <f>HLOOKUP(H13,'Queen Discography'!$C$2:$Q$3,2,FALSE)</f>
        <v>1975</v>
      </c>
      <c r="H13" s="66" t="str">
        <f>IF(COUNTIF('Queen Discography'!$C$4:$C$22,C13)&gt;0,"Queen",
IF(COUNTIF('Queen Discography'!$D$4:$D$22,C13)&gt;0,"Queen II",
IF(COUNTIF('Queen Discography'!$E$4:$E$22,C13)&gt;0,"Sheer Heart Attack",
IF(COUNTIF('Queen Discography'!$F$4:$F$22,C13)&gt;0,"A Night At The Opera",
IF(COUNTIF('Queen Discography'!$G$4:$G$22,C13)&gt;0,"A Day At The Races",
IF(COUNTIF('Queen Discography'!$H$4:$H$22,C13)&gt;0,"News Of The World",
IF(COUNTIF('Queen Discography'!$I$4:$I$22,C13)&gt;0,"Jazz",
IF(COUNTIF('Queen Discography'!$J$4:$J$22,C13)&gt;0,"The Game",
IF(COUNTIF('Queen Discography'!$K$4:$K$22,C13)&gt;0,"Flash Gordon",
IF(COUNTIF('Queen Discography'!$L$4:$L$22,C13)&gt;0,"Hot Space",
IF(COUNTIF('Queen Discography'!$M$4:$M$22,C13)&gt;0,"The Works",
IF(COUNTIF('Queen Discography'!$N$4:$N$22,C13)&gt;0,"A Kind Of Magic",
IF(COUNTIF('Queen Discography'!$O$4:$O$22,C13)&gt;0,"The Miracle",
IF(COUNTIF('Queen Discography'!$P$4:$P$22,C13)&gt;0,"Innuendo",
IF(COUNTIF('Queen Discography'!$Q$4:$Q$22,C13)&gt;0,"Made In Heaven","NOT FOUND")))))))))))))))</f>
        <v>A Night At The Opera</v>
      </c>
      <c r="I13" s="1"/>
      <c r="J13" s="178">
        <v>9.0</v>
      </c>
      <c r="K13" s="106" t="str">
        <f t="shared" si="9"/>
        <v>N/A</v>
      </c>
      <c r="L13" s="106" t="str">
        <f t="shared" si="3"/>
        <v>N/A</v>
      </c>
      <c r="M13" s="106" t="str">
        <f t="shared" si="4"/>
        <v>N/A</v>
      </c>
      <c r="N13" s="106" t="str">
        <f>IFERROR(__xludf.DUMMYFUNCTION("IFERROR(MEDIAN(FILTER($G$4:$G$66,$D$4:$D$66=$J13,ISNUMBER($G$4:$G$66))),""N/A"")"),"N/A")</f>
        <v>N/A</v>
      </c>
      <c r="O13" s="106" t="str">
        <f>IFERROR(__xludf.DUMMYFUNCTION("IFERROR(MODE(FILTER($G$4:$G$66,$D$4:$D$66=$J13,ISNUMBER($G$4:$G$66))),""N/A"")"),"N/A")</f>
        <v>N/A</v>
      </c>
      <c r="P13" s="106">
        <f t="shared" ref="P13:AE13" si="17">COUNTIFS($H$4:$H$66,P$3,$D$4:$D$66,$J13)</f>
        <v>0</v>
      </c>
      <c r="Q13" s="106">
        <f t="shared" si="17"/>
        <v>0</v>
      </c>
      <c r="R13" s="106">
        <f t="shared" si="17"/>
        <v>0</v>
      </c>
      <c r="S13" s="106">
        <f t="shared" si="17"/>
        <v>0</v>
      </c>
      <c r="T13" s="106">
        <f t="shared" si="17"/>
        <v>0</v>
      </c>
      <c r="U13" s="106">
        <f t="shared" si="17"/>
        <v>0</v>
      </c>
      <c r="V13" s="106">
        <f t="shared" si="17"/>
        <v>0</v>
      </c>
      <c r="W13" s="106">
        <f t="shared" si="17"/>
        <v>0</v>
      </c>
      <c r="X13" s="106">
        <f t="shared" si="17"/>
        <v>0</v>
      </c>
      <c r="Y13" s="106">
        <f t="shared" si="17"/>
        <v>0</v>
      </c>
      <c r="Z13" s="106">
        <f t="shared" si="17"/>
        <v>0</v>
      </c>
      <c r="AA13" s="106">
        <f t="shared" si="17"/>
        <v>0</v>
      </c>
      <c r="AB13" s="106">
        <f t="shared" si="17"/>
        <v>0</v>
      </c>
      <c r="AC13" s="106">
        <f t="shared" si="17"/>
        <v>0</v>
      </c>
      <c r="AD13" s="106">
        <f t="shared" si="17"/>
        <v>0</v>
      </c>
      <c r="AE13" s="106">
        <f t="shared" si="17"/>
        <v>1</v>
      </c>
      <c r="AF13" s="179">
        <f t="array" ref="AF13:AU13">IFERROR(P13:AE13*TRANSPOSE('Queen MIDI'!$J$4:$J$19),"N/A")</f>
        <v>0</v>
      </c>
      <c r="AG13" s="179">
        <v>0.0</v>
      </c>
      <c r="AH13" s="179">
        <v>0.0</v>
      </c>
      <c r="AI13" s="179">
        <v>0.0</v>
      </c>
      <c r="AJ13" s="179">
        <v>0.0</v>
      </c>
      <c r="AK13" s="179">
        <v>0.0</v>
      </c>
      <c r="AL13" s="179">
        <v>0.0</v>
      </c>
      <c r="AM13" s="179">
        <v>0.0</v>
      </c>
      <c r="AN13" s="179" t="s">
        <v>357</v>
      </c>
      <c r="AO13" s="179">
        <v>0.0</v>
      </c>
      <c r="AP13" s="179">
        <v>0.0</v>
      </c>
      <c r="AQ13" s="179">
        <v>0.0</v>
      </c>
      <c r="AR13" s="179">
        <v>0.0</v>
      </c>
      <c r="AS13" s="179">
        <v>0.0</v>
      </c>
      <c r="AT13" s="179">
        <v>0.0</v>
      </c>
      <c r="AU13" s="179">
        <v>1.96875</v>
      </c>
      <c r="AV13" s="106" t="str">
        <f>IFERROR(__xludf.DUMMYFUNCTION("JOIN("", "",FILTER($P$3:$AE$3,$P13:$AE13=MAX($P13:$AE13)))"),"NOT FOUND")</f>
        <v>NOT FOUND</v>
      </c>
      <c r="AW13" s="106">
        <f t="shared" si="6"/>
        <v>1</v>
      </c>
      <c r="AX13" s="106">
        <f>IFERROR(__xludf.DUMMYFUNCTION("COUNTA(FILTER($P$3:$AE$3,$P13:$AE13=MAX($P13:$AE13)))"),1.0)</f>
        <v>1</v>
      </c>
      <c r="AY13" s="106" t="str">
        <f>IFERROR(__xludf.DUMMYFUNCTION("IFERROR(JOIN("", "",FILTER($AF$3:$AU$3,$AF13:$AU13=MAXIFS($AF13:$AU13,$AF$23:$AU$23,TRUE),$AF$23:$AU$23)),""N/A"")"),"NOT FOUND")</f>
        <v>NOT FOUND</v>
      </c>
      <c r="AZ13" s="171" t="str">
        <f>IFERROR(__xludf.DUMMYFUNCTION("IFERROR(JOIN("", "",FILTER($P13:$AE13,$AF13:$AU13=MAXIFS($AF13:$AU13,$AF$23:$AU$23,TRUE),$AF$23:$AU$23)),""N/A"")"),"1")</f>
        <v>1</v>
      </c>
      <c r="BA13" s="182">
        <f>MAXIFS(AF13:AU13,$AF$23:$AU$23,TRUE)/'Queen MIDI'!$J$20</f>
        <v>0.5</v>
      </c>
      <c r="BB13" s="183">
        <f>IFERROR(__xludf.DUMMYFUNCTION("COUNTA(IFERROR(FILTER($AF$3:$AU$3,$AF13:$AU13=MAXIFS($AF13:$AU13,$AF$23:$AU$23,TRUE),$AF$23:$AU$23),))"),1.0)</f>
        <v>1</v>
      </c>
      <c r="BC13" s="182">
        <f t="shared" si="7"/>
        <v>0.01587301587</v>
      </c>
      <c r="BD13" s="106">
        <f t="shared" si="8"/>
        <v>1</v>
      </c>
      <c r="BE13" s="1"/>
    </row>
    <row r="14">
      <c r="A14" s="1"/>
      <c r="C14" s="66" t="str">
        <f t="array" ref="C14">INDEX('Queen MIDI'!$C$4:$C$66,MATCH(F14,'Queen MIDI'!$D$4:$D$66,0))</f>
        <v>Good Old-Fashioned Lover Boy</v>
      </c>
      <c r="D14" s="117">
        <v>1.0</v>
      </c>
      <c r="E14" s="118" t="s">
        <v>370</v>
      </c>
      <c r="F14" s="66" t="str">
        <f t="shared" si="2"/>
        <v>Good Old Fashioned Lover Boy.2.mid</v>
      </c>
      <c r="G14" s="130">
        <f>HLOOKUP(H14,'Queen Discography'!$C$2:$Q$3,2,FALSE)</f>
        <v>1976</v>
      </c>
      <c r="H14" s="66" t="str">
        <f>IF(COUNTIF('Queen Discography'!$C$4:$C$22,C14)&gt;0,"Queen",
IF(COUNTIF('Queen Discography'!$D$4:$D$22,C14)&gt;0,"Queen II",
IF(COUNTIF('Queen Discography'!$E$4:$E$22,C14)&gt;0,"Sheer Heart Attack",
IF(COUNTIF('Queen Discography'!$F$4:$F$22,C14)&gt;0,"A Night At The Opera",
IF(COUNTIF('Queen Discography'!$G$4:$G$22,C14)&gt;0,"A Day At The Races",
IF(COUNTIF('Queen Discography'!$H$4:$H$22,C14)&gt;0,"News Of The World",
IF(COUNTIF('Queen Discography'!$I$4:$I$22,C14)&gt;0,"Jazz",
IF(COUNTIF('Queen Discography'!$J$4:$J$22,C14)&gt;0,"The Game",
IF(COUNTIF('Queen Discography'!$K$4:$K$22,C14)&gt;0,"Flash Gordon",
IF(COUNTIF('Queen Discography'!$L$4:$L$22,C14)&gt;0,"Hot Space",
IF(COUNTIF('Queen Discography'!$M$4:$M$22,C14)&gt;0,"The Works",
IF(COUNTIF('Queen Discography'!$N$4:$N$22,C14)&gt;0,"A Kind Of Magic",
IF(COUNTIF('Queen Discography'!$O$4:$O$22,C14)&gt;0,"The Miracle",
IF(COUNTIF('Queen Discography'!$P$4:$P$22,C14)&gt;0,"Innuendo",
IF(COUNTIF('Queen Discography'!$Q$4:$Q$22,C14)&gt;0,"Made In Heaven","NOT FOUND")))))))))))))))</f>
        <v>A Day At The Races</v>
      </c>
      <c r="I14" s="1"/>
      <c r="J14" s="178">
        <v>10.0</v>
      </c>
      <c r="K14" s="106">
        <f t="shared" si="9"/>
        <v>1977</v>
      </c>
      <c r="L14" s="106">
        <f t="shared" si="3"/>
        <v>1977</v>
      </c>
      <c r="M14" s="106">
        <f t="shared" si="4"/>
        <v>1977</v>
      </c>
      <c r="N14" s="106">
        <f>IFERROR(__xludf.DUMMYFUNCTION("IFERROR(MEDIAN(FILTER($G$4:$G$66,$D$4:$D$66=$J14,ISNUMBER($G$4:$G$66))),""N/A"")"),1977.0)</f>
        <v>1977</v>
      </c>
      <c r="O14" s="106" t="str">
        <f>IFERROR(__xludf.DUMMYFUNCTION("IFERROR(MODE(FILTER($G$4:$G$66,$D$4:$D$66=$J14,ISNUMBER($G$4:$G$66))),""N/A"")"),"N/A")</f>
        <v>N/A</v>
      </c>
      <c r="P14" s="106">
        <f t="shared" ref="P14:AE14" si="18">COUNTIFS($H$4:$H$66,P$3,$D$4:$D$66,$J14)</f>
        <v>0</v>
      </c>
      <c r="Q14" s="106">
        <f t="shared" si="18"/>
        <v>0</v>
      </c>
      <c r="R14" s="106">
        <f t="shared" si="18"/>
        <v>0</v>
      </c>
      <c r="S14" s="106">
        <f t="shared" si="18"/>
        <v>0</v>
      </c>
      <c r="T14" s="106">
        <f t="shared" si="18"/>
        <v>0</v>
      </c>
      <c r="U14" s="106">
        <f t="shared" si="18"/>
        <v>1</v>
      </c>
      <c r="V14" s="106">
        <f t="shared" si="18"/>
        <v>0</v>
      </c>
      <c r="W14" s="106">
        <f t="shared" si="18"/>
        <v>0</v>
      </c>
      <c r="X14" s="106">
        <f t="shared" si="18"/>
        <v>0</v>
      </c>
      <c r="Y14" s="106">
        <f t="shared" si="18"/>
        <v>0</v>
      </c>
      <c r="Z14" s="106">
        <f t="shared" si="18"/>
        <v>0</v>
      </c>
      <c r="AA14" s="106">
        <f t="shared" si="18"/>
        <v>0</v>
      </c>
      <c r="AB14" s="106">
        <f t="shared" si="18"/>
        <v>0</v>
      </c>
      <c r="AC14" s="106">
        <f t="shared" si="18"/>
        <v>0</v>
      </c>
      <c r="AD14" s="106">
        <f t="shared" si="18"/>
        <v>0</v>
      </c>
      <c r="AE14" s="106">
        <f t="shared" si="18"/>
        <v>0</v>
      </c>
      <c r="AF14" s="179">
        <f t="array" ref="AF14:AU14">IFERROR(P14:AE14*TRANSPOSE('Queen MIDI'!$J$4:$J$19),"N/A")</f>
        <v>0</v>
      </c>
      <c r="AG14" s="179">
        <v>0.0</v>
      </c>
      <c r="AH14" s="179">
        <v>0.0</v>
      </c>
      <c r="AI14" s="179">
        <v>0.0</v>
      </c>
      <c r="AJ14" s="179">
        <v>0.0</v>
      </c>
      <c r="AK14" s="179">
        <v>0.984375</v>
      </c>
      <c r="AL14" s="179">
        <v>0.0</v>
      </c>
      <c r="AM14" s="179">
        <v>0.0</v>
      </c>
      <c r="AN14" s="179" t="s">
        <v>357</v>
      </c>
      <c r="AO14" s="179">
        <v>0.0</v>
      </c>
      <c r="AP14" s="179">
        <v>0.0</v>
      </c>
      <c r="AQ14" s="179">
        <v>0.0</v>
      </c>
      <c r="AR14" s="179">
        <v>0.0</v>
      </c>
      <c r="AS14" s="179">
        <v>0.0</v>
      </c>
      <c r="AT14" s="179">
        <v>0.0</v>
      </c>
      <c r="AU14" s="179">
        <v>0.0</v>
      </c>
      <c r="AV14" s="106" t="str">
        <f>IFERROR(__xludf.DUMMYFUNCTION("JOIN("", "",FILTER($P$3:$AE$3,$P14:$AE14=MAX($P14:$AE14)))"),"News Of The World")</f>
        <v>News Of The World</v>
      </c>
      <c r="AW14" s="106">
        <f t="shared" si="6"/>
        <v>1</v>
      </c>
      <c r="AX14" s="106">
        <f>IFERROR(__xludf.DUMMYFUNCTION("COUNTA(FILTER($P$3:$AE$3,$P14:$AE14=MAX($P14:$AE14)))"),1.0)</f>
        <v>1</v>
      </c>
      <c r="AY14" s="106" t="str">
        <f>IFERROR(__xludf.DUMMYFUNCTION("IFERROR(JOIN("", "",FILTER($AF$3:$AU$3,$AF14:$AU14=MAXIFS($AF14:$AU14,$AF$23:$AU$23,TRUE),$AF$23:$AU$23)),""N/A"")"),"News Of The World")</f>
        <v>News Of The World</v>
      </c>
      <c r="AZ14" s="171" t="str">
        <f>IFERROR(__xludf.DUMMYFUNCTION("IFERROR(JOIN("", "",FILTER($P14:$AE14,$AF14:$AU14=MAXIFS($AF14:$AU14,$AF$23:$AU$23,TRUE),$AF$23:$AU$23)),""N/A"")"),"1")</f>
        <v>1</v>
      </c>
      <c r="BA14" s="182">
        <f>MAXIFS(AF14:AU14,$AF$23:$AU$23,TRUE)/'Queen MIDI'!$J$20</f>
        <v>0.25</v>
      </c>
      <c r="BB14" s="183">
        <f>IFERROR(__xludf.DUMMYFUNCTION("COUNTA(IFERROR(FILTER($AF$3:$AU$3,$AF14:$AU14=MAXIFS($AF14:$AU14,$AF$23:$AU$23,TRUE),$AF$23:$AU$23),))"),1.0)</f>
        <v>1</v>
      </c>
      <c r="BC14" s="182">
        <f t="shared" si="7"/>
        <v>0.01587301587</v>
      </c>
      <c r="BD14" s="106">
        <f t="shared" si="8"/>
        <v>1</v>
      </c>
      <c r="BE14" s="1"/>
    </row>
    <row r="15">
      <c r="A15" s="1"/>
      <c r="C15" s="66" t="str">
        <f t="array" ref="C15">INDEX('Queen MIDI'!$C$4:$C$66,MATCH(F15,'Queen MIDI'!$D$4:$D$66,0))</f>
        <v>Spread Your Wings</v>
      </c>
      <c r="D15" s="117">
        <v>1.0</v>
      </c>
      <c r="E15" s="118" t="s">
        <v>374</v>
      </c>
      <c r="F15" s="66" t="str">
        <f t="shared" si="2"/>
        <v>Spread Your Wings.mid</v>
      </c>
      <c r="G15" s="120">
        <f>HLOOKUP(H15,'Queen Discography'!$C$2:$Q$3,2,FALSE)</f>
        <v>1977</v>
      </c>
      <c r="H15" s="66" t="str">
        <f>IF(COUNTIF('Queen Discography'!$C$4:$C$22,C15)&gt;0,"Queen",
IF(COUNTIF('Queen Discography'!$D$4:$D$22,C15)&gt;0,"Queen II",
IF(COUNTIF('Queen Discography'!$E$4:$E$22,C15)&gt;0,"Sheer Heart Attack",
IF(COUNTIF('Queen Discography'!$F$4:$F$22,C15)&gt;0,"A Night At The Opera",
IF(COUNTIF('Queen Discography'!$G$4:$G$22,C15)&gt;0,"A Day At The Races",
IF(COUNTIF('Queen Discography'!$H$4:$H$22,C15)&gt;0,"News Of The World",
IF(COUNTIF('Queen Discography'!$I$4:$I$22,C15)&gt;0,"Jazz",
IF(COUNTIF('Queen Discography'!$J$4:$J$22,C15)&gt;0,"The Game",
IF(COUNTIF('Queen Discography'!$K$4:$K$22,C15)&gt;0,"Flash Gordon",
IF(COUNTIF('Queen Discography'!$L$4:$L$22,C15)&gt;0,"Hot Space",
IF(COUNTIF('Queen Discography'!$M$4:$M$22,C15)&gt;0,"The Works",
IF(COUNTIF('Queen Discography'!$N$4:$N$22,C15)&gt;0,"A Kind Of Magic",
IF(COUNTIF('Queen Discography'!$O$4:$O$22,C15)&gt;0,"The Miracle",
IF(COUNTIF('Queen Discography'!$P$4:$P$22,C15)&gt;0,"Innuendo",
IF(COUNTIF('Queen Discography'!$Q$4:$Q$22,C15)&gt;0,"Made In Heaven","NOT FOUND")))))))))))))))</f>
        <v>News Of The World</v>
      </c>
      <c r="I15" s="1"/>
      <c r="J15" s="183">
        <v>11.0</v>
      </c>
      <c r="K15" s="106" t="str">
        <f t="shared" si="9"/>
        <v>N/A</v>
      </c>
      <c r="L15" s="106" t="str">
        <f t="shared" si="3"/>
        <v>N/A</v>
      </c>
      <c r="M15" s="106" t="str">
        <f t="shared" si="4"/>
        <v>N/A</v>
      </c>
      <c r="N15" s="106" t="str">
        <f>IFERROR(__xludf.DUMMYFUNCTION("IFERROR(MEDIAN(FILTER($G$4:$G$66,$D$4:$D$66=$J15,ISNUMBER($G$4:$G$66))),""N/A"")"),"N/A")</f>
        <v>N/A</v>
      </c>
      <c r="O15" s="106" t="str">
        <f>IFERROR(__xludf.DUMMYFUNCTION("IFERROR(MODE(FILTER($G$4:$G$66,$D$4:$D$66=$J15,ISNUMBER($G$4:$G$66))),""N/A"")"),"N/A")</f>
        <v>N/A</v>
      </c>
      <c r="P15" s="106">
        <f t="shared" ref="P15:AE15" si="19">COUNTIFS($H$4:$H$66,P$3,$D$4:$D$66,$J15)</f>
        <v>0</v>
      </c>
      <c r="Q15" s="106">
        <f t="shared" si="19"/>
        <v>0</v>
      </c>
      <c r="R15" s="106">
        <f t="shared" si="19"/>
        <v>0</v>
      </c>
      <c r="S15" s="106">
        <f t="shared" si="19"/>
        <v>0</v>
      </c>
      <c r="T15" s="106">
        <f t="shared" si="19"/>
        <v>0</v>
      </c>
      <c r="U15" s="106">
        <f t="shared" si="19"/>
        <v>0</v>
      </c>
      <c r="V15" s="106">
        <f t="shared" si="19"/>
        <v>0</v>
      </c>
      <c r="W15" s="106">
        <f t="shared" si="19"/>
        <v>0</v>
      </c>
      <c r="X15" s="106">
        <f t="shared" si="19"/>
        <v>0</v>
      </c>
      <c r="Y15" s="106">
        <f t="shared" si="19"/>
        <v>0</v>
      </c>
      <c r="Z15" s="106">
        <f t="shared" si="19"/>
        <v>0</v>
      </c>
      <c r="AA15" s="106">
        <f t="shared" si="19"/>
        <v>0</v>
      </c>
      <c r="AB15" s="106">
        <f t="shared" si="19"/>
        <v>0</v>
      </c>
      <c r="AC15" s="106">
        <f t="shared" si="19"/>
        <v>0</v>
      </c>
      <c r="AD15" s="106">
        <f t="shared" si="19"/>
        <v>0</v>
      </c>
      <c r="AE15" s="106">
        <f t="shared" si="19"/>
        <v>0</v>
      </c>
      <c r="AF15" s="179">
        <f t="array" ref="AF15:AU15">IFERROR(P15:AE15*TRANSPOSE('Queen MIDI'!$J$4:$J$19),"N/A")</f>
        <v>0</v>
      </c>
      <c r="AG15" s="179">
        <v>0.0</v>
      </c>
      <c r="AH15" s="179">
        <v>0.0</v>
      </c>
      <c r="AI15" s="179">
        <v>0.0</v>
      </c>
      <c r="AJ15" s="179">
        <v>0.0</v>
      </c>
      <c r="AK15" s="179">
        <v>0.0</v>
      </c>
      <c r="AL15" s="179">
        <v>0.0</v>
      </c>
      <c r="AM15" s="179">
        <v>0.0</v>
      </c>
      <c r="AN15" s="179" t="s">
        <v>357</v>
      </c>
      <c r="AO15" s="179">
        <v>0.0</v>
      </c>
      <c r="AP15" s="179">
        <v>0.0</v>
      </c>
      <c r="AQ15" s="179">
        <v>0.0</v>
      </c>
      <c r="AR15" s="179">
        <v>0.0</v>
      </c>
      <c r="AS15" s="179">
        <v>0.0</v>
      </c>
      <c r="AT15" s="179">
        <v>0.0</v>
      </c>
      <c r="AU15" s="179">
        <v>0.0</v>
      </c>
      <c r="AV15" s="106" t="str">
        <f>IFERROR(__xludf.DUMMYFUNCTION("JOIN("", "",FILTER($P$3:$AE$3,$P15:$AE15=MAX($P15:$AE15)))"),"Queen,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5" s="106">
        <f t="shared" si="6"/>
        <v>0</v>
      </c>
      <c r="AX15" s="106">
        <f>IFERROR(__xludf.DUMMYFUNCTION("COUNTA(FILTER($P$3:$AE$3,$P15:$AE15=MAX($P15:$AE15)))"),16.0)</f>
        <v>16</v>
      </c>
      <c r="AY15" s="106" t="str">
        <f>IFERROR(__xludf.DUMMYFUNCTION("IFERROR(JOIN("", "",FILTER($AF$3:$AU$3,$AF15:$AU15=MAXIFS($AF15:$AU15,$AF$23:$AU$23,TRUE),$AF$23:$AU$23)),""N/A"")"),"Queen,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5" s="171" t="str">
        <f>IFERROR(__xludf.DUMMYFUNCTION("IFERROR(JOIN("", "",FILTER($P15:$AE15,$AF15:$AU15=MAXIFS($AF15:$AU15,$AF$23:$AU$23,TRUE),$AF$23:$AU$23)),""N/A"")"),"0, 0, 0, 0, 0, 0, 0, 0, 0, 0, 0, 0, 0, 0")</f>
        <v>0, 0, 0, 0, 0, 0, 0, 0, 0, 0, 0, 0, 0, 0</v>
      </c>
      <c r="BA15" s="182">
        <f>MAXIFS(AF15:AU15,$AF$23:$AU$23,TRUE)/'Queen MIDI'!$J$20</f>
        <v>0</v>
      </c>
      <c r="BB15" s="183">
        <f>IFERROR(__xludf.DUMMYFUNCTION("COUNTA(IFERROR(FILTER($AF$3:$AU$3,$AF15:$AU15=MAXIFS($AF15:$AU15,$AF$23:$AU$23,TRUE),$AF$23:$AU$23),))"),14.0)</f>
        <v>14</v>
      </c>
      <c r="BC15" s="182">
        <f t="shared" si="7"/>
        <v>0</v>
      </c>
      <c r="BD15" s="106">
        <f t="shared" si="8"/>
        <v>0</v>
      </c>
      <c r="BE15" s="1"/>
    </row>
    <row r="16">
      <c r="A16" s="1"/>
      <c r="C16" s="66" t="str">
        <f t="array" ref="C16">INDEX('Queen MIDI'!$C$4:$C$66,MATCH(F16,'Queen MIDI'!$D$4:$D$66,0))</f>
        <v>We Are The Champions</v>
      </c>
      <c r="D16" s="117">
        <v>1.0</v>
      </c>
      <c r="E16" s="118" t="s">
        <v>375</v>
      </c>
      <c r="F16" s="66" t="str">
        <f t="shared" si="2"/>
        <v>We Are The Champions.1.mid</v>
      </c>
      <c r="G16" s="124">
        <f>HLOOKUP(H16,'Queen Discography'!$C$2:$Q$3,2,FALSE)</f>
        <v>1977</v>
      </c>
      <c r="H16" s="66" t="str">
        <f>IF(COUNTIF('Queen Discography'!$C$4:$C$22,C16)&gt;0,"Queen",
IF(COUNTIF('Queen Discography'!$D$4:$D$22,C16)&gt;0,"Queen II",
IF(COUNTIF('Queen Discography'!$E$4:$E$22,C16)&gt;0,"Sheer Heart Attack",
IF(COUNTIF('Queen Discography'!$F$4:$F$22,C16)&gt;0,"A Night At The Opera",
IF(COUNTIF('Queen Discography'!$G$4:$G$22,C16)&gt;0,"A Day At The Races",
IF(COUNTIF('Queen Discography'!$H$4:$H$22,C16)&gt;0,"News Of The World",
IF(COUNTIF('Queen Discography'!$I$4:$I$22,C16)&gt;0,"Jazz",
IF(COUNTIF('Queen Discography'!$J$4:$J$22,C16)&gt;0,"The Game",
IF(COUNTIF('Queen Discography'!$K$4:$K$22,C16)&gt;0,"Flash Gordon",
IF(COUNTIF('Queen Discography'!$L$4:$L$22,C16)&gt;0,"Hot Space",
IF(COUNTIF('Queen Discography'!$M$4:$M$22,C16)&gt;0,"The Works",
IF(COUNTIF('Queen Discography'!$N$4:$N$22,C16)&gt;0,"A Kind Of Magic",
IF(COUNTIF('Queen Discography'!$O$4:$O$22,C16)&gt;0,"The Miracle",
IF(COUNTIF('Queen Discography'!$P$4:$P$22,C16)&gt;0,"Innuendo",
IF(COUNTIF('Queen Discography'!$Q$4:$Q$22,C16)&gt;0,"Made In Heaven","NOT FOUND")))))))))))))))</f>
        <v>News Of The World</v>
      </c>
      <c r="I16" s="1"/>
      <c r="J16" s="183">
        <v>12.0</v>
      </c>
      <c r="K16" s="106" t="str">
        <f t="shared" si="9"/>
        <v>N/A</v>
      </c>
      <c r="L16" s="106" t="str">
        <f t="shared" si="3"/>
        <v>N/A</v>
      </c>
      <c r="M16" s="106" t="str">
        <f t="shared" si="4"/>
        <v>N/A</v>
      </c>
      <c r="N16" s="106" t="str">
        <f>IFERROR(__xludf.DUMMYFUNCTION("IFERROR(MEDIAN(FILTER($G$4:$G$66,$D$4:$D$66=$J16,ISNUMBER($G$4:$G$66))),""N/A"")"),"N/A")</f>
        <v>N/A</v>
      </c>
      <c r="O16" s="106" t="str">
        <f>IFERROR(__xludf.DUMMYFUNCTION("IFERROR(MODE(FILTER($G$4:$G$66,$D$4:$D$66=$J16,ISNUMBER($G$4:$G$66))),""N/A"")"),"N/A")</f>
        <v>N/A</v>
      </c>
      <c r="P16" s="106">
        <f t="shared" ref="P16:AE16" si="20">COUNTIFS($H$4:$H$66,P$3,$D$4:$D$66,$J16)</f>
        <v>0</v>
      </c>
      <c r="Q16" s="106">
        <f t="shared" si="20"/>
        <v>0</v>
      </c>
      <c r="R16" s="106">
        <f t="shared" si="20"/>
        <v>0</v>
      </c>
      <c r="S16" s="106">
        <f t="shared" si="20"/>
        <v>0</v>
      </c>
      <c r="T16" s="106">
        <f t="shared" si="20"/>
        <v>0</v>
      </c>
      <c r="U16" s="106">
        <f t="shared" si="20"/>
        <v>0</v>
      </c>
      <c r="V16" s="106">
        <f t="shared" si="20"/>
        <v>0</v>
      </c>
      <c r="W16" s="106">
        <f t="shared" si="20"/>
        <v>0</v>
      </c>
      <c r="X16" s="106">
        <f t="shared" si="20"/>
        <v>0</v>
      </c>
      <c r="Y16" s="106">
        <f t="shared" si="20"/>
        <v>0</v>
      </c>
      <c r="Z16" s="106">
        <f t="shared" si="20"/>
        <v>0</v>
      </c>
      <c r="AA16" s="106">
        <f t="shared" si="20"/>
        <v>0</v>
      </c>
      <c r="AB16" s="106">
        <f t="shared" si="20"/>
        <v>0</v>
      </c>
      <c r="AC16" s="106">
        <f t="shared" si="20"/>
        <v>0</v>
      </c>
      <c r="AD16" s="106">
        <f t="shared" si="20"/>
        <v>0</v>
      </c>
      <c r="AE16" s="106">
        <f t="shared" si="20"/>
        <v>0</v>
      </c>
      <c r="AF16" s="179">
        <f t="array" ref="AF16:AU16">IFERROR(P16:AE16*TRANSPOSE('Queen MIDI'!$J$4:$J$19),"N/A")</f>
        <v>0</v>
      </c>
      <c r="AG16" s="179">
        <v>0.0</v>
      </c>
      <c r="AH16" s="179">
        <v>0.0</v>
      </c>
      <c r="AI16" s="179">
        <v>0.0</v>
      </c>
      <c r="AJ16" s="179">
        <v>0.0</v>
      </c>
      <c r="AK16" s="179">
        <v>0.0</v>
      </c>
      <c r="AL16" s="179">
        <v>0.0</v>
      </c>
      <c r="AM16" s="179">
        <v>0.0</v>
      </c>
      <c r="AN16" s="179" t="s">
        <v>357</v>
      </c>
      <c r="AO16" s="179">
        <v>0.0</v>
      </c>
      <c r="AP16" s="179">
        <v>0.0</v>
      </c>
      <c r="AQ16" s="179">
        <v>0.0</v>
      </c>
      <c r="AR16" s="179">
        <v>0.0</v>
      </c>
      <c r="AS16" s="179">
        <v>0.0</v>
      </c>
      <c r="AT16" s="179">
        <v>0.0</v>
      </c>
      <c r="AU16" s="179">
        <v>0.0</v>
      </c>
      <c r="AV16" s="106" t="str">
        <f>IFERROR(__xludf.DUMMYFUNCTION("JOIN("", "",FILTER($P$3:$AE$3,$P16:$AE16=MAX($P16:$AE16)))"),"Queen,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6" s="106">
        <f t="shared" si="6"/>
        <v>0</v>
      </c>
      <c r="AX16" s="106">
        <f>IFERROR(__xludf.DUMMYFUNCTION("COUNTA(FILTER($P$3:$AE$3,$P16:$AE16=MAX($P16:$AE16)))"),16.0)</f>
        <v>16</v>
      </c>
      <c r="AY16" s="106" t="str">
        <f>IFERROR(__xludf.DUMMYFUNCTION("IFERROR(JOIN("", "",FILTER($AF$3:$AU$3,$AF16:$AU16=MAXIFS($AF16:$AU16,$AF$23:$AU$23,TRUE),$AF$23:$AU$23)),""N/A"")"),"Queen,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6" s="171" t="str">
        <f>IFERROR(__xludf.DUMMYFUNCTION("IFERROR(JOIN("", "",FILTER($P16:$AE16,$AF16:$AU16=MAXIFS($AF16:$AU16,$AF$23:$AU$23,TRUE),$AF$23:$AU$23)),""N/A"")"),"0, 0, 0, 0, 0, 0, 0, 0, 0, 0, 0, 0, 0, 0")</f>
        <v>0, 0, 0, 0, 0, 0, 0, 0, 0, 0, 0, 0, 0, 0</v>
      </c>
      <c r="BA16" s="182">
        <f>MAXIFS(AF16:AU16,$AF$23:$AU$23,TRUE)/'Queen MIDI'!$J$20</f>
        <v>0</v>
      </c>
      <c r="BB16" s="183">
        <f>IFERROR(__xludf.DUMMYFUNCTION("COUNTA(IFERROR(FILTER($AF$3:$AU$3,$AF16:$AU16=MAXIFS($AF16:$AU16,$AF$23:$AU$23,TRUE),$AF$23:$AU$23),))"),14.0)</f>
        <v>14</v>
      </c>
      <c r="BC16" s="182">
        <f t="shared" si="7"/>
        <v>0</v>
      </c>
      <c r="BD16" s="106">
        <f t="shared" si="8"/>
        <v>0</v>
      </c>
      <c r="BE16" s="1"/>
    </row>
    <row r="17">
      <c r="A17" s="1"/>
      <c r="C17" s="66" t="str">
        <f t="array" ref="C17">INDEX('Queen MIDI'!$C$4:$C$66,MATCH(F17,'Queen MIDI'!$D$4:$D$66,0))</f>
        <v>Bicycle Race</v>
      </c>
      <c r="D17" s="117">
        <v>1.0</v>
      </c>
      <c r="E17" s="118" t="s">
        <v>376</v>
      </c>
      <c r="F17" s="66" t="str">
        <f t="shared" si="2"/>
        <v>Bicycle Race.mid</v>
      </c>
      <c r="G17" s="129">
        <f>HLOOKUP(H17,'Queen Discography'!$C$2:$Q$3,2,FALSE)</f>
        <v>1978</v>
      </c>
      <c r="H17" s="66" t="str">
        <f>IF(COUNTIF('Queen Discography'!$C$4:$C$22,C17)&gt;0,"Queen",
IF(COUNTIF('Queen Discography'!$D$4:$D$22,C17)&gt;0,"Queen II",
IF(COUNTIF('Queen Discography'!$E$4:$E$22,C17)&gt;0,"Sheer Heart Attack",
IF(COUNTIF('Queen Discography'!$F$4:$F$22,C17)&gt;0,"A Night At The Opera",
IF(COUNTIF('Queen Discography'!$G$4:$G$22,C17)&gt;0,"A Day At The Races",
IF(COUNTIF('Queen Discography'!$H$4:$H$22,C17)&gt;0,"News Of The World",
IF(COUNTIF('Queen Discography'!$I$4:$I$22,C17)&gt;0,"Jazz",
IF(COUNTIF('Queen Discography'!$J$4:$J$22,C17)&gt;0,"The Game",
IF(COUNTIF('Queen Discography'!$K$4:$K$22,C17)&gt;0,"Flash Gordon",
IF(COUNTIF('Queen Discography'!$L$4:$L$22,C17)&gt;0,"Hot Space",
IF(COUNTIF('Queen Discography'!$M$4:$M$22,C17)&gt;0,"The Works",
IF(COUNTIF('Queen Discography'!$N$4:$N$22,C17)&gt;0,"A Kind Of Magic",
IF(COUNTIF('Queen Discography'!$O$4:$O$22,C17)&gt;0,"The Miracle",
IF(COUNTIF('Queen Discography'!$P$4:$P$22,C17)&gt;0,"Innuendo",
IF(COUNTIF('Queen Discography'!$Q$4:$Q$22,C17)&gt;0,"Made In Heaven","NOT FOUND")))))))))))))))</f>
        <v>Jazz</v>
      </c>
      <c r="I17" s="1"/>
      <c r="J17" s="183">
        <v>13.0</v>
      </c>
      <c r="K17" s="106" t="str">
        <f t="shared" si="9"/>
        <v>N/A</v>
      </c>
      <c r="L17" s="106" t="str">
        <f t="shared" si="3"/>
        <v>N/A</v>
      </c>
      <c r="M17" s="106" t="str">
        <f t="shared" si="4"/>
        <v>N/A</v>
      </c>
      <c r="N17" s="106" t="str">
        <f>IFERROR(__xludf.DUMMYFUNCTION("IFERROR(MEDIAN(FILTER($G$4:$G$66,$D$4:$D$66=$J17,ISNUMBER($G$4:$G$66))),""N/A"")"),"N/A")</f>
        <v>N/A</v>
      </c>
      <c r="O17" s="106" t="str">
        <f>IFERROR(__xludf.DUMMYFUNCTION("IFERROR(MODE(FILTER($G$4:$G$66,$D$4:$D$66=$J17,ISNUMBER($G$4:$G$66))),""N/A"")"),"N/A")</f>
        <v>N/A</v>
      </c>
      <c r="P17" s="106">
        <f t="shared" ref="P17:AE17" si="21">COUNTIFS($H$4:$H$66,P$3,$D$4:$D$66,$J17)</f>
        <v>0</v>
      </c>
      <c r="Q17" s="106">
        <f t="shared" si="21"/>
        <v>0</v>
      </c>
      <c r="R17" s="106">
        <f t="shared" si="21"/>
        <v>0</v>
      </c>
      <c r="S17" s="106">
        <f t="shared" si="21"/>
        <v>0</v>
      </c>
      <c r="T17" s="106">
        <f t="shared" si="21"/>
        <v>0</v>
      </c>
      <c r="U17" s="106">
        <f t="shared" si="21"/>
        <v>0</v>
      </c>
      <c r="V17" s="106">
        <f t="shared" si="21"/>
        <v>0</v>
      </c>
      <c r="W17" s="106">
        <f t="shared" si="21"/>
        <v>0</v>
      </c>
      <c r="X17" s="106">
        <f t="shared" si="21"/>
        <v>0</v>
      </c>
      <c r="Y17" s="106">
        <f t="shared" si="21"/>
        <v>0</v>
      </c>
      <c r="Z17" s="106">
        <f t="shared" si="21"/>
        <v>0</v>
      </c>
      <c r="AA17" s="106">
        <f t="shared" si="21"/>
        <v>0</v>
      </c>
      <c r="AB17" s="106">
        <f t="shared" si="21"/>
        <v>0</v>
      </c>
      <c r="AC17" s="106">
        <f t="shared" si="21"/>
        <v>0</v>
      </c>
      <c r="AD17" s="106">
        <f t="shared" si="21"/>
        <v>0</v>
      </c>
      <c r="AE17" s="106">
        <f t="shared" si="21"/>
        <v>0</v>
      </c>
      <c r="AF17" s="179">
        <f t="array" ref="AF17:AU17">IFERROR(P17:AE17*TRANSPOSE('Queen MIDI'!$J$4:$J$19),"N/A")</f>
        <v>0</v>
      </c>
      <c r="AG17" s="179">
        <v>0.0</v>
      </c>
      <c r="AH17" s="179">
        <v>0.0</v>
      </c>
      <c r="AI17" s="179">
        <v>0.0</v>
      </c>
      <c r="AJ17" s="179">
        <v>0.0</v>
      </c>
      <c r="AK17" s="179">
        <v>0.0</v>
      </c>
      <c r="AL17" s="179">
        <v>0.0</v>
      </c>
      <c r="AM17" s="179">
        <v>0.0</v>
      </c>
      <c r="AN17" s="179" t="s">
        <v>357</v>
      </c>
      <c r="AO17" s="179">
        <v>0.0</v>
      </c>
      <c r="AP17" s="179">
        <v>0.0</v>
      </c>
      <c r="AQ17" s="179">
        <v>0.0</v>
      </c>
      <c r="AR17" s="179">
        <v>0.0</v>
      </c>
      <c r="AS17" s="179">
        <v>0.0</v>
      </c>
      <c r="AT17" s="179">
        <v>0.0</v>
      </c>
      <c r="AU17" s="179">
        <v>0.0</v>
      </c>
      <c r="AV17" s="106" t="str">
        <f>IFERROR(__xludf.DUMMYFUNCTION("JOIN("", "",FILTER($P$3:$AE$3,$P17:$AE17=MAX($P17:$AE17)))"),"Queen,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7" s="106">
        <f t="shared" si="6"/>
        <v>0</v>
      </c>
      <c r="AX17" s="106">
        <f>IFERROR(__xludf.DUMMYFUNCTION("COUNTA(FILTER($P$3:$AE$3,$P17:$AE17=MAX($P17:$AE17)))"),16.0)</f>
        <v>16</v>
      </c>
      <c r="AY17" s="106" t="str">
        <f>IFERROR(__xludf.DUMMYFUNCTION("IFERROR(JOIN("", "",FILTER($AF$3:$AU$3,$AF17:$AU17=MAXIFS($AF17:$AU17,$AF$23:$AU$23,TRUE),$AF$23:$AU$23)),""N/A"")"),"Queen,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7" s="171" t="str">
        <f>IFERROR(__xludf.DUMMYFUNCTION("IFERROR(JOIN("", "",FILTER($P17:$AE17,$AF17:$AU17=MAXIFS($AF17:$AU17,$AF$23:$AU$23,TRUE),$AF$23:$AU$23)),""N/A"")"),"0, 0, 0, 0, 0, 0, 0, 0, 0, 0, 0, 0, 0, 0")</f>
        <v>0, 0, 0, 0, 0, 0, 0, 0, 0, 0, 0, 0, 0, 0</v>
      </c>
      <c r="BA17" s="182">
        <f>MAXIFS(AF17:AU17,$AF$23:$AU$23,TRUE)/'Queen MIDI'!$J$20</f>
        <v>0</v>
      </c>
      <c r="BB17" s="183">
        <f>IFERROR(__xludf.DUMMYFUNCTION("COUNTA(IFERROR(FILTER($AF$3:$AU$3,$AF17:$AU17=MAXIFS($AF17:$AU17,$AF$23:$AU$23,TRUE),$AF$23:$AU$23),))"),14.0)</f>
        <v>14</v>
      </c>
      <c r="BC17" s="182">
        <f t="shared" si="7"/>
        <v>0</v>
      </c>
      <c r="BD17" s="106">
        <f t="shared" si="8"/>
        <v>0</v>
      </c>
      <c r="BE17" s="1"/>
    </row>
    <row r="18">
      <c r="A18" s="1"/>
      <c r="C18" s="66" t="str">
        <f t="array" ref="C18">INDEX('Queen MIDI'!$C$4:$C$66,MATCH(F18,'Queen MIDI'!$D$4:$D$66,0))</f>
        <v>Save Me</v>
      </c>
      <c r="D18" s="117">
        <v>1.0</v>
      </c>
      <c r="E18" s="118" t="s">
        <v>384</v>
      </c>
      <c r="F18" s="66" t="str">
        <f t="shared" si="2"/>
        <v>Save Me.2.mid</v>
      </c>
      <c r="G18" s="125">
        <f>HLOOKUP(H18,'Queen Discography'!$C$2:$Q$3,2,FALSE)</f>
        <v>1980</v>
      </c>
      <c r="H18" s="66" t="str">
        <f>IF(COUNTIF('Queen Discography'!$C$4:$C$22,C18)&gt;0,"Queen",
IF(COUNTIF('Queen Discography'!$D$4:$D$22,C18)&gt;0,"Queen II",
IF(COUNTIF('Queen Discography'!$E$4:$E$22,C18)&gt;0,"Sheer Heart Attack",
IF(COUNTIF('Queen Discography'!$F$4:$F$22,C18)&gt;0,"A Night At The Opera",
IF(COUNTIF('Queen Discography'!$G$4:$G$22,C18)&gt;0,"A Day At The Races",
IF(COUNTIF('Queen Discography'!$H$4:$H$22,C18)&gt;0,"News Of The World",
IF(COUNTIF('Queen Discography'!$I$4:$I$22,C18)&gt;0,"Jazz",
IF(COUNTIF('Queen Discography'!$J$4:$J$22,C18)&gt;0,"The Game",
IF(COUNTIF('Queen Discography'!$K$4:$K$22,C18)&gt;0,"Flash Gordon",
IF(COUNTIF('Queen Discography'!$L$4:$L$22,C18)&gt;0,"Hot Space",
IF(COUNTIF('Queen Discography'!$M$4:$M$22,C18)&gt;0,"The Works",
IF(COUNTIF('Queen Discography'!$N$4:$N$22,C18)&gt;0,"A Kind Of Magic",
IF(COUNTIF('Queen Discography'!$O$4:$O$22,C18)&gt;0,"The Miracle",
IF(COUNTIF('Queen Discography'!$P$4:$P$22,C18)&gt;0,"Innuendo",
IF(COUNTIF('Queen Discography'!$Q$4:$Q$22,C18)&gt;0,"Made In Heaven","NOT FOUND")))))))))))))))</f>
        <v>The Game</v>
      </c>
      <c r="I18" s="1"/>
      <c r="J18" s="183">
        <v>14.0</v>
      </c>
      <c r="K18" s="106" t="str">
        <f t="shared" si="9"/>
        <v>N/A</v>
      </c>
      <c r="L18" s="106" t="str">
        <f t="shared" si="3"/>
        <v>N/A</v>
      </c>
      <c r="M18" s="106" t="str">
        <f t="shared" si="4"/>
        <v>N/A</v>
      </c>
      <c r="N18" s="106" t="str">
        <f>IFERROR(__xludf.DUMMYFUNCTION("IFERROR(MEDIAN(FILTER($G$4:$G$66,$D$4:$D$66=$J18,ISNUMBER($G$4:$G$66))),""N/A"")"),"N/A")</f>
        <v>N/A</v>
      </c>
      <c r="O18" s="106" t="str">
        <f>IFERROR(__xludf.DUMMYFUNCTION("IFERROR(MODE(FILTER($G$4:$G$66,$D$4:$D$66=$J18,ISNUMBER($G$4:$G$66))),""N/A"")"),"N/A")</f>
        <v>N/A</v>
      </c>
      <c r="P18" s="106">
        <f t="shared" ref="P18:AE18" si="22">COUNTIFS($H$4:$H$66,P$3,$D$4:$D$66,$J18)</f>
        <v>0</v>
      </c>
      <c r="Q18" s="106">
        <f t="shared" si="22"/>
        <v>0</v>
      </c>
      <c r="R18" s="106">
        <f t="shared" si="22"/>
        <v>0</v>
      </c>
      <c r="S18" s="106">
        <f t="shared" si="22"/>
        <v>0</v>
      </c>
      <c r="T18" s="106">
        <f t="shared" si="22"/>
        <v>0</v>
      </c>
      <c r="U18" s="106">
        <f t="shared" si="22"/>
        <v>0</v>
      </c>
      <c r="V18" s="106">
        <f t="shared" si="22"/>
        <v>0</v>
      </c>
      <c r="W18" s="106">
        <f t="shared" si="22"/>
        <v>0</v>
      </c>
      <c r="X18" s="106">
        <f t="shared" si="22"/>
        <v>0</v>
      </c>
      <c r="Y18" s="106">
        <f t="shared" si="22"/>
        <v>0</v>
      </c>
      <c r="Z18" s="106">
        <f t="shared" si="22"/>
        <v>0</v>
      </c>
      <c r="AA18" s="106">
        <f t="shared" si="22"/>
        <v>0</v>
      </c>
      <c r="AB18" s="106">
        <f t="shared" si="22"/>
        <v>0</v>
      </c>
      <c r="AC18" s="106">
        <f t="shared" si="22"/>
        <v>0</v>
      </c>
      <c r="AD18" s="106">
        <f t="shared" si="22"/>
        <v>0</v>
      </c>
      <c r="AE18" s="106">
        <f t="shared" si="22"/>
        <v>0</v>
      </c>
      <c r="AF18" s="179">
        <f t="array" ref="AF18:AU18">IFERROR(P18:AE18*TRANSPOSE('Queen MIDI'!$J$4:$J$19),"N/A")</f>
        <v>0</v>
      </c>
      <c r="AG18" s="179">
        <v>0.0</v>
      </c>
      <c r="AH18" s="179">
        <v>0.0</v>
      </c>
      <c r="AI18" s="179">
        <v>0.0</v>
      </c>
      <c r="AJ18" s="179">
        <v>0.0</v>
      </c>
      <c r="AK18" s="179">
        <v>0.0</v>
      </c>
      <c r="AL18" s="179">
        <v>0.0</v>
      </c>
      <c r="AM18" s="179">
        <v>0.0</v>
      </c>
      <c r="AN18" s="179" t="s">
        <v>357</v>
      </c>
      <c r="AO18" s="179">
        <v>0.0</v>
      </c>
      <c r="AP18" s="179">
        <v>0.0</v>
      </c>
      <c r="AQ18" s="179">
        <v>0.0</v>
      </c>
      <c r="AR18" s="179">
        <v>0.0</v>
      </c>
      <c r="AS18" s="179">
        <v>0.0</v>
      </c>
      <c r="AT18" s="179">
        <v>0.0</v>
      </c>
      <c r="AU18" s="179">
        <v>0.0</v>
      </c>
      <c r="AV18" s="106" t="str">
        <f>IFERROR(__xludf.DUMMYFUNCTION("JOIN("", "",FILTER($P$3:$AE$3,$P18:$AE18=MAX($P18:$AE18)))"),"Queen,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8" s="106">
        <f t="shared" si="6"/>
        <v>0</v>
      </c>
      <c r="AX18" s="106">
        <f>IFERROR(__xludf.DUMMYFUNCTION("COUNTA(FILTER($P$3:$AE$3,$P18:$AE18=MAX($P18:$AE18)))"),16.0)</f>
        <v>16</v>
      </c>
      <c r="AY18" s="106" t="str">
        <f>IFERROR(__xludf.DUMMYFUNCTION("IFERROR(JOIN("", "",FILTER($AF$3:$AU$3,$AF18:$AU18=MAXIFS($AF18:$AU18,$AF$23:$AU$23,TRUE),$AF$23:$AU$23)),""N/A"")"),"Queen,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8" s="171" t="str">
        <f>IFERROR(__xludf.DUMMYFUNCTION("IFERROR(JOIN("", "",FILTER($P18:$AE18,$AF18:$AU18=MAXIFS($AF18:$AU18,$AF$23:$AU$23,TRUE),$AF$23:$AU$23)),""N/A"")"),"0, 0, 0, 0, 0, 0, 0, 0, 0, 0, 0, 0, 0, 0")</f>
        <v>0, 0, 0, 0, 0, 0, 0, 0, 0, 0, 0, 0, 0, 0</v>
      </c>
      <c r="BA18" s="182">
        <f>MAXIFS(AF18:AU18,$AF$23:$AU$23,TRUE)/'Queen MIDI'!$J$20</f>
        <v>0</v>
      </c>
      <c r="BB18" s="183">
        <f>IFERROR(__xludf.DUMMYFUNCTION("COUNTA(IFERROR(FILTER($AF$3:$AU$3,$AF18:$AU18=MAXIFS($AF18:$AU18,$AF$23:$AU$23,TRUE),$AF$23:$AU$23),))"),14.0)</f>
        <v>14</v>
      </c>
      <c r="BC18" s="182">
        <f t="shared" si="7"/>
        <v>0</v>
      </c>
      <c r="BD18" s="106">
        <f t="shared" si="8"/>
        <v>0</v>
      </c>
      <c r="BE18" s="1"/>
    </row>
    <row r="19">
      <c r="A19" s="1"/>
      <c r="C19" s="66" t="str">
        <f t="array" ref="C19">INDEX('Queen MIDI'!$C$4:$C$66,MATCH(F19,'Queen MIDI'!$D$4:$D$66,0))</f>
        <v>Under Pressure</v>
      </c>
      <c r="D19" s="117">
        <v>1.0</v>
      </c>
      <c r="E19" s="118" t="s">
        <v>385</v>
      </c>
      <c r="F19" s="66" t="str">
        <f t="shared" si="2"/>
        <v>Under Pressure.7.mid</v>
      </c>
      <c r="G19" s="124">
        <f>HLOOKUP(H19,'Queen Discography'!$C$2:$Q$3,2,FALSE)</f>
        <v>1982</v>
      </c>
      <c r="H19" s="66" t="str">
        <f>IF(COUNTIF('Queen Discography'!$C$4:$C$22,C19)&gt;0,"Queen",
IF(COUNTIF('Queen Discography'!$D$4:$D$22,C19)&gt;0,"Queen II",
IF(COUNTIF('Queen Discography'!$E$4:$E$22,C19)&gt;0,"Sheer Heart Attack",
IF(COUNTIF('Queen Discography'!$F$4:$F$22,C19)&gt;0,"A Night At The Opera",
IF(COUNTIF('Queen Discography'!$G$4:$G$22,C19)&gt;0,"A Day At The Races",
IF(COUNTIF('Queen Discography'!$H$4:$H$22,C19)&gt;0,"News Of The World",
IF(COUNTIF('Queen Discography'!$I$4:$I$22,C19)&gt;0,"Jazz",
IF(COUNTIF('Queen Discography'!$J$4:$J$22,C19)&gt;0,"The Game",
IF(COUNTIF('Queen Discography'!$K$4:$K$22,C19)&gt;0,"Flash Gordon",
IF(COUNTIF('Queen Discography'!$L$4:$L$22,C19)&gt;0,"Hot Space",
IF(COUNTIF('Queen Discography'!$M$4:$M$22,C19)&gt;0,"The Works",
IF(COUNTIF('Queen Discography'!$N$4:$N$22,C19)&gt;0,"A Kind Of Magic",
IF(COUNTIF('Queen Discography'!$O$4:$O$22,C19)&gt;0,"The Miracle",
IF(COUNTIF('Queen Discography'!$P$4:$P$22,C19)&gt;0,"Innuendo",
IF(COUNTIF('Queen Discography'!$Q$4:$Q$22,C19)&gt;0,"Made In Heaven","NOT FOUND")))))))))))))))</f>
        <v>Hot Space</v>
      </c>
      <c r="I19" s="1"/>
      <c r="J19" s="183">
        <v>15.0</v>
      </c>
      <c r="K19" s="106" t="str">
        <f t="shared" si="9"/>
        <v>N/A</v>
      </c>
      <c r="L19" s="106" t="str">
        <f t="shared" si="3"/>
        <v>N/A</v>
      </c>
      <c r="M19" s="106" t="str">
        <f t="shared" si="4"/>
        <v>N/A</v>
      </c>
      <c r="N19" s="106" t="str">
        <f>IFERROR(__xludf.DUMMYFUNCTION("IFERROR(MEDIAN(FILTER($G$4:$G$66,$D$4:$D$66=$J19,ISNUMBER($G$4:$G$66))),""N/A"")"),"N/A")</f>
        <v>N/A</v>
      </c>
      <c r="O19" s="106" t="str">
        <f>IFERROR(__xludf.DUMMYFUNCTION("IFERROR(MODE(FILTER($G$4:$G$66,$D$4:$D$66=$J19,ISNUMBER($G$4:$G$66))),""N/A"")"),"N/A")</f>
        <v>N/A</v>
      </c>
      <c r="P19" s="106">
        <f t="shared" ref="P19:AE19" si="23">COUNTIFS($H$4:$H$66,P$3,$D$4:$D$66,$J19)</f>
        <v>0</v>
      </c>
      <c r="Q19" s="106">
        <f t="shared" si="23"/>
        <v>0</v>
      </c>
      <c r="R19" s="106">
        <f t="shared" si="23"/>
        <v>0</v>
      </c>
      <c r="S19" s="106">
        <f t="shared" si="23"/>
        <v>0</v>
      </c>
      <c r="T19" s="106">
        <f t="shared" si="23"/>
        <v>0</v>
      </c>
      <c r="U19" s="106">
        <f t="shared" si="23"/>
        <v>0</v>
      </c>
      <c r="V19" s="106">
        <f t="shared" si="23"/>
        <v>0</v>
      </c>
      <c r="W19" s="106">
        <f t="shared" si="23"/>
        <v>0</v>
      </c>
      <c r="X19" s="106">
        <f t="shared" si="23"/>
        <v>0</v>
      </c>
      <c r="Y19" s="106">
        <f t="shared" si="23"/>
        <v>0</v>
      </c>
      <c r="Z19" s="106">
        <f t="shared" si="23"/>
        <v>0</v>
      </c>
      <c r="AA19" s="106">
        <f t="shared" si="23"/>
        <v>0</v>
      </c>
      <c r="AB19" s="106">
        <f t="shared" si="23"/>
        <v>0</v>
      </c>
      <c r="AC19" s="106">
        <f t="shared" si="23"/>
        <v>0</v>
      </c>
      <c r="AD19" s="106">
        <f t="shared" si="23"/>
        <v>0</v>
      </c>
      <c r="AE19" s="106">
        <f t="shared" si="23"/>
        <v>0</v>
      </c>
      <c r="AF19" s="179">
        <f t="array" ref="AF19:AU19">IFERROR(P19:AE19*TRANSPOSE('Queen MIDI'!$J$4:$J$19),"N/A")</f>
        <v>0</v>
      </c>
      <c r="AG19" s="179">
        <v>0.0</v>
      </c>
      <c r="AH19" s="179">
        <v>0.0</v>
      </c>
      <c r="AI19" s="179">
        <v>0.0</v>
      </c>
      <c r="AJ19" s="179">
        <v>0.0</v>
      </c>
      <c r="AK19" s="179">
        <v>0.0</v>
      </c>
      <c r="AL19" s="179">
        <v>0.0</v>
      </c>
      <c r="AM19" s="179">
        <v>0.0</v>
      </c>
      <c r="AN19" s="179" t="s">
        <v>357</v>
      </c>
      <c r="AO19" s="179">
        <v>0.0</v>
      </c>
      <c r="AP19" s="179">
        <v>0.0</v>
      </c>
      <c r="AQ19" s="179">
        <v>0.0</v>
      </c>
      <c r="AR19" s="179">
        <v>0.0</v>
      </c>
      <c r="AS19" s="179">
        <v>0.0</v>
      </c>
      <c r="AT19" s="179">
        <v>0.0</v>
      </c>
      <c r="AU19" s="179">
        <v>0.0</v>
      </c>
      <c r="AV19" s="106" t="str">
        <f>IFERROR(__xludf.DUMMYFUNCTION("JOIN("", "",FILTER($P$3:$AE$3,$P19:$AE19=MAX($P19:$AE19)))"),"Queen,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19" s="106">
        <f t="shared" si="6"/>
        <v>0</v>
      </c>
      <c r="AX19" s="106">
        <f>IFERROR(__xludf.DUMMYFUNCTION("COUNTA(FILTER($P$3:$AE$3,$P19:$AE19=MAX($P19:$AE19)))"),16.0)</f>
        <v>16</v>
      </c>
      <c r="AY19" s="106" t="str">
        <f>IFERROR(__xludf.DUMMYFUNCTION("IFERROR(JOIN("", "",FILTER($AF$3:$AU$3,$AF19:$AU19=MAXIFS($AF19:$AU19,$AF$23:$AU$23,TRUE),$AF$23:$AU$23)),""N/A"")"),"Queen,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19" s="171" t="str">
        <f>IFERROR(__xludf.DUMMYFUNCTION("IFERROR(JOIN("", "",FILTER($P19:$AE19,$AF19:$AU19=MAXIFS($AF19:$AU19,$AF$23:$AU$23,TRUE),$AF$23:$AU$23)),""N/A"")"),"0, 0, 0, 0, 0, 0, 0, 0, 0, 0, 0, 0, 0, 0")</f>
        <v>0, 0, 0, 0, 0, 0, 0, 0, 0, 0, 0, 0, 0, 0</v>
      </c>
      <c r="BA19" s="182">
        <f>MAXIFS(AF19:AU19,$AF$23:$AU$23,TRUE)/'Queen MIDI'!$J$20</f>
        <v>0</v>
      </c>
      <c r="BB19" s="183">
        <f>IFERROR(__xludf.DUMMYFUNCTION("COUNTA(IFERROR(FILTER($AF$3:$AU$3,$AF19:$AU19=MAXIFS($AF19:$AU19,$AF$23:$AU$23,TRUE),$AF$23:$AU$23),))"),14.0)</f>
        <v>14</v>
      </c>
      <c r="BC19" s="182">
        <f t="shared" si="7"/>
        <v>0</v>
      </c>
      <c r="BD19" s="106">
        <f t="shared" si="8"/>
        <v>0</v>
      </c>
      <c r="BE19" s="1"/>
    </row>
    <row r="20">
      <c r="A20" s="1"/>
      <c r="C20" s="66" t="str">
        <f t="array" ref="C20">INDEX('Queen MIDI'!$C$4:$C$66,MATCH(F20,'Queen MIDI'!$D$4:$D$66,0))</f>
        <v>I Want to Break Free</v>
      </c>
      <c r="D20" s="117">
        <v>1.0</v>
      </c>
      <c r="E20" s="118" t="s">
        <v>387</v>
      </c>
      <c r="F20" s="66" t="str">
        <f t="shared" si="2"/>
        <v>I Want to Break Free.3.mid</v>
      </c>
      <c r="G20" s="119">
        <f>HLOOKUP(H20,'Queen Discography'!$C$2:$Q$3,2,FALSE)</f>
        <v>1984</v>
      </c>
      <c r="H20" s="66" t="str">
        <f>IF(COUNTIF('Queen Discography'!$C$4:$C$22,C20)&gt;0,"Queen",
IF(COUNTIF('Queen Discography'!$D$4:$D$22,C20)&gt;0,"Queen II",
IF(COUNTIF('Queen Discography'!$E$4:$E$22,C20)&gt;0,"Sheer Heart Attack",
IF(COUNTIF('Queen Discography'!$F$4:$F$22,C20)&gt;0,"A Night At The Opera",
IF(COUNTIF('Queen Discography'!$G$4:$G$22,C20)&gt;0,"A Day At The Races",
IF(COUNTIF('Queen Discography'!$H$4:$H$22,C20)&gt;0,"News Of The World",
IF(COUNTIF('Queen Discography'!$I$4:$I$22,C20)&gt;0,"Jazz",
IF(COUNTIF('Queen Discography'!$J$4:$J$22,C20)&gt;0,"The Game",
IF(COUNTIF('Queen Discography'!$K$4:$K$22,C20)&gt;0,"Flash Gordon",
IF(COUNTIF('Queen Discography'!$L$4:$L$22,C20)&gt;0,"Hot Space",
IF(COUNTIF('Queen Discography'!$M$4:$M$22,C20)&gt;0,"The Works",
IF(COUNTIF('Queen Discography'!$N$4:$N$22,C20)&gt;0,"A Kind Of Magic",
IF(COUNTIF('Queen Discography'!$O$4:$O$22,C20)&gt;0,"The Miracle",
IF(COUNTIF('Queen Discography'!$P$4:$P$22,C20)&gt;0,"Innuendo",
IF(COUNTIF('Queen Discography'!$Q$4:$Q$22,C20)&gt;0,"Made In Heaven","NOT FOUND")))))))))))))))</f>
        <v>The Works</v>
      </c>
      <c r="I20" s="1"/>
      <c r="J20" s="183">
        <v>16.0</v>
      </c>
      <c r="K20" s="106" t="str">
        <f t="shared" si="9"/>
        <v>N/A</v>
      </c>
      <c r="L20" s="106" t="str">
        <f t="shared" si="3"/>
        <v>N/A</v>
      </c>
      <c r="M20" s="106" t="str">
        <f t="shared" si="4"/>
        <v>N/A</v>
      </c>
      <c r="N20" s="106" t="str">
        <f>IFERROR(__xludf.DUMMYFUNCTION("IFERROR(MEDIAN(FILTER($G$4:$G$66,$D$4:$D$66=$J20,ISNUMBER($G$4:$G$66))),""N/A"")"),"N/A")</f>
        <v>N/A</v>
      </c>
      <c r="O20" s="106" t="str">
        <f>IFERROR(__xludf.DUMMYFUNCTION("IFERROR(MODE(FILTER($G$4:$G$66,$D$4:$D$66=$J20,ISNUMBER($G$4:$G$66))),""N/A"")"),"N/A")</f>
        <v>N/A</v>
      </c>
      <c r="P20" s="106">
        <f t="shared" ref="P20:AE20" si="24">COUNTIFS($H$4:$H$66,P$3,$D$4:$D$66,$J20)</f>
        <v>0</v>
      </c>
      <c r="Q20" s="106">
        <f t="shared" si="24"/>
        <v>0</v>
      </c>
      <c r="R20" s="106">
        <f t="shared" si="24"/>
        <v>0</v>
      </c>
      <c r="S20" s="106">
        <f t="shared" si="24"/>
        <v>0</v>
      </c>
      <c r="T20" s="106">
        <f t="shared" si="24"/>
        <v>0</v>
      </c>
      <c r="U20" s="106">
        <f t="shared" si="24"/>
        <v>0</v>
      </c>
      <c r="V20" s="106">
        <f t="shared" si="24"/>
        <v>0</v>
      </c>
      <c r="W20" s="106">
        <f t="shared" si="24"/>
        <v>0</v>
      </c>
      <c r="X20" s="106">
        <f t="shared" si="24"/>
        <v>0</v>
      </c>
      <c r="Y20" s="106">
        <f t="shared" si="24"/>
        <v>0</v>
      </c>
      <c r="Z20" s="106">
        <f t="shared" si="24"/>
        <v>0</v>
      </c>
      <c r="AA20" s="106">
        <f t="shared" si="24"/>
        <v>0</v>
      </c>
      <c r="AB20" s="106">
        <f t="shared" si="24"/>
        <v>0</v>
      </c>
      <c r="AC20" s="106">
        <f t="shared" si="24"/>
        <v>0</v>
      </c>
      <c r="AD20" s="106">
        <f t="shared" si="24"/>
        <v>0</v>
      </c>
      <c r="AE20" s="106">
        <f t="shared" si="24"/>
        <v>0</v>
      </c>
      <c r="AF20" s="179">
        <f t="array" ref="AF20:AU20">IFERROR(P20:AE20*TRANSPOSE('Queen MIDI'!$J$4:$J$19),"N/A")</f>
        <v>0</v>
      </c>
      <c r="AG20" s="179">
        <v>0.0</v>
      </c>
      <c r="AH20" s="179">
        <v>0.0</v>
      </c>
      <c r="AI20" s="179">
        <v>0.0</v>
      </c>
      <c r="AJ20" s="179">
        <v>0.0</v>
      </c>
      <c r="AK20" s="179">
        <v>0.0</v>
      </c>
      <c r="AL20" s="179">
        <v>0.0</v>
      </c>
      <c r="AM20" s="179">
        <v>0.0</v>
      </c>
      <c r="AN20" s="179" t="s">
        <v>357</v>
      </c>
      <c r="AO20" s="179">
        <v>0.0</v>
      </c>
      <c r="AP20" s="179">
        <v>0.0</v>
      </c>
      <c r="AQ20" s="179">
        <v>0.0</v>
      </c>
      <c r="AR20" s="179">
        <v>0.0</v>
      </c>
      <c r="AS20" s="179">
        <v>0.0</v>
      </c>
      <c r="AT20" s="179">
        <v>0.0</v>
      </c>
      <c r="AU20" s="179">
        <v>0.0</v>
      </c>
      <c r="AV20" s="106" t="str">
        <f>IFERROR(__xludf.DUMMYFUNCTION("JOIN("", "",FILTER($P$3:$AE$3,$P20:$AE20=MAX($P20:$AE20)))"),"Queen,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0" s="106">
        <f t="shared" si="6"/>
        <v>0</v>
      </c>
      <c r="AX20" s="106">
        <f>IFERROR(__xludf.DUMMYFUNCTION("COUNTA(FILTER($P$3:$AE$3,$P20:$AE20=MAX($P20:$AE20)))"),16.0)</f>
        <v>16</v>
      </c>
      <c r="AY20" s="106" t="str">
        <f>IFERROR(__xludf.DUMMYFUNCTION("IFERROR(JOIN("", "",FILTER($AF$3:$AU$3,$AF20:$AU20=MAXIFS($AF20:$AU20,$AF$23:$AU$23,TRUE),$AF$23:$AU$23)),""N/A"")"),"Queen,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0" s="171" t="str">
        <f>IFERROR(__xludf.DUMMYFUNCTION("IFERROR(JOIN("", "",FILTER($P20:$AE20,$AF20:$AU20=MAXIFS($AF20:$AU20,$AF$23:$AU$23,TRUE),$AF$23:$AU$23)),""N/A"")"),"0, 0, 0, 0, 0, 0, 0, 0, 0, 0, 0, 0, 0, 0")</f>
        <v>0, 0, 0, 0, 0, 0, 0, 0, 0, 0, 0, 0, 0, 0</v>
      </c>
      <c r="BA20" s="182">
        <f>MAXIFS(AF20:AU20,$AF$23:$AU$23,TRUE)/'Queen MIDI'!$J$20</f>
        <v>0</v>
      </c>
      <c r="BB20" s="183">
        <f>IFERROR(__xludf.DUMMYFUNCTION("COUNTA(IFERROR(FILTER($AF$3:$AU$3,$AF20:$AU20=MAXIFS($AF20:$AU20,$AF$23:$AU$23,TRUE),$AF$23:$AU$23),))"),14.0)</f>
        <v>14</v>
      </c>
      <c r="BC20" s="182">
        <f t="shared" si="7"/>
        <v>0</v>
      </c>
      <c r="BD20" s="106">
        <f t="shared" si="8"/>
        <v>0</v>
      </c>
      <c r="BE20" s="1"/>
    </row>
    <row r="21">
      <c r="A21" s="1"/>
      <c r="C21" s="66" t="str">
        <f t="array" ref="C21">INDEX('Queen MIDI'!$C$4:$C$66,MATCH(F21,'Queen MIDI'!$D$4:$D$66,0))</f>
        <v>Princes of the Universe</v>
      </c>
      <c r="D21" s="117">
        <v>1.0</v>
      </c>
      <c r="E21" s="118" t="s">
        <v>393</v>
      </c>
      <c r="F21" s="66" t="str">
        <f t="shared" si="2"/>
        <v>Princes of the Universe.1.mid</v>
      </c>
      <c r="G21" s="127">
        <f>HLOOKUP(H21,'Queen Discography'!$C$2:$Q$3,2,FALSE)</f>
        <v>1986</v>
      </c>
      <c r="H21" s="66" t="str">
        <f>IF(COUNTIF('Queen Discography'!$C$4:$C$22,C21)&gt;0,"Queen",
IF(COUNTIF('Queen Discography'!$D$4:$D$22,C21)&gt;0,"Queen II",
IF(COUNTIF('Queen Discography'!$E$4:$E$22,C21)&gt;0,"Sheer Heart Attack",
IF(COUNTIF('Queen Discography'!$F$4:$F$22,C21)&gt;0,"A Night At The Opera",
IF(COUNTIF('Queen Discography'!$G$4:$G$22,C21)&gt;0,"A Day At The Races",
IF(COUNTIF('Queen Discography'!$H$4:$H$22,C21)&gt;0,"News Of The World",
IF(COUNTIF('Queen Discography'!$I$4:$I$22,C21)&gt;0,"Jazz",
IF(COUNTIF('Queen Discography'!$J$4:$J$22,C21)&gt;0,"The Game",
IF(COUNTIF('Queen Discography'!$K$4:$K$22,C21)&gt;0,"Flash Gordon",
IF(COUNTIF('Queen Discography'!$L$4:$L$22,C21)&gt;0,"Hot Space",
IF(COUNTIF('Queen Discography'!$M$4:$M$22,C21)&gt;0,"The Works",
IF(COUNTIF('Queen Discography'!$N$4:$N$22,C21)&gt;0,"A Kind Of Magic",
IF(COUNTIF('Queen Discography'!$O$4:$O$22,C21)&gt;0,"The Miracle",
IF(COUNTIF('Queen Discography'!$P$4:$P$22,C21)&gt;0,"Innuendo",
IF(COUNTIF('Queen Discography'!$Q$4:$Q$22,C21)&gt;0,"Made In Heaven","NOT FOUND")))))))))))))))</f>
        <v>A Kind Of Magic</v>
      </c>
      <c r="I21" s="1"/>
      <c r="J21" s="183">
        <v>17.0</v>
      </c>
      <c r="K21" s="106" t="str">
        <f t="shared" si="9"/>
        <v>N/A</v>
      </c>
      <c r="L21" s="106" t="str">
        <f t="shared" si="3"/>
        <v>N/A</v>
      </c>
      <c r="M21" s="106" t="str">
        <f t="shared" si="4"/>
        <v>N/A</v>
      </c>
      <c r="N21" s="106" t="str">
        <f>IFERROR(__xludf.DUMMYFUNCTION("IFERROR(MEDIAN(FILTER($G$4:$G$66,$D$4:$D$66=$J21,ISNUMBER($G$4:$G$66))),""N/A"")"),"N/A")</f>
        <v>N/A</v>
      </c>
      <c r="O21" s="106" t="str">
        <f>IFERROR(__xludf.DUMMYFUNCTION("IFERROR(MODE(FILTER($G$4:$G$66,$D$4:$D$66=$J21,ISNUMBER($G$4:$G$66))),""N/A"")"),"N/A")</f>
        <v>N/A</v>
      </c>
      <c r="P21" s="106">
        <f t="shared" ref="P21:AE21" si="25">COUNTIFS($H$4:$H$66,P$3,$D$4:$D$66,$J21)</f>
        <v>0</v>
      </c>
      <c r="Q21" s="106">
        <f t="shared" si="25"/>
        <v>0</v>
      </c>
      <c r="R21" s="106">
        <f t="shared" si="25"/>
        <v>0</v>
      </c>
      <c r="S21" s="106">
        <f t="shared" si="25"/>
        <v>0</v>
      </c>
      <c r="T21" s="106">
        <f t="shared" si="25"/>
        <v>0</v>
      </c>
      <c r="U21" s="106">
        <f t="shared" si="25"/>
        <v>0</v>
      </c>
      <c r="V21" s="106">
        <f t="shared" si="25"/>
        <v>0</v>
      </c>
      <c r="W21" s="106">
        <f t="shared" si="25"/>
        <v>0</v>
      </c>
      <c r="X21" s="106">
        <f t="shared" si="25"/>
        <v>0</v>
      </c>
      <c r="Y21" s="106">
        <f t="shared" si="25"/>
        <v>0</v>
      </c>
      <c r="Z21" s="106">
        <f t="shared" si="25"/>
        <v>0</v>
      </c>
      <c r="AA21" s="106">
        <f t="shared" si="25"/>
        <v>0</v>
      </c>
      <c r="AB21" s="106">
        <f t="shared" si="25"/>
        <v>0</v>
      </c>
      <c r="AC21" s="106">
        <f t="shared" si="25"/>
        <v>0</v>
      </c>
      <c r="AD21" s="106">
        <f t="shared" si="25"/>
        <v>0</v>
      </c>
      <c r="AE21" s="106">
        <f t="shared" si="25"/>
        <v>0</v>
      </c>
      <c r="AF21" s="179">
        <f t="array" ref="AF21:AU21">IFERROR(P21:AE21*TRANSPOSE('Queen MIDI'!$J$4:$J$19),"N/A")</f>
        <v>0</v>
      </c>
      <c r="AG21" s="179">
        <v>0.0</v>
      </c>
      <c r="AH21" s="179">
        <v>0.0</v>
      </c>
      <c r="AI21" s="179">
        <v>0.0</v>
      </c>
      <c r="AJ21" s="179">
        <v>0.0</v>
      </c>
      <c r="AK21" s="179">
        <v>0.0</v>
      </c>
      <c r="AL21" s="179">
        <v>0.0</v>
      </c>
      <c r="AM21" s="179">
        <v>0.0</v>
      </c>
      <c r="AN21" s="179" t="s">
        <v>357</v>
      </c>
      <c r="AO21" s="179">
        <v>0.0</v>
      </c>
      <c r="AP21" s="179">
        <v>0.0</v>
      </c>
      <c r="AQ21" s="179">
        <v>0.0</v>
      </c>
      <c r="AR21" s="179">
        <v>0.0</v>
      </c>
      <c r="AS21" s="179">
        <v>0.0</v>
      </c>
      <c r="AT21" s="179">
        <v>0.0</v>
      </c>
      <c r="AU21" s="179">
        <v>0.0</v>
      </c>
      <c r="AV21" s="106" t="str">
        <f>IFERROR(__xludf.DUMMYFUNCTION("JOIN("", "",FILTER($P$3:$AE$3,$P21:$AE21=MAX($P21:$AE21)))"),"Queen, Queen II, Sheer Heart Attack, A Night At The Opera, A Day At The Races, News Of The World, Jazz, The Game, Flash Gordon, Hot Space, The Works, A Kind Of Magic, The Miracle, Innuendo, Made In Heaven, NOT FOUND")</f>
        <v>Queen, Queen II, Sheer Heart Attack, A Night At The Opera, A Day At The Races, News Of The World, Jazz, The Game, Flash Gordon, Hot Space, The Works, A Kind Of Magic, The Miracle, Innuendo, Made In Heaven, NOT FOUND</v>
      </c>
      <c r="AW21" s="106">
        <f t="shared" si="6"/>
        <v>0</v>
      </c>
      <c r="AX21" s="106">
        <f>IFERROR(__xludf.DUMMYFUNCTION("COUNTA(FILTER($P$3:$AE$3,$P21:$AE21=MAX($P21:$AE21)))"),16.0)</f>
        <v>16</v>
      </c>
      <c r="AY21" s="106" t="str">
        <f>IFERROR(__xludf.DUMMYFUNCTION("IFERROR(JOIN("", "",FILTER($AF$3:$AU$3,$AF21:$AU21=MAXIFS($AF21:$AU21,$AF$23:$AU$23,TRUE),$AF$23:$AU$23)),""N/A"")"),"Queen, Queen II, Sheer Heart Attack, A Night At The Opera, A Day At The Races, News Of The World, Jazz, The Game, The Works, A Kind Of Magic, The Miracle, Innuendo, Made In Heaven, NOT FOUND")</f>
        <v>Queen, Queen II, Sheer Heart Attack, A Night At The Opera, A Day At The Races, News Of The World, Jazz, The Game, The Works, A Kind Of Magic, The Miracle, Innuendo, Made In Heaven, NOT FOUND</v>
      </c>
      <c r="AZ21" s="171" t="str">
        <f>IFERROR(__xludf.DUMMYFUNCTION("IFERROR(JOIN("", "",FILTER($P21:$AE21,$AF21:$AU21=MAXIFS($AF21:$AU21,$AF$23:$AU$23,TRUE),$AF$23:$AU$23)),""N/A"")"),"0, 0, 0, 0, 0, 0, 0, 0, 0, 0, 0, 0, 0, 0")</f>
        <v>0, 0, 0, 0, 0, 0, 0, 0, 0, 0, 0, 0, 0, 0</v>
      </c>
      <c r="BA21" s="182">
        <f>MAXIFS(AF21:AU21,$AF$23:$AU$23,TRUE)/'Queen MIDI'!$J$20</f>
        <v>0</v>
      </c>
      <c r="BB21" s="183">
        <f>IFERROR(__xludf.DUMMYFUNCTION("COUNTA(IFERROR(FILTER($AF$3:$AU$3,$AF21:$AU21=MAXIFS($AF21:$AU21,$AF$23:$AU$23,TRUE),$AF$23:$AU$23),))"),14.0)</f>
        <v>14</v>
      </c>
      <c r="BC21" s="182">
        <f t="shared" si="7"/>
        <v>0</v>
      </c>
      <c r="BD21" s="106">
        <f t="shared" si="8"/>
        <v>0</v>
      </c>
      <c r="BE21" s="1"/>
    </row>
    <row r="22">
      <c r="A22" s="1"/>
      <c r="C22" s="66" t="str">
        <f t="array" ref="C22">INDEX('Queen MIDI'!$C$4:$C$66,MATCH(F22,'Queen MIDI'!$D$4:$D$66,0))</f>
        <v>The Invisible Man</v>
      </c>
      <c r="D22" s="117">
        <v>1.0</v>
      </c>
      <c r="E22" s="118" t="s">
        <v>398</v>
      </c>
      <c r="F22" s="66" t="str">
        <f t="shared" si="2"/>
        <v>The Invisible Man.mid</v>
      </c>
      <c r="G22" s="124">
        <f>HLOOKUP(H22,'Queen Discography'!$C$2:$Q$3,2,FALSE)</f>
        <v>1989</v>
      </c>
      <c r="H22" s="66" t="str">
        <f>IF(COUNTIF('Queen Discography'!$C$4:$C$22,C22)&gt;0,"Queen",
IF(COUNTIF('Queen Discography'!$D$4:$D$22,C22)&gt;0,"Queen II",
IF(COUNTIF('Queen Discography'!$E$4:$E$22,C22)&gt;0,"Sheer Heart Attack",
IF(COUNTIF('Queen Discography'!$F$4:$F$22,C22)&gt;0,"A Night At The Opera",
IF(COUNTIF('Queen Discography'!$G$4:$G$22,C22)&gt;0,"A Day At The Races",
IF(COUNTIF('Queen Discography'!$H$4:$H$22,C22)&gt;0,"News Of The World",
IF(COUNTIF('Queen Discography'!$I$4:$I$22,C22)&gt;0,"Jazz",
IF(COUNTIF('Queen Discography'!$J$4:$J$22,C22)&gt;0,"The Game",
IF(COUNTIF('Queen Discography'!$K$4:$K$22,C22)&gt;0,"Flash Gordon",
IF(COUNTIF('Queen Discography'!$L$4:$L$22,C22)&gt;0,"Hot Space",
IF(COUNTIF('Queen Discography'!$M$4:$M$22,C22)&gt;0,"The Works",
IF(COUNTIF('Queen Discography'!$N$4:$N$22,C22)&gt;0,"A Kind Of Magic",
IF(COUNTIF('Queen Discography'!$O$4:$O$22,C22)&gt;0,"The Miracle",
IF(COUNTIF('Queen Discography'!$P$4:$P$22,C22)&gt;0,"Innuendo",
IF(COUNTIF('Queen Discography'!$Q$4:$Q$22,C22)&gt;0,"Made In Heaven","NOT FOUND")))))))))))))))</f>
        <v>The Miracle</v>
      </c>
      <c r="I22" s="1"/>
      <c r="J22" s="107"/>
      <c r="K22" s="1"/>
      <c r="L22" s="1"/>
      <c r="M22" s="1"/>
      <c r="N22" s="87"/>
      <c r="O22" s="1"/>
      <c r="P22" s="1"/>
      <c r="Q22" s="1"/>
      <c r="R22" s="1"/>
      <c r="S22" s="1"/>
      <c r="T22" s="1"/>
      <c r="U22" s="1"/>
      <c r="V22" s="1"/>
      <c r="W22" s="1"/>
      <c r="X22" s="1"/>
      <c r="Y22" s="1"/>
      <c r="Z22" s="1"/>
      <c r="AA22" s="1"/>
      <c r="AB22" s="1"/>
      <c r="AC22" s="1"/>
      <c r="AD22" s="1"/>
      <c r="AE22" s="1"/>
      <c r="AF22" s="108">
        <f t="array" ref="AF22:AU22">TRANSPOSE('Queen MIDI'!I4:I19)</f>
        <v>4</v>
      </c>
      <c r="AG22" s="108">
        <v>3.0</v>
      </c>
      <c r="AH22" s="108">
        <v>2.0</v>
      </c>
      <c r="AI22" s="108">
        <v>5.0</v>
      </c>
      <c r="AJ22" s="108">
        <v>3.0</v>
      </c>
      <c r="AK22" s="108">
        <v>4.0</v>
      </c>
      <c r="AL22" s="108">
        <v>5.0</v>
      </c>
      <c r="AM22" s="108">
        <v>4.0</v>
      </c>
      <c r="AN22" s="108">
        <v>0.0</v>
      </c>
      <c r="AO22" s="108">
        <v>1.0</v>
      </c>
      <c r="AP22" s="108">
        <v>4.0</v>
      </c>
      <c r="AQ22" s="108">
        <v>5.0</v>
      </c>
      <c r="AR22" s="108">
        <v>5.0</v>
      </c>
      <c r="AS22" s="108">
        <v>9.0</v>
      </c>
      <c r="AT22" s="108">
        <v>7.0</v>
      </c>
      <c r="AU22" s="108">
        <v>2.0</v>
      </c>
      <c r="AV22" s="79" t="s">
        <v>235</v>
      </c>
      <c r="AW22" s="1"/>
      <c r="AX22" s="1"/>
      <c r="AY22" s="1"/>
      <c r="AZ22" s="107"/>
      <c r="BA22" s="107"/>
      <c r="BB22" s="107"/>
      <c r="BC22" s="109" t="s">
        <v>230</v>
      </c>
      <c r="BD22" s="110">
        <f>SUM(BD4:BD21)</f>
        <v>63</v>
      </c>
      <c r="BE22" s="1"/>
    </row>
    <row r="23">
      <c r="A23" s="1"/>
      <c r="C23" s="66" t="str">
        <f t="array" ref="C23">INDEX('Queen MIDI'!$C$4:$C$66,MATCH(F23,'Queen MIDI'!$D$4:$D$66,0))</f>
        <v>The Miracle</v>
      </c>
      <c r="D23" s="117">
        <v>1.0</v>
      </c>
      <c r="E23" s="118" t="s">
        <v>399</v>
      </c>
      <c r="F23" s="66" t="str">
        <f t="shared" si="2"/>
        <v>The Miracle.1.mid</v>
      </c>
      <c r="G23" s="124">
        <f>HLOOKUP(H23,'Queen Discography'!$C$2:$Q$3,2,FALSE)</f>
        <v>1989</v>
      </c>
      <c r="H23" s="66" t="str">
        <f>IF(COUNTIF('Queen Discography'!$C$4:$C$22,C23)&gt;0,"Queen",
IF(COUNTIF('Queen Discography'!$D$4:$D$22,C23)&gt;0,"Queen II",
IF(COUNTIF('Queen Discography'!$E$4:$E$22,C23)&gt;0,"Sheer Heart Attack",
IF(COUNTIF('Queen Discography'!$F$4:$F$22,C23)&gt;0,"A Night At The Opera",
IF(COUNTIF('Queen Discography'!$G$4:$G$22,C23)&gt;0,"A Day At The Races",
IF(COUNTIF('Queen Discography'!$H$4:$H$22,C23)&gt;0,"News Of The World",
IF(COUNTIF('Queen Discography'!$I$4:$I$22,C23)&gt;0,"Jazz",
IF(COUNTIF('Queen Discography'!$J$4:$J$22,C23)&gt;0,"The Game",
IF(COUNTIF('Queen Discography'!$K$4:$K$22,C23)&gt;0,"Flash Gordon",
IF(COUNTIF('Queen Discography'!$L$4:$L$22,C23)&gt;0,"Hot Space",
IF(COUNTIF('Queen Discography'!$M$4:$M$22,C23)&gt;0,"The Works",
IF(COUNTIF('Queen Discography'!$N$4:$N$22,C23)&gt;0,"A Kind Of Magic",
IF(COUNTIF('Queen Discography'!$O$4:$O$22,C23)&gt;0,"The Miracle",
IF(COUNTIF('Queen Discography'!$P$4:$P$22,C23)&gt;0,"Innuendo",
IF(COUNTIF('Queen Discography'!$Q$4:$Q$22,C23)&gt;0,"Made In Heaven","NOT FOUND")))))))))))))))</f>
        <v>The Miracle</v>
      </c>
      <c r="I23" s="1"/>
      <c r="J23" s="1"/>
      <c r="K23" s="1"/>
      <c r="L23" s="1"/>
      <c r="M23" s="1"/>
      <c r="N23" s="87"/>
      <c r="O23" s="1"/>
      <c r="P23" s="1"/>
      <c r="Q23" s="1"/>
      <c r="R23" s="1"/>
      <c r="S23" s="1"/>
      <c r="T23" s="1"/>
      <c r="U23" s="1"/>
      <c r="V23" s="1"/>
      <c r="W23" s="1"/>
      <c r="X23" s="1"/>
      <c r="Y23" s="1"/>
      <c r="Z23" s="1"/>
      <c r="AA23" s="1"/>
      <c r="AB23" s="1"/>
      <c r="AC23" s="1"/>
      <c r="AD23" s="1"/>
      <c r="AE23" s="1"/>
      <c r="AF23" s="111" t="b">
        <f t="shared" ref="AF23:AU23" si="26">IF(AF22&gt;=$AV$23,TRUE,FALSE)</f>
        <v>1</v>
      </c>
      <c r="AG23" s="111" t="b">
        <f t="shared" si="26"/>
        <v>1</v>
      </c>
      <c r="AH23" s="111" t="b">
        <f t="shared" si="26"/>
        <v>1</v>
      </c>
      <c r="AI23" s="111" t="b">
        <f t="shared" si="26"/>
        <v>1</v>
      </c>
      <c r="AJ23" s="111" t="b">
        <f t="shared" si="26"/>
        <v>1</v>
      </c>
      <c r="AK23" s="111" t="b">
        <f t="shared" si="26"/>
        <v>1</v>
      </c>
      <c r="AL23" s="111" t="b">
        <f t="shared" si="26"/>
        <v>1</v>
      </c>
      <c r="AM23" s="111" t="b">
        <f t="shared" si="26"/>
        <v>1</v>
      </c>
      <c r="AN23" s="111" t="b">
        <f t="shared" si="26"/>
        <v>0</v>
      </c>
      <c r="AO23" s="111" t="b">
        <f t="shared" si="26"/>
        <v>0</v>
      </c>
      <c r="AP23" s="111" t="b">
        <f t="shared" si="26"/>
        <v>1</v>
      </c>
      <c r="AQ23" s="111" t="b">
        <f t="shared" si="26"/>
        <v>1</v>
      </c>
      <c r="AR23" s="111" t="b">
        <f t="shared" si="26"/>
        <v>1</v>
      </c>
      <c r="AS23" s="111" t="b">
        <f t="shared" si="26"/>
        <v>1</v>
      </c>
      <c r="AT23" s="111" t="b">
        <f t="shared" si="26"/>
        <v>1</v>
      </c>
      <c r="AU23" s="111" t="b">
        <f t="shared" si="26"/>
        <v>1</v>
      </c>
      <c r="AV23" s="79">
        <f>'Queen MIDI'!I22</f>
        <v>2</v>
      </c>
      <c r="AW23" s="1"/>
      <c r="AX23" s="1"/>
      <c r="AY23" s="1"/>
      <c r="AZ23" s="1"/>
      <c r="BA23" s="1"/>
      <c r="BB23" s="1"/>
      <c r="BC23" s="1"/>
      <c r="BD23" s="1"/>
      <c r="BE23" s="1"/>
    </row>
    <row r="24">
      <c r="A24" s="1"/>
      <c r="C24" s="66" t="str">
        <f t="array" ref="C24">INDEX('Queen MIDI'!$C$4:$C$66,MATCH(F24,'Queen MIDI'!$D$4:$D$66,0))</f>
        <v>All God's People</v>
      </c>
      <c r="D24" s="117">
        <v>1.0</v>
      </c>
      <c r="E24" s="118" t="s">
        <v>400</v>
      </c>
      <c r="F24" s="66" t="str">
        <f t="shared" si="2"/>
        <v>All God_s People.mid</v>
      </c>
      <c r="G24" s="131">
        <f>HLOOKUP(H24,'Queen Discography'!$C$2:$Q$3,2,FALSE)</f>
        <v>1991</v>
      </c>
      <c r="H24" s="66" t="str">
        <f>IF(COUNTIF('Queen Discography'!$C$4:$C$22,C24)&gt;0,"Queen",
IF(COUNTIF('Queen Discography'!$D$4:$D$22,C24)&gt;0,"Queen II",
IF(COUNTIF('Queen Discography'!$E$4:$E$22,C24)&gt;0,"Sheer Heart Attack",
IF(COUNTIF('Queen Discography'!$F$4:$F$22,C24)&gt;0,"A Night At The Opera",
IF(COUNTIF('Queen Discography'!$G$4:$G$22,C24)&gt;0,"A Day At The Races",
IF(COUNTIF('Queen Discography'!$H$4:$H$22,C24)&gt;0,"News Of The World",
IF(COUNTIF('Queen Discography'!$I$4:$I$22,C24)&gt;0,"Jazz",
IF(COUNTIF('Queen Discography'!$J$4:$J$22,C24)&gt;0,"The Game",
IF(COUNTIF('Queen Discography'!$K$4:$K$22,C24)&gt;0,"Flash Gordon",
IF(COUNTIF('Queen Discography'!$L$4:$L$22,C24)&gt;0,"Hot Space",
IF(COUNTIF('Queen Discography'!$M$4:$M$22,C24)&gt;0,"The Works",
IF(COUNTIF('Queen Discography'!$N$4:$N$22,C24)&gt;0,"A Kind Of Magic",
IF(COUNTIF('Queen Discography'!$O$4:$O$22,C24)&gt;0,"The Miracle",
IF(COUNTIF('Queen Discography'!$P$4:$P$22,C24)&gt;0,"Innuendo",
IF(COUNTIF('Queen Discography'!$Q$4:$Q$22,C24)&gt;0,"Made In Heaven","NOT FOUND")))))))))))))))</f>
        <v>Innuendo</v>
      </c>
      <c r="I24" s="1"/>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
    </row>
    <row r="25">
      <c r="A25" s="1"/>
      <c r="C25" s="66" t="str">
        <f t="array" ref="C25">INDEX('Queen MIDI'!$C$4:$C$66,MATCH(F25,'Queen MIDI'!$D$4:$D$66,0))</f>
        <v>Bijou</v>
      </c>
      <c r="D25" s="117">
        <v>1.0</v>
      </c>
      <c r="E25" s="118" t="s">
        <v>401</v>
      </c>
      <c r="F25" s="66" t="str">
        <f t="shared" si="2"/>
        <v>Bijou.1.mid</v>
      </c>
      <c r="G25" s="129">
        <f>HLOOKUP(H25,'Queen Discography'!$C$2:$Q$3,2,FALSE)</f>
        <v>1991</v>
      </c>
      <c r="H25" s="66" t="str">
        <f>IF(COUNTIF('Queen Discography'!$C$4:$C$22,C25)&gt;0,"Queen",
IF(COUNTIF('Queen Discography'!$D$4:$D$22,C25)&gt;0,"Queen II",
IF(COUNTIF('Queen Discography'!$E$4:$E$22,C25)&gt;0,"Sheer Heart Attack",
IF(COUNTIF('Queen Discography'!$F$4:$F$22,C25)&gt;0,"A Night At The Opera",
IF(COUNTIF('Queen Discography'!$G$4:$G$22,C25)&gt;0,"A Day At The Races",
IF(COUNTIF('Queen Discography'!$H$4:$H$22,C25)&gt;0,"News Of The World",
IF(COUNTIF('Queen Discography'!$I$4:$I$22,C25)&gt;0,"Jazz",
IF(COUNTIF('Queen Discography'!$J$4:$J$22,C25)&gt;0,"The Game",
IF(COUNTIF('Queen Discography'!$K$4:$K$22,C25)&gt;0,"Flash Gordon",
IF(COUNTIF('Queen Discography'!$L$4:$L$22,C25)&gt;0,"Hot Space",
IF(COUNTIF('Queen Discography'!$M$4:$M$22,C25)&gt;0,"The Works",
IF(COUNTIF('Queen Discography'!$N$4:$N$22,C25)&gt;0,"A Kind Of Magic",
IF(COUNTIF('Queen Discography'!$O$4:$O$22,C25)&gt;0,"The Miracle",
IF(COUNTIF('Queen Discography'!$P$4:$P$22,C25)&gt;0,"Innuendo",
IF(COUNTIF('Queen Discography'!$Q$4:$Q$22,C25)&gt;0,"Made In Heaven","NOT FOUND")))))))))))))))</f>
        <v>Innuendo</v>
      </c>
      <c r="I25" s="1"/>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
    </row>
    <row r="26">
      <c r="A26" s="1"/>
      <c r="C26" s="66" t="str">
        <f t="array" ref="C26">INDEX('Queen MIDI'!$C$4:$C$66,MATCH(F26,'Queen MIDI'!$D$4:$D$66,0))</f>
        <v>Don't Try So Hard</v>
      </c>
      <c r="D26" s="117">
        <v>1.0</v>
      </c>
      <c r="E26" s="118" t="s">
        <v>402</v>
      </c>
      <c r="F26" s="66" t="str">
        <f t="shared" si="2"/>
        <v>Don_t Try So Hard.2.mid</v>
      </c>
      <c r="G26" s="126">
        <f>HLOOKUP(H26,'Queen Discography'!$C$2:$Q$3,2,FALSE)</f>
        <v>1991</v>
      </c>
      <c r="H26" s="66" t="str">
        <f>IF(COUNTIF('Queen Discography'!$C$4:$C$22,C26)&gt;0,"Queen",
IF(COUNTIF('Queen Discography'!$D$4:$D$22,C26)&gt;0,"Queen II",
IF(COUNTIF('Queen Discography'!$E$4:$E$22,C26)&gt;0,"Sheer Heart Attack",
IF(COUNTIF('Queen Discography'!$F$4:$F$22,C26)&gt;0,"A Night At The Opera",
IF(COUNTIF('Queen Discography'!$G$4:$G$22,C26)&gt;0,"A Day At The Races",
IF(COUNTIF('Queen Discography'!$H$4:$H$22,C26)&gt;0,"News Of The World",
IF(COUNTIF('Queen Discography'!$I$4:$I$22,C26)&gt;0,"Jazz",
IF(COUNTIF('Queen Discography'!$J$4:$J$22,C26)&gt;0,"The Game",
IF(COUNTIF('Queen Discography'!$K$4:$K$22,C26)&gt;0,"Flash Gordon",
IF(COUNTIF('Queen Discography'!$L$4:$L$22,C26)&gt;0,"Hot Space",
IF(COUNTIF('Queen Discography'!$M$4:$M$22,C26)&gt;0,"The Works",
IF(COUNTIF('Queen Discography'!$N$4:$N$22,C26)&gt;0,"A Kind Of Magic",
IF(COUNTIF('Queen Discography'!$O$4:$O$22,C26)&gt;0,"The Miracle",
IF(COUNTIF('Queen Discography'!$P$4:$P$22,C26)&gt;0,"Innuendo",
IF(COUNTIF('Queen Discography'!$Q$4:$Q$22,C26)&gt;0,"Made In Heaven","NOT FOUND")))))))))))))))</f>
        <v>Innuendo</v>
      </c>
      <c r="I26" s="1"/>
      <c r="J26" s="113"/>
      <c r="K26" s="1"/>
      <c r="L26" s="1"/>
      <c r="M26" s="1"/>
      <c r="N26" s="87"/>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row>
    <row r="27">
      <c r="A27" s="1"/>
      <c r="C27" s="66" t="str">
        <f t="array" ref="C27">INDEX('Queen MIDI'!$C$4:$C$66,MATCH(F27,'Queen MIDI'!$D$4:$D$66,0))</f>
        <v>I Can't Live With You</v>
      </c>
      <c r="D27" s="117">
        <v>1.0</v>
      </c>
      <c r="E27" s="118" t="s">
        <v>404</v>
      </c>
      <c r="F27" s="66" t="str">
        <f t="shared" si="2"/>
        <v>I Can_t Live With You.1.mid</v>
      </c>
      <c r="G27" s="128">
        <f>HLOOKUP(H27,'Queen Discography'!$C$2:$Q$3,2,FALSE)</f>
        <v>1991</v>
      </c>
      <c r="H27" s="66" t="str">
        <f>IF(COUNTIF('Queen Discography'!$C$4:$C$22,C27)&gt;0,"Queen",
IF(COUNTIF('Queen Discography'!$D$4:$D$22,C27)&gt;0,"Queen II",
IF(COUNTIF('Queen Discography'!$E$4:$E$22,C27)&gt;0,"Sheer Heart Attack",
IF(COUNTIF('Queen Discography'!$F$4:$F$22,C27)&gt;0,"A Night At The Opera",
IF(COUNTIF('Queen Discography'!$G$4:$G$22,C27)&gt;0,"A Day At The Races",
IF(COUNTIF('Queen Discography'!$H$4:$H$22,C27)&gt;0,"News Of The World",
IF(COUNTIF('Queen Discography'!$I$4:$I$22,C27)&gt;0,"Jazz",
IF(COUNTIF('Queen Discography'!$J$4:$J$22,C27)&gt;0,"The Game",
IF(COUNTIF('Queen Discography'!$K$4:$K$22,C27)&gt;0,"Flash Gordon",
IF(COUNTIF('Queen Discography'!$L$4:$L$22,C27)&gt;0,"Hot Space",
IF(COUNTIF('Queen Discography'!$M$4:$M$22,C27)&gt;0,"The Works",
IF(COUNTIF('Queen Discography'!$N$4:$N$22,C27)&gt;0,"A Kind Of Magic",
IF(COUNTIF('Queen Discography'!$O$4:$O$22,C27)&gt;0,"The Miracle",
IF(COUNTIF('Queen Discography'!$P$4:$P$22,C27)&gt;0,"Innuendo",
IF(COUNTIF('Queen Discography'!$Q$4:$Q$22,C27)&gt;0,"Made In Heaven","NOT FOUND")))))))))))))))</f>
        <v>Innuendo</v>
      </c>
      <c r="I27" s="1"/>
      <c r="J27" s="1"/>
      <c r="K27" s="1"/>
      <c r="L27" s="1"/>
      <c r="M27" s="1"/>
      <c r="N27" s="87"/>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row>
    <row r="28">
      <c r="A28" s="1"/>
      <c r="C28" s="66" t="str">
        <f t="array" ref="C28">INDEX('Queen MIDI'!$C$4:$C$66,MATCH(F28,'Queen MIDI'!$D$4:$D$66,0))</f>
        <v>Innuendo</v>
      </c>
      <c r="D28" s="117">
        <v>1.0</v>
      </c>
      <c r="E28" s="118" t="s">
        <v>406</v>
      </c>
      <c r="F28" s="66" t="str">
        <f t="shared" si="2"/>
        <v>Innuendo.mid</v>
      </c>
      <c r="G28" s="119">
        <f>HLOOKUP(H28,'Queen Discography'!$C$2:$Q$3,2,FALSE)</f>
        <v>1991</v>
      </c>
      <c r="H28" s="66" t="str">
        <f>IF(COUNTIF('Queen Discography'!$C$4:$C$22,C28)&gt;0,"Queen",
IF(COUNTIF('Queen Discography'!$D$4:$D$22,C28)&gt;0,"Queen II",
IF(COUNTIF('Queen Discography'!$E$4:$E$22,C28)&gt;0,"Sheer Heart Attack",
IF(COUNTIF('Queen Discography'!$F$4:$F$22,C28)&gt;0,"A Night At The Opera",
IF(COUNTIF('Queen Discography'!$G$4:$G$22,C28)&gt;0,"A Day At The Races",
IF(COUNTIF('Queen Discography'!$H$4:$H$22,C28)&gt;0,"News Of The World",
IF(COUNTIF('Queen Discography'!$I$4:$I$22,C28)&gt;0,"Jazz",
IF(COUNTIF('Queen Discography'!$J$4:$J$22,C28)&gt;0,"The Game",
IF(COUNTIF('Queen Discography'!$K$4:$K$22,C28)&gt;0,"Flash Gordon",
IF(COUNTIF('Queen Discography'!$L$4:$L$22,C28)&gt;0,"Hot Space",
IF(COUNTIF('Queen Discography'!$M$4:$M$22,C28)&gt;0,"The Works",
IF(COUNTIF('Queen Discography'!$N$4:$N$22,C28)&gt;0,"A Kind Of Magic",
IF(COUNTIF('Queen Discography'!$O$4:$O$22,C28)&gt;0,"The Miracle",
IF(COUNTIF('Queen Discography'!$P$4:$P$22,C28)&gt;0,"Innuendo",
IF(COUNTIF('Queen Discography'!$Q$4:$Q$22,C28)&gt;0,"Made In Heaven","NOT FOUND")))))))))))))))</f>
        <v>Innuendo</v>
      </c>
      <c r="I28" s="1"/>
      <c r="J28" s="1"/>
      <c r="K28" s="1"/>
      <c r="L28" s="1"/>
      <c r="M28" s="1"/>
      <c r="N28" s="87"/>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c r="A29" s="1"/>
      <c r="C29" s="66" t="str">
        <f t="array" ref="C29">INDEX('Queen MIDI'!$C$4:$C$66,MATCH(F29,'Queen MIDI'!$D$4:$D$66,0))</f>
        <v>I'm Going Slightly Mad</v>
      </c>
      <c r="D29" s="117">
        <v>1.0</v>
      </c>
      <c r="E29" s="118" t="s">
        <v>405</v>
      </c>
      <c r="F29" s="66" t="str">
        <f t="shared" si="2"/>
        <v>I_m Going Slightly Mad.2.mid</v>
      </c>
      <c r="G29" s="121">
        <f>HLOOKUP(H29,'Queen Discography'!$C$2:$Q$3,2,FALSE)</f>
        <v>1991</v>
      </c>
      <c r="H29" s="66" t="str">
        <f>IF(COUNTIF('Queen Discography'!$C$4:$C$22,C29)&gt;0,"Queen",
IF(COUNTIF('Queen Discography'!$D$4:$D$22,C29)&gt;0,"Queen II",
IF(COUNTIF('Queen Discography'!$E$4:$E$22,C29)&gt;0,"Sheer Heart Attack",
IF(COUNTIF('Queen Discography'!$F$4:$F$22,C29)&gt;0,"A Night At The Opera",
IF(COUNTIF('Queen Discography'!$G$4:$G$22,C29)&gt;0,"A Day At The Races",
IF(COUNTIF('Queen Discography'!$H$4:$H$22,C29)&gt;0,"News Of The World",
IF(COUNTIF('Queen Discography'!$I$4:$I$22,C29)&gt;0,"Jazz",
IF(COUNTIF('Queen Discography'!$J$4:$J$22,C29)&gt;0,"The Game",
IF(COUNTIF('Queen Discography'!$K$4:$K$22,C29)&gt;0,"Flash Gordon",
IF(COUNTIF('Queen Discography'!$L$4:$L$22,C29)&gt;0,"Hot Space",
IF(COUNTIF('Queen Discography'!$M$4:$M$22,C29)&gt;0,"The Works",
IF(COUNTIF('Queen Discography'!$N$4:$N$22,C29)&gt;0,"A Kind Of Magic",
IF(COUNTIF('Queen Discography'!$O$4:$O$22,C29)&gt;0,"The Miracle",
IF(COUNTIF('Queen Discography'!$P$4:$P$22,C29)&gt;0,"Innuendo",
IF(COUNTIF('Queen Discography'!$Q$4:$Q$22,C29)&gt;0,"Made In Heaven","NOT FOUND")))))))))))))))</f>
        <v>Innuendo</v>
      </c>
      <c r="I29" s="1"/>
      <c r="J29" s="1"/>
      <c r="K29" s="1"/>
      <c r="L29" s="1"/>
      <c r="M29" s="1"/>
      <c r="N29" s="87"/>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row>
    <row r="30">
      <c r="A30" s="1"/>
      <c r="C30" s="66" t="str">
        <f t="array" ref="C30">INDEX('Queen MIDI'!$C$4:$C$66,MATCH(F30,'Queen MIDI'!$D$4:$D$66,0))</f>
        <v>The Show Must Go On</v>
      </c>
      <c r="D30" s="117">
        <v>1.0</v>
      </c>
      <c r="E30" s="118" t="s">
        <v>407</v>
      </c>
      <c r="F30" s="66" t="str">
        <f t="shared" si="2"/>
        <v>The Show Must Go On.mid</v>
      </c>
      <c r="G30" s="120">
        <f>HLOOKUP(H30,'Queen Discography'!$C$2:$Q$3,2,FALSE)</f>
        <v>1991</v>
      </c>
      <c r="H30" s="66" t="str">
        <f>IF(COUNTIF('Queen Discography'!$C$4:$C$22,C30)&gt;0,"Queen",
IF(COUNTIF('Queen Discography'!$D$4:$D$22,C30)&gt;0,"Queen II",
IF(COUNTIF('Queen Discography'!$E$4:$E$22,C30)&gt;0,"Sheer Heart Attack",
IF(COUNTIF('Queen Discography'!$F$4:$F$22,C30)&gt;0,"A Night At The Opera",
IF(COUNTIF('Queen Discography'!$G$4:$G$22,C30)&gt;0,"A Day At The Races",
IF(COUNTIF('Queen Discography'!$H$4:$H$22,C30)&gt;0,"News Of The World",
IF(COUNTIF('Queen Discography'!$I$4:$I$22,C30)&gt;0,"Jazz",
IF(COUNTIF('Queen Discography'!$J$4:$J$22,C30)&gt;0,"The Game",
IF(COUNTIF('Queen Discography'!$K$4:$K$22,C30)&gt;0,"Flash Gordon",
IF(COUNTIF('Queen Discography'!$L$4:$L$22,C30)&gt;0,"Hot Space",
IF(COUNTIF('Queen Discography'!$M$4:$M$22,C30)&gt;0,"The Works",
IF(COUNTIF('Queen Discography'!$N$4:$N$22,C30)&gt;0,"A Kind Of Magic",
IF(COUNTIF('Queen Discography'!$O$4:$O$22,C30)&gt;0,"The Miracle",
IF(COUNTIF('Queen Discography'!$P$4:$P$22,C30)&gt;0,"Innuendo",
IF(COUNTIF('Queen Discography'!$Q$4:$Q$22,C30)&gt;0,"Made In Heaven","NOT FOUND")))))))))))))))</f>
        <v>Innuendo</v>
      </c>
      <c r="I30" s="1"/>
      <c r="J30" s="1"/>
      <c r="K30" s="1"/>
      <c r="L30" s="1"/>
      <c r="M30" s="1"/>
      <c r="N30" s="87"/>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row>
    <row r="31">
      <c r="A31" s="1"/>
      <c r="C31" s="66" t="str">
        <f t="array" ref="C31">INDEX('Queen MIDI'!$C$4:$C$66,MATCH(F31,'Queen MIDI'!$D$4:$D$66,0))</f>
        <v>I Was Born to Love You</v>
      </c>
      <c r="D31" s="117">
        <v>1.0</v>
      </c>
      <c r="E31" s="118" t="s">
        <v>410</v>
      </c>
      <c r="F31" s="66" t="str">
        <f t="shared" si="2"/>
        <v>I Was Born to Love You.mid</v>
      </c>
      <c r="G31" s="119">
        <f>HLOOKUP(H31,'Queen Discography'!$C$2:$Q$3,2,FALSE)</f>
        <v>1995</v>
      </c>
      <c r="H31" s="66" t="str">
        <f>IF(COUNTIF('Queen Discography'!$C$4:$C$22,C31)&gt;0,"Queen",
IF(COUNTIF('Queen Discography'!$D$4:$D$22,C31)&gt;0,"Queen II",
IF(COUNTIF('Queen Discography'!$E$4:$E$22,C31)&gt;0,"Sheer Heart Attack",
IF(COUNTIF('Queen Discography'!$F$4:$F$22,C31)&gt;0,"A Night At The Opera",
IF(COUNTIF('Queen Discography'!$G$4:$G$22,C31)&gt;0,"A Day At The Races",
IF(COUNTIF('Queen Discography'!$H$4:$H$22,C31)&gt;0,"News Of The World",
IF(COUNTIF('Queen Discography'!$I$4:$I$22,C31)&gt;0,"Jazz",
IF(COUNTIF('Queen Discography'!$J$4:$J$22,C31)&gt;0,"The Game",
IF(COUNTIF('Queen Discography'!$K$4:$K$22,C31)&gt;0,"Flash Gordon",
IF(COUNTIF('Queen Discography'!$L$4:$L$22,C31)&gt;0,"Hot Space",
IF(COUNTIF('Queen Discography'!$M$4:$M$22,C31)&gt;0,"The Works",
IF(COUNTIF('Queen Discography'!$N$4:$N$22,C31)&gt;0,"A Kind Of Magic",
IF(COUNTIF('Queen Discography'!$O$4:$O$22,C31)&gt;0,"The Miracle",
IF(COUNTIF('Queen Discography'!$P$4:$P$22,C31)&gt;0,"Innuendo",
IF(COUNTIF('Queen Discography'!$Q$4:$Q$22,C31)&gt;0,"Made In Heaven","NOT FOUND")))))))))))))))</f>
        <v>Made In Heaven</v>
      </c>
      <c r="I31" s="1"/>
      <c r="J31" s="1"/>
      <c r="K31" s="1"/>
      <c r="L31" s="1"/>
      <c r="M31" s="1"/>
      <c r="N31" s="87"/>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c r="A32" s="1"/>
      <c r="C32" s="66" t="str">
        <f t="array" ref="C32">INDEX('Queen MIDI'!$C$4:$C$66,MATCH(F32,'Queen MIDI'!$D$4:$D$66,0))</f>
        <v>Made in Heaven</v>
      </c>
      <c r="D32" s="117">
        <v>1.0</v>
      </c>
      <c r="E32" s="118" t="s">
        <v>411</v>
      </c>
      <c r="F32" s="66" t="str">
        <f t="shared" si="2"/>
        <v>Made in Heaven.mid</v>
      </c>
      <c r="G32" s="127">
        <f>HLOOKUP(H32,'Queen Discography'!$C$2:$Q$3,2,FALSE)</f>
        <v>1995</v>
      </c>
      <c r="H32" s="66" t="str">
        <f>IF(COUNTIF('Queen Discography'!$C$4:$C$22,C32)&gt;0,"Queen",
IF(COUNTIF('Queen Discography'!$D$4:$D$22,C32)&gt;0,"Queen II",
IF(COUNTIF('Queen Discography'!$E$4:$E$22,C32)&gt;0,"Sheer Heart Attack",
IF(COUNTIF('Queen Discography'!$F$4:$F$22,C32)&gt;0,"A Night At The Opera",
IF(COUNTIF('Queen Discography'!$G$4:$G$22,C32)&gt;0,"A Day At The Races",
IF(COUNTIF('Queen Discography'!$H$4:$H$22,C32)&gt;0,"News Of The World",
IF(COUNTIF('Queen Discography'!$I$4:$I$22,C32)&gt;0,"Jazz",
IF(COUNTIF('Queen Discography'!$J$4:$J$22,C32)&gt;0,"The Game",
IF(COUNTIF('Queen Discography'!$K$4:$K$22,C32)&gt;0,"Flash Gordon",
IF(COUNTIF('Queen Discography'!$L$4:$L$22,C32)&gt;0,"Hot Space",
IF(COUNTIF('Queen Discography'!$M$4:$M$22,C32)&gt;0,"The Works",
IF(COUNTIF('Queen Discography'!$N$4:$N$22,C32)&gt;0,"A Kind Of Magic",
IF(COUNTIF('Queen Discography'!$O$4:$O$22,C32)&gt;0,"The Miracle",
IF(COUNTIF('Queen Discography'!$P$4:$P$22,C32)&gt;0,"Innuendo",
IF(COUNTIF('Queen Discography'!$Q$4:$Q$22,C32)&gt;0,"Made In Heaven","NOT FOUND")))))))))))))))</f>
        <v>Made In Heaven</v>
      </c>
      <c r="I32" s="1"/>
      <c r="J32" s="1"/>
      <c r="K32" s="1"/>
      <c r="L32" s="1"/>
      <c r="M32" s="1"/>
      <c r="N32" s="87"/>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row>
    <row r="33">
      <c r="A33" s="1"/>
      <c r="C33" s="66" t="str">
        <f t="array" ref="C33">INDEX('Queen MIDI'!$C$4:$C$66,MATCH(F33,'Queen MIDI'!$D$4:$D$66,0))</f>
        <v>My Life Has Been Saved</v>
      </c>
      <c r="D33" s="117">
        <v>1.0</v>
      </c>
      <c r="E33" s="118" t="s">
        <v>413</v>
      </c>
      <c r="F33" s="66" t="str">
        <f t="shared" si="2"/>
        <v>My Life Has Been Saved.mid</v>
      </c>
      <c r="G33" s="128">
        <f>HLOOKUP(H33,'Queen Discography'!$C$2:$Q$3,2,FALSE)</f>
        <v>1995</v>
      </c>
      <c r="H33" s="66" t="str">
        <f>IF(COUNTIF('Queen Discography'!$C$4:$C$22,C33)&gt;0,"Queen",
IF(COUNTIF('Queen Discography'!$D$4:$D$22,C33)&gt;0,"Queen II",
IF(COUNTIF('Queen Discography'!$E$4:$E$22,C33)&gt;0,"Sheer Heart Attack",
IF(COUNTIF('Queen Discography'!$F$4:$F$22,C33)&gt;0,"A Night At The Opera",
IF(COUNTIF('Queen Discography'!$G$4:$G$22,C33)&gt;0,"A Day At The Races",
IF(COUNTIF('Queen Discography'!$H$4:$H$22,C33)&gt;0,"News Of The World",
IF(COUNTIF('Queen Discography'!$I$4:$I$22,C33)&gt;0,"Jazz",
IF(COUNTIF('Queen Discography'!$J$4:$J$22,C33)&gt;0,"The Game",
IF(COUNTIF('Queen Discography'!$K$4:$K$22,C33)&gt;0,"Flash Gordon",
IF(COUNTIF('Queen Discography'!$L$4:$L$22,C33)&gt;0,"Hot Space",
IF(COUNTIF('Queen Discography'!$M$4:$M$22,C33)&gt;0,"The Works",
IF(COUNTIF('Queen Discography'!$N$4:$N$22,C33)&gt;0,"A Kind Of Magic",
IF(COUNTIF('Queen Discography'!$O$4:$O$22,C33)&gt;0,"The Miracle",
IF(COUNTIF('Queen Discography'!$P$4:$P$22,C33)&gt;0,"Innuendo",
IF(COUNTIF('Queen Discography'!$Q$4:$Q$22,C33)&gt;0,"Made In Heaven","NOT FOUND")))))))))))))))</f>
        <v>Made In Heaven</v>
      </c>
      <c r="I33" s="1"/>
      <c r="J33" s="1"/>
      <c r="K33" s="1"/>
      <c r="L33" s="1"/>
      <c r="M33" s="1"/>
      <c r="N33" s="87"/>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row>
    <row r="34">
      <c r="A34" s="1"/>
      <c r="C34" s="66" t="str">
        <f t="array" ref="C34">INDEX('Queen MIDI'!$C$4:$C$66,MATCH(F34,'Queen MIDI'!$D$4:$D$66,0))</f>
        <v>Too Much Love Will Kill You</v>
      </c>
      <c r="D34" s="117">
        <v>1.0</v>
      </c>
      <c r="E34" s="118" t="s">
        <v>414</v>
      </c>
      <c r="F34" s="66" t="str">
        <f t="shared" si="2"/>
        <v>Too Much Love Will Kill You.3.mid</v>
      </c>
      <c r="G34" s="120">
        <f>HLOOKUP(H34,'Queen Discography'!$C$2:$Q$3,2,FALSE)</f>
        <v>1995</v>
      </c>
      <c r="H34" s="66" t="str">
        <f>IF(COUNTIF('Queen Discography'!$C$4:$C$22,C34)&gt;0,"Queen",
IF(COUNTIF('Queen Discography'!$D$4:$D$22,C34)&gt;0,"Queen II",
IF(COUNTIF('Queen Discography'!$E$4:$E$22,C34)&gt;0,"Sheer Heart Attack",
IF(COUNTIF('Queen Discography'!$F$4:$F$22,C34)&gt;0,"A Night At The Opera",
IF(COUNTIF('Queen Discography'!$G$4:$G$22,C34)&gt;0,"A Day At The Races",
IF(COUNTIF('Queen Discography'!$H$4:$H$22,C34)&gt;0,"News Of The World",
IF(COUNTIF('Queen Discography'!$I$4:$I$22,C34)&gt;0,"Jazz",
IF(COUNTIF('Queen Discography'!$J$4:$J$22,C34)&gt;0,"The Game",
IF(COUNTIF('Queen Discography'!$K$4:$K$22,C34)&gt;0,"Flash Gordon",
IF(COUNTIF('Queen Discography'!$L$4:$L$22,C34)&gt;0,"Hot Space",
IF(COUNTIF('Queen Discography'!$M$4:$M$22,C34)&gt;0,"The Works",
IF(COUNTIF('Queen Discography'!$N$4:$N$22,C34)&gt;0,"A Kind Of Magic",
IF(COUNTIF('Queen Discography'!$O$4:$O$22,C34)&gt;0,"The Miracle",
IF(COUNTIF('Queen Discography'!$P$4:$P$22,C34)&gt;0,"Innuendo",
IF(COUNTIF('Queen Discography'!$Q$4:$Q$22,C34)&gt;0,"Made In Heaven","NOT FOUND")))))))))))))))</f>
        <v>Made In Heaven</v>
      </c>
      <c r="I34" s="1"/>
      <c r="J34" s="1"/>
      <c r="K34" s="1"/>
      <c r="L34" s="1"/>
      <c r="M34" s="1"/>
      <c r="N34" s="87"/>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row>
    <row r="35">
      <c r="A35" s="1"/>
      <c r="C35" s="66" t="str">
        <f t="array" ref="C35">INDEX('Queen MIDI'!$C$4:$C$66,MATCH(F35,'Queen MIDI'!$D$4:$D$66,0))</f>
        <v>Bohemian Rhapsody</v>
      </c>
      <c r="D35" s="117">
        <v>2.0</v>
      </c>
      <c r="E35" s="118" t="s">
        <v>366</v>
      </c>
      <c r="F35" s="66" t="str">
        <f t="shared" si="2"/>
        <v>Bohemian Rhapsody.1.mid</v>
      </c>
      <c r="G35" s="129">
        <f>HLOOKUP(H35,'Queen Discography'!$C$2:$Q$3,2,FALSE)</f>
        <v>1975</v>
      </c>
      <c r="H35" s="66" t="str">
        <f>IF(COUNTIF('Queen Discography'!$C$4:$C$22,C35)&gt;0,"Queen",
IF(COUNTIF('Queen Discography'!$D$4:$D$22,C35)&gt;0,"Queen II",
IF(COUNTIF('Queen Discography'!$E$4:$E$22,C35)&gt;0,"Sheer Heart Attack",
IF(COUNTIF('Queen Discography'!$F$4:$F$22,C35)&gt;0,"A Night At The Opera",
IF(COUNTIF('Queen Discography'!$G$4:$G$22,C35)&gt;0,"A Day At The Races",
IF(COUNTIF('Queen Discography'!$H$4:$H$22,C35)&gt;0,"News Of The World",
IF(COUNTIF('Queen Discography'!$I$4:$I$22,C35)&gt;0,"Jazz",
IF(COUNTIF('Queen Discography'!$J$4:$J$22,C35)&gt;0,"The Game",
IF(COUNTIF('Queen Discography'!$K$4:$K$22,C35)&gt;0,"Flash Gordon",
IF(COUNTIF('Queen Discography'!$L$4:$L$22,C35)&gt;0,"Hot Space",
IF(COUNTIF('Queen Discography'!$M$4:$M$22,C35)&gt;0,"The Works",
IF(COUNTIF('Queen Discography'!$N$4:$N$22,C35)&gt;0,"A Kind Of Magic",
IF(COUNTIF('Queen Discography'!$O$4:$O$22,C35)&gt;0,"The Miracle",
IF(COUNTIF('Queen Discography'!$P$4:$P$22,C35)&gt;0,"Innuendo",
IF(COUNTIF('Queen Discography'!$Q$4:$Q$22,C35)&gt;0,"Made In Heaven","NOT FOUND")))))))))))))))</f>
        <v>A Night At The Opera</v>
      </c>
      <c r="I35" s="1"/>
      <c r="J35" s="1"/>
      <c r="K35" s="1"/>
      <c r="L35" s="1"/>
      <c r="M35" s="1"/>
      <c r="N35" s="87"/>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row>
    <row r="36">
      <c r="A36" s="1"/>
      <c r="C36" s="66" t="str">
        <f t="array" ref="C36">INDEX('Queen MIDI'!$C$4:$C$66,MATCH(F36,'Queen MIDI'!$D$4:$D$66,0))</f>
        <v>Somebody to Love</v>
      </c>
      <c r="D36" s="117">
        <v>2.0</v>
      </c>
      <c r="E36" s="118" t="s">
        <v>371</v>
      </c>
      <c r="F36" s="66" t="str">
        <f t="shared" si="2"/>
        <v>Somebody to Love.3.mid</v>
      </c>
      <c r="G36" s="120">
        <f>HLOOKUP(H36,'Queen Discography'!$C$2:$Q$3,2,FALSE)</f>
        <v>1976</v>
      </c>
      <c r="H36" s="66" t="str">
        <f>IF(COUNTIF('Queen Discography'!$C$4:$C$22,C36)&gt;0,"Queen",
IF(COUNTIF('Queen Discography'!$D$4:$D$22,C36)&gt;0,"Queen II",
IF(COUNTIF('Queen Discography'!$E$4:$E$22,C36)&gt;0,"Sheer Heart Attack",
IF(COUNTIF('Queen Discography'!$F$4:$F$22,C36)&gt;0,"A Night At The Opera",
IF(COUNTIF('Queen Discography'!$G$4:$G$22,C36)&gt;0,"A Day At The Races",
IF(COUNTIF('Queen Discography'!$H$4:$H$22,C36)&gt;0,"News Of The World",
IF(COUNTIF('Queen Discography'!$I$4:$I$22,C36)&gt;0,"Jazz",
IF(COUNTIF('Queen Discography'!$J$4:$J$22,C36)&gt;0,"The Game",
IF(COUNTIF('Queen Discography'!$K$4:$K$22,C36)&gt;0,"Flash Gordon",
IF(COUNTIF('Queen Discography'!$L$4:$L$22,C36)&gt;0,"Hot Space",
IF(COUNTIF('Queen Discography'!$M$4:$M$22,C36)&gt;0,"The Works",
IF(COUNTIF('Queen Discography'!$N$4:$N$22,C36)&gt;0,"A Kind Of Magic",
IF(COUNTIF('Queen Discography'!$O$4:$O$22,C36)&gt;0,"The Miracle",
IF(COUNTIF('Queen Discography'!$P$4:$P$22,C36)&gt;0,"Innuendo",
IF(COUNTIF('Queen Discography'!$Q$4:$Q$22,C36)&gt;0,"Made In Heaven","NOT FOUND")))))))))))))))</f>
        <v>A Day At The Races</v>
      </c>
      <c r="I36" s="1"/>
      <c r="J36" s="1"/>
      <c r="K36" s="1"/>
      <c r="L36" s="1"/>
      <c r="M36" s="87"/>
      <c r="N36" s="87"/>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row>
    <row r="37">
      <c r="A37" s="1"/>
      <c r="C37" s="66" t="str">
        <f t="array" ref="C37">INDEX('Queen MIDI'!$C$4:$C$66,MATCH(F37,'Queen MIDI'!$D$4:$D$66,0))</f>
        <v>White Man</v>
      </c>
      <c r="D37" s="117">
        <v>2.0</v>
      </c>
      <c r="E37" s="118" t="s">
        <v>372</v>
      </c>
      <c r="F37" s="66" t="str">
        <f t="shared" si="2"/>
        <v>White Man.mid</v>
      </c>
      <c r="G37" s="124">
        <f>HLOOKUP(H37,'Queen Discography'!$C$2:$Q$3,2,FALSE)</f>
        <v>1976</v>
      </c>
      <c r="H37" s="66" t="str">
        <f>IF(COUNTIF('Queen Discography'!$C$4:$C$22,C37)&gt;0,"Queen",
IF(COUNTIF('Queen Discography'!$D$4:$D$22,C37)&gt;0,"Queen II",
IF(COUNTIF('Queen Discography'!$E$4:$E$22,C37)&gt;0,"Sheer Heart Attack",
IF(COUNTIF('Queen Discography'!$F$4:$F$22,C37)&gt;0,"A Night At The Opera",
IF(COUNTIF('Queen Discography'!$G$4:$G$22,C37)&gt;0,"A Day At The Races",
IF(COUNTIF('Queen Discography'!$H$4:$H$22,C37)&gt;0,"News Of The World",
IF(COUNTIF('Queen Discography'!$I$4:$I$22,C37)&gt;0,"Jazz",
IF(COUNTIF('Queen Discography'!$J$4:$J$22,C37)&gt;0,"The Game",
IF(COUNTIF('Queen Discography'!$K$4:$K$22,C37)&gt;0,"Flash Gordon",
IF(COUNTIF('Queen Discography'!$L$4:$L$22,C37)&gt;0,"Hot Space",
IF(COUNTIF('Queen Discography'!$M$4:$M$22,C37)&gt;0,"The Works",
IF(COUNTIF('Queen Discography'!$N$4:$N$22,C37)&gt;0,"A Kind Of Magic",
IF(COUNTIF('Queen Discography'!$O$4:$O$22,C37)&gt;0,"The Miracle",
IF(COUNTIF('Queen Discography'!$P$4:$P$22,C37)&gt;0,"Innuendo",
IF(COUNTIF('Queen Discography'!$Q$4:$Q$22,C37)&gt;0,"Made In Heaven","NOT FOUND")))))))))))))))</f>
        <v>A Day At The Races</v>
      </c>
      <c r="I37" s="1"/>
      <c r="J37" s="1"/>
      <c r="K37" s="1"/>
      <c r="L37" s="1"/>
      <c r="M37" s="87"/>
      <c r="N37" s="87"/>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row>
    <row r="38">
      <c r="A38" s="1"/>
      <c r="C38" s="66" t="str">
        <f t="array" ref="C38">INDEX('Queen MIDI'!$C$4:$C$66,MATCH(F38,'Queen MIDI'!$D$4:$D$66,0))</f>
        <v>Don't Stop Me Now</v>
      </c>
      <c r="D38" s="117">
        <v>2.0</v>
      </c>
      <c r="E38" s="118" t="s">
        <v>377</v>
      </c>
      <c r="F38" s="66" t="str">
        <f t="shared" si="2"/>
        <v>Don_t Stop Me Now.1.mid</v>
      </c>
      <c r="G38" s="130">
        <f>HLOOKUP(H38,'Queen Discography'!$C$2:$Q$3,2,FALSE)</f>
        <v>1978</v>
      </c>
      <c r="H38" s="66" t="str">
        <f>IF(COUNTIF('Queen Discography'!$C$4:$C$22,C38)&gt;0,"Queen",
IF(COUNTIF('Queen Discography'!$D$4:$D$22,C38)&gt;0,"Queen II",
IF(COUNTIF('Queen Discography'!$E$4:$E$22,C38)&gt;0,"Sheer Heart Attack",
IF(COUNTIF('Queen Discography'!$F$4:$F$22,C38)&gt;0,"A Night At The Opera",
IF(COUNTIF('Queen Discography'!$G$4:$G$22,C38)&gt;0,"A Day At The Races",
IF(COUNTIF('Queen Discography'!$H$4:$H$22,C38)&gt;0,"News Of The World",
IF(COUNTIF('Queen Discography'!$I$4:$I$22,C38)&gt;0,"Jazz",
IF(COUNTIF('Queen Discography'!$J$4:$J$22,C38)&gt;0,"The Game",
IF(COUNTIF('Queen Discography'!$K$4:$K$22,C38)&gt;0,"Flash Gordon",
IF(COUNTIF('Queen Discography'!$L$4:$L$22,C38)&gt;0,"Hot Space",
IF(COUNTIF('Queen Discography'!$M$4:$M$22,C38)&gt;0,"The Works",
IF(COUNTIF('Queen Discography'!$N$4:$N$22,C38)&gt;0,"A Kind Of Magic",
IF(COUNTIF('Queen Discography'!$O$4:$O$22,C38)&gt;0,"The Miracle",
IF(COUNTIF('Queen Discography'!$P$4:$P$22,C38)&gt;0,"Innuendo",
IF(COUNTIF('Queen Discography'!$Q$4:$Q$22,C38)&gt;0,"Made In Heaven","NOT FOUND")))))))))))))))</f>
        <v>Jazz</v>
      </c>
      <c r="I38" s="1"/>
      <c r="J38" s="1"/>
      <c r="K38" s="1"/>
      <c r="L38" s="1"/>
      <c r="M38" s="87"/>
      <c r="N38" s="87"/>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c r="A39" s="1"/>
      <c r="C39" s="66" t="str">
        <f t="array" ref="C39">INDEX('Queen MIDI'!$C$4:$C$66,MATCH(F39,'Queen MIDI'!$D$4:$D$66,0))</f>
        <v>Crazy Little Thing Called Love</v>
      </c>
      <c r="D39" s="117">
        <v>2.0</v>
      </c>
      <c r="E39" s="118" t="s">
        <v>382</v>
      </c>
      <c r="F39" s="66" t="str">
        <f t="shared" si="2"/>
        <v>Crazy Little Thing Called Love.2.mid</v>
      </c>
      <c r="G39" s="126">
        <f>HLOOKUP(H39,'Queen Discography'!$C$2:$Q$3,2,FALSE)</f>
        <v>1980</v>
      </c>
      <c r="H39" s="66" t="str">
        <f>IF(COUNTIF('Queen Discography'!$C$4:$C$22,C39)&gt;0,"Queen",
IF(COUNTIF('Queen Discography'!$D$4:$D$22,C39)&gt;0,"Queen II",
IF(COUNTIF('Queen Discography'!$E$4:$E$22,C39)&gt;0,"Sheer Heart Attack",
IF(COUNTIF('Queen Discography'!$F$4:$F$22,C39)&gt;0,"A Night At The Opera",
IF(COUNTIF('Queen Discography'!$G$4:$G$22,C39)&gt;0,"A Day At The Races",
IF(COUNTIF('Queen Discography'!$H$4:$H$22,C39)&gt;0,"News Of The World",
IF(COUNTIF('Queen Discography'!$I$4:$I$22,C39)&gt;0,"Jazz",
IF(COUNTIF('Queen Discography'!$J$4:$J$22,C39)&gt;0,"The Game",
IF(COUNTIF('Queen Discography'!$K$4:$K$22,C39)&gt;0,"Flash Gordon",
IF(COUNTIF('Queen Discography'!$L$4:$L$22,C39)&gt;0,"Hot Space",
IF(COUNTIF('Queen Discography'!$M$4:$M$22,C39)&gt;0,"The Works",
IF(COUNTIF('Queen Discography'!$N$4:$N$22,C39)&gt;0,"A Kind Of Magic",
IF(COUNTIF('Queen Discography'!$O$4:$O$22,C39)&gt;0,"The Miracle",
IF(COUNTIF('Queen Discography'!$P$4:$P$22,C39)&gt;0,"Innuendo",
IF(COUNTIF('Queen Discography'!$Q$4:$Q$22,C39)&gt;0,"Made In Heaven","NOT FOUND")))))))))))))))</f>
        <v>The Game</v>
      </c>
      <c r="I39" s="1"/>
      <c r="J39" s="1"/>
      <c r="K39" s="1"/>
      <c r="L39" s="1"/>
      <c r="M39" s="87"/>
      <c r="N39" s="87"/>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row>
    <row r="40">
      <c r="A40" s="1"/>
      <c r="C40" s="66" t="str">
        <f t="array" ref="C40">INDEX('Queen MIDI'!$C$4:$C$66,MATCH(F40,'Queen MIDI'!$D$4:$D$66,0))</f>
        <v>Hammer to Fall</v>
      </c>
      <c r="D40" s="117">
        <v>2.0</v>
      </c>
      <c r="E40" s="118" t="s">
        <v>386</v>
      </c>
      <c r="F40" s="66" t="str">
        <f t="shared" si="2"/>
        <v>Hammer to Fall.mid</v>
      </c>
      <c r="G40" s="128">
        <f>HLOOKUP(H40,'Queen Discography'!$C$2:$Q$3,2,FALSE)</f>
        <v>1984</v>
      </c>
      <c r="H40" s="66" t="str">
        <f>IF(COUNTIF('Queen Discography'!$C$4:$C$22,C40)&gt;0,"Queen",
IF(COUNTIF('Queen Discography'!$D$4:$D$22,C40)&gt;0,"Queen II",
IF(COUNTIF('Queen Discography'!$E$4:$E$22,C40)&gt;0,"Sheer Heart Attack",
IF(COUNTIF('Queen Discography'!$F$4:$F$22,C40)&gt;0,"A Night At The Opera",
IF(COUNTIF('Queen Discography'!$G$4:$G$22,C40)&gt;0,"A Day At The Races",
IF(COUNTIF('Queen Discography'!$H$4:$H$22,C40)&gt;0,"News Of The World",
IF(COUNTIF('Queen Discography'!$I$4:$I$22,C40)&gt;0,"Jazz",
IF(COUNTIF('Queen Discography'!$J$4:$J$22,C40)&gt;0,"The Game",
IF(COUNTIF('Queen Discography'!$K$4:$K$22,C40)&gt;0,"Flash Gordon",
IF(COUNTIF('Queen Discography'!$L$4:$L$22,C40)&gt;0,"Hot Space",
IF(COUNTIF('Queen Discography'!$M$4:$M$22,C40)&gt;0,"The Works",
IF(COUNTIF('Queen Discography'!$N$4:$N$22,C40)&gt;0,"A Kind Of Magic",
IF(COUNTIF('Queen Discography'!$O$4:$O$22,C40)&gt;0,"The Miracle",
IF(COUNTIF('Queen Discography'!$P$4:$P$22,C40)&gt;0,"Innuendo",
IF(COUNTIF('Queen Discography'!$Q$4:$Q$22,C40)&gt;0,"Made In Heaven","NOT FOUND")))))))))))))))</f>
        <v>The Works</v>
      </c>
      <c r="I40" s="1"/>
      <c r="J40" s="1"/>
      <c r="K40" s="1"/>
      <c r="L40" s="1"/>
      <c r="M40" s="87"/>
      <c r="N40" s="87"/>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row>
    <row r="41">
      <c r="A41" s="1"/>
      <c r="C41" s="66" t="str">
        <f t="array" ref="C41">INDEX('Queen MIDI'!$C$4:$C$66,MATCH(F41,'Queen MIDI'!$D$4:$D$66,0))</f>
        <v>Radio Ga Ga</v>
      </c>
      <c r="D41" s="117">
        <v>2.0</v>
      </c>
      <c r="E41" s="118" t="s">
        <v>389</v>
      </c>
      <c r="F41" s="66" t="str">
        <f t="shared" si="2"/>
        <v>Radio Ga Ga.5.mid</v>
      </c>
      <c r="G41" s="120">
        <f>HLOOKUP(H41,'Queen Discography'!$C$2:$Q$3,2,FALSE)</f>
        <v>1984</v>
      </c>
      <c r="H41" s="66" t="str">
        <f>IF(COUNTIF('Queen Discography'!$C$4:$C$22,C41)&gt;0,"Queen",
IF(COUNTIF('Queen Discography'!$D$4:$D$22,C41)&gt;0,"Queen II",
IF(COUNTIF('Queen Discography'!$E$4:$E$22,C41)&gt;0,"Sheer Heart Attack",
IF(COUNTIF('Queen Discography'!$F$4:$F$22,C41)&gt;0,"A Night At The Opera",
IF(COUNTIF('Queen Discography'!$G$4:$G$22,C41)&gt;0,"A Day At The Races",
IF(COUNTIF('Queen Discography'!$H$4:$H$22,C41)&gt;0,"News Of The World",
IF(COUNTIF('Queen Discography'!$I$4:$I$22,C41)&gt;0,"Jazz",
IF(COUNTIF('Queen Discography'!$J$4:$J$22,C41)&gt;0,"The Game",
IF(COUNTIF('Queen Discography'!$K$4:$K$22,C41)&gt;0,"Flash Gordon",
IF(COUNTIF('Queen Discography'!$L$4:$L$22,C41)&gt;0,"Hot Space",
IF(COUNTIF('Queen Discography'!$M$4:$M$22,C41)&gt;0,"The Works",
IF(COUNTIF('Queen Discography'!$N$4:$N$22,C41)&gt;0,"A Kind Of Magic",
IF(COUNTIF('Queen Discography'!$O$4:$O$22,C41)&gt;0,"The Miracle",
IF(COUNTIF('Queen Discography'!$P$4:$P$22,C41)&gt;0,"Innuendo",
IF(COUNTIF('Queen Discography'!$Q$4:$Q$22,C41)&gt;0,"Made In Heaven","NOT FOUND")))))))))))))))</f>
        <v>The Works</v>
      </c>
      <c r="I41" s="1"/>
      <c r="J41" s="1"/>
      <c r="K41" s="1"/>
      <c r="L41" s="1"/>
      <c r="M41" s="87"/>
      <c r="N41" s="87"/>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row>
    <row r="42">
      <c r="A42" s="1"/>
      <c r="C42" s="66" t="str">
        <f t="array" ref="C42">INDEX('Queen MIDI'!$C$4:$C$66,MATCH(F42,'Queen MIDI'!$D$4:$D$66,0))</f>
        <v>A Kind of Magic</v>
      </c>
      <c r="D42" s="117">
        <v>2.0</v>
      </c>
      <c r="E42" s="118" t="s">
        <v>390</v>
      </c>
      <c r="F42" s="66" t="str">
        <f t="shared" si="2"/>
        <v>A Kind of Magic.1.mid</v>
      </c>
      <c r="G42" s="126">
        <f>HLOOKUP(H42,'Queen Discography'!$C$2:$Q$3,2,FALSE)</f>
        <v>1986</v>
      </c>
      <c r="H42" s="66" t="str">
        <f>IF(COUNTIF('Queen Discography'!$C$4:$C$22,C42)&gt;0,"Queen",
IF(COUNTIF('Queen Discography'!$D$4:$D$22,C42)&gt;0,"Queen II",
IF(COUNTIF('Queen Discography'!$E$4:$E$22,C42)&gt;0,"Sheer Heart Attack",
IF(COUNTIF('Queen Discography'!$F$4:$F$22,C42)&gt;0,"A Night At The Opera",
IF(COUNTIF('Queen Discography'!$G$4:$G$22,C42)&gt;0,"A Day At The Races",
IF(COUNTIF('Queen Discography'!$H$4:$H$22,C42)&gt;0,"News Of The World",
IF(COUNTIF('Queen Discography'!$I$4:$I$22,C42)&gt;0,"Jazz",
IF(COUNTIF('Queen Discography'!$J$4:$J$22,C42)&gt;0,"The Game",
IF(COUNTIF('Queen Discography'!$K$4:$K$22,C42)&gt;0,"Flash Gordon",
IF(COUNTIF('Queen Discography'!$L$4:$L$22,C42)&gt;0,"Hot Space",
IF(COUNTIF('Queen Discography'!$M$4:$M$22,C42)&gt;0,"The Works",
IF(COUNTIF('Queen Discography'!$N$4:$N$22,C42)&gt;0,"A Kind Of Magic",
IF(COUNTIF('Queen Discography'!$O$4:$O$22,C42)&gt;0,"The Miracle",
IF(COUNTIF('Queen Discography'!$P$4:$P$22,C42)&gt;0,"Innuendo",
IF(COUNTIF('Queen Discography'!$Q$4:$Q$22,C42)&gt;0,"Made In Heaven","NOT FOUND")))))))))))))))</f>
        <v>A Kind Of Magic</v>
      </c>
      <c r="I42" s="1"/>
      <c r="J42" s="1"/>
      <c r="K42" s="1"/>
      <c r="L42" s="1"/>
      <c r="M42" s="87"/>
      <c r="N42" s="87"/>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row>
    <row r="43">
      <c r="A43" s="1"/>
      <c r="C43" s="66" t="str">
        <f t="array" ref="C43">INDEX('Queen MIDI'!$C$4:$C$66,MATCH(F43,'Queen MIDI'!$D$4:$D$66,0))</f>
        <v>Friends Will Be Friends</v>
      </c>
      <c r="D43" s="117">
        <v>2.0</v>
      </c>
      <c r="E43" s="118" t="s">
        <v>391</v>
      </c>
      <c r="F43" s="66" t="str">
        <f t="shared" si="2"/>
        <v>Friends Will Be Friends.2.mid</v>
      </c>
      <c r="G43" s="121">
        <f>HLOOKUP(H43,'Queen Discography'!$C$2:$Q$3,2,FALSE)</f>
        <v>1986</v>
      </c>
      <c r="H43" s="66" t="str">
        <f>IF(COUNTIF('Queen Discography'!$C$4:$C$22,C43)&gt;0,"Queen",
IF(COUNTIF('Queen Discography'!$D$4:$D$22,C43)&gt;0,"Queen II",
IF(COUNTIF('Queen Discography'!$E$4:$E$22,C43)&gt;0,"Sheer Heart Attack",
IF(COUNTIF('Queen Discography'!$F$4:$F$22,C43)&gt;0,"A Night At The Opera",
IF(COUNTIF('Queen Discography'!$G$4:$G$22,C43)&gt;0,"A Day At The Races",
IF(COUNTIF('Queen Discography'!$H$4:$H$22,C43)&gt;0,"News Of The World",
IF(COUNTIF('Queen Discography'!$I$4:$I$22,C43)&gt;0,"Jazz",
IF(COUNTIF('Queen Discography'!$J$4:$J$22,C43)&gt;0,"The Game",
IF(COUNTIF('Queen Discography'!$K$4:$K$22,C43)&gt;0,"Flash Gordon",
IF(COUNTIF('Queen Discography'!$L$4:$L$22,C43)&gt;0,"Hot Space",
IF(COUNTIF('Queen Discography'!$M$4:$M$22,C43)&gt;0,"The Works",
IF(COUNTIF('Queen Discography'!$N$4:$N$22,C43)&gt;0,"A Kind Of Magic",
IF(COUNTIF('Queen Discography'!$O$4:$O$22,C43)&gt;0,"The Miracle",
IF(COUNTIF('Queen Discography'!$P$4:$P$22,C43)&gt;0,"Innuendo",
IF(COUNTIF('Queen Discography'!$Q$4:$Q$22,C43)&gt;0,"Made In Heaven","NOT FOUND")))))))))))))))</f>
        <v>A Kind Of Magic</v>
      </c>
      <c r="I43" s="1"/>
      <c r="J43" s="1"/>
      <c r="K43" s="1"/>
      <c r="L43" s="1"/>
      <c r="M43" s="87"/>
      <c r="N43" s="87"/>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row>
    <row r="44">
      <c r="A44" s="1"/>
      <c r="C44" s="66" t="str">
        <f t="array" ref="C44">INDEX('Queen MIDI'!$C$4:$C$66,MATCH(F44,'Queen MIDI'!$D$4:$D$66,0))</f>
        <v>Doing Alright</v>
      </c>
      <c r="D44" s="117">
        <v>3.0</v>
      </c>
      <c r="E44" s="118" t="s">
        <v>356</v>
      </c>
      <c r="F44" s="66" t="str">
        <f t="shared" si="2"/>
        <v>Doing All Right.1.mid</v>
      </c>
      <c r="G44" s="123">
        <f>HLOOKUP(H44,'Queen Discography'!$C$2:$Q$3,2,FALSE)</f>
        <v>1973</v>
      </c>
      <c r="H44" s="66" t="str">
        <f>IF(COUNTIF('Queen Discography'!$C$4:$C$22,C44)&gt;0,"Queen",
IF(COUNTIF('Queen Discography'!$D$4:$D$22,C44)&gt;0,"Queen II",
IF(COUNTIF('Queen Discography'!$E$4:$E$22,C44)&gt;0,"Sheer Heart Attack",
IF(COUNTIF('Queen Discography'!$F$4:$F$22,C44)&gt;0,"A Night At The Opera",
IF(COUNTIF('Queen Discography'!$G$4:$G$22,C44)&gt;0,"A Day At The Races",
IF(COUNTIF('Queen Discography'!$H$4:$H$22,C44)&gt;0,"News Of The World",
IF(COUNTIF('Queen Discography'!$I$4:$I$22,C44)&gt;0,"Jazz",
IF(COUNTIF('Queen Discography'!$J$4:$J$22,C44)&gt;0,"The Game",
IF(COUNTIF('Queen Discography'!$K$4:$K$22,C44)&gt;0,"Flash Gordon",
IF(COUNTIF('Queen Discography'!$L$4:$L$22,C44)&gt;0,"Hot Space",
IF(COUNTIF('Queen Discography'!$M$4:$M$22,C44)&gt;0,"The Works",
IF(COUNTIF('Queen Discography'!$N$4:$N$22,C44)&gt;0,"A Kind Of Magic",
IF(COUNTIF('Queen Discography'!$O$4:$O$22,C44)&gt;0,"The Miracle",
IF(COUNTIF('Queen Discography'!$P$4:$P$22,C44)&gt;0,"Innuendo",
IF(COUNTIF('Queen Discography'!$Q$4:$Q$22,C44)&gt;0,"Made In Heaven","NOT FOUND")))))))))))))))</f>
        <v>Queen</v>
      </c>
      <c r="I44" s="1"/>
      <c r="J44" s="1"/>
      <c r="K44" s="1"/>
      <c r="L44" s="1"/>
      <c r="M44" s="87"/>
      <c r="N44" s="87"/>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row>
    <row r="45">
      <c r="A45" s="1"/>
      <c r="C45" s="66" t="str">
        <f t="array" ref="C45">INDEX('Queen MIDI'!$C$4:$C$66,MATCH(F45,'Queen MIDI'!$D$4:$D$66,0))</f>
        <v>Seven Seas of Rhye</v>
      </c>
      <c r="D45" s="117">
        <v>3.0</v>
      </c>
      <c r="E45" s="118" t="s">
        <v>359</v>
      </c>
      <c r="F45" s="66" t="str">
        <f t="shared" si="2"/>
        <v>Seven Seas of Rhye.1.mid</v>
      </c>
      <c r="G45" s="120">
        <f>HLOOKUP(H45,'Queen Discography'!$C$2:$Q$3,2,FALSE)</f>
        <v>1973</v>
      </c>
      <c r="H45" s="66" t="str">
        <f>IF(COUNTIF('Queen Discography'!$C$4:$C$22,C45)&gt;0,"Queen",
IF(COUNTIF('Queen Discography'!$D$4:$D$22,C45)&gt;0,"Queen II",
IF(COUNTIF('Queen Discography'!$E$4:$E$22,C45)&gt;0,"Sheer Heart Attack",
IF(COUNTIF('Queen Discography'!$F$4:$F$22,C45)&gt;0,"A Night At The Opera",
IF(COUNTIF('Queen Discography'!$G$4:$G$22,C45)&gt;0,"A Day At The Races",
IF(COUNTIF('Queen Discography'!$H$4:$H$22,C45)&gt;0,"News Of The World",
IF(COUNTIF('Queen Discography'!$I$4:$I$22,C45)&gt;0,"Jazz",
IF(COUNTIF('Queen Discography'!$J$4:$J$22,C45)&gt;0,"The Game",
IF(COUNTIF('Queen Discography'!$K$4:$K$22,C45)&gt;0,"Flash Gordon",
IF(COUNTIF('Queen Discography'!$L$4:$L$22,C45)&gt;0,"Hot Space",
IF(COUNTIF('Queen Discography'!$M$4:$M$22,C45)&gt;0,"The Works",
IF(COUNTIF('Queen Discography'!$N$4:$N$22,C45)&gt;0,"A Kind Of Magic",
IF(COUNTIF('Queen Discography'!$O$4:$O$22,C45)&gt;0,"The Miracle",
IF(COUNTIF('Queen Discography'!$P$4:$P$22,C45)&gt;0,"Innuendo",
IF(COUNTIF('Queen Discography'!$Q$4:$Q$22,C45)&gt;0,"Made In Heaven","NOT FOUND")))))))))))))))</f>
        <v>Queen</v>
      </c>
      <c r="I45" s="1"/>
      <c r="J45" s="1"/>
      <c r="K45" s="1"/>
      <c r="L45" s="1"/>
      <c r="M45" s="87"/>
      <c r="N45" s="87"/>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row>
    <row r="46">
      <c r="A46" s="1"/>
      <c r="C46" s="66" t="str">
        <f t="array" ref="C46">INDEX('Queen MIDI'!$C$4:$C$66,MATCH(F46,'Queen MIDI'!$D$4:$D$66,0))</f>
        <v>Father to Son</v>
      </c>
      <c r="D46" s="117">
        <v>3.0</v>
      </c>
      <c r="E46" s="118" t="s">
        <v>361</v>
      </c>
      <c r="F46" s="66" t="str">
        <f t="shared" si="2"/>
        <v>Father to Son.mid</v>
      </c>
      <c r="G46" s="131">
        <f>HLOOKUP(H46,'Queen Discography'!$C$2:$Q$3,2,FALSE)</f>
        <v>1974</v>
      </c>
      <c r="H46" s="66" t="str">
        <f>IF(COUNTIF('Queen Discography'!$C$4:$C$22,C46)&gt;0,"Queen",
IF(COUNTIF('Queen Discography'!$D$4:$D$22,C46)&gt;0,"Queen II",
IF(COUNTIF('Queen Discography'!$E$4:$E$22,C46)&gt;0,"Sheer Heart Attack",
IF(COUNTIF('Queen Discography'!$F$4:$F$22,C46)&gt;0,"A Night At The Opera",
IF(COUNTIF('Queen Discography'!$G$4:$G$22,C46)&gt;0,"A Day At The Races",
IF(COUNTIF('Queen Discography'!$H$4:$H$22,C46)&gt;0,"News Of The World",
IF(COUNTIF('Queen Discography'!$I$4:$I$22,C46)&gt;0,"Jazz",
IF(COUNTIF('Queen Discography'!$J$4:$J$22,C46)&gt;0,"The Game",
IF(COUNTIF('Queen Discography'!$K$4:$K$22,C46)&gt;0,"Flash Gordon",
IF(COUNTIF('Queen Discography'!$L$4:$L$22,C46)&gt;0,"Hot Space",
IF(COUNTIF('Queen Discography'!$M$4:$M$22,C46)&gt;0,"The Works",
IF(COUNTIF('Queen Discography'!$N$4:$N$22,C46)&gt;0,"A Kind Of Magic",
IF(COUNTIF('Queen Discography'!$O$4:$O$22,C46)&gt;0,"The Miracle",
IF(COUNTIF('Queen Discography'!$P$4:$P$22,C46)&gt;0,"Innuendo",
IF(COUNTIF('Queen Discography'!$Q$4:$Q$22,C46)&gt;0,"Made In Heaven","NOT FOUND")))))))))))))))</f>
        <v>Queen II</v>
      </c>
      <c r="I46" s="1"/>
      <c r="J46" s="1"/>
      <c r="K46" s="1"/>
      <c r="L46" s="1"/>
      <c r="M46" s="87"/>
      <c r="N46" s="87"/>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row>
    <row r="47">
      <c r="A47" s="1"/>
      <c r="C47" s="66" t="str">
        <f t="array" ref="C47">INDEX('Queen MIDI'!$C$4:$C$66,MATCH(F47,'Queen MIDI'!$D$4:$D$66,0))</f>
        <v>Fat Bottomed Girls</v>
      </c>
      <c r="D47" s="117">
        <v>3.0</v>
      </c>
      <c r="E47" s="118" t="s">
        <v>378</v>
      </c>
      <c r="F47" s="66" t="str">
        <f t="shared" si="2"/>
        <v>Fat Bottomed Girls.mid</v>
      </c>
      <c r="G47" s="131">
        <f>HLOOKUP(H47,'Queen Discography'!$C$2:$Q$3,2,FALSE)</f>
        <v>1978</v>
      </c>
      <c r="H47" s="66" t="str">
        <f>IF(COUNTIF('Queen Discography'!$C$4:$C$22,C47)&gt;0,"Queen",
IF(COUNTIF('Queen Discography'!$D$4:$D$22,C47)&gt;0,"Queen II",
IF(COUNTIF('Queen Discography'!$E$4:$E$22,C47)&gt;0,"Sheer Heart Attack",
IF(COUNTIF('Queen Discography'!$F$4:$F$22,C47)&gt;0,"A Night At The Opera",
IF(COUNTIF('Queen Discography'!$G$4:$G$22,C47)&gt;0,"A Day At The Races",
IF(COUNTIF('Queen Discography'!$H$4:$H$22,C47)&gt;0,"News Of The World",
IF(COUNTIF('Queen Discography'!$I$4:$I$22,C47)&gt;0,"Jazz",
IF(COUNTIF('Queen Discography'!$J$4:$J$22,C47)&gt;0,"The Game",
IF(COUNTIF('Queen Discography'!$K$4:$K$22,C47)&gt;0,"Flash Gordon",
IF(COUNTIF('Queen Discography'!$L$4:$L$22,C47)&gt;0,"Hot Space",
IF(COUNTIF('Queen Discography'!$M$4:$M$22,C47)&gt;0,"The Works",
IF(COUNTIF('Queen Discography'!$N$4:$N$22,C47)&gt;0,"A Kind Of Magic",
IF(COUNTIF('Queen Discography'!$O$4:$O$22,C47)&gt;0,"The Miracle",
IF(COUNTIF('Queen Discography'!$P$4:$P$22,C47)&gt;0,"Innuendo",
IF(COUNTIF('Queen Discography'!$Q$4:$Q$22,C47)&gt;0,"Made In Heaven","NOT FOUND")))))))))))))))</f>
        <v>Jazz</v>
      </c>
      <c r="I47" s="1"/>
      <c r="J47" s="1"/>
      <c r="K47" s="1"/>
      <c r="L47" s="1"/>
      <c r="M47" s="87"/>
      <c r="N47" s="87"/>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row>
    <row r="48">
      <c r="A48" s="1"/>
      <c r="C48" s="66" t="str">
        <f t="array" ref="C48">INDEX('Queen MIDI'!$C$4:$C$66,MATCH(F48,'Queen MIDI'!$D$4:$D$66,0))</f>
        <v>Fun It</v>
      </c>
      <c r="D48" s="117">
        <v>3.0</v>
      </c>
      <c r="E48" s="118" t="s">
        <v>379</v>
      </c>
      <c r="F48" s="66" t="str">
        <f t="shared" si="2"/>
        <v>Fun It.mid</v>
      </c>
      <c r="G48" s="129">
        <f>HLOOKUP(H48,'Queen Discography'!$C$2:$Q$3,2,FALSE)</f>
        <v>1978</v>
      </c>
      <c r="H48" s="66" t="str">
        <f>IF(COUNTIF('Queen Discography'!$C$4:$C$22,C48)&gt;0,"Queen",
IF(COUNTIF('Queen Discography'!$D$4:$D$22,C48)&gt;0,"Queen II",
IF(COUNTIF('Queen Discography'!$E$4:$E$22,C48)&gt;0,"Sheer Heart Attack",
IF(COUNTIF('Queen Discography'!$F$4:$F$22,C48)&gt;0,"A Night At The Opera",
IF(COUNTIF('Queen Discography'!$G$4:$G$22,C48)&gt;0,"A Day At The Races",
IF(COUNTIF('Queen Discography'!$H$4:$H$22,C48)&gt;0,"News Of The World",
IF(COUNTIF('Queen Discography'!$I$4:$I$22,C48)&gt;0,"Jazz",
IF(COUNTIF('Queen Discography'!$J$4:$J$22,C48)&gt;0,"The Game",
IF(COUNTIF('Queen Discography'!$K$4:$K$22,C48)&gt;0,"Flash Gordon",
IF(COUNTIF('Queen Discography'!$L$4:$L$22,C48)&gt;0,"Hot Space",
IF(COUNTIF('Queen Discography'!$M$4:$M$22,C48)&gt;0,"The Works",
IF(COUNTIF('Queen Discography'!$N$4:$N$22,C48)&gt;0,"A Kind Of Magic",
IF(COUNTIF('Queen Discography'!$O$4:$O$22,C48)&gt;0,"The Miracle",
IF(COUNTIF('Queen Discography'!$P$4:$P$22,C48)&gt;0,"Innuendo",
IF(COUNTIF('Queen Discography'!$Q$4:$Q$22,C48)&gt;0,"Made In Heaven","NOT FOUND")))))))))))))))</f>
        <v>Jazz</v>
      </c>
      <c r="I48" s="1"/>
      <c r="J48" s="1"/>
      <c r="K48" s="1"/>
      <c r="L48" s="1"/>
      <c r="M48" s="87"/>
      <c r="N48" s="87"/>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row>
    <row r="49">
      <c r="A49" s="1"/>
      <c r="C49" s="66" t="str">
        <f t="array" ref="C49">INDEX('Queen MIDI'!$C$4:$C$66,MATCH(F49,'Queen MIDI'!$D$4:$D$66,0))</f>
        <v>I Want It All</v>
      </c>
      <c r="D49" s="117">
        <v>3.0</v>
      </c>
      <c r="E49" s="118" t="s">
        <v>395</v>
      </c>
      <c r="F49" s="66" t="str">
        <f t="shared" si="2"/>
        <v>I Want It All.mid</v>
      </c>
      <c r="G49" s="119">
        <f>HLOOKUP(H49,'Queen Discography'!$C$2:$Q$3,2,FALSE)</f>
        <v>1989</v>
      </c>
      <c r="H49" s="66" t="str">
        <f>IF(COUNTIF('Queen Discography'!$C$4:$C$22,C49)&gt;0,"Queen",
IF(COUNTIF('Queen Discography'!$D$4:$D$22,C49)&gt;0,"Queen II",
IF(COUNTIF('Queen Discography'!$E$4:$E$22,C49)&gt;0,"Sheer Heart Attack",
IF(COUNTIF('Queen Discography'!$F$4:$F$22,C49)&gt;0,"A Night At The Opera",
IF(COUNTIF('Queen Discography'!$G$4:$G$22,C49)&gt;0,"A Day At The Races",
IF(COUNTIF('Queen Discography'!$H$4:$H$22,C49)&gt;0,"News Of The World",
IF(COUNTIF('Queen Discography'!$I$4:$I$22,C49)&gt;0,"Jazz",
IF(COUNTIF('Queen Discography'!$J$4:$J$22,C49)&gt;0,"The Game",
IF(COUNTIF('Queen Discography'!$K$4:$K$22,C49)&gt;0,"Flash Gordon",
IF(COUNTIF('Queen Discography'!$L$4:$L$22,C49)&gt;0,"Hot Space",
IF(COUNTIF('Queen Discography'!$M$4:$M$22,C49)&gt;0,"The Works",
IF(COUNTIF('Queen Discography'!$N$4:$N$22,C49)&gt;0,"A Kind Of Magic",
IF(COUNTIF('Queen Discography'!$O$4:$O$22,C49)&gt;0,"The Miracle",
IF(COUNTIF('Queen Discography'!$P$4:$P$22,C49)&gt;0,"Innuendo",
IF(COUNTIF('Queen Discography'!$Q$4:$Q$22,C49)&gt;0,"Made In Heaven","NOT FOUND")))))))))))))))</f>
        <v>The Miracle</v>
      </c>
      <c r="I49" s="1"/>
      <c r="J49" s="1"/>
      <c r="K49" s="1"/>
      <c r="L49" s="1"/>
      <c r="M49" s="87"/>
      <c r="N49" s="87"/>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row>
    <row r="50">
      <c r="A50" s="1"/>
      <c r="C50" s="66" t="str">
        <f t="array" ref="C50">INDEX('Queen MIDI'!$C$4:$C$66,MATCH(F50,'Queen MIDI'!$D$4:$D$66,0))</f>
        <v>Scandal</v>
      </c>
      <c r="D50" s="117">
        <v>3.0</v>
      </c>
      <c r="E50" s="118" t="s">
        <v>397</v>
      </c>
      <c r="F50" s="66" t="str">
        <f t="shared" si="2"/>
        <v>Scandal.mid</v>
      </c>
      <c r="G50" s="125">
        <f>HLOOKUP(H50,'Queen Discography'!$C$2:$Q$3,2,FALSE)</f>
        <v>1989</v>
      </c>
      <c r="H50" s="66" t="str">
        <f>IF(COUNTIF('Queen Discography'!$C$4:$C$22,C50)&gt;0,"Queen",
IF(COUNTIF('Queen Discography'!$D$4:$D$22,C50)&gt;0,"Queen II",
IF(COUNTIF('Queen Discography'!$E$4:$E$22,C50)&gt;0,"Sheer Heart Attack",
IF(COUNTIF('Queen Discography'!$F$4:$F$22,C50)&gt;0,"A Night At The Opera",
IF(COUNTIF('Queen Discography'!$G$4:$G$22,C50)&gt;0,"A Day At The Races",
IF(COUNTIF('Queen Discography'!$H$4:$H$22,C50)&gt;0,"News Of The World",
IF(COUNTIF('Queen Discography'!$I$4:$I$22,C50)&gt;0,"Jazz",
IF(COUNTIF('Queen Discography'!$J$4:$J$22,C50)&gt;0,"The Game",
IF(COUNTIF('Queen Discography'!$K$4:$K$22,C50)&gt;0,"Flash Gordon",
IF(COUNTIF('Queen Discography'!$L$4:$L$22,C50)&gt;0,"Hot Space",
IF(COUNTIF('Queen Discography'!$M$4:$M$22,C50)&gt;0,"The Works",
IF(COUNTIF('Queen Discography'!$N$4:$N$22,C50)&gt;0,"A Kind Of Magic",
IF(COUNTIF('Queen Discography'!$O$4:$O$22,C50)&gt;0,"The Miracle",
IF(COUNTIF('Queen Discography'!$P$4:$P$22,C50)&gt;0,"Innuendo",
IF(COUNTIF('Queen Discography'!$Q$4:$Q$22,C50)&gt;0,"Made In Heaven","NOT FOUND")))))))))))))))</f>
        <v>The Miracle</v>
      </c>
      <c r="I50" s="1"/>
      <c r="J50" s="1"/>
      <c r="K50" s="1"/>
      <c r="L50" s="1"/>
      <c r="M50" s="87"/>
      <c r="N50" s="87"/>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c r="A51" s="1"/>
      <c r="C51" s="66" t="str">
        <f t="array" ref="C51">INDEX('Queen MIDI'!$C$4:$C$66,MATCH(F51,'Queen MIDI'!$D$4:$D$66,0))</f>
        <v>Living on My Own</v>
      </c>
      <c r="D51" s="117">
        <v>3.0</v>
      </c>
      <c r="E51" s="118" t="s">
        <v>416</v>
      </c>
      <c r="F51" s="66" t="str">
        <f t="shared" si="2"/>
        <v>Living on My Own.mid</v>
      </c>
      <c r="G51" s="122" t="str">
        <f>HLOOKUP(H51,'Queen Discography'!$C$2:$Q$3,2,FALSE)</f>
        <v>#N/A</v>
      </c>
      <c r="H51" s="66" t="str">
        <f>IF(COUNTIF('Queen Discography'!$C$4:$C$22,C51)&gt;0,"Queen",
IF(COUNTIF('Queen Discography'!$D$4:$D$22,C51)&gt;0,"Queen II",
IF(COUNTIF('Queen Discography'!$E$4:$E$22,C51)&gt;0,"Sheer Heart Attack",
IF(COUNTIF('Queen Discography'!$F$4:$F$22,C51)&gt;0,"A Night At The Opera",
IF(COUNTIF('Queen Discography'!$G$4:$G$22,C51)&gt;0,"A Day At The Races",
IF(COUNTIF('Queen Discography'!$H$4:$H$22,C51)&gt;0,"News Of The World",
IF(COUNTIF('Queen Discography'!$I$4:$I$22,C51)&gt;0,"Jazz",
IF(COUNTIF('Queen Discography'!$J$4:$J$22,C51)&gt;0,"The Game",
IF(COUNTIF('Queen Discography'!$K$4:$K$22,C51)&gt;0,"Flash Gordon",
IF(COUNTIF('Queen Discography'!$L$4:$L$22,C51)&gt;0,"Hot Space",
IF(COUNTIF('Queen Discography'!$M$4:$M$22,C51)&gt;0,"The Works",
IF(COUNTIF('Queen Discography'!$N$4:$N$22,C51)&gt;0,"A Kind Of Magic",
IF(COUNTIF('Queen Discography'!$O$4:$O$22,C51)&gt;0,"The Miracle",
IF(COUNTIF('Queen Discography'!$P$4:$P$22,C51)&gt;0,"Innuendo",
IF(COUNTIF('Queen Discography'!$Q$4:$Q$22,C51)&gt;0,"Made In Heaven","NOT FOUND")))))))))))))))</f>
        <v>NOT FOUND</v>
      </c>
      <c r="I51" s="1"/>
      <c r="J51" s="1"/>
      <c r="K51" s="1"/>
      <c r="L51" s="1"/>
      <c r="M51" s="87"/>
      <c r="N51" s="87"/>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row>
    <row r="52">
      <c r="A52" s="1"/>
      <c r="C52" s="66" t="str">
        <f t="array" ref="C52">INDEX('Queen MIDI'!$C$4:$C$66,MATCH(F52,'Queen MIDI'!$D$4:$D$66,0))</f>
        <v>Headlong</v>
      </c>
      <c r="D52" s="117">
        <v>4.0</v>
      </c>
      <c r="E52" s="118" t="s">
        <v>403</v>
      </c>
      <c r="F52" s="66" t="str">
        <f t="shared" si="2"/>
        <v>Headlong.mid</v>
      </c>
      <c r="G52" s="126">
        <f>HLOOKUP(H52,'Queen Discography'!$C$2:$Q$3,2,FALSE)</f>
        <v>1991</v>
      </c>
      <c r="H52" s="66" t="str">
        <f>IF(COUNTIF('Queen Discography'!$C$4:$C$22,C52)&gt;0,"Queen",
IF(COUNTIF('Queen Discography'!$D$4:$D$22,C52)&gt;0,"Queen II",
IF(COUNTIF('Queen Discography'!$E$4:$E$22,C52)&gt;0,"Sheer Heart Attack",
IF(COUNTIF('Queen Discography'!$F$4:$F$22,C52)&gt;0,"A Night At The Opera",
IF(COUNTIF('Queen Discography'!$G$4:$G$22,C52)&gt;0,"A Day At The Races",
IF(COUNTIF('Queen Discography'!$H$4:$H$22,C52)&gt;0,"News Of The World",
IF(COUNTIF('Queen Discography'!$I$4:$I$22,C52)&gt;0,"Jazz",
IF(COUNTIF('Queen Discography'!$J$4:$J$22,C52)&gt;0,"The Game",
IF(COUNTIF('Queen Discography'!$K$4:$K$22,C52)&gt;0,"Flash Gordon",
IF(COUNTIF('Queen Discography'!$L$4:$L$22,C52)&gt;0,"Hot Space",
IF(COUNTIF('Queen Discography'!$M$4:$M$22,C52)&gt;0,"The Works",
IF(COUNTIF('Queen Discography'!$N$4:$N$22,C52)&gt;0,"A Kind Of Magic",
IF(COUNTIF('Queen Discography'!$O$4:$O$22,C52)&gt;0,"The Miracle",
IF(COUNTIF('Queen Discography'!$P$4:$P$22,C52)&gt;0,"Innuendo",
IF(COUNTIF('Queen Discography'!$Q$4:$Q$22,C52)&gt;0,"Made In Heaven","NOT FOUND")))))))))))))))</f>
        <v>Innuendo</v>
      </c>
      <c r="I52" s="1"/>
      <c r="J52" s="1"/>
      <c r="K52" s="1"/>
      <c r="L52" s="1"/>
      <c r="M52" s="87"/>
      <c r="N52" s="87"/>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row>
    <row r="53">
      <c r="A53" s="1"/>
      <c r="C53" s="66" t="str">
        <f t="array" ref="C53">INDEX('Queen MIDI'!$C$4:$C$66,MATCH(F53,'Queen MIDI'!$D$4:$D$66,0))</f>
        <v>In Only Seven Days</v>
      </c>
      <c r="D53" s="117">
        <v>5.0</v>
      </c>
      <c r="E53" s="118" t="s">
        <v>380</v>
      </c>
      <c r="F53" s="66" t="str">
        <f t="shared" si="2"/>
        <v>In Only Seven Days.mid</v>
      </c>
      <c r="G53" s="119">
        <f>HLOOKUP(H53,'Queen Discography'!$C$2:$Q$3,2,FALSE)</f>
        <v>1978</v>
      </c>
      <c r="H53" s="66" t="str">
        <f>IF(COUNTIF('Queen Discography'!$C$4:$C$22,C53)&gt;0,"Queen",
IF(COUNTIF('Queen Discography'!$D$4:$D$22,C53)&gt;0,"Queen II",
IF(COUNTIF('Queen Discography'!$E$4:$E$22,C53)&gt;0,"Sheer Heart Attack",
IF(COUNTIF('Queen Discography'!$F$4:$F$22,C53)&gt;0,"A Night At The Opera",
IF(COUNTIF('Queen Discography'!$G$4:$G$22,C53)&gt;0,"A Day At The Races",
IF(COUNTIF('Queen Discography'!$H$4:$H$22,C53)&gt;0,"News Of The World",
IF(COUNTIF('Queen Discography'!$I$4:$I$22,C53)&gt;0,"Jazz",
IF(COUNTIF('Queen Discography'!$J$4:$J$22,C53)&gt;0,"The Game",
IF(COUNTIF('Queen Discography'!$K$4:$K$22,C53)&gt;0,"Flash Gordon",
IF(COUNTIF('Queen Discography'!$L$4:$L$22,C53)&gt;0,"Hot Space",
IF(COUNTIF('Queen Discography'!$M$4:$M$22,C53)&gt;0,"The Works",
IF(COUNTIF('Queen Discography'!$N$4:$N$22,C53)&gt;0,"A Kind Of Magic",
IF(COUNTIF('Queen Discography'!$O$4:$O$22,C53)&gt;0,"The Miracle",
IF(COUNTIF('Queen Discography'!$P$4:$P$22,C53)&gt;0,"Innuendo",
IF(COUNTIF('Queen Discography'!$Q$4:$Q$22,C53)&gt;0,"Made In Heaven","NOT FOUND")))))))))))))))</f>
        <v>Jazz</v>
      </c>
      <c r="I53" s="1"/>
      <c r="J53" s="1"/>
      <c r="K53" s="1"/>
      <c r="L53" s="1"/>
      <c r="M53" s="87"/>
      <c r="N53" s="87"/>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row>
    <row r="54">
      <c r="A54" s="1"/>
      <c r="C54" s="66" t="str">
        <f t="array" ref="C54">INDEX('Queen MIDI'!$C$4:$C$66,MATCH(F54,'Queen MIDI'!$D$4:$D$66,0))</f>
        <v>Play the Game</v>
      </c>
      <c r="D54" s="117">
        <v>5.0</v>
      </c>
      <c r="E54" s="118" t="s">
        <v>383</v>
      </c>
      <c r="F54" s="66" t="str">
        <f t="shared" si="2"/>
        <v>Play the Game.1.mid</v>
      </c>
      <c r="G54" s="127">
        <f>HLOOKUP(H54,'Queen Discography'!$C$2:$Q$3,2,FALSE)</f>
        <v>1980</v>
      </c>
      <c r="H54" s="66" t="str">
        <f>IF(COUNTIF('Queen Discography'!$C$4:$C$22,C54)&gt;0,"Queen",
IF(COUNTIF('Queen Discography'!$D$4:$D$22,C54)&gt;0,"Queen II",
IF(COUNTIF('Queen Discography'!$E$4:$E$22,C54)&gt;0,"Sheer Heart Attack",
IF(COUNTIF('Queen Discography'!$F$4:$F$22,C54)&gt;0,"A Night At The Opera",
IF(COUNTIF('Queen Discography'!$G$4:$G$22,C54)&gt;0,"A Day At The Races",
IF(COUNTIF('Queen Discography'!$H$4:$H$22,C54)&gt;0,"News Of The World",
IF(COUNTIF('Queen Discography'!$I$4:$I$22,C54)&gt;0,"Jazz",
IF(COUNTIF('Queen Discography'!$J$4:$J$22,C54)&gt;0,"The Game",
IF(COUNTIF('Queen Discography'!$K$4:$K$22,C54)&gt;0,"Flash Gordon",
IF(COUNTIF('Queen Discography'!$L$4:$L$22,C54)&gt;0,"Hot Space",
IF(COUNTIF('Queen Discography'!$M$4:$M$22,C54)&gt;0,"The Works",
IF(COUNTIF('Queen Discography'!$N$4:$N$22,C54)&gt;0,"A Kind Of Magic",
IF(COUNTIF('Queen Discography'!$O$4:$O$22,C54)&gt;0,"The Miracle",
IF(COUNTIF('Queen Discography'!$P$4:$P$22,C54)&gt;0,"Innuendo",
IF(COUNTIF('Queen Discography'!$Q$4:$Q$22,C54)&gt;0,"Made In Heaven","NOT FOUND")))))))))))))))</f>
        <v>The Game</v>
      </c>
      <c r="I54" s="1"/>
      <c r="J54" s="1"/>
      <c r="K54" s="1"/>
      <c r="L54" s="1"/>
      <c r="M54" s="87"/>
      <c r="N54" s="87"/>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row>
    <row r="55">
      <c r="A55" s="1"/>
      <c r="C55" s="66" t="str">
        <f t="array" ref="C55">INDEX('Queen MIDI'!$C$4:$C$66,MATCH(F55,'Queen MIDI'!$D$4:$D$66,0))</f>
        <v>It's a Hard Life</v>
      </c>
      <c r="D55" s="117">
        <v>5.0</v>
      </c>
      <c r="E55" s="118" t="s">
        <v>388</v>
      </c>
      <c r="F55" s="66" t="str">
        <f t="shared" si="2"/>
        <v>It_s a Hard Life.mid</v>
      </c>
      <c r="G55" s="121">
        <f>HLOOKUP(H55,'Queen Discography'!$C$2:$Q$3,2,FALSE)</f>
        <v>1984</v>
      </c>
      <c r="H55" s="66" t="str">
        <f>IF(COUNTIF('Queen Discography'!$C$4:$C$22,C55)&gt;0,"Queen",
IF(COUNTIF('Queen Discography'!$D$4:$D$22,C55)&gt;0,"Queen II",
IF(COUNTIF('Queen Discography'!$E$4:$E$22,C55)&gt;0,"Sheer Heart Attack",
IF(COUNTIF('Queen Discography'!$F$4:$F$22,C55)&gt;0,"A Night At The Opera",
IF(COUNTIF('Queen Discography'!$G$4:$G$22,C55)&gt;0,"A Day At The Races",
IF(COUNTIF('Queen Discography'!$H$4:$H$22,C55)&gt;0,"News Of The World",
IF(COUNTIF('Queen Discography'!$I$4:$I$22,C55)&gt;0,"Jazz",
IF(COUNTIF('Queen Discography'!$J$4:$J$22,C55)&gt;0,"The Game",
IF(COUNTIF('Queen Discography'!$K$4:$K$22,C55)&gt;0,"Flash Gordon",
IF(COUNTIF('Queen Discography'!$L$4:$L$22,C55)&gt;0,"Hot Space",
IF(COUNTIF('Queen Discography'!$M$4:$M$22,C55)&gt;0,"The Works",
IF(COUNTIF('Queen Discography'!$N$4:$N$22,C55)&gt;0,"A Kind Of Magic",
IF(COUNTIF('Queen Discography'!$O$4:$O$22,C55)&gt;0,"The Miracle",
IF(COUNTIF('Queen Discography'!$P$4:$P$22,C55)&gt;0,"Innuendo",
IF(COUNTIF('Queen Discography'!$Q$4:$Q$22,C55)&gt;0,"Made In Heaven","NOT FOUND")))))))))))))))</f>
        <v>The Works</v>
      </c>
      <c r="I55" s="1"/>
      <c r="J55" s="1"/>
      <c r="K55" s="1"/>
      <c r="L55" s="1"/>
      <c r="M55" s="87"/>
      <c r="N55" s="87"/>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row>
    <row r="56">
      <c r="A56" s="1"/>
      <c r="C56" s="66" t="str">
        <f t="array" ref="C56">INDEX('Queen MIDI'!$C$4:$C$66,MATCH(F56,'Queen MIDI'!$D$4:$D$66,0))</f>
        <v>Who Wants to Live Forever</v>
      </c>
      <c r="D56" s="117">
        <v>5.0</v>
      </c>
      <c r="E56" s="118" t="s">
        <v>394</v>
      </c>
      <c r="F56" s="66" t="str">
        <f t="shared" si="2"/>
        <v>Who Wants to Live Forever.4.mid</v>
      </c>
      <c r="G56" s="133">
        <f>HLOOKUP(H56,'Queen Discography'!$C$2:$Q$3,2,FALSE)</f>
        <v>1986</v>
      </c>
      <c r="H56" s="66" t="str">
        <f>IF(COUNTIF('Queen Discography'!$C$4:$C$22,C56)&gt;0,"Queen",
IF(COUNTIF('Queen Discography'!$D$4:$D$22,C56)&gt;0,"Queen II",
IF(COUNTIF('Queen Discography'!$E$4:$E$22,C56)&gt;0,"Sheer Heart Attack",
IF(COUNTIF('Queen Discography'!$F$4:$F$22,C56)&gt;0,"A Night At The Opera",
IF(COUNTIF('Queen Discography'!$G$4:$G$22,C56)&gt;0,"A Day At The Races",
IF(COUNTIF('Queen Discography'!$H$4:$H$22,C56)&gt;0,"News Of The World",
IF(COUNTIF('Queen Discography'!$I$4:$I$22,C56)&gt;0,"Jazz",
IF(COUNTIF('Queen Discography'!$J$4:$J$22,C56)&gt;0,"The Game",
IF(COUNTIF('Queen Discography'!$K$4:$K$22,C56)&gt;0,"Flash Gordon",
IF(COUNTIF('Queen Discography'!$L$4:$L$22,C56)&gt;0,"Hot Space",
IF(COUNTIF('Queen Discography'!$M$4:$M$22,C56)&gt;0,"The Works",
IF(COUNTIF('Queen Discography'!$N$4:$N$22,C56)&gt;0,"A Kind Of Magic",
IF(COUNTIF('Queen Discography'!$O$4:$O$22,C56)&gt;0,"The Miracle",
IF(COUNTIF('Queen Discography'!$P$4:$P$22,C56)&gt;0,"Innuendo",
IF(COUNTIF('Queen Discography'!$Q$4:$Q$22,C56)&gt;0,"Made In Heaven","NOT FOUND")))))))))))))))</f>
        <v>A Kind Of Magic</v>
      </c>
      <c r="I56" s="1"/>
      <c r="J56" s="1"/>
      <c r="K56" s="1"/>
      <c r="L56" s="1"/>
      <c r="M56" s="87"/>
      <c r="N56" s="87"/>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row>
    <row r="57">
      <c r="A57" s="1"/>
      <c r="C57" s="66" t="str">
        <f t="array" ref="C57">INDEX('Queen MIDI'!$C$4:$C$66,MATCH(F57,'Queen MIDI'!$D$4:$D$66,0))</f>
        <v>Rain Must Fall</v>
      </c>
      <c r="D57" s="117">
        <v>5.0</v>
      </c>
      <c r="E57" s="118" t="s">
        <v>396</v>
      </c>
      <c r="F57" s="66" t="str">
        <f t="shared" si="2"/>
        <v>Rain Must Fall.mid</v>
      </c>
      <c r="G57" s="120">
        <f>HLOOKUP(H57,'Queen Discography'!$C$2:$Q$3,2,FALSE)</f>
        <v>1989</v>
      </c>
      <c r="H57" s="66" t="str">
        <f>IF(COUNTIF('Queen Discography'!$C$4:$C$22,C57)&gt;0,"Queen",
IF(COUNTIF('Queen Discography'!$D$4:$D$22,C57)&gt;0,"Queen II",
IF(COUNTIF('Queen Discography'!$E$4:$E$22,C57)&gt;0,"Sheer Heart Attack",
IF(COUNTIF('Queen Discography'!$F$4:$F$22,C57)&gt;0,"A Night At The Opera",
IF(COUNTIF('Queen Discography'!$G$4:$G$22,C57)&gt;0,"A Day At The Races",
IF(COUNTIF('Queen Discography'!$H$4:$H$22,C57)&gt;0,"News Of The World",
IF(COUNTIF('Queen Discography'!$I$4:$I$22,C57)&gt;0,"Jazz",
IF(COUNTIF('Queen Discography'!$J$4:$J$22,C57)&gt;0,"The Game",
IF(COUNTIF('Queen Discography'!$K$4:$K$22,C57)&gt;0,"Flash Gordon",
IF(COUNTIF('Queen Discography'!$L$4:$L$22,C57)&gt;0,"Hot Space",
IF(COUNTIF('Queen Discography'!$M$4:$M$22,C57)&gt;0,"The Works",
IF(COUNTIF('Queen Discography'!$N$4:$N$22,C57)&gt;0,"A Kind Of Magic",
IF(COUNTIF('Queen Discography'!$O$4:$O$22,C57)&gt;0,"The Miracle",
IF(COUNTIF('Queen Discography'!$P$4:$P$22,C57)&gt;0,"Innuendo",
IF(COUNTIF('Queen Discography'!$Q$4:$Q$22,C57)&gt;0,"Made In Heaven","NOT FOUND")))))))))))))))</f>
        <v>The Miracle</v>
      </c>
      <c r="I57" s="1"/>
      <c r="J57" s="1"/>
      <c r="K57" s="1"/>
      <c r="L57" s="1"/>
      <c r="M57" s="87"/>
      <c r="N57" s="87"/>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row>
    <row r="58">
      <c r="A58" s="1"/>
      <c r="C58" s="66" t="str">
        <f t="array" ref="C58">INDEX('Queen MIDI'!$C$4:$C$66,MATCH(F58,'Queen MIDI'!$D$4:$D$66,0))</f>
        <v>These Are the Days of Our Lives</v>
      </c>
      <c r="D58" s="117">
        <v>5.0</v>
      </c>
      <c r="E58" s="118" t="s">
        <v>408</v>
      </c>
      <c r="F58" s="66" t="str">
        <f t="shared" si="2"/>
        <v>These Are the Days of Our Lives.3.mid</v>
      </c>
      <c r="G58" s="124">
        <f>HLOOKUP(H58,'Queen Discography'!$C$2:$Q$3,2,FALSE)</f>
        <v>1991</v>
      </c>
      <c r="H58" s="66" t="str">
        <f>IF(COUNTIF('Queen Discography'!$C$4:$C$22,C58)&gt;0,"Queen",
IF(COUNTIF('Queen Discography'!$D$4:$D$22,C58)&gt;0,"Queen II",
IF(COUNTIF('Queen Discography'!$E$4:$E$22,C58)&gt;0,"Sheer Heart Attack",
IF(COUNTIF('Queen Discography'!$F$4:$F$22,C58)&gt;0,"A Night At The Opera",
IF(COUNTIF('Queen Discography'!$G$4:$G$22,C58)&gt;0,"A Day At The Races",
IF(COUNTIF('Queen Discography'!$H$4:$H$22,C58)&gt;0,"News Of The World",
IF(COUNTIF('Queen Discography'!$I$4:$I$22,C58)&gt;0,"Jazz",
IF(COUNTIF('Queen Discography'!$J$4:$J$22,C58)&gt;0,"The Game",
IF(COUNTIF('Queen Discography'!$K$4:$K$22,C58)&gt;0,"Flash Gordon",
IF(COUNTIF('Queen Discography'!$L$4:$L$22,C58)&gt;0,"Hot Space",
IF(COUNTIF('Queen Discography'!$M$4:$M$22,C58)&gt;0,"The Works",
IF(COUNTIF('Queen Discography'!$N$4:$N$22,C58)&gt;0,"A Kind Of Magic",
IF(COUNTIF('Queen Discography'!$O$4:$O$22,C58)&gt;0,"The Miracle",
IF(COUNTIF('Queen Discography'!$P$4:$P$22,C58)&gt;0,"Innuendo",
IF(COUNTIF('Queen Discography'!$Q$4:$Q$22,C58)&gt;0,"Made In Heaven","NOT FOUND")))))))))))))))</f>
        <v>Innuendo</v>
      </c>
      <c r="I58" s="1"/>
      <c r="J58" s="1"/>
      <c r="K58" s="1"/>
      <c r="L58" s="1"/>
      <c r="M58" s="87"/>
      <c r="N58" s="87"/>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c r="A59" s="1"/>
      <c r="C59" s="66" t="str">
        <f t="array" ref="C59">INDEX('Queen MIDI'!$C$4:$C$66,MATCH(F59,'Queen MIDI'!$D$4:$D$66,0))</f>
        <v>Heaven for Everyone</v>
      </c>
      <c r="D59" s="117">
        <v>5.0</v>
      </c>
      <c r="E59" s="118" t="s">
        <v>409</v>
      </c>
      <c r="F59" s="66" t="str">
        <f t="shared" si="2"/>
        <v>Heaven for Everyone.mid</v>
      </c>
      <c r="G59" s="132">
        <f>HLOOKUP(H59,'Queen Discography'!$C$2:$Q$3,2,FALSE)</f>
        <v>1995</v>
      </c>
      <c r="H59" s="66" t="str">
        <f>IF(COUNTIF('Queen Discography'!$C$4:$C$22,C59)&gt;0,"Queen",
IF(COUNTIF('Queen Discography'!$D$4:$D$22,C59)&gt;0,"Queen II",
IF(COUNTIF('Queen Discography'!$E$4:$E$22,C59)&gt;0,"Sheer Heart Attack",
IF(COUNTIF('Queen Discography'!$F$4:$F$22,C59)&gt;0,"A Night At The Opera",
IF(COUNTIF('Queen Discography'!$G$4:$G$22,C59)&gt;0,"A Day At The Races",
IF(COUNTIF('Queen Discography'!$H$4:$H$22,C59)&gt;0,"News Of The World",
IF(COUNTIF('Queen Discography'!$I$4:$I$22,C59)&gt;0,"Jazz",
IF(COUNTIF('Queen Discography'!$J$4:$J$22,C59)&gt;0,"The Game",
IF(COUNTIF('Queen Discography'!$K$4:$K$22,C59)&gt;0,"Flash Gordon",
IF(COUNTIF('Queen Discography'!$L$4:$L$22,C59)&gt;0,"Hot Space",
IF(COUNTIF('Queen Discography'!$M$4:$M$22,C59)&gt;0,"The Works",
IF(COUNTIF('Queen Discography'!$N$4:$N$22,C59)&gt;0,"A Kind Of Magic",
IF(COUNTIF('Queen Discography'!$O$4:$O$22,C59)&gt;0,"The Miracle",
IF(COUNTIF('Queen Discography'!$P$4:$P$22,C59)&gt;0,"Innuendo",
IF(COUNTIF('Queen Discography'!$Q$4:$Q$22,C59)&gt;0,"Made In Heaven","NOT FOUND")))))))))))))))</f>
        <v>Made In Heaven</v>
      </c>
      <c r="I59" s="1"/>
      <c r="J59" s="1"/>
      <c r="K59" s="1"/>
      <c r="L59" s="1"/>
      <c r="M59" s="87"/>
      <c r="N59" s="87"/>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row>
    <row r="60">
      <c r="A60" s="1"/>
      <c r="C60" s="66" t="str">
        <f t="array" ref="C60">INDEX('Queen MIDI'!$C$4:$C$66,MATCH(F60,'Queen MIDI'!$D$4:$D$66,0))</f>
        <v>Mother Love</v>
      </c>
      <c r="D60" s="117">
        <v>5.0</v>
      </c>
      <c r="E60" s="118" t="s">
        <v>412</v>
      </c>
      <c r="F60" s="66" t="str">
        <f t="shared" si="2"/>
        <v>Mother Love.mid</v>
      </c>
      <c r="G60" s="128">
        <f>HLOOKUP(H60,'Queen Discography'!$C$2:$Q$3,2,FALSE)</f>
        <v>1995</v>
      </c>
      <c r="H60" s="66" t="str">
        <f>IF(COUNTIF('Queen Discography'!$C$4:$C$22,C60)&gt;0,"Queen",
IF(COUNTIF('Queen Discography'!$D$4:$D$22,C60)&gt;0,"Queen II",
IF(COUNTIF('Queen Discography'!$E$4:$E$22,C60)&gt;0,"Sheer Heart Attack",
IF(COUNTIF('Queen Discography'!$F$4:$F$22,C60)&gt;0,"A Night At The Opera",
IF(COUNTIF('Queen Discography'!$G$4:$G$22,C60)&gt;0,"A Day At The Races",
IF(COUNTIF('Queen Discography'!$H$4:$H$22,C60)&gt;0,"News Of The World",
IF(COUNTIF('Queen Discography'!$I$4:$I$22,C60)&gt;0,"Jazz",
IF(COUNTIF('Queen Discography'!$J$4:$J$22,C60)&gt;0,"The Game",
IF(COUNTIF('Queen Discography'!$K$4:$K$22,C60)&gt;0,"Flash Gordon",
IF(COUNTIF('Queen Discography'!$L$4:$L$22,C60)&gt;0,"Hot Space",
IF(COUNTIF('Queen Discography'!$M$4:$M$22,C60)&gt;0,"The Works",
IF(COUNTIF('Queen Discography'!$N$4:$N$22,C60)&gt;0,"A Kind Of Magic",
IF(COUNTIF('Queen Discography'!$O$4:$O$22,C60)&gt;0,"The Miracle",
IF(COUNTIF('Queen Discography'!$P$4:$P$22,C60)&gt;0,"Innuendo",
IF(COUNTIF('Queen Discography'!$Q$4:$Q$22,C60)&gt;0,"Made In Heaven","NOT FOUND")))))))))))))))</f>
        <v>Made In Heaven</v>
      </c>
      <c r="I60" s="1"/>
      <c r="J60" s="1"/>
      <c r="K60" s="1"/>
      <c r="L60" s="1"/>
      <c r="M60" s="87"/>
      <c r="N60" s="87"/>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row>
    <row r="61">
      <c r="A61" s="1"/>
      <c r="C61" s="66" t="str">
        <f t="array" ref="C61">INDEX('Queen MIDI'!$C$4:$C$66,MATCH(F61,'Queen MIDI'!$D$4:$D$66,0))</f>
        <v>You Don't Fool Me</v>
      </c>
      <c r="D61" s="117">
        <v>5.0</v>
      </c>
      <c r="E61" s="118" t="s">
        <v>415</v>
      </c>
      <c r="F61" s="66" t="str">
        <f t="shared" si="2"/>
        <v>You Don_t Fool Me.mid</v>
      </c>
      <c r="G61" s="123">
        <f>HLOOKUP(H61,'Queen Discography'!$C$2:$Q$3,2,FALSE)</f>
        <v>1995</v>
      </c>
      <c r="H61" s="66" t="str">
        <f>IF(COUNTIF('Queen Discography'!$C$4:$C$22,C61)&gt;0,"Queen",
IF(COUNTIF('Queen Discography'!$D$4:$D$22,C61)&gt;0,"Queen II",
IF(COUNTIF('Queen Discography'!$E$4:$E$22,C61)&gt;0,"Sheer Heart Attack",
IF(COUNTIF('Queen Discography'!$F$4:$F$22,C61)&gt;0,"A Night At The Opera",
IF(COUNTIF('Queen Discography'!$G$4:$G$22,C61)&gt;0,"A Day At The Races",
IF(COUNTIF('Queen Discography'!$H$4:$H$22,C61)&gt;0,"News Of The World",
IF(COUNTIF('Queen Discography'!$I$4:$I$22,C61)&gt;0,"Jazz",
IF(COUNTIF('Queen Discography'!$J$4:$J$22,C61)&gt;0,"The Game",
IF(COUNTIF('Queen Discography'!$K$4:$K$22,C61)&gt;0,"Flash Gordon",
IF(COUNTIF('Queen Discography'!$L$4:$L$22,C61)&gt;0,"Hot Space",
IF(COUNTIF('Queen Discography'!$M$4:$M$22,C61)&gt;0,"The Works",
IF(COUNTIF('Queen Discography'!$N$4:$N$22,C61)&gt;0,"A Kind Of Magic",
IF(COUNTIF('Queen Discography'!$O$4:$O$22,C61)&gt;0,"The Miracle",
IF(COUNTIF('Queen Discography'!$P$4:$P$22,C61)&gt;0,"Innuendo",
IF(COUNTIF('Queen Discography'!$Q$4:$Q$22,C61)&gt;0,"Made In Heaven","NOT FOUND")))))))))))))))</f>
        <v>Made In Heaven</v>
      </c>
      <c r="I61" s="1"/>
      <c r="J61" s="1"/>
      <c r="K61" s="1"/>
      <c r="L61" s="1"/>
      <c r="M61" s="87"/>
      <c r="N61" s="87"/>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row>
    <row r="62">
      <c r="A62" s="1"/>
      <c r="C62" s="66" t="str">
        <f t="array" ref="C62">INDEX('Queen MIDI'!$C$4:$C$66,MATCH(F62,'Queen MIDI'!$D$4:$D$66,0))</f>
        <v>My Melancholy Blues</v>
      </c>
      <c r="D62" s="117">
        <v>6.0</v>
      </c>
      <c r="E62" s="118" t="s">
        <v>373</v>
      </c>
      <c r="F62" s="66" t="str">
        <f t="shared" si="2"/>
        <v>My Melancholy Blues.mid</v>
      </c>
      <c r="G62" s="127">
        <f>HLOOKUP(H62,'Queen Discography'!$C$2:$Q$3,2,FALSE)</f>
        <v>1977</v>
      </c>
      <c r="H62" s="66" t="str">
        <f>IF(COUNTIF('Queen Discography'!$C$4:$C$22,C62)&gt;0,"Queen",
IF(COUNTIF('Queen Discography'!$D$4:$D$22,C62)&gt;0,"Queen II",
IF(COUNTIF('Queen Discography'!$E$4:$E$22,C62)&gt;0,"Sheer Heart Attack",
IF(COUNTIF('Queen Discography'!$F$4:$F$22,C62)&gt;0,"A Night At The Opera",
IF(COUNTIF('Queen Discography'!$G$4:$G$22,C62)&gt;0,"A Day At The Races",
IF(COUNTIF('Queen Discography'!$H$4:$H$22,C62)&gt;0,"News Of The World",
IF(COUNTIF('Queen Discography'!$I$4:$I$22,C62)&gt;0,"Jazz",
IF(COUNTIF('Queen Discography'!$J$4:$J$22,C62)&gt;0,"The Game",
IF(COUNTIF('Queen Discography'!$K$4:$K$22,C62)&gt;0,"Flash Gordon",
IF(COUNTIF('Queen Discography'!$L$4:$L$22,C62)&gt;0,"Hot Space",
IF(COUNTIF('Queen Discography'!$M$4:$M$22,C62)&gt;0,"The Works",
IF(COUNTIF('Queen Discography'!$N$4:$N$22,C62)&gt;0,"A Kind Of Magic",
IF(COUNTIF('Queen Discography'!$O$4:$O$22,C62)&gt;0,"The Miracle",
IF(COUNTIF('Queen Discography'!$P$4:$P$22,C62)&gt;0,"Innuendo",
IF(COUNTIF('Queen Discography'!$Q$4:$Q$22,C62)&gt;0,"Made In Heaven","NOT FOUND")))))))))))))))</f>
        <v>News Of The World</v>
      </c>
      <c r="I62" s="1"/>
      <c r="J62" s="1"/>
      <c r="K62" s="1"/>
      <c r="L62" s="1"/>
      <c r="M62" s="87"/>
      <c r="N62" s="87"/>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c r="A63" s="1"/>
      <c r="C63" s="66" t="str">
        <f t="array" ref="C63">INDEX('Queen MIDI'!$C$4:$C$66,MATCH(F63,'Queen MIDI'!$D$4:$D$66,0))</f>
        <v>One Year of Love</v>
      </c>
      <c r="D63" s="117">
        <v>7.0</v>
      </c>
      <c r="E63" s="118" t="s">
        <v>392</v>
      </c>
      <c r="F63" s="66" t="str">
        <f t="shared" si="2"/>
        <v>One Year of Love.mid</v>
      </c>
      <c r="G63" s="125">
        <f>HLOOKUP(H63,'Queen Discography'!$C$2:$Q$3,2,FALSE)</f>
        <v>1986</v>
      </c>
      <c r="H63" s="66" t="str">
        <f>IF(COUNTIF('Queen Discography'!$C$4:$C$22,C63)&gt;0,"Queen",
IF(COUNTIF('Queen Discography'!$D$4:$D$22,C63)&gt;0,"Queen II",
IF(COUNTIF('Queen Discography'!$E$4:$E$22,C63)&gt;0,"Sheer Heart Attack",
IF(COUNTIF('Queen Discography'!$F$4:$F$22,C63)&gt;0,"A Night At The Opera",
IF(COUNTIF('Queen Discography'!$G$4:$G$22,C63)&gt;0,"A Day At The Races",
IF(COUNTIF('Queen Discography'!$H$4:$H$22,C63)&gt;0,"News Of The World",
IF(COUNTIF('Queen Discography'!$I$4:$I$22,C63)&gt;0,"Jazz",
IF(COUNTIF('Queen Discography'!$J$4:$J$22,C63)&gt;0,"The Game",
IF(COUNTIF('Queen Discography'!$K$4:$K$22,C63)&gt;0,"Flash Gordon",
IF(COUNTIF('Queen Discography'!$L$4:$L$22,C63)&gt;0,"Hot Space",
IF(COUNTIF('Queen Discography'!$M$4:$M$22,C63)&gt;0,"The Works",
IF(COUNTIF('Queen Discography'!$N$4:$N$22,C63)&gt;0,"A Kind Of Magic",
IF(COUNTIF('Queen Discography'!$O$4:$O$22,C63)&gt;0,"The Miracle",
IF(COUNTIF('Queen Discography'!$P$4:$P$22,C63)&gt;0,"Innuendo",
IF(COUNTIF('Queen Discography'!$Q$4:$Q$22,C63)&gt;0,"Made In Heaven","NOT FOUND")))))))))))))))</f>
        <v>A Kind Of Magic</v>
      </c>
      <c r="I63" s="1"/>
      <c r="J63" s="1"/>
      <c r="K63" s="1"/>
      <c r="L63" s="1"/>
      <c r="M63" s="87"/>
      <c r="N63" s="87"/>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row>
    <row r="64">
      <c r="A64" s="1"/>
      <c r="C64" s="66" t="str">
        <f t="array" ref="C64">INDEX('Queen MIDI'!$C$4:$C$66,MATCH(F64,'Queen MIDI'!$D$4:$D$66,0))</f>
        <v>Procession</v>
      </c>
      <c r="D64" s="117">
        <v>8.0</v>
      </c>
      <c r="E64" s="118" t="s">
        <v>417</v>
      </c>
      <c r="F64" s="66" t="str">
        <f t="shared" si="2"/>
        <v>Procession.mid</v>
      </c>
      <c r="G64" s="120">
        <f>HLOOKUP(H64,'Queen Discography'!$C$2:$Q$3,2,FALSE)</f>
        <v>1974</v>
      </c>
      <c r="H64" s="66" t="str">
        <f>IF(COUNTIF('Queen Discography'!$C$4:$C$22,C64)&gt;0,"Queen",
IF(COUNTIF('Queen Discography'!$D$4:$D$22,C64)&gt;0,"Queen II",
IF(COUNTIF('Queen Discography'!$E$4:$E$22,C64)&gt;0,"Sheer Heart Attack",
IF(COUNTIF('Queen Discography'!$F$4:$F$22,C64)&gt;0,"A Night At The Opera",
IF(COUNTIF('Queen Discography'!$G$4:$G$22,C64)&gt;0,"A Day At The Races",
IF(COUNTIF('Queen Discography'!$H$4:$H$22,C64)&gt;0,"News Of The World",
IF(COUNTIF('Queen Discography'!$I$4:$I$22,C64)&gt;0,"Jazz",
IF(COUNTIF('Queen Discography'!$J$4:$J$22,C64)&gt;0,"The Game",
IF(COUNTIF('Queen Discography'!$K$4:$K$22,C64)&gt;0,"Flash Gordon",
IF(COUNTIF('Queen Discography'!$L$4:$L$22,C64)&gt;0,"Hot Space",
IF(COUNTIF('Queen Discography'!$M$4:$M$22,C64)&gt;0,"The Works",
IF(COUNTIF('Queen Discography'!$N$4:$N$22,C64)&gt;0,"A Kind Of Magic",
IF(COUNTIF('Queen Discography'!$O$4:$O$22,C64)&gt;0,"The Miracle",
IF(COUNTIF('Queen Discography'!$P$4:$P$22,C64)&gt;0,"Innuendo",
IF(COUNTIF('Queen Discography'!$Q$4:$Q$22,C64)&gt;0,"Made In Heaven","NOT FOUND")))))))))))))))</f>
        <v>Queen II</v>
      </c>
      <c r="I64" s="1"/>
      <c r="J64" s="1"/>
      <c r="K64" s="1"/>
      <c r="L64" s="1"/>
      <c r="M64" s="87"/>
      <c r="N64" s="87"/>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row>
    <row r="65">
      <c r="A65" s="1"/>
      <c r="C65" s="66" t="str">
        <f t="array" ref="C65">INDEX('Queen MIDI'!$C$4:$C$66,MATCH(F65,'Queen MIDI'!$D$4:$D$66,0))</f>
        <v>The Great Pretender</v>
      </c>
      <c r="D65" s="117">
        <v>9.0</v>
      </c>
      <c r="E65" s="118" t="s">
        <v>418</v>
      </c>
      <c r="F65" s="66" t="str">
        <f t="shared" si="2"/>
        <v>The Great Pretender.mid</v>
      </c>
      <c r="G65" s="120" t="str">
        <f>HLOOKUP(H65,'Queen Discography'!$C$2:$Q$3,2,FALSE)</f>
        <v>#N/A</v>
      </c>
      <c r="H65" s="66" t="str">
        <f>IF(COUNTIF('Queen Discography'!$C$4:$C$22,C65)&gt;0,"Queen",
IF(COUNTIF('Queen Discography'!$D$4:$D$22,C65)&gt;0,"Queen II",
IF(COUNTIF('Queen Discography'!$E$4:$E$22,C65)&gt;0,"Sheer Heart Attack",
IF(COUNTIF('Queen Discography'!$F$4:$F$22,C65)&gt;0,"A Night At The Opera",
IF(COUNTIF('Queen Discography'!$G$4:$G$22,C65)&gt;0,"A Day At The Races",
IF(COUNTIF('Queen Discography'!$H$4:$H$22,C65)&gt;0,"News Of The World",
IF(COUNTIF('Queen Discography'!$I$4:$I$22,C65)&gt;0,"Jazz",
IF(COUNTIF('Queen Discography'!$J$4:$J$22,C65)&gt;0,"The Game",
IF(COUNTIF('Queen Discography'!$K$4:$K$22,C65)&gt;0,"Flash Gordon",
IF(COUNTIF('Queen Discography'!$L$4:$L$22,C65)&gt;0,"Hot Space",
IF(COUNTIF('Queen Discography'!$M$4:$M$22,C65)&gt;0,"The Works",
IF(COUNTIF('Queen Discography'!$N$4:$N$22,C65)&gt;0,"A Kind Of Magic",
IF(COUNTIF('Queen Discography'!$O$4:$O$22,C65)&gt;0,"The Miracle",
IF(COUNTIF('Queen Discography'!$P$4:$P$22,C65)&gt;0,"Innuendo",
IF(COUNTIF('Queen Discography'!$Q$4:$Q$22,C65)&gt;0,"Made In Heaven","NOT FOUND")))))))))))))))</f>
        <v>NOT FOUND</v>
      </c>
      <c r="I65" s="1"/>
      <c r="J65" s="1"/>
      <c r="K65" s="1"/>
      <c r="L65" s="1"/>
      <c r="M65" s="87"/>
      <c r="N65" s="87"/>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row>
    <row r="66">
      <c r="A66" s="1"/>
      <c r="C66" s="66" t="str">
        <f t="array" ref="C66">INDEX('Queen MIDI'!$C$4:$C$66,MATCH(F66,'Queen MIDI'!$D$4:$D$66,0))</f>
        <v>We Will Rock You</v>
      </c>
      <c r="D66" s="117">
        <v>10.0</v>
      </c>
      <c r="E66" s="118" t="s">
        <v>419</v>
      </c>
      <c r="F66" s="66" t="str">
        <f t="shared" si="2"/>
        <v>We Will Rock You.6.mid</v>
      </c>
      <c r="G66" s="124">
        <f>HLOOKUP(H66,'Queen Discography'!$C$2:$Q$3,2,FALSE)</f>
        <v>1977</v>
      </c>
      <c r="H66" s="66" t="str">
        <f>IF(COUNTIF('Queen Discography'!$C$4:$C$22,C66)&gt;0,"Queen",
IF(COUNTIF('Queen Discography'!$D$4:$D$22,C66)&gt;0,"Queen II",
IF(COUNTIF('Queen Discography'!$E$4:$E$22,C66)&gt;0,"Sheer Heart Attack",
IF(COUNTIF('Queen Discography'!$F$4:$F$22,C66)&gt;0,"A Night At The Opera",
IF(COUNTIF('Queen Discography'!$G$4:$G$22,C66)&gt;0,"A Day At The Races",
IF(COUNTIF('Queen Discography'!$H$4:$H$22,C66)&gt;0,"News Of The World",
IF(COUNTIF('Queen Discography'!$I$4:$I$22,C66)&gt;0,"Jazz",
IF(COUNTIF('Queen Discography'!$J$4:$J$22,C66)&gt;0,"The Game",
IF(COUNTIF('Queen Discography'!$K$4:$K$22,C66)&gt;0,"Flash Gordon",
IF(COUNTIF('Queen Discography'!$L$4:$L$22,C66)&gt;0,"Hot Space",
IF(COUNTIF('Queen Discography'!$M$4:$M$22,C66)&gt;0,"The Works",
IF(COUNTIF('Queen Discography'!$N$4:$N$22,C66)&gt;0,"A Kind Of Magic",
IF(COUNTIF('Queen Discography'!$O$4:$O$22,C66)&gt;0,"The Miracle",
IF(COUNTIF('Queen Discography'!$P$4:$P$22,C66)&gt;0,"Innuendo",
IF(COUNTIF('Queen Discography'!$Q$4:$Q$22,C66)&gt;0,"Made In Heaven","NOT FOUND")))))))))))))))</f>
        <v>News Of The World</v>
      </c>
      <c r="I66" s="1"/>
      <c r="J66" s="1"/>
      <c r="K66" s="1"/>
      <c r="L66" s="1"/>
      <c r="M66" s="87"/>
      <c r="N66" s="87"/>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row>
    <row r="67">
      <c r="A67" s="1"/>
      <c r="B67" s="19"/>
      <c r="C67" s="1"/>
      <c r="D67" s="1"/>
      <c r="E67" s="1"/>
      <c r="F67" s="1"/>
      <c r="G67" s="114"/>
      <c r="H67" s="1"/>
      <c r="I67" s="1"/>
      <c r="J67" s="1"/>
      <c r="K67" s="1"/>
      <c r="L67" s="1"/>
      <c r="M67" s="87"/>
      <c r="N67" s="87"/>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row>
  </sheetData>
  <autoFilter ref="$C$3:$H$66">
    <sortState ref="C3:H66">
      <sortCondition ref="D3:D66"/>
      <sortCondition ref="G3:G66"/>
      <sortCondition ref="H3:H66"/>
    </sortState>
  </autoFilter>
  <mergeCells count="3">
    <mergeCell ref="C2:H2"/>
    <mergeCell ref="J2:BD2"/>
    <mergeCell ref="B4:B66"/>
  </mergeCells>
  <conditionalFormatting sqref="J4:BD21">
    <cfRule type="expression" dxfId="16" priority="1">
      <formula>$BD4=0</formula>
    </cfRule>
  </conditionalFormatting>
  <conditionalFormatting sqref="AF4:AU21">
    <cfRule type="expression" dxfId="17" priority="2">
      <formula>AND(AF4:AU4=MAX($AF4:$AU4),$BD4&lt;2)</formula>
    </cfRule>
  </conditionalFormatting>
  <conditionalFormatting sqref="P4:AE21">
    <cfRule type="expression" dxfId="18" priority="3">
      <formula>AND(P4:AE4=MAX($P4:$AE4),$BD4&lt;2)</formula>
    </cfRule>
  </conditionalFormatting>
  <conditionalFormatting sqref="J4:BD21">
    <cfRule type="expression" dxfId="19" priority="4">
      <formula>$BD4&lt;2</formula>
    </cfRule>
  </conditionalFormatting>
  <conditionalFormatting sqref="P4:AE21">
    <cfRule type="expression" dxfId="20" priority="5">
      <formula>P4:AE4=MAX($P4:$AE4)</formula>
    </cfRule>
  </conditionalFormatting>
  <conditionalFormatting sqref="AF4:AU21">
    <cfRule type="expression" dxfId="21" priority="6">
      <formula>AF4:AU4=MAX($AF4:$AU4)</formula>
    </cfRule>
  </conditionalFormatting>
  <conditionalFormatting sqref="C4:H66">
    <cfRule type="expression" dxfId="0" priority="7">
      <formula>$H4="NOT FOUND"</formula>
    </cfRule>
  </conditionalFormatting>
  <conditionalFormatting sqref="C4:H66">
    <cfRule type="expression" dxfId="1" priority="8">
      <formula>$H4="Queen"</formula>
    </cfRule>
  </conditionalFormatting>
  <conditionalFormatting sqref="C4:H66">
    <cfRule type="expression" dxfId="2" priority="9">
      <formula>$H4="Queen II"</formula>
    </cfRule>
  </conditionalFormatting>
  <conditionalFormatting sqref="C4:H66">
    <cfRule type="expression" dxfId="3" priority="10">
      <formula>$H4="Sheer Heart Attack"</formula>
    </cfRule>
  </conditionalFormatting>
  <conditionalFormatting sqref="C4:H66">
    <cfRule type="expression" dxfId="4" priority="11">
      <formula>$H4="A Night At The Opera"</formula>
    </cfRule>
  </conditionalFormatting>
  <conditionalFormatting sqref="C4:H66">
    <cfRule type="expression" dxfId="5" priority="12">
      <formula>$H4="A Day At The Races"</formula>
    </cfRule>
  </conditionalFormatting>
  <conditionalFormatting sqref="C4:H66">
    <cfRule type="expression" dxfId="6" priority="13">
      <formula>$H4="News Of The World"</formula>
    </cfRule>
  </conditionalFormatting>
  <conditionalFormatting sqref="C4:H66">
    <cfRule type="expression" dxfId="7" priority="14">
      <formula>$H4="Jazz"</formula>
    </cfRule>
  </conditionalFormatting>
  <conditionalFormatting sqref="C4:H66">
    <cfRule type="expression" dxfId="8" priority="15">
      <formula>$H4="The Game"</formula>
    </cfRule>
  </conditionalFormatting>
  <conditionalFormatting sqref="C4:H66">
    <cfRule type="expression" dxfId="9" priority="16">
      <formula>$H4="Flash Gordon"</formula>
    </cfRule>
  </conditionalFormatting>
  <conditionalFormatting sqref="C4:H66">
    <cfRule type="expression" dxfId="10" priority="17">
      <formula>$H4="Hot Space"</formula>
    </cfRule>
  </conditionalFormatting>
  <conditionalFormatting sqref="C4:H66">
    <cfRule type="expression" dxfId="11" priority="18">
      <formula>$H4="The Works"</formula>
    </cfRule>
  </conditionalFormatting>
  <conditionalFormatting sqref="C4:H66">
    <cfRule type="expression" dxfId="12" priority="19">
      <formula>$H4="A Kind Of Magic"</formula>
    </cfRule>
  </conditionalFormatting>
  <conditionalFormatting sqref="C4:H66">
    <cfRule type="expression" dxfId="13" priority="20">
      <formula>$H4="The Miracle"</formula>
    </cfRule>
  </conditionalFormatting>
  <conditionalFormatting sqref="C4:H66">
    <cfRule type="expression" dxfId="14" priority="21">
      <formula>$H4="Innuendo"</formula>
    </cfRule>
  </conditionalFormatting>
  <conditionalFormatting sqref="C4:H66">
    <cfRule type="expression" dxfId="15" priority="22">
      <formula>$H4="Made In Heaven"</formula>
    </cfRule>
  </conditionalFormatting>
  <conditionalFormatting sqref="G4:H4">
    <cfRule type="expression" dxfId="0" priority="23">
      <formula>$H4="NOT FOUND"</formula>
    </cfRule>
  </conditionalFormatting>
  <printOptions gridLines="1" horizontalCentered="1"/>
  <pageMargins bottom="0.75" footer="0.0" header="0.0" left="0.25" right="0.25" top="0.75"/>
  <pageSetup orientation="landscape" pageOrder="overThenDown" paperHeight="16in" paperWidth="16in"/>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73.0" ySplit="4.0" topLeftCell="BV5" activePane="bottomRight" state="frozen"/>
      <selection activeCell="BV1" sqref="BV1" pane="topRight"/>
      <selection activeCell="A5" sqref="A5" pane="bottomLeft"/>
      <selection activeCell="BV5" sqref="BV5" pane="bottomRight"/>
    </sheetView>
  </sheetViews>
  <sheetFormatPr customHeight="1" defaultColWidth="12.63" defaultRowHeight="15.0" outlineLevelCol="1" outlineLevelRow="1"/>
  <cols>
    <col collapsed="1" customWidth="1" min="1" max="1" width="2.75"/>
    <col customWidth="1" hidden="1" min="2" max="2" width="6.63" outlineLevel="1"/>
    <col customWidth="1" hidden="1" min="3" max="3" width="13.0" outlineLevel="1"/>
    <col customWidth="1" min="4" max="4" width="44.63"/>
    <col customWidth="1" min="5" max="5" width="2.75"/>
    <col collapsed="1" customWidth="1" min="6" max="6" width="2.75"/>
    <col customWidth="1" hidden="1" min="7" max="69" width="15.13" outlineLevel="1"/>
    <col customWidth="1" min="70" max="70" width="2.75"/>
    <col customWidth="1" min="71" max="72" width="10.13"/>
    <col customWidth="1" min="73" max="73" width="2.75"/>
    <col customWidth="1" min="74" max="82" width="12.63"/>
    <col customWidth="1" min="83" max="83" width="2.75"/>
    <col customWidth="1" min="84" max="92" width="12.63"/>
    <col customWidth="1" min="93" max="93" width="2.75"/>
    <col customWidth="1" min="94" max="102" width="12.63"/>
    <col customWidth="1" min="103" max="103" width="2.75"/>
    <col customWidth="1" min="104" max="118" width="12.63"/>
    <col customWidth="1" min="119" max="119" width="2.75"/>
    <col customWidth="1" min="120" max="131" width="12.63"/>
    <col customWidth="1" min="132" max="132" width="2.75"/>
  </cols>
  <sheetData>
    <row r="1" collapsed="1">
      <c r="A1" s="2" t="s">
        <v>0</v>
      </c>
      <c r="B1" s="19"/>
      <c r="C1" s="19"/>
      <c r="D1" s="19"/>
      <c r="E1" s="184"/>
      <c r="F1" s="184"/>
      <c r="G1" s="184"/>
      <c r="H1" s="184"/>
      <c r="I1" s="184"/>
      <c r="J1" s="184"/>
      <c r="K1" s="184"/>
      <c r="L1" s="184"/>
      <c r="M1" s="184"/>
      <c r="N1" s="184"/>
      <c r="O1" s="184"/>
      <c r="P1" s="184"/>
      <c r="Q1" s="184"/>
      <c r="R1" s="185"/>
      <c r="S1" s="184"/>
      <c r="T1" s="184"/>
      <c r="U1" s="184"/>
      <c r="V1" s="184"/>
      <c r="W1" s="184"/>
      <c r="X1" s="184"/>
      <c r="Y1" s="184"/>
      <c r="Z1" s="184"/>
      <c r="AA1" s="184"/>
      <c r="AB1" s="184"/>
      <c r="AC1" s="184"/>
      <c r="AD1" s="184"/>
      <c r="AE1" s="184"/>
      <c r="AF1" s="184"/>
      <c r="AG1" s="184"/>
      <c r="AH1" s="184"/>
      <c r="AI1" s="184"/>
      <c r="AJ1" s="184"/>
      <c r="AK1" s="184"/>
      <c r="AL1" s="184"/>
      <c r="AM1" s="184"/>
      <c r="AN1" s="184"/>
      <c r="AO1" s="184"/>
      <c r="AP1" s="184"/>
      <c r="AQ1" s="184"/>
      <c r="AR1" s="184"/>
      <c r="AS1" s="184"/>
      <c r="AT1" s="184"/>
      <c r="AU1" s="184"/>
      <c r="AV1" s="184"/>
      <c r="AW1" s="184"/>
      <c r="AX1" s="184"/>
      <c r="AY1" s="184"/>
      <c r="AZ1" s="184"/>
      <c r="BA1" s="184"/>
      <c r="BB1" s="184"/>
      <c r="BC1" s="184"/>
      <c r="BD1" s="184"/>
      <c r="BE1" s="184"/>
      <c r="BF1" s="184"/>
      <c r="BG1" s="184"/>
      <c r="BH1" s="184"/>
      <c r="BI1" s="184"/>
      <c r="BJ1" s="184" t="s">
        <v>0</v>
      </c>
      <c r="BK1" s="184"/>
      <c r="BL1" s="184"/>
      <c r="BM1" s="184"/>
      <c r="BN1" s="184"/>
      <c r="BO1" s="184"/>
      <c r="BP1" s="184"/>
      <c r="BQ1" s="184"/>
      <c r="BR1" s="186"/>
      <c r="BS1" s="187"/>
      <c r="BT1" s="186"/>
      <c r="BU1" s="186"/>
      <c r="BV1" s="188" t="s">
        <v>427</v>
      </c>
      <c r="BW1" s="189" t="str">
        <f t="shared" ref="BW1:CD1" si="1">BV1</f>
        <v>[KMeans] FS2 Elbow</v>
      </c>
      <c r="BX1" s="189" t="str">
        <f t="shared" si="1"/>
        <v>[KMeans] FS2 Elbow</v>
      </c>
      <c r="BY1" s="189" t="str">
        <f t="shared" si="1"/>
        <v>[KMeans] FS2 Elbow</v>
      </c>
      <c r="BZ1" s="189" t="str">
        <f t="shared" si="1"/>
        <v>[KMeans] FS2 Elbow</v>
      </c>
      <c r="CA1" s="189" t="str">
        <f t="shared" si="1"/>
        <v>[KMeans] FS2 Elbow</v>
      </c>
      <c r="CB1" s="189" t="str">
        <f t="shared" si="1"/>
        <v>[KMeans] FS2 Elbow</v>
      </c>
      <c r="CC1" s="189" t="str">
        <f t="shared" si="1"/>
        <v>[KMeans] FS2 Elbow</v>
      </c>
      <c r="CD1" s="189" t="str">
        <f t="shared" si="1"/>
        <v>[KMeans] FS2 Elbow</v>
      </c>
      <c r="CE1" s="186"/>
      <c r="CF1" s="186" t="s">
        <v>428</v>
      </c>
      <c r="CG1" s="187" t="str">
        <f t="shared" ref="CG1:CN1" si="2">CF1</f>
        <v>[AffProg] FS1 Davies</v>
      </c>
      <c r="CH1" s="187" t="str">
        <f t="shared" si="2"/>
        <v>[AffProg] FS1 Davies</v>
      </c>
      <c r="CI1" s="187" t="str">
        <f t="shared" si="2"/>
        <v>[AffProg] FS1 Davies</v>
      </c>
      <c r="CJ1" s="187" t="str">
        <f t="shared" si="2"/>
        <v>[AffProg] FS1 Davies</v>
      </c>
      <c r="CK1" s="187" t="str">
        <f t="shared" si="2"/>
        <v>[AffProg] FS1 Davies</v>
      </c>
      <c r="CL1" s="187" t="str">
        <f t="shared" si="2"/>
        <v>[AffProg] FS1 Davies</v>
      </c>
      <c r="CM1" s="187" t="str">
        <f t="shared" si="2"/>
        <v>[AffProg] FS1 Davies</v>
      </c>
      <c r="CN1" s="187" t="str">
        <f t="shared" si="2"/>
        <v>[AffProg] FS1 Davies</v>
      </c>
      <c r="CO1" s="186"/>
      <c r="CP1" s="190" t="s">
        <v>429</v>
      </c>
      <c r="CQ1" s="187" t="str">
        <f t="shared" ref="CQ1:CX1" si="3">CP1</f>
        <v>[AffProg] FS1 Silhouette</v>
      </c>
      <c r="CR1" s="187" t="str">
        <f t="shared" si="3"/>
        <v>[AffProg] FS1 Silhouette</v>
      </c>
      <c r="CS1" s="187" t="str">
        <f t="shared" si="3"/>
        <v>[AffProg] FS1 Silhouette</v>
      </c>
      <c r="CT1" s="187" t="str">
        <f t="shared" si="3"/>
        <v>[AffProg] FS1 Silhouette</v>
      </c>
      <c r="CU1" s="187" t="str">
        <f t="shared" si="3"/>
        <v>[AffProg] FS1 Silhouette</v>
      </c>
      <c r="CV1" s="187" t="str">
        <f t="shared" si="3"/>
        <v>[AffProg] FS1 Silhouette</v>
      </c>
      <c r="CW1" s="187" t="str">
        <f t="shared" si="3"/>
        <v>[AffProg] FS1 Silhouette</v>
      </c>
      <c r="CX1" s="187" t="str">
        <f t="shared" si="3"/>
        <v>[AffProg] FS1 Silhouette</v>
      </c>
      <c r="CY1" s="186"/>
      <c r="CZ1" s="190" t="s">
        <v>430</v>
      </c>
      <c r="DA1" s="187" t="str">
        <f t="shared" ref="DA1:DN1" si="4">CZ1</f>
        <v>[AffProg] FS2 Davies</v>
      </c>
      <c r="DB1" s="187" t="str">
        <f t="shared" si="4"/>
        <v>[AffProg] FS2 Davies</v>
      </c>
      <c r="DC1" s="187" t="str">
        <f t="shared" si="4"/>
        <v>[AffProg] FS2 Davies</v>
      </c>
      <c r="DD1" s="187" t="str">
        <f t="shared" si="4"/>
        <v>[AffProg] FS2 Davies</v>
      </c>
      <c r="DE1" s="187" t="str">
        <f t="shared" si="4"/>
        <v>[AffProg] FS2 Davies</v>
      </c>
      <c r="DF1" s="187" t="str">
        <f t="shared" si="4"/>
        <v>[AffProg] FS2 Davies</v>
      </c>
      <c r="DG1" s="187" t="str">
        <f t="shared" si="4"/>
        <v>[AffProg] FS2 Davies</v>
      </c>
      <c r="DH1" s="187" t="str">
        <f t="shared" si="4"/>
        <v>[AffProg] FS2 Davies</v>
      </c>
      <c r="DI1" s="187" t="str">
        <f t="shared" si="4"/>
        <v>[AffProg] FS2 Davies</v>
      </c>
      <c r="DJ1" s="187" t="str">
        <f t="shared" si="4"/>
        <v>[AffProg] FS2 Davies</v>
      </c>
      <c r="DK1" s="187" t="str">
        <f t="shared" si="4"/>
        <v>[AffProg] FS2 Davies</v>
      </c>
      <c r="DL1" s="187" t="str">
        <f t="shared" si="4"/>
        <v>[AffProg] FS2 Davies</v>
      </c>
      <c r="DM1" s="187" t="str">
        <f t="shared" si="4"/>
        <v>[AffProg] FS2 Davies</v>
      </c>
      <c r="DN1" s="187" t="str">
        <f t="shared" si="4"/>
        <v>[AffProg] FS2 Davies</v>
      </c>
      <c r="DO1" s="186"/>
      <c r="DP1" s="190" t="s">
        <v>431</v>
      </c>
      <c r="DQ1" s="187" t="str">
        <f t="shared" ref="DQ1:EA1" si="5">DP1</f>
        <v>[AffProg] FS2 Silhouette</v>
      </c>
      <c r="DR1" s="187" t="str">
        <f t="shared" si="5"/>
        <v>[AffProg] FS2 Silhouette</v>
      </c>
      <c r="DS1" s="187" t="str">
        <f t="shared" si="5"/>
        <v>[AffProg] FS2 Silhouette</v>
      </c>
      <c r="DT1" s="187" t="str">
        <f t="shared" si="5"/>
        <v>[AffProg] FS2 Silhouette</v>
      </c>
      <c r="DU1" s="187" t="str">
        <f t="shared" si="5"/>
        <v>[AffProg] FS2 Silhouette</v>
      </c>
      <c r="DV1" s="187" t="str">
        <f t="shared" si="5"/>
        <v>[AffProg] FS2 Silhouette</v>
      </c>
      <c r="DW1" s="187" t="str">
        <f t="shared" si="5"/>
        <v>[AffProg] FS2 Silhouette</v>
      </c>
      <c r="DX1" s="187" t="str">
        <f t="shared" si="5"/>
        <v>[AffProg] FS2 Silhouette</v>
      </c>
      <c r="DY1" s="187" t="str">
        <f t="shared" si="5"/>
        <v>[AffProg] FS2 Silhouette</v>
      </c>
      <c r="DZ1" s="187" t="str">
        <f t="shared" si="5"/>
        <v>[AffProg] FS2 Silhouette</v>
      </c>
      <c r="EA1" s="187" t="str">
        <f t="shared" si="5"/>
        <v>[AffProg] FS2 Silhouette</v>
      </c>
      <c r="EB1" s="191"/>
    </row>
    <row r="2" hidden="1" outlineLevel="1">
      <c r="A2" s="2"/>
      <c r="B2" s="192"/>
      <c r="C2" s="192"/>
      <c r="D2" s="192"/>
      <c r="E2" s="193"/>
      <c r="F2" s="193"/>
      <c r="G2" s="194" t="s">
        <v>390</v>
      </c>
      <c r="H2" s="194" t="s">
        <v>400</v>
      </c>
      <c r="I2" s="194" t="s">
        <v>381</v>
      </c>
      <c r="J2" s="194" t="s">
        <v>376</v>
      </c>
      <c r="K2" s="194" t="s">
        <v>401</v>
      </c>
      <c r="L2" s="194" t="s">
        <v>366</v>
      </c>
      <c r="M2" s="194" t="s">
        <v>382</v>
      </c>
      <c r="N2" s="194" t="s">
        <v>367</v>
      </c>
      <c r="O2" s="194" t="s">
        <v>356</v>
      </c>
      <c r="P2" s="194" t="s">
        <v>377</v>
      </c>
      <c r="Q2" s="194" t="s">
        <v>402</v>
      </c>
      <c r="R2" s="194" t="s">
        <v>378</v>
      </c>
      <c r="S2" s="194" t="s">
        <v>361</v>
      </c>
      <c r="T2" s="194" t="s">
        <v>391</v>
      </c>
      <c r="U2" s="194" t="s">
        <v>379</v>
      </c>
      <c r="V2" s="194" t="s">
        <v>370</v>
      </c>
      <c r="W2" s="194" t="s">
        <v>386</v>
      </c>
      <c r="X2" s="194" t="s">
        <v>403</v>
      </c>
      <c r="Y2" s="194" t="s">
        <v>409</v>
      </c>
      <c r="Z2" s="194" t="s">
        <v>404</v>
      </c>
      <c r="AA2" s="194" t="s">
        <v>395</v>
      </c>
      <c r="AB2" s="194" t="s">
        <v>387</v>
      </c>
      <c r="AC2" s="194" t="s">
        <v>410</v>
      </c>
      <c r="AD2" s="194" t="s">
        <v>380</v>
      </c>
      <c r="AE2" s="194" t="s">
        <v>406</v>
      </c>
      <c r="AF2" s="194" t="s">
        <v>388</v>
      </c>
      <c r="AG2" s="194" t="s">
        <v>405</v>
      </c>
      <c r="AH2" s="194" t="s">
        <v>358</v>
      </c>
      <c r="AI2" s="194" t="s">
        <v>363</v>
      </c>
      <c r="AJ2" s="194" t="s">
        <v>416</v>
      </c>
      <c r="AK2" s="194" t="s">
        <v>368</v>
      </c>
      <c r="AL2" s="194" t="s">
        <v>411</v>
      </c>
      <c r="AM2" s="194" t="s">
        <v>412</v>
      </c>
      <c r="AN2" s="194" t="s">
        <v>413</v>
      </c>
      <c r="AO2" s="194" t="s">
        <v>373</v>
      </c>
      <c r="AP2" s="194" t="s">
        <v>362</v>
      </c>
      <c r="AQ2" s="194" t="s">
        <v>364</v>
      </c>
      <c r="AR2" s="194" t="s">
        <v>392</v>
      </c>
      <c r="AS2" s="194" t="s">
        <v>383</v>
      </c>
      <c r="AT2" s="194" t="s">
        <v>393</v>
      </c>
      <c r="AU2" s="194" t="s">
        <v>417</v>
      </c>
      <c r="AV2" s="194" t="s">
        <v>389</v>
      </c>
      <c r="AW2" s="194" t="s">
        <v>396</v>
      </c>
      <c r="AX2" s="194" t="s">
        <v>384</v>
      </c>
      <c r="AY2" s="194" t="s">
        <v>397</v>
      </c>
      <c r="AZ2" s="194" t="s">
        <v>359</v>
      </c>
      <c r="BA2" s="194" t="s">
        <v>371</v>
      </c>
      <c r="BB2" s="194" t="s">
        <v>360</v>
      </c>
      <c r="BC2" s="194" t="s">
        <v>374</v>
      </c>
      <c r="BD2" s="194" t="s">
        <v>418</v>
      </c>
      <c r="BE2" s="194" t="s">
        <v>398</v>
      </c>
      <c r="BF2" s="194" t="s">
        <v>399</v>
      </c>
      <c r="BG2" s="194" t="s">
        <v>407</v>
      </c>
      <c r="BH2" s="194" t="s">
        <v>408</v>
      </c>
      <c r="BI2" s="194" t="s">
        <v>414</v>
      </c>
      <c r="BJ2" s="194" t="s">
        <v>385</v>
      </c>
      <c r="BK2" s="194" t="s">
        <v>375</v>
      </c>
      <c r="BL2" s="194" t="s">
        <v>419</v>
      </c>
      <c r="BM2" s="194" t="s">
        <v>372</v>
      </c>
      <c r="BN2" s="194" t="s">
        <v>394</v>
      </c>
      <c r="BO2" s="194" t="s">
        <v>415</v>
      </c>
      <c r="BP2" s="194" t="s">
        <v>369</v>
      </c>
      <c r="BQ2" s="194" t="s">
        <v>365</v>
      </c>
      <c r="BR2" s="186"/>
      <c r="BS2" s="195" t="s">
        <v>432</v>
      </c>
      <c r="BT2" s="196">
        <v>1.0</v>
      </c>
      <c r="BU2" s="186"/>
      <c r="BV2" s="196">
        <v>0.0</v>
      </c>
      <c r="BW2" s="197"/>
      <c r="BX2" s="196"/>
      <c r="BY2" s="196">
        <v>4.0</v>
      </c>
      <c r="BZ2" s="197"/>
      <c r="CA2" s="196"/>
      <c r="CB2" s="196">
        <v>5.0</v>
      </c>
      <c r="CC2" s="197"/>
      <c r="CD2" s="196"/>
      <c r="CE2" s="186"/>
      <c r="CF2" s="196">
        <v>2.0</v>
      </c>
      <c r="CG2" s="197"/>
      <c r="CH2" s="196"/>
      <c r="CI2" s="196">
        <v>4.0</v>
      </c>
      <c r="CJ2" s="197"/>
      <c r="CK2" s="196"/>
      <c r="CL2" s="196">
        <v>9.0</v>
      </c>
      <c r="CM2" s="197"/>
      <c r="CN2" s="196"/>
      <c r="CO2" s="186"/>
      <c r="CP2" s="198">
        <v>1.0</v>
      </c>
      <c r="CQ2" s="197"/>
      <c r="CR2" s="196"/>
      <c r="CS2" s="198">
        <v>2.0</v>
      </c>
      <c r="CT2" s="197"/>
      <c r="CU2" s="196"/>
      <c r="CV2" s="198">
        <v>4.0</v>
      </c>
      <c r="CW2" s="197"/>
      <c r="CX2" s="196"/>
      <c r="CY2" s="186"/>
      <c r="CZ2" s="198">
        <v>1.0</v>
      </c>
      <c r="DA2" s="197"/>
      <c r="DB2" s="196"/>
      <c r="DC2" s="198">
        <v>3.0</v>
      </c>
      <c r="DD2" s="197"/>
      <c r="DE2" s="196"/>
      <c r="DF2" s="198">
        <v>6.0</v>
      </c>
      <c r="DG2" s="197"/>
      <c r="DH2" s="196"/>
      <c r="DI2" s="198">
        <v>7.0</v>
      </c>
      <c r="DJ2" s="197"/>
      <c r="DK2" s="196"/>
      <c r="DL2" s="198">
        <v>8.0</v>
      </c>
      <c r="DM2" s="197"/>
      <c r="DN2" s="196"/>
      <c r="DO2" s="186"/>
      <c r="DP2" s="198">
        <v>1.0</v>
      </c>
      <c r="DQ2" s="197"/>
      <c r="DR2" s="196"/>
      <c r="DS2" s="198">
        <v>2.0</v>
      </c>
      <c r="DT2" s="197"/>
      <c r="DU2" s="196"/>
      <c r="DV2" s="198">
        <v>3.0</v>
      </c>
      <c r="DW2" s="197"/>
      <c r="DX2" s="196"/>
      <c r="DY2" s="198">
        <v>5.0</v>
      </c>
      <c r="DZ2" s="197"/>
      <c r="EA2" s="196"/>
      <c r="EB2" s="191"/>
    </row>
    <row r="3">
      <c r="A3" s="199"/>
      <c r="B3" s="200"/>
      <c r="C3" s="200"/>
      <c r="D3" s="200"/>
      <c r="E3" s="201" t="s">
        <v>433</v>
      </c>
      <c r="F3" s="201" t="s">
        <v>434</v>
      </c>
      <c r="G3" s="202"/>
      <c r="H3" s="202"/>
      <c r="I3" s="202"/>
      <c r="J3" s="202"/>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202"/>
      <c r="BA3" s="202"/>
      <c r="BB3" s="202"/>
      <c r="BC3" s="202"/>
      <c r="BD3" s="202"/>
      <c r="BE3" s="202"/>
      <c r="BF3" s="202"/>
      <c r="BG3" s="202"/>
      <c r="BH3" s="202"/>
      <c r="BI3" s="202"/>
      <c r="BJ3" s="202"/>
      <c r="BK3" s="202"/>
      <c r="BL3" s="202"/>
      <c r="BM3" s="202"/>
      <c r="BN3" s="202"/>
      <c r="BO3" s="202"/>
      <c r="BP3" s="202"/>
      <c r="BQ3" s="202"/>
      <c r="BR3" s="200"/>
      <c r="BS3" s="203" t="s">
        <v>435</v>
      </c>
      <c r="BU3" s="200"/>
      <c r="BV3" s="203" t="str">
        <f>CONCATENATE(BV1,CHAR(10)," Cluster ",BV2," (",VLOOKUP(BV2,INDIRECT("'"&amp;BV$1&amp;"'!J4:BD21"),47,0),")")</f>
        <v>[KMeans] FS2 Elbow
 Cluster 0 (7)</v>
      </c>
      <c r="BY3" s="203" t="str">
        <f>CONCATENATE(BY1,CHAR(10)," Cluster ",BY2," (",VLOOKUP(BY2,INDIRECT("'"&amp;BY$1&amp;"'!J4:BD21"),47,0),")")</f>
        <v>[KMeans] FS2 Elbow
 Cluster 4 (42)</v>
      </c>
      <c r="CB3" s="203" t="str">
        <f>CONCATENATE(CB1,CHAR(10)," Cluster ",CB2," (",VLOOKUP(CB2,INDIRECT("'"&amp;CB$1&amp;"'!J4:BD21"),47,0),")")</f>
        <v>[KMeans] FS2 Elbow
 Cluster 5 (11)</v>
      </c>
      <c r="CE3" s="200"/>
      <c r="CF3" s="203" t="str">
        <f>CONCATENATE(CF1,CHAR(10)," Cluster ",CF2," (",VLOOKUP(CF2,INDIRECT("'"&amp;CF$1&amp;"'!J4:BD21"),47,0),")")</f>
        <v>[AffProg] FS1 Davies
 Cluster 2 (16)</v>
      </c>
      <c r="CI3" s="203" t="str">
        <f>CONCATENATE(CI1,CHAR(10)," Cluster ",CI2," (",VLOOKUP(CI2,INDIRECT("'"&amp;CI$1&amp;"'!J4:BD21"),47,0),")")</f>
        <v>[AffProg] FS1 Davies
 Cluster 4 (31)</v>
      </c>
      <c r="CL3" s="203" t="str">
        <f>CONCATENATE(CL1,CHAR(10)," Cluster ",CL2," (",VLOOKUP(CL2,INDIRECT("'"&amp;CL$1&amp;"'!J4:BD21"),47,0),")")</f>
        <v>[AffProg] FS1 Davies
 Cluster 9 (5)</v>
      </c>
      <c r="CO3" s="200"/>
      <c r="CP3" s="203" t="str">
        <f>CONCATENATE(CP1,CHAR(10)," Cluster ",CP2," (",VLOOKUP(CP2,INDIRECT("'"&amp;CP$1&amp;"'!J4:BD21"),47,0),")")</f>
        <v>[AffProg] FS1 Silhouette
 Cluster 1 (15)</v>
      </c>
      <c r="CS3" s="203" t="str">
        <f>CONCATENATE(CS1,CHAR(10)," Cluster ",CS2," (",VLOOKUP(CS2,INDIRECT("'"&amp;CS$1&amp;"'!J4:BD21"),47,0),")")</f>
        <v>[AffProg] FS1 Silhouette
 Cluster 2 (39)</v>
      </c>
      <c r="CV3" s="203" t="str">
        <f>CONCATENATE(CV1,CHAR(10)," Cluster ",CV2," (",VLOOKUP(CV2,INDIRECT("'"&amp;CV$1&amp;"'!J4:BD21"),47,0),")")</f>
        <v>[AffProg] FS1 Silhouette
 Cluster 4 (5)</v>
      </c>
      <c r="CY3" s="200"/>
      <c r="CZ3" s="203" t="str">
        <f>CONCATENATE(CZ1,CHAR(10)," Cluster ",CZ2," (",VLOOKUP(CZ2,INDIRECT("'"&amp;CZ$1&amp;"'!J4:BD21"),47,0),")")</f>
        <v>[AffProg] FS2 Davies
 Cluster 1 (14)</v>
      </c>
      <c r="DC3" s="203" t="str">
        <f>CONCATENATE(DC1,CHAR(10)," Cluster ",DC2," (",VLOOKUP(DC2,INDIRECT("'"&amp;DC$1&amp;"'!J4:BD21"),47,0),")")</f>
        <v>[AffProg] FS2 Davies
 Cluster 3 (9)</v>
      </c>
      <c r="DF3" s="203" t="str">
        <f>CONCATENATE(DF1,CHAR(10)," Cluster ",DF2," (",VLOOKUP(DF2,INDIRECT("'"&amp;DF$1&amp;"'!J4:BD21"),47,0),")")</f>
        <v>[AffProg] FS2 Davies
 Cluster 6 (11)</v>
      </c>
      <c r="DI3" s="203" t="str">
        <f>CONCATENATE(DI1,CHAR(10)," Cluster ",DI2," (",VLOOKUP(DI2,INDIRECT("'"&amp;DI$1&amp;"'!J4:BD21"),47,0),")")</f>
        <v>[AffProg] FS2 Davies
 Cluster 7 (2)</v>
      </c>
      <c r="DL3" s="203" t="str">
        <f>CONCATENATE(DL1,CHAR(10)," Cluster ",DL2," (",VLOOKUP(DL2,INDIRECT("'"&amp;DL$1&amp;"'!J4:BD21"),47,0),")")</f>
        <v>[AffProg] FS2 Davies
 Cluster 8 (14)</v>
      </c>
      <c r="DO3" s="200"/>
      <c r="DP3" s="203" t="str">
        <f>CONCATENATE(DP1,CHAR(10)," Cluster ",DP2," (",VLOOKUP(DP2,INDIRECT("'"&amp;DP$1&amp;"'!J4:BD21"),47,0),")")</f>
        <v>[AffProg] FS2 Silhouette
 Cluster 1 (30)</v>
      </c>
      <c r="DS3" s="203" t="str">
        <f>CONCATENATE(DS1,CHAR(10)," Cluster ",DS2," (",VLOOKUP(DS2,INDIRECT("'"&amp;DS$1&amp;"'!J4:BD21"),47,0),")")</f>
        <v>[AffProg] FS2 Silhouette
 Cluster 2 (9)</v>
      </c>
      <c r="DV3" s="203" t="str">
        <f>CONCATENATE(DV1,CHAR(10)," Cluster ",DV2," (",VLOOKUP(DV2,INDIRECT("'"&amp;DV$1&amp;"'!J4:BD21"),47,0),")")</f>
        <v>[AffProg] FS2 Silhouette
 Cluster 3 (8)</v>
      </c>
      <c r="DY3" s="203" t="str">
        <f>CONCATENATE(DY1,CHAR(10)," Cluster ",DY2," (",VLOOKUP(DY2,INDIRECT("'"&amp;DY$1&amp;"'!J4:BD21"),47,0),")")</f>
        <v>[AffProg] FS2 Silhouette
 Cluster 5 (9)</v>
      </c>
      <c r="EB3" s="191"/>
    </row>
    <row r="4" outlineLevel="1">
      <c r="A4" s="199"/>
      <c r="B4" s="202" t="s">
        <v>436</v>
      </c>
      <c r="C4" s="202" t="s">
        <v>437</v>
      </c>
      <c r="D4" s="202" t="s">
        <v>438</v>
      </c>
      <c r="E4" s="202">
        <v>1.0</v>
      </c>
      <c r="F4" s="202">
        <v>2.0</v>
      </c>
      <c r="G4" s="202" t="str">
        <f t="array" ref="G4">INDEX('Queen MIDI'!$C$4:$C$66,MATCH(RIGHT(G2,LEN(G2)-75),'Queen MIDI'!$D$4:$D$66,0))</f>
        <v>A Kind of Magic</v>
      </c>
      <c r="H4" s="202" t="str">
        <f t="array" ref="H4">INDEX('Queen MIDI'!$C$4:$C$66,MATCH(RIGHT(H2,LEN(H2)-75),'Queen MIDI'!$D$4:$D$66,0))</f>
        <v>All God's People</v>
      </c>
      <c r="I4" s="202" t="str">
        <f t="array" ref="I4">INDEX('Queen MIDI'!$C$4:$C$66,MATCH(RIGHT(I2,LEN(I2)-75),'Queen MIDI'!$D$4:$D$66,0))</f>
        <v>Another One Bites The Dust</v>
      </c>
      <c r="J4" s="202" t="str">
        <f t="array" ref="J4">INDEX('Queen MIDI'!$C$4:$C$66,MATCH(RIGHT(J2,LEN(J2)-75),'Queen MIDI'!$D$4:$D$66,0))</f>
        <v>Bicycle Race</v>
      </c>
      <c r="K4" s="202" t="str">
        <f t="array" ref="K4">INDEX('Queen MIDI'!$C$4:$C$66,MATCH(RIGHT(K2,LEN(K2)-75),'Queen MIDI'!$D$4:$D$66,0))</f>
        <v>Bijou</v>
      </c>
      <c r="L4" s="202" t="str">
        <f t="array" ref="L4">INDEX('Queen MIDI'!$C$4:$C$66,MATCH(RIGHT(L2,LEN(L2)-75),'Queen MIDI'!$D$4:$D$66,0))</f>
        <v>Bohemian Rhapsody</v>
      </c>
      <c r="M4" s="202" t="str">
        <f t="array" ref="M4">INDEX('Queen MIDI'!$C$4:$C$66,MATCH(RIGHT(M2,LEN(M2)-75),'Queen MIDI'!$D$4:$D$66,0))</f>
        <v>Crazy Little Thing Called Love</v>
      </c>
      <c r="N4" s="202" t="str">
        <f t="array" ref="N4">INDEX('Queen MIDI'!$C$4:$C$66,MATCH(RIGHT(N2,LEN(N2)-75),'Queen MIDI'!$D$4:$D$66,0))</f>
        <v>Death On Two Legs</v>
      </c>
      <c r="O4" s="202" t="str">
        <f t="array" ref="O4">INDEX('Queen MIDI'!$C$4:$C$66,MATCH(RIGHT(O2,LEN(O2)-75),'Queen MIDI'!$D$4:$D$66,0))</f>
        <v>Doing Alright</v>
      </c>
      <c r="P4" s="202" t="str">
        <f t="array" ref="P4">INDEX('Queen MIDI'!$C$4:$C$66,MATCH(RIGHT(P2,LEN(P2)-75),'Queen MIDI'!$D$4:$D$66,0))</f>
        <v>Don't Stop Me Now</v>
      </c>
      <c r="Q4" s="202" t="str">
        <f t="array" ref="Q4">INDEX('Queen MIDI'!$C$4:$C$66,MATCH(RIGHT(Q2,LEN(Q2)-75),'Queen MIDI'!$D$4:$D$66,0))</f>
        <v>Don't Try So Hard</v>
      </c>
      <c r="R4" s="202" t="str">
        <f t="array" ref="R4">INDEX('Queen MIDI'!$C$4:$C$66,MATCH(RIGHT(R2,LEN(R2)-75),'Queen MIDI'!$D$4:$D$66,0))</f>
        <v>Fat Bottomed Girls</v>
      </c>
      <c r="S4" s="202" t="str">
        <f t="array" ref="S4">INDEX('Queen MIDI'!$C$4:$C$66,MATCH(RIGHT(S2,LEN(S2)-75),'Queen MIDI'!$D$4:$D$66,0))</f>
        <v>Father to Son</v>
      </c>
      <c r="T4" s="202" t="str">
        <f t="array" ref="T4">INDEX('Queen MIDI'!$C$4:$C$66,MATCH(RIGHT(T2,LEN(T2)-75),'Queen MIDI'!$D$4:$D$66,0))</f>
        <v>Friends Will Be Friends</v>
      </c>
      <c r="U4" s="202" t="str">
        <f t="array" ref="U4">INDEX('Queen MIDI'!$C$4:$C$66,MATCH(RIGHT(U2,LEN(U2)-75),'Queen MIDI'!$D$4:$D$66,0))</f>
        <v>Fun It</v>
      </c>
      <c r="V4" s="202" t="str">
        <f t="array" ref="V4">INDEX('Queen MIDI'!$C$4:$C$66,MATCH(RIGHT(V2,LEN(V2)-75),'Queen MIDI'!$D$4:$D$66,0))</f>
        <v>Good Old-Fashioned Lover Boy</v>
      </c>
      <c r="W4" s="202" t="str">
        <f t="array" ref="W4">INDEX('Queen MIDI'!$C$4:$C$66,MATCH(RIGHT(W2,LEN(W2)-75),'Queen MIDI'!$D$4:$D$66,0))</f>
        <v>Hammer to Fall</v>
      </c>
      <c r="X4" s="202" t="str">
        <f t="array" ref="X4">INDEX('Queen MIDI'!$C$4:$C$66,MATCH(RIGHT(X2,LEN(X2)-75),'Queen MIDI'!$D$4:$D$66,0))</f>
        <v>Headlong</v>
      </c>
      <c r="Y4" s="202" t="str">
        <f t="array" ref="Y4">INDEX('Queen MIDI'!$C$4:$C$66,MATCH(RIGHT(Y2,LEN(Y2)-75),'Queen MIDI'!$D$4:$D$66,0))</f>
        <v>Heaven for Everyone</v>
      </c>
      <c r="Z4" s="202" t="str">
        <f t="array" ref="Z4">INDEX('Queen MIDI'!$C$4:$C$66,MATCH(RIGHT(Z2,LEN(Z2)-75),'Queen MIDI'!$D$4:$D$66,0))</f>
        <v>I Can't Live With You</v>
      </c>
      <c r="AA4" s="202" t="str">
        <f t="array" ref="AA4">INDEX('Queen MIDI'!$C$4:$C$66,MATCH(RIGHT(AA2,LEN(AA2)-75),'Queen MIDI'!$D$4:$D$66,0))</f>
        <v>I Want It All</v>
      </c>
      <c r="AB4" s="202" t="str">
        <f t="array" ref="AB4">INDEX('Queen MIDI'!$C$4:$C$66,MATCH(RIGHT(AB2,LEN(AB2)-75),'Queen MIDI'!$D$4:$D$66,0))</f>
        <v>I Want to Break Free</v>
      </c>
      <c r="AC4" s="202" t="str">
        <f t="array" ref="AC4">INDEX('Queen MIDI'!$C$4:$C$66,MATCH(RIGHT(AC2,LEN(AC2)-75),'Queen MIDI'!$D$4:$D$66,0))</f>
        <v>I Was Born to Love You</v>
      </c>
      <c r="AD4" s="202" t="str">
        <f t="array" ref="AD4">INDEX('Queen MIDI'!$C$4:$C$66,MATCH(RIGHT(AD2,LEN(AD2)-75),'Queen MIDI'!$D$4:$D$66,0))</f>
        <v>In Only Seven Days</v>
      </c>
      <c r="AE4" s="202" t="str">
        <f t="array" ref="AE4">INDEX('Queen MIDI'!$C$4:$C$66,MATCH(RIGHT(AE2,LEN(AE2)-75),'Queen MIDI'!$D$4:$D$66,0))</f>
        <v>Innuendo</v>
      </c>
      <c r="AF4" s="202" t="str">
        <f t="array" ref="AF4">INDEX('Queen MIDI'!$C$4:$C$66,MATCH(RIGHT(AF2,LEN(AF2)-75),'Queen MIDI'!$D$4:$D$66,0))</f>
        <v>It's a Hard Life</v>
      </c>
      <c r="AG4" s="202" t="str">
        <f t="array" ref="AG4">INDEX('Queen MIDI'!$C$4:$C$66,MATCH(RIGHT(AG2,LEN(AG2)-75),'Queen MIDI'!$D$4:$D$66,0))</f>
        <v>I'm Going Slightly Mad</v>
      </c>
      <c r="AH4" s="202" t="str">
        <f t="array" ref="AH4">INDEX('Queen MIDI'!$C$4:$C$66,MATCH(RIGHT(AH2,LEN(AH2)-75),'Queen MIDI'!$D$4:$D$66,0))</f>
        <v>Keep Yourself Alive</v>
      </c>
      <c r="AI4" s="202" t="str">
        <f t="array" ref="AI4">INDEX('Queen MIDI'!$C$4:$C$66,MATCH(RIGHT(AI2,LEN(AI2)-75),'Queen MIDI'!$D$4:$D$66,0))</f>
        <v>Killer Queen</v>
      </c>
      <c r="AJ4" s="202" t="str">
        <f t="array" ref="AJ4">INDEX('Queen MIDI'!$C$4:$C$66,MATCH(RIGHT(AJ2,LEN(AJ2)-75),'Queen MIDI'!$D$4:$D$66,0))</f>
        <v>Living on My Own</v>
      </c>
      <c r="AK4" s="202" t="str">
        <f t="array" ref="AK4">INDEX('Queen MIDI'!$C$4:$C$66,MATCH(RIGHT(AK2,LEN(AK2)-75),'Queen MIDI'!$D$4:$D$66,0))</f>
        <v>Love of My Life</v>
      </c>
      <c r="AL4" s="202" t="str">
        <f t="array" ref="AL4">INDEX('Queen MIDI'!$C$4:$C$66,MATCH(RIGHT(AL2,LEN(AL2)-75),'Queen MIDI'!$D$4:$D$66,0))</f>
        <v>Made in Heaven</v>
      </c>
      <c r="AM4" s="202" t="str">
        <f t="array" ref="AM4">INDEX('Queen MIDI'!$C$4:$C$66,MATCH(RIGHT(AM2,LEN(AM2)-75),'Queen MIDI'!$D$4:$D$66,0))</f>
        <v>Mother Love</v>
      </c>
      <c r="AN4" s="202" t="str">
        <f t="array" ref="AN4">INDEX('Queen MIDI'!$C$4:$C$66,MATCH(RIGHT(AN2,LEN(AN2)-75),'Queen MIDI'!$D$4:$D$66,0))</f>
        <v>My Life Has Been Saved</v>
      </c>
      <c r="AO4" s="202" t="str">
        <f t="array" ref="AO4">INDEX('Queen MIDI'!$C$4:$C$66,MATCH(RIGHT(AO2,LEN(AO2)-75),'Queen MIDI'!$D$4:$D$66,0))</f>
        <v>My Melancholy Blues</v>
      </c>
      <c r="AP4" s="202" t="str">
        <f t="array" ref="AP4">INDEX('Queen MIDI'!$C$4:$C$66,MATCH(RIGHT(AP2,LEN(AP2)-75),'Queen MIDI'!$D$4:$D$66,0))</f>
        <v>Nevermore</v>
      </c>
      <c r="AQ4" s="202" t="str">
        <f t="array" ref="AQ4">INDEX('Queen MIDI'!$C$4:$C$66,MATCH(RIGHT(AQ2,LEN(AQ2)-75),'Queen MIDI'!$D$4:$D$66,0))</f>
        <v>Now I'm Here</v>
      </c>
      <c r="AR4" s="202" t="str">
        <f t="array" ref="AR4">INDEX('Queen MIDI'!$C$4:$C$66,MATCH(RIGHT(AR2,LEN(AR2)-75),'Queen MIDI'!$D$4:$D$66,0))</f>
        <v>One Year of Love</v>
      </c>
      <c r="AS4" s="202" t="str">
        <f t="array" ref="AS4">INDEX('Queen MIDI'!$C$4:$C$66,MATCH(RIGHT(AS2,LEN(AS2)-75),'Queen MIDI'!$D$4:$D$66,0))</f>
        <v>Play the Game</v>
      </c>
      <c r="AT4" s="202" t="str">
        <f t="array" ref="AT4">INDEX('Queen MIDI'!$C$4:$C$66,MATCH(RIGHT(AT2,LEN(AT2)-75),'Queen MIDI'!$D$4:$D$66,0))</f>
        <v>Princes of the Universe</v>
      </c>
      <c r="AU4" s="202" t="str">
        <f t="array" ref="AU4">INDEX('Queen MIDI'!$C$4:$C$66,MATCH(RIGHT(AU2,LEN(AU2)-75),'Queen MIDI'!$D$4:$D$66,0))</f>
        <v>Procession</v>
      </c>
      <c r="AV4" s="202" t="str">
        <f t="array" ref="AV4">INDEX('Queen MIDI'!$C$4:$C$66,MATCH(RIGHT(AV2,LEN(AV2)-75),'Queen MIDI'!$D$4:$D$66,0))</f>
        <v>Radio Ga Ga</v>
      </c>
      <c r="AW4" s="202" t="str">
        <f t="array" ref="AW4">INDEX('Queen MIDI'!$C$4:$C$66,MATCH(RIGHT(AW2,LEN(AW2)-75),'Queen MIDI'!$D$4:$D$66,0))</f>
        <v>Rain Must Fall</v>
      </c>
      <c r="AX4" s="202" t="str">
        <f t="array" ref="AX4">INDEX('Queen MIDI'!$C$4:$C$66,MATCH(RIGHT(AX2,LEN(AX2)-75),'Queen MIDI'!$D$4:$D$66,0))</f>
        <v>Save Me</v>
      </c>
      <c r="AY4" s="202" t="str">
        <f t="array" ref="AY4">INDEX('Queen MIDI'!$C$4:$C$66,MATCH(RIGHT(AY2,LEN(AY2)-75),'Queen MIDI'!$D$4:$D$66,0))</f>
        <v>Scandal</v>
      </c>
      <c r="AZ4" s="202" t="str">
        <f t="array" ref="AZ4">INDEX('Queen MIDI'!$C$4:$C$66,MATCH(RIGHT(AZ2,LEN(AZ2)-75),'Queen MIDI'!$D$4:$D$66,0))</f>
        <v>Seven Seas of Rhye</v>
      </c>
      <c r="BA4" s="202" t="str">
        <f t="array" ref="BA4">INDEX('Queen MIDI'!$C$4:$C$66,MATCH(RIGHT(BA2,LEN(BA2)-75),'Queen MIDI'!$D$4:$D$66,0))</f>
        <v>Somebody to Love</v>
      </c>
      <c r="BB4" s="202" t="str">
        <f t="array" ref="BB4">INDEX('Queen MIDI'!$C$4:$C$66,MATCH(RIGHT(BB2,LEN(BB2)-75),'Queen MIDI'!$D$4:$D$66,0))</f>
        <v>Son and Daughter</v>
      </c>
      <c r="BC4" s="202" t="str">
        <f t="array" ref="BC4">INDEX('Queen MIDI'!$C$4:$C$66,MATCH(RIGHT(BC2,LEN(BC2)-75),'Queen MIDI'!$D$4:$D$66,0))</f>
        <v>Spread Your Wings</v>
      </c>
      <c r="BD4" s="202" t="str">
        <f t="array" ref="BD4">INDEX('Queen MIDI'!$C$4:$C$66,MATCH(RIGHT(BD2,LEN(BD2)-75),'Queen MIDI'!$D$4:$D$66,0))</f>
        <v>The Great Pretender</v>
      </c>
      <c r="BE4" s="202" t="str">
        <f t="array" ref="BE4">INDEX('Queen MIDI'!$C$4:$C$66,MATCH(RIGHT(BE2,LEN(BE2)-75),'Queen MIDI'!$D$4:$D$66,0))</f>
        <v>The Invisible Man</v>
      </c>
      <c r="BF4" s="202" t="str">
        <f t="array" ref="BF4">INDEX('Queen MIDI'!$C$4:$C$66,MATCH(RIGHT(BF2,LEN(BF2)-75),'Queen MIDI'!$D$4:$D$66,0))</f>
        <v>The Miracle</v>
      </c>
      <c r="BG4" s="202" t="str">
        <f t="array" ref="BG4">INDEX('Queen MIDI'!$C$4:$C$66,MATCH(RIGHT(BG2,LEN(BG2)-75),'Queen MIDI'!$D$4:$D$66,0))</f>
        <v>The Show Must Go On</v>
      </c>
      <c r="BH4" s="202" t="str">
        <f t="array" ref="BH4">INDEX('Queen MIDI'!$C$4:$C$66,MATCH(RIGHT(BH2,LEN(BH2)-75),'Queen MIDI'!$D$4:$D$66,0))</f>
        <v>These Are the Days of Our Lives</v>
      </c>
      <c r="BI4" s="202" t="str">
        <f t="array" ref="BI4">INDEX('Queen MIDI'!$C$4:$C$66,MATCH(RIGHT(BI2,LEN(BI2)-75),'Queen MIDI'!$D$4:$D$66,0))</f>
        <v>Too Much Love Will Kill You</v>
      </c>
      <c r="BJ4" s="202" t="str">
        <f t="array" ref="BJ4">INDEX('Queen MIDI'!$C$4:$C$66,MATCH(RIGHT(BJ2,LEN(BJ2)-75),'Queen MIDI'!$D$4:$D$66,0))</f>
        <v>Under Pressure</v>
      </c>
      <c r="BK4" s="202" t="str">
        <f t="array" ref="BK4">INDEX('Queen MIDI'!$C$4:$C$66,MATCH(RIGHT(BK2,LEN(BK2)-75),'Queen MIDI'!$D$4:$D$66,0))</f>
        <v>We Are The Champions</v>
      </c>
      <c r="BL4" s="202" t="str">
        <f t="array" ref="BL4">INDEX('Queen MIDI'!$C$4:$C$66,MATCH(RIGHT(BL2,LEN(BL2)-75),'Queen MIDI'!$D$4:$D$66,0))</f>
        <v>We Will Rock You</v>
      </c>
      <c r="BM4" s="202" t="str">
        <f t="array" ref="BM4">INDEX('Queen MIDI'!$C$4:$C$66,MATCH(RIGHT(BM2,LEN(BM2)-75),'Queen MIDI'!$D$4:$D$66,0))</f>
        <v>White Man</v>
      </c>
      <c r="BN4" s="202" t="str">
        <f t="array" ref="BN4">INDEX('Queen MIDI'!$C$4:$C$66,MATCH(RIGHT(BN2,LEN(BN2)-75),'Queen MIDI'!$D$4:$D$66,0))</f>
        <v>Who Wants to Live Forever</v>
      </c>
      <c r="BO4" s="202" t="str">
        <f t="array" ref="BO4">INDEX('Queen MIDI'!$C$4:$C$66,MATCH(RIGHT(BO2,LEN(BO2)-75),'Queen MIDI'!$D$4:$D$66,0))</f>
        <v>You Don't Fool Me</v>
      </c>
      <c r="BP4" s="202" t="str">
        <f t="array" ref="BP4">INDEX('Queen MIDI'!$C$4:$C$66,MATCH(RIGHT(BP2,LEN(BP2)-75),'Queen MIDI'!$D$4:$D$66,0))</f>
        <v>You're My Best Friend</v>
      </c>
      <c r="BQ4" s="202" t="str">
        <f t="array" ref="BQ4">INDEX('Queen MIDI'!$C$4:$C$66,MATCH(RIGHT(BQ2,LEN(BQ2)-75),'Queen MIDI'!$D$4:$D$66,0))</f>
        <v>39</v>
      </c>
      <c r="BR4" s="200"/>
      <c r="BS4" s="203" t="s">
        <v>439</v>
      </c>
      <c r="BT4" s="203" t="s">
        <v>440</v>
      </c>
      <c r="BU4" s="200"/>
      <c r="BV4" s="203" t="s">
        <v>439</v>
      </c>
      <c r="BW4" s="203" t="s">
        <v>440</v>
      </c>
      <c r="BX4" s="203" t="s">
        <v>441</v>
      </c>
      <c r="BY4" s="203" t="s">
        <v>439</v>
      </c>
      <c r="BZ4" s="203" t="s">
        <v>440</v>
      </c>
      <c r="CA4" s="203" t="s">
        <v>441</v>
      </c>
      <c r="CB4" s="203" t="s">
        <v>439</v>
      </c>
      <c r="CC4" s="203" t="s">
        <v>440</v>
      </c>
      <c r="CD4" s="203" t="s">
        <v>441</v>
      </c>
      <c r="CE4" s="200"/>
      <c r="CF4" s="203" t="s">
        <v>439</v>
      </c>
      <c r="CG4" s="203" t="s">
        <v>440</v>
      </c>
      <c r="CH4" s="203" t="s">
        <v>441</v>
      </c>
      <c r="CI4" s="203" t="s">
        <v>439</v>
      </c>
      <c r="CJ4" s="203" t="s">
        <v>440</v>
      </c>
      <c r="CK4" s="203" t="s">
        <v>441</v>
      </c>
      <c r="CL4" s="203" t="s">
        <v>439</v>
      </c>
      <c r="CM4" s="203" t="s">
        <v>440</v>
      </c>
      <c r="CN4" s="203" t="s">
        <v>441</v>
      </c>
      <c r="CO4" s="200"/>
      <c r="CP4" s="203" t="s">
        <v>439</v>
      </c>
      <c r="CQ4" s="203" t="s">
        <v>440</v>
      </c>
      <c r="CR4" s="203" t="s">
        <v>441</v>
      </c>
      <c r="CS4" s="203" t="s">
        <v>439</v>
      </c>
      <c r="CT4" s="203" t="s">
        <v>440</v>
      </c>
      <c r="CU4" s="203" t="s">
        <v>441</v>
      </c>
      <c r="CV4" s="203" t="s">
        <v>439</v>
      </c>
      <c r="CW4" s="203" t="s">
        <v>440</v>
      </c>
      <c r="CX4" s="203" t="s">
        <v>441</v>
      </c>
      <c r="CY4" s="200"/>
      <c r="CZ4" s="203" t="s">
        <v>439</v>
      </c>
      <c r="DA4" s="203" t="s">
        <v>440</v>
      </c>
      <c r="DB4" s="203" t="s">
        <v>441</v>
      </c>
      <c r="DC4" s="203" t="s">
        <v>439</v>
      </c>
      <c r="DD4" s="203" t="s">
        <v>440</v>
      </c>
      <c r="DE4" s="203" t="s">
        <v>441</v>
      </c>
      <c r="DF4" s="203" t="s">
        <v>439</v>
      </c>
      <c r="DG4" s="203" t="s">
        <v>440</v>
      </c>
      <c r="DH4" s="203" t="s">
        <v>441</v>
      </c>
      <c r="DI4" s="203" t="s">
        <v>439</v>
      </c>
      <c r="DJ4" s="203" t="s">
        <v>440</v>
      </c>
      <c r="DK4" s="203" t="s">
        <v>441</v>
      </c>
      <c r="DL4" s="203" t="s">
        <v>439</v>
      </c>
      <c r="DM4" s="203" t="s">
        <v>440</v>
      </c>
      <c r="DN4" s="203" t="s">
        <v>441</v>
      </c>
      <c r="DO4" s="200"/>
      <c r="DP4" s="203" t="s">
        <v>439</v>
      </c>
      <c r="DQ4" s="203" t="s">
        <v>440</v>
      </c>
      <c r="DR4" s="203" t="s">
        <v>441</v>
      </c>
      <c r="DS4" s="203" t="s">
        <v>439</v>
      </c>
      <c r="DT4" s="203" t="s">
        <v>440</v>
      </c>
      <c r="DU4" s="203" t="s">
        <v>441</v>
      </c>
      <c r="DV4" s="203" t="s">
        <v>439</v>
      </c>
      <c r="DW4" s="203" t="s">
        <v>440</v>
      </c>
      <c r="DX4" s="203" t="s">
        <v>441</v>
      </c>
      <c r="DY4" s="203" t="s">
        <v>439</v>
      </c>
      <c r="DZ4" s="203" t="s">
        <v>440</v>
      </c>
      <c r="EA4" s="203" t="s">
        <v>441</v>
      </c>
      <c r="EB4" s="191"/>
    </row>
    <row r="5" outlineLevel="1">
      <c r="A5" s="2"/>
      <c r="B5" s="204">
        <v>1.0</v>
      </c>
      <c r="C5" s="204" t="s">
        <v>442</v>
      </c>
      <c r="D5" s="204" t="s">
        <v>443</v>
      </c>
      <c r="E5" s="205" t="b">
        <f>VLOOKUP(D5,'Feature Set List'!A1:C246,2,0)</f>
        <v>1</v>
      </c>
      <c r="F5" s="205" t="b">
        <f>VLOOKUP(D5,'Feature Set List'!A1:C246,3,0)</f>
        <v>1</v>
      </c>
      <c r="G5" s="205">
        <v>-0.4</v>
      </c>
      <c r="H5" s="205">
        <v>1.46666667</v>
      </c>
      <c r="I5" s="205">
        <v>0.86666667</v>
      </c>
      <c r="J5" s="205">
        <v>0.93333333</v>
      </c>
      <c r="K5" s="205">
        <v>1.33333333</v>
      </c>
      <c r="L5" s="205">
        <v>0.4</v>
      </c>
      <c r="M5" s="205">
        <v>-0.2</v>
      </c>
      <c r="N5" s="205">
        <v>0.8</v>
      </c>
      <c r="O5" s="205">
        <v>-0.4</v>
      </c>
      <c r="P5" s="205">
        <v>-0.2666667</v>
      </c>
      <c r="Q5" s="205">
        <v>-0.1333333</v>
      </c>
      <c r="R5" s="205">
        <v>-0.8</v>
      </c>
      <c r="S5" s="205">
        <v>0.6</v>
      </c>
      <c r="T5" s="205">
        <v>0.53333333</v>
      </c>
      <c r="U5" s="205">
        <v>-0.8666667</v>
      </c>
      <c r="V5" s="205">
        <v>-0.1333333</v>
      </c>
      <c r="W5" s="205">
        <v>0.86666667</v>
      </c>
      <c r="X5" s="205">
        <v>-0.1333333</v>
      </c>
      <c r="Y5" s="205">
        <v>0.86666667</v>
      </c>
      <c r="Z5" s="205">
        <v>0.26666667</v>
      </c>
      <c r="AA5" s="205">
        <v>0.0</v>
      </c>
      <c r="AB5" s="205">
        <v>-0.8</v>
      </c>
      <c r="AC5" s="205">
        <v>1.53333333</v>
      </c>
      <c r="AD5" s="205">
        <v>-0.5333333</v>
      </c>
      <c r="AE5" s="205">
        <v>1.0</v>
      </c>
      <c r="AF5" s="205">
        <v>0.4</v>
      </c>
      <c r="AG5" s="205">
        <v>2.06666667</v>
      </c>
      <c r="AH5" s="205">
        <v>0.66666667</v>
      </c>
      <c r="AI5" s="205">
        <v>-0.0666667</v>
      </c>
      <c r="AJ5" s="205">
        <v>-0.4</v>
      </c>
      <c r="AK5" s="205">
        <v>-0.7333333</v>
      </c>
      <c r="AL5" s="205">
        <v>0.6</v>
      </c>
      <c r="AM5" s="205">
        <v>-0.0666667</v>
      </c>
      <c r="AN5" s="205">
        <v>-0.5333333</v>
      </c>
      <c r="AO5" s="205">
        <v>0.06666667</v>
      </c>
      <c r="AP5" s="205">
        <v>-1.1333333</v>
      </c>
      <c r="AQ5" s="205">
        <v>0.8</v>
      </c>
      <c r="AR5" s="205">
        <v>-0.7333333</v>
      </c>
      <c r="AS5" s="205">
        <v>0.13333333</v>
      </c>
      <c r="AT5" s="205">
        <v>0.8</v>
      </c>
      <c r="AU5" s="205">
        <v>-0.8666667</v>
      </c>
      <c r="AV5" s="205">
        <v>-0.1333333</v>
      </c>
      <c r="AW5" s="205">
        <v>-0.6</v>
      </c>
      <c r="AX5" s="205">
        <v>-0.1333333</v>
      </c>
      <c r="AY5" s="205">
        <v>-0.3333333</v>
      </c>
      <c r="AZ5" s="205">
        <v>0.46666667</v>
      </c>
      <c r="BA5" s="205">
        <v>-0.0666667</v>
      </c>
      <c r="BB5" s="205">
        <v>0.4</v>
      </c>
      <c r="BC5" s="205">
        <v>-0.0666667</v>
      </c>
      <c r="BD5" s="205">
        <v>0.86666667</v>
      </c>
      <c r="BE5" s="205">
        <v>0.33333333</v>
      </c>
      <c r="BF5" s="205">
        <v>0.53333333</v>
      </c>
      <c r="BG5" s="205">
        <v>0.26666667</v>
      </c>
      <c r="BH5" s="205">
        <v>-0.4666667</v>
      </c>
      <c r="BI5" s="205">
        <v>0.46666667</v>
      </c>
      <c r="BJ5" s="205">
        <v>-0.6666667</v>
      </c>
      <c r="BK5" s="205">
        <v>0.0</v>
      </c>
      <c r="BL5" s="205">
        <v>-1.8</v>
      </c>
      <c r="BM5" s="205">
        <v>-1.0</v>
      </c>
      <c r="BN5" s="205">
        <v>0.6</v>
      </c>
      <c r="BO5" s="205">
        <v>-0.6666667</v>
      </c>
      <c r="BP5" s="205">
        <v>0.0</v>
      </c>
      <c r="BQ5" s="205">
        <v>-0.1333333</v>
      </c>
      <c r="BR5" s="206"/>
      <c r="BS5" s="207">
        <f t="shared" ref="BS5:BS229" si="6">AVERAGE(G5:BQ5)</f>
        <v>0.08994709127</v>
      </c>
      <c r="BT5" s="207">
        <f t="shared" ref="BT5:BT229" si="7">AVEDEV(G5:BQ5)</f>
        <v>0.5824808928</v>
      </c>
      <c r="BU5" s="206"/>
      <c r="BV5" s="207">
        <f>IFERROR(__xludf.DUMMYFUNCTION("AVERAGE(ARRAYFORMULA(XLOOKUP(FILTER(INDIRECT(""'""&amp;BV$1&amp;""'!$C$4:$C$66""),INDIRECT(""'""&amp;BV$1&amp;""'!$D$4:$D$66"")=BV$2),$G$4:$BQ$4,$G5:$BQ5)))"),-0.33333332857142856)</f>
        <v>-0.3333333286</v>
      </c>
      <c r="BW5" s="207" t="str">
        <f>IFERROR(__xludf.DUMMYFUNCTION("IF(OR(BV5&gt;$BS5+$BT5*$BT$2,BV5&lt;$BS5-$BT5*$BT$2),AVEDEV(ARRAYFORMULA(XLOOKUP(FILTER(INDIRECT(""'""&amp;BV$1&amp;""'!$C$4:$C$66""),INDIRECT(""'""&amp;BV$1&amp;""'!$D$4:$D$66"")=BV$2),$G$4:$BQ$4,$G5:$BQ5))),"""")"),"")</f>
        <v/>
      </c>
      <c r="BX5" s="208" t="str">
        <f t="shared" ref="BX5:BX229" si="8">IF(AND(BW5&lt;&gt;"",BW5&lt;2),IF($BS5&lt;BV5,BV5-($BS5+$BT5*$BT$2),BV5-($BS5-$BT5*$BT$2)),"")</f>
        <v/>
      </c>
      <c r="BY5" s="207">
        <f>IFERROR(__xludf.DUMMYFUNCTION("AVERAGE(ARRAYFORMULA(XLOOKUP(FILTER(INDIRECT(""'""&amp;BY$1&amp;""'!$C$4:$C$66""),INDIRECT(""'""&amp;BY$1&amp;""'!$D$4:$D$66"")=BY$2),$G$4:$BQ$4,$G5:$BQ5)))"),0.13174603499999998)</f>
        <v>0.131746035</v>
      </c>
      <c r="BZ5" s="207" t="str">
        <f>IFERROR(__xludf.DUMMYFUNCTION("IF(OR(BY5&gt;$BS5+$BT5*$BT$2,BY5&lt;$BS5-$BT5*$BT$2),AVEDEV(ARRAYFORMULA(XLOOKUP(FILTER(INDIRECT(""'""&amp;BY$1&amp;""'!$C$4:$C$66""),INDIRECT(""'""&amp;BY$1&amp;""'!$D$4:$D$66"")=BY$2),$G$4:$BQ$4,$G5:$BQ5))),"""")"),"")</f>
        <v/>
      </c>
      <c r="CA5" s="208" t="str">
        <f t="shared" ref="CA5:CA229" si="9">IF(AND(BZ5&lt;&gt;"",BZ5&lt;2),IF($BS5&lt;BY5,BY5-($BS5+$BT5*$BT$2),BY5-($BS5-$BT5*$BT$2)),"")</f>
        <v/>
      </c>
      <c r="CB5" s="207">
        <f>IFERROR(__xludf.DUMMYFUNCTION("AVERAGE(ARRAYFORMULA(XLOOKUP(FILTER(INDIRECT(""'""&amp;CB$1&amp;""'!$C$4:$C$66""),INDIRECT(""'""&amp;CB$1&amp;""'!$D$4:$D$66"")=CB$2),$G$4:$BQ$4,$G5:$BQ5)))"),0.14545454)</f>
        <v>0.14545454</v>
      </c>
      <c r="CC5" s="207" t="str">
        <f>IFERROR(__xludf.DUMMYFUNCTION("IF(OR(CB5&gt;$BS5+$BT5*$BT$2,CB5&lt;$BS5-$BT5*$BT$2),AVEDEV(ARRAYFORMULA(XLOOKUP(FILTER(INDIRECT(""'""&amp;CB$1&amp;""'!$C$4:$C$66""),INDIRECT(""'""&amp;CB$1&amp;""'!$D$4:$D$66"")=CB$2),$G$4:$BQ$4,$G5:$BQ5))),"""")"),"")</f>
        <v/>
      </c>
      <c r="CD5" s="208" t="str">
        <f t="shared" ref="CD5:CD229" si="10">IF(AND(CC5&lt;&gt;"",CC5&lt;2),IF($BS5&lt;CB5,CB5-($BS5+$BT5*$BT$2),CB5-($BS5-$BT5*$BT$2)),"")</f>
        <v/>
      </c>
      <c r="CE5" s="209" t="s">
        <v>444</v>
      </c>
      <c r="CF5" s="207">
        <f>IFERROR(__xludf.DUMMYFUNCTION("AVERAGE(ARRAYFORMULA(XLOOKUP(FILTER(INDIRECT(""'""&amp;CF$1&amp;""'!$C$4:$C$66""),INDIRECT(""'""&amp;CF$1&amp;""'!$D$4:$D$66"")=CF$2),$G$4:$BQ$4,$G5:$BQ5)))"),0.412500001875)</f>
        <v>0.4125000019</v>
      </c>
      <c r="CG5" s="207" t="str">
        <f>IFERROR(__xludf.DUMMYFUNCTION("IF(OR(CF5&gt;$BS5+$BT5*$BT$2,CF5&lt;$BS5-$BT5*$BT$2),AVEDEV(ARRAYFORMULA(XLOOKUP(FILTER(INDIRECT(""'""&amp;CF$1&amp;""'!$C$4:$C$66""),INDIRECT(""'""&amp;CF$1&amp;""'!$D$4:$D$66"")=CF$2),$G$4:$BQ$4,$G5:$BQ5))),"""")"),"")</f>
        <v/>
      </c>
      <c r="CH5" s="208" t="str">
        <f t="shared" ref="CH5:CH229" si="11">IF(AND(CG5&lt;&gt;"",CG5&lt;2),IF($BS5&lt;CF5,CF5-($BS5+$BT5*$BT$2),CF5-($BS5-$BT5*$BT$2)),"")</f>
        <v/>
      </c>
      <c r="CI5" s="207">
        <f>IFERROR(__xludf.DUMMYFUNCTION("AVERAGE(ARRAYFORMULA(XLOOKUP(FILTER(INDIRECT(""'""&amp;CI$1&amp;""'!$C$4:$C$66""),INDIRECT(""'""&amp;CI$1&amp;""'!$D$4:$D$66"")=CI$2),$G$4:$BQ$4,$G5:$BQ5)))"),0.07741935741935484)</f>
        <v>0.07741935742</v>
      </c>
      <c r="CJ5" s="207" t="str">
        <f>IFERROR(__xludf.DUMMYFUNCTION("IF(OR(CI5&gt;$BS5+$BT5*$BT$2,CI5&lt;$BS5-$BT5*$BT$2),AVEDEV(ARRAYFORMULA(XLOOKUP(FILTER(INDIRECT(""'""&amp;CI$1&amp;""'!$C$4:$C$66""),INDIRECT(""'""&amp;CI$1&amp;""'!$D$4:$D$66"")=CI$2),$G$4:$BQ$4,$G5:$BQ5))),"""")"),"")</f>
        <v/>
      </c>
      <c r="CK5" s="208" t="str">
        <f t="shared" ref="CK5:CK229" si="12">IF(AND(CJ5&lt;&gt;"",CJ5&lt;2),IF($BS5&lt;CI5,CI5-($BS5+$BT5*$BT$2),CI5-($BS5-$BT5*$BT$2)),"")</f>
        <v/>
      </c>
      <c r="CL5" s="207">
        <f>IFERROR(__xludf.DUMMYFUNCTION("AVERAGE(ARRAYFORMULA(XLOOKUP(FILTER(INDIRECT(""'""&amp;CL$1&amp;""'!$C$4:$C$66""),INDIRECT(""'""&amp;CL$1&amp;""'!$D$4:$D$66"")=CL$2),$G$4:$BQ$4,$G5:$BQ5)))"),0.11999998600000002)</f>
        <v>0.119999986</v>
      </c>
      <c r="CM5" s="207" t="str">
        <f>IFERROR(__xludf.DUMMYFUNCTION("IF(OR(CL5&gt;$BS5+$BT5*$BT$2,CL5&lt;$BS5-$BT5*$BT$2),AVEDEV(ARRAYFORMULA(XLOOKUP(FILTER(INDIRECT(""'""&amp;CL$1&amp;""'!$C$4:$C$66""),INDIRECT(""'""&amp;CL$1&amp;""'!$D$4:$D$66"")=CL$2),$G$4:$BQ$4,$G5:$BQ5))),"""")"),"")</f>
        <v/>
      </c>
      <c r="CN5" s="208" t="str">
        <f t="shared" ref="CN5:CN229" si="13">IF(AND(CM5&lt;&gt;"",CM5&lt;2),IF($BS5&lt;CL5,CL5-($BS5+$BT5*$BT$2),CL5-($BS5-$BT5*$BT$2)),"")</f>
        <v/>
      </c>
      <c r="CO5" s="209" t="s">
        <v>444</v>
      </c>
      <c r="CP5" s="210">
        <f>IFERROR(__xludf.DUMMYFUNCTION("AVERAGE(ARRAYFORMULA(XLOOKUP(FILTER(INDIRECT(""'""&amp;CP$1&amp;""'!$C$4:$C$66""),INDIRECT(""'""&amp;CP$1&amp;""'!$D$4:$D$66"")=CP$2),$G$4:$BQ$4,$G5:$BQ5)))"),0.16888888666666668)</f>
        <v>0.1688888867</v>
      </c>
      <c r="CQ5" s="207" t="str">
        <f>IFERROR(__xludf.DUMMYFUNCTION("IF(OR(CP5&gt;$BS5+$BT5*$BT$2,CP5&lt;$BS5-$BT5*$BT$2),AVEDEV(ARRAYFORMULA(XLOOKUP(FILTER(INDIRECT(""'""&amp;CP$1&amp;""'!$C$4:$C$66""),INDIRECT(""'""&amp;CP$1&amp;""'!$D$4:$D$66"")=CP$2),$G$4:$BQ$4,$G5:$BQ5))),"""")"),"")</f>
        <v/>
      </c>
      <c r="CR5" s="208" t="str">
        <f t="shared" ref="CR5:CR229" si="14">IF(AND(CQ5&lt;&gt;"",CQ5&lt;2),IF($BS5&lt;CP5,CP5-($BS5+$BT5*$BT$2),CP5-($BS5-$BT5*$BT$2)),"")</f>
        <v/>
      </c>
      <c r="CS5" s="210">
        <f>IFERROR(__xludf.DUMMYFUNCTION("AVERAGE(ARRAYFORMULA(XLOOKUP(FILTER(INDIRECT(""'""&amp;CS$1&amp;""'!$C$4:$C$66""),INDIRECT(""'""&amp;CS$1&amp;""'!$D$4:$D$66"")=CS$2),$G$4:$BQ$4,$G5:$BQ5)))"),0.08888889435897436)</f>
        <v>0.08888889436</v>
      </c>
      <c r="CT5" s="207" t="str">
        <f>IFERROR(__xludf.DUMMYFUNCTION("IF(OR(CS5&gt;$BS5+$BT5*$BT$2,CS5&lt;$BS5-$BT5*$BT$2),AVEDEV(ARRAYFORMULA(XLOOKUP(FILTER(INDIRECT(""'""&amp;CS$1&amp;""'!$C$4:$C$66""),INDIRECT(""'""&amp;CS$1&amp;""'!$D$4:$D$66"")=CS$2),$G$4:$BQ$4,$G5:$BQ5))),"""")"),"")</f>
        <v/>
      </c>
      <c r="CU5" s="208" t="str">
        <f t="shared" ref="CU5:CU229" si="15">IF(AND(CT5&lt;&gt;"",CT5&lt;2),IF($BS5&lt;CS5,CS5-($BS5+$BT5*$BT$2),CS5-($BS5-$BT5*$BT$2)),"")</f>
        <v/>
      </c>
      <c r="CV5" s="210">
        <f>IFERROR(__xludf.DUMMYFUNCTION("AVERAGE(ARRAYFORMULA(XLOOKUP(FILTER(INDIRECT(""'""&amp;CV$1&amp;""'!$C$4:$C$66""),INDIRECT(""'""&amp;CV$1&amp;""'!$D$4:$D$66"")=CV$2),$G$4:$BQ$4,$G5:$BQ5)))"),0.11999998600000002)</f>
        <v>0.119999986</v>
      </c>
      <c r="CW5" s="207" t="str">
        <f>IFERROR(__xludf.DUMMYFUNCTION("IF(OR(CV5&gt;$BS5+$BT5*$BT$2,CV5&lt;$BS5-$BT5*$BT$2),AVEDEV(ARRAYFORMULA(XLOOKUP(FILTER(INDIRECT(""'""&amp;CV$1&amp;""'!$C$4:$C$66""),INDIRECT(""'""&amp;CV$1&amp;""'!$D$4:$D$66"")=CV$2),$G$4:$BQ$4,$G5:$BQ5))),"""")"),"")</f>
        <v/>
      </c>
      <c r="CX5" s="208" t="str">
        <f t="shared" ref="CX5:CX229" si="16">IF(AND(CW5&lt;&gt;"",CW5&lt;2),IF($BS5&lt;CV5,CV5-($BS5+$BT5*$BT$2),CV5-($BS5-$BT5*$BT$2)),"")</f>
        <v/>
      </c>
      <c r="CY5" s="209" t="s">
        <v>444</v>
      </c>
      <c r="CZ5" s="210">
        <f>IFERROR(__xludf.DUMMYFUNCTION("AVERAGE(ARRAYFORMULA(XLOOKUP(FILTER(INDIRECT(""'""&amp;CZ$1&amp;""'!$C$4:$C$66""),INDIRECT(""'""&amp;CZ$1&amp;""'!$D$4:$D$66"")=CZ$2),$G$4:$BQ$4,$G5:$BQ5)))"),0.3952381)</f>
        <v>0.3952381</v>
      </c>
      <c r="DA5" s="207" t="str">
        <f>IFERROR(__xludf.DUMMYFUNCTION("IF(OR(CZ5&gt;$BS5+$BT5*$BT$2,CZ5&lt;$BS5-$BT5*$BT$2),AVEDEV(ARRAYFORMULA(XLOOKUP(FILTER(INDIRECT(""'""&amp;CZ$1&amp;""'!$C$4:$C$66""),INDIRECT(""'""&amp;CZ$1&amp;""'!$D$4:$D$66"")=CZ$2),$G$4:$BQ$4,$G5:$BQ5))),"""")"),"")</f>
        <v/>
      </c>
      <c r="DB5" s="208" t="str">
        <f t="shared" ref="DB5:DB229" si="17">IF(AND(DA5&lt;&gt;"",DA5&lt;2),IF($BS5&lt;CZ5,CZ5-($BS5+$BT5*$BT$2),CZ5-($BS5-$BT5*$BT$2)),"")</f>
        <v/>
      </c>
      <c r="DC5" s="210">
        <f>IFERROR(__xludf.DUMMYFUNCTION("AVERAGE(ARRAYFORMULA(XLOOKUP(FILTER(INDIRECT(""'""&amp;DC$1&amp;""'!$C$4:$C$66""),INDIRECT(""'""&amp;DC$1&amp;""'!$D$4:$D$66"")=DC$2),$G$4:$BQ$4,$G5:$BQ5)))"),0.23703703)</f>
        <v>0.23703703</v>
      </c>
      <c r="DD5" s="207" t="str">
        <f>IFERROR(__xludf.DUMMYFUNCTION("IF(OR(DC5&gt;$BS5+$BT5*$BT$2,DC5&lt;$BS5-$BT5*$BT$2),AVEDEV(ARRAYFORMULA(XLOOKUP(FILTER(INDIRECT(""'""&amp;DC$1&amp;""'!$C$4:$C$66""),INDIRECT(""'""&amp;DC$1&amp;""'!$D$4:$D$66"")=DC$2),$G$4:$BQ$4,$G5:$BQ5))),"""")"),"")</f>
        <v/>
      </c>
      <c r="DE5" s="208" t="str">
        <f t="shared" ref="DE5:DE229" si="18">IF(AND(DD5&lt;&gt;"",DD5&lt;2),IF($BS5&lt;DC5,DC5-($BS5+$BT5*$BT$2),DC5-($BS5-$BT5*$BT$2)),"")</f>
        <v/>
      </c>
      <c r="DF5" s="210">
        <f>IFERROR(__xludf.DUMMYFUNCTION("AVERAGE(ARRAYFORMULA(XLOOKUP(FILTER(INDIRECT(""'""&amp;DF$1&amp;""'!$C$4:$C$66""),INDIRECT(""'""&amp;DF$1&amp;""'!$D$4:$D$66"")=DF$2),$G$4:$BQ$4,$G5:$BQ5)))"),0.24242424000000004)</f>
        <v>0.24242424</v>
      </c>
      <c r="DG5" s="207" t="str">
        <f>IFERROR(__xludf.DUMMYFUNCTION("IF(OR(DF5&gt;$BS5+$BT5*$BT$2,DF5&lt;$BS5-$BT5*$BT$2),AVEDEV(ARRAYFORMULA(XLOOKUP(FILTER(INDIRECT(""'""&amp;DF$1&amp;""'!$C$4:$C$66""),INDIRECT(""'""&amp;DF$1&amp;""'!$D$4:$D$66"")=DF$2),$G$4:$BQ$4,$G5:$BQ5))),"""")"),"")</f>
        <v/>
      </c>
      <c r="DH5" s="208" t="str">
        <f t="shared" ref="DH5:DH229" si="19">IF(AND(DG5&lt;&gt;"",DG5&lt;2),IF($BS5&lt;DF5,DF5-($BS5+$BT5*$BT$2),DF5-($BS5-$BT5*$BT$2)),"")</f>
        <v/>
      </c>
      <c r="DI5" s="210">
        <f>IFERROR(__xludf.DUMMYFUNCTION("AVERAGE(ARRAYFORMULA(XLOOKUP(FILTER(INDIRECT(""'""&amp;DI$1&amp;""'!$C$4:$C$66""),INDIRECT(""'""&amp;DI$1&amp;""'!$D$4:$D$66"")=DI$2),$G$4:$BQ$4,$G5:$BQ5)))"),-0.5)</f>
        <v>-0.5</v>
      </c>
      <c r="DJ5" s="207">
        <f>IFERROR(__xludf.DUMMYFUNCTION("IF(OR(DI5&gt;$BS5+$BT5*$BT$2,DI5&lt;$BS5-$BT5*$BT$2),AVEDEV(ARRAYFORMULA(XLOOKUP(FILTER(INDIRECT(""'""&amp;DI$1&amp;""'!$C$4:$C$66""),INDIRECT(""'""&amp;DI$1&amp;""'!$D$4:$D$66"")=DI$2),$G$4:$BQ$4,$G5:$BQ5))),"""")"),0.03333330000000001)</f>
        <v>0.0333333</v>
      </c>
      <c r="DK5" s="208">
        <f t="shared" ref="DK5:DK229" si="20">IF(AND(DJ5&lt;&gt;"",DJ5&lt;2),IF($BS5&lt;DI5,DI5-($BS5+$BT5*$BT$2),DI5-($BS5-$BT5*$BT$2)),"")</f>
        <v>-0.00746619843</v>
      </c>
      <c r="DL5" s="210">
        <f>IFERROR(__xludf.DUMMYFUNCTION("AVERAGE(ARRAYFORMULA(XLOOKUP(FILTER(INDIRECT(""'""&amp;DL$1&amp;""'!$C$4:$C$66""),INDIRECT(""'""&amp;DL$1&amp;""'!$D$4:$D$66"")=DL$2),$G$4:$BQ$4,$G5:$BQ5)))"),-0.19047618285714282)</f>
        <v>-0.1904761829</v>
      </c>
      <c r="DM5" s="207" t="str">
        <f>IFERROR(__xludf.DUMMYFUNCTION("IF(OR(DL5&gt;$BS5+$BT5*$BT$2,DL5&lt;$BS5-$BT5*$BT$2),AVEDEV(ARRAYFORMULA(XLOOKUP(FILTER(INDIRECT(""'""&amp;DL$1&amp;""'!$C$4:$C$66""),INDIRECT(""'""&amp;DL$1&amp;""'!$D$4:$D$66"")=DL$2),$G$4:$BQ$4,$G5:$BQ5))),"""")"),"")</f>
        <v/>
      </c>
      <c r="DN5" s="208" t="str">
        <f t="shared" ref="DN5:DN229" si="21">IF(AND(DM5&lt;&gt;"",DM5&lt;2),IF($BS5&lt;DL5,DL5-($BS5+$BT5*$BT$2),DL5-($BS5-$BT5*$BT$2)),"")</f>
        <v/>
      </c>
      <c r="DO5" s="209" t="s">
        <v>444</v>
      </c>
      <c r="DP5" s="210">
        <f>IFERROR(__xludf.DUMMYFUNCTION("AVERAGE(ARRAYFORMULA(XLOOKUP(FILTER(INDIRECT(""'""&amp;DP$1&amp;""'!$C$4:$C$66""),INDIRECT(""'""&amp;DP$1&amp;""'!$D$4:$D$66"")=DP$2),$G$4:$BQ$4,$G5:$BQ5)))"),0.32444444899999997)</f>
        <v>0.324444449</v>
      </c>
      <c r="DQ5" s="207" t="str">
        <f>IFERROR(__xludf.DUMMYFUNCTION("IF(OR(DP5&gt;$BS5+$BT5*$BT$2,DP5&lt;$BS5-$BT5*$BT$2),AVEDEV(ARRAYFORMULA(XLOOKUP(FILTER(INDIRECT(""'""&amp;DP$1&amp;""'!$C$4:$C$66""),INDIRECT(""'""&amp;DP$1&amp;""'!$D$4:$D$66"")=DP$2),$G$4:$BQ$4,$G5:$BQ5))),"""")"),"")</f>
        <v/>
      </c>
      <c r="DR5" s="208" t="str">
        <f t="shared" ref="DR5:DR229" si="22">IF(AND(DQ5&lt;&gt;"",DQ5&lt;2),IF($BS5&lt;DP5,DP5-($BS5+$BT5*$BT$2),DP5-($BS5-$BT5*$BT$2)),"")</f>
        <v/>
      </c>
      <c r="DS5" s="210">
        <f>IFERROR(__xludf.DUMMYFUNCTION("AVERAGE(ARRAYFORMULA(XLOOKUP(FILTER(INDIRECT(""'""&amp;DS$1&amp;""'!$C$4:$C$66""),INDIRECT(""'""&amp;DS$1&amp;""'!$D$4:$D$66"")=DS$2),$G$4:$BQ$4,$G5:$BQ5)))"),-0.029629633333333325)</f>
        <v>-0.02962963333</v>
      </c>
      <c r="DT5" s="207" t="str">
        <f>IFERROR(__xludf.DUMMYFUNCTION("IF(OR(DS5&gt;$BS5+$BT5*$BT$2,DS5&lt;$BS5-$BT5*$BT$2),AVEDEV(ARRAYFORMULA(XLOOKUP(FILTER(INDIRECT(""'""&amp;DS$1&amp;""'!$C$4:$C$66""),INDIRECT(""'""&amp;DS$1&amp;""'!$D$4:$D$66"")=DS$2),$G$4:$BQ$4,$G5:$BQ5))),"""")"),"")</f>
        <v/>
      </c>
      <c r="DU5" s="208" t="str">
        <f t="shared" ref="DU5:DU229" si="23">IF(AND(DT5&lt;&gt;"",DT5&lt;2),IF($BS5&lt;DS5,DS5-($BS5+$BT5*$BT$2),DS5-($BS5-$BT5*$BT$2)),"")</f>
        <v/>
      </c>
      <c r="DV5" s="210">
        <f>IFERROR(__xludf.DUMMYFUNCTION("AVERAGE(ARRAYFORMULA(XLOOKUP(FILTER(INDIRECT(""'""&amp;DV$1&amp;""'!$C$4:$C$66""),INDIRECT(""'""&amp;DV$1&amp;""'!$D$4:$D$66"")=DV$2),$G$4:$BQ$4,$G5:$BQ5)))"),-0.21666666625000003)</f>
        <v>-0.2166666663</v>
      </c>
      <c r="DW5" s="207" t="str">
        <f>IFERROR(__xludf.DUMMYFUNCTION("IF(OR(DV5&gt;$BS5+$BT5*$BT$2,DV5&lt;$BS5-$BT5*$BT$2),AVEDEV(ARRAYFORMULA(XLOOKUP(FILTER(INDIRECT(""'""&amp;DV$1&amp;""'!$C$4:$C$66""),INDIRECT(""'""&amp;DV$1&amp;""'!$D$4:$D$66"")=DV$2),$G$4:$BQ$4,$G5:$BQ5))),"""")"),"")</f>
        <v/>
      </c>
      <c r="DX5" s="208" t="str">
        <f t="shared" ref="DX5:DX229" si="24">IF(AND(DW5&lt;&gt;"",DW5&lt;2),IF($BS5&lt;DV5,DV5-($BS5+$BT5*$BT$2),DV5-($BS5-$BT5*$BT$2)),"")</f>
        <v/>
      </c>
      <c r="DY5" s="210">
        <f>IFERROR(__xludf.DUMMYFUNCTION("AVERAGE(ARRAYFORMULA(XLOOKUP(FILTER(INDIRECT(""'""&amp;DY$1&amp;""'!$C$4:$C$66""),INDIRECT(""'""&amp;DY$1&amp;""'!$D$4:$D$66"")=DY$2),$G$4:$BQ$4,$G5:$BQ5)))"),-0.03703704444444443)</f>
        <v>-0.03703704444</v>
      </c>
      <c r="DZ5" s="207" t="str">
        <f>IFERROR(__xludf.DUMMYFUNCTION("IF(OR(DY5&gt;$BS5+$BT5*$BT$2,DY5&lt;$BS5-$BT5*$BT$2),AVEDEV(ARRAYFORMULA(XLOOKUP(FILTER(INDIRECT(""'""&amp;DY$1&amp;""'!$C$4:$C$66""),INDIRECT(""'""&amp;DY$1&amp;""'!$D$4:$D$66"")=DY$2),$G$4:$BQ$4,$G5:$BQ5))),"""")"),"")</f>
        <v/>
      </c>
      <c r="EA5" s="208" t="str">
        <f t="shared" ref="EA5:EA229" si="25">IF(AND(DZ5&lt;&gt;"",DZ5&lt;2),IF($BS5&lt;DY5,DY5-($BS5+$BT5*$BT$2),DY5-($BS5-$BT5*$BT$2)),"")</f>
        <v/>
      </c>
      <c r="EB5" s="191"/>
    </row>
    <row r="6" outlineLevel="1">
      <c r="A6" s="2"/>
      <c r="B6" s="204">
        <v>2.0</v>
      </c>
      <c r="C6" s="204" t="s">
        <v>442</v>
      </c>
      <c r="D6" s="204" t="s">
        <v>445</v>
      </c>
      <c r="E6" s="205" t="b">
        <f>VLOOKUP(D6,'Feature Set List'!A2:C246,2,0)</f>
        <v>1</v>
      </c>
      <c r="F6" s="205" t="b">
        <f>VLOOKUP(D6,'Feature Set List'!A2:C246,3,0)</f>
        <v>1</v>
      </c>
      <c r="G6" s="205">
        <v>0.0</v>
      </c>
      <c r="H6" s="205">
        <v>0.0</v>
      </c>
      <c r="I6" s="205">
        <v>0.0</v>
      </c>
      <c r="J6" s="205">
        <v>0.0</v>
      </c>
      <c r="K6" s="205">
        <v>0.0</v>
      </c>
      <c r="L6" s="205">
        <v>0.0</v>
      </c>
      <c r="M6" s="205">
        <v>0.0</v>
      </c>
      <c r="N6" s="205">
        <v>0.0</v>
      </c>
      <c r="O6" s="205">
        <v>0.0</v>
      </c>
      <c r="P6" s="205">
        <v>0.0</v>
      </c>
      <c r="Q6" s="205">
        <v>0.0</v>
      </c>
      <c r="R6" s="205">
        <v>0.0</v>
      </c>
      <c r="S6" s="205">
        <v>0.0</v>
      </c>
      <c r="T6" s="205">
        <v>0.0</v>
      </c>
      <c r="U6" s="205">
        <v>-1.0</v>
      </c>
      <c r="V6" s="205">
        <v>0.0</v>
      </c>
      <c r="W6" s="205">
        <v>0.0</v>
      </c>
      <c r="X6" s="205">
        <v>-2.0</v>
      </c>
      <c r="Y6" s="205">
        <v>0.0</v>
      </c>
      <c r="Z6" s="205">
        <v>0.0</v>
      </c>
      <c r="AA6" s="205">
        <v>0.0</v>
      </c>
      <c r="AB6" s="205">
        <v>-3.0</v>
      </c>
      <c r="AC6" s="205">
        <v>0.0</v>
      </c>
      <c r="AD6" s="205">
        <v>-2.0</v>
      </c>
      <c r="AE6" s="205">
        <v>0.0</v>
      </c>
      <c r="AF6" s="205">
        <v>0.0</v>
      </c>
      <c r="AG6" s="205">
        <v>0.0</v>
      </c>
      <c r="AH6" s="205">
        <v>0.0</v>
      </c>
      <c r="AI6" s="205">
        <v>0.0</v>
      </c>
      <c r="AJ6" s="205">
        <v>-2.0</v>
      </c>
      <c r="AK6" s="205">
        <v>0.0</v>
      </c>
      <c r="AL6" s="205">
        <v>0.0</v>
      </c>
      <c r="AM6" s="205">
        <v>0.0</v>
      </c>
      <c r="AN6" s="205">
        <v>-2.0</v>
      </c>
      <c r="AO6" s="205">
        <v>0.0</v>
      </c>
      <c r="AP6" s="205">
        <v>-3.0</v>
      </c>
      <c r="AQ6" s="205">
        <v>0.0</v>
      </c>
      <c r="AR6" s="205">
        <v>-2.0</v>
      </c>
      <c r="AS6" s="205">
        <v>0.0</v>
      </c>
      <c r="AT6" s="205">
        <v>0.0</v>
      </c>
      <c r="AU6" s="205">
        <v>-1.0</v>
      </c>
      <c r="AV6" s="205">
        <v>-2.0</v>
      </c>
      <c r="AW6" s="205">
        <v>-2.0</v>
      </c>
      <c r="AX6" s="205">
        <v>-1.0</v>
      </c>
      <c r="AY6" s="205">
        <v>-1.0</v>
      </c>
      <c r="AZ6" s="205">
        <v>0.0</v>
      </c>
      <c r="BA6" s="205">
        <v>0.0</v>
      </c>
      <c r="BB6" s="205">
        <v>0.0</v>
      </c>
      <c r="BC6" s="205">
        <v>0.0</v>
      </c>
      <c r="BD6" s="205">
        <v>0.0</v>
      </c>
      <c r="BE6" s="205">
        <v>0.0</v>
      </c>
      <c r="BF6" s="205">
        <v>0.0</v>
      </c>
      <c r="BG6" s="205">
        <v>0.0</v>
      </c>
      <c r="BH6" s="205">
        <v>-1.0</v>
      </c>
      <c r="BI6" s="205">
        <v>-1.0</v>
      </c>
      <c r="BJ6" s="205">
        <v>-3.0</v>
      </c>
      <c r="BK6" s="205">
        <v>0.0</v>
      </c>
      <c r="BL6" s="205">
        <v>-4.0</v>
      </c>
      <c r="BM6" s="205">
        <v>-1.0</v>
      </c>
      <c r="BN6" s="205">
        <v>0.0</v>
      </c>
      <c r="BO6" s="205">
        <v>0.0</v>
      </c>
      <c r="BP6" s="205">
        <v>-1.0</v>
      </c>
      <c r="BQ6" s="205">
        <v>0.0</v>
      </c>
      <c r="BR6" s="206"/>
      <c r="BS6" s="207">
        <f t="shared" si="6"/>
        <v>-0.5555555556</v>
      </c>
      <c r="BT6" s="207">
        <f t="shared" si="7"/>
        <v>0.7760141093</v>
      </c>
      <c r="BU6" s="206"/>
      <c r="BV6" s="207">
        <f>IFERROR(__xludf.DUMMYFUNCTION("AVERAGE(ARRAYFORMULA(XLOOKUP(FILTER(INDIRECT(""'""&amp;BV$1&amp;""'!$C$4:$C$66""),INDIRECT(""'""&amp;BV$1&amp;""'!$D$4:$D$66"")=BV$2),$G$4:$BQ$4,$G6:$BQ6)))"),-1.1428571428571428)</f>
        <v>-1.142857143</v>
      </c>
      <c r="BW6" s="207" t="str">
        <f>IFERROR(__xludf.DUMMYFUNCTION("IF(OR(BV6&gt;$BS6+$BT6*$BT$2,BV6&lt;$BS6-$BT6*$BT$2),AVEDEV(ARRAYFORMULA(XLOOKUP(FILTER(INDIRECT(""'""&amp;BV$1&amp;""'!$C$4:$C$66""),INDIRECT(""'""&amp;BV$1&amp;""'!$D$4:$D$66"")=BV$2),$G$4:$BQ$4,$G6:$BQ6))),"""")"),"")</f>
        <v/>
      </c>
      <c r="BX6" s="208" t="str">
        <f t="shared" si="8"/>
        <v/>
      </c>
      <c r="BY6" s="207">
        <f>IFERROR(__xludf.DUMMYFUNCTION("AVERAGE(ARRAYFORMULA(XLOOKUP(FILTER(INDIRECT(""'""&amp;BY$1&amp;""'!$C$4:$C$66""),INDIRECT(""'""&amp;BY$1&amp;""'!$D$4:$D$66"")=BY$2),$G$4:$BQ$4,$G6:$BQ6)))"),-0.5952380952380952)</f>
        <v>-0.5952380952</v>
      </c>
      <c r="BZ6" s="207" t="str">
        <f>IFERROR(__xludf.DUMMYFUNCTION("IF(OR(BY6&gt;$BS6+$BT6*$BT$2,BY6&lt;$BS6-$BT6*$BT$2),AVEDEV(ARRAYFORMULA(XLOOKUP(FILTER(INDIRECT(""'""&amp;BY$1&amp;""'!$C$4:$C$66""),INDIRECT(""'""&amp;BY$1&amp;""'!$D$4:$D$66"")=BY$2),$G$4:$BQ$4,$G6:$BQ6))),"""")"),"")</f>
        <v/>
      </c>
      <c r="CA6" s="208" t="str">
        <f t="shared" si="9"/>
        <v/>
      </c>
      <c r="CB6" s="207">
        <f>IFERROR(__xludf.DUMMYFUNCTION("AVERAGE(ARRAYFORMULA(XLOOKUP(FILTER(INDIRECT(""'""&amp;CB$1&amp;""'!$C$4:$C$66""),INDIRECT(""'""&amp;CB$1&amp;""'!$D$4:$D$66"")=CB$2),$G$4:$BQ$4,$G6:$BQ6)))"),-0.09090909090909091)</f>
        <v>-0.09090909091</v>
      </c>
      <c r="CC6" s="207" t="str">
        <f>IFERROR(__xludf.DUMMYFUNCTION("IF(OR(CB6&gt;$BS6+$BT6*$BT$2,CB6&lt;$BS6-$BT6*$BT$2),AVEDEV(ARRAYFORMULA(XLOOKUP(FILTER(INDIRECT(""'""&amp;CB$1&amp;""'!$C$4:$C$66""),INDIRECT(""'""&amp;CB$1&amp;""'!$D$4:$D$66"")=CB$2),$G$4:$BQ$4,$G6:$BQ6))),"""")"),"")</f>
        <v/>
      </c>
      <c r="CD6" s="208" t="str">
        <f t="shared" si="10"/>
        <v/>
      </c>
      <c r="CE6" s="209" t="s">
        <v>444</v>
      </c>
      <c r="CF6" s="207">
        <f>IFERROR(__xludf.DUMMYFUNCTION("AVERAGE(ARRAYFORMULA(XLOOKUP(FILTER(INDIRECT(""'""&amp;CF$1&amp;""'!$C$4:$C$66""),INDIRECT(""'""&amp;CF$1&amp;""'!$D$4:$D$66"")=CF$2),$G$4:$BQ$4,$G6:$BQ6)))"),-0.375)</f>
        <v>-0.375</v>
      </c>
      <c r="CG6" s="207" t="str">
        <f>IFERROR(__xludf.DUMMYFUNCTION("IF(OR(CF6&gt;$BS6+$BT6*$BT$2,CF6&lt;$BS6-$BT6*$BT$2),AVEDEV(ARRAYFORMULA(XLOOKUP(FILTER(INDIRECT(""'""&amp;CF$1&amp;""'!$C$4:$C$66""),INDIRECT(""'""&amp;CF$1&amp;""'!$D$4:$D$66"")=CF$2),$G$4:$BQ$4,$G6:$BQ6))),"""")"),"")</f>
        <v/>
      </c>
      <c r="CH6" s="208" t="str">
        <f t="shared" si="11"/>
        <v/>
      </c>
      <c r="CI6" s="207">
        <f>IFERROR(__xludf.DUMMYFUNCTION("AVERAGE(ARRAYFORMULA(XLOOKUP(FILTER(INDIRECT(""'""&amp;CI$1&amp;""'!$C$4:$C$66""),INDIRECT(""'""&amp;CI$1&amp;""'!$D$4:$D$66"")=CI$2),$G$4:$BQ$4,$G6:$BQ6)))"),-0.5806451612903226)</f>
        <v>-0.5806451613</v>
      </c>
      <c r="CJ6" s="207" t="str">
        <f>IFERROR(__xludf.DUMMYFUNCTION("IF(OR(CI6&gt;$BS6+$BT6*$BT$2,CI6&lt;$BS6-$BT6*$BT$2),AVEDEV(ARRAYFORMULA(XLOOKUP(FILTER(INDIRECT(""'""&amp;CI$1&amp;""'!$C$4:$C$66""),INDIRECT(""'""&amp;CI$1&amp;""'!$D$4:$D$66"")=CI$2),$G$4:$BQ$4,$G6:$BQ6))),"""")"),"")</f>
        <v/>
      </c>
      <c r="CK6" s="208" t="str">
        <f t="shared" si="12"/>
        <v/>
      </c>
      <c r="CL6" s="207">
        <f>IFERROR(__xludf.DUMMYFUNCTION("AVERAGE(ARRAYFORMULA(XLOOKUP(FILTER(INDIRECT(""'""&amp;CL$1&amp;""'!$C$4:$C$66""),INDIRECT(""'""&amp;CL$1&amp;""'!$D$4:$D$66"")=CL$2),$G$4:$BQ$4,$G6:$BQ6)))"),0.0)</f>
        <v>0</v>
      </c>
      <c r="CM6" s="207" t="str">
        <f>IFERROR(__xludf.DUMMYFUNCTION("IF(OR(CL6&gt;$BS6+$BT6*$BT$2,CL6&lt;$BS6-$BT6*$BT$2),AVEDEV(ARRAYFORMULA(XLOOKUP(FILTER(INDIRECT(""'""&amp;CL$1&amp;""'!$C$4:$C$66""),INDIRECT(""'""&amp;CL$1&amp;""'!$D$4:$D$66"")=CL$2),$G$4:$BQ$4,$G6:$BQ6))),"""")"),"")</f>
        <v/>
      </c>
      <c r="CN6" s="208" t="str">
        <f t="shared" si="13"/>
        <v/>
      </c>
      <c r="CO6" s="209" t="s">
        <v>444</v>
      </c>
      <c r="CP6" s="210">
        <f>IFERROR(__xludf.DUMMYFUNCTION("AVERAGE(ARRAYFORMULA(XLOOKUP(FILTER(INDIRECT(""'""&amp;CP$1&amp;""'!$C$4:$C$66""),INDIRECT(""'""&amp;CP$1&amp;""'!$D$4:$D$66"")=CP$2),$G$4:$BQ$4,$G6:$BQ6)))"),-0.4666666666666667)</f>
        <v>-0.4666666667</v>
      </c>
      <c r="CQ6" s="207" t="str">
        <f>IFERROR(__xludf.DUMMYFUNCTION("IF(OR(CP6&gt;$BS6+$BT6*$BT$2,CP6&lt;$BS6-$BT6*$BT$2),AVEDEV(ARRAYFORMULA(XLOOKUP(FILTER(INDIRECT(""'""&amp;CP$1&amp;""'!$C$4:$C$66""),INDIRECT(""'""&amp;CP$1&amp;""'!$D$4:$D$66"")=CP$2),$G$4:$BQ$4,$G6:$BQ6))),"""")"),"")</f>
        <v/>
      </c>
      <c r="CR6" s="208" t="str">
        <f t="shared" si="14"/>
        <v/>
      </c>
      <c r="CS6" s="210">
        <f>IFERROR(__xludf.DUMMYFUNCTION("AVERAGE(ARRAYFORMULA(XLOOKUP(FILTER(INDIRECT(""'""&amp;CS$1&amp;""'!$C$4:$C$66""),INDIRECT(""'""&amp;CS$1&amp;""'!$D$4:$D$66"")=CS$2),$G$4:$BQ$4,$G6:$BQ6)))"),-0.5897435897435898)</f>
        <v>-0.5897435897</v>
      </c>
      <c r="CT6" s="207" t="str">
        <f>IFERROR(__xludf.DUMMYFUNCTION("IF(OR(CS6&gt;$BS6+$BT6*$BT$2,CS6&lt;$BS6-$BT6*$BT$2),AVEDEV(ARRAYFORMULA(XLOOKUP(FILTER(INDIRECT(""'""&amp;CS$1&amp;""'!$C$4:$C$66""),INDIRECT(""'""&amp;CS$1&amp;""'!$D$4:$D$66"")=CS$2),$G$4:$BQ$4,$G6:$BQ6))),"""")"),"")</f>
        <v/>
      </c>
      <c r="CU6" s="208" t="str">
        <f t="shared" si="15"/>
        <v/>
      </c>
      <c r="CV6" s="210">
        <f>IFERROR(__xludf.DUMMYFUNCTION("AVERAGE(ARRAYFORMULA(XLOOKUP(FILTER(INDIRECT(""'""&amp;CV$1&amp;""'!$C$4:$C$66""),INDIRECT(""'""&amp;CV$1&amp;""'!$D$4:$D$66"")=CV$2),$G$4:$BQ$4,$G6:$BQ6)))"),0.0)</f>
        <v>0</v>
      </c>
      <c r="CW6" s="207" t="str">
        <f>IFERROR(__xludf.DUMMYFUNCTION("IF(OR(CV6&gt;$BS6+$BT6*$BT$2,CV6&lt;$BS6-$BT6*$BT$2),AVEDEV(ARRAYFORMULA(XLOOKUP(FILTER(INDIRECT(""'""&amp;CV$1&amp;""'!$C$4:$C$66""),INDIRECT(""'""&amp;CV$1&amp;""'!$D$4:$D$66"")=CV$2),$G$4:$BQ$4,$G6:$BQ6))),"""")"),"")</f>
        <v/>
      </c>
      <c r="CX6" s="208" t="str">
        <f t="shared" si="16"/>
        <v/>
      </c>
      <c r="CY6" s="209" t="s">
        <v>444</v>
      </c>
      <c r="CZ6" s="210">
        <f>IFERROR(__xludf.DUMMYFUNCTION("AVERAGE(ARRAYFORMULA(XLOOKUP(FILTER(INDIRECT(""'""&amp;CZ$1&amp;""'!$C$4:$C$66""),INDIRECT(""'""&amp;CZ$1&amp;""'!$D$4:$D$66"")=CZ$2),$G$4:$BQ$4,$G6:$BQ6)))"),-0.35714285714285715)</f>
        <v>-0.3571428571</v>
      </c>
      <c r="DA6" s="207" t="str">
        <f>IFERROR(__xludf.DUMMYFUNCTION("IF(OR(CZ6&gt;$BS6+$BT6*$BT$2,CZ6&lt;$BS6-$BT6*$BT$2),AVEDEV(ARRAYFORMULA(XLOOKUP(FILTER(INDIRECT(""'""&amp;CZ$1&amp;""'!$C$4:$C$66""),INDIRECT(""'""&amp;CZ$1&amp;""'!$D$4:$D$66"")=CZ$2),$G$4:$BQ$4,$G6:$BQ6))),"""")"),"")</f>
        <v/>
      </c>
      <c r="DB6" s="208" t="str">
        <f t="shared" si="17"/>
        <v/>
      </c>
      <c r="DC6" s="210">
        <f>IFERROR(__xludf.DUMMYFUNCTION("AVERAGE(ARRAYFORMULA(XLOOKUP(FILTER(INDIRECT(""'""&amp;DC$1&amp;""'!$C$4:$C$66""),INDIRECT(""'""&amp;DC$1&amp;""'!$D$4:$D$66"")=DC$2),$G$4:$BQ$4,$G6:$BQ6)))"),0.0)</f>
        <v>0</v>
      </c>
      <c r="DD6" s="207" t="str">
        <f>IFERROR(__xludf.DUMMYFUNCTION("IF(OR(DC6&gt;$BS6+$BT6*$BT$2,DC6&lt;$BS6-$BT6*$BT$2),AVEDEV(ARRAYFORMULA(XLOOKUP(FILTER(INDIRECT(""'""&amp;DC$1&amp;""'!$C$4:$C$66""),INDIRECT(""'""&amp;DC$1&amp;""'!$D$4:$D$66"")=DC$2),$G$4:$BQ$4,$G6:$BQ6))),"""")"),"")</f>
        <v/>
      </c>
      <c r="DE6" s="208" t="str">
        <f t="shared" si="18"/>
        <v/>
      </c>
      <c r="DF6" s="210">
        <f>IFERROR(__xludf.DUMMYFUNCTION("AVERAGE(ARRAYFORMULA(XLOOKUP(FILTER(INDIRECT(""'""&amp;DF$1&amp;""'!$C$4:$C$66""),INDIRECT(""'""&amp;DF$1&amp;""'!$D$4:$D$66"")=DF$2),$G$4:$BQ$4,$G6:$BQ6)))"),-0.45454545454545453)</f>
        <v>-0.4545454545</v>
      </c>
      <c r="DG6" s="207" t="str">
        <f>IFERROR(__xludf.DUMMYFUNCTION("IF(OR(DF6&gt;$BS6+$BT6*$BT$2,DF6&lt;$BS6-$BT6*$BT$2),AVEDEV(ARRAYFORMULA(XLOOKUP(FILTER(INDIRECT(""'""&amp;DF$1&amp;""'!$C$4:$C$66""),INDIRECT(""'""&amp;DF$1&amp;""'!$D$4:$D$66"")=DF$2),$G$4:$BQ$4,$G6:$BQ6))),"""")"),"")</f>
        <v/>
      </c>
      <c r="DH6" s="208" t="str">
        <f t="shared" si="19"/>
        <v/>
      </c>
      <c r="DI6" s="210">
        <f>IFERROR(__xludf.DUMMYFUNCTION("AVERAGE(ARRAYFORMULA(XLOOKUP(FILTER(INDIRECT(""'""&amp;DI$1&amp;""'!$C$4:$C$66""),INDIRECT(""'""&amp;DI$1&amp;""'!$D$4:$D$66"")=DI$2),$G$4:$BQ$4,$G6:$BQ6)))"),-1.5)</f>
        <v>-1.5</v>
      </c>
      <c r="DJ6" s="207">
        <f>IFERROR(__xludf.DUMMYFUNCTION("IF(OR(DI6&gt;$BS6+$BT6*$BT$2,DI6&lt;$BS6-$BT6*$BT$2),AVEDEV(ARRAYFORMULA(XLOOKUP(FILTER(INDIRECT(""'""&amp;DI$1&amp;""'!$C$4:$C$66""),INDIRECT(""'""&amp;DI$1&amp;""'!$D$4:$D$66"")=DI$2),$G$4:$BQ$4,$G6:$BQ6))),"""")"),0.5)</f>
        <v>0.5</v>
      </c>
      <c r="DK6" s="208">
        <f t="shared" si="20"/>
        <v>-0.1684303351</v>
      </c>
      <c r="DL6" s="210">
        <f>IFERROR(__xludf.DUMMYFUNCTION("AVERAGE(ARRAYFORMULA(XLOOKUP(FILTER(INDIRECT(""'""&amp;DL$1&amp;""'!$C$4:$C$66""),INDIRECT(""'""&amp;DL$1&amp;""'!$D$4:$D$66"")=DL$2),$G$4:$BQ$4,$G6:$BQ6)))"),-0.8571428571428571)</f>
        <v>-0.8571428571</v>
      </c>
      <c r="DM6" s="207" t="str">
        <f>IFERROR(__xludf.DUMMYFUNCTION("IF(OR(DL6&gt;$BS6+$BT6*$BT$2,DL6&lt;$BS6-$BT6*$BT$2),AVEDEV(ARRAYFORMULA(XLOOKUP(FILTER(INDIRECT(""'""&amp;DL$1&amp;""'!$C$4:$C$66""),INDIRECT(""'""&amp;DL$1&amp;""'!$D$4:$D$66"")=DL$2),$G$4:$BQ$4,$G6:$BQ6))),"""")"),"")</f>
        <v/>
      </c>
      <c r="DN6" s="208" t="str">
        <f t="shared" si="21"/>
        <v/>
      </c>
      <c r="DO6" s="209" t="s">
        <v>444</v>
      </c>
      <c r="DP6" s="210">
        <f>IFERROR(__xludf.DUMMYFUNCTION("AVERAGE(ARRAYFORMULA(XLOOKUP(FILTER(INDIRECT(""'""&amp;DP$1&amp;""'!$C$4:$C$66""),INDIRECT(""'""&amp;DP$1&amp;""'!$D$4:$D$66"")=DP$2),$G$4:$BQ$4,$G6:$BQ6)))"),-0.4666666666666667)</f>
        <v>-0.4666666667</v>
      </c>
      <c r="DQ6" s="207" t="str">
        <f>IFERROR(__xludf.DUMMYFUNCTION("IF(OR(DP6&gt;$BS6+$BT6*$BT$2,DP6&lt;$BS6-$BT6*$BT$2),AVEDEV(ARRAYFORMULA(XLOOKUP(FILTER(INDIRECT(""'""&amp;DP$1&amp;""'!$C$4:$C$66""),INDIRECT(""'""&amp;DP$1&amp;""'!$D$4:$D$66"")=DP$2),$G$4:$BQ$4,$G6:$BQ6))),"""")"),"")</f>
        <v/>
      </c>
      <c r="DR6" s="208" t="str">
        <f t="shared" si="22"/>
        <v/>
      </c>
      <c r="DS6" s="210">
        <f>IFERROR(__xludf.DUMMYFUNCTION("AVERAGE(ARRAYFORMULA(XLOOKUP(FILTER(INDIRECT(""'""&amp;DS$1&amp;""'!$C$4:$C$66""),INDIRECT(""'""&amp;DS$1&amp;""'!$D$4:$D$66"")=DS$2),$G$4:$BQ$4,$G6:$BQ6)))"),-0.3333333333333333)</f>
        <v>-0.3333333333</v>
      </c>
      <c r="DT6" s="207" t="str">
        <f>IFERROR(__xludf.DUMMYFUNCTION("IF(OR(DS6&gt;$BS6+$BT6*$BT$2,DS6&lt;$BS6-$BT6*$BT$2),AVEDEV(ARRAYFORMULA(XLOOKUP(FILTER(INDIRECT(""'""&amp;DS$1&amp;""'!$C$4:$C$66""),INDIRECT(""'""&amp;DS$1&amp;""'!$D$4:$D$66"")=DS$2),$G$4:$BQ$4,$G6:$BQ6))),"""")"),"")</f>
        <v/>
      </c>
      <c r="DU6" s="208" t="str">
        <f t="shared" si="23"/>
        <v/>
      </c>
      <c r="DV6" s="210">
        <f>IFERROR(__xludf.DUMMYFUNCTION("AVERAGE(ARRAYFORMULA(XLOOKUP(FILTER(INDIRECT(""'""&amp;DV$1&amp;""'!$C$4:$C$66""),INDIRECT(""'""&amp;DV$1&amp;""'!$D$4:$D$66"")=DV$2),$G$4:$BQ$4,$G6:$BQ6)))"),-0.5)</f>
        <v>-0.5</v>
      </c>
      <c r="DW6" s="207" t="str">
        <f>IFERROR(__xludf.DUMMYFUNCTION("IF(OR(DV6&gt;$BS6+$BT6*$BT$2,DV6&lt;$BS6-$BT6*$BT$2),AVEDEV(ARRAYFORMULA(XLOOKUP(FILTER(INDIRECT(""'""&amp;DV$1&amp;""'!$C$4:$C$66""),INDIRECT(""'""&amp;DV$1&amp;""'!$D$4:$D$66"")=DV$2),$G$4:$BQ$4,$G6:$BQ6))),"""")"),"")</f>
        <v/>
      </c>
      <c r="DX6" s="208" t="str">
        <f t="shared" si="24"/>
        <v/>
      </c>
      <c r="DY6" s="210">
        <f>IFERROR(__xludf.DUMMYFUNCTION("AVERAGE(ARRAYFORMULA(XLOOKUP(FILTER(INDIRECT(""'""&amp;DY$1&amp;""'!$C$4:$C$66""),INDIRECT(""'""&amp;DY$1&amp;""'!$D$4:$D$66"")=DY$2),$G$4:$BQ$4,$G6:$BQ6)))"),-0.5555555555555556)</f>
        <v>-0.5555555556</v>
      </c>
      <c r="DZ6" s="207" t="str">
        <f>IFERROR(__xludf.DUMMYFUNCTION("IF(OR(DY6&gt;$BS6+$BT6*$BT$2,DY6&lt;$BS6-$BT6*$BT$2),AVEDEV(ARRAYFORMULA(XLOOKUP(FILTER(INDIRECT(""'""&amp;DY$1&amp;""'!$C$4:$C$66""),INDIRECT(""'""&amp;DY$1&amp;""'!$D$4:$D$66"")=DY$2),$G$4:$BQ$4,$G6:$BQ6))),"""")"),"")</f>
        <v/>
      </c>
      <c r="EA6" s="208" t="str">
        <f t="shared" si="25"/>
        <v/>
      </c>
      <c r="EB6" s="191"/>
    </row>
    <row r="7" outlineLevel="1">
      <c r="A7" s="2"/>
      <c r="B7" s="204">
        <v>3.0</v>
      </c>
      <c r="C7" s="204" t="s">
        <v>442</v>
      </c>
      <c r="D7" s="204" t="s">
        <v>446</v>
      </c>
      <c r="E7" s="205" t="b">
        <f>VLOOKUP(D7,'Feature Set List'!A3:C246,2,0)</f>
        <v>1</v>
      </c>
      <c r="F7" s="205" t="b">
        <f>VLOOKUP(D7,'Feature Set List'!A3:C246,3,0)</f>
        <v>1</v>
      </c>
      <c r="G7" s="205">
        <v>0.0</v>
      </c>
      <c r="H7" s="205">
        <v>-0.5</v>
      </c>
      <c r="I7" s="205">
        <v>0.5</v>
      </c>
      <c r="J7" s="205">
        <v>-0.5</v>
      </c>
      <c r="K7" s="205">
        <v>1.0</v>
      </c>
      <c r="L7" s="205">
        <v>-0.5</v>
      </c>
      <c r="M7" s="205">
        <v>1.0</v>
      </c>
      <c r="N7" s="205">
        <v>-0.5</v>
      </c>
      <c r="O7" s="205">
        <v>1.5</v>
      </c>
      <c r="P7" s="205">
        <v>-0.5</v>
      </c>
      <c r="Q7" s="205">
        <v>0.0</v>
      </c>
      <c r="R7" s="205">
        <v>0.5</v>
      </c>
      <c r="S7" s="205">
        <v>-0.5</v>
      </c>
      <c r="T7" s="205">
        <v>-0.5</v>
      </c>
      <c r="U7" s="205">
        <v>0.5</v>
      </c>
      <c r="V7" s="205">
        <v>0.0</v>
      </c>
      <c r="W7" s="205">
        <v>0.5</v>
      </c>
      <c r="X7" s="205">
        <v>1.5</v>
      </c>
      <c r="Y7" s="205">
        <v>0.0</v>
      </c>
      <c r="Z7" s="205">
        <v>1.0</v>
      </c>
      <c r="AA7" s="205">
        <v>0.0</v>
      </c>
      <c r="AB7" s="205">
        <v>1.0</v>
      </c>
      <c r="AC7" s="205">
        <v>-0.5</v>
      </c>
      <c r="AD7" s="205">
        <v>0.0</v>
      </c>
      <c r="AE7" s="205">
        <v>-0.5</v>
      </c>
      <c r="AF7" s="205">
        <v>0.0</v>
      </c>
      <c r="AG7" s="205">
        <v>-0.5</v>
      </c>
      <c r="AH7" s="205">
        <v>0.5</v>
      </c>
      <c r="AI7" s="205">
        <v>-0.5</v>
      </c>
      <c r="AJ7" s="205">
        <v>-0.5</v>
      </c>
      <c r="AK7" s="205">
        <v>0.5</v>
      </c>
      <c r="AL7" s="205">
        <v>-0.5</v>
      </c>
      <c r="AM7" s="205">
        <v>-0.5</v>
      </c>
      <c r="AN7" s="205">
        <v>0.0</v>
      </c>
      <c r="AO7" s="205">
        <v>0.0</v>
      </c>
      <c r="AP7" s="205">
        <v>1.5</v>
      </c>
      <c r="AQ7" s="205">
        <v>-0.5</v>
      </c>
      <c r="AR7" s="205">
        <v>0.0</v>
      </c>
      <c r="AS7" s="205">
        <v>-0.5</v>
      </c>
      <c r="AT7" s="205">
        <v>0.0</v>
      </c>
      <c r="AU7" s="205">
        <v>0.0</v>
      </c>
      <c r="AV7" s="205">
        <v>0.5</v>
      </c>
      <c r="AW7" s="205">
        <v>-0.5</v>
      </c>
      <c r="AX7" s="205">
        <v>-0.5</v>
      </c>
      <c r="AY7" s="205">
        <v>0.5</v>
      </c>
      <c r="AZ7" s="205">
        <v>1.0</v>
      </c>
      <c r="BA7" s="205">
        <v>0.5</v>
      </c>
      <c r="BB7" s="205">
        <v>0.0</v>
      </c>
      <c r="BC7" s="205">
        <v>0.0</v>
      </c>
      <c r="BD7" s="205">
        <v>-0.5</v>
      </c>
      <c r="BE7" s="205">
        <v>0.5</v>
      </c>
      <c r="BF7" s="205">
        <v>-0.5</v>
      </c>
      <c r="BG7" s="205">
        <v>0.0</v>
      </c>
      <c r="BH7" s="205">
        <v>0.0</v>
      </c>
      <c r="BI7" s="205">
        <v>0.5</v>
      </c>
      <c r="BJ7" s="205">
        <v>0.5</v>
      </c>
      <c r="BK7" s="205">
        <v>-0.5</v>
      </c>
      <c r="BL7" s="205">
        <v>1.5</v>
      </c>
      <c r="BM7" s="205">
        <v>1.0</v>
      </c>
      <c r="BN7" s="205">
        <v>-0.5</v>
      </c>
      <c r="BO7" s="205">
        <v>-0.5</v>
      </c>
      <c r="BP7" s="205">
        <v>0.0</v>
      </c>
      <c r="BQ7" s="205">
        <v>0.5</v>
      </c>
      <c r="BR7" s="206"/>
      <c r="BS7" s="207">
        <f t="shared" si="6"/>
        <v>0.1111111111</v>
      </c>
      <c r="BT7" s="207">
        <f t="shared" si="7"/>
        <v>0.5061728395</v>
      </c>
      <c r="BU7" s="206"/>
      <c r="BV7" s="207">
        <f>IFERROR(__xludf.DUMMYFUNCTION("AVERAGE(ARRAYFORMULA(XLOOKUP(FILTER(INDIRECT(""'""&amp;BV$1&amp;""'!$C$4:$C$66""),INDIRECT(""'""&amp;BV$1&amp;""'!$D$4:$D$66"")=BV$2),$G$4:$BQ$4,$G7:$BQ7)))"),0.6428571428571429)</f>
        <v>0.6428571429</v>
      </c>
      <c r="BW7" s="207">
        <f>IFERROR(__xludf.DUMMYFUNCTION("IF(OR(BV7&gt;$BS7+$BT7*$BT$2,BV7&lt;$BS7-$BT7*$BT$2),AVEDEV(ARRAYFORMULA(XLOOKUP(FILTER(INDIRECT(""'""&amp;BV$1&amp;""'!$C$4:$C$66""),INDIRECT(""'""&amp;BV$1&amp;""'!$D$4:$D$66"")=BV$2),$G$4:$BQ$4,$G7:$BQ7))),"""")"),0.4897959183673469)</f>
        <v>0.4897959184</v>
      </c>
      <c r="BX7" s="208">
        <f t="shared" si="8"/>
        <v>0.02557319224</v>
      </c>
      <c r="BY7" s="207">
        <f>IFERROR(__xludf.DUMMYFUNCTION("AVERAGE(ARRAYFORMULA(XLOOKUP(FILTER(INDIRECT(""'""&amp;BY$1&amp;""'!$C$4:$C$66""),INDIRECT(""'""&amp;BY$1&amp;""'!$D$4:$D$66"")=BY$2),$G$4:$BQ$4,$G7:$BQ7)))"),0.0)</f>
        <v>0</v>
      </c>
      <c r="BZ7" s="207" t="str">
        <f>IFERROR(__xludf.DUMMYFUNCTION("IF(OR(BY7&gt;$BS7+$BT7*$BT$2,BY7&lt;$BS7-$BT7*$BT$2),AVEDEV(ARRAYFORMULA(XLOOKUP(FILTER(INDIRECT(""'""&amp;BY$1&amp;""'!$C$4:$C$66""),INDIRECT(""'""&amp;BY$1&amp;""'!$D$4:$D$66"")=BY$2),$G$4:$BQ$4,$G7:$BQ7))),"""")"),"")</f>
        <v/>
      </c>
      <c r="CA7" s="208" t="str">
        <f t="shared" si="9"/>
        <v/>
      </c>
      <c r="CB7" s="207">
        <f>IFERROR(__xludf.DUMMYFUNCTION("AVERAGE(ARRAYFORMULA(XLOOKUP(FILTER(INDIRECT(""'""&amp;CB$1&amp;""'!$C$4:$C$66""),INDIRECT(""'""&amp;CB$1&amp;""'!$D$4:$D$66"")=CB$2),$G$4:$BQ$4,$G7:$BQ7)))"),0.22727272727272727)</f>
        <v>0.2272727273</v>
      </c>
      <c r="CC7" s="207" t="str">
        <f>IFERROR(__xludf.DUMMYFUNCTION("IF(OR(CB7&gt;$BS7+$BT7*$BT$2,CB7&lt;$BS7-$BT7*$BT$2),AVEDEV(ARRAYFORMULA(XLOOKUP(FILTER(INDIRECT(""'""&amp;CB$1&amp;""'!$C$4:$C$66""),INDIRECT(""'""&amp;CB$1&amp;""'!$D$4:$D$66"")=CB$2),$G$4:$BQ$4,$G7:$BQ7))),"""")"),"")</f>
        <v/>
      </c>
      <c r="CD7" s="208" t="str">
        <f t="shared" si="10"/>
        <v/>
      </c>
      <c r="CE7" s="209" t="s">
        <v>444</v>
      </c>
      <c r="CF7" s="207">
        <f>IFERROR(__xludf.DUMMYFUNCTION("AVERAGE(ARRAYFORMULA(XLOOKUP(FILTER(INDIRECT(""'""&amp;CF$1&amp;""'!$C$4:$C$66""),INDIRECT(""'""&amp;CF$1&amp;""'!$D$4:$D$66"")=CF$2),$G$4:$BQ$4,$G7:$BQ7)))"),-0.0625)</f>
        <v>-0.0625</v>
      </c>
      <c r="CG7" s="207" t="str">
        <f>IFERROR(__xludf.DUMMYFUNCTION("IF(OR(CF7&gt;$BS7+$BT7*$BT$2,CF7&lt;$BS7-$BT7*$BT$2),AVEDEV(ARRAYFORMULA(XLOOKUP(FILTER(INDIRECT(""'""&amp;CF$1&amp;""'!$C$4:$C$66""),INDIRECT(""'""&amp;CF$1&amp;""'!$D$4:$D$66"")=CF$2),$G$4:$BQ$4,$G7:$BQ7))),"""")"),"")</f>
        <v/>
      </c>
      <c r="CH7" s="208" t="str">
        <f t="shared" si="11"/>
        <v/>
      </c>
      <c r="CI7" s="207">
        <f>IFERROR(__xludf.DUMMYFUNCTION("AVERAGE(ARRAYFORMULA(XLOOKUP(FILTER(INDIRECT(""'""&amp;CI$1&amp;""'!$C$4:$C$66""),INDIRECT(""'""&amp;CI$1&amp;""'!$D$4:$D$66"")=CI$2),$G$4:$BQ$4,$G7:$BQ7)))"),0.1935483870967742)</f>
        <v>0.1935483871</v>
      </c>
      <c r="CJ7" s="207" t="str">
        <f>IFERROR(__xludf.DUMMYFUNCTION("IF(OR(CI7&gt;$BS7+$BT7*$BT$2,CI7&lt;$BS7-$BT7*$BT$2),AVEDEV(ARRAYFORMULA(XLOOKUP(FILTER(INDIRECT(""'""&amp;CI$1&amp;""'!$C$4:$C$66""),INDIRECT(""'""&amp;CI$1&amp;""'!$D$4:$D$66"")=CI$2),$G$4:$BQ$4,$G7:$BQ7))),"""")"),"")</f>
        <v/>
      </c>
      <c r="CK7" s="208" t="str">
        <f t="shared" si="12"/>
        <v/>
      </c>
      <c r="CL7" s="207">
        <f>IFERROR(__xludf.DUMMYFUNCTION("AVERAGE(ARRAYFORMULA(XLOOKUP(FILTER(INDIRECT(""'""&amp;CL$1&amp;""'!$C$4:$C$66""),INDIRECT(""'""&amp;CL$1&amp;""'!$D$4:$D$66"")=CL$2),$G$4:$BQ$4,$G7:$BQ7)))"),-0.2)</f>
        <v>-0.2</v>
      </c>
      <c r="CM7" s="207" t="str">
        <f>IFERROR(__xludf.DUMMYFUNCTION("IF(OR(CL7&gt;$BS7+$BT7*$BT$2,CL7&lt;$BS7-$BT7*$BT$2),AVEDEV(ARRAYFORMULA(XLOOKUP(FILTER(INDIRECT(""'""&amp;CL$1&amp;""'!$C$4:$C$66""),INDIRECT(""'""&amp;CL$1&amp;""'!$D$4:$D$66"")=CL$2),$G$4:$BQ$4,$G7:$BQ7))),"""")"),"")</f>
        <v/>
      </c>
      <c r="CN7" s="208" t="str">
        <f t="shared" si="13"/>
        <v/>
      </c>
      <c r="CO7" s="209" t="s">
        <v>444</v>
      </c>
      <c r="CP7" s="210">
        <f>IFERROR(__xludf.DUMMYFUNCTION("AVERAGE(ARRAYFORMULA(XLOOKUP(FILTER(INDIRECT(""'""&amp;CP$1&amp;""'!$C$4:$C$66""),INDIRECT(""'""&amp;CP$1&amp;""'!$D$4:$D$66"")=CP$2),$G$4:$BQ$4,$G7:$BQ7)))"),0.2)</f>
        <v>0.2</v>
      </c>
      <c r="CQ7" s="207" t="str">
        <f>IFERROR(__xludf.DUMMYFUNCTION("IF(OR(CP7&gt;$BS7+$BT7*$BT$2,CP7&lt;$BS7-$BT7*$BT$2),AVEDEV(ARRAYFORMULA(XLOOKUP(FILTER(INDIRECT(""'""&amp;CP$1&amp;""'!$C$4:$C$66""),INDIRECT(""'""&amp;CP$1&amp;""'!$D$4:$D$66"")=CP$2),$G$4:$BQ$4,$G7:$BQ7))),"""")"),"")</f>
        <v/>
      </c>
      <c r="CR7" s="208" t="str">
        <f t="shared" si="14"/>
        <v/>
      </c>
      <c r="CS7" s="210">
        <f>IFERROR(__xludf.DUMMYFUNCTION("AVERAGE(ARRAYFORMULA(XLOOKUP(FILTER(INDIRECT(""'""&amp;CS$1&amp;""'!$C$4:$C$66""),INDIRECT(""'""&amp;CS$1&amp;""'!$D$4:$D$66"")=CS$2),$G$4:$BQ$4,$G7:$BQ7)))"),0.08974358974358974)</f>
        <v>0.08974358974</v>
      </c>
      <c r="CT7" s="207" t="str">
        <f>IFERROR(__xludf.DUMMYFUNCTION("IF(OR(CS7&gt;$BS7+$BT7*$BT$2,CS7&lt;$BS7-$BT7*$BT$2),AVEDEV(ARRAYFORMULA(XLOOKUP(FILTER(INDIRECT(""'""&amp;CS$1&amp;""'!$C$4:$C$66""),INDIRECT(""'""&amp;CS$1&amp;""'!$D$4:$D$66"")=CS$2),$G$4:$BQ$4,$G7:$BQ7))),"""")"),"")</f>
        <v/>
      </c>
      <c r="CU7" s="208" t="str">
        <f t="shared" si="15"/>
        <v/>
      </c>
      <c r="CV7" s="210">
        <f>IFERROR(__xludf.DUMMYFUNCTION("AVERAGE(ARRAYFORMULA(XLOOKUP(FILTER(INDIRECT(""'""&amp;CV$1&amp;""'!$C$4:$C$66""),INDIRECT(""'""&amp;CV$1&amp;""'!$D$4:$D$66"")=CV$2),$G$4:$BQ$4,$G7:$BQ7)))"),-0.2)</f>
        <v>-0.2</v>
      </c>
      <c r="CW7" s="207" t="str">
        <f>IFERROR(__xludf.DUMMYFUNCTION("IF(OR(CV7&gt;$BS7+$BT7*$BT$2,CV7&lt;$BS7-$BT7*$BT$2),AVEDEV(ARRAYFORMULA(XLOOKUP(FILTER(INDIRECT(""'""&amp;CV$1&amp;""'!$C$4:$C$66""),INDIRECT(""'""&amp;CV$1&amp;""'!$D$4:$D$66"")=CV$2),$G$4:$BQ$4,$G7:$BQ7))),"""")"),"")</f>
        <v/>
      </c>
      <c r="CX7" s="208" t="str">
        <f t="shared" si="16"/>
        <v/>
      </c>
      <c r="CY7" s="209" t="s">
        <v>444</v>
      </c>
      <c r="CZ7" s="210">
        <f>IFERROR(__xludf.DUMMYFUNCTION("AVERAGE(ARRAYFORMULA(XLOOKUP(FILTER(INDIRECT(""'""&amp;CZ$1&amp;""'!$C$4:$C$66""),INDIRECT(""'""&amp;CZ$1&amp;""'!$D$4:$D$66"")=CZ$2),$G$4:$BQ$4,$G7:$BQ7)))"),-0.25)</f>
        <v>-0.25</v>
      </c>
      <c r="DA7" s="207" t="str">
        <f>IFERROR(__xludf.DUMMYFUNCTION("IF(OR(CZ7&gt;$BS7+$BT7*$BT$2,CZ7&lt;$BS7-$BT7*$BT$2),AVEDEV(ARRAYFORMULA(XLOOKUP(FILTER(INDIRECT(""'""&amp;CZ$1&amp;""'!$C$4:$C$66""),INDIRECT(""'""&amp;CZ$1&amp;""'!$D$4:$D$66"")=CZ$2),$G$4:$BQ$4,$G7:$BQ7))),"""")"),"")</f>
        <v/>
      </c>
      <c r="DB7" s="208" t="str">
        <f t="shared" si="17"/>
        <v/>
      </c>
      <c r="DC7" s="210">
        <f>IFERROR(__xludf.DUMMYFUNCTION("AVERAGE(ARRAYFORMULA(XLOOKUP(FILTER(INDIRECT(""'""&amp;DC$1&amp;""'!$C$4:$C$66""),INDIRECT(""'""&amp;DC$1&amp;""'!$D$4:$D$66"")=DC$2),$G$4:$BQ$4,$G7:$BQ7)))"),0.05555555555555555)</f>
        <v>0.05555555556</v>
      </c>
      <c r="DD7" s="207" t="str">
        <f>IFERROR(__xludf.DUMMYFUNCTION("IF(OR(DC7&gt;$BS7+$BT7*$BT$2,DC7&lt;$BS7-$BT7*$BT$2),AVEDEV(ARRAYFORMULA(XLOOKUP(FILTER(INDIRECT(""'""&amp;DC$1&amp;""'!$C$4:$C$66""),INDIRECT(""'""&amp;DC$1&amp;""'!$D$4:$D$66"")=DC$2),$G$4:$BQ$4,$G7:$BQ7))),"""")"),"")</f>
        <v/>
      </c>
      <c r="DE7" s="208" t="str">
        <f t="shared" si="18"/>
        <v/>
      </c>
      <c r="DF7" s="210">
        <f>IFERROR(__xludf.DUMMYFUNCTION("AVERAGE(ARRAYFORMULA(XLOOKUP(FILTER(INDIRECT(""'""&amp;DF$1&amp;""'!$C$4:$C$66""),INDIRECT(""'""&amp;DF$1&amp;""'!$D$4:$D$66"")=DF$2),$G$4:$BQ$4,$G7:$BQ7)))"),0.09090909090909091)</f>
        <v>0.09090909091</v>
      </c>
      <c r="DG7" s="207" t="str">
        <f>IFERROR(__xludf.DUMMYFUNCTION("IF(OR(DF7&gt;$BS7+$BT7*$BT$2,DF7&lt;$BS7-$BT7*$BT$2),AVEDEV(ARRAYFORMULA(XLOOKUP(FILTER(INDIRECT(""'""&amp;DF$1&amp;""'!$C$4:$C$66""),INDIRECT(""'""&amp;DF$1&amp;""'!$D$4:$D$66"")=DF$2),$G$4:$BQ$4,$G7:$BQ7))),"""")"),"")</f>
        <v/>
      </c>
      <c r="DH7" s="208" t="str">
        <f t="shared" si="19"/>
        <v/>
      </c>
      <c r="DI7" s="210">
        <f>IFERROR(__xludf.DUMMYFUNCTION("AVERAGE(ARRAYFORMULA(XLOOKUP(FILTER(INDIRECT(""'""&amp;DI$1&amp;""'!$C$4:$C$66""),INDIRECT(""'""&amp;DI$1&amp;""'!$D$4:$D$66"")=DI$2),$G$4:$BQ$4,$G7:$BQ7)))"),0.0)</f>
        <v>0</v>
      </c>
      <c r="DJ7" s="207" t="str">
        <f>IFERROR(__xludf.DUMMYFUNCTION("IF(OR(DI7&gt;$BS7+$BT7*$BT$2,DI7&lt;$BS7-$BT7*$BT$2),AVEDEV(ARRAYFORMULA(XLOOKUP(FILTER(INDIRECT(""'""&amp;DI$1&amp;""'!$C$4:$C$66""),INDIRECT(""'""&amp;DI$1&amp;""'!$D$4:$D$66"")=DI$2),$G$4:$BQ$4,$G7:$BQ7))),"""")"),"")</f>
        <v/>
      </c>
      <c r="DK7" s="208" t="str">
        <f t="shared" si="20"/>
        <v/>
      </c>
      <c r="DL7" s="210">
        <f>IFERROR(__xludf.DUMMYFUNCTION("AVERAGE(ARRAYFORMULA(XLOOKUP(FILTER(INDIRECT(""'""&amp;DL$1&amp;""'!$C$4:$C$66""),INDIRECT(""'""&amp;DL$1&amp;""'!$D$4:$D$66"")=DL$2),$G$4:$BQ$4,$G7:$BQ7)))"),0.21428571428571427)</f>
        <v>0.2142857143</v>
      </c>
      <c r="DM7" s="207" t="str">
        <f>IFERROR(__xludf.DUMMYFUNCTION("IF(OR(DL7&gt;$BS7+$BT7*$BT$2,DL7&lt;$BS7-$BT7*$BT$2),AVEDEV(ARRAYFORMULA(XLOOKUP(FILTER(INDIRECT(""'""&amp;DL$1&amp;""'!$C$4:$C$66""),INDIRECT(""'""&amp;DL$1&amp;""'!$D$4:$D$66"")=DL$2),$G$4:$BQ$4,$G7:$BQ7))),"""")"),"")</f>
        <v/>
      </c>
      <c r="DN7" s="208" t="str">
        <f t="shared" si="21"/>
        <v/>
      </c>
      <c r="DO7" s="209" t="s">
        <v>444</v>
      </c>
      <c r="DP7" s="210">
        <f>IFERROR(__xludf.DUMMYFUNCTION("AVERAGE(ARRAYFORMULA(XLOOKUP(FILTER(INDIRECT(""'""&amp;DP$1&amp;""'!$C$4:$C$66""),INDIRECT(""'""&amp;DP$1&amp;""'!$D$4:$D$66"")=DP$2),$G$4:$BQ$4,$G7:$BQ7)))"),0.05)</f>
        <v>0.05</v>
      </c>
      <c r="DQ7" s="207" t="str">
        <f>IFERROR(__xludf.DUMMYFUNCTION("IF(OR(DP7&gt;$BS7+$BT7*$BT$2,DP7&lt;$BS7-$BT7*$BT$2),AVEDEV(ARRAYFORMULA(XLOOKUP(FILTER(INDIRECT(""'""&amp;DP$1&amp;""'!$C$4:$C$66""),INDIRECT(""'""&amp;DP$1&amp;""'!$D$4:$D$66"")=DP$2),$G$4:$BQ$4,$G7:$BQ7))),"""")"),"")</f>
        <v/>
      </c>
      <c r="DR7" s="208" t="str">
        <f t="shared" si="22"/>
        <v/>
      </c>
      <c r="DS7" s="210">
        <f>IFERROR(__xludf.DUMMYFUNCTION("AVERAGE(ARRAYFORMULA(XLOOKUP(FILTER(INDIRECT(""'""&amp;DS$1&amp;""'!$C$4:$C$66""),INDIRECT(""'""&amp;DS$1&amp;""'!$D$4:$D$66"")=DS$2),$G$4:$BQ$4,$G7:$BQ7)))"),0.2222222222222222)</f>
        <v>0.2222222222</v>
      </c>
      <c r="DT7" s="207" t="str">
        <f>IFERROR(__xludf.DUMMYFUNCTION("IF(OR(DS7&gt;$BS7+$BT7*$BT$2,DS7&lt;$BS7-$BT7*$BT$2),AVEDEV(ARRAYFORMULA(XLOOKUP(FILTER(INDIRECT(""'""&amp;DS$1&amp;""'!$C$4:$C$66""),INDIRECT(""'""&amp;DS$1&amp;""'!$D$4:$D$66"")=DS$2),$G$4:$BQ$4,$G7:$BQ7))),"""")"),"")</f>
        <v/>
      </c>
      <c r="DU7" s="208" t="str">
        <f t="shared" si="23"/>
        <v/>
      </c>
      <c r="DV7" s="210">
        <f>IFERROR(__xludf.DUMMYFUNCTION("AVERAGE(ARRAYFORMULA(XLOOKUP(FILTER(INDIRECT(""'""&amp;DV$1&amp;""'!$C$4:$C$66""),INDIRECT(""'""&amp;DV$1&amp;""'!$D$4:$D$66"")=DV$2),$G$4:$BQ$4,$G7:$BQ7)))"),0.375)</f>
        <v>0.375</v>
      </c>
      <c r="DW7" s="207" t="str">
        <f>IFERROR(__xludf.DUMMYFUNCTION("IF(OR(DV7&gt;$BS7+$BT7*$BT$2,DV7&lt;$BS7-$BT7*$BT$2),AVEDEV(ARRAYFORMULA(XLOOKUP(FILTER(INDIRECT(""'""&amp;DV$1&amp;""'!$C$4:$C$66""),INDIRECT(""'""&amp;DV$1&amp;""'!$D$4:$D$66"")=DV$2),$G$4:$BQ$4,$G7:$BQ7))),"""")"),"")</f>
        <v/>
      </c>
      <c r="DX7" s="208" t="str">
        <f t="shared" si="24"/>
        <v/>
      </c>
      <c r="DY7" s="210">
        <f>IFERROR(__xludf.DUMMYFUNCTION("AVERAGE(ARRAYFORMULA(XLOOKUP(FILTER(INDIRECT(""'""&amp;DY$1&amp;""'!$C$4:$C$66""),INDIRECT(""'""&amp;DY$1&amp;""'!$D$4:$D$66"")=DY$2),$G$4:$BQ$4,$G7:$BQ7)))"),-0.2777777777777778)</f>
        <v>-0.2777777778</v>
      </c>
      <c r="DZ7" s="207" t="str">
        <f>IFERROR(__xludf.DUMMYFUNCTION("IF(OR(DY7&gt;$BS7+$BT7*$BT$2,DY7&lt;$BS7-$BT7*$BT$2),AVEDEV(ARRAYFORMULA(XLOOKUP(FILTER(INDIRECT(""'""&amp;DY$1&amp;""'!$C$4:$C$66""),INDIRECT(""'""&amp;DY$1&amp;""'!$D$4:$D$66"")=DY$2),$G$4:$BQ$4,$G7:$BQ7))),"""")"),"")</f>
        <v/>
      </c>
      <c r="EA7" s="208" t="str">
        <f t="shared" si="25"/>
        <v/>
      </c>
      <c r="EB7" s="191"/>
    </row>
    <row r="8" outlineLevel="1">
      <c r="A8" s="2"/>
      <c r="B8" s="204">
        <v>4.0</v>
      </c>
      <c r="C8" s="204" t="s">
        <v>442</v>
      </c>
      <c r="D8" s="204" t="s">
        <v>447</v>
      </c>
      <c r="E8" s="205" t="b">
        <f>VLOOKUP(D8,'Feature Set List'!A4:C246,2,0)</f>
        <v>1</v>
      </c>
      <c r="F8" s="205" t="b">
        <f>VLOOKUP(D8,'Feature Set List'!A4:C246,3,0)</f>
        <v>1</v>
      </c>
      <c r="G8" s="205">
        <v>0.0</v>
      </c>
      <c r="H8" s="205">
        <v>-1.0</v>
      </c>
      <c r="I8" s="205">
        <v>0.0</v>
      </c>
      <c r="J8" s="205">
        <v>-1.0</v>
      </c>
      <c r="K8" s="205">
        <v>-1.0</v>
      </c>
      <c r="L8" s="205">
        <v>0.0</v>
      </c>
      <c r="M8" s="205">
        <v>0.0</v>
      </c>
      <c r="N8" s="205">
        <v>0.0</v>
      </c>
      <c r="O8" s="205">
        <v>0.0</v>
      </c>
      <c r="P8" s="205">
        <v>0.0</v>
      </c>
      <c r="Q8" s="205">
        <v>0.0</v>
      </c>
      <c r="R8" s="205">
        <v>1.0</v>
      </c>
      <c r="S8" s="205">
        <v>1.0</v>
      </c>
      <c r="T8" s="205">
        <v>-1.0</v>
      </c>
      <c r="U8" s="205">
        <v>1.0</v>
      </c>
      <c r="V8" s="205">
        <v>-1.0</v>
      </c>
      <c r="W8" s="205">
        <v>0.0</v>
      </c>
      <c r="X8" s="205">
        <v>1.0</v>
      </c>
      <c r="Y8" s="205">
        <v>-1.0</v>
      </c>
      <c r="Z8" s="205">
        <v>1.0</v>
      </c>
      <c r="AA8" s="205">
        <v>0.0</v>
      </c>
      <c r="AB8" s="205">
        <v>1.0</v>
      </c>
      <c r="AC8" s="205">
        <v>0.0</v>
      </c>
      <c r="AD8" s="205">
        <v>0.0</v>
      </c>
      <c r="AE8" s="205">
        <v>0.0</v>
      </c>
      <c r="AF8" s="205">
        <v>-1.0</v>
      </c>
      <c r="AG8" s="205">
        <v>-1.0</v>
      </c>
      <c r="AH8" s="205">
        <v>-1.0</v>
      </c>
      <c r="AI8" s="205">
        <v>-1.0</v>
      </c>
      <c r="AJ8" s="205">
        <v>-1.0</v>
      </c>
      <c r="AK8" s="205">
        <v>0.0</v>
      </c>
      <c r="AL8" s="205">
        <v>-1.0</v>
      </c>
      <c r="AM8" s="205">
        <v>0.0</v>
      </c>
      <c r="AN8" s="205">
        <v>0.0</v>
      </c>
      <c r="AO8" s="205">
        <v>-1.0</v>
      </c>
      <c r="AP8" s="205">
        <v>0.0</v>
      </c>
      <c r="AQ8" s="205">
        <v>0.0</v>
      </c>
      <c r="AR8" s="205">
        <v>-1.0</v>
      </c>
      <c r="AS8" s="205">
        <v>0.0</v>
      </c>
      <c r="AT8" s="205">
        <v>-1.0</v>
      </c>
      <c r="AU8" s="205">
        <v>1.0</v>
      </c>
      <c r="AV8" s="205">
        <v>0.0</v>
      </c>
      <c r="AW8" s="205">
        <v>0.0</v>
      </c>
      <c r="AX8" s="205">
        <v>1.0</v>
      </c>
      <c r="AY8" s="205">
        <v>1.0</v>
      </c>
      <c r="AZ8" s="205">
        <v>1.0</v>
      </c>
      <c r="BA8" s="205">
        <v>0.0</v>
      </c>
      <c r="BB8" s="205">
        <v>0.0</v>
      </c>
      <c r="BC8" s="205">
        <v>0.0</v>
      </c>
      <c r="BD8" s="205">
        <v>-1.0</v>
      </c>
      <c r="BE8" s="205">
        <v>0.0</v>
      </c>
      <c r="BF8" s="205">
        <v>-1.0</v>
      </c>
      <c r="BG8" s="205">
        <v>0.0</v>
      </c>
      <c r="BH8" s="205">
        <v>0.0</v>
      </c>
      <c r="BI8" s="205">
        <v>0.0</v>
      </c>
      <c r="BJ8" s="205">
        <v>0.0</v>
      </c>
      <c r="BK8" s="205">
        <v>-1.0</v>
      </c>
      <c r="BL8" s="205">
        <v>0.0</v>
      </c>
      <c r="BM8" s="205">
        <v>1.0</v>
      </c>
      <c r="BN8" s="205">
        <v>0.0</v>
      </c>
      <c r="BO8" s="205">
        <v>1.0</v>
      </c>
      <c r="BP8" s="205">
        <v>0.0</v>
      </c>
      <c r="BQ8" s="205">
        <v>0.0</v>
      </c>
      <c r="BR8" s="206"/>
      <c r="BS8" s="207">
        <f t="shared" si="6"/>
        <v>-0.09523809524</v>
      </c>
      <c r="BT8" s="207">
        <f t="shared" si="7"/>
        <v>0.5170068027</v>
      </c>
      <c r="BU8" s="206"/>
      <c r="BV8" s="207">
        <f>IFERROR(__xludf.DUMMYFUNCTION("AVERAGE(ARRAYFORMULA(XLOOKUP(FILTER(INDIRECT(""'""&amp;BV$1&amp;""'!$C$4:$C$66""),INDIRECT(""'""&amp;BV$1&amp;""'!$D$4:$D$66"")=BV$2),$G$4:$BQ$4,$G8:$BQ8)))"),0.2857142857142857)</f>
        <v>0.2857142857</v>
      </c>
      <c r="BW8" s="207" t="str">
        <f>IFERROR(__xludf.DUMMYFUNCTION("IF(OR(BV8&gt;$BS8+$BT8*$BT$2,BV8&lt;$BS8-$BT8*$BT$2),AVEDEV(ARRAYFORMULA(XLOOKUP(FILTER(INDIRECT(""'""&amp;BV$1&amp;""'!$C$4:$C$66""),INDIRECT(""'""&amp;BV$1&amp;""'!$D$4:$D$66"")=BV$2),$G$4:$BQ$4,$G8:$BQ8))),"""")"),"")</f>
        <v/>
      </c>
      <c r="BX8" s="208" t="str">
        <f t="shared" si="8"/>
        <v/>
      </c>
      <c r="BY8" s="207">
        <f>IFERROR(__xludf.DUMMYFUNCTION("AVERAGE(ARRAYFORMULA(XLOOKUP(FILTER(INDIRECT(""'""&amp;BY$1&amp;""'!$C$4:$C$66""),INDIRECT(""'""&amp;BY$1&amp;""'!$D$4:$D$66"")=BY$2),$G$4:$BQ$4,$G8:$BQ8)))"),-0.16666666666666666)</f>
        <v>-0.1666666667</v>
      </c>
      <c r="BZ8" s="207" t="str">
        <f>IFERROR(__xludf.DUMMYFUNCTION("IF(OR(BY8&gt;$BS8+$BT8*$BT$2,BY8&lt;$BS8-$BT8*$BT$2),AVEDEV(ARRAYFORMULA(XLOOKUP(FILTER(INDIRECT(""'""&amp;BY$1&amp;""'!$C$4:$C$66""),INDIRECT(""'""&amp;BY$1&amp;""'!$D$4:$D$66"")=BY$2),$G$4:$BQ$4,$G8:$BQ8))),"""")"),"")</f>
        <v/>
      </c>
      <c r="CA8" s="208" t="str">
        <f t="shared" si="9"/>
        <v/>
      </c>
      <c r="CB8" s="207">
        <f>IFERROR(__xludf.DUMMYFUNCTION("AVERAGE(ARRAYFORMULA(XLOOKUP(FILTER(INDIRECT(""'""&amp;CB$1&amp;""'!$C$4:$C$66""),INDIRECT(""'""&amp;CB$1&amp;""'!$D$4:$D$66"")=CB$2),$G$4:$BQ$4,$G8:$BQ8)))"),-0.09090909090909091)</f>
        <v>-0.09090909091</v>
      </c>
      <c r="CC8" s="207" t="str">
        <f>IFERROR(__xludf.DUMMYFUNCTION("IF(OR(CB8&gt;$BS8+$BT8*$BT$2,CB8&lt;$BS8-$BT8*$BT$2),AVEDEV(ARRAYFORMULA(XLOOKUP(FILTER(INDIRECT(""'""&amp;CB$1&amp;""'!$C$4:$C$66""),INDIRECT(""'""&amp;CB$1&amp;""'!$D$4:$D$66"")=CB$2),$G$4:$BQ$4,$G8:$BQ8))),"""")"),"")</f>
        <v/>
      </c>
      <c r="CD8" s="208" t="str">
        <f t="shared" si="10"/>
        <v/>
      </c>
      <c r="CE8" s="209" t="s">
        <v>444</v>
      </c>
      <c r="CF8" s="207">
        <f>IFERROR(__xludf.DUMMYFUNCTION("AVERAGE(ARRAYFORMULA(XLOOKUP(FILTER(INDIRECT(""'""&amp;CF$1&amp;""'!$C$4:$C$66""),INDIRECT(""'""&amp;CF$1&amp;""'!$D$4:$D$66"")=CF$2),$G$4:$BQ$4,$G8:$BQ8)))"),-0.4375)</f>
        <v>-0.4375</v>
      </c>
      <c r="CG8" s="207" t="str">
        <f>IFERROR(__xludf.DUMMYFUNCTION("IF(OR(CF8&gt;$BS8+$BT8*$BT$2,CF8&lt;$BS8-$BT8*$BT$2),AVEDEV(ARRAYFORMULA(XLOOKUP(FILTER(INDIRECT(""'""&amp;CF$1&amp;""'!$C$4:$C$66""),INDIRECT(""'""&amp;CF$1&amp;""'!$D$4:$D$66"")=CF$2),$G$4:$BQ$4,$G8:$BQ8))),"""")"),"")</f>
        <v/>
      </c>
      <c r="CH8" s="208" t="str">
        <f t="shared" si="11"/>
        <v/>
      </c>
      <c r="CI8" s="207">
        <f>IFERROR(__xludf.DUMMYFUNCTION("AVERAGE(ARRAYFORMULA(XLOOKUP(FILTER(INDIRECT(""'""&amp;CI$1&amp;""'!$C$4:$C$66""),INDIRECT(""'""&amp;CI$1&amp;""'!$D$4:$D$66"")=CI$2),$G$4:$BQ$4,$G8:$BQ8)))"),0.0)</f>
        <v>0</v>
      </c>
      <c r="CJ8" s="207" t="str">
        <f>IFERROR(__xludf.DUMMYFUNCTION("IF(OR(CI8&gt;$BS8+$BT8*$BT$2,CI8&lt;$BS8-$BT8*$BT$2),AVEDEV(ARRAYFORMULA(XLOOKUP(FILTER(INDIRECT(""'""&amp;CI$1&amp;""'!$C$4:$C$66""),INDIRECT(""'""&amp;CI$1&amp;""'!$D$4:$D$66"")=CI$2),$G$4:$BQ$4,$G8:$BQ8))),"""")"),"")</f>
        <v/>
      </c>
      <c r="CK8" s="208" t="str">
        <f t="shared" si="12"/>
        <v/>
      </c>
      <c r="CL8" s="207">
        <f>IFERROR(__xludf.DUMMYFUNCTION("AVERAGE(ARRAYFORMULA(XLOOKUP(FILTER(INDIRECT(""'""&amp;CL$1&amp;""'!$C$4:$C$66""),INDIRECT(""'""&amp;CL$1&amp;""'!$D$4:$D$66"")=CL$2),$G$4:$BQ$4,$G8:$BQ8)))"),-0.2)</f>
        <v>-0.2</v>
      </c>
      <c r="CM8" s="207" t="str">
        <f>IFERROR(__xludf.DUMMYFUNCTION("IF(OR(CL8&gt;$BS8+$BT8*$BT$2,CL8&lt;$BS8-$BT8*$BT$2),AVEDEV(ARRAYFORMULA(XLOOKUP(FILTER(INDIRECT(""'""&amp;CL$1&amp;""'!$C$4:$C$66""),INDIRECT(""'""&amp;CL$1&amp;""'!$D$4:$D$66"")=CL$2),$G$4:$BQ$4,$G8:$BQ8))),"""")"),"")</f>
        <v/>
      </c>
      <c r="CN8" s="208" t="str">
        <f t="shared" si="13"/>
        <v/>
      </c>
      <c r="CO8" s="209" t="s">
        <v>444</v>
      </c>
      <c r="CP8" s="210">
        <f>IFERROR(__xludf.DUMMYFUNCTION("AVERAGE(ARRAYFORMULA(XLOOKUP(FILTER(INDIRECT(""'""&amp;CP$1&amp;""'!$C$4:$C$66""),INDIRECT(""'""&amp;CP$1&amp;""'!$D$4:$D$66"")=CP$2),$G$4:$BQ$4,$G8:$BQ8)))"),0.13333333333333333)</f>
        <v>0.1333333333</v>
      </c>
      <c r="CQ8" s="207" t="str">
        <f>IFERROR(__xludf.DUMMYFUNCTION("IF(OR(CP8&gt;$BS8+$BT8*$BT$2,CP8&lt;$BS8-$BT8*$BT$2),AVEDEV(ARRAYFORMULA(XLOOKUP(FILTER(INDIRECT(""'""&amp;CP$1&amp;""'!$C$4:$C$66""),INDIRECT(""'""&amp;CP$1&amp;""'!$D$4:$D$66"")=CP$2),$G$4:$BQ$4,$G8:$BQ8))),"""")"),"")</f>
        <v/>
      </c>
      <c r="CR8" s="208" t="str">
        <f t="shared" si="14"/>
        <v/>
      </c>
      <c r="CS8" s="210">
        <f>IFERROR(__xludf.DUMMYFUNCTION("AVERAGE(ARRAYFORMULA(XLOOKUP(FILTER(INDIRECT(""'""&amp;CS$1&amp;""'!$C$4:$C$66""),INDIRECT(""'""&amp;CS$1&amp;""'!$D$4:$D$66"")=CS$2),$G$4:$BQ$4,$G8:$BQ8)))"),-0.1794871794871795)</f>
        <v>-0.1794871795</v>
      </c>
      <c r="CT8" s="207" t="str">
        <f>IFERROR(__xludf.DUMMYFUNCTION("IF(OR(CS8&gt;$BS8+$BT8*$BT$2,CS8&lt;$BS8-$BT8*$BT$2),AVEDEV(ARRAYFORMULA(XLOOKUP(FILTER(INDIRECT(""'""&amp;CS$1&amp;""'!$C$4:$C$66""),INDIRECT(""'""&amp;CS$1&amp;""'!$D$4:$D$66"")=CS$2),$G$4:$BQ$4,$G8:$BQ8))),"""")"),"")</f>
        <v/>
      </c>
      <c r="CU8" s="208" t="str">
        <f t="shared" si="15"/>
        <v/>
      </c>
      <c r="CV8" s="210">
        <f>IFERROR(__xludf.DUMMYFUNCTION("AVERAGE(ARRAYFORMULA(XLOOKUP(FILTER(INDIRECT(""'""&amp;CV$1&amp;""'!$C$4:$C$66""),INDIRECT(""'""&amp;CV$1&amp;""'!$D$4:$D$66"")=CV$2),$G$4:$BQ$4,$G8:$BQ8)))"),-0.2)</f>
        <v>-0.2</v>
      </c>
      <c r="CW8" s="207" t="str">
        <f>IFERROR(__xludf.DUMMYFUNCTION("IF(OR(CV8&gt;$BS8+$BT8*$BT$2,CV8&lt;$BS8-$BT8*$BT$2),AVEDEV(ARRAYFORMULA(XLOOKUP(FILTER(INDIRECT(""'""&amp;CV$1&amp;""'!$C$4:$C$66""),INDIRECT(""'""&amp;CV$1&amp;""'!$D$4:$D$66"")=CV$2),$G$4:$BQ$4,$G8:$BQ8))),"""")"),"")</f>
        <v/>
      </c>
      <c r="CX8" s="208" t="str">
        <f t="shared" si="16"/>
        <v/>
      </c>
      <c r="CY8" s="209" t="s">
        <v>444</v>
      </c>
      <c r="CZ8" s="210">
        <f>IFERROR(__xludf.DUMMYFUNCTION("AVERAGE(ARRAYFORMULA(XLOOKUP(FILTER(INDIRECT(""'""&amp;CZ$1&amp;""'!$C$4:$C$66""),INDIRECT(""'""&amp;CZ$1&amp;""'!$D$4:$D$66"")=CZ$2),$G$4:$BQ$4,$G8:$BQ8)))"),-0.5714285714285714)</f>
        <v>-0.5714285714</v>
      </c>
      <c r="DA8" s="207" t="str">
        <f>IFERROR(__xludf.DUMMYFUNCTION("IF(OR(CZ8&gt;$BS8+$BT8*$BT$2,CZ8&lt;$BS8-$BT8*$BT$2),AVEDEV(ARRAYFORMULA(XLOOKUP(FILTER(INDIRECT(""'""&amp;CZ$1&amp;""'!$C$4:$C$66""),INDIRECT(""'""&amp;CZ$1&amp;""'!$D$4:$D$66"")=CZ$2),$G$4:$BQ$4,$G8:$BQ8))),"""")"),"")</f>
        <v/>
      </c>
      <c r="DB8" s="208" t="str">
        <f t="shared" si="17"/>
        <v/>
      </c>
      <c r="DC8" s="210">
        <f>IFERROR(__xludf.DUMMYFUNCTION("AVERAGE(ARRAYFORMULA(XLOOKUP(FILTER(INDIRECT(""'""&amp;DC$1&amp;""'!$C$4:$C$66""),INDIRECT(""'""&amp;DC$1&amp;""'!$D$4:$D$66"")=DC$2),$G$4:$BQ$4,$G8:$BQ8)))"),-0.3333333333333333)</f>
        <v>-0.3333333333</v>
      </c>
      <c r="DD8" s="207" t="str">
        <f>IFERROR(__xludf.DUMMYFUNCTION("IF(OR(DC8&gt;$BS8+$BT8*$BT$2,DC8&lt;$BS8-$BT8*$BT$2),AVEDEV(ARRAYFORMULA(XLOOKUP(FILTER(INDIRECT(""'""&amp;DC$1&amp;""'!$C$4:$C$66""),INDIRECT(""'""&amp;DC$1&amp;""'!$D$4:$D$66"")=DC$2),$G$4:$BQ$4,$G8:$BQ8))),"""")"),"")</f>
        <v/>
      </c>
      <c r="DE8" s="208" t="str">
        <f t="shared" si="18"/>
        <v/>
      </c>
      <c r="DF8" s="210">
        <f>IFERROR(__xludf.DUMMYFUNCTION("AVERAGE(ARRAYFORMULA(XLOOKUP(FILTER(INDIRECT(""'""&amp;DF$1&amp;""'!$C$4:$C$66""),INDIRECT(""'""&amp;DF$1&amp;""'!$D$4:$D$66"")=DF$2),$G$4:$BQ$4,$G8:$BQ8)))"),0.18181818181818182)</f>
        <v>0.1818181818</v>
      </c>
      <c r="DG8" s="207" t="str">
        <f>IFERROR(__xludf.DUMMYFUNCTION("IF(OR(DF8&gt;$BS8+$BT8*$BT$2,DF8&lt;$BS8-$BT8*$BT$2),AVEDEV(ARRAYFORMULA(XLOOKUP(FILTER(INDIRECT(""'""&amp;DF$1&amp;""'!$C$4:$C$66""),INDIRECT(""'""&amp;DF$1&amp;""'!$D$4:$D$66"")=DF$2),$G$4:$BQ$4,$G8:$BQ8))),"""")"),"")</f>
        <v/>
      </c>
      <c r="DH8" s="208" t="str">
        <f t="shared" si="19"/>
        <v/>
      </c>
      <c r="DI8" s="210">
        <f>IFERROR(__xludf.DUMMYFUNCTION("AVERAGE(ARRAYFORMULA(XLOOKUP(FILTER(INDIRECT(""'""&amp;DI$1&amp;""'!$C$4:$C$66""),INDIRECT(""'""&amp;DI$1&amp;""'!$D$4:$D$66"")=DI$2),$G$4:$BQ$4,$G8:$BQ8)))"),0.0)</f>
        <v>0</v>
      </c>
      <c r="DJ8" s="207" t="str">
        <f>IFERROR(__xludf.DUMMYFUNCTION("IF(OR(DI8&gt;$BS8+$BT8*$BT$2,DI8&lt;$BS8-$BT8*$BT$2),AVEDEV(ARRAYFORMULA(XLOOKUP(FILTER(INDIRECT(""'""&amp;DI$1&amp;""'!$C$4:$C$66""),INDIRECT(""'""&amp;DI$1&amp;""'!$D$4:$D$66"")=DI$2),$G$4:$BQ$4,$G8:$BQ8))),"""")"),"")</f>
        <v/>
      </c>
      <c r="DK8" s="208" t="str">
        <f t="shared" si="20"/>
        <v/>
      </c>
      <c r="DL8" s="210">
        <f>IFERROR(__xludf.DUMMYFUNCTION("AVERAGE(ARRAYFORMULA(XLOOKUP(FILTER(INDIRECT(""'""&amp;DL$1&amp;""'!$C$4:$C$66""),INDIRECT(""'""&amp;DL$1&amp;""'!$D$4:$D$66"")=DL$2),$G$4:$BQ$4,$G8:$BQ8)))"),0.07142857142857142)</f>
        <v>0.07142857143</v>
      </c>
      <c r="DM8" s="207" t="str">
        <f>IFERROR(__xludf.DUMMYFUNCTION("IF(OR(DL8&gt;$BS8+$BT8*$BT$2,DL8&lt;$BS8-$BT8*$BT$2),AVEDEV(ARRAYFORMULA(XLOOKUP(FILTER(INDIRECT(""'""&amp;DL$1&amp;""'!$C$4:$C$66""),INDIRECT(""'""&amp;DL$1&amp;""'!$D$4:$D$66"")=DL$2),$G$4:$BQ$4,$G8:$BQ8))),"""")"),"")</f>
        <v/>
      </c>
      <c r="DN8" s="208" t="str">
        <f t="shared" si="21"/>
        <v/>
      </c>
      <c r="DO8" s="209" t="s">
        <v>444</v>
      </c>
      <c r="DP8" s="210">
        <f>IFERROR(__xludf.DUMMYFUNCTION("AVERAGE(ARRAYFORMULA(XLOOKUP(FILTER(INDIRECT(""'""&amp;DP$1&amp;""'!$C$4:$C$66""),INDIRECT(""'""&amp;DP$1&amp;""'!$D$4:$D$66"")=DP$2),$G$4:$BQ$4,$G8:$BQ8)))"),-0.26666666666666666)</f>
        <v>-0.2666666667</v>
      </c>
      <c r="DQ8" s="207" t="str">
        <f>IFERROR(__xludf.DUMMYFUNCTION("IF(OR(DP8&gt;$BS8+$BT8*$BT$2,DP8&lt;$BS8-$BT8*$BT$2),AVEDEV(ARRAYFORMULA(XLOOKUP(FILTER(INDIRECT(""'""&amp;DP$1&amp;""'!$C$4:$C$66""),INDIRECT(""'""&amp;DP$1&amp;""'!$D$4:$D$66"")=DP$2),$G$4:$BQ$4,$G8:$BQ8))),"""")"),"")</f>
        <v/>
      </c>
      <c r="DR8" s="208" t="str">
        <f t="shared" si="22"/>
        <v/>
      </c>
      <c r="DS8" s="210">
        <f>IFERROR(__xludf.DUMMYFUNCTION("AVERAGE(ARRAYFORMULA(XLOOKUP(FILTER(INDIRECT(""'""&amp;DS$1&amp;""'!$C$4:$C$66""),INDIRECT(""'""&amp;DS$1&amp;""'!$D$4:$D$66"")=DS$2),$G$4:$BQ$4,$G8:$BQ8)))"),0.0)</f>
        <v>0</v>
      </c>
      <c r="DT8" s="207" t="str">
        <f>IFERROR(__xludf.DUMMYFUNCTION("IF(OR(DS8&gt;$BS8+$BT8*$BT$2,DS8&lt;$BS8-$BT8*$BT$2),AVEDEV(ARRAYFORMULA(XLOOKUP(FILTER(INDIRECT(""'""&amp;DS$1&amp;""'!$C$4:$C$66""),INDIRECT(""'""&amp;DS$1&amp;""'!$D$4:$D$66"")=DS$2),$G$4:$BQ$4,$G8:$BQ8))),"""")"),"")</f>
        <v/>
      </c>
      <c r="DU8" s="208" t="str">
        <f t="shared" si="23"/>
        <v/>
      </c>
      <c r="DV8" s="210">
        <f>IFERROR(__xludf.DUMMYFUNCTION("AVERAGE(ARRAYFORMULA(XLOOKUP(FILTER(INDIRECT(""'""&amp;DV$1&amp;""'!$C$4:$C$66""),INDIRECT(""'""&amp;DV$1&amp;""'!$D$4:$D$66"")=DV$2),$G$4:$BQ$4,$G8:$BQ8)))"),0.5)</f>
        <v>0.5</v>
      </c>
      <c r="DW8" s="207">
        <f>IFERROR(__xludf.DUMMYFUNCTION("IF(OR(DV8&gt;$BS8+$BT8*$BT$2,DV8&lt;$BS8-$BT8*$BT$2),AVEDEV(ARRAYFORMULA(XLOOKUP(FILTER(INDIRECT(""'""&amp;DV$1&amp;""'!$C$4:$C$66""),INDIRECT(""'""&amp;DV$1&amp;""'!$D$4:$D$66"")=DV$2),$G$4:$BQ$4,$G8:$BQ8))),"""")"),0.625)</f>
        <v>0.625</v>
      </c>
      <c r="DX8" s="208">
        <f t="shared" si="24"/>
        <v>0.07823129252</v>
      </c>
      <c r="DY8" s="210">
        <f>IFERROR(__xludf.DUMMYFUNCTION("AVERAGE(ARRAYFORMULA(XLOOKUP(FILTER(INDIRECT(""'""&amp;DY$1&amp;""'!$C$4:$C$66""),INDIRECT(""'""&amp;DY$1&amp;""'!$D$4:$D$66"")=DY$2),$G$4:$BQ$4,$G8:$BQ8)))"),-0.1111111111111111)</f>
        <v>-0.1111111111</v>
      </c>
      <c r="DZ8" s="207" t="str">
        <f>IFERROR(__xludf.DUMMYFUNCTION("IF(OR(DY8&gt;$BS8+$BT8*$BT$2,DY8&lt;$BS8-$BT8*$BT$2),AVEDEV(ARRAYFORMULA(XLOOKUP(FILTER(INDIRECT(""'""&amp;DY$1&amp;""'!$C$4:$C$66""),INDIRECT(""'""&amp;DY$1&amp;""'!$D$4:$D$66"")=DY$2),$G$4:$BQ$4,$G8:$BQ8))),"""")"),"")</f>
        <v/>
      </c>
      <c r="EA8" s="208" t="str">
        <f t="shared" si="25"/>
        <v/>
      </c>
      <c r="EB8" s="191"/>
    </row>
    <row r="9" outlineLevel="1">
      <c r="A9" s="2"/>
      <c r="B9" s="204">
        <v>5.0</v>
      </c>
      <c r="C9" s="204" t="s">
        <v>442</v>
      </c>
      <c r="D9" s="204" t="s">
        <v>448</v>
      </c>
      <c r="E9" s="205" t="b">
        <f>VLOOKUP(D9,'Feature Set List'!A5:C246,2,0)</f>
        <v>1</v>
      </c>
      <c r="F9" s="205" t="b">
        <f>VLOOKUP(D9,'Feature Set List'!A5:C246,3,0)</f>
        <v>1</v>
      </c>
      <c r="G9" s="205">
        <v>-0.4615385</v>
      </c>
      <c r="H9" s="205">
        <v>1.0</v>
      </c>
      <c r="I9" s="205">
        <v>1.07692308</v>
      </c>
      <c r="J9" s="205">
        <v>0.61538462</v>
      </c>
      <c r="K9" s="205">
        <v>3.61538462</v>
      </c>
      <c r="L9" s="205">
        <v>-0.3076923</v>
      </c>
      <c r="M9" s="205">
        <v>-0.9230769</v>
      </c>
      <c r="N9" s="205">
        <v>2.92307692</v>
      </c>
      <c r="O9" s="205">
        <v>-0.3076923</v>
      </c>
      <c r="P9" s="205">
        <v>-0.4615385</v>
      </c>
      <c r="Q9" s="205">
        <v>-0.6153846</v>
      </c>
      <c r="R9" s="205">
        <v>-1.3846154</v>
      </c>
      <c r="S9" s="205">
        <v>0.69230769</v>
      </c>
      <c r="T9" s="205">
        <v>0.30769231</v>
      </c>
      <c r="U9" s="205">
        <v>-1.0</v>
      </c>
      <c r="V9" s="205">
        <v>-0.0769231</v>
      </c>
      <c r="W9" s="205">
        <v>0.76923077</v>
      </c>
      <c r="X9" s="205">
        <v>0.30769231</v>
      </c>
      <c r="Y9" s="205">
        <v>0.61538462</v>
      </c>
      <c r="Z9" s="205">
        <v>-0.3076923</v>
      </c>
      <c r="AA9" s="205">
        <v>0.23076923</v>
      </c>
      <c r="AB9" s="205">
        <v>-0.0769231</v>
      </c>
      <c r="AC9" s="205">
        <v>1.53846154</v>
      </c>
      <c r="AD9" s="205">
        <v>-0.4615385</v>
      </c>
      <c r="AE9" s="205">
        <v>0.61538462</v>
      </c>
      <c r="AF9" s="205">
        <v>-0.0769231</v>
      </c>
      <c r="AG9" s="205">
        <v>1.76923077</v>
      </c>
      <c r="AH9" s="205">
        <v>0.15384615</v>
      </c>
      <c r="AI9" s="205">
        <v>-0.6153846</v>
      </c>
      <c r="AJ9" s="205">
        <v>0.30769231</v>
      </c>
      <c r="AK9" s="205">
        <v>-0.3076923</v>
      </c>
      <c r="AL9" s="205">
        <v>0.07692308</v>
      </c>
      <c r="AM9" s="205">
        <v>0.23076923</v>
      </c>
      <c r="AN9" s="205">
        <v>-0.7692308</v>
      </c>
      <c r="AO9" s="205">
        <v>-0.2307692</v>
      </c>
      <c r="AP9" s="205">
        <v>-0.4615385</v>
      </c>
      <c r="AQ9" s="205">
        <v>0.07692308</v>
      </c>
      <c r="AR9" s="205">
        <v>-0.2307692</v>
      </c>
      <c r="AS9" s="205">
        <v>0.15384615</v>
      </c>
      <c r="AT9" s="205">
        <v>0.53846154</v>
      </c>
      <c r="AU9" s="205">
        <v>-0.8461538</v>
      </c>
      <c r="AV9" s="205">
        <v>0.23076923</v>
      </c>
      <c r="AW9" s="205">
        <v>-0.3076923</v>
      </c>
      <c r="AX9" s="205">
        <v>0.46153846</v>
      </c>
      <c r="AY9" s="205">
        <v>-0.3076923</v>
      </c>
      <c r="AZ9" s="205">
        <v>-0.1538462</v>
      </c>
      <c r="BA9" s="205">
        <v>-0.6153846</v>
      </c>
      <c r="BB9" s="205">
        <v>0.61538462</v>
      </c>
      <c r="BC9" s="205">
        <v>0.0</v>
      </c>
      <c r="BD9" s="205">
        <v>0.84615385</v>
      </c>
      <c r="BE9" s="205">
        <v>1.92307692</v>
      </c>
      <c r="BF9" s="205">
        <v>0.0</v>
      </c>
      <c r="BG9" s="205">
        <v>1.92307692</v>
      </c>
      <c r="BH9" s="205">
        <v>-0.4615385</v>
      </c>
      <c r="BI9" s="205">
        <v>1.23076923</v>
      </c>
      <c r="BJ9" s="205">
        <v>-0.0769231</v>
      </c>
      <c r="BK9" s="205">
        <v>-0.4615385</v>
      </c>
      <c r="BL9" s="205">
        <v>-0.7692308</v>
      </c>
      <c r="BM9" s="205">
        <v>-0.3076923</v>
      </c>
      <c r="BN9" s="205">
        <v>0.84615385</v>
      </c>
      <c r="BO9" s="205">
        <v>-0.3076923</v>
      </c>
      <c r="BP9" s="205">
        <v>0.30769231</v>
      </c>
      <c r="BQ9" s="205">
        <v>-0.6923077</v>
      </c>
      <c r="BR9" s="206"/>
      <c r="BS9" s="207">
        <f t="shared" si="6"/>
        <v>0.1843711814</v>
      </c>
      <c r="BT9" s="207">
        <f t="shared" si="7"/>
        <v>0.6585654239</v>
      </c>
      <c r="BU9" s="206"/>
      <c r="BV9" s="207">
        <f>IFERROR(__xludf.DUMMYFUNCTION("AVERAGE(ARRAYFORMULA(XLOOKUP(FILTER(INDIRECT(""'""&amp;BV$1&amp;""'!$C$4:$C$66""),INDIRECT(""'""&amp;BV$1&amp;""'!$D$4:$D$66"")=BV$2),$G$4:$BQ$4,$G9:$BQ9)))"),0.07692307857142855)</f>
        <v>0.07692307857</v>
      </c>
      <c r="BW9" s="207" t="str">
        <f>IFERROR(__xludf.DUMMYFUNCTION("IF(OR(BV9&gt;$BS9+$BT9*$BT$2,BV9&lt;$BS9-$BT9*$BT$2),AVEDEV(ARRAYFORMULA(XLOOKUP(FILTER(INDIRECT(""'""&amp;BV$1&amp;""'!$C$4:$C$66""),INDIRECT(""'""&amp;BV$1&amp;""'!$D$4:$D$66"")=BV$2),$G$4:$BQ$4,$G9:$BQ9))),"""")"),"")</f>
        <v/>
      </c>
      <c r="BX9" s="208" t="str">
        <f t="shared" si="8"/>
        <v/>
      </c>
      <c r="BY9" s="207">
        <f>IFERROR(__xludf.DUMMYFUNCTION("AVERAGE(ARRAYFORMULA(XLOOKUP(FILTER(INDIRECT(""'""&amp;BY$1&amp;""'!$C$4:$C$66""),INDIRECT(""'""&amp;BY$1&amp;""'!$D$4:$D$66"")=BY$2),$G$4:$BQ$4,$G9:$BQ9)))"),0.27655677261904765)</f>
        <v>0.2765567726</v>
      </c>
      <c r="BZ9" s="207" t="str">
        <f>IFERROR(__xludf.DUMMYFUNCTION("IF(OR(BY9&gt;$BS9+$BT9*$BT$2,BY9&lt;$BS9-$BT9*$BT$2),AVEDEV(ARRAYFORMULA(XLOOKUP(FILTER(INDIRECT(""'""&amp;BY$1&amp;""'!$C$4:$C$66""),INDIRECT(""'""&amp;BY$1&amp;""'!$D$4:$D$66"")=BY$2),$G$4:$BQ$4,$G9:$BQ9))),"""")"),"")</f>
        <v/>
      </c>
      <c r="CA9" s="208" t="str">
        <f t="shared" si="9"/>
        <v/>
      </c>
      <c r="CB9" s="207">
        <f>IFERROR(__xludf.DUMMYFUNCTION("AVERAGE(ARRAYFORMULA(XLOOKUP(FILTER(INDIRECT(""'""&amp;CB$1&amp;""'!$C$4:$C$66""),INDIRECT(""'""&amp;CB$1&amp;""'!$D$4:$D$66"")=CB$2),$G$4:$BQ$4,$G9:$BQ9)))"),-0.14685315454545453)</f>
        <v>-0.1468531545</v>
      </c>
      <c r="CC9" s="207" t="str">
        <f>IFERROR(__xludf.DUMMYFUNCTION("IF(OR(CB9&gt;$BS9+$BT9*$BT$2,CB9&lt;$BS9-$BT9*$BT$2),AVEDEV(ARRAYFORMULA(XLOOKUP(FILTER(INDIRECT(""'""&amp;CB$1&amp;""'!$C$4:$C$66""),INDIRECT(""'""&amp;CB$1&amp;""'!$D$4:$D$66"")=CB$2),$G$4:$BQ$4,$G9:$BQ9))),"""")"),"")</f>
        <v/>
      </c>
      <c r="CD9" s="208" t="str">
        <f t="shared" si="10"/>
        <v/>
      </c>
      <c r="CE9" s="209" t="s">
        <v>444</v>
      </c>
      <c r="CF9" s="207">
        <f>IFERROR(__xludf.DUMMYFUNCTION("AVERAGE(ARRAYFORMULA(XLOOKUP(FILTER(INDIRECT(""'""&amp;CF$1&amp;""'!$C$4:$C$66""),INDIRECT(""'""&amp;CF$1&amp;""'!$D$4:$D$66"")=CF$2),$G$4:$BQ$4,$G9:$BQ9)))"),0.5624999993750001)</f>
        <v>0.5624999994</v>
      </c>
      <c r="CG9" s="207" t="str">
        <f>IFERROR(__xludf.DUMMYFUNCTION("IF(OR(CF9&gt;$BS9+$BT9*$BT$2,CF9&lt;$BS9-$BT9*$BT$2),AVEDEV(ARRAYFORMULA(XLOOKUP(FILTER(INDIRECT(""'""&amp;CF$1&amp;""'!$C$4:$C$66""),INDIRECT(""'""&amp;CF$1&amp;""'!$D$4:$D$66"")=CF$2),$G$4:$BQ$4,$G9:$BQ9))),"""")"),"")</f>
        <v/>
      </c>
      <c r="CH9" s="208" t="str">
        <f t="shared" si="11"/>
        <v/>
      </c>
      <c r="CI9" s="207">
        <f>IFERROR(__xludf.DUMMYFUNCTION("AVERAGE(ARRAYFORMULA(XLOOKUP(FILTER(INDIRECT(""'""&amp;CI$1&amp;""'!$C$4:$C$66""),INDIRECT(""'""&amp;CI$1&amp;""'!$D$4:$D$66"")=CI$2),$G$4:$BQ$4,$G9:$BQ9)))"),0.05707195354838709)</f>
        <v>0.05707195355</v>
      </c>
      <c r="CJ9" s="207" t="str">
        <f>IFERROR(__xludf.DUMMYFUNCTION("IF(OR(CI9&gt;$BS9+$BT9*$BT$2,CI9&lt;$BS9-$BT9*$BT$2),AVEDEV(ARRAYFORMULA(XLOOKUP(FILTER(INDIRECT(""'""&amp;CI$1&amp;""'!$C$4:$C$66""),INDIRECT(""'""&amp;CI$1&amp;""'!$D$4:$D$66"")=CI$2),$G$4:$BQ$4,$G9:$BQ9))),"""")"),"")</f>
        <v/>
      </c>
      <c r="CK9" s="208" t="str">
        <f t="shared" si="12"/>
        <v/>
      </c>
      <c r="CL9" s="207">
        <f>IFERROR(__xludf.DUMMYFUNCTION("AVERAGE(ARRAYFORMULA(XLOOKUP(FILTER(INDIRECT(""'""&amp;CL$1&amp;""'!$C$4:$C$66""),INDIRECT(""'""&amp;CL$1&amp;""'!$D$4:$D$66"")=CL$2),$G$4:$BQ$4,$G9:$BQ9)))"),0.26153845600000003)</f>
        <v>0.261538456</v>
      </c>
      <c r="CM9" s="207" t="str">
        <f>IFERROR(__xludf.DUMMYFUNCTION("IF(OR(CL9&gt;$BS9+$BT9*$BT$2,CL9&lt;$BS9-$BT9*$BT$2),AVEDEV(ARRAYFORMULA(XLOOKUP(FILTER(INDIRECT(""'""&amp;CL$1&amp;""'!$C$4:$C$66""),INDIRECT(""'""&amp;CL$1&amp;""'!$D$4:$D$66"")=CL$2),$G$4:$BQ$4,$G9:$BQ9))),"""")"),"")</f>
        <v/>
      </c>
      <c r="CN9" s="208" t="str">
        <f t="shared" si="13"/>
        <v/>
      </c>
      <c r="CO9" s="209" t="s">
        <v>444</v>
      </c>
      <c r="CP9" s="210">
        <f>IFERROR(__xludf.DUMMYFUNCTION("AVERAGE(ARRAYFORMULA(XLOOKUP(FILTER(INDIRECT(""'""&amp;CP$1&amp;""'!$C$4:$C$66""),INDIRECT(""'""&amp;CP$1&amp;""'!$D$4:$D$66"")=CP$2),$G$4:$BQ$4,$G9:$BQ9)))"),0.4871794846666668)</f>
        <v>0.4871794847</v>
      </c>
      <c r="CQ9" s="207" t="str">
        <f>IFERROR(__xludf.DUMMYFUNCTION("IF(OR(CP9&gt;$BS9+$BT9*$BT$2,CP9&lt;$BS9-$BT9*$BT$2),AVEDEV(ARRAYFORMULA(XLOOKUP(FILTER(INDIRECT(""'""&amp;CP$1&amp;""'!$C$4:$C$66""),INDIRECT(""'""&amp;CP$1&amp;""'!$D$4:$D$66"")=CP$2),$G$4:$BQ$4,$G9:$BQ9))),"""")"),"")</f>
        <v/>
      </c>
      <c r="CR9" s="208" t="str">
        <f t="shared" si="14"/>
        <v/>
      </c>
      <c r="CS9" s="210">
        <f>IFERROR(__xludf.DUMMYFUNCTION("AVERAGE(ARRAYFORMULA(XLOOKUP(FILTER(INDIRECT(""'""&amp;CS$1&amp;""'!$C$4:$C$66""),INDIRECT(""'""&amp;CS$1&amp;""'!$D$4:$D$66"")=CS$2),$G$4:$BQ$4,$G9:$BQ9)))"),0.06903352692307692)</f>
        <v>0.06903352692</v>
      </c>
      <c r="CT9" s="207" t="str">
        <f>IFERROR(__xludf.DUMMYFUNCTION("IF(OR(CS9&gt;$BS9+$BT9*$BT$2,CS9&lt;$BS9-$BT9*$BT$2),AVEDEV(ARRAYFORMULA(XLOOKUP(FILTER(INDIRECT(""'""&amp;CS$1&amp;""'!$C$4:$C$66""),INDIRECT(""'""&amp;CS$1&amp;""'!$D$4:$D$66"")=CS$2),$G$4:$BQ$4,$G9:$BQ9))),"""")"),"")</f>
        <v/>
      </c>
      <c r="CU9" s="208" t="str">
        <f t="shared" si="15"/>
        <v/>
      </c>
      <c r="CV9" s="210">
        <f>IFERROR(__xludf.DUMMYFUNCTION("AVERAGE(ARRAYFORMULA(XLOOKUP(FILTER(INDIRECT(""'""&amp;CV$1&amp;""'!$C$4:$C$66""),INDIRECT(""'""&amp;CV$1&amp;""'!$D$4:$D$66"")=CV$2),$G$4:$BQ$4,$G9:$BQ9)))"),0.26153845600000003)</f>
        <v>0.261538456</v>
      </c>
      <c r="CW9" s="207" t="str">
        <f>IFERROR(__xludf.DUMMYFUNCTION("IF(OR(CV9&gt;$BS9+$BT9*$BT$2,CV9&lt;$BS9-$BT9*$BT$2),AVEDEV(ARRAYFORMULA(XLOOKUP(FILTER(INDIRECT(""'""&amp;CV$1&amp;""'!$C$4:$C$66""),INDIRECT(""'""&amp;CV$1&amp;""'!$D$4:$D$66"")=CV$2),$G$4:$BQ$4,$G9:$BQ9))),"""")"),"")</f>
        <v/>
      </c>
      <c r="CX9" s="208" t="str">
        <f t="shared" si="16"/>
        <v/>
      </c>
      <c r="CY9" s="209" t="s">
        <v>444</v>
      </c>
      <c r="CZ9" s="210">
        <f>IFERROR(__xludf.DUMMYFUNCTION("AVERAGE(ARRAYFORMULA(XLOOKUP(FILTER(INDIRECT(""'""&amp;CZ$1&amp;""'!$C$4:$C$66""),INDIRECT(""'""&amp;CZ$1&amp;""'!$D$4:$D$66"")=CZ$2),$G$4:$BQ$4,$G9:$BQ9)))"),0.3461538421428572)</f>
        <v>0.3461538421</v>
      </c>
      <c r="DA9" s="207" t="str">
        <f>IFERROR(__xludf.DUMMYFUNCTION("IF(OR(CZ9&gt;$BS9+$BT9*$BT$2,CZ9&lt;$BS9-$BT9*$BT$2),AVEDEV(ARRAYFORMULA(XLOOKUP(FILTER(INDIRECT(""'""&amp;CZ$1&amp;""'!$C$4:$C$66""),INDIRECT(""'""&amp;CZ$1&amp;""'!$D$4:$D$66"")=CZ$2),$G$4:$BQ$4,$G9:$BQ9))),"""")"),"")</f>
        <v/>
      </c>
      <c r="DB9" s="208" t="str">
        <f t="shared" si="17"/>
        <v/>
      </c>
      <c r="DC9" s="210">
        <f>IFERROR(__xludf.DUMMYFUNCTION("AVERAGE(ARRAYFORMULA(XLOOKUP(FILTER(INDIRECT(""'""&amp;DC$1&amp;""'!$C$4:$C$66""),INDIRECT(""'""&amp;DC$1&amp;""'!$D$4:$D$66"")=DC$2),$G$4:$BQ$4,$G9:$BQ9)))"),-0.12820513333333328)</f>
        <v>-0.1282051333</v>
      </c>
      <c r="DD9" s="207" t="str">
        <f>IFERROR(__xludf.DUMMYFUNCTION("IF(OR(DC9&gt;$BS9+$BT9*$BT$2,DC9&lt;$BS9-$BT9*$BT$2),AVEDEV(ARRAYFORMULA(XLOOKUP(FILTER(INDIRECT(""'""&amp;DC$1&amp;""'!$C$4:$C$66""),INDIRECT(""'""&amp;DC$1&amp;""'!$D$4:$D$66"")=DC$2),$G$4:$BQ$4,$G9:$BQ9))),"""")"),"")</f>
        <v/>
      </c>
      <c r="DE9" s="208" t="str">
        <f t="shared" si="18"/>
        <v/>
      </c>
      <c r="DF9" s="210">
        <f>IFERROR(__xludf.DUMMYFUNCTION("AVERAGE(ARRAYFORMULA(XLOOKUP(FILTER(INDIRECT(""'""&amp;DF$1&amp;""'!$C$4:$C$66""),INDIRECT(""'""&amp;DF$1&amp;""'!$D$4:$D$66"")=DF$2),$G$4:$BQ$4,$G9:$BQ9)))"),0.45454544818181813)</f>
        <v>0.4545454482</v>
      </c>
      <c r="DG9" s="207" t="str">
        <f>IFERROR(__xludf.DUMMYFUNCTION("IF(OR(DF9&gt;$BS9+$BT9*$BT$2,DF9&lt;$BS9-$BT9*$BT$2),AVEDEV(ARRAYFORMULA(XLOOKUP(FILTER(INDIRECT(""'""&amp;DF$1&amp;""'!$C$4:$C$66""),INDIRECT(""'""&amp;DF$1&amp;""'!$D$4:$D$66"")=DF$2),$G$4:$BQ$4,$G9:$BQ9))),"""")"),"")</f>
        <v/>
      </c>
      <c r="DH9" s="208" t="str">
        <f t="shared" si="19"/>
        <v/>
      </c>
      <c r="DI9" s="210">
        <f>IFERROR(__xludf.DUMMYFUNCTION("AVERAGE(ARRAYFORMULA(XLOOKUP(FILTER(INDIRECT(""'""&amp;DI$1&amp;""'!$C$4:$C$66""),INDIRECT(""'""&amp;DI$1&amp;""'!$D$4:$D$66"")=DI$2),$G$4:$BQ$4,$G9:$BQ9)))"),-0.4615385)</f>
        <v>-0.4615385</v>
      </c>
      <c r="DJ9" s="207" t="str">
        <f>IFERROR(__xludf.DUMMYFUNCTION("IF(OR(DI9&gt;$BS9+$BT9*$BT$2,DI9&lt;$BS9-$BT9*$BT$2),AVEDEV(ARRAYFORMULA(XLOOKUP(FILTER(INDIRECT(""'""&amp;DI$1&amp;""'!$C$4:$C$66""),INDIRECT(""'""&amp;DI$1&amp;""'!$D$4:$D$66"")=DI$2),$G$4:$BQ$4,$G9:$BQ9))),"""")"),"")</f>
        <v/>
      </c>
      <c r="DK9" s="208" t="str">
        <f t="shared" si="20"/>
        <v/>
      </c>
      <c r="DL9" s="210">
        <f>IFERROR(__xludf.DUMMYFUNCTION("AVERAGE(ARRAYFORMULA(XLOOKUP(FILTER(INDIRECT(""'""&amp;DL$1&amp;""'!$C$4:$C$66""),INDIRECT(""'""&amp;DL$1&amp;""'!$D$4:$D$66"")=DL$2),$G$4:$BQ$4,$G9:$BQ9)))"),-0.08791208857142858)</f>
        <v>-0.08791208857</v>
      </c>
      <c r="DM9" s="207" t="str">
        <f>IFERROR(__xludf.DUMMYFUNCTION("IF(OR(DL9&gt;$BS9+$BT9*$BT$2,DL9&lt;$BS9-$BT9*$BT$2),AVEDEV(ARRAYFORMULA(XLOOKUP(FILTER(INDIRECT(""'""&amp;DL$1&amp;""'!$C$4:$C$66""),INDIRECT(""'""&amp;DL$1&amp;""'!$D$4:$D$66"")=DL$2),$G$4:$BQ$4,$G9:$BQ9))),"""")"),"")</f>
        <v/>
      </c>
      <c r="DN9" s="208" t="str">
        <f t="shared" si="21"/>
        <v/>
      </c>
      <c r="DO9" s="209" t="s">
        <v>444</v>
      </c>
      <c r="DP9" s="210">
        <f>IFERROR(__xludf.DUMMYFUNCTION("AVERAGE(ARRAYFORMULA(XLOOKUP(FILTER(INDIRECT(""'""&amp;DP$1&amp;""'!$C$4:$C$66""),INDIRECT(""'""&amp;DP$1&amp;""'!$D$4:$D$66"")=DP$2),$G$4:$BQ$4,$G9:$BQ9)))"),0.4974358933333333)</f>
        <v>0.4974358933</v>
      </c>
      <c r="DQ9" s="207" t="str">
        <f>IFERROR(__xludf.DUMMYFUNCTION("IF(OR(DP9&gt;$BS9+$BT9*$BT$2,DP9&lt;$BS9-$BT9*$BT$2),AVEDEV(ARRAYFORMULA(XLOOKUP(FILTER(INDIRECT(""'""&amp;DP$1&amp;""'!$C$4:$C$66""),INDIRECT(""'""&amp;DP$1&amp;""'!$D$4:$D$66"")=DP$2),$G$4:$BQ$4,$G9:$BQ9))),"""")"),"")</f>
        <v/>
      </c>
      <c r="DR9" s="208" t="str">
        <f t="shared" si="22"/>
        <v/>
      </c>
      <c r="DS9" s="210">
        <f>IFERROR(__xludf.DUMMYFUNCTION("AVERAGE(ARRAYFORMULA(XLOOKUP(FILTER(INDIRECT(""'""&amp;DS$1&amp;""'!$C$4:$C$66""),INDIRECT(""'""&amp;DS$1&amp;""'!$D$4:$D$66"")=DS$2),$G$4:$BQ$4,$G9:$BQ9)))"),-0.19658119888888892)</f>
        <v>-0.1965811989</v>
      </c>
      <c r="DT9" s="207" t="str">
        <f>IFERROR(__xludf.DUMMYFUNCTION("IF(OR(DS9&gt;$BS9+$BT9*$BT$2,DS9&lt;$BS9-$BT9*$BT$2),AVEDEV(ARRAYFORMULA(XLOOKUP(FILTER(INDIRECT(""'""&amp;DS$1&amp;""'!$C$4:$C$66""),INDIRECT(""'""&amp;DS$1&amp;""'!$D$4:$D$66"")=DS$2),$G$4:$BQ$4,$G9:$BQ9))),"""")"),"")</f>
        <v/>
      </c>
      <c r="DU9" s="208" t="str">
        <f t="shared" si="23"/>
        <v/>
      </c>
      <c r="DV9" s="210">
        <f>IFERROR(__xludf.DUMMYFUNCTION("AVERAGE(ARRAYFORMULA(XLOOKUP(FILTER(INDIRECT(""'""&amp;DV$1&amp;""'!$C$4:$C$66""),INDIRECT(""'""&amp;DV$1&amp;""'!$D$4:$D$66"")=DV$2),$G$4:$BQ$4,$G9:$BQ9)))"),-0.24038462124999996)</f>
        <v>-0.2403846213</v>
      </c>
      <c r="DW9" s="207" t="str">
        <f>IFERROR(__xludf.DUMMYFUNCTION("IF(OR(DV9&gt;$BS9+$BT9*$BT$2,DV9&lt;$BS9-$BT9*$BT$2),AVEDEV(ARRAYFORMULA(XLOOKUP(FILTER(INDIRECT(""'""&amp;DV$1&amp;""'!$C$4:$C$66""),INDIRECT(""'""&amp;DV$1&amp;""'!$D$4:$D$66"")=DV$2),$G$4:$BQ$4,$G9:$BQ9))),"""")"),"")</f>
        <v/>
      </c>
      <c r="DX9" s="208" t="str">
        <f t="shared" si="24"/>
        <v/>
      </c>
      <c r="DY9" s="210">
        <f>IFERROR(__xludf.DUMMYFUNCTION("AVERAGE(ARRAYFORMULA(XLOOKUP(FILTER(INDIRECT(""'""&amp;DY$1&amp;""'!$C$4:$C$66""),INDIRECT(""'""&amp;DY$1&amp;""'!$D$4:$D$66"")=DY$2),$G$4:$BQ$4,$G9:$BQ9)))"),0.02564101666666667)</f>
        <v>0.02564101667</v>
      </c>
      <c r="DZ9" s="207" t="str">
        <f>IFERROR(__xludf.DUMMYFUNCTION("IF(OR(DY9&gt;$BS9+$BT9*$BT$2,DY9&lt;$BS9-$BT9*$BT$2),AVEDEV(ARRAYFORMULA(XLOOKUP(FILTER(INDIRECT(""'""&amp;DY$1&amp;""'!$C$4:$C$66""),INDIRECT(""'""&amp;DY$1&amp;""'!$D$4:$D$66"")=DY$2),$G$4:$BQ$4,$G9:$BQ9))),"""")"),"")</f>
        <v/>
      </c>
      <c r="EA9" s="208" t="str">
        <f t="shared" si="25"/>
        <v/>
      </c>
      <c r="EB9" s="191"/>
    </row>
    <row r="10" outlineLevel="1">
      <c r="A10" s="2"/>
      <c r="B10" s="204">
        <v>6.0</v>
      </c>
      <c r="C10" s="204" t="s">
        <v>442</v>
      </c>
      <c r="D10" s="204" t="s">
        <v>449</v>
      </c>
      <c r="E10" s="205" t="b">
        <f>VLOOKUP(D10,'Feature Set List'!A6:C246,2,0)</f>
        <v>1</v>
      </c>
      <c r="F10" s="205" t="b">
        <f>VLOOKUP(D10,'Feature Set List'!A6:C246,3,0)</f>
        <v>1</v>
      </c>
      <c r="G10" s="205">
        <v>0.94952251</v>
      </c>
      <c r="H10" s="205">
        <v>-0.0109141</v>
      </c>
      <c r="I10" s="205">
        <v>0.0845839</v>
      </c>
      <c r="J10" s="205">
        <v>-0.2735334</v>
      </c>
      <c r="K10" s="205">
        <v>-1.9218281</v>
      </c>
      <c r="L10" s="205">
        <v>-0.4604366</v>
      </c>
      <c r="M10" s="205">
        <v>0.1377899</v>
      </c>
      <c r="N10" s="205">
        <v>0.37858117</v>
      </c>
      <c r="O10" s="205">
        <v>0.38267394</v>
      </c>
      <c r="P10" s="205">
        <v>0.06889495</v>
      </c>
      <c r="Q10" s="205">
        <v>0.44611187</v>
      </c>
      <c r="R10" s="205">
        <v>0.3260573</v>
      </c>
      <c r="S10" s="205">
        <v>0.51841746</v>
      </c>
      <c r="T10" s="205">
        <v>-0.0497954</v>
      </c>
      <c r="U10" s="205">
        <v>2.32196453</v>
      </c>
      <c r="V10" s="205">
        <v>-0.5825375</v>
      </c>
      <c r="W10" s="205">
        <v>0.50341064</v>
      </c>
      <c r="X10" s="205">
        <v>2.7366985</v>
      </c>
      <c r="Y10" s="205">
        <v>-1.0607094</v>
      </c>
      <c r="Z10" s="205">
        <v>0.54433834</v>
      </c>
      <c r="AA10" s="205">
        <v>0.44815825</v>
      </c>
      <c r="AB10" s="205">
        <v>2.3888131</v>
      </c>
      <c r="AC10" s="205">
        <v>1.14392906</v>
      </c>
      <c r="AD10" s="205">
        <v>-0.8867667</v>
      </c>
      <c r="AE10" s="205">
        <v>-0.0552524</v>
      </c>
      <c r="AF10" s="205">
        <v>-0.3212824</v>
      </c>
      <c r="AG10" s="205">
        <v>0.23533424</v>
      </c>
      <c r="AH10" s="205">
        <v>1.70941337</v>
      </c>
      <c r="AI10" s="205">
        <v>-0.5184175</v>
      </c>
      <c r="AJ10" s="205">
        <v>0.48976808</v>
      </c>
      <c r="AK10" s="205">
        <v>-1.446794</v>
      </c>
      <c r="AL10" s="205">
        <v>-0.5218281</v>
      </c>
      <c r="AM10" s="205">
        <v>-0.8369714</v>
      </c>
      <c r="AN10" s="205">
        <v>0.0</v>
      </c>
      <c r="AO10" s="205">
        <v>-0.4461119</v>
      </c>
      <c r="AP10" s="205">
        <v>-1.542292</v>
      </c>
      <c r="AQ10" s="205">
        <v>-1.4843111</v>
      </c>
      <c r="AR10" s="205">
        <v>-1.1391542</v>
      </c>
      <c r="AS10" s="205">
        <v>-0.3069577</v>
      </c>
      <c r="AT10" s="205">
        <v>0.15484311</v>
      </c>
      <c r="AU10" s="205">
        <v>-0.9618008</v>
      </c>
      <c r="AV10" s="205">
        <v>1.73396999</v>
      </c>
      <c r="AW10" s="205">
        <v>-1.3751705</v>
      </c>
      <c r="AX10" s="205">
        <v>-0.0634379</v>
      </c>
      <c r="AY10" s="205">
        <v>2.39154161</v>
      </c>
      <c r="AZ10" s="205">
        <v>0.0</v>
      </c>
      <c r="BA10" s="205">
        <v>-0.3587995</v>
      </c>
      <c r="BB10" s="205">
        <v>1.18485675</v>
      </c>
      <c r="BC10" s="205">
        <v>0.46793997</v>
      </c>
      <c r="BD10" s="205">
        <v>-1.2114598</v>
      </c>
      <c r="BE10" s="205">
        <v>2.50682128</v>
      </c>
      <c r="BF10" s="205">
        <v>0.33697135</v>
      </c>
      <c r="BG10" s="205">
        <v>-0.3642565</v>
      </c>
      <c r="BH10" s="205">
        <v>-0.5300136</v>
      </c>
      <c r="BI10" s="205">
        <v>-1.1043656</v>
      </c>
      <c r="BJ10" s="205">
        <v>0.04365621</v>
      </c>
      <c r="BK10" s="205">
        <v>-0.5204638</v>
      </c>
      <c r="BL10" s="205">
        <v>0.4058663</v>
      </c>
      <c r="BM10" s="205">
        <v>2.25443383</v>
      </c>
      <c r="BN10" s="205">
        <v>-0.3697135</v>
      </c>
      <c r="BO10" s="205">
        <v>1.13028649</v>
      </c>
      <c r="BP10" s="205">
        <v>-0.2196453</v>
      </c>
      <c r="BQ10" s="205">
        <v>-0.659618</v>
      </c>
      <c r="BR10" s="206"/>
      <c r="BS10" s="207">
        <f t="shared" si="6"/>
        <v>0.1082699889</v>
      </c>
      <c r="BT10" s="207">
        <f t="shared" si="7"/>
        <v>0.8033404203</v>
      </c>
      <c r="BU10" s="206"/>
      <c r="BV10" s="207">
        <f>IFERROR(__xludf.DUMMYFUNCTION("AVERAGE(ARRAYFORMULA(XLOOKUP(FILTER(INDIRECT(""'""&amp;BV$1&amp;""'!$C$4:$C$66""),INDIRECT(""'""&amp;BV$1&amp;""'!$D$4:$D$66"")=BV$2),$G$4:$BQ$4,$G10:$BQ10)))"),1.5859481528571426)</f>
        <v>1.585948153</v>
      </c>
      <c r="BW10" s="207">
        <f>IFERROR(__xludf.DUMMYFUNCTION("IF(OR(BV10&gt;$BS10+$BT10*$BT$2,BV10&lt;$BS10-$BT10*$BT$2),AVEDEV(ARRAYFORMULA(XLOOKUP(FILTER(INDIRECT(""'""&amp;BV$1&amp;""'!$C$4:$C$66""),INDIRECT(""'""&amp;BV$1&amp;""'!$D$4:$D$66"")=BV$2),$G$4:$BQ$4,$G10:$BQ10))),"""")"),1.032352373877551)</f>
        <v>1.032352374</v>
      </c>
      <c r="BX10" s="208">
        <f t="shared" si="8"/>
        <v>0.6743377437</v>
      </c>
      <c r="BY10" s="207">
        <f>IFERROR(__xludf.DUMMYFUNCTION("AVERAGE(ARRAYFORMULA(XLOOKUP(FILTER(INDIRECT(""'""&amp;BY$1&amp;""'!$C$4:$C$66""),INDIRECT(""'""&amp;BY$1&amp;""'!$D$4:$D$66"")=BY$2),$G$4:$BQ$4,$G10:$BQ10)))"),-0.0917852285714286)</f>
        <v>-0.09178522857</v>
      </c>
      <c r="BZ10" s="207" t="str">
        <f>IFERROR(__xludf.DUMMYFUNCTION("IF(OR(BY10&gt;$BS10+$BT10*$BT$2,BY10&lt;$BS10-$BT10*$BT$2),AVEDEV(ARRAYFORMULA(XLOOKUP(FILTER(INDIRECT(""'""&amp;BY$1&amp;""'!$C$4:$C$66""),INDIRECT(""'""&amp;BY$1&amp;""'!$D$4:$D$66"")=BY$2),$G$4:$BQ$4,$G10:$BQ10))),"""")"),"")</f>
        <v/>
      </c>
      <c r="CA10" s="208" t="str">
        <f t="shared" si="9"/>
        <v/>
      </c>
      <c r="CB10" s="207">
        <f>IFERROR(__xludf.DUMMYFUNCTION("AVERAGE(ARRAYFORMULA(XLOOKUP(FILTER(INDIRECT(""'""&amp;CB$1&amp;""'!$C$4:$C$66""),INDIRECT(""'""&amp;CB$1&amp;""'!$D$4:$D$66"")=CB$2),$G$4:$BQ$4,$G10:$BQ10)))"),0.15118441181818187)</f>
        <v>0.1511844118</v>
      </c>
      <c r="CC10" s="207" t="str">
        <f>IFERROR(__xludf.DUMMYFUNCTION("IF(OR(CB10&gt;$BS10+$BT10*$BT$2,CB10&lt;$BS10-$BT10*$BT$2),AVEDEV(ARRAYFORMULA(XLOOKUP(FILTER(INDIRECT(""'""&amp;CB$1&amp;""'!$C$4:$C$66""),INDIRECT(""'""&amp;CB$1&amp;""'!$D$4:$D$66"")=CB$2),$G$4:$BQ$4,$G10:$BQ10))),"""")"),"")</f>
        <v/>
      </c>
      <c r="CD10" s="208" t="str">
        <f t="shared" si="10"/>
        <v/>
      </c>
      <c r="CE10" s="209" t="s">
        <v>444</v>
      </c>
      <c r="CF10" s="207">
        <f>IFERROR(__xludf.DUMMYFUNCTION("AVERAGE(ARRAYFORMULA(XLOOKUP(FILTER(INDIRECT(""'""&amp;CF$1&amp;""'!$C$4:$C$66""),INDIRECT(""'""&amp;CF$1&amp;""'!$D$4:$D$66"")=CF$2),$G$4:$BQ$4,$G10:$BQ10)))"),-0.28740621562499996)</f>
        <v>-0.2874062156</v>
      </c>
      <c r="CG10" s="207" t="str">
        <f>IFERROR(__xludf.DUMMYFUNCTION("IF(OR(CF10&gt;$BS10+$BT10*$BT$2,CF10&lt;$BS10-$BT10*$BT$2),AVEDEV(ARRAYFORMULA(XLOOKUP(FILTER(INDIRECT(""'""&amp;CF$1&amp;""'!$C$4:$C$66""),INDIRECT(""'""&amp;CF$1&amp;""'!$D$4:$D$66"")=CF$2),$G$4:$BQ$4,$G10:$BQ10))),"""")"),"")</f>
        <v/>
      </c>
      <c r="CH10" s="208" t="str">
        <f t="shared" si="11"/>
        <v/>
      </c>
      <c r="CI10" s="207">
        <f>IFERROR(__xludf.DUMMYFUNCTION("AVERAGE(ARRAYFORMULA(XLOOKUP(FILTER(INDIRECT(""'""&amp;CI$1&amp;""'!$C$4:$C$66""),INDIRECT(""'""&amp;CI$1&amp;""'!$D$4:$D$66"")=CI$2),$G$4:$BQ$4,$G10:$BQ10)))"),0.2803547087096773)</f>
        <v>0.2803547087</v>
      </c>
      <c r="CJ10" s="207" t="str">
        <f>IFERROR(__xludf.DUMMYFUNCTION("IF(OR(CI10&gt;$BS10+$BT10*$BT$2,CI10&lt;$BS10-$BT10*$BT$2),AVEDEV(ARRAYFORMULA(XLOOKUP(FILTER(INDIRECT(""'""&amp;CI$1&amp;""'!$C$4:$C$66""),INDIRECT(""'""&amp;CI$1&amp;""'!$D$4:$D$66"")=CI$2),$G$4:$BQ$4,$G10:$BQ10))),"""")"),"")</f>
        <v/>
      </c>
      <c r="CK10" s="208" t="str">
        <f t="shared" si="12"/>
        <v/>
      </c>
      <c r="CL10" s="207">
        <f>IFERROR(__xludf.DUMMYFUNCTION("AVERAGE(ARRAYFORMULA(XLOOKUP(FILTER(INDIRECT(""'""&amp;CL$1&amp;""'!$C$4:$C$66""),INDIRECT(""'""&amp;CL$1&amp;""'!$D$4:$D$66"")=CL$2),$G$4:$BQ$4,$G10:$BQ10)))"),-0.20218283)</f>
        <v>-0.20218283</v>
      </c>
      <c r="CM10" s="207" t="str">
        <f>IFERROR(__xludf.DUMMYFUNCTION("IF(OR(CL10&gt;$BS10+$BT10*$BT$2,CL10&lt;$BS10-$BT10*$BT$2),AVEDEV(ARRAYFORMULA(XLOOKUP(FILTER(INDIRECT(""'""&amp;CL$1&amp;""'!$C$4:$C$66""),INDIRECT(""'""&amp;CL$1&amp;""'!$D$4:$D$66"")=CL$2),$G$4:$BQ$4,$G10:$BQ10))),"""")"),"")</f>
        <v/>
      </c>
      <c r="CN10" s="208" t="str">
        <f t="shared" si="13"/>
        <v/>
      </c>
      <c r="CO10" s="209" t="s">
        <v>444</v>
      </c>
      <c r="CP10" s="210">
        <f>IFERROR(__xludf.DUMMYFUNCTION("AVERAGE(ARRAYFORMULA(XLOOKUP(FILTER(INDIRECT(""'""&amp;CP$1&amp;""'!$C$4:$C$66""),INDIRECT(""'""&amp;CP$1&amp;""'!$D$4:$D$66"")=CP$2),$G$4:$BQ$4,$G10:$BQ10)))"),1.21282401)</f>
        <v>1.21282401</v>
      </c>
      <c r="CQ10" s="207">
        <f>IFERROR(__xludf.DUMMYFUNCTION("IF(OR(CP10&gt;$BS10+$BT10*$BT$2,CP10&lt;$BS10-$BT10*$BT$2),AVEDEV(ARRAYFORMULA(XLOOKUP(FILTER(INDIRECT(""'""&amp;CP$1&amp;""'!$C$4:$C$66""),INDIRECT(""'""&amp;CP$1&amp;""'!$D$4:$D$66"")=CP$2),$G$4:$BQ$4,$G10:$BQ10))),"""")"),0.8854934066666669)</f>
        <v>0.8854934067</v>
      </c>
      <c r="CR10" s="208">
        <f t="shared" si="14"/>
        <v>0.3012136008</v>
      </c>
      <c r="CS10" s="210">
        <f>IFERROR(__xludf.DUMMYFUNCTION("AVERAGE(ARRAYFORMULA(XLOOKUP(FILTER(INDIRECT(""'""&amp;CS$1&amp;""'!$C$4:$C$66""),INDIRECT(""'""&amp;CS$1&amp;""'!$D$4:$D$66"")=CS$2),$G$4:$BQ$4,$G10:$BQ10)))"),-0.2225032384615384)</f>
        <v>-0.2225032385</v>
      </c>
      <c r="CT10" s="207" t="str">
        <f>IFERROR(__xludf.DUMMYFUNCTION("IF(OR(CS10&gt;$BS10+$BT10*$BT$2,CS10&lt;$BS10-$BT10*$BT$2),AVEDEV(ARRAYFORMULA(XLOOKUP(FILTER(INDIRECT(""'""&amp;CS$1&amp;""'!$C$4:$C$66""),INDIRECT(""'""&amp;CS$1&amp;""'!$D$4:$D$66"")=CS$2),$G$4:$BQ$4,$G10:$BQ10))),"""")"),"")</f>
        <v/>
      </c>
      <c r="CU10" s="208" t="str">
        <f t="shared" si="15"/>
        <v/>
      </c>
      <c r="CV10" s="210">
        <f>IFERROR(__xludf.DUMMYFUNCTION("AVERAGE(ARRAYFORMULA(XLOOKUP(FILTER(INDIRECT(""'""&amp;CV$1&amp;""'!$C$4:$C$66""),INDIRECT(""'""&amp;CV$1&amp;""'!$D$4:$D$66"")=CV$2),$G$4:$BQ$4,$G10:$BQ10)))"),-0.20218283)</f>
        <v>-0.20218283</v>
      </c>
      <c r="CW10" s="207" t="str">
        <f>IFERROR(__xludf.DUMMYFUNCTION("IF(OR(CV10&gt;$BS10+$BT10*$BT$2,CV10&lt;$BS10-$BT10*$BT$2),AVEDEV(ARRAYFORMULA(XLOOKUP(FILTER(INDIRECT(""'""&amp;CV$1&amp;""'!$C$4:$C$66""),INDIRECT(""'""&amp;CV$1&amp;""'!$D$4:$D$66"")=CV$2),$G$4:$BQ$4,$G10:$BQ10))),"""")"),"")</f>
        <v/>
      </c>
      <c r="CX10" s="208" t="str">
        <f t="shared" si="16"/>
        <v/>
      </c>
      <c r="CY10" s="209" t="s">
        <v>444</v>
      </c>
      <c r="CZ10" s="210">
        <f>IFERROR(__xludf.DUMMYFUNCTION("AVERAGE(ARRAYFORMULA(XLOOKUP(FILTER(INDIRECT(""'""&amp;CZ$1&amp;""'!$C$4:$C$66""),INDIRECT(""'""&amp;CZ$1&amp;""'!$D$4:$D$66"")=CZ$2),$G$4:$BQ$4,$G10:$BQ10)))"),-0.5271876885714286)</f>
        <v>-0.5271876886</v>
      </c>
      <c r="DA10" s="207" t="str">
        <f>IFERROR(__xludf.DUMMYFUNCTION("IF(OR(CZ10&gt;$BS10+$BT10*$BT$2,CZ10&lt;$BS10-$BT10*$BT$2),AVEDEV(ARRAYFORMULA(XLOOKUP(FILTER(INDIRECT(""'""&amp;CZ$1&amp;""'!$C$4:$C$66""),INDIRECT(""'""&amp;CZ$1&amp;""'!$D$4:$D$66"")=CZ$2),$G$4:$BQ$4,$G10:$BQ10))),"""")"),"")</f>
        <v/>
      </c>
      <c r="DB10" s="208" t="str">
        <f t="shared" si="17"/>
        <v/>
      </c>
      <c r="DC10" s="210">
        <f>IFERROR(__xludf.DUMMYFUNCTION("AVERAGE(ARRAYFORMULA(XLOOKUP(FILTER(INDIRECT(""'""&amp;DC$1&amp;""'!$C$4:$C$66""),INDIRECT(""'""&amp;DC$1&amp;""'!$D$4:$D$66"")=DC$2),$G$4:$BQ$4,$G10:$BQ10)))"),-0.06571169999999998)</f>
        <v>-0.0657117</v>
      </c>
      <c r="DD10" s="207" t="str">
        <f>IFERROR(__xludf.DUMMYFUNCTION("IF(OR(DC10&gt;$BS10+$BT10*$BT$2,DC10&lt;$BS10-$BT10*$BT$2),AVEDEV(ARRAYFORMULA(XLOOKUP(FILTER(INDIRECT(""'""&amp;DC$1&amp;""'!$C$4:$C$66""),INDIRECT(""'""&amp;DC$1&amp;""'!$D$4:$D$66"")=DC$2),$G$4:$BQ$4,$G10:$BQ10))),"""")"),"")</f>
        <v/>
      </c>
      <c r="DE10" s="208" t="str">
        <f t="shared" si="18"/>
        <v/>
      </c>
      <c r="DF10" s="210">
        <f>IFERROR(__xludf.DUMMYFUNCTION("AVERAGE(ARRAYFORMULA(XLOOKUP(FILTER(INDIRECT(""'""&amp;DF$1&amp;""'!$C$4:$C$66""),INDIRECT(""'""&amp;DF$1&amp;""'!$D$4:$D$66"")=DF$2),$G$4:$BQ$4,$G10:$BQ10)))"),0.7296911754545455)</f>
        <v>0.7296911755</v>
      </c>
      <c r="DG10" s="207" t="str">
        <f>IFERROR(__xludf.DUMMYFUNCTION("IF(OR(DF10&gt;$BS10+$BT10*$BT$2,DF10&lt;$BS10-$BT10*$BT$2),AVEDEV(ARRAYFORMULA(XLOOKUP(FILTER(INDIRECT(""'""&amp;DF$1&amp;""'!$C$4:$C$66""),INDIRECT(""'""&amp;DF$1&amp;""'!$D$4:$D$66"")=DF$2),$G$4:$BQ$4,$G10:$BQ10))),"""")"),"")</f>
        <v/>
      </c>
      <c r="DH10" s="208" t="str">
        <f t="shared" si="19"/>
        <v/>
      </c>
      <c r="DI10" s="210">
        <f>IFERROR(__xludf.DUMMYFUNCTION("AVERAGE(ARRAYFORMULA(XLOOKUP(FILTER(INDIRECT(""'""&amp;DI$1&amp;""'!$C$4:$C$66""),INDIRECT(""'""&amp;DI$1&amp;""'!$D$4:$D$66"")=DI$2),$G$4:$BQ$4,$G10:$BQ10)))"),-0.70839015)</f>
        <v>-0.70839015</v>
      </c>
      <c r="DJ10" s="207">
        <f>IFERROR(__xludf.DUMMYFUNCTION("IF(OR(DI10&gt;$BS10+$BT10*$BT$2,DI10&lt;$BS10-$BT10*$BT$2),AVEDEV(ARRAYFORMULA(XLOOKUP(FILTER(INDIRECT(""'""&amp;DI$1&amp;""'!$C$4:$C$66""),INDIRECT(""'""&amp;DI$1&amp;""'!$D$4:$D$66"")=DI$2),$G$4:$BQ$4,$G10:$BQ10))),"""")"),0.17837655000000002)</f>
        <v>0.17837655</v>
      </c>
      <c r="DK10" s="208">
        <f t="shared" si="20"/>
        <v>-0.01331971857</v>
      </c>
      <c r="DL10" s="210">
        <f>IFERROR(__xludf.DUMMYFUNCTION("AVERAGE(ARRAYFORMULA(XLOOKUP(FILTER(INDIRECT(""'""&amp;DL$1&amp;""'!$C$4:$C$66""),INDIRECT(""'""&amp;DL$1&amp;""'!$D$4:$D$66"")=DL$2),$G$4:$BQ$4,$G10:$BQ10)))"),-0.06109919928571428)</f>
        <v>-0.06109919929</v>
      </c>
      <c r="DM10" s="207" t="str">
        <f>IFERROR(__xludf.DUMMYFUNCTION("IF(OR(DL10&gt;$BS10+$BT10*$BT$2,DL10&lt;$BS10-$BT10*$BT$2),AVEDEV(ARRAYFORMULA(XLOOKUP(FILTER(INDIRECT(""'""&amp;DL$1&amp;""'!$C$4:$C$66""),INDIRECT(""'""&amp;DL$1&amp;""'!$D$4:$D$66"")=DL$2),$G$4:$BQ$4,$G10:$BQ10))),"""")"),"")</f>
        <v/>
      </c>
      <c r="DN10" s="208" t="str">
        <f t="shared" si="21"/>
        <v/>
      </c>
      <c r="DO10" s="209" t="s">
        <v>444</v>
      </c>
      <c r="DP10" s="210">
        <f>IFERROR(__xludf.DUMMYFUNCTION("AVERAGE(ARRAYFORMULA(XLOOKUP(FILTER(INDIRECT(""'""&amp;DP$1&amp;""'!$C$4:$C$66""),INDIRECT(""'""&amp;DP$1&amp;""'!$D$4:$D$66"")=DP$2),$G$4:$BQ$4,$G10:$BQ10)))"),0.008403817333333351)</f>
        <v>0.008403817333</v>
      </c>
      <c r="DQ10" s="207" t="str">
        <f>IFERROR(__xludf.DUMMYFUNCTION("IF(OR(DP10&gt;$BS10+$BT10*$BT$2,DP10&lt;$BS10-$BT10*$BT$2),AVEDEV(ARRAYFORMULA(XLOOKUP(FILTER(INDIRECT(""'""&amp;DP$1&amp;""'!$C$4:$C$66""),INDIRECT(""'""&amp;DP$1&amp;""'!$D$4:$D$66"")=DP$2),$G$4:$BQ$4,$G10:$BQ10))),"""")"),"")</f>
        <v/>
      </c>
      <c r="DR10" s="208" t="str">
        <f t="shared" si="22"/>
        <v/>
      </c>
      <c r="DS10" s="210">
        <f>IFERROR(__xludf.DUMMYFUNCTION("AVERAGE(ARRAYFORMULA(XLOOKUP(FILTER(INDIRECT(""'""&amp;DS$1&amp;""'!$C$4:$C$66""),INDIRECT(""'""&amp;DS$1&amp;""'!$D$4:$D$66"")=DS$2),$G$4:$BQ$4,$G10:$BQ10)))"),0.5309989244444445)</f>
        <v>0.5309989244</v>
      </c>
      <c r="DT10" s="207" t="str">
        <f>IFERROR(__xludf.DUMMYFUNCTION("IF(OR(DS10&gt;$BS10+$BT10*$BT$2,DS10&lt;$BS10-$BT10*$BT$2),AVEDEV(ARRAYFORMULA(XLOOKUP(FILTER(INDIRECT(""'""&amp;DS$1&amp;""'!$C$4:$C$66""),INDIRECT(""'""&amp;DS$1&amp;""'!$D$4:$D$66"")=DS$2),$G$4:$BQ$4,$G10:$BQ10))),"""")"),"")</f>
        <v/>
      </c>
      <c r="DU10" s="208" t="str">
        <f t="shared" si="23"/>
        <v/>
      </c>
      <c r="DV10" s="210">
        <f>IFERROR(__xludf.DUMMYFUNCTION("AVERAGE(ARRAYFORMULA(XLOOKUP(FILTER(INDIRECT(""'""&amp;DV$1&amp;""'!$C$4:$C$66""),INDIRECT(""'""&amp;DV$1&amp;""'!$D$4:$D$66"")=DV$2),$G$4:$BQ$4,$G10:$BQ10)))"),0.8598226462499999)</f>
        <v>0.8598226463</v>
      </c>
      <c r="DW10" s="207" t="str">
        <f>IFERROR(__xludf.DUMMYFUNCTION("IF(OR(DV10&gt;$BS10+$BT10*$BT$2,DV10&lt;$BS10-$BT10*$BT$2),AVEDEV(ARRAYFORMULA(XLOOKUP(FILTER(INDIRECT(""'""&amp;DV$1&amp;""'!$C$4:$C$66""),INDIRECT(""'""&amp;DV$1&amp;""'!$D$4:$D$66"")=DV$2),$G$4:$BQ$4,$G10:$BQ10))),"""")"),"")</f>
        <v/>
      </c>
      <c r="DX10" s="208" t="str">
        <f t="shared" si="24"/>
        <v/>
      </c>
      <c r="DY10" s="210">
        <f>IFERROR(__xludf.DUMMYFUNCTION("AVERAGE(ARRAYFORMULA(XLOOKUP(FILTER(INDIRECT(""'""&amp;DY$1&amp;""'!$C$4:$C$66""),INDIRECT(""'""&amp;DY$1&amp;""'!$D$4:$D$66"")=DY$2),$G$4:$BQ$4,$G10:$BQ10)))"),-0.5063665233333333)</f>
        <v>-0.5063665233</v>
      </c>
      <c r="DZ10" s="207" t="str">
        <f>IFERROR(__xludf.DUMMYFUNCTION("IF(OR(DY10&gt;$BS10+$BT10*$BT$2,DY10&lt;$BS10-$BT10*$BT$2),AVEDEV(ARRAYFORMULA(XLOOKUP(FILTER(INDIRECT(""'""&amp;DY$1&amp;""'!$C$4:$C$66""),INDIRECT(""'""&amp;DY$1&amp;""'!$D$4:$D$66"")=DY$2),$G$4:$BQ$4,$G10:$BQ10))),"""")"),"")</f>
        <v/>
      </c>
      <c r="EA10" s="208" t="str">
        <f t="shared" si="25"/>
        <v/>
      </c>
      <c r="EB10" s="191"/>
    </row>
    <row r="11" outlineLevel="1">
      <c r="A11" s="2"/>
      <c r="B11" s="204">
        <v>7.0</v>
      </c>
      <c r="C11" s="204" t="s">
        <v>442</v>
      </c>
      <c r="D11" s="204" t="s">
        <v>450</v>
      </c>
      <c r="E11" s="205" t="b">
        <f>VLOOKUP(D11,'Feature Set List'!A7:C246,2,0)</f>
        <v>1</v>
      </c>
      <c r="F11" s="205" t="b">
        <f>VLOOKUP(D11,'Feature Set List'!A7:C246,3,0)</f>
        <v>1</v>
      </c>
      <c r="G11" s="205">
        <v>-0.9853031</v>
      </c>
      <c r="H11" s="205">
        <v>-0.5964483</v>
      </c>
      <c r="I11" s="205">
        <v>-0.6613595</v>
      </c>
      <c r="J11" s="205">
        <v>0.08144519</v>
      </c>
      <c r="K11" s="205">
        <v>-1.6497244</v>
      </c>
      <c r="L11" s="205">
        <v>0.66319657</v>
      </c>
      <c r="M11" s="205">
        <v>0.34415187</v>
      </c>
      <c r="N11" s="205">
        <v>-0.5339865</v>
      </c>
      <c r="O11" s="205">
        <v>0.15492958</v>
      </c>
      <c r="P11" s="205">
        <v>0.4084507</v>
      </c>
      <c r="Q11" s="205">
        <v>-0.0973668</v>
      </c>
      <c r="R11" s="205">
        <v>0.29761176</v>
      </c>
      <c r="S11" s="205">
        <v>-0.5266381</v>
      </c>
      <c r="T11" s="205">
        <v>0.21126761</v>
      </c>
      <c r="U11" s="205">
        <v>-1.5119412</v>
      </c>
      <c r="V11" s="205">
        <v>0.93386405</v>
      </c>
      <c r="W11" s="205">
        <v>-0.592774</v>
      </c>
      <c r="X11" s="205">
        <v>-2.0128598</v>
      </c>
      <c r="Y11" s="205">
        <v>1.12737293</v>
      </c>
      <c r="Z11" s="205">
        <v>-0.4268218</v>
      </c>
      <c r="AA11" s="205">
        <v>-1.0875689</v>
      </c>
      <c r="AB11" s="205">
        <v>-1.6674832</v>
      </c>
      <c r="AC11" s="205">
        <v>-1.3429271</v>
      </c>
      <c r="AD11" s="205">
        <v>0.39987753</v>
      </c>
      <c r="AE11" s="205">
        <v>0.23821188</v>
      </c>
      <c r="AF11" s="205">
        <v>0.65401102</v>
      </c>
      <c r="AG11" s="205">
        <v>0.13962033</v>
      </c>
      <c r="AH11" s="205">
        <v>-1.0379669</v>
      </c>
      <c r="AI11" s="205">
        <v>0.65278628</v>
      </c>
      <c r="AJ11" s="205">
        <v>-0.6533987</v>
      </c>
      <c r="AK11" s="205">
        <v>1.53521127</v>
      </c>
      <c r="AL11" s="205">
        <v>0.86405389</v>
      </c>
      <c r="AM11" s="205">
        <v>-0.7936314</v>
      </c>
      <c r="AN11" s="205">
        <v>0.32578077</v>
      </c>
      <c r="AO11" s="205">
        <v>0.77587263</v>
      </c>
      <c r="AP11" s="205">
        <v>1.28169014</v>
      </c>
      <c r="AQ11" s="205">
        <v>-0.1873852</v>
      </c>
      <c r="AR11" s="205">
        <v>-0.2461727</v>
      </c>
      <c r="AS11" s="205">
        <v>-0.0747091</v>
      </c>
      <c r="AT11" s="205">
        <v>0.13104715</v>
      </c>
      <c r="AU11" s="205">
        <v>0.32639314</v>
      </c>
      <c r="AV11" s="205">
        <v>-1.3778322</v>
      </c>
      <c r="AW11" s="205">
        <v>0.02755664</v>
      </c>
      <c r="AX11" s="205">
        <v>0.3496632</v>
      </c>
      <c r="AY11" s="205">
        <v>-1.670545</v>
      </c>
      <c r="AZ11" s="205">
        <v>-0.5094917</v>
      </c>
      <c r="BA11" s="205">
        <v>0.5468463</v>
      </c>
      <c r="BB11" s="205">
        <v>-1.4396816</v>
      </c>
      <c r="BC11" s="205">
        <v>0.02939375</v>
      </c>
      <c r="BD11" s="205">
        <v>0.29944887</v>
      </c>
      <c r="BE11" s="205">
        <v>-1.7281078</v>
      </c>
      <c r="BF11" s="205">
        <v>-0.5358236</v>
      </c>
      <c r="BG11" s="205">
        <v>0.45499081</v>
      </c>
      <c r="BH11" s="205">
        <v>0.12002449</v>
      </c>
      <c r="BI11" s="205">
        <v>-0.1163503</v>
      </c>
      <c r="BJ11" s="205">
        <v>0.20575628</v>
      </c>
      <c r="BK11" s="205">
        <v>0.34109002</v>
      </c>
      <c r="BL11" s="205">
        <v>-0.1635028</v>
      </c>
      <c r="BM11" s="205">
        <v>-1.4537661</v>
      </c>
      <c r="BN11" s="205">
        <v>-0.2357624</v>
      </c>
      <c r="BO11" s="205">
        <v>-1.0734844</v>
      </c>
      <c r="BP11" s="205">
        <v>0.0</v>
      </c>
      <c r="BQ11" s="205">
        <v>0.83649724</v>
      </c>
      <c r="BR11" s="206"/>
      <c r="BS11" s="207">
        <f t="shared" si="6"/>
        <v>-0.1941698525</v>
      </c>
      <c r="BT11" s="207">
        <f t="shared" si="7"/>
        <v>0.6762883884</v>
      </c>
      <c r="BU11" s="206"/>
      <c r="BV11" s="207">
        <f>IFERROR(__xludf.DUMMYFUNCTION("AVERAGE(ARRAYFORMULA(XLOOKUP(FILTER(INDIRECT(""'""&amp;BV$1&amp;""'!$C$4:$C$66""),INDIRECT(""'""&amp;BV$1&amp;""'!$D$4:$D$66"")=BV$2),$G$4:$BQ$4,$G11:$BQ11)))"),-1.1072522242857143)</f>
        <v>-1.107252224</v>
      </c>
      <c r="BW11" s="207">
        <f>IFERROR(__xludf.DUMMYFUNCTION("IF(OR(BV11&gt;$BS11+$BT11*$BT$2,BV11&lt;$BS11-$BT11*$BT$2),AVEDEV(ARRAYFORMULA(XLOOKUP(FILTER(INDIRECT(""'""&amp;BV$1&amp;""'!$C$4:$C$66""),INDIRECT(""'""&amp;BV$1&amp;""'!$D$4:$D$66"")=BV$2),$G$4:$BQ$4,$G11:$BQ11))),"""")"),0.8076783653061224)</f>
        <v>0.8076783653</v>
      </c>
      <c r="BX11" s="208">
        <f t="shared" si="8"/>
        <v>-0.2367939834</v>
      </c>
      <c r="BY11" s="207">
        <f>IFERROR(__xludf.DUMMYFUNCTION("AVERAGE(ARRAYFORMULA(XLOOKUP(FILTER(INDIRECT(""'""&amp;BY$1&amp;""'!$C$4:$C$66""),INDIRECT(""'""&amp;BY$1&amp;""'!$D$4:$D$66"")=BY$2),$G$4:$BQ$4,$G11:$BQ11)))"),-0.11572332738095235)</f>
        <v>-0.1157233274</v>
      </c>
      <c r="BZ11" s="207" t="str">
        <f>IFERROR(__xludf.DUMMYFUNCTION("IF(OR(BY11&gt;$BS11+$BT11*$BT$2,BY11&lt;$BS11-$BT11*$BT$2),AVEDEV(ARRAYFORMULA(XLOOKUP(FILTER(INDIRECT(""'""&amp;BY$1&amp;""'!$C$4:$C$66""),INDIRECT(""'""&amp;BY$1&amp;""'!$D$4:$D$66"")=BY$2),$G$4:$BQ$4,$G11:$BQ11))),"""")"),"")</f>
        <v/>
      </c>
      <c r="CA11" s="208" t="str">
        <f t="shared" si="9"/>
        <v/>
      </c>
      <c r="CB11" s="207">
        <f>IFERROR(__xludf.DUMMYFUNCTION("AVERAGE(ARRAYFORMULA(XLOOKUP(FILTER(INDIRECT(""'""&amp;CB$1&amp;""'!$C$4:$C$66""),INDIRECT(""'""&amp;CB$1&amp;""'!$D$4:$D$66"")=CB$2),$G$4:$BQ$4,$G11:$BQ11)))"),0.03763291818181818)</f>
        <v>0.03763291818</v>
      </c>
      <c r="CC11" s="207" t="str">
        <f>IFERROR(__xludf.DUMMYFUNCTION("IF(OR(CB11&gt;$BS11+$BT11*$BT$2,CB11&lt;$BS11-$BT11*$BT$2),AVEDEV(ARRAYFORMULA(XLOOKUP(FILTER(INDIRECT(""'""&amp;CB$1&amp;""'!$C$4:$C$66""),INDIRECT(""'""&amp;CB$1&amp;""'!$D$4:$D$66"")=CB$2),$G$4:$BQ$4,$G11:$BQ11))),"""")"),"")</f>
        <v/>
      </c>
      <c r="CD11" s="208" t="str">
        <f t="shared" si="10"/>
        <v/>
      </c>
      <c r="CE11" s="209" t="s">
        <v>444</v>
      </c>
      <c r="CF11" s="207">
        <f>IFERROR(__xludf.DUMMYFUNCTION("AVERAGE(ARRAYFORMULA(XLOOKUP(FILTER(INDIRECT(""'""&amp;CF$1&amp;""'!$C$4:$C$66""),INDIRECT(""'""&amp;CF$1&amp;""'!$D$4:$D$66"")=CF$2),$G$4:$BQ$4,$G11:$BQ11)))"),-0.08959736687499997)</f>
        <v>-0.08959736688</v>
      </c>
      <c r="CG11" s="207" t="str">
        <f>IFERROR(__xludf.DUMMYFUNCTION("IF(OR(CF11&gt;$BS11+$BT11*$BT$2,CF11&lt;$BS11-$BT11*$BT$2),AVEDEV(ARRAYFORMULA(XLOOKUP(FILTER(INDIRECT(""'""&amp;CF$1&amp;""'!$C$4:$C$66""),INDIRECT(""'""&amp;CF$1&amp;""'!$D$4:$D$66"")=CF$2),$G$4:$BQ$4,$G11:$BQ11))),"""")"),"")</f>
        <v/>
      </c>
      <c r="CH11" s="208" t="str">
        <f t="shared" si="11"/>
        <v/>
      </c>
      <c r="CI11" s="207">
        <f>IFERROR(__xludf.DUMMYFUNCTION("AVERAGE(ARRAYFORMULA(XLOOKUP(FILTER(INDIRECT(""'""&amp;CI$1&amp;""'!$C$4:$C$66""),INDIRECT(""'""&amp;CI$1&amp;""'!$D$4:$D$66"")=CI$2),$G$4:$BQ$4,$G11:$BQ11)))"),-0.24196511612903224)</f>
        <v>-0.2419651161</v>
      </c>
      <c r="CJ11" s="207" t="str">
        <f>IFERROR(__xludf.DUMMYFUNCTION("IF(OR(CI11&gt;$BS11+$BT11*$BT$2,CI11&lt;$BS11-$BT11*$BT$2),AVEDEV(ARRAYFORMULA(XLOOKUP(FILTER(INDIRECT(""'""&amp;CI$1&amp;""'!$C$4:$C$66""),INDIRECT(""'""&amp;CI$1&amp;""'!$D$4:$D$66"")=CI$2),$G$4:$BQ$4,$G11:$BQ11))),"""")"),"")</f>
        <v/>
      </c>
      <c r="CK11" s="208" t="str">
        <f t="shared" si="12"/>
        <v/>
      </c>
      <c r="CL11" s="207">
        <f>IFERROR(__xludf.DUMMYFUNCTION("AVERAGE(ARRAYFORMULA(XLOOKUP(FILTER(INDIRECT(""'""&amp;CL$1&amp;""'!$C$4:$C$66""),INDIRECT(""'""&amp;CL$1&amp;""'!$D$4:$D$66"")=CL$2),$G$4:$BQ$4,$G11:$BQ11)))"),0.309369264)</f>
        <v>0.309369264</v>
      </c>
      <c r="CM11" s="207" t="str">
        <f>IFERROR(__xludf.DUMMYFUNCTION("IF(OR(CL11&gt;$BS11+$BT11*$BT$2,CL11&lt;$BS11-$BT11*$BT$2),AVEDEV(ARRAYFORMULA(XLOOKUP(FILTER(INDIRECT(""'""&amp;CL$1&amp;""'!$C$4:$C$66""),INDIRECT(""'""&amp;CL$1&amp;""'!$D$4:$D$66"")=CL$2),$G$4:$BQ$4,$G11:$BQ11))),"""")"),"")</f>
        <v/>
      </c>
      <c r="CN11" s="208" t="str">
        <f t="shared" si="13"/>
        <v/>
      </c>
      <c r="CO11" s="209" t="s">
        <v>444</v>
      </c>
      <c r="CP11" s="210">
        <f>IFERROR(__xludf.DUMMYFUNCTION("AVERAGE(ARRAYFORMULA(XLOOKUP(FILTER(INDIRECT(""'""&amp;CP$1&amp;""'!$C$4:$C$66""),INDIRECT(""'""&amp;CP$1&amp;""'!$D$4:$D$66"")=CP$2),$G$4:$BQ$4,$G11:$BQ11)))"),-0.9585629760000001)</f>
        <v>-0.958562976</v>
      </c>
      <c r="CQ11" s="207">
        <f>IFERROR(__xludf.DUMMYFUNCTION("IF(OR(CP11&gt;$BS11+$BT11*$BT$2,CP11&lt;$BS11-$BT11*$BT$2),AVEDEV(ARRAYFORMULA(XLOOKUP(FILTER(INDIRECT(""'""&amp;CP$1&amp;""'!$C$4:$C$66""),INDIRECT(""'""&amp;CP$1&amp;""'!$D$4:$D$66"")=CP$2),$G$4:$BQ$4,$G11:$BQ11))),"""")"),0.6395863152000001)</f>
        <v>0.6395863152</v>
      </c>
      <c r="CR11" s="208">
        <f t="shared" si="14"/>
        <v>-0.08810473508</v>
      </c>
      <c r="CS11" s="210">
        <f>IFERROR(__xludf.DUMMYFUNCTION("AVERAGE(ARRAYFORMULA(XLOOKUP(FILTER(INDIRECT(""'""&amp;CS$1&amp;""'!$C$4:$C$66""),INDIRECT(""'""&amp;CS$1&amp;""'!$D$4:$D$66"")=CS$2),$G$4:$BQ$4,$G11:$BQ11)))"),0.020459433333333367)</f>
        <v>0.02045943333</v>
      </c>
      <c r="CT11" s="207" t="str">
        <f>IFERROR(__xludf.DUMMYFUNCTION("IF(OR(CS11&gt;$BS11+$BT11*$BT$2,CS11&lt;$BS11-$BT11*$BT$2),AVEDEV(ARRAYFORMULA(XLOOKUP(FILTER(INDIRECT(""'""&amp;CS$1&amp;""'!$C$4:$C$66""),INDIRECT(""'""&amp;CS$1&amp;""'!$D$4:$D$66"")=CS$2),$G$4:$BQ$4,$G11:$BQ11))),"""")"),"")</f>
        <v/>
      </c>
      <c r="CU11" s="208" t="str">
        <f t="shared" si="15"/>
        <v/>
      </c>
      <c r="CV11" s="210">
        <f>IFERROR(__xludf.DUMMYFUNCTION("AVERAGE(ARRAYFORMULA(XLOOKUP(FILTER(INDIRECT(""'""&amp;CV$1&amp;""'!$C$4:$C$66""),INDIRECT(""'""&amp;CV$1&amp;""'!$D$4:$D$66"")=CV$2),$G$4:$BQ$4,$G11:$BQ11)))"),0.309369264)</f>
        <v>0.309369264</v>
      </c>
      <c r="CW11" s="207" t="str">
        <f>IFERROR(__xludf.DUMMYFUNCTION("IF(OR(CV11&gt;$BS11+$BT11*$BT$2,CV11&lt;$BS11-$BT11*$BT$2),AVEDEV(ARRAYFORMULA(XLOOKUP(FILTER(INDIRECT(""'""&amp;CV$1&amp;""'!$C$4:$C$66""),INDIRECT(""'""&amp;CV$1&amp;""'!$D$4:$D$66"")=CV$2),$G$4:$BQ$4,$G11:$BQ11))),"""")"),"")</f>
        <v/>
      </c>
      <c r="CX11" s="208" t="str">
        <f t="shared" si="16"/>
        <v/>
      </c>
      <c r="CY11" s="209" t="s">
        <v>444</v>
      </c>
      <c r="CZ11" s="210">
        <f>IFERROR(__xludf.DUMMYFUNCTION("AVERAGE(ARRAYFORMULA(XLOOKUP(FILTER(INDIRECT(""'""&amp;CZ$1&amp;""'!$C$4:$C$66""),INDIRECT(""'""&amp;CZ$1&amp;""'!$D$4:$D$66"")=CZ$2),$G$4:$BQ$4,$G11:$BQ11)))"),0.3029918635714286)</f>
        <v>0.3029918636</v>
      </c>
      <c r="DA11" s="207" t="str">
        <f>IFERROR(__xludf.DUMMYFUNCTION("IF(OR(CZ11&gt;$BS11+$BT11*$BT$2,CZ11&lt;$BS11-$BT11*$BT$2),AVEDEV(ARRAYFORMULA(XLOOKUP(FILTER(INDIRECT(""'""&amp;CZ$1&amp;""'!$C$4:$C$66""),INDIRECT(""'""&amp;CZ$1&amp;""'!$D$4:$D$66"")=CZ$2),$G$4:$BQ$4,$G11:$BQ11))),"""")"),"")</f>
        <v/>
      </c>
      <c r="DB11" s="208" t="str">
        <f t="shared" si="17"/>
        <v/>
      </c>
      <c r="DC11" s="210">
        <f>IFERROR(__xludf.DUMMYFUNCTION("AVERAGE(ARRAYFORMULA(XLOOKUP(FILTER(INDIRECT(""'""&amp;DC$1&amp;""'!$C$4:$C$66""),INDIRECT(""'""&amp;DC$1&amp;""'!$D$4:$D$66"")=DC$2),$G$4:$BQ$4,$G11:$BQ11)))"),0.2641355444444444)</f>
        <v>0.2641355444</v>
      </c>
      <c r="DD11" s="207" t="str">
        <f>IFERROR(__xludf.DUMMYFUNCTION("IF(OR(DC11&gt;$BS11+$BT11*$BT$2,DC11&lt;$BS11-$BT11*$BT$2),AVEDEV(ARRAYFORMULA(XLOOKUP(FILTER(INDIRECT(""'""&amp;DC$1&amp;""'!$C$4:$C$66""),INDIRECT(""'""&amp;DC$1&amp;""'!$D$4:$D$66"")=DC$2),$G$4:$BQ$4,$G11:$BQ11))),"""")"),"")</f>
        <v/>
      </c>
      <c r="DE11" s="208" t="str">
        <f t="shared" si="18"/>
        <v/>
      </c>
      <c r="DF11" s="210">
        <f>IFERROR(__xludf.DUMMYFUNCTION("AVERAGE(ARRAYFORMULA(XLOOKUP(FILTER(INDIRECT(""'""&amp;DF$1&amp;""'!$C$4:$C$66""),INDIRECT(""'""&amp;DF$1&amp;""'!$D$4:$D$66"")=DF$2),$G$4:$BQ$4,$G11:$BQ11)))"),-0.8028169036363636)</f>
        <v>-0.8028169036</v>
      </c>
      <c r="DG11" s="207" t="str">
        <f>IFERROR(__xludf.DUMMYFUNCTION("IF(OR(DF11&gt;$BS11+$BT11*$BT$2,DF11&lt;$BS11-$BT11*$BT$2),AVEDEV(ARRAYFORMULA(XLOOKUP(FILTER(INDIRECT(""'""&amp;DF$1&amp;""'!$C$4:$C$66""),INDIRECT(""'""&amp;DF$1&amp;""'!$D$4:$D$66"")=DF$2),$G$4:$BQ$4,$G11:$BQ11))),"""")"),"")</f>
        <v/>
      </c>
      <c r="DH11" s="208" t="str">
        <f t="shared" si="19"/>
        <v/>
      </c>
      <c r="DI11" s="210">
        <f>IFERROR(__xludf.DUMMYFUNCTION("AVERAGE(ARRAYFORMULA(XLOOKUP(FILTER(INDIRECT(""'""&amp;DI$1&amp;""'!$C$4:$C$66""),INDIRECT(""'""&amp;DI$1&amp;""'!$D$4:$D$66"")=DI$2),$G$4:$BQ$4,$G11:$BQ11)))"),0.25995101)</f>
        <v>0.25995101</v>
      </c>
      <c r="DJ11" s="207" t="str">
        <f>IFERROR(__xludf.DUMMYFUNCTION("IF(OR(DI11&gt;$BS11+$BT11*$BT$2,DI11&lt;$BS11-$BT11*$BT$2),AVEDEV(ARRAYFORMULA(XLOOKUP(FILTER(INDIRECT(""'""&amp;DI$1&amp;""'!$C$4:$C$66""),INDIRECT(""'""&amp;DI$1&amp;""'!$D$4:$D$66"")=DI$2),$G$4:$BQ$4,$G11:$BQ11))),"""")"),"")</f>
        <v/>
      </c>
      <c r="DK11" s="208" t="str">
        <f t="shared" si="20"/>
        <v/>
      </c>
      <c r="DL11" s="210">
        <f>IFERROR(__xludf.DUMMYFUNCTION("AVERAGE(ARRAYFORMULA(XLOOKUP(FILTER(INDIRECT(""'""&amp;DL$1&amp;""'!$C$4:$C$66""),INDIRECT(""'""&amp;DL$1&amp;""'!$D$4:$D$66"")=DL$2),$G$4:$BQ$4,$G11:$BQ11)))"),0.030268562857142862)</f>
        <v>0.03026856286</v>
      </c>
      <c r="DM11" s="207" t="str">
        <f>IFERROR(__xludf.DUMMYFUNCTION("IF(OR(DL11&gt;$BS11+$BT11*$BT$2,DL11&lt;$BS11-$BT11*$BT$2),AVEDEV(ARRAYFORMULA(XLOOKUP(FILTER(INDIRECT(""'""&amp;DL$1&amp;""'!$C$4:$C$66""),INDIRECT(""'""&amp;DL$1&amp;""'!$D$4:$D$66"")=DL$2),$G$4:$BQ$4,$G11:$BQ11))),"""")"),"")</f>
        <v/>
      </c>
      <c r="DN11" s="208" t="str">
        <f t="shared" si="21"/>
        <v/>
      </c>
      <c r="DO11" s="209" t="s">
        <v>444</v>
      </c>
      <c r="DP11" s="210">
        <f>IFERROR(__xludf.DUMMYFUNCTION("AVERAGE(ARRAYFORMULA(XLOOKUP(FILTER(INDIRECT(""'""&amp;DP$1&amp;""'!$C$4:$C$66""),INDIRECT(""'""&amp;DP$1&amp;""'!$D$4:$D$66"")=DP$2),$G$4:$BQ$4,$G11:$BQ11)))"),-0.09863237499999998)</f>
        <v>-0.098632375</v>
      </c>
      <c r="DQ11" s="207" t="str">
        <f>IFERROR(__xludf.DUMMYFUNCTION("IF(OR(DP11&gt;$BS11+$BT11*$BT$2,DP11&lt;$BS11-$BT11*$BT$2),AVEDEV(ARRAYFORMULA(XLOOKUP(FILTER(INDIRECT(""'""&amp;DP$1&amp;""'!$C$4:$C$66""),INDIRECT(""'""&amp;DP$1&amp;""'!$D$4:$D$66"")=DP$2),$G$4:$BQ$4,$G11:$BQ11))),"""")"),"")</f>
        <v/>
      </c>
      <c r="DR11" s="208" t="str">
        <f t="shared" si="22"/>
        <v/>
      </c>
      <c r="DS11" s="210">
        <f>IFERROR(__xludf.DUMMYFUNCTION("AVERAGE(ARRAYFORMULA(XLOOKUP(FILTER(INDIRECT(""'""&amp;DS$1&amp;""'!$C$4:$C$66""),INDIRECT(""'""&amp;DS$1&amp;""'!$D$4:$D$66"")=DS$2),$G$4:$BQ$4,$G11:$BQ11)))"),-0.24841803888888883)</f>
        <v>-0.2484180389</v>
      </c>
      <c r="DT11" s="207" t="str">
        <f>IFERROR(__xludf.DUMMYFUNCTION("IF(OR(DS11&gt;$BS11+$BT11*$BT$2,DS11&lt;$BS11-$BT11*$BT$2),AVEDEV(ARRAYFORMULA(XLOOKUP(FILTER(INDIRECT(""'""&amp;DS$1&amp;""'!$C$4:$C$66""),INDIRECT(""'""&amp;DS$1&amp;""'!$D$4:$D$66"")=DS$2),$G$4:$BQ$4,$G11:$BQ11))),"""")"),"")</f>
        <v/>
      </c>
      <c r="DU11" s="208" t="str">
        <f t="shared" si="23"/>
        <v/>
      </c>
      <c r="DV11" s="210">
        <f>IFERROR(__xludf.DUMMYFUNCTION("AVERAGE(ARRAYFORMULA(XLOOKUP(FILTER(INDIRECT(""'""&amp;DV$1&amp;""'!$C$4:$C$66""),INDIRECT(""'""&amp;DV$1&amp;""'!$D$4:$D$66"")=DV$2),$G$4:$BQ$4,$G11:$BQ11)))"),-0.6883802825)</f>
        <v>-0.6883802825</v>
      </c>
      <c r="DW11" s="207" t="str">
        <f>IFERROR(__xludf.DUMMYFUNCTION("IF(OR(DV11&gt;$BS11+$BT11*$BT$2,DV11&lt;$BS11-$BT11*$BT$2),AVEDEV(ARRAYFORMULA(XLOOKUP(FILTER(INDIRECT(""'""&amp;DV$1&amp;""'!$C$4:$C$66""),INDIRECT(""'""&amp;DV$1&amp;""'!$D$4:$D$66"")=DV$2),$G$4:$BQ$4,$G11:$BQ11))),"""")"),"")</f>
        <v/>
      </c>
      <c r="DX11" s="208" t="str">
        <f t="shared" si="24"/>
        <v/>
      </c>
      <c r="DY11" s="210">
        <f>IFERROR(__xludf.DUMMYFUNCTION("AVERAGE(ARRAYFORMULA(XLOOKUP(FILTER(INDIRECT(""'""&amp;DY$1&amp;""'!$C$4:$C$66""),INDIRECT(""'""&amp;DY$1&amp;""'!$D$4:$D$66"")=DY$2),$G$4:$BQ$4,$G11:$BQ11)))"),0.016806145555555558)</f>
        <v>0.01680614556</v>
      </c>
      <c r="DZ11" s="207" t="str">
        <f>IFERROR(__xludf.DUMMYFUNCTION("IF(OR(DY11&gt;$BS11+$BT11*$BT$2,DY11&lt;$BS11-$BT11*$BT$2),AVEDEV(ARRAYFORMULA(XLOOKUP(FILTER(INDIRECT(""'""&amp;DY$1&amp;""'!$C$4:$C$66""),INDIRECT(""'""&amp;DY$1&amp;""'!$D$4:$D$66"")=DY$2),$G$4:$BQ$4,$G11:$BQ11))),"""")"),"")</f>
        <v/>
      </c>
      <c r="EA11" s="208" t="str">
        <f t="shared" si="25"/>
        <v/>
      </c>
      <c r="EB11" s="191"/>
    </row>
    <row r="12" outlineLevel="1">
      <c r="A12" s="2"/>
      <c r="B12" s="204">
        <v>8.0</v>
      </c>
      <c r="C12" s="204" t="s">
        <v>442</v>
      </c>
      <c r="D12" s="204" t="s">
        <v>451</v>
      </c>
      <c r="E12" s="205" t="b">
        <f>VLOOKUP(D12,'Feature Set List'!A8:C246,2,0)</f>
        <v>1</v>
      </c>
      <c r="F12" s="205" t="b">
        <f>VLOOKUP(D12,'Feature Set List'!A8:C246,3,0)</f>
        <v>1</v>
      </c>
      <c r="G12" s="205">
        <v>0.42054063</v>
      </c>
      <c r="H12" s="205">
        <v>1.08600207</v>
      </c>
      <c r="I12" s="205">
        <v>1.05673209</v>
      </c>
      <c r="J12" s="205">
        <v>0.46444559</v>
      </c>
      <c r="K12" s="205">
        <v>4.97804752</v>
      </c>
      <c r="L12" s="205">
        <v>-0.1181129</v>
      </c>
      <c r="M12" s="205">
        <v>-0.4240702</v>
      </c>
      <c r="N12" s="205">
        <v>0.50576791</v>
      </c>
      <c r="O12" s="205">
        <v>-0.4672865</v>
      </c>
      <c r="P12" s="205">
        <v>-0.4270833</v>
      </c>
      <c r="Q12" s="205">
        <v>-0.1927514</v>
      </c>
      <c r="R12" s="205">
        <v>-0.5961605</v>
      </c>
      <c r="S12" s="205">
        <v>0.31981749</v>
      </c>
      <c r="T12" s="205">
        <v>0.0</v>
      </c>
      <c r="U12" s="205">
        <v>-0.5711002</v>
      </c>
      <c r="V12" s="205">
        <v>-0.3434056</v>
      </c>
      <c r="W12" s="205">
        <v>0.43259298</v>
      </c>
      <c r="X12" s="205">
        <v>-0.3898933</v>
      </c>
      <c r="Y12" s="205">
        <v>-0.0119663</v>
      </c>
      <c r="Z12" s="205">
        <v>0.14643595</v>
      </c>
      <c r="AA12" s="205">
        <v>1.19705579</v>
      </c>
      <c r="AB12" s="205">
        <v>-0.4368974</v>
      </c>
      <c r="AC12" s="205">
        <v>0.67708333</v>
      </c>
      <c r="AD12" s="205">
        <v>0.78985882</v>
      </c>
      <c r="AE12" s="205">
        <v>-0.0315083</v>
      </c>
      <c r="AF12" s="205">
        <v>-0.2808196</v>
      </c>
      <c r="AG12" s="205">
        <v>-0.2591253</v>
      </c>
      <c r="AH12" s="205">
        <v>-0.4646178</v>
      </c>
      <c r="AI12" s="205">
        <v>-0.0290117</v>
      </c>
      <c r="AJ12" s="205">
        <v>0.534177</v>
      </c>
      <c r="AK12" s="205">
        <v>-0.0990014</v>
      </c>
      <c r="AL12" s="205">
        <v>-0.3219697</v>
      </c>
      <c r="AM12" s="205">
        <v>2.40573347</v>
      </c>
      <c r="AN12" s="205">
        <v>-0.2240014</v>
      </c>
      <c r="AO12" s="205">
        <v>-0.2938189</v>
      </c>
      <c r="AP12" s="205">
        <v>0.37921832</v>
      </c>
      <c r="AQ12" s="205">
        <v>2.37043733</v>
      </c>
      <c r="AR12" s="205">
        <v>2.01661501</v>
      </c>
      <c r="AS12" s="205">
        <v>0.72615358</v>
      </c>
      <c r="AT12" s="205">
        <v>-0.1458333</v>
      </c>
      <c r="AU12" s="205">
        <v>0.98786157</v>
      </c>
      <c r="AV12" s="205">
        <v>-0.0176481</v>
      </c>
      <c r="AW12" s="205">
        <v>1.93052686</v>
      </c>
      <c r="AX12" s="205">
        <v>-0.1779442</v>
      </c>
      <c r="AY12" s="205">
        <v>-0.4360365</v>
      </c>
      <c r="AZ12" s="205">
        <v>0.9491219</v>
      </c>
      <c r="BA12" s="205">
        <v>-0.082042</v>
      </c>
      <c r="BB12" s="205">
        <v>0.76231061</v>
      </c>
      <c r="BC12" s="205">
        <v>-0.3989325</v>
      </c>
      <c r="BD12" s="205">
        <v>1.34168388</v>
      </c>
      <c r="BE12" s="205">
        <v>-0.5003444</v>
      </c>
      <c r="BF12" s="205">
        <v>0.56172521</v>
      </c>
      <c r="BG12" s="205">
        <v>0.05320248</v>
      </c>
      <c r="BH12" s="205">
        <v>0.73390152</v>
      </c>
      <c r="BI12" s="205">
        <v>1.79020317</v>
      </c>
      <c r="BJ12" s="205">
        <v>-0.1102789</v>
      </c>
      <c r="BK12" s="205">
        <v>0.41107094</v>
      </c>
      <c r="BL12" s="205">
        <v>-0.0490702</v>
      </c>
      <c r="BM12" s="205">
        <v>-0.5672262</v>
      </c>
      <c r="BN12" s="205">
        <v>1.03176653</v>
      </c>
      <c r="BO12" s="205">
        <v>0.31551309</v>
      </c>
      <c r="BP12" s="205">
        <v>0.51179408</v>
      </c>
      <c r="BQ12" s="205">
        <v>-0.1101067</v>
      </c>
      <c r="BR12" s="206"/>
      <c r="BS12" s="207">
        <f t="shared" si="6"/>
        <v>0.3699893971</v>
      </c>
      <c r="BT12" s="207">
        <f t="shared" si="7"/>
        <v>0.6686575869</v>
      </c>
      <c r="BU12" s="206"/>
      <c r="BV12" s="207">
        <f>IFERROR(__xludf.DUMMYFUNCTION("AVERAGE(ARRAYFORMULA(XLOOKUP(FILTER(INDIRECT(""'""&amp;BV$1&amp;""'!$C$4:$C$66""),INDIRECT(""'""&amp;BV$1&amp;""'!$D$4:$D$66"")=BV$2),$G$4:$BQ$4,$G12:$BQ12)))"),-0.21113612714285712)</f>
        <v>-0.2111361271</v>
      </c>
      <c r="BW12" s="207" t="str">
        <f>IFERROR(__xludf.DUMMYFUNCTION("IF(OR(BV12&gt;$BS12+$BT12*$BT$2,BV12&lt;$BS12-$BT12*$BT$2),AVEDEV(ARRAYFORMULA(XLOOKUP(FILTER(INDIRECT(""'""&amp;BV$1&amp;""'!$C$4:$C$66""),INDIRECT(""'""&amp;BV$1&amp;""'!$D$4:$D$66"")=BV$2),$G$4:$BQ$4,$G12:$BQ12))),"""")"),"")</f>
        <v/>
      </c>
      <c r="BX12" s="208" t="str">
        <f t="shared" si="8"/>
        <v/>
      </c>
      <c r="BY12" s="207">
        <f>IFERROR(__xludf.DUMMYFUNCTION("AVERAGE(ARRAYFORMULA(XLOOKUP(FILTER(INDIRECT(""'""&amp;BY$1&amp;""'!$C$4:$C$66""),INDIRECT(""'""&amp;BY$1&amp;""'!$D$4:$D$66"")=BY$2),$G$4:$BQ$4,$G12:$BQ12)))"),0.5121445800000001)</f>
        <v>0.51214458</v>
      </c>
      <c r="BZ12" s="207" t="str">
        <f>IFERROR(__xludf.DUMMYFUNCTION("IF(OR(BY12&gt;$BS12+$BT12*$BT$2,BY12&lt;$BS12-$BT12*$BT$2),AVEDEV(ARRAYFORMULA(XLOOKUP(FILTER(INDIRECT(""'""&amp;BY$1&amp;""'!$C$4:$C$66""),INDIRECT(""'""&amp;BY$1&amp;""'!$D$4:$D$66"")=BY$2),$G$4:$BQ$4,$G12:$BQ12))),"""")"),"")</f>
        <v/>
      </c>
      <c r="CA12" s="208" t="str">
        <f t="shared" si="9"/>
        <v/>
      </c>
      <c r="CB12" s="207">
        <f>IFERROR(__xludf.DUMMYFUNCTION("AVERAGE(ARRAYFORMULA(XLOOKUP(FILTER(INDIRECT(""'""&amp;CB$1&amp;""'!$C$4:$C$66""),INDIRECT(""'""&amp;CB$1&amp;""'!$D$4:$D$66"")=CB$2),$G$4:$BQ$4,$G12:$BQ12)))"),-0.00991499909090909)</f>
        <v>-0.009914999091</v>
      </c>
      <c r="CC12" s="207" t="str">
        <f>IFERROR(__xludf.DUMMYFUNCTION("IF(OR(CB12&gt;$BS12+$BT12*$BT$2,CB12&lt;$BS12-$BT12*$BT$2),AVEDEV(ARRAYFORMULA(XLOOKUP(FILTER(INDIRECT(""'""&amp;CB$1&amp;""'!$C$4:$C$66""),INDIRECT(""'""&amp;CB$1&amp;""'!$D$4:$D$66"")=CB$2),$G$4:$BQ$4,$G12:$BQ12))),"""")"),"")</f>
        <v/>
      </c>
      <c r="CD12" s="208" t="str">
        <f t="shared" si="10"/>
        <v/>
      </c>
      <c r="CE12" s="209" t="s">
        <v>444</v>
      </c>
      <c r="CF12" s="207">
        <f>IFERROR(__xludf.DUMMYFUNCTION("AVERAGE(ARRAYFORMULA(XLOOKUP(FILTER(INDIRECT(""'""&amp;CF$1&amp;""'!$C$4:$C$66""),INDIRECT(""'""&amp;CF$1&amp;""'!$D$4:$D$66"")=CF$2),$G$4:$BQ$4,$G12:$BQ12)))"),0.72246847625)</f>
        <v>0.7224684763</v>
      </c>
      <c r="CG12" s="207" t="str">
        <f>IFERROR(__xludf.DUMMYFUNCTION("IF(OR(CF12&gt;$BS12+$BT12*$BT$2,CF12&lt;$BS12-$BT12*$BT$2),AVEDEV(ARRAYFORMULA(XLOOKUP(FILTER(INDIRECT(""'""&amp;CF$1&amp;""'!$C$4:$C$66""),INDIRECT(""'""&amp;CF$1&amp;""'!$D$4:$D$66"")=CF$2),$G$4:$BQ$4,$G12:$BQ12))),"""")"),"")</f>
        <v/>
      </c>
      <c r="CH12" s="208" t="str">
        <f t="shared" si="11"/>
        <v/>
      </c>
      <c r="CI12" s="207">
        <f>IFERROR(__xludf.DUMMYFUNCTION("AVERAGE(ARRAYFORMULA(XLOOKUP(FILTER(INDIRECT(""'""&amp;CI$1&amp;""'!$C$4:$C$66""),INDIRECT(""'""&amp;CI$1&amp;""'!$D$4:$D$66"")=CI$2),$G$4:$BQ$4,$G12:$BQ12)))"),0.21995523129032257)</f>
        <v>0.2199552313</v>
      </c>
      <c r="CJ12" s="207" t="str">
        <f>IFERROR(__xludf.DUMMYFUNCTION("IF(OR(CI12&gt;$BS12+$BT12*$BT$2,CI12&lt;$BS12-$BT12*$BT$2),AVEDEV(ARRAYFORMULA(XLOOKUP(FILTER(INDIRECT(""'""&amp;CI$1&amp;""'!$C$4:$C$66""),INDIRECT(""'""&amp;CI$1&amp;""'!$D$4:$D$66"")=CI$2),$G$4:$BQ$4,$G12:$BQ12))),"""")"),"")</f>
        <v/>
      </c>
      <c r="CK12" s="208" t="str">
        <f t="shared" si="12"/>
        <v/>
      </c>
      <c r="CL12" s="207">
        <f>IFERROR(__xludf.DUMMYFUNCTION("AVERAGE(ARRAYFORMULA(XLOOKUP(FILTER(INDIRECT(""'""&amp;CL$1&amp;""'!$C$4:$C$66""),INDIRECT(""'""&amp;CL$1&amp;""'!$D$4:$D$66"")=CL$2),$G$4:$BQ$4,$G12:$BQ12)))"),0.05404615199999999)</f>
        <v>0.054046152</v>
      </c>
      <c r="CM12" s="207" t="str">
        <f>IFERROR(__xludf.DUMMYFUNCTION("IF(OR(CL12&gt;$BS12+$BT12*$BT$2,CL12&lt;$BS12-$BT12*$BT$2),AVEDEV(ARRAYFORMULA(XLOOKUP(FILTER(INDIRECT(""'""&amp;CL$1&amp;""'!$C$4:$C$66""),INDIRECT(""'""&amp;CL$1&amp;""'!$D$4:$D$66"")=CL$2),$G$4:$BQ$4,$G12:$BQ12))),"""")"),"")</f>
        <v/>
      </c>
      <c r="CN12" s="208" t="str">
        <f t="shared" si="13"/>
        <v/>
      </c>
      <c r="CO12" s="209" t="s">
        <v>444</v>
      </c>
      <c r="CP12" s="210">
        <f>IFERROR(__xludf.DUMMYFUNCTION("AVERAGE(ARRAYFORMULA(XLOOKUP(FILTER(INDIRECT(""'""&amp;CP$1&amp;""'!$C$4:$C$66""),INDIRECT(""'""&amp;CP$1&amp;""'!$D$4:$D$66"")=CP$2),$G$4:$BQ$4,$G12:$BQ12)))"),0.05059227733333334)</f>
        <v>0.05059227733</v>
      </c>
      <c r="CQ12" s="207" t="str">
        <f>IFERROR(__xludf.DUMMYFUNCTION("IF(OR(CP12&gt;$BS12+$BT12*$BT$2,CP12&lt;$BS12-$BT12*$BT$2),AVEDEV(ARRAYFORMULA(XLOOKUP(FILTER(INDIRECT(""'""&amp;CP$1&amp;""'!$C$4:$C$66""),INDIRECT(""'""&amp;CP$1&amp;""'!$D$4:$D$66"")=CP$2),$G$4:$BQ$4,$G12:$BQ12))),"""")"),"")</f>
        <v/>
      </c>
      <c r="CR12" s="208" t="str">
        <f t="shared" si="14"/>
        <v/>
      </c>
      <c r="CS12" s="210">
        <f>IFERROR(__xludf.DUMMYFUNCTION("AVERAGE(ARRAYFORMULA(XLOOKUP(FILTER(INDIRECT(""'""&amp;CS$1&amp;""'!$C$4:$C$66""),INDIRECT(""'""&amp;CS$1&amp;""'!$D$4:$D$66"")=CS$2),$G$4:$BQ$4,$G12:$BQ12)))"),0.48571819897435903)</f>
        <v>0.485718199</v>
      </c>
      <c r="CT12" s="207" t="str">
        <f>IFERROR(__xludf.DUMMYFUNCTION("IF(OR(CS12&gt;$BS12+$BT12*$BT$2,CS12&lt;$BS12-$BT12*$BT$2),AVEDEV(ARRAYFORMULA(XLOOKUP(FILTER(INDIRECT(""'""&amp;CS$1&amp;""'!$C$4:$C$66""),INDIRECT(""'""&amp;CS$1&amp;""'!$D$4:$D$66"")=CS$2),$G$4:$BQ$4,$G12:$BQ12))),"""")"),"")</f>
        <v/>
      </c>
      <c r="CU12" s="208" t="str">
        <f t="shared" si="15"/>
        <v/>
      </c>
      <c r="CV12" s="210">
        <f>IFERROR(__xludf.DUMMYFUNCTION("AVERAGE(ARRAYFORMULA(XLOOKUP(FILTER(INDIRECT(""'""&amp;CV$1&amp;""'!$C$4:$C$66""),INDIRECT(""'""&amp;CV$1&amp;""'!$D$4:$D$66"")=CV$2),$G$4:$BQ$4,$G12:$BQ12)))"),0.05404615199999999)</f>
        <v>0.054046152</v>
      </c>
      <c r="CW12" s="207" t="str">
        <f>IFERROR(__xludf.DUMMYFUNCTION("IF(OR(CV12&gt;$BS12+$BT12*$BT$2,CV12&lt;$BS12-$BT12*$BT$2),AVEDEV(ARRAYFORMULA(XLOOKUP(FILTER(INDIRECT(""'""&amp;CV$1&amp;""'!$C$4:$C$66""),INDIRECT(""'""&amp;CV$1&amp;""'!$D$4:$D$66"")=CV$2),$G$4:$BQ$4,$G12:$BQ12))),"""")"),"")</f>
        <v/>
      </c>
      <c r="CX12" s="208" t="str">
        <f t="shared" si="16"/>
        <v/>
      </c>
      <c r="CY12" s="209" t="s">
        <v>444</v>
      </c>
      <c r="CZ12" s="210">
        <f>IFERROR(__xludf.DUMMYFUNCTION("AVERAGE(ARRAYFORMULA(XLOOKUP(FILTER(INDIRECT(""'""&amp;CZ$1&amp;""'!$C$4:$C$66""),INDIRECT(""'""&amp;CZ$1&amp;""'!$D$4:$D$66"")=CZ$2),$G$4:$BQ$4,$G12:$BQ12)))"),0.4732265878571429)</f>
        <v>0.4732265879</v>
      </c>
      <c r="DA12" s="207" t="str">
        <f>IFERROR(__xludf.DUMMYFUNCTION("IF(OR(CZ12&gt;$BS12+$BT12*$BT$2,CZ12&lt;$BS12-$BT12*$BT$2),AVEDEV(ARRAYFORMULA(XLOOKUP(FILTER(INDIRECT(""'""&amp;CZ$1&amp;""'!$C$4:$C$66""),INDIRECT(""'""&amp;CZ$1&amp;""'!$D$4:$D$66"")=CZ$2),$G$4:$BQ$4,$G12:$BQ12))),"""")"),"")</f>
        <v/>
      </c>
      <c r="DB12" s="208" t="str">
        <f t="shared" si="17"/>
        <v/>
      </c>
      <c r="DC12" s="210">
        <f>IFERROR(__xludf.DUMMYFUNCTION("AVERAGE(ARRAYFORMULA(XLOOKUP(FILTER(INDIRECT(""'""&amp;DC$1&amp;""'!$C$4:$C$66""),INDIRECT(""'""&amp;DC$1&amp;""'!$D$4:$D$66"")=DC$2),$G$4:$BQ$4,$G12:$BQ12)))"),-0.05455118777777778)</f>
        <v>-0.05455118778</v>
      </c>
      <c r="DD12" s="207" t="str">
        <f>IFERROR(__xludf.DUMMYFUNCTION("IF(OR(DC12&gt;$BS12+$BT12*$BT$2,DC12&lt;$BS12-$BT12*$BT$2),AVEDEV(ARRAYFORMULA(XLOOKUP(FILTER(INDIRECT(""'""&amp;DC$1&amp;""'!$C$4:$C$66""),INDIRECT(""'""&amp;DC$1&amp;""'!$D$4:$D$66"")=DC$2),$G$4:$BQ$4,$G12:$BQ12))),"""")"),"")</f>
        <v/>
      </c>
      <c r="DE12" s="208" t="str">
        <f t="shared" si="18"/>
        <v/>
      </c>
      <c r="DF12" s="210">
        <f>IFERROR(__xludf.DUMMYFUNCTION("AVERAGE(ARRAYFORMULA(XLOOKUP(FILTER(INDIRECT(""'""&amp;DF$1&amp;""'!$C$4:$C$66""),INDIRECT(""'""&amp;DF$1&amp;""'!$D$4:$D$66"")=DF$2),$G$4:$BQ$4,$G12:$BQ12)))"),0.4411391772727272)</f>
        <v>0.4411391773</v>
      </c>
      <c r="DG12" s="207" t="str">
        <f>IFERROR(__xludf.DUMMYFUNCTION("IF(OR(DF12&gt;$BS12+$BT12*$BT$2,DF12&lt;$BS12-$BT12*$BT$2),AVEDEV(ARRAYFORMULA(XLOOKUP(FILTER(INDIRECT(""'""&amp;DF$1&amp;""'!$C$4:$C$66""),INDIRECT(""'""&amp;DF$1&amp;""'!$D$4:$D$66"")=DF$2),$G$4:$BQ$4,$G12:$BQ12))),"""")"),"")</f>
        <v/>
      </c>
      <c r="DH12" s="208" t="str">
        <f t="shared" si="19"/>
        <v/>
      </c>
      <c r="DI12" s="210">
        <f>IFERROR(__xludf.DUMMYFUNCTION("AVERAGE(ARRAYFORMULA(XLOOKUP(FILTER(INDIRECT(""'""&amp;DI$1&amp;""'!$C$4:$C$66""),INDIRECT(""'""&amp;DI$1&amp;""'!$D$4:$D$66"")=DI$2),$G$4:$BQ$4,$G12:$BQ12)))"),0.76188017)</f>
        <v>0.76188017</v>
      </c>
      <c r="DJ12" s="207" t="str">
        <f>IFERROR(__xludf.DUMMYFUNCTION("IF(OR(DI12&gt;$BS12+$BT12*$BT$2,DI12&lt;$BS12-$BT12*$BT$2),AVEDEV(ARRAYFORMULA(XLOOKUP(FILTER(INDIRECT(""'""&amp;DI$1&amp;""'!$C$4:$C$66""),INDIRECT(""'""&amp;DI$1&amp;""'!$D$4:$D$66"")=DI$2),$G$4:$BQ$4,$G12:$BQ12))),"""")"),"")</f>
        <v/>
      </c>
      <c r="DK12" s="208" t="str">
        <f t="shared" si="20"/>
        <v/>
      </c>
      <c r="DL12" s="210">
        <f>IFERROR(__xludf.DUMMYFUNCTION("AVERAGE(ARRAYFORMULA(XLOOKUP(FILTER(INDIRECT(""'""&amp;DL$1&amp;""'!$C$4:$C$66""),INDIRECT(""'""&amp;DL$1&amp;""'!$D$4:$D$66"")=DL$2),$G$4:$BQ$4,$G12:$BQ12)))"),0.26810926000000007)</f>
        <v>0.26810926</v>
      </c>
      <c r="DM12" s="207" t="str">
        <f>IFERROR(__xludf.DUMMYFUNCTION("IF(OR(DL12&gt;$BS12+$BT12*$BT$2,DL12&lt;$BS12-$BT12*$BT$2),AVEDEV(ARRAYFORMULA(XLOOKUP(FILTER(INDIRECT(""'""&amp;DL$1&amp;""'!$C$4:$C$66""),INDIRECT(""'""&amp;DL$1&amp;""'!$D$4:$D$66"")=DL$2),$G$4:$BQ$4,$G12:$BQ12))),"""")"),"")</f>
        <v/>
      </c>
      <c r="DN12" s="208" t="str">
        <f t="shared" si="21"/>
        <v/>
      </c>
      <c r="DO12" s="209" t="s">
        <v>444</v>
      </c>
      <c r="DP12" s="210">
        <f>IFERROR(__xludf.DUMMYFUNCTION("AVERAGE(ARRAYFORMULA(XLOOKUP(FILTER(INDIRECT(""'""&amp;DP$1&amp;""'!$C$4:$C$66""),INDIRECT(""'""&amp;DP$1&amp;""'!$D$4:$D$66"")=DP$2),$G$4:$BQ$4,$G12:$BQ12)))"),0.36173381699999996)</f>
        <v>0.361733817</v>
      </c>
      <c r="DQ12" s="207" t="str">
        <f>IFERROR(__xludf.DUMMYFUNCTION("IF(OR(DP12&gt;$BS12+$BT12*$BT$2,DP12&lt;$BS12-$BT12*$BT$2),AVEDEV(ARRAYFORMULA(XLOOKUP(FILTER(INDIRECT(""'""&amp;DP$1&amp;""'!$C$4:$C$66""),INDIRECT(""'""&amp;DP$1&amp;""'!$D$4:$D$66"")=DP$2),$G$4:$BQ$4,$G12:$BQ12))),"""")"),"")</f>
        <v/>
      </c>
      <c r="DR12" s="208" t="str">
        <f t="shared" si="22"/>
        <v/>
      </c>
      <c r="DS12" s="210">
        <f>IFERROR(__xludf.DUMMYFUNCTION("AVERAGE(ARRAYFORMULA(XLOOKUP(FILTER(INDIRECT(""'""&amp;DS$1&amp;""'!$C$4:$C$66""),INDIRECT(""'""&amp;DS$1&amp;""'!$D$4:$D$66"")=DS$2),$G$4:$BQ$4,$G12:$BQ12)))"),-0.08700545444444442)</f>
        <v>-0.08700545444</v>
      </c>
      <c r="DT12" s="207" t="str">
        <f>IFERROR(__xludf.DUMMYFUNCTION("IF(OR(DS12&gt;$BS12+$BT12*$BT$2,DS12&lt;$BS12-$BT12*$BT$2),AVEDEV(ARRAYFORMULA(XLOOKUP(FILTER(INDIRECT(""'""&amp;DS$1&amp;""'!$C$4:$C$66""),INDIRECT(""'""&amp;DS$1&amp;""'!$D$4:$D$66"")=DS$2),$G$4:$BQ$4,$G12:$BQ12))),"""")"),"")</f>
        <v/>
      </c>
      <c r="DU12" s="208" t="str">
        <f t="shared" si="23"/>
        <v/>
      </c>
      <c r="DV12" s="210">
        <f>IFERROR(__xludf.DUMMYFUNCTION("AVERAGE(ARRAYFORMULA(XLOOKUP(FILTER(INDIRECT(""'""&amp;DV$1&amp;""'!$C$4:$C$66""),INDIRECT(""'""&amp;DV$1&amp;""'!$D$4:$D$66"")=DV$2),$G$4:$BQ$4,$G12:$BQ12)))"),0.11619856)</f>
        <v>0.11619856</v>
      </c>
      <c r="DW12" s="207" t="str">
        <f>IFERROR(__xludf.DUMMYFUNCTION("IF(OR(DV12&gt;$BS12+$BT12*$BT$2,DV12&lt;$BS12-$BT12*$BT$2),AVEDEV(ARRAYFORMULA(XLOOKUP(FILTER(INDIRECT(""'""&amp;DV$1&amp;""'!$C$4:$C$66""),INDIRECT(""'""&amp;DV$1&amp;""'!$D$4:$D$66"")=DV$2),$G$4:$BQ$4,$G12:$BQ12))),"""")"),"")</f>
        <v/>
      </c>
      <c r="DX12" s="208" t="str">
        <f t="shared" si="24"/>
        <v/>
      </c>
      <c r="DY12" s="210">
        <f>IFERROR(__xludf.DUMMYFUNCTION("AVERAGE(ARRAYFORMULA(XLOOKUP(FILTER(INDIRECT(""'""&amp;DY$1&amp;""'!$C$4:$C$66""),INDIRECT(""'""&amp;DY$1&amp;""'!$D$4:$D$66"")=DY$2),$G$4:$BQ$4,$G12:$BQ12)))"),0.8489631077777777)</f>
        <v>0.8489631078</v>
      </c>
      <c r="DZ12" s="207" t="str">
        <f>IFERROR(__xludf.DUMMYFUNCTION("IF(OR(DY12&gt;$BS12+$BT12*$BT$2,DY12&lt;$BS12-$BT12*$BT$2),AVEDEV(ARRAYFORMULA(XLOOKUP(FILTER(INDIRECT(""'""&amp;DY$1&amp;""'!$C$4:$C$66""),INDIRECT(""'""&amp;DY$1&amp;""'!$D$4:$D$66"")=DY$2),$G$4:$BQ$4,$G12:$BQ12))),"""")"),"")</f>
        <v/>
      </c>
      <c r="EA12" s="208" t="str">
        <f t="shared" si="25"/>
        <v/>
      </c>
      <c r="EB12" s="191"/>
    </row>
    <row r="13" outlineLevel="1">
      <c r="A13" s="2"/>
      <c r="B13" s="204">
        <v>9.0</v>
      </c>
      <c r="C13" s="204" t="s">
        <v>442</v>
      </c>
      <c r="D13" s="204" t="s">
        <v>452</v>
      </c>
      <c r="E13" s="205" t="b">
        <f>VLOOKUP(D13,'Feature Set List'!A9:C246,2,0)</f>
        <v>1</v>
      </c>
      <c r="F13" s="205" t="b">
        <f>VLOOKUP(D13,'Feature Set List'!A9:C246,3,0)</f>
        <v>1</v>
      </c>
      <c r="G13" s="205">
        <v>0.0</v>
      </c>
      <c r="H13" s="205">
        <v>0.66666667</v>
      </c>
      <c r="I13" s="205">
        <v>0.0</v>
      </c>
      <c r="J13" s="205">
        <v>-1.0</v>
      </c>
      <c r="K13" s="205">
        <v>0.66666667</v>
      </c>
      <c r="L13" s="205">
        <v>0.33333333</v>
      </c>
      <c r="M13" s="205">
        <v>-0.6666667</v>
      </c>
      <c r="N13" s="205">
        <v>-0.6666667</v>
      </c>
      <c r="O13" s="205">
        <v>-0.6666667</v>
      </c>
      <c r="P13" s="205">
        <v>0.33333333</v>
      </c>
      <c r="Q13" s="205">
        <v>0.0</v>
      </c>
      <c r="R13" s="205">
        <v>-1.0</v>
      </c>
      <c r="S13" s="205">
        <v>0.0</v>
      </c>
      <c r="T13" s="205">
        <v>0.0</v>
      </c>
      <c r="U13" s="205">
        <v>0.0</v>
      </c>
      <c r="V13" s="205">
        <v>-0.6666667</v>
      </c>
      <c r="W13" s="205">
        <v>-1.0</v>
      </c>
      <c r="X13" s="205">
        <v>-0.6666667</v>
      </c>
      <c r="Y13" s="205">
        <v>-1.0</v>
      </c>
      <c r="Z13" s="205">
        <v>-0.6666667</v>
      </c>
      <c r="AA13" s="205">
        <v>0.0</v>
      </c>
      <c r="AB13" s="205">
        <v>-0.6666667</v>
      </c>
      <c r="AC13" s="205">
        <v>-0.3333333</v>
      </c>
      <c r="AD13" s="205">
        <v>0.33333333</v>
      </c>
      <c r="AE13" s="205">
        <v>-0.6666667</v>
      </c>
      <c r="AF13" s="205">
        <v>0.33333333</v>
      </c>
      <c r="AG13" s="205">
        <v>-1.0</v>
      </c>
      <c r="AH13" s="205">
        <v>-0.3333333</v>
      </c>
      <c r="AI13" s="205">
        <v>0.33333333</v>
      </c>
      <c r="AJ13" s="205">
        <v>0.33333333</v>
      </c>
      <c r="AK13" s="205">
        <v>0.33333333</v>
      </c>
      <c r="AL13" s="205">
        <v>-0.3333333</v>
      </c>
      <c r="AM13" s="205">
        <v>-0.3333333</v>
      </c>
      <c r="AN13" s="205">
        <v>0.0</v>
      </c>
      <c r="AO13" s="205">
        <v>-0.6666667</v>
      </c>
      <c r="AP13" s="205">
        <v>-1.0</v>
      </c>
      <c r="AQ13" s="205">
        <v>0.0</v>
      </c>
      <c r="AR13" s="205">
        <v>0.66666667</v>
      </c>
      <c r="AS13" s="205">
        <v>-0.3333333</v>
      </c>
      <c r="AT13" s="205">
        <v>0.66666667</v>
      </c>
      <c r="AU13" s="205">
        <v>-0.3333333</v>
      </c>
      <c r="AV13" s="205">
        <v>-0.3333333</v>
      </c>
      <c r="AW13" s="205">
        <v>0.66666667</v>
      </c>
      <c r="AX13" s="205">
        <v>0.33333333</v>
      </c>
      <c r="AY13" s="205">
        <v>-0.6666667</v>
      </c>
      <c r="AZ13" s="205">
        <v>-0.6666667</v>
      </c>
      <c r="BA13" s="205">
        <v>0.33333333</v>
      </c>
      <c r="BB13" s="205">
        <v>0.0</v>
      </c>
      <c r="BC13" s="205">
        <v>0.0</v>
      </c>
      <c r="BD13" s="205">
        <v>-0.6666667</v>
      </c>
      <c r="BE13" s="205">
        <v>-1.3333333</v>
      </c>
      <c r="BF13" s="205">
        <v>0.0</v>
      </c>
      <c r="BG13" s="205">
        <v>-0.3333333</v>
      </c>
      <c r="BH13" s="205">
        <v>0.33333333</v>
      </c>
      <c r="BI13" s="205">
        <v>0.33333333</v>
      </c>
      <c r="BJ13" s="205">
        <v>0.0</v>
      </c>
      <c r="BK13" s="205">
        <v>0.0</v>
      </c>
      <c r="BL13" s="205">
        <v>-1.3333333</v>
      </c>
      <c r="BM13" s="205">
        <v>0.33333333</v>
      </c>
      <c r="BN13" s="205">
        <v>0.33333333</v>
      </c>
      <c r="BO13" s="205">
        <v>0.0</v>
      </c>
      <c r="BP13" s="205">
        <v>0.33333333</v>
      </c>
      <c r="BQ13" s="205">
        <v>0.33333333</v>
      </c>
      <c r="BR13" s="206"/>
      <c r="BS13" s="207">
        <f t="shared" si="6"/>
        <v>-0.1746031762</v>
      </c>
      <c r="BT13" s="207">
        <f t="shared" si="7"/>
        <v>0.4585537926</v>
      </c>
      <c r="BU13" s="206"/>
      <c r="BV13" s="207">
        <f>IFERROR(__xludf.DUMMYFUNCTION("AVERAGE(ARRAYFORMULA(XLOOKUP(FILTER(INDIRECT(""'""&amp;BV$1&amp;""'!$C$4:$C$66""),INDIRECT(""'""&amp;BV$1&amp;""'!$D$4:$D$66"")=BV$2),$G$4:$BQ$4,$G13:$BQ13)))"),-0.6666666714285715)</f>
        <v>-0.6666666714</v>
      </c>
      <c r="BW13" s="207">
        <f>IFERROR(__xludf.DUMMYFUNCTION("IF(OR(BV13&gt;$BS13+$BT13*$BT$2,BV13&lt;$BS13-$BT13*$BT$2),AVEDEV(ARRAYFORMULA(XLOOKUP(FILTER(INDIRECT(""'""&amp;BV$1&amp;""'!$C$4:$C$66""),INDIRECT(""'""&amp;BV$1&amp;""'!$D$4:$D$66"")=BV$2),$G$4:$BQ$4,$G13:$BQ13))),"""")"),0.3809523836734693)</f>
        <v>0.3809523837</v>
      </c>
      <c r="BX13" s="208">
        <f t="shared" si="8"/>
        <v>-0.03350970265</v>
      </c>
      <c r="BY13" s="207">
        <f>IFERROR(__xludf.DUMMYFUNCTION("AVERAGE(ARRAYFORMULA(XLOOKUP(FILTER(INDIRECT(""'""&amp;BY$1&amp;""'!$C$4:$C$66""),INDIRECT(""'""&amp;BY$1&amp;""'!$D$4:$D$66"")=BY$2),$G$4:$BQ$4,$G13:$BQ13)))"),-0.0873015869047619)</f>
        <v>-0.0873015869</v>
      </c>
      <c r="BZ13" s="207" t="str">
        <f>IFERROR(__xludf.DUMMYFUNCTION("IF(OR(BY13&gt;$BS13+$BT13*$BT$2,BY13&lt;$BS13-$BT13*$BT$2),AVEDEV(ARRAYFORMULA(XLOOKUP(FILTER(INDIRECT(""'""&amp;BY$1&amp;""'!$C$4:$C$66""),INDIRECT(""'""&amp;BY$1&amp;""'!$D$4:$D$66"")=BY$2),$G$4:$BQ$4,$G13:$BQ13))),"""")"),"")</f>
        <v/>
      </c>
      <c r="CA13" s="208" t="str">
        <f t="shared" si="9"/>
        <v/>
      </c>
      <c r="CB13" s="207">
        <f>IFERROR(__xludf.DUMMYFUNCTION("AVERAGE(ARRAYFORMULA(XLOOKUP(FILTER(INDIRECT(""'""&amp;CB$1&amp;""'!$C$4:$C$66""),INDIRECT(""'""&amp;CB$1&amp;""'!$D$4:$D$66"")=CB$2),$G$4:$BQ$4,$G13:$BQ13)))"),-0.1515151590909091)</f>
        <v>-0.1515151591</v>
      </c>
      <c r="CC13" s="207" t="str">
        <f>IFERROR(__xludf.DUMMYFUNCTION("IF(OR(CB13&gt;$BS13+$BT13*$BT$2,CB13&lt;$BS13-$BT13*$BT$2),AVEDEV(ARRAYFORMULA(XLOOKUP(FILTER(INDIRECT(""'""&amp;CB$1&amp;""'!$C$4:$C$66""),INDIRECT(""'""&amp;CB$1&amp;""'!$D$4:$D$66"")=CB$2),$G$4:$BQ$4,$G13:$BQ13))),"""")"),"")</f>
        <v/>
      </c>
      <c r="CD13" s="208" t="str">
        <f t="shared" si="10"/>
        <v/>
      </c>
      <c r="CE13" s="209" t="s">
        <v>444</v>
      </c>
      <c r="CF13" s="207">
        <f>IFERROR(__xludf.DUMMYFUNCTION("AVERAGE(ARRAYFORMULA(XLOOKUP(FILTER(INDIRECT(""'""&amp;CF$1&amp;""'!$C$4:$C$66""),INDIRECT(""'""&amp;CF$1&amp;""'!$D$4:$D$66"")=CF$2),$G$4:$BQ$4,$G13:$BQ13)))"),-0.10416667249999999)</f>
        <v>-0.1041666725</v>
      </c>
      <c r="CG13" s="207" t="str">
        <f>IFERROR(__xludf.DUMMYFUNCTION("IF(OR(CF13&gt;$BS13+$BT13*$BT$2,CF13&lt;$BS13-$BT13*$BT$2),AVEDEV(ARRAYFORMULA(XLOOKUP(FILTER(INDIRECT(""'""&amp;CF$1&amp;""'!$C$4:$C$66""),INDIRECT(""'""&amp;CF$1&amp;""'!$D$4:$D$66"")=CF$2),$G$4:$BQ$4,$G13:$BQ13))),"""")"),"")</f>
        <v/>
      </c>
      <c r="CH13" s="208" t="str">
        <f t="shared" si="11"/>
        <v/>
      </c>
      <c r="CI13" s="207">
        <f>IFERROR(__xludf.DUMMYFUNCTION("AVERAGE(ARRAYFORMULA(XLOOKUP(FILTER(INDIRECT(""'""&amp;CI$1&amp;""'!$C$4:$C$66""),INDIRECT(""'""&amp;CI$1&amp;""'!$D$4:$D$66"")=CI$2),$G$4:$BQ$4,$G13:$BQ13)))"),-0.22580645258064513)</f>
        <v>-0.2258064526</v>
      </c>
      <c r="CJ13" s="207" t="str">
        <f>IFERROR(__xludf.DUMMYFUNCTION("IF(OR(CI13&gt;$BS13+$BT13*$BT$2,CI13&lt;$BS13-$BT13*$BT$2),AVEDEV(ARRAYFORMULA(XLOOKUP(FILTER(INDIRECT(""'""&amp;CI$1&amp;""'!$C$4:$C$66""),INDIRECT(""'""&amp;CI$1&amp;""'!$D$4:$D$66"")=CI$2),$G$4:$BQ$4,$G13:$BQ13))),"""")"),"")</f>
        <v/>
      </c>
      <c r="CK13" s="208" t="str">
        <f t="shared" si="12"/>
        <v/>
      </c>
      <c r="CL13" s="207">
        <f>IFERROR(__xludf.DUMMYFUNCTION("AVERAGE(ARRAYFORMULA(XLOOKUP(FILTER(INDIRECT(""'""&amp;CL$1&amp;""'!$C$4:$C$66""),INDIRECT(""'""&amp;CL$1&amp;""'!$D$4:$D$66"")=CL$2),$G$4:$BQ$4,$G13:$BQ13)))"),1.199999999368373E-8)</f>
        <v>0.00000001199999999</v>
      </c>
      <c r="CM13" s="207" t="str">
        <f>IFERROR(__xludf.DUMMYFUNCTION("IF(OR(CL13&gt;$BS13+$BT13*$BT$2,CL13&lt;$BS13-$BT13*$BT$2),AVEDEV(ARRAYFORMULA(XLOOKUP(FILTER(INDIRECT(""'""&amp;CL$1&amp;""'!$C$4:$C$66""),INDIRECT(""'""&amp;CL$1&amp;""'!$D$4:$D$66"")=CL$2),$G$4:$BQ$4,$G13:$BQ13))),"""")"),"")</f>
        <v/>
      </c>
      <c r="CN13" s="208" t="str">
        <f t="shared" si="13"/>
        <v/>
      </c>
      <c r="CO13" s="209" t="s">
        <v>444</v>
      </c>
      <c r="CP13" s="210">
        <f>IFERROR(__xludf.DUMMYFUNCTION("AVERAGE(ARRAYFORMULA(XLOOKUP(FILTER(INDIRECT(""'""&amp;CP$1&amp;""'!$C$4:$C$66""),INDIRECT(""'""&amp;CP$1&amp;""'!$D$4:$D$66"")=CP$2),$G$4:$BQ$4,$G13:$BQ13)))"),-0.3111111133333333)</f>
        <v>-0.3111111133</v>
      </c>
      <c r="CQ13" s="207" t="str">
        <f>IFERROR(__xludf.DUMMYFUNCTION("IF(OR(CP13&gt;$BS13+$BT13*$BT$2,CP13&lt;$BS13-$BT13*$BT$2),AVEDEV(ARRAYFORMULA(XLOOKUP(FILTER(INDIRECT(""'""&amp;CP$1&amp;""'!$C$4:$C$66""),INDIRECT(""'""&amp;CP$1&amp;""'!$D$4:$D$66"")=CP$2),$G$4:$BQ$4,$G13:$BQ13))),"""")"),"")</f>
        <v/>
      </c>
      <c r="CR13" s="208" t="str">
        <f t="shared" si="14"/>
        <v/>
      </c>
      <c r="CS13" s="210">
        <f>IFERROR(__xludf.DUMMYFUNCTION("AVERAGE(ARRAYFORMULA(XLOOKUP(FILTER(INDIRECT(""'""&amp;CS$1&amp;""'!$C$4:$C$66""),INDIRECT(""'""&amp;CS$1&amp;""'!$D$4:$D$66"")=CS$2),$G$4:$BQ$4,$G13:$BQ13)))"),-0.1025641066666666)</f>
        <v>-0.1025641067</v>
      </c>
      <c r="CT13" s="207" t="str">
        <f>IFERROR(__xludf.DUMMYFUNCTION("IF(OR(CS13&gt;$BS13+$BT13*$BT$2,CS13&lt;$BS13-$BT13*$BT$2),AVEDEV(ARRAYFORMULA(XLOOKUP(FILTER(INDIRECT(""'""&amp;CS$1&amp;""'!$C$4:$C$66""),INDIRECT(""'""&amp;CS$1&amp;""'!$D$4:$D$66"")=CS$2),$G$4:$BQ$4,$G13:$BQ13))),"""")"),"")</f>
        <v/>
      </c>
      <c r="CU13" s="208" t="str">
        <f t="shared" si="15"/>
        <v/>
      </c>
      <c r="CV13" s="210">
        <f>IFERROR(__xludf.DUMMYFUNCTION("AVERAGE(ARRAYFORMULA(XLOOKUP(FILTER(INDIRECT(""'""&amp;CV$1&amp;""'!$C$4:$C$66""),INDIRECT(""'""&amp;CV$1&amp;""'!$D$4:$D$66"")=CV$2),$G$4:$BQ$4,$G13:$BQ13)))"),1.199999999368373E-8)</f>
        <v>0.00000001199999999</v>
      </c>
      <c r="CW13" s="207" t="str">
        <f>IFERROR(__xludf.DUMMYFUNCTION("IF(OR(CV13&gt;$BS13+$BT13*$BT$2,CV13&lt;$BS13-$BT13*$BT$2),AVEDEV(ARRAYFORMULA(XLOOKUP(FILTER(INDIRECT(""'""&amp;CV$1&amp;""'!$C$4:$C$66""),INDIRECT(""'""&amp;CV$1&amp;""'!$D$4:$D$66"")=CV$2),$G$4:$BQ$4,$G13:$BQ13))),"""")"),"")</f>
        <v/>
      </c>
      <c r="CX13" s="208" t="str">
        <f t="shared" si="16"/>
        <v/>
      </c>
      <c r="CY13" s="209" t="s">
        <v>444</v>
      </c>
      <c r="CZ13" s="210">
        <f>IFERROR(__xludf.DUMMYFUNCTION("AVERAGE(ARRAYFORMULA(XLOOKUP(FILTER(INDIRECT(""'""&amp;CZ$1&amp;""'!$C$4:$C$66""),INDIRECT(""'""&amp;CZ$1&amp;""'!$D$4:$D$66"")=CZ$2),$G$4:$BQ$4,$G13:$BQ13)))"),-0.23809524285714284)</f>
        <v>-0.2380952429</v>
      </c>
      <c r="DA13" s="207" t="str">
        <f>IFERROR(__xludf.DUMMYFUNCTION("IF(OR(CZ13&gt;$BS13+$BT13*$BT$2,CZ13&lt;$BS13-$BT13*$BT$2),AVEDEV(ARRAYFORMULA(XLOOKUP(FILTER(INDIRECT(""'""&amp;CZ$1&amp;""'!$C$4:$C$66""),INDIRECT(""'""&amp;CZ$1&amp;""'!$D$4:$D$66"")=CZ$2),$G$4:$BQ$4,$G13:$BQ13))),"""")"),"")</f>
        <v/>
      </c>
      <c r="DB13" s="208" t="str">
        <f t="shared" si="17"/>
        <v/>
      </c>
      <c r="DC13" s="210">
        <f>IFERROR(__xludf.DUMMYFUNCTION("AVERAGE(ARRAYFORMULA(XLOOKUP(FILTER(INDIRECT(""'""&amp;DC$1&amp;""'!$C$4:$C$66""),INDIRECT(""'""&amp;DC$1&amp;""'!$D$4:$D$66"")=DC$2),$G$4:$BQ$4,$G13:$BQ13)))"),-0.14814815333333334)</f>
        <v>-0.1481481533</v>
      </c>
      <c r="DD13" s="207" t="str">
        <f>IFERROR(__xludf.DUMMYFUNCTION("IF(OR(DC13&gt;$BS13+$BT13*$BT$2,DC13&lt;$BS13-$BT13*$BT$2),AVEDEV(ARRAYFORMULA(XLOOKUP(FILTER(INDIRECT(""'""&amp;DC$1&amp;""'!$C$4:$C$66""),INDIRECT(""'""&amp;DC$1&amp;""'!$D$4:$D$66"")=DC$2),$G$4:$BQ$4,$G13:$BQ13))),"""")"),"")</f>
        <v/>
      </c>
      <c r="DE13" s="208" t="str">
        <f t="shared" si="18"/>
        <v/>
      </c>
      <c r="DF13" s="210">
        <f>IFERROR(__xludf.DUMMYFUNCTION("AVERAGE(ARRAYFORMULA(XLOOKUP(FILTER(INDIRECT(""'""&amp;DF$1&amp;""'!$C$4:$C$66""),INDIRECT(""'""&amp;DF$1&amp;""'!$D$4:$D$66"")=DF$2),$G$4:$BQ$4,$G13:$BQ13)))"),-0.21212120272727272)</f>
        <v>-0.2121212027</v>
      </c>
      <c r="DG13" s="207" t="str">
        <f>IFERROR(__xludf.DUMMYFUNCTION("IF(OR(DF13&gt;$BS13+$BT13*$BT$2,DF13&lt;$BS13-$BT13*$BT$2),AVEDEV(ARRAYFORMULA(XLOOKUP(FILTER(INDIRECT(""'""&amp;DF$1&amp;""'!$C$4:$C$66""),INDIRECT(""'""&amp;DF$1&amp;""'!$D$4:$D$66"")=DF$2),$G$4:$BQ$4,$G13:$BQ13))),"""")"),"")</f>
        <v/>
      </c>
      <c r="DH13" s="208" t="str">
        <f t="shared" si="19"/>
        <v/>
      </c>
      <c r="DI13" s="210">
        <f>IFERROR(__xludf.DUMMYFUNCTION("AVERAGE(ARRAYFORMULA(XLOOKUP(FILTER(INDIRECT(""'""&amp;DI$1&amp;""'!$C$4:$C$66""),INDIRECT(""'""&amp;DI$1&amp;""'!$D$4:$D$66"")=DI$2),$G$4:$BQ$4,$G13:$BQ13)))"),0.33333333)</f>
        <v>0.33333333</v>
      </c>
      <c r="DJ13" s="207">
        <f>IFERROR(__xludf.DUMMYFUNCTION("IF(OR(DI13&gt;$BS13+$BT13*$BT$2,DI13&lt;$BS13-$BT13*$BT$2),AVEDEV(ARRAYFORMULA(XLOOKUP(FILTER(INDIRECT(""'""&amp;DI$1&amp;""'!$C$4:$C$66""),INDIRECT(""'""&amp;DI$1&amp;""'!$D$4:$D$66"")=DI$2),$G$4:$BQ$4,$G13:$BQ13))),"""")"),0.0)</f>
        <v>0</v>
      </c>
      <c r="DK13" s="208">
        <f t="shared" si="20"/>
        <v>0.0493827136</v>
      </c>
      <c r="DL13" s="210">
        <f>IFERROR(__xludf.DUMMYFUNCTION("AVERAGE(ARRAYFORMULA(XLOOKUP(FILTER(INDIRECT(""'""&amp;DL$1&amp;""'!$C$4:$C$66""),INDIRECT(""'""&amp;DL$1&amp;""'!$D$4:$D$66"")=DL$2),$G$4:$BQ$4,$G13:$BQ13)))"),0.02380951785714286)</f>
        <v>0.02380951786</v>
      </c>
      <c r="DM13" s="207" t="str">
        <f>IFERROR(__xludf.DUMMYFUNCTION("IF(OR(DL13&gt;$BS13+$BT13*$BT$2,DL13&lt;$BS13-$BT13*$BT$2),AVEDEV(ARRAYFORMULA(XLOOKUP(FILTER(INDIRECT(""'""&amp;DL$1&amp;""'!$C$4:$C$66""),INDIRECT(""'""&amp;DL$1&amp;""'!$D$4:$D$66"")=DL$2),$G$4:$BQ$4,$G13:$BQ13))),"""")"),"")</f>
        <v/>
      </c>
      <c r="DN13" s="208" t="str">
        <f t="shared" si="21"/>
        <v/>
      </c>
      <c r="DO13" s="209" t="s">
        <v>444</v>
      </c>
      <c r="DP13" s="210">
        <f>IFERROR(__xludf.DUMMYFUNCTION("AVERAGE(ARRAYFORMULA(XLOOKUP(FILTER(INDIRECT(""'""&amp;DP$1&amp;""'!$C$4:$C$66""),INDIRECT(""'""&amp;DP$1&amp;""'!$D$4:$D$66"")=DP$2),$G$4:$BQ$4,$G13:$BQ13)))"),-0.16666666699999996)</f>
        <v>-0.166666667</v>
      </c>
      <c r="DQ13" s="207" t="str">
        <f>IFERROR(__xludf.DUMMYFUNCTION("IF(OR(DP13&gt;$BS13+$BT13*$BT$2,DP13&lt;$BS13-$BT13*$BT$2),AVEDEV(ARRAYFORMULA(XLOOKUP(FILTER(INDIRECT(""'""&amp;DP$1&amp;""'!$C$4:$C$66""),INDIRECT(""'""&amp;DP$1&amp;""'!$D$4:$D$66"")=DP$2),$G$4:$BQ$4,$G13:$BQ13))),"""")"),"")</f>
        <v/>
      </c>
      <c r="DR13" s="208" t="str">
        <f t="shared" si="22"/>
        <v/>
      </c>
      <c r="DS13" s="210">
        <f>IFERROR(__xludf.DUMMYFUNCTION("AVERAGE(ARRAYFORMULA(XLOOKUP(FILTER(INDIRECT(""'""&amp;DS$1&amp;""'!$C$4:$C$66""),INDIRECT(""'""&amp;DS$1&amp;""'!$D$4:$D$66"")=DS$2),$G$4:$BQ$4,$G13:$BQ13)))"),-0.07407407555555556)</f>
        <v>-0.07407407556</v>
      </c>
      <c r="DT13" s="207" t="str">
        <f>IFERROR(__xludf.DUMMYFUNCTION("IF(OR(DS13&gt;$BS13+$BT13*$BT$2,DS13&lt;$BS13-$BT13*$BT$2),AVEDEV(ARRAYFORMULA(XLOOKUP(FILTER(INDIRECT(""'""&amp;DS$1&amp;""'!$C$4:$C$66""),INDIRECT(""'""&amp;DS$1&amp;""'!$D$4:$D$66"")=DS$2),$G$4:$BQ$4,$G13:$BQ13))),"""")"),"")</f>
        <v/>
      </c>
      <c r="DU13" s="208" t="str">
        <f t="shared" si="23"/>
        <v/>
      </c>
      <c r="DV13" s="210">
        <f>IFERROR(__xludf.DUMMYFUNCTION("AVERAGE(ARRAYFORMULA(XLOOKUP(FILTER(INDIRECT(""'""&amp;DV$1&amp;""'!$C$4:$C$66""),INDIRECT(""'""&amp;DV$1&amp;""'!$D$4:$D$66"")=DV$2),$G$4:$BQ$4,$G13:$BQ13)))"),-0.33333334625)</f>
        <v>-0.3333333463</v>
      </c>
      <c r="DW13" s="207" t="str">
        <f>IFERROR(__xludf.DUMMYFUNCTION("IF(OR(DV13&gt;$BS13+$BT13*$BT$2,DV13&lt;$BS13-$BT13*$BT$2),AVEDEV(ARRAYFORMULA(XLOOKUP(FILTER(INDIRECT(""'""&amp;DV$1&amp;""'!$C$4:$C$66""),INDIRECT(""'""&amp;DV$1&amp;""'!$D$4:$D$66"")=DV$2),$G$4:$BQ$4,$G13:$BQ13))),"""")"),"")</f>
        <v/>
      </c>
      <c r="DX13" s="208" t="str">
        <f t="shared" si="24"/>
        <v/>
      </c>
      <c r="DY13" s="210">
        <f>IFERROR(__xludf.DUMMYFUNCTION("AVERAGE(ARRAYFORMULA(XLOOKUP(FILTER(INDIRECT(""'""&amp;DY$1&amp;""'!$C$4:$C$66""),INDIRECT(""'""&amp;DY$1&amp;""'!$D$4:$D$66"")=DY$2),$G$4:$BQ$4,$G13:$BQ13)))"),0.03703704333333333)</f>
        <v>0.03703704333</v>
      </c>
      <c r="DZ13" s="207" t="str">
        <f>IFERROR(__xludf.DUMMYFUNCTION("IF(OR(DY13&gt;$BS13+$BT13*$BT$2,DY13&lt;$BS13-$BT13*$BT$2),AVEDEV(ARRAYFORMULA(XLOOKUP(FILTER(INDIRECT(""'""&amp;DY$1&amp;""'!$C$4:$C$66""),INDIRECT(""'""&amp;DY$1&amp;""'!$D$4:$D$66"")=DY$2),$G$4:$BQ$4,$G13:$BQ13))),"""")"),"")</f>
        <v/>
      </c>
      <c r="EA13" s="208" t="str">
        <f t="shared" si="25"/>
        <v/>
      </c>
      <c r="EB13" s="191"/>
    </row>
    <row r="14" outlineLevel="1">
      <c r="A14" s="2"/>
      <c r="B14" s="204">
        <v>10.0</v>
      </c>
      <c r="C14" s="204" t="s">
        <v>442</v>
      </c>
      <c r="D14" s="204" t="s">
        <v>453</v>
      </c>
      <c r="E14" s="205" t="b">
        <f>VLOOKUP(D14,'Feature Set List'!A10:C246,2,0)</f>
        <v>1</v>
      </c>
      <c r="F14" s="205" t="b">
        <f>VLOOKUP(D14,'Feature Set List'!A10:C246,3,0)</f>
        <v>1</v>
      </c>
      <c r="G14" s="205">
        <v>0.0</v>
      </c>
      <c r="H14" s="205">
        <v>1.0</v>
      </c>
      <c r="I14" s="205">
        <v>0.0</v>
      </c>
      <c r="J14" s="205">
        <v>1.0</v>
      </c>
      <c r="K14" s="205">
        <v>1.0</v>
      </c>
      <c r="L14" s="205">
        <v>0.0</v>
      </c>
      <c r="M14" s="205">
        <v>0.0</v>
      </c>
      <c r="N14" s="205">
        <v>0.0</v>
      </c>
      <c r="O14" s="205">
        <v>-1.0</v>
      </c>
      <c r="P14" s="205">
        <v>0.0</v>
      </c>
      <c r="Q14" s="205">
        <v>-1.0</v>
      </c>
      <c r="R14" s="205">
        <v>0.0</v>
      </c>
      <c r="S14" s="205">
        <v>0.0</v>
      </c>
      <c r="T14" s="205">
        <v>0.0</v>
      </c>
      <c r="U14" s="205">
        <v>-1.0</v>
      </c>
      <c r="V14" s="205">
        <v>0.0</v>
      </c>
      <c r="W14" s="205">
        <v>0.0</v>
      </c>
      <c r="X14" s="205">
        <v>-1.0</v>
      </c>
      <c r="Y14" s="205">
        <v>1.0</v>
      </c>
      <c r="Z14" s="205">
        <v>0.0</v>
      </c>
      <c r="AA14" s="205">
        <v>1.0</v>
      </c>
      <c r="AB14" s="205">
        <v>-1.0</v>
      </c>
      <c r="AC14" s="205">
        <v>1.0</v>
      </c>
      <c r="AD14" s="205">
        <v>0.0</v>
      </c>
      <c r="AE14" s="205">
        <v>0.0</v>
      </c>
      <c r="AF14" s="205">
        <v>0.0</v>
      </c>
      <c r="AG14" s="205">
        <v>1.0</v>
      </c>
      <c r="AH14" s="205">
        <v>1.0</v>
      </c>
      <c r="AI14" s="205">
        <v>0.0</v>
      </c>
      <c r="AJ14" s="205">
        <v>0.0</v>
      </c>
      <c r="AK14" s="205">
        <v>0.0</v>
      </c>
      <c r="AL14" s="205">
        <v>1.0</v>
      </c>
      <c r="AM14" s="205">
        <v>1.0</v>
      </c>
      <c r="AN14" s="205">
        <v>0.0</v>
      </c>
      <c r="AO14" s="205">
        <v>0.0</v>
      </c>
      <c r="AP14" s="205">
        <v>0.0</v>
      </c>
      <c r="AQ14" s="205">
        <v>-1.0</v>
      </c>
      <c r="AR14" s="205">
        <v>0.0</v>
      </c>
      <c r="AS14" s="205">
        <v>0.0</v>
      </c>
      <c r="AT14" s="205">
        <v>1.0</v>
      </c>
      <c r="AU14" s="205">
        <v>-1.0</v>
      </c>
      <c r="AV14" s="205">
        <v>-1.0</v>
      </c>
      <c r="AW14" s="205">
        <v>0.0</v>
      </c>
      <c r="AX14" s="205">
        <v>-1.0</v>
      </c>
      <c r="AY14" s="205">
        <v>1.0</v>
      </c>
      <c r="AZ14" s="205">
        <v>-1.0</v>
      </c>
      <c r="BA14" s="205">
        <v>0.0</v>
      </c>
      <c r="BB14" s="205">
        <v>0.0</v>
      </c>
      <c r="BC14" s="205">
        <v>0.0</v>
      </c>
      <c r="BD14" s="205">
        <v>1.0</v>
      </c>
      <c r="BE14" s="205">
        <v>-1.0</v>
      </c>
      <c r="BF14" s="205">
        <v>1.0</v>
      </c>
      <c r="BG14" s="205">
        <v>0.0</v>
      </c>
      <c r="BH14" s="205">
        <v>0.0</v>
      </c>
      <c r="BI14" s="205">
        <v>0.0</v>
      </c>
      <c r="BJ14" s="205">
        <v>1.0</v>
      </c>
      <c r="BK14" s="205">
        <v>-1.0</v>
      </c>
      <c r="BL14" s="205">
        <v>1.0</v>
      </c>
      <c r="BM14" s="205">
        <v>0.0</v>
      </c>
      <c r="BN14" s="205">
        <v>1.0</v>
      </c>
      <c r="BO14" s="205">
        <v>0.0</v>
      </c>
      <c r="BP14" s="205">
        <v>0.0</v>
      </c>
      <c r="BQ14" s="205">
        <v>0.0</v>
      </c>
      <c r="BR14" s="206"/>
      <c r="BS14" s="207">
        <f t="shared" si="6"/>
        <v>0.07936507937</v>
      </c>
      <c r="BT14" s="207">
        <f t="shared" si="7"/>
        <v>0.4968505921</v>
      </c>
      <c r="BU14" s="206"/>
      <c r="BV14" s="207">
        <f>IFERROR(__xludf.DUMMYFUNCTION("AVERAGE(ARRAYFORMULA(XLOOKUP(FILTER(INDIRECT(""'""&amp;BV$1&amp;""'!$C$4:$C$66""),INDIRECT(""'""&amp;BV$1&amp;""'!$D$4:$D$66"")=BV$2),$G$4:$BQ$4,$G14:$BQ14)))"),-0.14285714285714285)</f>
        <v>-0.1428571429</v>
      </c>
      <c r="BW14" s="207" t="str">
        <f>IFERROR(__xludf.DUMMYFUNCTION("IF(OR(BV14&gt;$BS14+$BT14*$BT$2,BV14&lt;$BS14-$BT14*$BT$2),AVEDEV(ARRAYFORMULA(XLOOKUP(FILTER(INDIRECT(""'""&amp;BV$1&amp;""'!$C$4:$C$66""),INDIRECT(""'""&amp;BV$1&amp;""'!$D$4:$D$66"")=BV$2),$G$4:$BQ$4,$G14:$BQ14))),"""")"),"")</f>
        <v/>
      </c>
      <c r="BX14" s="208" t="str">
        <f t="shared" si="8"/>
        <v/>
      </c>
      <c r="BY14" s="207">
        <f>IFERROR(__xludf.DUMMYFUNCTION("AVERAGE(ARRAYFORMULA(XLOOKUP(FILTER(INDIRECT(""'""&amp;BY$1&amp;""'!$C$4:$C$66""),INDIRECT(""'""&amp;BY$1&amp;""'!$D$4:$D$66"")=BY$2),$G$4:$BQ$4,$G14:$BQ14)))"),0.14285714285714285)</f>
        <v>0.1428571429</v>
      </c>
      <c r="BZ14" s="207" t="str">
        <f>IFERROR(__xludf.DUMMYFUNCTION("IF(OR(BY14&gt;$BS14+$BT14*$BT$2,BY14&lt;$BS14-$BT14*$BT$2),AVEDEV(ARRAYFORMULA(XLOOKUP(FILTER(INDIRECT(""'""&amp;BY$1&amp;""'!$C$4:$C$66""),INDIRECT(""'""&amp;BY$1&amp;""'!$D$4:$D$66"")=BY$2),$G$4:$BQ$4,$G14:$BQ14))),"""")"),"")</f>
        <v/>
      </c>
      <c r="CA14" s="208" t="str">
        <f t="shared" si="9"/>
        <v/>
      </c>
      <c r="CB14" s="207">
        <f>IFERROR(__xludf.DUMMYFUNCTION("AVERAGE(ARRAYFORMULA(XLOOKUP(FILTER(INDIRECT(""'""&amp;CB$1&amp;""'!$C$4:$C$66""),INDIRECT(""'""&amp;CB$1&amp;""'!$D$4:$D$66"")=CB$2),$G$4:$BQ$4,$G14:$BQ14)))"),0.0)</f>
        <v>0</v>
      </c>
      <c r="CC14" s="207" t="str">
        <f>IFERROR(__xludf.DUMMYFUNCTION("IF(OR(CB14&gt;$BS14+$BT14*$BT$2,CB14&lt;$BS14-$BT14*$BT$2),AVEDEV(ARRAYFORMULA(XLOOKUP(FILTER(INDIRECT(""'""&amp;CB$1&amp;""'!$C$4:$C$66""),INDIRECT(""'""&amp;CB$1&amp;""'!$D$4:$D$66"")=CB$2),$G$4:$BQ$4,$G14:$BQ14))),"""")"),"")</f>
        <v/>
      </c>
      <c r="CD14" s="208" t="str">
        <f t="shared" si="10"/>
        <v/>
      </c>
      <c r="CE14" s="209" t="s">
        <v>444</v>
      </c>
      <c r="CF14" s="207">
        <f>IFERROR(__xludf.DUMMYFUNCTION("AVERAGE(ARRAYFORMULA(XLOOKUP(FILTER(INDIRECT(""'""&amp;CF$1&amp;""'!$C$4:$C$66""),INDIRECT(""'""&amp;CF$1&amp;""'!$D$4:$D$66"")=CF$2),$G$4:$BQ$4,$G14:$BQ14)))"),0.25)</f>
        <v>0.25</v>
      </c>
      <c r="CG14" s="207" t="str">
        <f>IFERROR(__xludf.DUMMYFUNCTION("IF(OR(CF14&gt;$BS14+$BT14*$BT$2,CF14&lt;$BS14-$BT14*$BT$2),AVEDEV(ARRAYFORMULA(XLOOKUP(FILTER(INDIRECT(""'""&amp;CF$1&amp;""'!$C$4:$C$66""),INDIRECT(""'""&amp;CF$1&amp;""'!$D$4:$D$66"")=CF$2),$G$4:$BQ$4,$G14:$BQ14))),"""")"),"")</f>
        <v/>
      </c>
      <c r="CH14" s="208" t="str">
        <f t="shared" si="11"/>
        <v/>
      </c>
      <c r="CI14" s="207">
        <f>IFERROR(__xludf.DUMMYFUNCTION("AVERAGE(ARRAYFORMULA(XLOOKUP(FILTER(INDIRECT(""'""&amp;CI$1&amp;""'!$C$4:$C$66""),INDIRECT(""'""&amp;CI$1&amp;""'!$D$4:$D$66"")=CI$2),$G$4:$BQ$4,$G14:$BQ14)))"),0.06451612903225806)</f>
        <v>0.06451612903</v>
      </c>
      <c r="CJ14" s="207" t="str">
        <f>IFERROR(__xludf.DUMMYFUNCTION("IF(OR(CI14&gt;$BS14+$BT14*$BT$2,CI14&lt;$BS14-$BT14*$BT$2),AVEDEV(ARRAYFORMULA(XLOOKUP(FILTER(INDIRECT(""'""&amp;CI$1&amp;""'!$C$4:$C$66""),INDIRECT(""'""&amp;CI$1&amp;""'!$D$4:$D$66"")=CI$2),$G$4:$BQ$4,$G14:$BQ14))),"""")"),"")</f>
        <v/>
      </c>
      <c r="CK14" s="208" t="str">
        <f t="shared" si="12"/>
        <v/>
      </c>
      <c r="CL14" s="207">
        <f>IFERROR(__xludf.DUMMYFUNCTION("AVERAGE(ARRAYFORMULA(XLOOKUP(FILTER(INDIRECT(""'""&amp;CL$1&amp;""'!$C$4:$C$66""),INDIRECT(""'""&amp;CL$1&amp;""'!$D$4:$D$66"")=CL$2),$G$4:$BQ$4,$G14:$BQ14)))"),0.0)</f>
        <v>0</v>
      </c>
      <c r="CM14" s="207" t="str">
        <f>IFERROR(__xludf.DUMMYFUNCTION("IF(OR(CL14&gt;$BS14+$BT14*$BT$2,CL14&lt;$BS14-$BT14*$BT$2),AVEDEV(ARRAYFORMULA(XLOOKUP(FILTER(INDIRECT(""'""&amp;CL$1&amp;""'!$C$4:$C$66""),INDIRECT(""'""&amp;CL$1&amp;""'!$D$4:$D$66"")=CL$2),$G$4:$BQ$4,$G14:$BQ14))),"""")"),"")</f>
        <v/>
      </c>
      <c r="CN14" s="208" t="str">
        <f t="shared" si="13"/>
        <v/>
      </c>
      <c r="CO14" s="209" t="s">
        <v>444</v>
      </c>
      <c r="CP14" s="210">
        <f>IFERROR(__xludf.DUMMYFUNCTION("AVERAGE(ARRAYFORMULA(XLOOKUP(FILTER(INDIRECT(""'""&amp;CP$1&amp;""'!$C$4:$C$66""),INDIRECT(""'""&amp;CP$1&amp;""'!$D$4:$D$66"")=CP$2),$G$4:$BQ$4,$G14:$BQ14)))"),0.06666666666666667)</f>
        <v>0.06666666667</v>
      </c>
      <c r="CQ14" s="207" t="str">
        <f>IFERROR(__xludf.DUMMYFUNCTION("IF(OR(CP14&gt;$BS14+$BT14*$BT$2,CP14&lt;$BS14-$BT14*$BT$2),AVEDEV(ARRAYFORMULA(XLOOKUP(FILTER(INDIRECT(""'""&amp;CP$1&amp;""'!$C$4:$C$66""),INDIRECT(""'""&amp;CP$1&amp;""'!$D$4:$D$66"")=CP$2),$G$4:$BQ$4,$G14:$BQ14))),"""")"),"")</f>
        <v/>
      </c>
      <c r="CR14" s="208" t="str">
        <f t="shared" si="14"/>
        <v/>
      </c>
      <c r="CS14" s="210">
        <f>IFERROR(__xludf.DUMMYFUNCTION("AVERAGE(ARRAYFORMULA(XLOOKUP(FILTER(INDIRECT(""'""&amp;CS$1&amp;""'!$C$4:$C$66""),INDIRECT(""'""&amp;CS$1&amp;""'!$D$4:$D$66"")=CS$2),$G$4:$BQ$4,$G14:$BQ14)))"),0.07692307692307693)</f>
        <v>0.07692307692</v>
      </c>
      <c r="CT14" s="207" t="str">
        <f>IFERROR(__xludf.DUMMYFUNCTION("IF(OR(CS14&gt;$BS14+$BT14*$BT$2,CS14&lt;$BS14-$BT14*$BT$2),AVEDEV(ARRAYFORMULA(XLOOKUP(FILTER(INDIRECT(""'""&amp;CS$1&amp;""'!$C$4:$C$66""),INDIRECT(""'""&amp;CS$1&amp;""'!$D$4:$D$66"")=CS$2),$G$4:$BQ$4,$G14:$BQ14))),"""")"),"")</f>
        <v/>
      </c>
      <c r="CU14" s="208" t="str">
        <f t="shared" si="15"/>
        <v/>
      </c>
      <c r="CV14" s="210">
        <f>IFERROR(__xludf.DUMMYFUNCTION("AVERAGE(ARRAYFORMULA(XLOOKUP(FILTER(INDIRECT(""'""&amp;CV$1&amp;""'!$C$4:$C$66""),INDIRECT(""'""&amp;CV$1&amp;""'!$D$4:$D$66"")=CV$2),$G$4:$BQ$4,$G14:$BQ14)))"),0.0)</f>
        <v>0</v>
      </c>
      <c r="CW14" s="207" t="str">
        <f>IFERROR(__xludf.DUMMYFUNCTION("IF(OR(CV14&gt;$BS14+$BT14*$BT$2,CV14&lt;$BS14-$BT14*$BT$2),AVEDEV(ARRAYFORMULA(XLOOKUP(FILTER(INDIRECT(""'""&amp;CV$1&amp;""'!$C$4:$C$66""),INDIRECT(""'""&amp;CV$1&amp;""'!$D$4:$D$66"")=CV$2),$G$4:$BQ$4,$G14:$BQ14))),"""")"),"")</f>
        <v/>
      </c>
      <c r="CX14" s="208" t="str">
        <f t="shared" si="16"/>
        <v/>
      </c>
      <c r="CY14" s="209" t="s">
        <v>444</v>
      </c>
      <c r="CZ14" s="210">
        <f>IFERROR(__xludf.DUMMYFUNCTION("AVERAGE(ARRAYFORMULA(XLOOKUP(FILTER(INDIRECT(""'""&amp;CZ$1&amp;""'!$C$4:$C$66""),INDIRECT(""'""&amp;CZ$1&amp;""'!$D$4:$D$66"")=CZ$2),$G$4:$BQ$4,$G14:$BQ14)))"),0.21428571428571427)</f>
        <v>0.2142857143</v>
      </c>
      <c r="DA14" s="207" t="str">
        <f>IFERROR(__xludf.DUMMYFUNCTION("IF(OR(CZ14&gt;$BS14+$BT14*$BT$2,CZ14&lt;$BS14-$BT14*$BT$2),AVEDEV(ARRAYFORMULA(XLOOKUP(FILTER(INDIRECT(""'""&amp;CZ$1&amp;""'!$C$4:$C$66""),INDIRECT(""'""&amp;CZ$1&amp;""'!$D$4:$D$66"")=CZ$2),$G$4:$BQ$4,$G14:$BQ14))),"""")"),"")</f>
        <v/>
      </c>
      <c r="DB14" s="208" t="str">
        <f t="shared" si="17"/>
        <v/>
      </c>
      <c r="DC14" s="210">
        <f>IFERROR(__xludf.DUMMYFUNCTION("AVERAGE(ARRAYFORMULA(XLOOKUP(FILTER(INDIRECT(""'""&amp;DC$1&amp;""'!$C$4:$C$66""),INDIRECT(""'""&amp;DC$1&amp;""'!$D$4:$D$66"")=DC$2),$G$4:$BQ$4,$G14:$BQ14)))"),0.1111111111111111)</f>
        <v>0.1111111111</v>
      </c>
      <c r="DD14" s="207" t="str">
        <f>IFERROR(__xludf.DUMMYFUNCTION("IF(OR(DC14&gt;$BS14+$BT14*$BT$2,DC14&lt;$BS14-$BT14*$BT$2),AVEDEV(ARRAYFORMULA(XLOOKUP(FILTER(INDIRECT(""'""&amp;DC$1&amp;""'!$C$4:$C$66""),INDIRECT(""'""&amp;DC$1&amp;""'!$D$4:$D$66"")=DC$2),$G$4:$BQ$4,$G14:$BQ14))),"""")"),"")</f>
        <v/>
      </c>
      <c r="DE14" s="208" t="str">
        <f t="shared" si="18"/>
        <v/>
      </c>
      <c r="DF14" s="210">
        <f>IFERROR(__xludf.DUMMYFUNCTION("AVERAGE(ARRAYFORMULA(XLOOKUP(FILTER(INDIRECT(""'""&amp;DF$1&amp;""'!$C$4:$C$66""),INDIRECT(""'""&amp;DF$1&amp;""'!$D$4:$D$66"")=DF$2),$G$4:$BQ$4,$G14:$BQ14)))"),0.18181818181818182)</f>
        <v>0.1818181818</v>
      </c>
      <c r="DG14" s="207" t="str">
        <f>IFERROR(__xludf.DUMMYFUNCTION("IF(OR(DF14&gt;$BS14+$BT14*$BT$2,DF14&lt;$BS14-$BT14*$BT$2),AVEDEV(ARRAYFORMULA(XLOOKUP(FILTER(INDIRECT(""'""&amp;DF$1&amp;""'!$C$4:$C$66""),INDIRECT(""'""&amp;DF$1&amp;""'!$D$4:$D$66"")=DF$2),$G$4:$BQ$4,$G14:$BQ14))),"""")"),"")</f>
        <v/>
      </c>
      <c r="DH14" s="208" t="str">
        <f t="shared" si="19"/>
        <v/>
      </c>
      <c r="DI14" s="210">
        <f>IFERROR(__xludf.DUMMYFUNCTION("AVERAGE(ARRAYFORMULA(XLOOKUP(FILTER(INDIRECT(""'""&amp;DI$1&amp;""'!$C$4:$C$66""),INDIRECT(""'""&amp;DI$1&amp;""'!$D$4:$D$66"")=DI$2),$G$4:$BQ$4,$G14:$BQ14)))"),0.0)</f>
        <v>0</v>
      </c>
      <c r="DJ14" s="207" t="str">
        <f>IFERROR(__xludf.DUMMYFUNCTION("IF(OR(DI14&gt;$BS14+$BT14*$BT$2,DI14&lt;$BS14-$BT14*$BT$2),AVEDEV(ARRAYFORMULA(XLOOKUP(FILTER(INDIRECT(""'""&amp;DI$1&amp;""'!$C$4:$C$66""),INDIRECT(""'""&amp;DI$1&amp;""'!$D$4:$D$66"")=DI$2),$G$4:$BQ$4,$G14:$BQ14))),"""")"),"")</f>
        <v/>
      </c>
      <c r="DK14" s="208" t="str">
        <f t="shared" si="20"/>
        <v/>
      </c>
      <c r="DL14" s="210">
        <f>IFERROR(__xludf.DUMMYFUNCTION("AVERAGE(ARRAYFORMULA(XLOOKUP(FILTER(INDIRECT(""'""&amp;DL$1&amp;""'!$C$4:$C$66""),INDIRECT(""'""&amp;DL$1&amp;""'!$D$4:$D$66"")=DL$2),$G$4:$BQ$4,$G14:$BQ14)))"),-0.07142857142857142)</f>
        <v>-0.07142857143</v>
      </c>
      <c r="DM14" s="207" t="str">
        <f>IFERROR(__xludf.DUMMYFUNCTION("IF(OR(DL14&gt;$BS14+$BT14*$BT$2,DL14&lt;$BS14-$BT14*$BT$2),AVEDEV(ARRAYFORMULA(XLOOKUP(FILTER(INDIRECT(""'""&amp;DL$1&amp;""'!$C$4:$C$66""),INDIRECT(""'""&amp;DL$1&amp;""'!$D$4:$D$66"")=DL$2),$G$4:$BQ$4,$G14:$BQ14))),"""")"),"")</f>
        <v/>
      </c>
      <c r="DN14" s="208" t="str">
        <f t="shared" si="21"/>
        <v/>
      </c>
      <c r="DO14" s="209" t="s">
        <v>444</v>
      </c>
      <c r="DP14" s="210">
        <f>IFERROR(__xludf.DUMMYFUNCTION("AVERAGE(ARRAYFORMULA(XLOOKUP(FILTER(INDIRECT(""'""&amp;DP$1&amp;""'!$C$4:$C$66""),INDIRECT(""'""&amp;DP$1&amp;""'!$D$4:$D$66"")=DP$2),$G$4:$BQ$4,$G14:$BQ14)))"),0.13333333333333333)</f>
        <v>0.1333333333</v>
      </c>
      <c r="DQ14" s="207" t="str">
        <f>IFERROR(__xludf.DUMMYFUNCTION("IF(OR(DP14&gt;$BS14+$BT14*$BT$2,DP14&lt;$BS14-$BT14*$BT$2),AVEDEV(ARRAYFORMULA(XLOOKUP(FILTER(INDIRECT(""'""&amp;DP$1&amp;""'!$C$4:$C$66""),INDIRECT(""'""&amp;DP$1&amp;""'!$D$4:$D$66"")=DP$2),$G$4:$BQ$4,$G14:$BQ14))),"""")"),"")</f>
        <v/>
      </c>
      <c r="DR14" s="208" t="str">
        <f t="shared" si="22"/>
        <v/>
      </c>
      <c r="DS14" s="210">
        <f>IFERROR(__xludf.DUMMYFUNCTION("AVERAGE(ARRAYFORMULA(XLOOKUP(FILTER(INDIRECT(""'""&amp;DS$1&amp;""'!$C$4:$C$66""),INDIRECT(""'""&amp;DS$1&amp;""'!$D$4:$D$66"")=DS$2),$G$4:$BQ$4,$G14:$BQ14)))"),-0.1111111111111111)</f>
        <v>-0.1111111111</v>
      </c>
      <c r="DT14" s="207" t="str">
        <f>IFERROR(__xludf.DUMMYFUNCTION("IF(OR(DS14&gt;$BS14+$BT14*$BT$2,DS14&lt;$BS14-$BT14*$BT$2),AVEDEV(ARRAYFORMULA(XLOOKUP(FILTER(INDIRECT(""'""&amp;DS$1&amp;""'!$C$4:$C$66""),INDIRECT(""'""&amp;DS$1&amp;""'!$D$4:$D$66"")=DS$2),$G$4:$BQ$4,$G14:$BQ14))),"""")"),"")</f>
        <v/>
      </c>
      <c r="DU14" s="208" t="str">
        <f t="shared" si="23"/>
        <v/>
      </c>
      <c r="DV14" s="210">
        <f>IFERROR(__xludf.DUMMYFUNCTION("AVERAGE(ARRAYFORMULA(XLOOKUP(FILTER(INDIRECT(""'""&amp;DV$1&amp;""'!$C$4:$C$66""),INDIRECT(""'""&amp;DV$1&amp;""'!$D$4:$D$66"")=DV$2),$G$4:$BQ$4,$G14:$BQ14)))"),-0.125)</f>
        <v>-0.125</v>
      </c>
      <c r="DW14" s="207" t="str">
        <f>IFERROR(__xludf.DUMMYFUNCTION("IF(OR(DV14&gt;$BS14+$BT14*$BT$2,DV14&lt;$BS14-$BT14*$BT$2),AVEDEV(ARRAYFORMULA(XLOOKUP(FILTER(INDIRECT(""'""&amp;DV$1&amp;""'!$C$4:$C$66""),INDIRECT(""'""&amp;DV$1&amp;""'!$D$4:$D$66"")=DV$2),$G$4:$BQ$4,$G14:$BQ14))),"""")"),"")</f>
        <v/>
      </c>
      <c r="DX14" s="208" t="str">
        <f t="shared" si="24"/>
        <v/>
      </c>
      <c r="DY14" s="210">
        <f>IFERROR(__xludf.DUMMYFUNCTION("AVERAGE(ARRAYFORMULA(XLOOKUP(FILTER(INDIRECT(""'""&amp;DY$1&amp;""'!$C$4:$C$66""),INDIRECT(""'""&amp;DY$1&amp;""'!$D$4:$D$66"")=DY$2),$G$4:$BQ$4,$G14:$BQ14)))"),0.3333333333333333)</f>
        <v>0.3333333333</v>
      </c>
      <c r="DZ14" s="207" t="str">
        <f>IFERROR(__xludf.DUMMYFUNCTION("IF(OR(DY14&gt;$BS14+$BT14*$BT$2,DY14&lt;$BS14-$BT14*$BT$2),AVEDEV(ARRAYFORMULA(XLOOKUP(FILTER(INDIRECT(""'""&amp;DY$1&amp;""'!$C$4:$C$66""),INDIRECT(""'""&amp;DY$1&amp;""'!$D$4:$D$66"")=DY$2),$G$4:$BQ$4,$G14:$BQ14))),"""")"),"")</f>
        <v/>
      </c>
      <c r="EA14" s="208" t="str">
        <f t="shared" si="25"/>
        <v/>
      </c>
      <c r="EB14" s="191"/>
    </row>
    <row r="15" outlineLevel="1">
      <c r="A15" s="2"/>
      <c r="B15" s="204">
        <v>11.0</v>
      </c>
      <c r="C15" s="204" t="s">
        <v>442</v>
      </c>
      <c r="D15" s="204" t="s">
        <v>454</v>
      </c>
      <c r="E15" s="205" t="b">
        <f>VLOOKUP(D15,'Feature Set List'!A11:C246,2,0)</f>
        <v>1</v>
      </c>
      <c r="F15" s="205" t="b">
        <f>VLOOKUP(D15,'Feature Set List'!A11:C246,3,0)</f>
        <v>0</v>
      </c>
      <c r="G15" s="205">
        <v>-1.2133028</v>
      </c>
      <c r="H15" s="205">
        <v>0.31651376</v>
      </c>
      <c r="I15" s="205">
        <v>-0.0917431</v>
      </c>
      <c r="J15" s="205">
        <v>0.60779817</v>
      </c>
      <c r="K15" s="205">
        <v>3.58027523</v>
      </c>
      <c r="L15" s="205">
        <v>0.27293578</v>
      </c>
      <c r="M15" s="205">
        <v>-0.2018349</v>
      </c>
      <c r="N15" s="205">
        <v>0.2706422</v>
      </c>
      <c r="O15" s="205">
        <v>-0.2545872</v>
      </c>
      <c r="P15" s="205">
        <v>-0.5665138</v>
      </c>
      <c r="Q15" s="205">
        <v>-0.4013761</v>
      </c>
      <c r="R15" s="205">
        <v>-0.940367</v>
      </c>
      <c r="S15" s="205">
        <v>-0.1376147</v>
      </c>
      <c r="T15" s="205">
        <v>0.08715596</v>
      </c>
      <c r="U15" s="205">
        <v>-1.8807339</v>
      </c>
      <c r="V15" s="205">
        <v>0.18119266</v>
      </c>
      <c r="W15" s="205">
        <v>0.05275229</v>
      </c>
      <c r="X15" s="205">
        <v>-2.8669725</v>
      </c>
      <c r="Y15" s="205">
        <v>0.61009174</v>
      </c>
      <c r="Z15" s="205">
        <v>-0.3256881</v>
      </c>
      <c r="AA15" s="205">
        <v>-0.1146789</v>
      </c>
      <c r="AB15" s="205">
        <v>-1.8188073</v>
      </c>
      <c r="AC15" s="205">
        <v>-0.6238532</v>
      </c>
      <c r="AD15" s="205">
        <v>0.83715596</v>
      </c>
      <c r="AE15" s="205">
        <v>0.0</v>
      </c>
      <c r="AF15" s="205">
        <v>0.0206422</v>
      </c>
      <c r="AG15" s="205">
        <v>-0.7431193</v>
      </c>
      <c r="AH15" s="205">
        <v>-1.5137615</v>
      </c>
      <c r="AI15" s="205">
        <v>0.11926606</v>
      </c>
      <c r="AJ15" s="205">
        <v>-0.043578</v>
      </c>
      <c r="AK15" s="205">
        <v>1.22477064</v>
      </c>
      <c r="AL15" s="205">
        <v>-0.0894495</v>
      </c>
      <c r="AM15" s="205">
        <v>1.76605505</v>
      </c>
      <c r="AN15" s="205">
        <v>-0.3119266</v>
      </c>
      <c r="AO15" s="205">
        <v>0.03669725</v>
      </c>
      <c r="AP15" s="205">
        <v>1.66284404</v>
      </c>
      <c r="AQ15" s="205">
        <v>2.04587156</v>
      </c>
      <c r="AR15" s="205">
        <v>1.73623853</v>
      </c>
      <c r="AS15" s="205">
        <v>0.20183486</v>
      </c>
      <c r="AT15" s="205">
        <v>0.08256881</v>
      </c>
      <c r="AU15" s="205">
        <v>1.28669725</v>
      </c>
      <c r="AV15" s="205">
        <v>-1.8899083</v>
      </c>
      <c r="AW15" s="205">
        <v>1.95183486</v>
      </c>
      <c r="AX15" s="205">
        <v>-0.0848624</v>
      </c>
      <c r="AY15" s="205">
        <v>-2.9334862</v>
      </c>
      <c r="AZ15" s="205">
        <v>0.42431193</v>
      </c>
      <c r="BA15" s="205">
        <v>0.05504587</v>
      </c>
      <c r="BB15" s="205">
        <v>-0.8692661</v>
      </c>
      <c r="BC15" s="205">
        <v>-0.2568807</v>
      </c>
      <c r="BD15" s="205">
        <v>1.28211009</v>
      </c>
      <c r="BE15" s="205">
        <v>-3.2133028</v>
      </c>
      <c r="BF15" s="205">
        <v>-0.0688073</v>
      </c>
      <c r="BG15" s="205">
        <v>-0.0481651</v>
      </c>
      <c r="BH15" s="205">
        <v>0.52981651</v>
      </c>
      <c r="BI15" s="205">
        <v>1.77522936</v>
      </c>
      <c r="BJ15" s="205">
        <v>-0.2110092</v>
      </c>
      <c r="BK15" s="205">
        <v>0.50229358</v>
      </c>
      <c r="BL15" s="205">
        <v>-0.6811927</v>
      </c>
      <c r="BM15" s="205">
        <v>-1.9266055</v>
      </c>
      <c r="BN15" s="205">
        <v>0.91055046</v>
      </c>
      <c r="BO15" s="205">
        <v>-0.8233945</v>
      </c>
      <c r="BP15" s="205">
        <v>0.50229358</v>
      </c>
      <c r="BQ15" s="205">
        <v>0.6353211</v>
      </c>
      <c r="BR15" s="206"/>
      <c r="BS15" s="207">
        <f t="shared" si="6"/>
        <v>-0.02504733111</v>
      </c>
      <c r="BT15" s="207">
        <f t="shared" si="7"/>
        <v>0.8371530773</v>
      </c>
      <c r="BU15" s="206"/>
      <c r="BV15" s="207">
        <f>IFERROR(__xludf.DUMMYFUNCTION("AVERAGE(ARRAYFORMULA(XLOOKUP(FILTER(INDIRECT(""'""&amp;BV$1&amp;""'!$C$4:$C$66""),INDIRECT(""'""&amp;BV$1&amp;""'!$D$4:$D$66"")=BV$2),$G$4:$BQ$4,$G15:$BQ15)))"),-1.7726081357142855)</f>
        <v>-1.772608136</v>
      </c>
      <c r="BW15" s="207">
        <f>IFERROR(__xludf.DUMMYFUNCTION("IF(OR(BV15&gt;$BS15+$BT15*$BT$2,BV15&lt;$BS15-$BT15*$BT$2),AVEDEV(ARRAYFORMULA(XLOOKUP(FILTER(INDIRECT(""'""&amp;BV$1&amp;""'!$C$4:$C$66""),INDIRECT(""'""&amp;BV$1&amp;""'!$D$4:$D$66"")=BV$2),$G$4:$BQ$4,$G15:$BQ15))),"""")"),1.0868751020408165)</f>
        <v>1.086875102</v>
      </c>
      <c r="BX15" s="208">
        <f t="shared" si="8"/>
        <v>-0.9104077273</v>
      </c>
      <c r="BY15" s="207">
        <f>IFERROR(__xludf.DUMMYFUNCTION("AVERAGE(ARRAYFORMULA(XLOOKUP(FILTER(INDIRECT(""'""&amp;BY$1&amp;""'!$C$4:$C$66""),INDIRECT(""'""&amp;BY$1&amp;""'!$D$4:$D$66"")=BY$2),$G$4:$BQ$4,$G15:$BQ15)))"),0.2556793352380952)</f>
        <v>0.2556793352</v>
      </c>
      <c r="BZ15" s="207" t="str">
        <f>IFERROR(__xludf.DUMMYFUNCTION("IF(OR(BY15&gt;$BS15+$BT15*$BT$2,BY15&lt;$BS15-$BT15*$BT$2),AVEDEV(ARRAYFORMULA(XLOOKUP(FILTER(INDIRECT(""'""&amp;BY$1&amp;""'!$C$4:$C$66""),INDIRECT(""'""&amp;BY$1&amp;""'!$D$4:$D$66"")=BY$2),$G$4:$BQ$4,$G15:$BQ15))),"""")"),"")</f>
        <v/>
      </c>
      <c r="CA15" s="208" t="str">
        <f t="shared" si="9"/>
        <v/>
      </c>
      <c r="CB15" s="207">
        <f>IFERROR(__xludf.DUMMYFUNCTION("AVERAGE(ARRAYFORMULA(XLOOKUP(FILTER(INDIRECT(""'""&amp;CB$1&amp;""'!$C$4:$C$66""),INDIRECT(""'""&amp;CB$1&amp;""'!$D$4:$D$66"")=CB$2),$G$4:$BQ$4,$G15:$BQ15)))"),-0.21684738454545452)</f>
        <v>-0.2168473845</v>
      </c>
      <c r="CC15" s="207" t="str">
        <f>IFERROR(__xludf.DUMMYFUNCTION("IF(OR(CB15&gt;$BS15+$BT15*$BT$2,CB15&lt;$BS15-$BT15*$BT$2),AVEDEV(ARRAYFORMULA(XLOOKUP(FILTER(INDIRECT(""'""&amp;CB$1&amp;""'!$C$4:$C$66""),INDIRECT(""'""&amp;CB$1&amp;""'!$D$4:$D$66"")=CB$2),$G$4:$BQ$4,$G15:$BQ15))),"""")"),"")</f>
        <v/>
      </c>
      <c r="CD15" s="208" t="str">
        <f t="shared" si="10"/>
        <v/>
      </c>
      <c r="CE15" s="209" t="s">
        <v>444</v>
      </c>
      <c r="CF15" s="207">
        <f>IFERROR(__xludf.DUMMYFUNCTION("AVERAGE(ARRAYFORMULA(XLOOKUP(FILTER(INDIRECT(""'""&amp;CF$1&amp;""'!$C$4:$C$66""),INDIRECT(""'""&amp;CF$1&amp;""'!$D$4:$D$66"")=CF$2),$G$4:$BQ$4,$G15:$BQ15)))"),0.530103211875)</f>
        <v>0.5301032119</v>
      </c>
      <c r="CG15" s="207" t="str">
        <f>IFERROR(__xludf.DUMMYFUNCTION("IF(OR(CF15&gt;$BS15+$BT15*$BT$2,CF15&lt;$BS15-$BT15*$BT$2),AVEDEV(ARRAYFORMULA(XLOOKUP(FILTER(INDIRECT(""'""&amp;CF$1&amp;""'!$C$4:$C$66""),INDIRECT(""'""&amp;CF$1&amp;""'!$D$4:$D$66"")=CF$2),$G$4:$BQ$4,$G15:$BQ15))),"""")"),"")</f>
        <v/>
      </c>
      <c r="CH15" s="208" t="str">
        <f t="shared" si="11"/>
        <v/>
      </c>
      <c r="CI15" s="207">
        <f>IFERROR(__xludf.DUMMYFUNCTION("AVERAGE(ARRAYFORMULA(XLOOKUP(FILTER(INDIRECT(""'""&amp;CI$1&amp;""'!$C$4:$C$66""),INDIRECT(""'""&amp;CI$1&amp;""'!$D$4:$D$66"")=CI$2),$G$4:$BQ$4,$G15:$BQ15)))"),-0.20782776322580646)</f>
        <v>-0.2078277632</v>
      </c>
      <c r="CJ15" s="207" t="str">
        <f>IFERROR(__xludf.DUMMYFUNCTION("IF(OR(CI15&gt;$BS15+$BT15*$BT$2,CI15&lt;$BS15-$BT15*$BT$2),AVEDEV(ARRAYFORMULA(XLOOKUP(FILTER(INDIRECT(""'""&amp;CI$1&amp;""'!$C$4:$C$66""),INDIRECT(""'""&amp;CI$1&amp;""'!$D$4:$D$66"")=CI$2),$G$4:$BQ$4,$G15:$BQ15))),"""")"),"")</f>
        <v/>
      </c>
      <c r="CK15" s="208" t="str">
        <f t="shared" si="12"/>
        <v/>
      </c>
      <c r="CL15" s="207">
        <f>IFERROR(__xludf.DUMMYFUNCTION("AVERAGE(ARRAYFORMULA(XLOOKUP(FILTER(INDIRECT(""'""&amp;CL$1&amp;""'!$C$4:$C$66""),INDIRECT(""'""&amp;CL$1&amp;""'!$D$4:$D$66"")=CL$2),$G$4:$BQ$4,$G15:$BQ15)))"),-0.054128442)</f>
        <v>-0.054128442</v>
      </c>
      <c r="CM15" s="207" t="str">
        <f>IFERROR(__xludf.DUMMYFUNCTION("IF(OR(CL15&gt;$BS15+$BT15*$BT$2,CL15&lt;$BS15-$BT15*$BT$2),AVEDEV(ARRAYFORMULA(XLOOKUP(FILTER(INDIRECT(""'""&amp;CL$1&amp;""'!$C$4:$C$66""),INDIRECT(""'""&amp;CL$1&amp;""'!$D$4:$D$66"")=CL$2),$G$4:$BQ$4,$G15:$BQ15))),"""")"),"")</f>
        <v/>
      </c>
      <c r="CN15" s="208" t="str">
        <f t="shared" si="13"/>
        <v/>
      </c>
      <c r="CO15" s="209" t="s">
        <v>444</v>
      </c>
      <c r="CP15" s="210">
        <f>IFERROR(__xludf.DUMMYFUNCTION("AVERAGE(ARRAYFORMULA(XLOOKUP(FILTER(INDIRECT(""'""&amp;CP$1&amp;""'!$C$4:$C$66""),INDIRECT(""'""&amp;CP$1&amp;""'!$D$4:$D$66"")=CP$2),$G$4:$BQ$4,$G15:$BQ15)))"),-1.06009175)</f>
        <v>-1.06009175</v>
      </c>
      <c r="CQ15" s="207">
        <f>IFERROR(__xludf.DUMMYFUNCTION("IF(OR(CP15&gt;$BS15+$BT15*$BT$2,CP15&lt;$BS15-$BT15*$BT$2),AVEDEV(ARRAYFORMULA(XLOOKUP(FILTER(INDIRECT(""'""&amp;CP$1&amp;""'!$C$4:$C$66""),INDIRECT(""'""&amp;CP$1&amp;""'!$D$4:$D$66"")=CP$2),$G$4:$BQ$4,$G15:$BQ15))),"""")"),0.9350458733333333)</f>
        <v>0.9350458733</v>
      </c>
      <c r="CR15" s="208">
        <f t="shared" si="14"/>
        <v>-0.1978913416</v>
      </c>
      <c r="CS15" s="210">
        <f>IFERROR(__xludf.DUMMYFUNCTION("AVERAGE(ARRAYFORMULA(XLOOKUP(FILTER(INDIRECT(""'""&amp;CS$1&amp;""'!$C$4:$C$66""),INDIRECT(""'""&amp;CS$1&amp;""'!$D$4:$D$66"")=CS$2),$G$4:$BQ$4,$G15:$BQ15)))"),0.32815807846153844)</f>
        <v>0.3281580785</v>
      </c>
      <c r="CT15" s="207" t="str">
        <f>IFERROR(__xludf.DUMMYFUNCTION("IF(OR(CS15&gt;$BS15+$BT15*$BT$2,CS15&lt;$BS15-$BT15*$BT$2),AVEDEV(ARRAYFORMULA(XLOOKUP(FILTER(INDIRECT(""'""&amp;CS$1&amp;""'!$C$4:$C$66""),INDIRECT(""'""&amp;CS$1&amp;""'!$D$4:$D$66"")=CS$2),$G$4:$BQ$4,$G15:$BQ15))),"""")"),"")</f>
        <v/>
      </c>
      <c r="CU15" s="208" t="str">
        <f t="shared" si="15"/>
        <v/>
      </c>
      <c r="CV15" s="210">
        <f>IFERROR(__xludf.DUMMYFUNCTION("AVERAGE(ARRAYFORMULA(XLOOKUP(FILTER(INDIRECT(""'""&amp;CV$1&amp;""'!$C$4:$C$66""),INDIRECT(""'""&amp;CV$1&amp;""'!$D$4:$D$66"")=CV$2),$G$4:$BQ$4,$G15:$BQ15)))"),-0.054128442)</f>
        <v>-0.054128442</v>
      </c>
      <c r="CW15" s="207" t="str">
        <f>IFERROR(__xludf.DUMMYFUNCTION("IF(OR(CV15&gt;$BS15+$BT15*$BT$2,CV15&lt;$BS15-$BT15*$BT$2),AVEDEV(ARRAYFORMULA(XLOOKUP(FILTER(INDIRECT(""'""&amp;CV$1&amp;""'!$C$4:$C$66""),INDIRECT(""'""&amp;CV$1&amp;""'!$D$4:$D$66"")=CV$2),$G$4:$BQ$4,$G15:$BQ15))),"""")"),"")</f>
        <v/>
      </c>
      <c r="CX15" s="208" t="str">
        <f t="shared" si="16"/>
        <v/>
      </c>
      <c r="CY15" s="209" t="s">
        <v>444</v>
      </c>
      <c r="CZ15" s="210">
        <f>IFERROR(__xludf.DUMMYFUNCTION("AVERAGE(ARRAYFORMULA(XLOOKUP(FILTER(INDIRECT(""'""&amp;CZ$1&amp;""'!$C$4:$C$66""),INDIRECT(""'""&amp;CZ$1&amp;""'!$D$4:$D$66"")=CZ$2),$G$4:$BQ$4,$G15:$BQ15)))"),0.5701179592857143)</f>
        <v>0.5701179593</v>
      </c>
      <c r="DA15" s="207" t="str">
        <f>IFERROR(__xludf.DUMMYFUNCTION("IF(OR(CZ15&gt;$BS15+$BT15*$BT$2,CZ15&lt;$BS15-$BT15*$BT$2),AVEDEV(ARRAYFORMULA(XLOOKUP(FILTER(INDIRECT(""'""&amp;CZ$1&amp;""'!$C$4:$C$66""),INDIRECT(""'""&amp;CZ$1&amp;""'!$D$4:$D$66"")=CZ$2),$G$4:$BQ$4,$G15:$BQ15))),"""")"),"")</f>
        <v/>
      </c>
      <c r="DB15" s="208" t="str">
        <f t="shared" si="17"/>
        <v/>
      </c>
      <c r="DC15" s="210">
        <f>IFERROR(__xludf.DUMMYFUNCTION("AVERAGE(ARRAYFORMULA(XLOOKUP(FILTER(INDIRECT(""'""&amp;DC$1&amp;""'!$C$4:$C$66""),INDIRECT(""'""&amp;DC$1&amp;""'!$D$4:$D$66"")=DC$2),$G$4:$BQ$4,$G15:$BQ15)))"),-0.09811418444444443)</f>
        <v>-0.09811418444</v>
      </c>
      <c r="DD15" s="207" t="str">
        <f>IFERROR(__xludf.DUMMYFUNCTION("IF(OR(DC15&gt;$BS15+$BT15*$BT$2,DC15&lt;$BS15-$BT15*$BT$2),AVEDEV(ARRAYFORMULA(XLOOKUP(FILTER(INDIRECT(""'""&amp;DC$1&amp;""'!$C$4:$C$66""),INDIRECT(""'""&amp;DC$1&amp;""'!$D$4:$D$66"")=DC$2),$G$4:$BQ$4,$G15:$BQ15))),"""")"),"")</f>
        <v/>
      </c>
      <c r="DE15" s="208" t="str">
        <f t="shared" si="18"/>
        <v/>
      </c>
      <c r="DF15" s="210">
        <f>IFERROR(__xludf.DUMMYFUNCTION("AVERAGE(ARRAYFORMULA(XLOOKUP(FILTER(INDIRECT(""'""&amp;DF$1&amp;""'!$C$4:$C$66""),INDIRECT(""'""&amp;DF$1&amp;""'!$D$4:$D$66"")=DF$2),$G$4:$BQ$4,$G15:$BQ15)))"),-0.42702251909090916)</f>
        <v>-0.4270225191</v>
      </c>
      <c r="DG15" s="207" t="str">
        <f>IFERROR(__xludf.DUMMYFUNCTION("IF(OR(DF15&gt;$BS15+$BT15*$BT$2,DF15&lt;$BS15-$BT15*$BT$2),AVEDEV(ARRAYFORMULA(XLOOKUP(FILTER(INDIRECT(""'""&amp;DF$1&amp;""'!$C$4:$C$66""),INDIRECT(""'""&amp;DF$1&amp;""'!$D$4:$D$66"")=DF$2),$G$4:$BQ$4,$G15:$BQ15))),"""")"),"")</f>
        <v/>
      </c>
      <c r="DH15" s="208" t="str">
        <f t="shared" si="19"/>
        <v/>
      </c>
      <c r="DI15" s="210">
        <f>IFERROR(__xludf.DUMMYFUNCTION("AVERAGE(ARRAYFORMULA(XLOOKUP(FILTER(INDIRECT(""'""&amp;DI$1&amp;""'!$C$4:$C$66""),INDIRECT(""'""&amp;DI$1&amp;""'!$D$4:$D$66"")=DI$2),$G$4:$BQ$4,$G15:$BQ15)))"),0.6834862349999999)</f>
        <v>0.683486235</v>
      </c>
      <c r="DJ15" s="207" t="str">
        <f>IFERROR(__xludf.DUMMYFUNCTION("IF(OR(DI15&gt;$BS15+$BT15*$BT$2,DI15&lt;$BS15-$BT15*$BT$2),AVEDEV(ARRAYFORMULA(XLOOKUP(FILTER(INDIRECT(""'""&amp;DI$1&amp;""'!$C$4:$C$66""),INDIRECT(""'""&amp;DI$1&amp;""'!$D$4:$D$66"")=DI$2),$G$4:$BQ$4,$G15:$BQ15))),"""")"),"")</f>
        <v/>
      </c>
      <c r="DK15" s="208" t="str">
        <f t="shared" si="20"/>
        <v/>
      </c>
      <c r="DL15" s="210">
        <f>IFERROR(__xludf.DUMMYFUNCTION("AVERAGE(ARRAYFORMULA(XLOOKUP(FILTER(INDIRECT(""'""&amp;DL$1&amp;""'!$C$4:$C$66""),INDIRECT(""'""&amp;DL$1&amp;""'!$D$4:$D$66"")=DL$2),$G$4:$BQ$4,$G15:$BQ15)))"),0.19495412357142855)</f>
        <v>0.1949541236</v>
      </c>
      <c r="DM15" s="207" t="str">
        <f>IFERROR(__xludf.DUMMYFUNCTION("IF(OR(DL15&gt;$BS15+$BT15*$BT$2,DL15&lt;$BS15-$BT15*$BT$2),AVEDEV(ARRAYFORMULA(XLOOKUP(FILTER(INDIRECT(""'""&amp;DL$1&amp;""'!$C$4:$C$66""),INDIRECT(""'""&amp;DL$1&amp;""'!$D$4:$D$66"")=DL$2),$G$4:$BQ$4,$G15:$BQ15))),"""")"),"")</f>
        <v/>
      </c>
      <c r="DN15" s="208" t="str">
        <f t="shared" si="21"/>
        <v/>
      </c>
      <c r="DO15" s="209" t="s">
        <v>444</v>
      </c>
      <c r="DP15" s="210">
        <f>IFERROR(__xludf.DUMMYFUNCTION("AVERAGE(ARRAYFORMULA(XLOOKUP(FILTER(INDIRECT(""'""&amp;DP$1&amp;""'!$C$4:$C$66""),INDIRECT(""'""&amp;DP$1&amp;""'!$D$4:$D$66"")=DP$2),$G$4:$BQ$4,$G15:$BQ15)))"),0.09755351833333327)</f>
        <v>0.09755351833</v>
      </c>
      <c r="DQ15" s="207" t="str">
        <f>IFERROR(__xludf.DUMMYFUNCTION("IF(OR(DP15&gt;$BS15+$BT15*$BT$2,DP15&lt;$BS15-$BT15*$BT$2),AVEDEV(ARRAYFORMULA(XLOOKUP(FILTER(INDIRECT(""'""&amp;DP$1&amp;""'!$C$4:$C$66""),INDIRECT(""'""&amp;DP$1&amp;""'!$D$4:$D$66"")=DP$2),$G$4:$BQ$4,$G15:$BQ15))),"""")"),"")</f>
        <v/>
      </c>
      <c r="DR15" s="208" t="str">
        <f t="shared" si="22"/>
        <v/>
      </c>
      <c r="DS15" s="210">
        <f>IFERROR(__xludf.DUMMYFUNCTION("AVERAGE(ARRAYFORMULA(XLOOKUP(FILTER(INDIRECT(""'""&amp;DS$1&amp;""'!$C$4:$C$66""),INDIRECT(""'""&amp;DS$1&amp;""'!$D$4:$D$66"")=DS$2),$G$4:$BQ$4,$G15:$BQ15)))"),-0.5922528222222224)</f>
        <v>-0.5922528222</v>
      </c>
      <c r="DT15" s="207" t="str">
        <f>IFERROR(__xludf.DUMMYFUNCTION("IF(OR(DS15&gt;$BS15+$BT15*$BT$2,DS15&lt;$BS15-$BT15*$BT$2),AVEDEV(ARRAYFORMULA(XLOOKUP(FILTER(INDIRECT(""'""&amp;DS$1&amp;""'!$C$4:$C$66""),INDIRECT(""'""&amp;DS$1&amp;""'!$D$4:$D$66"")=DS$2),$G$4:$BQ$4,$G15:$BQ15))),"""")"),"")</f>
        <v/>
      </c>
      <c r="DU15" s="208" t="str">
        <f t="shared" si="23"/>
        <v/>
      </c>
      <c r="DV15" s="210">
        <f>IFERROR(__xludf.DUMMYFUNCTION("AVERAGE(ARRAYFORMULA(XLOOKUP(FILTER(INDIRECT(""'""&amp;DV$1&amp;""'!$C$4:$C$66""),INDIRECT(""'""&amp;DV$1&amp;""'!$D$4:$D$66"")=DV$2),$G$4:$BQ$4,$G15:$BQ15)))"),-0.73509174625)</f>
        <v>-0.7350917463</v>
      </c>
      <c r="DW15" s="207" t="str">
        <f>IFERROR(__xludf.DUMMYFUNCTION("IF(OR(DV15&gt;$BS15+$BT15*$BT$2,DV15&lt;$BS15-$BT15*$BT$2),AVEDEV(ARRAYFORMULA(XLOOKUP(FILTER(INDIRECT(""'""&amp;DV$1&amp;""'!$C$4:$C$66""),INDIRECT(""'""&amp;DV$1&amp;""'!$D$4:$D$66"")=DV$2),$G$4:$BQ$4,$G15:$BQ15))),"""")"),"")</f>
        <v/>
      </c>
      <c r="DX15" s="208" t="str">
        <f t="shared" si="24"/>
        <v/>
      </c>
      <c r="DY15" s="210">
        <f>IFERROR(__xludf.DUMMYFUNCTION("AVERAGE(ARRAYFORMULA(XLOOKUP(FILTER(INDIRECT(""'""&amp;DY$1&amp;""'!$C$4:$C$66""),INDIRECT(""'""&amp;DY$1&amp;""'!$D$4:$D$66"")=DY$2),$G$4:$BQ$4,$G15:$BQ15)))"),0.6671763488888889)</f>
        <v>0.6671763489</v>
      </c>
      <c r="DZ15" s="207" t="str">
        <f>IFERROR(__xludf.DUMMYFUNCTION("IF(OR(DY15&gt;$BS15+$BT15*$BT$2,DY15&lt;$BS15-$BT15*$BT$2),AVEDEV(ARRAYFORMULA(XLOOKUP(FILTER(INDIRECT(""'""&amp;DY$1&amp;""'!$C$4:$C$66""),INDIRECT(""'""&amp;DY$1&amp;""'!$D$4:$D$66"")=DY$2),$G$4:$BQ$4,$G15:$BQ15))),"""")"),"")</f>
        <v/>
      </c>
      <c r="EA15" s="208" t="str">
        <f t="shared" si="25"/>
        <v/>
      </c>
      <c r="EB15" s="191"/>
    </row>
    <row r="16" outlineLevel="1">
      <c r="A16" s="2"/>
      <c r="B16" s="204">
        <v>12.0</v>
      </c>
      <c r="C16" s="204" t="s">
        <v>442</v>
      </c>
      <c r="D16" s="204" t="s">
        <v>455</v>
      </c>
      <c r="E16" s="205" t="b">
        <f>VLOOKUP(D16,'Feature Set List'!A12:C246,2,0)</f>
        <v>1</v>
      </c>
      <c r="F16" s="205" t="b">
        <f>VLOOKUP(D16,'Feature Set List'!A12:C246,3,0)</f>
        <v>0</v>
      </c>
      <c r="G16" s="205">
        <v>0.85935085</v>
      </c>
      <c r="H16" s="205">
        <v>-0.0432767</v>
      </c>
      <c r="I16" s="205">
        <v>0.14219474</v>
      </c>
      <c r="J16" s="205">
        <v>0.25965997</v>
      </c>
      <c r="K16" s="205">
        <v>0.0</v>
      </c>
      <c r="L16" s="205">
        <v>0.24420402</v>
      </c>
      <c r="M16" s="205">
        <v>-0.0540958</v>
      </c>
      <c r="N16" s="205">
        <v>0.71561051</v>
      </c>
      <c r="O16" s="205">
        <v>0.82380216</v>
      </c>
      <c r="P16" s="205">
        <v>-0.2380216</v>
      </c>
      <c r="Q16" s="205">
        <v>0.31684699</v>
      </c>
      <c r="R16" s="205">
        <v>-0.5579598</v>
      </c>
      <c r="S16" s="205">
        <v>-0.0695518</v>
      </c>
      <c r="T16" s="205">
        <v>-0.7078825</v>
      </c>
      <c r="U16" s="205">
        <v>0.90417311</v>
      </c>
      <c r="V16" s="205">
        <v>-0.0432767</v>
      </c>
      <c r="W16" s="205">
        <v>1.25656878</v>
      </c>
      <c r="X16" s="205">
        <v>-1.3554869</v>
      </c>
      <c r="Y16" s="205">
        <v>-0.6414219</v>
      </c>
      <c r="Z16" s="205">
        <v>1.3431221</v>
      </c>
      <c r="AA16" s="205">
        <v>2.25193199</v>
      </c>
      <c r="AB16" s="205">
        <v>1.86089645</v>
      </c>
      <c r="AC16" s="205">
        <v>-0.2380216</v>
      </c>
      <c r="AD16" s="205">
        <v>-0.7573416</v>
      </c>
      <c r="AE16" s="205">
        <v>0.56723338</v>
      </c>
      <c r="AF16" s="205">
        <v>0.01391036</v>
      </c>
      <c r="AG16" s="205">
        <v>0.20092736</v>
      </c>
      <c r="AH16" s="205">
        <v>1.17156105</v>
      </c>
      <c r="AI16" s="205">
        <v>-0.0479134</v>
      </c>
      <c r="AJ16" s="205">
        <v>0.72797527</v>
      </c>
      <c r="AK16" s="205">
        <v>-0.4281298</v>
      </c>
      <c r="AL16" s="205">
        <v>-0.0139104</v>
      </c>
      <c r="AM16" s="205">
        <v>0.7511592</v>
      </c>
      <c r="AN16" s="205">
        <v>0.18083462</v>
      </c>
      <c r="AO16" s="205">
        <v>-0.1576507</v>
      </c>
      <c r="AP16" s="205">
        <v>-0.4621329</v>
      </c>
      <c r="AQ16" s="205">
        <v>1.91035549</v>
      </c>
      <c r="AR16" s="205">
        <v>1.30293663</v>
      </c>
      <c r="AS16" s="205">
        <v>-0.2689335</v>
      </c>
      <c r="AT16" s="205">
        <v>0.00772798</v>
      </c>
      <c r="AU16" s="205">
        <v>-0.2071097</v>
      </c>
      <c r="AV16" s="205">
        <v>0.32921175</v>
      </c>
      <c r="AW16" s="205">
        <v>0.14992272</v>
      </c>
      <c r="AX16" s="205">
        <v>-0.324575</v>
      </c>
      <c r="AY16" s="205">
        <v>-1.7496136</v>
      </c>
      <c r="AZ16" s="205">
        <v>0.0</v>
      </c>
      <c r="BA16" s="205">
        <v>-0.2673879</v>
      </c>
      <c r="BB16" s="205">
        <v>0.2812983</v>
      </c>
      <c r="BC16" s="205">
        <v>1.01236476</v>
      </c>
      <c r="BD16" s="205">
        <v>-0.1561051</v>
      </c>
      <c r="BE16" s="205">
        <v>-4.6414219</v>
      </c>
      <c r="BF16" s="205">
        <v>-0.3879444</v>
      </c>
      <c r="BG16" s="205">
        <v>1.19783617</v>
      </c>
      <c r="BH16" s="205">
        <v>-0.7341577</v>
      </c>
      <c r="BI16" s="205">
        <v>0.27511592</v>
      </c>
      <c r="BJ16" s="205">
        <v>0.01081917</v>
      </c>
      <c r="BK16" s="205">
        <v>-0.2472952</v>
      </c>
      <c r="BL16" s="205">
        <v>-1.8516229</v>
      </c>
      <c r="BM16" s="205">
        <v>-1.2102009</v>
      </c>
      <c r="BN16" s="205">
        <v>0.69088099</v>
      </c>
      <c r="BO16" s="205">
        <v>0.71561051</v>
      </c>
      <c r="BP16" s="205">
        <v>-1.9629057</v>
      </c>
      <c r="BQ16" s="205">
        <v>-0.4513138</v>
      </c>
      <c r="BR16" s="206"/>
      <c r="BS16" s="207">
        <f t="shared" si="6"/>
        <v>0.03491082381</v>
      </c>
      <c r="BT16" s="207">
        <f t="shared" si="7"/>
        <v>0.6814629436</v>
      </c>
      <c r="BU16" s="206"/>
      <c r="BV16" s="207">
        <f>IFERROR(__xludf.DUMMYFUNCTION("AVERAGE(ARRAYFORMULA(XLOOKUP(FILTER(INDIRECT(""'""&amp;BV$1&amp;""'!$C$4:$C$66""),INDIRECT(""'""&amp;BV$1&amp;""'!$D$4:$D$66"")=BV$2),$G$4:$BQ$4,$G16:$BQ16)))"),-1.2243320842857144)</f>
        <v>-1.224332084</v>
      </c>
      <c r="BW16" s="207">
        <f>IFERROR(__xludf.DUMMYFUNCTION("IF(OR(BV16&gt;$BS16+$BT16*$BT$2,BV16&lt;$BS16-$BT16*$BT$2),AVEDEV(ARRAYFORMULA(XLOOKUP(FILTER(INDIRECT(""'""&amp;BV$1&amp;""'!$C$4:$C$66""),INDIRECT(""'""&amp;BV$1&amp;""'!$D$4:$D$66"")=BV$2),$G$4:$BQ$4,$G16:$BQ16))),"""")"),1.3430905608163266)</f>
        <v>1.343090561</v>
      </c>
      <c r="BX16" s="208">
        <f t="shared" si="8"/>
        <v>-0.5777799645</v>
      </c>
      <c r="BY16" s="207">
        <f>IFERROR(__xludf.DUMMYFUNCTION("AVERAGE(ARRAYFORMULA(XLOOKUP(FILTER(INDIRECT(""'""&amp;BY$1&amp;""'!$C$4:$C$66""),INDIRECT(""'""&amp;BY$1&amp;""'!$D$4:$D$66"")=BY$2),$G$4:$BQ$4,$G16:$BQ16)))"),0.27942150333333327)</f>
        <v>0.2794215033</v>
      </c>
      <c r="BZ16" s="207" t="str">
        <f>IFERROR(__xludf.DUMMYFUNCTION("IF(OR(BY16&gt;$BS16+$BT16*$BT$2,BY16&lt;$BS16-$BT16*$BT$2),AVEDEV(ARRAYFORMULA(XLOOKUP(FILTER(INDIRECT(""'""&amp;BY$1&amp;""'!$C$4:$C$66""),INDIRECT(""'""&amp;BY$1&amp;""'!$D$4:$D$66"")=BY$2),$G$4:$BQ$4,$G16:$BQ16))),"""")"),"")</f>
        <v/>
      </c>
      <c r="CA16" s="208" t="str">
        <f t="shared" si="9"/>
        <v/>
      </c>
      <c r="CB16" s="207">
        <f>IFERROR(__xludf.DUMMYFUNCTION("AVERAGE(ARRAYFORMULA(XLOOKUP(FILTER(INDIRECT(""'""&amp;CB$1&amp;""'!$C$4:$C$66""),INDIRECT(""'""&amp;CB$1&amp;""'!$D$4:$D$66"")=CB$2),$G$4:$BQ$4,$G16:$BQ16)))"),-0.06772514454545453)</f>
        <v>-0.06772514455</v>
      </c>
      <c r="CC16" s="207" t="str">
        <f>IFERROR(__xludf.DUMMYFUNCTION("IF(OR(CB16&gt;$BS16+$BT16*$BT$2,CB16&lt;$BS16-$BT16*$BT$2),AVEDEV(ARRAYFORMULA(XLOOKUP(FILTER(INDIRECT(""'""&amp;CB$1&amp;""'!$C$4:$C$66""),INDIRECT(""'""&amp;CB$1&amp;""'!$D$4:$D$66"")=CB$2),$G$4:$BQ$4,$G16:$BQ16))),"""")"),"")</f>
        <v/>
      </c>
      <c r="CD16" s="208" t="str">
        <f t="shared" si="10"/>
        <v/>
      </c>
      <c r="CE16" s="209" t="s">
        <v>444</v>
      </c>
      <c r="CF16" s="207">
        <f>IFERROR(__xludf.DUMMYFUNCTION("AVERAGE(ARRAYFORMULA(XLOOKUP(FILTER(INDIRECT(""'""&amp;CF$1&amp;""'!$C$4:$C$66""),INDIRECT(""'""&amp;CF$1&amp;""'!$D$4:$D$66"")=CF$2),$G$4:$BQ$4,$G16:$BQ16)))"),0.22401468250000003)</f>
        <v>0.2240146825</v>
      </c>
      <c r="CG16" s="207" t="str">
        <f>IFERROR(__xludf.DUMMYFUNCTION("IF(OR(CF16&gt;$BS16+$BT16*$BT$2,CF16&lt;$BS16-$BT16*$BT$2),AVEDEV(ARRAYFORMULA(XLOOKUP(FILTER(INDIRECT(""'""&amp;CF$1&amp;""'!$C$4:$C$66""),INDIRECT(""'""&amp;CF$1&amp;""'!$D$4:$D$66"")=CF$2),$G$4:$BQ$4,$G16:$BQ16))),"""")"),"")</f>
        <v/>
      </c>
      <c r="CH16" s="208" t="str">
        <f t="shared" si="11"/>
        <v/>
      </c>
      <c r="CI16" s="207">
        <f>IFERROR(__xludf.DUMMYFUNCTION("AVERAGE(ARRAYFORMULA(XLOOKUP(FILTER(INDIRECT(""'""&amp;CI$1&amp;""'!$C$4:$C$66""),INDIRECT(""'""&amp;CI$1&amp;""'!$D$4:$D$66"")=CI$2),$G$4:$BQ$4,$G16:$BQ16)))"),0.03684499290322581)</f>
        <v>0.0368449929</v>
      </c>
      <c r="CJ16" s="207" t="str">
        <f>IFERROR(__xludf.DUMMYFUNCTION("IF(OR(CI16&gt;$BS16+$BT16*$BT$2,CI16&lt;$BS16-$BT16*$BT$2),AVEDEV(ARRAYFORMULA(XLOOKUP(FILTER(INDIRECT(""'""&amp;CI$1&amp;""'!$C$4:$C$66""),INDIRECT(""'""&amp;CI$1&amp;""'!$D$4:$D$66"")=CI$2),$G$4:$BQ$4,$G16:$BQ16))),"""")"),"")</f>
        <v/>
      </c>
      <c r="CK16" s="208" t="str">
        <f t="shared" si="12"/>
        <v/>
      </c>
      <c r="CL16" s="207">
        <f>IFERROR(__xludf.DUMMYFUNCTION("AVERAGE(ARRAYFORMULA(XLOOKUP(FILTER(INDIRECT(""'""&amp;CL$1&amp;""'!$C$4:$C$66""),INDIRECT(""'""&amp;CL$1&amp;""'!$D$4:$D$66"")=CL$2),$G$4:$BQ$4,$G16:$BQ16)))"),-0.056877866)</f>
        <v>-0.056877866</v>
      </c>
      <c r="CM16" s="207" t="str">
        <f>IFERROR(__xludf.DUMMYFUNCTION("IF(OR(CL16&gt;$BS16+$BT16*$BT$2,CL16&lt;$BS16-$BT16*$BT$2),AVEDEV(ARRAYFORMULA(XLOOKUP(FILTER(INDIRECT(""'""&amp;CL$1&amp;""'!$C$4:$C$66""),INDIRECT(""'""&amp;CL$1&amp;""'!$D$4:$D$66"")=CL$2),$G$4:$BQ$4,$G16:$BQ16))),"""")"),"")</f>
        <v/>
      </c>
      <c r="CN16" s="208" t="str">
        <f t="shared" si="13"/>
        <v/>
      </c>
      <c r="CO16" s="209" t="s">
        <v>444</v>
      </c>
      <c r="CP16" s="210">
        <f>IFERROR(__xludf.DUMMYFUNCTION("AVERAGE(ARRAYFORMULA(XLOOKUP(FILTER(INDIRECT(""'""&amp;CP$1&amp;""'!$C$4:$C$66""),INDIRECT(""'""&amp;CP$1&amp;""'!$D$4:$D$66"")=CP$2),$G$4:$BQ$4,$G16:$BQ16)))"),0.08325606200000006)</f>
        <v>0.083256062</v>
      </c>
      <c r="CQ16" s="207" t="str">
        <f>IFERROR(__xludf.DUMMYFUNCTION("IF(OR(CP16&gt;$BS16+$BT16*$BT$2,CP16&lt;$BS16-$BT16*$BT$2),AVEDEV(ARRAYFORMULA(XLOOKUP(FILTER(INDIRECT(""'""&amp;CP$1&amp;""'!$C$4:$C$66""),INDIRECT(""'""&amp;CP$1&amp;""'!$D$4:$D$66"")=CP$2),$G$4:$BQ$4,$G16:$BQ16))),"""")"),"")</f>
        <v/>
      </c>
      <c r="CR16" s="208" t="str">
        <f t="shared" si="14"/>
        <v/>
      </c>
      <c r="CS16" s="210">
        <f>IFERROR(__xludf.DUMMYFUNCTION("AVERAGE(ARRAYFORMULA(XLOOKUP(FILTER(INDIRECT(""'""&amp;CS$1&amp;""'!$C$4:$C$66""),INDIRECT(""'""&amp;CS$1&amp;""'!$D$4:$D$66"")=CS$2),$G$4:$BQ$4,$G16:$BQ16)))"),0.0848095707692308)</f>
        <v>0.08480957077</v>
      </c>
      <c r="CT16" s="207" t="str">
        <f>IFERROR(__xludf.DUMMYFUNCTION("IF(OR(CS16&gt;$BS16+$BT16*$BT$2,CS16&lt;$BS16-$BT16*$BT$2),AVEDEV(ARRAYFORMULA(XLOOKUP(FILTER(INDIRECT(""'""&amp;CS$1&amp;""'!$C$4:$C$66""),INDIRECT(""'""&amp;CS$1&amp;""'!$D$4:$D$66"")=CS$2),$G$4:$BQ$4,$G16:$BQ16))),"""")"),"")</f>
        <v/>
      </c>
      <c r="CU16" s="208" t="str">
        <f t="shared" si="15"/>
        <v/>
      </c>
      <c r="CV16" s="210">
        <f>IFERROR(__xludf.DUMMYFUNCTION("AVERAGE(ARRAYFORMULA(XLOOKUP(FILTER(INDIRECT(""'""&amp;CV$1&amp;""'!$C$4:$C$66""),INDIRECT(""'""&amp;CV$1&amp;""'!$D$4:$D$66"")=CV$2),$G$4:$BQ$4,$G16:$BQ16)))"),-0.056877866)</f>
        <v>-0.056877866</v>
      </c>
      <c r="CW16" s="207" t="str">
        <f>IFERROR(__xludf.DUMMYFUNCTION("IF(OR(CV16&gt;$BS16+$BT16*$BT$2,CV16&lt;$BS16-$BT16*$BT$2),AVEDEV(ARRAYFORMULA(XLOOKUP(FILTER(INDIRECT(""'""&amp;CV$1&amp;""'!$C$4:$C$66""),INDIRECT(""'""&amp;CV$1&amp;""'!$D$4:$D$66"")=CV$2),$G$4:$BQ$4,$G16:$BQ16))),"""")"),"")</f>
        <v/>
      </c>
      <c r="CX16" s="208" t="str">
        <f t="shared" si="16"/>
        <v/>
      </c>
      <c r="CY16" s="209" t="s">
        <v>444</v>
      </c>
      <c r="CZ16" s="210">
        <f>IFERROR(__xludf.DUMMYFUNCTION("AVERAGE(ARRAYFORMULA(XLOOKUP(FILTER(INDIRECT(""'""&amp;CZ$1&amp;""'!$C$4:$C$66""),INDIRECT(""'""&amp;CZ$1&amp;""'!$D$4:$D$66"")=CZ$2),$G$4:$BQ$4,$G16:$BQ16)))"),0.15213070928571426)</f>
        <v>0.1521307093</v>
      </c>
      <c r="DA16" s="207" t="str">
        <f>IFERROR(__xludf.DUMMYFUNCTION("IF(OR(CZ16&gt;$BS16+$BT16*$BT$2,CZ16&lt;$BS16-$BT16*$BT$2),AVEDEV(ARRAYFORMULA(XLOOKUP(FILTER(INDIRECT(""'""&amp;CZ$1&amp;""'!$C$4:$C$66""),INDIRECT(""'""&amp;CZ$1&amp;""'!$D$4:$D$66"")=CZ$2),$G$4:$BQ$4,$G16:$BQ16))),"""")"),"")</f>
        <v/>
      </c>
      <c r="DB16" s="208" t="str">
        <f t="shared" si="17"/>
        <v/>
      </c>
      <c r="DC16" s="210">
        <f>IFERROR(__xludf.DUMMYFUNCTION("AVERAGE(ARRAYFORMULA(XLOOKUP(FILTER(INDIRECT(""'""&amp;DC$1&amp;""'!$C$4:$C$66""),INDIRECT(""'""&amp;DC$1&amp;""'!$D$4:$D$66"")=DC$2),$G$4:$BQ$4,$G16:$BQ16)))"),0.05169159000000001)</f>
        <v>0.05169159</v>
      </c>
      <c r="DD16" s="207" t="str">
        <f>IFERROR(__xludf.DUMMYFUNCTION("IF(OR(DC16&gt;$BS16+$BT16*$BT$2,DC16&lt;$BS16-$BT16*$BT$2),AVEDEV(ARRAYFORMULA(XLOOKUP(FILTER(INDIRECT(""'""&amp;DC$1&amp;""'!$C$4:$C$66""),INDIRECT(""'""&amp;DC$1&amp;""'!$D$4:$D$66"")=DC$2),$G$4:$BQ$4,$G16:$BQ16))),"""")"),"")</f>
        <v/>
      </c>
      <c r="DE16" s="208" t="str">
        <f t="shared" si="18"/>
        <v/>
      </c>
      <c r="DF16" s="210">
        <f>IFERROR(__xludf.DUMMYFUNCTION("AVERAGE(ARRAYFORMULA(XLOOKUP(FILTER(INDIRECT(""'""&amp;DF$1&amp;""'!$C$4:$C$66""),INDIRECT(""'""&amp;DF$1&amp;""'!$D$4:$D$66"")=DF$2),$G$4:$BQ$4,$G16:$BQ16)))"),0.7253056090909092)</f>
        <v>0.7253056091</v>
      </c>
      <c r="DG16" s="207">
        <f>IFERROR(__xludf.DUMMYFUNCTION("IF(OR(DF16&gt;$BS16+$BT16*$BT$2,DF16&lt;$BS16-$BT16*$BT$2),AVEDEV(ARRAYFORMULA(XLOOKUP(FILTER(INDIRECT(""'""&amp;DF$1&amp;""'!$C$4:$C$66""),INDIRECT(""'""&amp;DF$1&amp;""'!$D$4:$D$66"")=DF$2),$G$4:$BQ$4,$G16:$BQ16))),"""")"),0.6557921480991736)</f>
        <v>0.6557921481</v>
      </c>
      <c r="DH16" s="208">
        <f t="shared" si="19"/>
        <v>0.008931841684</v>
      </c>
      <c r="DI16" s="210">
        <f>IFERROR(__xludf.DUMMYFUNCTION("AVERAGE(ARRAYFORMULA(XLOOKUP(FILTER(INDIRECT(""'""&amp;DI$1&amp;""'!$C$4:$C$66""),INDIRECT(""'""&amp;DI$1&amp;""'!$D$4:$D$66"")=DI$2),$G$4:$BQ$4,$G16:$BQ16)))"),-0.74574965)</f>
        <v>-0.74574965</v>
      </c>
      <c r="DJ16" s="207">
        <f>IFERROR(__xludf.DUMMYFUNCTION("IF(OR(DI16&gt;$BS16+$BT16*$BT$2,DI16&lt;$BS16-$BT16*$BT$2),AVEDEV(ARRAYFORMULA(XLOOKUP(FILTER(INDIRECT(""'""&amp;DI$1&amp;""'!$C$4:$C$66""),INDIRECT(""'""&amp;DI$1&amp;""'!$D$4:$D$66"")=DI$2),$G$4:$BQ$4,$G16:$BQ16))),"""")"),0.011591949999999962)</f>
        <v>0.01159195</v>
      </c>
      <c r="DK16" s="208">
        <f t="shared" si="20"/>
        <v>-0.09919753021</v>
      </c>
      <c r="DL16" s="210">
        <f>IFERROR(__xludf.DUMMYFUNCTION("AVERAGE(ARRAYFORMULA(XLOOKUP(FILTER(INDIRECT(""'""&amp;DL$1&amp;""'!$C$4:$C$66""),INDIRECT(""'""&amp;DL$1&amp;""'!$D$4:$D$66"")=DL$2),$G$4:$BQ$4,$G16:$BQ16)))"),0.24199602214285718)</f>
        <v>0.2419960221</v>
      </c>
      <c r="DM16" s="207" t="str">
        <f>IFERROR(__xludf.DUMMYFUNCTION("IF(OR(DL16&gt;$BS16+$BT16*$BT$2,DL16&lt;$BS16-$BT16*$BT$2),AVEDEV(ARRAYFORMULA(XLOOKUP(FILTER(INDIRECT(""'""&amp;DL$1&amp;""'!$C$4:$C$66""),INDIRECT(""'""&amp;DL$1&amp;""'!$D$4:$D$66"")=DL$2),$G$4:$BQ$4,$G16:$BQ16))),"""")"),"")</f>
        <v/>
      </c>
      <c r="DN16" s="208" t="str">
        <f t="shared" si="21"/>
        <v/>
      </c>
      <c r="DO16" s="209" t="s">
        <v>444</v>
      </c>
      <c r="DP16" s="210">
        <f>IFERROR(__xludf.DUMMYFUNCTION("AVERAGE(ARRAYFORMULA(XLOOKUP(FILTER(INDIRECT(""'""&amp;DP$1&amp;""'!$C$4:$C$66""),INDIRECT(""'""&amp;DP$1&amp;""'!$D$4:$D$66"")=DP$2),$G$4:$BQ$4,$G16:$BQ16)))"),0.06733642399999999)</f>
        <v>0.067336424</v>
      </c>
      <c r="DQ16" s="207" t="str">
        <f>IFERROR(__xludf.DUMMYFUNCTION("IF(OR(DP16&gt;$BS16+$BT16*$BT$2,DP16&lt;$BS16-$BT16*$BT$2),AVEDEV(ARRAYFORMULA(XLOOKUP(FILTER(INDIRECT(""'""&amp;DP$1&amp;""'!$C$4:$C$66""),INDIRECT(""'""&amp;DP$1&amp;""'!$D$4:$D$66"")=DP$2),$G$4:$BQ$4,$G16:$BQ16))),"""")"),"")</f>
        <v/>
      </c>
      <c r="DR16" s="208" t="str">
        <f t="shared" si="22"/>
        <v/>
      </c>
      <c r="DS16" s="210">
        <f>IFERROR(__xludf.DUMMYFUNCTION("AVERAGE(ARRAYFORMULA(XLOOKUP(FILTER(INDIRECT(""'""&amp;DS$1&amp;""'!$C$4:$C$66""),INDIRECT(""'""&amp;DS$1&amp;""'!$D$4:$D$66"")=DS$2),$G$4:$BQ$4,$G16:$BQ16)))"),0.023527411111111132)</f>
        <v>0.02352741111</v>
      </c>
      <c r="DT16" s="207" t="str">
        <f>IFERROR(__xludf.DUMMYFUNCTION("IF(OR(DS16&gt;$BS16+$BT16*$BT$2,DS16&lt;$BS16-$BT16*$BT$2),AVEDEV(ARRAYFORMULA(XLOOKUP(FILTER(INDIRECT(""'""&amp;DS$1&amp;""'!$C$4:$C$66""),INDIRECT(""'""&amp;DS$1&amp;""'!$D$4:$D$66"")=DS$2),$G$4:$BQ$4,$G16:$BQ16))),"""")"),"")</f>
        <v/>
      </c>
      <c r="DU16" s="208" t="str">
        <f t="shared" si="23"/>
        <v/>
      </c>
      <c r="DV16" s="210">
        <f>IFERROR(__xludf.DUMMYFUNCTION("AVERAGE(ARRAYFORMULA(XLOOKUP(FILTER(INDIRECT(""'""&amp;DV$1&amp;""'!$C$4:$C$66""),INDIRECT(""'""&amp;DV$1&amp;""'!$D$4:$D$66"")=DV$2),$G$4:$BQ$4,$G16:$BQ16)))"),0.29134466625)</f>
        <v>0.2913446663</v>
      </c>
      <c r="DW16" s="207" t="str">
        <f>IFERROR(__xludf.DUMMYFUNCTION("IF(OR(DV16&gt;$BS16+$BT16*$BT$2,DV16&lt;$BS16-$BT16*$BT$2),AVEDEV(ARRAYFORMULA(XLOOKUP(FILTER(INDIRECT(""'""&amp;DV$1&amp;""'!$C$4:$C$66""),INDIRECT(""'""&amp;DV$1&amp;""'!$D$4:$D$66"")=DV$2),$G$4:$BQ$4,$G16:$BQ16))),"""")"),"")</f>
        <v/>
      </c>
      <c r="DX16" s="208" t="str">
        <f t="shared" si="24"/>
        <v/>
      </c>
      <c r="DY16" s="210">
        <f>IFERROR(__xludf.DUMMYFUNCTION("AVERAGE(ARRAYFORMULA(XLOOKUP(FILTER(INDIRECT(""'""&amp;DY$1&amp;""'!$C$4:$C$66""),INDIRECT(""'""&amp;DY$1&amp;""'!$D$4:$D$66"")=DY$2),$G$4:$BQ$4,$G16:$BQ16)))"),-0.008930102222222212)</f>
        <v>-0.008930102222</v>
      </c>
      <c r="DZ16" s="207" t="str">
        <f>IFERROR(__xludf.DUMMYFUNCTION("IF(OR(DY16&gt;$BS16+$BT16*$BT$2,DY16&lt;$BS16-$BT16*$BT$2),AVEDEV(ARRAYFORMULA(XLOOKUP(FILTER(INDIRECT(""'""&amp;DY$1&amp;""'!$C$4:$C$66""),INDIRECT(""'""&amp;DY$1&amp;""'!$D$4:$D$66"")=DY$2),$G$4:$BQ$4,$G16:$BQ16))),"""")"),"")</f>
        <v/>
      </c>
      <c r="EA16" s="208" t="str">
        <f t="shared" si="25"/>
        <v/>
      </c>
      <c r="EB16" s="191"/>
    </row>
    <row r="17" outlineLevel="1">
      <c r="A17" s="2"/>
      <c r="B17" s="204">
        <v>13.0</v>
      </c>
      <c r="C17" s="204" t="s">
        <v>442</v>
      </c>
      <c r="D17" s="204" t="s">
        <v>456</v>
      </c>
      <c r="E17" s="205" t="b">
        <f>VLOOKUP(D17,'Feature Set List'!A13:C246,2,0)</f>
        <v>1</v>
      </c>
      <c r="F17" s="205" t="b">
        <f>VLOOKUP(D17,'Feature Set List'!A13:C246,3,0)</f>
        <v>0</v>
      </c>
      <c r="G17" s="205">
        <v>-1.8125</v>
      </c>
      <c r="H17" s="205">
        <v>0.1875</v>
      </c>
      <c r="I17" s="205">
        <v>0.125</v>
      </c>
      <c r="J17" s="205">
        <v>-0.25</v>
      </c>
      <c r="K17" s="205">
        <v>1.0625</v>
      </c>
      <c r="L17" s="205">
        <v>-0.25</v>
      </c>
      <c r="M17" s="205">
        <v>0.0</v>
      </c>
      <c r="N17" s="205">
        <v>0.25</v>
      </c>
      <c r="O17" s="205">
        <v>-0.625</v>
      </c>
      <c r="P17" s="205">
        <v>-0.125</v>
      </c>
      <c r="Q17" s="205">
        <v>0.125</v>
      </c>
      <c r="R17" s="205">
        <v>0.0</v>
      </c>
      <c r="S17" s="205">
        <v>0.0</v>
      </c>
      <c r="T17" s="205">
        <v>0.125</v>
      </c>
      <c r="U17" s="205">
        <v>-1.375</v>
      </c>
      <c r="V17" s="205">
        <v>0.0625</v>
      </c>
      <c r="W17" s="205">
        <v>-1.0625</v>
      </c>
      <c r="X17" s="205">
        <v>-1.5</v>
      </c>
      <c r="Y17" s="205">
        <v>-0.0625</v>
      </c>
      <c r="Z17" s="205">
        <v>-0.1875</v>
      </c>
      <c r="AA17" s="205">
        <v>-1.9375</v>
      </c>
      <c r="AB17" s="205">
        <v>-1.375</v>
      </c>
      <c r="AC17" s="205">
        <v>-1.0</v>
      </c>
      <c r="AD17" s="205">
        <v>0.3125</v>
      </c>
      <c r="AE17" s="205">
        <v>0.125</v>
      </c>
      <c r="AF17" s="205">
        <v>0.1875</v>
      </c>
      <c r="AG17" s="205">
        <v>-0.25</v>
      </c>
      <c r="AH17" s="205">
        <v>-1.6875</v>
      </c>
      <c r="AI17" s="205">
        <v>0.0</v>
      </c>
      <c r="AJ17" s="205">
        <v>0.125</v>
      </c>
      <c r="AK17" s="205">
        <v>0.1875</v>
      </c>
      <c r="AL17" s="205">
        <v>0.0625</v>
      </c>
      <c r="AM17" s="205">
        <v>-1.9375</v>
      </c>
      <c r="AN17" s="205">
        <v>-1.1875</v>
      </c>
      <c r="AO17" s="205">
        <v>0.0625</v>
      </c>
      <c r="AP17" s="205">
        <v>0.4375</v>
      </c>
      <c r="AQ17" s="205">
        <v>0.5625</v>
      </c>
      <c r="AR17" s="205">
        <v>0.5625</v>
      </c>
      <c r="AS17" s="205">
        <v>-0.125</v>
      </c>
      <c r="AT17" s="205">
        <v>-0.75</v>
      </c>
      <c r="AU17" s="205">
        <v>0.0</v>
      </c>
      <c r="AV17" s="205">
        <v>-2.0625</v>
      </c>
      <c r="AW17" s="205">
        <v>0.5</v>
      </c>
      <c r="AX17" s="205">
        <v>-0.4375</v>
      </c>
      <c r="AY17" s="205">
        <v>-1.375</v>
      </c>
      <c r="AZ17" s="205">
        <v>-0.75</v>
      </c>
      <c r="BA17" s="205">
        <v>0.0625</v>
      </c>
      <c r="BB17" s="205">
        <v>0.125</v>
      </c>
      <c r="BC17" s="205">
        <v>0.0</v>
      </c>
      <c r="BD17" s="205">
        <v>0.375</v>
      </c>
      <c r="BE17" s="205">
        <v>-1.625</v>
      </c>
      <c r="BF17" s="205">
        <v>0.375</v>
      </c>
      <c r="BG17" s="205">
        <v>-0.1875</v>
      </c>
      <c r="BH17" s="205">
        <v>0.3125</v>
      </c>
      <c r="BI17" s="205">
        <v>1.0625</v>
      </c>
      <c r="BJ17" s="205">
        <v>0.0</v>
      </c>
      <c r="BK17" s="205">
        <v>-0.25</v>
      </c>
      <c r="BL17" s="205">
        <v>-2.125</v>
      </c>
      <c r="BM17" s="205">
        <v>-0.75</v>
      </c>
      <c r="BN17" s="205">
        <v>-0.4375</v>
      </c>
      <c r="BO17" s="205">
        <v>-1.375</v>
      </c>
      <c r="BP17" s="205">
        <v>-1.625</v>
      </c>
      <c r="BQ17" s="205">
        <v>0.0625</v>
      </c>
      <c r="BR17" s="206"/>
      <c r="BS17" s="207">
        <f t="shared" si="6"/>
        <v>-0.3660714286</v>
      </c>
      <c r="BT17" s="207">
        <f t="shared" si="7"/>
        <v>0.6590136054</v>
      </c>
      <c r="BU17" s="206"/>
      <c r="BV17" s="207">
        <f>IFERROR(__xludf.DUMMYFUNCTION("AVERAGE(ARRAYFORMULA(XLOOKUP(FILTER(INDIRECT(""'""&amp;BV$1&amp;""'!$C$4:$C$66""),INDIRECT(""'""&amp;BV$1&amp;""'!$D$4:$D$66"")=BV$2),$G$4:$BQ$4,$G17:$BQ17)))"),-1.1160714285714286)</f>
        <v>-1.116071429</v>
      </c>
      <c r="BW17" s="207">
        <f>IFERROR(__xludf.DUMMYFUNCTION("IF(OR(BV17&gt;$BS17+$BT17*$BT$2,BV17&lt;$BS17-$BT17*$BT$2),AVEDEV(ARRAYFORMULA(XLOOKUP(FILTER(INDIRECT(""'""&amp;BV$1&amp;""'!$C$4:$C$66""),INDIRECT(""'""&amp;BV$1&amp;""'!$D$4:$D$66"")=BV$2),$G$4:$BQ$4,$G17:$BQ17))),"""")"),0.6913265306122448)</f>
        <v>0.6913265306</v>
      </c>
      <c r="BX17" s="208">
        <f t="shared" si="8"/>
        <v>-0.09098639456</v>
      </c>
      <c r="BY17" s="207">
        <f>IFERROR(__xludf.DUMMYFUNCTION("AVERAGE(ARRAYFORMULA(XLOOKUP(FILTER(INDIRECT(""'""&amp;BY$1&amp;""'!$C$4:$C$66""),INDIRECT(""'""&amp;BY$1&amp;""'!$D$4:$D$66"")=BY$2),$G$4:$BQ$4,$G17:$BQ17)))"),-0.2693452380952381)</f>
        <v>-0.2693452381</v>
      </c>
      <c r="BZ17" s="207" t="str">
        <f>IFERROR(__xludf.DUMMYFUNCTION("IF(OR(BY17&gt;$BS17+$BT17*$BT$2,BY17&lt;$BS17-$BT17*$BT$2),AVEDEV(ARRAYFORMULA(XLOOKUP(FILTER(INDIRECT(""'""&amp;BY$1&amp;""'!$C$4:$C$66""),INDIRECT(""'""&amp;BY$1&amp;""'!$D$4:$D$66"")=BY$2),$G$4:$BQ$4,$G17:$BQ17))),"""")"),"")</f>
        <v/>
      </c>
      <c r="CA17" s="208" t="str">
        <f t="shared" si="9"/>
        <v/>
      </c>
      <c r="CB17" s="207">
        <f>IFERROR(__xludf.DUMMYFUNCTION("AVERAGE(ARRAYFORMULA(XLOOKUP(FILTER(INDIRECT(""'""&amp;CB$1&amp;""'!$C$4:$C$66""),INDIRECT(""'""&amp;CB$1&amp;""'!$D$4:$D$66"")=CB$2),$G$4:$BQ$4,$G17:$BQ17)))"),-0.4034090909090909)</f>
        <v>-0.4034090909</v>
      </c>
      <c r="CC17" s="207" t="str">
        <f>IFERROR(__xludf.DUMMYFUNCTION("IF(OR(CB17&gt;$BS17+$BT17*$BT$2,CB17&lt;$BS17-$BT17*$BT$2),AVEDEV(ARRAYFORMULA(XLOOKUP(FILTER(INDIRECT(""'""&amp;CB$1&amp;""'!$C$4:$C$66""),INDIRECT(""'""&amp;CB$1&amp;""'!$D$4:$D$66"")=CB$2),$G$4:$BQ$4,$G17:$BQ17))),"""")"),"")</f>
        <v/>
      </c>
      <c r="CD17" s="208" t="str">
        <f t="shared" si="10"/>
        <v/>
      </c>
      <c r="CE17" s="209" t="s">
        <v>444</v>
      </c>
      <c r="CF17" s="207">
        <f>IFERROR(__xludf.DUMMYFUNCTION("AVERAGE(ARRAYFORMULA(XLOOKUP(FILTER(INDIRECT(""'""&amp;CF$1&amp;""'!$C$4:$C$66""),INDIRECT(""'""&amp;CF$1&amp;""'!$D$4:$D$66"")=CF$2),$G$4:$BQ$4,$G17:$BQ17)))"),0.078125)</f>
        <v>0.078125</v>
      </c>
      <c r="CG17" s="207" t="str">
        <f>IFERROR(__xludf.DUMMYFUNCTION("IF(OR(CF17&gt;$BS17+$BT17*$BT$2,CF17&lt;$BS17-$BT17*$BT$2),AVEDEV(ARRAYFORMULA(XLOOKUP(FILTER(INDIRECT(""'""&amp;CF$1&amp;""'!$C$4:$C$66""),INDIRECT(""'""&amp;CF$1&amp;""'!$D$4:$D$66"")=CF$2),$G$4:$BQ$4,$G17:$BQ17))),"""")"),"")</f>
        <v/>
      </c>
      <c r="CH17" s="208" t="str">
        <f t="shared" si="11"/>
        <v/>
      </c>
      <c r="CI17" s="207">
        <f>IFERROR(__xludf.DUMMYFUNCTION("AVERAGE(ARRAYFORMULA(XLOOKUP(FILTER(INDIRECT(""'""&amp;CI$1&amp;""'!$C$4:$C$66""),INDIRECT(""'""&amp;CI$1&amp;""'!$D$4:$D$66"")=CI$2),$G$4:$BQ$4,$G17:$BQ17)))"),-0.5544354838709677)</f>
        <v>-0.5544354839</v>
      </c>
      <c r="CJ17" s="207" t="str">
        <f>IFERROR(__xludf.DUMMYFUNCTION("IF(OR(CI17&gt;$BS17+$BT17*$BT$2,CI17&lt;$BS17-$BT17*$BT$2),AVEDEV(ARRAYFORMULA(XLOOKUP(FILTER(INDIRECT(""'""&amp;CI$1&amp;""'!$C$4:$C$66""),INDIRECT(""'""&amp;CI$1&amp;""'!$D$4:$D$66"")=CI$2),$G$4:$BQ$4,$G17:$BQ17))),"""")"),"")</f>
        <v/>
      </c>
      <c r="CK17" s="208" t="str">
        <f t="shared" si="12"/>
        <v/>
      </c>
      <c r="CL17" s="207">
        <f>IFERROR(__xludf.DUMMYFUNCTION("AVERAGE(ARRAYFORMULA(XLOOKUP(FILTER(INDIRECT(""'""&amp;CL$1&amp;""'!$C$4:$C$66""),INDIRECT(""'""&amp;CL$1&amp;""'!$D$4:$D$66"")=CL$2),$G$4:$BQ$4,$G17:$BQ17)))"),-0.05)</f>
        <v>-0.05</v>
      </c>
      <c r="CM17" s="207" t="str">
        <f>IFERROR(__xludf.DUMMYFUNCTION("IF(OR(CL17&gt;$BS17+$BT17*$BT$2,CL17&lt;$BS17-$BT17*$BT$2),AVEDEV(ARRAYFORMULA(XLOOKUP(FILTER(INDIRECT(""'""&amp;CL$1&amp;""'!$C$4:$C$66""),INDIRECT(""'""&amp;CL$1&amp;""'!$D$4:$D$66"")=CL$2),$G$4:$BQ$4,$G17:$BQ17))),"""")"),"")</f>
        <v/>
      </c>
      <c r="CN17" s="208" t="str">
        <f t="shared" si="13"/>
        <v/>
      </c>
      <c r="CO17" s="209" t="s">
        <v>444</v>
      </c>
      <c r="CP17" s="210">
        <f>IFERROR(__xludf.DUMMYFUNCTION("AVERAGE(ARRAYFORMULA(XLOOKUP(FILTER(INDIRECT(""'""&amp;CP$1&amp;""'!$C$4:$C$66""),INDIRECT(""'""&amp;CP$1&amp;""'!$D$4:$D$66"")=CP$2),$G$4:$BQ$4,$G17:$BQ17)))"),-0.9833333333333333)</f>
        <v>-0.9833333333</v>
      </c>
      <c r="CQ17" s="207" t="str">
        <f>IFERROR(__xludf.DUMMYFUNCTION("IF(OR(CP17&gt;$BS17+$BT17*$BT$2,CP17&lt;$BS17-$BT17*$BT$2),AVEDEV(ARRAYFORMULA(XLOOKUP(FILTER(INDIRECT(""'""&amp;CP$1&amp;""'!$C$4:$C$66""),INDIRECT(""'""&amp;CP$1&amp;""'!$D$4:$D$66"")=CP$2),$G$4:$BQ$4,$G17:$BQ17))),"""")"),"")</f>
        <v/>
      </c>
      <c r="CR17" s="208" t="str">
        <f t="shared" si="14"/>
        <v/>
      </c>
      <c r="CS17" s="210">
        <f>IFERROR(__xludf.DUMMYFUNCTION("AVERAGE(ARRAYFORMULA(XLOOKUP(FILTER(INDIRECT(""'""&amp;CS$1&amp;""'!$C$4:$C$66""),INDIRECT(""'""&amp;CS$1&amp;""'!$D$4:$D$66"")=CS$2),$G$4:$BQ$4,$G17:$BQ17)))"),-0.16506410256410256)</f>
        <v>-0.1650641026</v>
      </c>
      <c r="CT17" s="207" t="str">
        <f>IFERROR(__xludf.DUMMYFUNCTION("IF(OR(CS17&gt;$BS17+$BT17*$BT$2,CS17&lt;$BS17-$BT17*$BT$2),AVEDEV(ARRAYFORMULA(XLOOKUP(FILTER(INDIRECT(""'""&amp;CS$1&amp;""'!$C$4:$C$66""),INDIRECT(""'""&amp;CS$1&amp;""'!$D$4:$D$66"")=CS$2),$G$4:$BQ$4,$G17:$BQ17))),"""")"),"")</f>
        <v/>
      </c>
      <c r="CU17" s="208" t="str">
        <f t="shared" si="15"/>
        <v/>
      </c>
      <c r="CV17" s="210">
        <f>IFERROR(__xludf.DUMMYFUNCTION("AVERAGE(ARRAYFORMULA(XLOOKUP(FILTER(INDIRECT(""'""&amp;CV$1&amp;""'!$C$4:$C$66""),INDIRECT(""'""&amp;CV$1&amp;""'!$D$4:$D$66"")=CV$2),$G$4:$BQ$4,$G17:$BQ17)))"),-0.05)</f>
        <v>-0.05</v>
      </c>
      <c r="CW17" s="207" t="str">
        <f>IFERROR(__xludf.DUMMYFUNCTION("IF(OR(CV17&gt;$BS17+$BT17*$BT$2,CV17&lt;$BS17-$BT17*$BT$2),AVEDEV(ARRAYFORMULA(XLOOKUP(FILTER(INDIRECT(""'""&amp;CV$1&amp;""'!$C$4:$C$66""),INDIRECT(""'""&amp;CV$1&amp;""'!$D$4:$D$66"")=CV$2),$G$4:$BQ$4,$G17:$BQ17))),"""")"),"")</f>
        <v/>
      </c>
      <c r="CX17" s="208" t="str">
        <f t="shared" si="16"/>
        <v/>
      </c>
      <c r="CY17" s="209" t="s">
        <v>444</v>
      </c>
      <c r="CZ17" s="210">
        <f>IFERROR(__xludf.DUMMYFUNCTION("AVERAGE(ARRAYFORMULA(XLOOKUP(FILTER(INDIRECT(""'""&amp;CZ$1&amp;""'!$C$4:$C$66""),INDIRECT(""'""&amp;CZ$1&amp;""'!$D$4:$D$66"")=CZ$2),$G$4:$BQ$4,$G17:$BQ17)))"),0.14285714285714285)</f>
        <v>0.1428571429</v>
      </c>
      <c r="DA17" s="207" t="str">
        <f>IFERROR(__xludf.DUMMYFUNCTION("IF(OR(CZ17&gt;$BS17+$BT17*$BT$2,CZ17&lt;$BS17-$BT17*$BT$2),AVEDEV(ARRAYFORMULA(XLOOKUP(FILTER(INDIRECT(""'""&amp;CZ$1&amp;""'!$C$4:$C$66""),INDIRECT(""'""&amp;CZ$1&amp;""'!$D$4:$D$66"")=CZ$2),$G$4:$BQ$4,$G17:$BQ17))),"""")"),"")</f>
        <v/>
      </c>
      <c r="DB17" s="208" t="str">
        <f t="shared" si="17"/>
        <v/>
      </c>
      <c r="DC17" s="210">
        <f>IFERROR(__xludf.DUMMYFUNCTION("AVERAGE(ARRAYFORMULA(XLOOKUP(FILTER(INDIRECT(""'""&amp;DC$1&amp;""'!$C$4:$C$66""),INDIRECT(""'""&amp;DC$1&amp;""'!$D$4:$D$66"")=DC$2),$G$4:$BQ$4,$G17:$BQ17)))"),-0.3263888888888889)</f>
        <v>-0.3263888889</v>
      </c>
      <c r="DD17" s="207" t="str">
        <f>IFERROR(__xludf.DUMMYFUNCTION("IF(OR(DC17&gt;$BS17+$BT17*$BT$2,DC17&lt;$BS17-$BT17*$BT$2),AVEDEV(ARRAYFORMULA(XLOOKUP(FILTER(INDIRECT(""'""&amp;DC$1&amp;""'!$C$4:$C$66""),INDIRECT(""'""&amp;DC$1&amp;""'!$D$4:$D$66"")=DC$2),$G$4:$BQ$4,$G17:$BQ17))),"""")"),"")</f>
        <v/>
      </c>
      <c r="DE17" s="208" t="str">
        <f t="shared" si="18"/>
        <v/>
      </c>
      <c r="DF17" s="210">
        <f>IFERROR(__xludf.DUMMYFUNCTION("AVERAGE(ARRAYFORMULA(XLOOKUP(FILTER(INDIRECT(""'""&amp;DF$1&amp;""'!$C$4:$C$66""),INDIRECT(""'""&amp;DF$1&amp;""'!$D$4:$D$66"")=DF$2),$G$4:$BQ$4,$G17:$BQ17)))"),-1.1875)</f>
        <v>-1.1875</v>
      </c>
      <c r="DG17" s="207">
        <f>IFERROR(__xludf.DUMMYFUNCTION("IF(OR(DF17&gt;$BS17+$BT17*$BT$2,DF17&lt;$BS17-$BT17*$BT$2),AVEDEV(ARRAYFORMULA(XLOOKUP(FILTER(INDIRECT(""'""&amp;DF$1&amp;""'!$C$4:$C$66""),INDIRECT(""'""&amp;DF$1&amp;""'!$D$4:$D$66"")=DF$2),$G$4:$BQ$4,$G17:$BQ17))),"""")"),0.5909090909090909)</f>
        <v>0.5909090909</v>
      </c>
      <c r="DH17" s="208">
        <f t="shared" si="19"/>
        <v>-0.162414966</v>
      </c>
      <c r="DI17" s="210">
        <f>IFERROR(__xludf.DUMMYFUNCTION("AVERAGE(ARRAYFORMULA(XLOOKUP(FILTER(INDIRECT(""'""&amp;DI$1&amp;""'!$C$4:$C$66""),INDIRECT(""'""&amp;DI$1&amp;""'!$D$4:$D$66"")=DI$2),$G$4:$BQ$4,$G17:$BQ17)))"),0.3125)</f>
        <v>0.3125</v>
      </c>
      <c r="DJ17" s="207">
        <f>IFERROR(__xludf.DUMMYFUNCTION("IF(OR(DI17&gt;$BS17+$BT17*$BT$2,DI17&lt;$BS17-$BT17*$BT$2),AVEDEV(ARRAYFORMULA(XLOOKUP(FILTER(INDIRECT(""'""&amp;DI$1&amp;""'!$C$4:$C$66""),INDIRECT(""'""&amp;DI$1&amp;""'!$D$4:$D$66"")=DI$2),$G$4:$BQ$4,$G17:$BQ17))),"""")"),0.0)</f>
        <v>0</v>
      </c>
      <c r="DK17" s="208">
        <f t="shared" si="20"/>
        <v>0.01955782313</v>
      </c>
      <c r="DL17" s="210">
        <f>IFERROR(__xludf.DUMMYFUNCTION("AVERAGE(ARRAYFORMULA(XLOOKUP(FILTER(INDIRECT(""'""&amp;DL$1&amp;""'!$C$4:$C$66""),INDIRECT(""'""&amp;DL$1&amp;""'!$D$4:$D$66"")=DL$2),$G$4:$BQ$4,$G17:$BQ17)))"),-0.18303571428571427)</f>
        <v>-0.1830357143</v>
      </c>
      <c r="DM17" s="207" t="str">
        <f>IFERROR(__xludf.DUMMYFUNCTION("IF(OR(DL17&gt;$BS17+$BT17*$BT$2,DL17&lt;$BS17-$BT17*$BT$2),AVEDEV(ARRAYFORMULA(XLOOKUP(FILTER(INDIRECT(""'""&amp;DL$1&amp;""'!$C$4:$C$66""),INDIRECT(""'""&amp;DL$1&amp;""'!$D$4:$D$66"")=DL$2),$G$4:$BQ$4,$G17:$BQ17))),"""")"),"")</f>
        <v/>
      </c>
      <c r="DN17" s="208" t="str">
        <f t="shared" si="21"/>
        <v/>
      </c>
      <c r="DO17" s="209" t="s">
        <v>444</v>
      </c>
      <c r="DP17" s="210">
        <f>IFERROR(__xludf.DUMMYFUNCTION("AVERAGE(ARRAYFORMULA(XLOOKUP(FILTER(INDIRECT(""'""&amp;DP$1&amp;""'!$C$4:$C$66""),INDIRECT(""'""&amp;DP$1&amp;""'!$D$4:$D$66"")=DP$2),$G$4:$BQ$4,$G17:$BQ17)))"),-0.20416666666666666)</f>
        <v>-0.2041666667</v>
      </c>
      <c r="DQ17" s="207" t="str">
        <f>IFERROR(__xludf.DUMMYFUNCTION("IF(OR(DP17&gt;$BS17+$BT17*$BT$2,DP17&lt;$BS17-$BT17*$BT$2),AVEDEV(ARRAYFORMULA(XLOOKUP(FILTER(INDIRECT(""'""&amp;DP$1&amp;""'!$C$4:$C$66""),INDIRECT(""'""&amp;DP$1&amp;""'!$D$4:$D$66"")=DP$2),$G$4:$BQ$4,$G17:$BQ17))),"""")"),"")</f>
        <v/>
      </c>
      <c r="DR17" s="208" t="str">
        <f t="shared" si="22"/>
        <v/>
      </c>
      <c r="DS17" s="210">
        <f>IFERROR(__xludf.DUMMYFUNCTION("AVERAGE(ARRAYFORMULA(XLOOKUP(FILTER(INDIRECT(""'""&amp;DS$1&amp;""'!$C$4:$C$66""),INDIRECT(""'""&amp;DS$1&amp;""'!$D$4:$D$66"")=DS$2),$G$4:$BQ$4,$G17:$BQ17)))"),-0.6527777777777778)</f>
        <v>-0.6527777778</v>
      </c>
      <c r="DT17" s="207" t="str">
        <f>IFERROR(__xludf.DUMMYFUNCTION("IF(OR(DS17&gt;$BS17+$BT17*$BT$2,DS17&lt;$BS17-$BT17*$BT$2),AVEDEV(ARRAYFORMULA(XLOOKUP(FILTER(INDIRECT(""'""&amp;DS$1&amp;""'!$C$4:$C$66""),INDIRECT(""'""&amp;DS$1&amp;""'!$D$4:$D$66"")=DS$2),$G$4:$BQ$4,$G17:$BQ17))),"""")"),"")</f>
        <v/>
      </c>
      <c r="DU17" s="208" t="str">
        <f t="shared" si="23"/>
        <v/>
      </c>
      <c r="DV17" s="210">
        <f>IFERROR(__xludf.DUMMYFUNCTION("AVERAGE(ARRAYFORMULA(XLOOKUP(FILTER(INDIRECT(""'""&amp;DV$1&amp;""'!$C$4:$C$66""),INDIRECT(""'""&amp;DV$1&amp;""'!$D$4:$D$66"")=DV$2),$G$4:$BQ$4,$G17:$BQ17)))"),-0.7421875)</f>
        <v>-0.7421875</v>
      </c>
      <c r="DW17" s="207" t="str">
        <f>IFERROR(__xludf.DUMMYFUNCTION("IF(OR(DV17&gt;$BS17+$BT17*$BT$2,DV17&lt;$BS17-$BT17*$BT$2),AVEDEV(ARRAYFORMULA(XLOOKUP(FILTER(INDIRECT(""'""&amp;DV$1&amp;""'!$C$4:$C$66""),INDIRECT(""'""&amp;DV$1&amp;""'!$D$4:$D$66"")=DV$2),$G$4:$BQ$4,$G17:$BQ17))),"""")"),"")</f>
        <v/>
      </c>
      <c r="DX17" s="208" t="str">
        <f t="shared" si="24"/>
        <v/>
      </c>
      <c r="DY17" s="210">
        <f>IFERROR(__xludf.DUMMYFUNCTION("AVERAGE(ARRAYFORMULA(XLOOKUP(FILTER(INDIRECT(""'""&amp;DY$1&amp;""'!$C$4:$C$66""),INDIRECT(""'""&amp;DY$1&amp;""'!$D$4:$D$66"")=DY$2),$G$4:$BQ$4,$G17:$BQ17)))"),-0.2916666666666667)</f>
        <v>-0.2916666667</v>
      </c>
      <c r="DZ17" s="207" t="str">
        <f>IFERROR(__xludf.DUMMYFUNCTION("IF(OR(DY17&gt;$BS17+$BT17*$BT$2,DY17&lt;$BS17-$BT17*$BT$2),AVEDEV(ARRAYFORMULA(XLOOKUP(FILTER(INDIRECT(""'""&amp;DY$1&amp;""'!$C$4:$C$66""),INDIRECT(""'""&amp;DY$1&amp;""'!$D$4:$D$66"")=DY$2),$G$4:$BQ$4,$G17:$BQ17))),"""")"),"")</f>
        <v/>
      </c>
      <c r="EA17" s="208" t="str">
        <f t="shared" si="25"/>
        <v/>
      </c>
      <c r="EB17" s="191"/>
    </row>
    <row r="18" outlineLevel="1">
      <c r="A18" s="2"/>
      <c r="B18" s="204">
        <v>14.0</v>
      </c>
      <c r="C18" s="204" t="s">
        <v>442</v>
      </c>
      <c r="D18" s="204" t="s">
        <v>457</v>
      </c>
      <c r="E18" s="205" t="b">
        <f>VLOOKUP(D18,'Feature Set List'!A14:C246,2,0)</f>
        <v>1</v>
      </c>
      <c r="F18" s="205" t="b">
        <f>VLOOKUP(D18,'Feature Set List'!A14:C246,3,0)</f>
        <v>0</v>
      </c>
      <c r="G18" s="205">
        <v>0.8</v>
      </c>
      <c r="H18" s="205">
        <v>0.8</v>
      </c>
      <c r="I18" s="205">
        <v>-0.2</v>
      </c>
      <c r="J18" s="205">
        <v>1.0</v>
      </c>
      <c r="K18" s="205">
        <v>0.8</v>
      </c>
      <c r="L18" s="205">
        <v>1.0</v>
      </c>
      <c r="M18" s="205">
        <v>-0.6</v>
      </c>
      <c r="N18" s="205">
        <v>0.2</v>
      </c>
      <c r="O18" s="205">
        <v>-0.2</v>
      </c>
      <c r="P18" s="205">
        <v>0.4</v>
      </c>
      <c r="Q18" s="205">
        <v>-0.2</v>
      </c>
      <c r="R18" s="205">
        <v>-0.6</v>
      </c>
      <c r="S18" s="205">
        <v>-0.6</v>
      </c>
      <c r="T18" s="205">
        <v>-0.6</v>
      </c>
      <c r="U18" s="205">
        <v>-0.2</v>
      </c>
      <c r="V18" s="205">
        <v>-0.4</v>
      </c>
      <c r="W18" s="205">
        <v>0.8</v>
      </c>
      <c r="X18" s="205">
        <v>-0.6</v>
      </c>
      <c r="Y18" s="205">
        <v>-0.8</v>
      </c>
      <c r="Z18" s="205">
        <v>-0.2</v>
      </c>
      <c r="AA18" s="205">
        <v>1.2</v>
      </c>
      <c r="AB18" s="205">
        <v>-0.2</v>
      </c>
      <c r="AC18" s="205">
        <v>0.6</v>
      </c>
      <c r="AD18" s="205">
        <v>0.4</v>
      </c>
      <c r="AE18" s="205">
        <v>-0.2</v>
      </c>
      <c r="AF18" s="205">
        <v>0.0</v>
      </c>
      <c r="AG18" s="205">
        <v>-0.6</v>
      </c>
      <c r="AH18" s="205">
        <v>0.8</v>
      </c>
      <c r="AI18" s="205">
        <v>0.0</v>
      </c>
      <c r="AJ18" s="205">
        <v>0.4</v>
      </c>
      <c r="AK18" s="205">
        <v>0.0</v>
      </c>
      <c r="AL18" s="205">
        <v>0.6</v>
      </c>
      <c r="AM18" s="205">
        <v>0.4</v>
      </c>
      <c r="AN18" s="205">
        <v>0.4</v>
      </c>
      <c r="AO18" s="205">
        <v>-0.4</v>
      </c>
      <c r="AP18" s="205">
        <v>0.0</v>
      </c>
      <c r="AQ18" s="205">
        <v>1.2</v>
      </c>
      <c r="AR18" s="205">
        <v>1.2</v>
      </c>
      <c r="AS18" s="205">
        <v>-1.0</v>
      </c>
      <c r="AT18" s="205">
        <v>-0.6</v>
      </c>
      <c r="AU18" s="205">
        <v>-0.6</v>
      </c>
      <c r="AV18" s="205">
        <v>0.0</v>
      </c>
      <c r="AW18" s="205">
        <v>0.4</v>
      </c>
      <c r="AX18" s="205">
        <v>0.4</v>
      </c>
      <c r="AY18" s="205">
        <v>-0.2</v>
      </c>
      <c r="AZ18" s="205">
        <v>-0.6</v>
      </c>
      <c r="BA18" s="205">
        <v>0.6</v>
      </c>
      <c r="BB18" s="205">
        <v>-0.2</v>
      </c>
      <c r="BC18" s="205">
        <v>-0.6</v>
      </c>
      <c r="BD18" s="205">
        <v>0.4</v>
      </c>
      <c r="BE18" s="205">
        <v>-1.0</v>
      </c>
      <c r="BF18" s="205">
        <v>0.6</v>
      </c>
      <c r="BG18" s="205">
        <v>1.2</v>
      </c>
      <c r="BH18" s="205">
        <v>0.4</v>
      </c>
      <c r="BI18" s="205">
        <v>0.4</v>
      </c>
      <c r="BJ18" s="205">
        <v>-0.6</v>
      </c>
      <c r="BK18" s="205">
        <v>0.0</v>
      </c>
      <c r="BL18" s="205">
        <v>-0.2</v>
      </c>
      <c r="BM18" s="205">
        <v>-0.6</v>
      </c>
      <c r="BN18" s="205">
        <v>0.4</v>
      </c>
      <c r="BO18" s="205">
        <v>-0.2</v>
      </c>
      <c r="BP18" s="205">
        <v>-1.0</v>
      </c>
      <c r="BQ18" s="205">
        <v>0.6</v>
      </c>
      <c r="BR18" s="206"/>
      <c r="BS18" s="207">
        <f t="shared" si="6"/>
        <v>0.06984126984</v>
      </c>
      <c r="BT18" s="207">
        <f t="shared" si="7"/>
        <v>0.5220458554</v>
      </c>
      <c r="BU18" s="206"/>
      <c r="BV18" s="207">
        <f>IFERROR(__xludf.DUMMYFUNCTION("AVERAGE(ARRAYFORMULA(XLOOKUP(FILTER(INDIRECT(""'""&amp;BV$1&amp;""'!$C$4:$C$66""),INDIRECT(""'""&amp;BV$1&amp;""'!$D$4:$D$66"")=BV$2),$G$4:$BQ$4,$G18:$BQ18)))"),-0.4)</f>
        <v>-0.4</v>
      </c>
      <c r="BW18" s="207" t="str">
        <f>IFERROR(__xludf.DUMMYFUNCTION("IF(OR(BV18&gt;$BS18+$BT18*$BT$2,BV18&lt;$BS18-$BT18*$BT$2),AVEDEV(ARRAYFORMULA(XLOOKUP(FILTER(INDIRECT(""'""&amp;BV$1&amp;""'!$C$4:$C$66""),INDIRECT(""'""&amp;BV$1&amp;""'!$D$4:$D$66"")=BV$2),$G$4:$BQ$4,$G18:$BQ18))),"""")"),"")</f>
        <v/>
      </c>
      <c r="BX18" s="208" t="str">
        <f t="shared" si="8"/>
        <v/>
      </c>
      <c r="BY18" s="207">
        <f>IFERROR(__xludf.DUMMYFUNCTION("AVERAGE(ARRAYFORMULA(XLOOKUP(FILTER(INDIRECT(""'""&amp;BY$1&amp;""'!$C$4:$C$66""),INDIRECT(""'""&amp;BY$1&amp;""'!$D$4:$D$66"")=BY$2),$G$4:$BQ$4,$G18:$BQ18)))"),0.17142857142857143)</f>
        <v>0.1714285714</v>
      </c>
      <c r="BZ18" s="207" t="str">
        <f>IFERROR(__xludf.DUMMYFUNCTION("IF(OR(BY18&gt;$BS18+$BT18*$BT$2,BY18&lt;$BS18-$BT18*$BT$2),AVEDEV(ARRAYFORMULA(XLOOKUP(FILTER(INDIRECT(""'""&amp;BY$1&amp;""'!$C$4:$C$66""),INDIRECT(""'""&amp;BY$1&amp;""'!$D$4:$D$66"")=BY$2),$G$4:$BQ$4,$G18:$BQ18))),"""")"),"")</f>
        <v/>
      </c>
      <c r="CA18" s="208" t="str">
        <f t="shared" si="9"/>
        <v/>
      </c>
      <c r="CB18" s="207">
        <f>IFERROR(__xludf.DUMMYFUNCTION("AVERAGE(ARRAYFORMULA(XLOOKUP(FILTER(INDIRECT(""'""&amp;CB$1&amp;""'!$C$4:$C$66""),INDIRECT(""'""&amp;CB$1&amp;""'!$D$4:$D$66"")=CB$2),$G$4:$BQ$4,$G18:$BQ18)))"),0.036363636363636376)</f>
        <v>0.03636363636</v>
      </c>
      <c r="CC18" s="207" t="str">
        <f>IFERROR(__xludf.DUMMYFUNCTION("IF(OR(CB18&gt;$BS18+$BT18*$BT$2,CB18&lt;$BS18-$BT18*$BT$2),AVEDEV(ARRAYFORMULA(XLOOKUP(FILTER(INDIRECT(""'""&amp;CB$1&amp;""'!$C$4:$C$66""),INDIRECT(""'""&amp;CB$1&amp;""'!$D$4:$D$66"")=CB$2),$G$4:$BQ$4,$G18:$BQ18))),"""")"),"")</f>
        <v/>
      </c>
      <c r="CD18" s="208" t="str">
        <f t="shared" si="10"/>
        <v/>
      </c>
      <c r="CE18" s="209" t="s">
        <v>444</v>
      </c>
      <c r="CF18" s="207">
        <f>IFERROR(__xludf.DUMMYFUNCTION("AVERAGE(ARRAYFORMULA(XLOOKUP(FILTER(INDIRECT(""'""&amp;CF$1&amp;""'!$C$4:$C$66""),INDIRECT(""'""&amp;CF$1&amp;""'!$D$4:$D$66"")=CF$2),$G$4:$BQ$4,$G18:$BQ18)))"),0.17499999999999996)</f>
        <v>0.175</v>
      </c>
      <c r="CG18" s="207" t="str">
        <f>IFERROR(__xludf.DUMMYFUNCTION("IF(OR(CF18&gt;$BS18+$BT18*$BT$2,CF18&lt;$BS18-$BT18*$BT$2),AVEDEV(ARRAYFORMULA(XLOOKUP(FILTER(INDIRECT(""'""&amp;CF$1&amp;""'!$C$4:$C$66""),INDIRECT(""'""&amp;CF$1&amp;""'!$D$4:$D$66"")=CF$2),$G$4:$BQ$4,$G18:$BQ18))),"""")"),"")</f>
        <v/>
      </c>
      <c r="CH18" s="208" t="str">
        <f t="shared" si="11"/>
        <v/>
      </c>
      <c r="CI18" s="207">
        <f>IFERROR(__xludf.DUMMYFUNCTION("AVERAGE(ARRAYFORMULA(XLOOKUP(FILTER(INDIRECT(""'""&amp;CI$1&amp;""'!$C$4:$C$66""),INDIRECT(""'""&amp;CI$1&amp;""'!$D$4:$D$66"")=CI$2),$G$4:$BQ$4,$G18:$BQ18)))"),0.03225806451612906)</f>
        <v>0.03225806452</v>
      </c>
      <c r="CJ18" s="207" t="str">
        <f>IFERROR(__xludf.DUMMYFUNCTION("IF(OR(CI18&gt;$BS18+$BT18*$BT$2,CI18&lt;$BS18-$BT18*$BT$2),AVEDEV(ARRAYFORMULA(XLOOKUP(FILTER(INDIRECT(""'""&amp;CI$1&amp;""'!$C$4:$C$66""),INDIRECT(""'""&amp;CI$1&amp;""'!$D$4:$D$66"")=CI$2),$G$4:$BQ$4,$G18:$BQ18))),"""")"),"")</f>
        <v/>
      </c>
      <c r="CK18" s="208" t="str">
        <f t="shared" si="12"/>
        <v/>
      </c>
      <c r="CL18" s="207">
        <f>IFERROR(__xludf.DUMMYFUNCTION("AVERAGE(ARRAYFORMULA(XLOOKUP(FILTER(INDIRECT(""'""&amp;CL$1&amp;""'!$C$4:$C$66""),INDIRECT(""'""&amp;CL$1&amp;""'!$D$4:$D$66"")=CL$2),$G$4:$BQ$4,$G18:$BQ18)))"),0.12)</f>
        <v>0.12</v>
      </c>
      <c r="CM18" s="207" t="str">
        <f>IFERROR(__xludf.DUMMYFUNCTION("IF(OR(CL18&gt;$BS18+$BT18*$BT$2,CL18&lt;$BS18-$BT18*$BT$2),AVEDEV(ARRAYFORMULA(XLOOKUP(FILTER(INDIRECT(""'""&amp;CL$1&amp;""'!$C$4:$C$66""),INDIRECT(""'""&amp;CL$1&amp;""'!$D$4:$D$66"")=CL$2),$G$4:$BQ$4,$G18:$BQ18))),"""")"),"")</f>
        <v/>
      </c>
      <c r="CN18" s="208" t="str">
        <f t="shared" si="13"/>
        <v/>
      </c>
      <c r="CO18" s="209" t="s">
        <v>444</v>
      </c>
      <c r="CP18" s="210">
        <f>IFERROR(__xludf.DUMMYFUNCTION("AVERAGE(ARRAYFORMULA(XLOOKUP(FILTER(INDIRECT(""'""&amp;CP$1&amp;""'!$C$4:$C$66""),INDIRECT(""'""&amp;CP$1&amp;""'!$D$4:$D$66"")=CP$2),$G$4:$BQ$4,$G18:$BQ18)))"),-0.06666666666666667)</f>
        <v>-0.06666666667</v>
      </c>
      <c r="CQ18" s="207" t="str">
        <f>IFERROR(__xludf.DUMMYFUNCTION("IF(OR(CP18&gt;$BS18+$BT18*$BT$2,CP18&lt;$BS18-$BT18*$BT$2),AVEDEV(ARRAYFORMULA(XLOOKUP(FILTER(INDIRECT(""'""&amp;CP$1&amp;""'!$C$4:$C$66""),INDIRECT(""'""&amp;CP$1&amp;""'!$D$4:$D$66"")=CP$2),$G$4:$BQ$4,$G18:$BQ18))),"""")"),"")</f>
        <v/>
      </c>
      <c r="CR18" s="208" t="str">
        <f t="shared" si="14"/>
        <v/>
      </c>
      <c r="CS18" s="210">
        <f>IFERROR(__xludf.DUMMYFUNCTION("AVERAGE(ARRAYFORMULA(XLOOKUP(FILTER(INDIRECT(""'""&amp;CS$1&amp;""'!$C$4:$C$66""),INDIRECT(""'""&amp;CS$1&amp;""'!$D$4:$D$66"")=CS$2),$G$4:$BQ$4,$G18:$BQ18)))"),0.13846153846153847)</f>
        <v>0.1384615385</v>
      </c>
      <c r="CT18" s="207" t="str">
        <f>IFERROR(__xludf.DUMMYFUNCTION("IF(OR(CS18&gt;$BS18+$BT18*$BT$2,CS18&lt;$BS18-$BT18*$BT$2),AVEDEV(ARRAYFORMULA(XLOOKUP(FILTER(INDIRECT(""'""&amp;CS$1&amp;""'!$C$4:$C$66""),INDIRECT(""'""&amp;CS$1&amp;""'!$D$4:$D$66"")=CS$2),$G$4:$BQ$4,$G18:$BQ18))),"""")"),"")</f>
        <v/>
      </c>
      <c r="CU18" s="208" t="str">
        <f t="shared" si="15"/>
        <v/>
      </c>
      <c r="CV18" s="210">
        <f>IFERROR(__xludf.DUMMYFUNCTION("AVERAGE(ARRAYFORMULA(XLOOKUP(FILTER(INDIRECT(""'""&amp;CV$1&amp;""'!$C$4:$C$66""),INDIRECT(""'""&amp;CV$1&amp;""'!$D$4:$D$66"")=CV$2),$G$4:$BQ$4,$G18:$BQ18)))"),0.12)</f>
        <v>0.12</v>
      </c>
      <c r="CW18" s="207" t="str">
        <f>IFERROR(__xludf.DUMMYFUNCTION("IF(OR(CV18&gt;$BS18+$BT18*$BT$2,CV18&lt;$BS18-$BT18*$BT$2),AVEDEV(ARRAYFORMULA(XLOOKUP(FILTER(INDIRECT(""'""&amp;CV$1&amp;""'!$C$4:$C$66""),INDIRECT(""'""&amp;CV$1&amp;""'!$D$4:$D$66"")=CV$2),$G$4:$BQ$4,$G18:$BQ18))),"""")"),"")</f>
        <v/>
      </c>
      <c r="CX18" s="208" t="str">
        <f t="shared" si="16"/>
        <v/>
      </c>
      <c r="CY18" s="209" t="s">
        <v>444</v>
      </c>
      <c r="CZ18" s="210">
        <f>IFERROR(__xludf.DUMMYFUNCTION("AVERAGE(ARRAYFORMULA(XLOOKUP(FILTER(INDIRECT(""'""&amp;CZ$1&amp;""'!$C$4:$C$66""),INDIRECT(""'""&amp;CZ$1&amp;""'!$D$4:$D$66"")=CZ$2),$G$4:$BQ$4,$G18:$BQ18)))"),0.2571428571428571)</f>
        <v>0.2571428571</v>
      </c>
      <c r="DA18" s="207" t="str">
        <f>IFERROR(__xludf.DUMMYFUNCTION("IF(OR(CZ18&gt;$BS18+$BT18*$BT$2,CZ18&lt;$BS18-$BT18*$BT$2),AVEDEV(ARRAYFORMULA(XLOOKUP(FILTER(INDIRECT(""'""&amp;CZ$1&amp;""'!$C$4:$C$66""),INDIRECT(""'""&amp;CZ$1&amp;""'!$D$4:$D$66"")=CZ$2),$G$4:$BQ$4,$G18:$BQ18))),"""")"),"")</f>
        <v/>
      </c>
      <c r="DB18" s="208" t="str">
        <f t="shared" si="17"/>
        <v/>
      </c>
      <c r="DC18" s="210">
        <f>IFERROR(__xludf.DUMMYFUNCTION("AVERAGE(ARRAYFORMULA(XLOOKUP(FILTER(INDIRECT(""'""&amp;DC$1&amp;""'!$C$4:$C$66""),INDIRECT(""'""&amp;DC$1&amp;""'!$D$4:$D$66"")=DC$2),$G$4:$BQ$4,$G18:$BQ18)))"),0.17777777777777776)</f>
        <v>0.1777777778</v>
      </c>
      <c r="DD18" s="207" t="str">
        <f>IFERROR(__xludf.DUMMYFUNCTION("IF(OR(DC18&gt;$BS18+$BT18*$BT$2,DC18&lt;$BS18-$BT18*$BT$2),AVEDEV(ARRAYFORMULA(XLOOKUP(FILTER(INDIRECT(""'""&amp;DC$1&amp;""'!$C$4:$C$66""),INDIRECT(""'""&amp;DC$1&amp;""'!$D$4:$D$66"")=DC$2),$G$4:$BQ$4,$G18:$BQ18))),"""")"),"")</f>
        <v/>
      </c>
      <c r="DE18" s="208" t="str">
        <f t="shared" si="18"/>
        <v/>
      </c>
      <c r="DF18" s="210">
        <f>IFERROR(__xludf.DUMMYFUNCTION("AVERAGE(ARRAYFORMULA(XLOOKUP(FILTER(INDIRECT(""'""&amp;DF$1&amp;""'!$C$4:$C$66""),INDIRECT(""'""&amp;DF$1&amp;""'!$D$4:$D$66"")=DF$2),$G$4:$BQ$4,$G18:$BQ18)))"),0.18181818181818182)</f>
        <v>0.1818181818</v>
      </c>
      <c r="DG18" s="207" t="str">
        <f>IFERROR(__xludf.DUMMYFUNCTION("IF(OR(DF18&gt;$BS18+$BT18*$BT$2,DF18&lt;$BS18-$BT18*$BT$2),AVEDEV(ARRAYFORMULA(XLOOKUP(FILTER(INDIRECT(""'""&amp;DF$1&amp;""'!$C$4:$C$66""),INDIRECT(""'""&amp;DF$1&amp;""'!$D$4:$D$66"")=DF$2),$G$4:$BQ$4,$G18:$BQ18))),"""")"),"")</f>
        <v/>
      </c>
      <c r="DH18" s="208" t="str">
        <f t="shared" si="19"/>
        <v/>
      </c>
      <c r="DI18" s="210">
        <f>IFERROR(__xludf.DUMMYFUNCTION("AVERAGE(ARRAYFORMULA(XLOOKUP(FILTER(INDIRECT(""'""&amp;DI$1&amp;""'!$C$4:$C$66""),INDIRECT(""'""&amp;DI$1&amp;""'!$D$4:$D$66"")=DI$2),$G$4:$BQ$4,$G18:$BQ18)))"),0.4)</f>
        <v>0.4</v>
      </c>
      <c r="DJ18" s="207" t="str">
        <f>IFERROR(__xludf.DUMMYFUNCTION("IF(OR(DI18&gt;$BS18+$BT18*$BT$2,DI18&lt;$BS18-$BT18*$BT$2),AVEDEV(ARRAYFORMULA(XLOOKUP(FILTER(INDIRECT(""'""&amp;DI$1&amp;""'!$C$4:$C$66""),INDIRECT(""'""&amp;DI$1&amp;""'!$D$4:$D$66"")=DI$2),$G$4:$BQ$4,$G18:$BQ18))),"""")"),"")</f>
        <v/>
      </c>
      <c r="DK18" s="208" t="str">
        <f t="shared" si="20"/>
        <v/>
      </c>
      <c r="DL18" s="210">
        <f>IFERROR(__xludf.DUMMYFUNCTION("AVERAGE(ARRAYFORMULA(XLOOKUP(FILTER(INDIRECT(""'""&amp;DL$1&amp;""'!$C$4:$C$66""),INDIRECT(""'""&amp;DL$1&amp;""'!$D$4:$D$66"")=DL$2),$G$4:$BQ$4,$G18:$BQ18)))"),0.028571428571428574)</f>
        <v>0.02857142857</v>
      </c>
      <c r="DM18" s="207" t="str">
        <f>IFERROR(__xludf.DUMMYFUNCTION("IF(OR(DL18&gt;$BS18+$BT18*$BT$2,DL18&lt;$BS18-$BT18*$BT$2),AVEDEV(ARRAYFORMULA(XLOOKUP(FILTER(INDIRECT(""'""&amp;DL$1&amp;""'!$C$4:$C$66""),INDIRECT(""'""&amp;DL$1&amp;""'!$D$4:$D$66"")=DL$2),$G$4:$BQ$4,$G18:$BQ18))),"""")"),"")</f>
        <v/>
      </c>
      <c r="DN18" s="208" t="str">
        <f t="shared" si="21"/>
        <v/>
      </c>
      <c r="DO18" s="209" t="s">
        <v>444</v>
      </c>
      <c r="DP18" s="210">
        <f>IFERROR(__xludf.DUMMYFUNCTION("AVERAGE(ARRAYFORMULA(XLOOKUP(FILTER(INDIRECT(""'""&amp;DP$1&amp;""'!$C$4:$C$66""),INDIRECT(""'""&amp;DP$1&amp;""'!$D$4:$D$66"")=DP$2),$G$4:$BQ$4,$G18:$BQ18)))"),0.12666666666666668)</f>
        <v>0.1266666667</v>
      </c>
      <c r="DQ18" s="207" t="str">
        <f>IFERROR(__xludf.DUMMYFUNCTION("IF(OR(DP18&gt;$BS18+$BT18*$BT$2,DP18&lt;$BS18-$BT18*$BT$2),AVEDEV(ARRAYFORMULA(XLOOKUP(FILTER(INDIRECT(""'""&amp;DP$1&amp;""'!$C$4:$C$66""),INDIRECT(""'""&amp;DP$1&amp;""'!$D$4:$D$66"")=DP$2),$G$4:$BQ$4,$G18:$BQ18))),"""")"),"")</f>
        <v/>
      </c>
      <c r="DR18" s="208" t="str">
        <f t="shared" si="22"/>
        <v/>
      </c>
      <c r="DS18" s="210">
        <f>IFERROR(__xludf.DUMMYFUNCTION("AVERAGE(ARRAYFORMULA(XLOOKUP(FILTER(INDIRECT(""'""&amp;DS$1&amp;""'!$C$4:$C$66""),INDIRECT(""'""&amp;DS$1&amp;""'!$D$4:$D$66"")=DS$2),$G$4:$BQ$4,$G18:$BQ18)))"),0.20000000000000004)</f>
        <v>0.2</v>
      </c>
      <c r="DT18" s="207" t="str">
        <f>IFERROR(__xludf.DUMMYFUNCTION("IF(OR(DS18&gt;$BS18+$BT18*$BT$2,DS18&lt;$BS18-$BT18*$BT$2),AVEDEV(ARRAYFORMULA(XLOOKUP(FILTER(INDIRECT(""'""&amp;DS$1&amp;""'!$C$4:$C$66""),INDIRECT(""'""&amp;DS$1&amp;""'!$D$4:$D$66"")=DS$2),$G$4:$BQ$4,$G18:$BQ18))),"""")"),"")</f>
        <v/>
      </c>
      <c r="DU18" s="208" t="str">
        <f t="shared" si="23"/>
        <v/>
      </c>
      <c r="DV18" s="210">
        <f>IFERROR(__xludf.DUMMYFUNCTION("AVERAGE(ARRAYFORMULA(XLOOKUP(FILTER(INDIRECT(""'""&amp;DV$1&amp;""'!$C$4:$C$66""),INDIRECT(""'""&amp;DV$1&amp;""'!$D$4:$D$66"")=DV$2),$G$4:$BQ$4,$G18:$BQ18)))"),-0.10000000000000002)</f>
        <v>-0.1</v>
      </c>
      <c r="DW18" s="207" t="str">
        <f>IFERROR(__xludf.DUMMYFUNCTION("IF(OR(DV18&gt;$BS18+$BT18*$BT$2,DV18&lt;$BS18-$BT18*$BT$2),AVEDEV(ARRAYFORMULA(XLOOKUP(FILTER(INDIRECT(""'""&amp;DV$1&amp;""'!$C$4:$C$66""),INDIRECT(""'""&amp;DV$1&amp;""'!$D$4:$D$66"")=DV$2),$G$4:$BQ$4,$G18:$BQ18))),"""")"),"")</f>
        <v/>
      </c>
      <c r="DX18" s="208" t="str">
        <f t="shared" si="24"/>
        <v/>
      </c>
      <c r="DY18" s="210">
        <f>IFERROR(__xludf.DUMMYFUNCTION("AVERAGE(ARRAYFORMULA(XLOOKUP(FILTER(INDIRECT(""'""&amp;DY$1&amp;""'!$C$4:$C$66""),INDIRECT(""'""&amp;DY$1&amp;""'!$D$4:$D$66"")=DY$2),$G$4:$BQ$4,$G18:$BQ18)))"),6.1679056923619804E-18)</f>
        <v>0</v>
      </c>
      <c r="DZ18" s="207" t="str">
        <f>IFERROR(__xludf.DUMMYFUNCTION("IF(OR(DY18&gt;$BS18+$BT18*$BT$2,DY18&lt;$BS18-$BT18*$BT$2),AVEDEV(ARRAYFORMULA(XLOOKUP(FILTER(INDIRECT(""'""&amp;DY$1&amp;""'!$C$4:$C$66""),INDIRECT(""'""&amp;DY$1&amp;""'!$D$4:$D$66"")=DY$2),$G$4:$BQ$4,$G18:$BQ18))),"""")"),"")</f>
        <v/>
      </c>
      <c r="EA18" s="208" t="str">
        <f t="shared" si="25"/>
        <v/>
      </c>
      <c r="EB18" s="191"/>
    </row>
    <row r="19" outlineLevel="1">
      <c r="A19" s="2"/>
      <c r="B19" s="204">
        <v>15.0</v>
      </c>
      <c r="C19" s="204" t="s">
        <v>442</v>
      </c>
      <c r="D19" s="204" t="s">
        <v>458</v>
      </c>
      <c r="E19" s="205" t="b">
        <f>VLOOKUP(D19,'Feature Set List'!A15:C246,2,0)</f>
        <v>1</v>
      </c>
      <c r="F19" s="205" t="b">
        <f>VLOOKUP(D19,'Feature Set List'!A15:C246,3,0)</f>
        <v>0</v>
      </c>
      <c r="G19" s="205">
        <v>0.72684587</v>
      </c>
      <c r="H19" s="205">
        <v>-0.5660289</v>
      </c>
      <c r="I19" s="205">
        <v>0.2925226</v>
      </c>
      <c r="J19" s="205">
        <v>-0.7108816</v>
      </c>
      <c r="K19" s="205">
        <v>0.27843644</v>
      </c>
      <c r="L19" s="205">
        <v>-0.3495715</v>
      </c>
      <c r="M19" s="205">
        <v>0.99917831</v>
      </c>
      <c r="N19" s="205">
        <v>-0.6514849</v>
      </c>
      <c r="O19" s="205">
        <v>1.2151661</v>
      </c>
      <c r="P19" s="205">
        <v>-0.2507337</v>
      </c>
      <c r="Q19" s="205">
        <v>0.0</v>
      </c>
      <c r="R19" s="205">
        <v>1.75044019</v>
      </c>
      <c r="S19" s="205">
        <v>-0.5486559</v>
      </c>
      <c r="T19" s="205">
        <v>-0.2969832</v>
      </c>
      <c r="U19" s="205">
        <v>0.11879329</v>
      </c>
      <c r="V19" s="205">
        <v>0.69867355</v>
      </c>
      <c r="W19" s="205">
        <v>1.63540322</v>
      </c>
      <c r="X19" s="205">
        <v>2.69186524</v>
      </c>
      <c r="Y19" s="205">
        <v>-0.0584576</v>
      </c>
      <c r="Z19" s="205">
        <v>0.35356262</v>
      </c>
      <c r="AA19" s="205">
        <v>-0.2082404</v>
      </c>
      <c r="AB19" s="205">
        <v>3.666158</v>
      </c>
      <c r="AC19" s="205">
        <v>-0.6604062</v>
      </c>
      <c r="AD19" s="205">
        <v>0.00140862</v>
      </c>
      <c r="AE19" s="205">
        <v>-0.4322104</v>
      </c>
      <c r="AF19" s="205">
        <v>-0.1094025</v>
      </c>
      <c r="AG19" s="205">
        <v>-0.3868999</v>
      </c>
      <c r="AH19" s="205">
        <v>0.47094729</v>
      </c>
      <c r="AI19" s="205">
        <v>-0.4073248</v>
      </c>
      <c r="AJ19" s="205">
        <v>-0.3908909</v>
      </c>
      <c r="AK19" s="205">
        <v>0.61415659</v>
      </c>
      <c r="AL19" s="205">
        <v>-0.2267872</v>
      </c>
      <c r="AM19" s="205">
        <v>-0.5033455</v>
      </c>
      <c r="AN19" s="205">
        <v>-0.1070548</v>
      </c>
      <c r="AO19" s="205">
        <v>0.30895645</v>
      </c>
      <c r="AP19" s="205">
        <v>0.95691983</v>
      </c>
      <c r="AQ19" s="205">
        <v>-0.2434558</v>
      </c>
      <c r="AR19" s="205">
        <v>-0.1457918</v>
      </c>
      <c r="AS19" s="205">
        <v>-0.3946473</v>
      </c>
      <c r="AT19" s="205">
        <v>-0.1946238</v>
      </c>
      <c r="AU19" s="205">
        <v>0.74797511</v>
      </c>
      <c r="AV19" s="205">
        <v>1.09778143</v>
      </c>
      <c r="AW19" s="205">
        <v>-0.5885667</v>
      </c>
      <c r="AX19" s="205">
        <v>-0.2253786</v>
      </c>
      <c r="AY19" s="205">
        <v>0.94048597</v>
      </c>
      <c r="AZ19" s="205">
        <v>1.19403686</v>
      </c>
      <c r="BA19" s="205">
        <v>0.18218101</v>
      </c>
      <c r="BB19" s="205">
        <v>0.12114098</v>
      </c>
      <c r="BC19" s="205">
        <v>0.26435028</v>
      </c>
      <c r="BD19" s="205">
        <v>-0.5986618</v>
      </c>
      <c r="BE19" s="205">
        <v>5.92933443</v>
      </c>
      <c r="BF19" s="205">
        <v>-1.0132645</v>
      </c>
      <c r="BG19" s="205">
        <v>0.64937199</v>
      </c>
      <c r="BH19" s="205">
        <v>-0.2082404</v>
      </c>
      <c r="BI19" s="205">
        <v>0.00211292</v>
      </c>
      <c r="BJ19" s="205">
        <v>0.13053175</v>
      </c>
      <c r="BK19" s="205">
        <v>-0.4721211</v>
      </c>
      <c r="BL19" s="205">
        <v>2.66838831</v>
      </c>
      <c r="BM19" s="205">
        <v>0.33243338</v>
      </c>
      <c r="BN19" s="205">
        <v>-0.6136871</v>
      </c>
      <c r="BO19" s="205">
        <v>-0.3359549</v>
      </c>
      <c r="BP19" s="205">
        <v>-0.1354619</v>
      </c>
      <c r="BQ19" s="205">
        <v>0.25261181</v>
      </c>
      <c r="BR19" s="206"/>
      <c r="BS19" s="207">
        <f t="shared" si="6"/>
        <v>0.3056659498</v>
      </c>
      <c r="BT19" s="207">
        <f t="shared" si="7"/>
        <v>0.7374316125</v>
      </c>
      <c r="BU19" s="206"/>
      <c r="BV19" s="207">
        <f>IFERROR(__xludf.DUMMYFUNCTION("AVERAGE(ARRAYFORMULA(XLOOKUP(FILTER(INDIRECT(""'""&amp;BV$1&amp;""'!$C$4:$C$66""),INDIRECT(""'""&amp;BV$1&amp;""'!$D$4:$D$66"")=BV$2),$G$4:$BQ$4,$G19:$BQ19)))"),1.8255663814285714)</f>
        <v>1.825566381</v>
      </c>
      <c r="BW19" s="207">
        <f>IFERROR(__xludf.DUMMYFUNCTION("IF(OR(BV19&gt;$BS19+$BT19*$BT$2,BV19&lt;$BS19-$BT19*$BT$2),AVEDEV(ARRAYFORMULA(XLOOKUP(FILTER(INDIRECT(""'""&amp;BV$1&amp;""'!$C$4:$C$66""),INDIRECT(""'""&amp;BV$1&amp;""'!$D$4:$D$66"")=BV$2),$G$4:$BQ$4,$G19:$BQ19))),"""")"),1.660825381632653)</f>
        <v>1.660825382</v>
      </c>
      <c r="BX19" s="208">
        <f t="shared" si="8"/>
        <v>0.7824688191</v>
      </c>
      <c r="BY19" s="207">
        <f>IFERROR(__xludf.DUMMYFUNCTION("AVERAGE(ARRAYFORMULA(XLOOKUP(FILTER(INDIRECT(""'""&amp;BY$1&amp;""'!$C$4:$C$66""),INDIRECT(""'""&amp;BY$1&amp;""'!$D$4:$D$66"")=BY$2),$G$4:$BQ$4,$G19:$BQ19)))"),0.04836247880952378)</f>
        <v>0.04836247881</v>
      </c>
      <c r="BZ19" s="207" t="str">
        <f>IFERROR(__xludf.DUMMYFUNCTION("IF(OR(BY19&gt;$BS19+$BT19*$BT$2,BY19&lt;$BS19-$BT19*$BT$2),AVEDEV(ARRAYFORMULA(XLOOKUP(FILTER(INDIRECT(""'""&amp;BY$1&amp;""'!$C$4:$C$66""),INDIRECT(""'""&amp;BY$1&amp;""'!$D$4:$D$66"")=BY$2),$G$4:$BQ$4,$G19:$BQ19))),"""")"),"")</f>
        <v/>
      </c>
      <c r="CA19" s="208" t="str">
        <f t="shared" si="9"/>
        <v/>
      </c>
      <c r="CB19" s="207">
        <f>IFERROR(__xludf.DUMMYFUNCTION("AVERAGE(ARRAYFORMULA(XLOOKUP(FILTER(INDIRECT(""'""&amp;CB$1&amp;""'!$C$4:$C$66""),INDIRECT(""'""&amp;CB$1&amp;""'!$D$4:$D$66"")=CB$2),$G$4:$BQ$4,$G19:$BQ19)))"),0.36408455909090914)</f>
        <v>0.3640845591</v>
      </c>
      <c r="CC19" s="207" t="str">
        <f>IFERROR(__xludf.DUMMYFUNCTION("IF(OR(CB19&gt;$BS19+$BT19*$BT$2,CB19&lt;$BS19-$BT19*$BT$2),AVEDEV(ARRAYFORMULA(XLOOKUP(FILTER(INDIRECT(""'""&amp;CB$1&amp;""'!$C$4:$C$66""),INDIRECT(""'""&amp;CB$1&amp;""'!$D$4:$D$66"")=CB$2),$G$4:$BQ$4,$G19:$BQ19))),"""")"),"")</f>
        <v/>
      </c>
      <c r="CD19" s="208" t="str">
        <f t="shared" si="10"/>
        <v/>
      </c>
      <c r="CE19" s="209" t="s">
        <v>444</v>
      </c>
      <c r="CF19" s="207">
        <f>IFERROR(__xludf.DUMMYFUNCTION("AVERAGE(ARRAYFORMULA(XLOOKUP(FILTER(INDIRECT(""'""&amp;CF$1&amp;""'!$C$4:$C$66""),INDIRECT(""'""&amp;CF$1&amp;""'!$D$4:$D$66"")=CF$2),$G$4:$BQ$4,$G19:$BQ19)))"),-0.15041378874999997)</f>
        <v>-0.1504137888</v>
      </c>
      <c r="CG19" s="207" t="str">
        <f>IFERROR(__xludf.DUMMYFUNCTION("IF(OR(CF19&gt;$BS19+$BT19*$BT$2,CF19&lt;$BS19-$BT19*$BT$2),AVEDEV(ARRAYFORMULA(XLOOKUP(FILTER(INDIRECT(""'""&amp;CF$1&amp;""'!$C$4:$C$66""),INDIRECT(""'""&amp;CF$1&amp;""'!$D$4:$D$66"")=CF$2),$G$4:$BQ$4,$G19:$BQ19))),"""")"),"")</f>
        <v/>
      </c>
      <c r="CH19" s="208" t="str">
        <f t="shared" si="11"/>
        <v/>
      </c>
      <c r="CI19" s="207">
        <f>IFERROR(__xludf.DUMMYFUNCTION("AVERAGE(ARRAYFORMULA(XLOOKUP(FILTER(INDIRECT(""'""&amp;CI$1&amp;""'!$C$4:$C$66""),INDIRECT(""'""&amp;CI$1&amp;""'!$D$4:$D$66"")=CI$2),$G$4:$BQ$4,$G19:$BQ19)))"),0.4939092516129031)</f>
        <v>0.4939092516</v>
      </c>
      <c r="CJ19" s="207" t="str">
        <f>IFERROR(__xludf.DUMMYFUNCTION("IF(OR(CI19&gt;$BS19+$BT19*$BT$2,CI19&lt;$BS19-$BT19*$BT$2),AVEDEV(ARRAYFORMULA(XLOOKUP(FILTER(INDIRECT(""'""&amp;CI$1&amp;""'!$C$4:$C$66""),INDIRECT(""'""&amp;CI$1&amp;""'!$D$4:$D$66"")=CI$2),$G$4:$BQ$4,$G19:$BQ19))),"""")"),"")</f>
        <v/>
      </c>
      <c r="CK19" s="208" t="str">
        <f t="shared" si="12"/>
        <v/>
      </c>
      <c r="CL19" s="207">
        <f>IFERROR(__xludf.DUMMYFUNCTION("AVERAGE(ARRAYFORMULA(XLOOKUP(FILTER(INDIRECT(""'""&amp;CL$1&amp;""'!$C$4:$C$66""),INDIRECT(""'""&amp;CL$1&amp;""'!$D$4:$D$66"")=CL$2),$G$4:$BQ$4,$G19:$BQ19)))"),-0.02216224)</f>
        <v>-0.02216224</v>
      </c>
      <c r="CM19" s="207" t="str">
        <f>IFERROR(__xludf.DUMMYFUNCTION("IF(OR(CL19&gt;$BS19+$BT19*$BT$2,CL19&lt;$BS19-$BT19*$BT$2),AVEDEV(ARRAYFORMULA(XLOOKUP(FILTER(INDIRECT(""'""&amp;CL$1&amp;""'!$C$4:$C$66""),INDIRECT(""'""&amp;CL$1&amp;""'!$D$4:$D$66"")=CL$2),$G$4:$BQ$4,$G19:$BQ19))),"""")"),"")</f>
        <v/>
      </c>
      <c r="CN19" s="208" t="str">
        <f t="shared" si="13"/>
        <v/>
      </c>
      <c r="CO19" s="209" t="s">
        <v>444</v>
      </c>
      <c r="CP19" s="210">
        <f>IFERROR(__xludf.DUMMYFUNCTION("AVERAGE(ARRAYFORMULA(XLOOKUP(FILTER(INDIRECT(""'""&amp;CP$1&amp;""'!$C$4:$C$66""),INDIRECT(""'""&amp;CP$1&amp;""'!$D$4:$D$66"")=CP$2),$G$4:$BQ$4,$G19:$BQ19)))"),0.7677426853333331)</f>
        <v>0.7677426853</v>
      </c>
      <c r="CQ19" s="207" t="str">
        <f>IFERROR(__xludf.DUMMYFUNCTION("IF(OR(CP19&gt;$BS19+$BT19*$BT$2,CP19&lt;$BS19-$BT19*$BT$2),AVEDEV(ARRAYFORMULA(XLOOKUP(FILTER(INDIRECT(""'""&amp;CP$1&amp;""'!$C$4:$C$66""),INDIRECT(""'""&amp;CP$1&amp;""'!$D$4:$D$66"")=CP$2),$G$4:$BQ$4,$G19:$BQ19))),"""")"),"")</f>
        <v/>
      </c>
      <c r="CR19" s="208" t="str">
        <f t="shared" si="14"/>
        <v/>
      </c>
      <c r="CS19" s="210">
        <f>IFERROR(__xludf.DUMMYFUNCTION("AVERAGE(ARRAYFORMULA(XLOOKUP(FILTER(INDIRECT(""'""&amp;CS$1&amp;""'!$C$4:$C$66""),INDIRECT(""'""&amp;CS$1&amp;""'!$D$4:$D$66"")=CS$2),$G$4:$BQ$4,$G19:$BQ19)))"),0.12157439846153846)</f>
        <v>0.1215743985</v>
      </c>
      <c r="CT19" s="207" t="str">
        <f>IFERROR(__xludf.DUMMYFUNCTION("IF(OR(CS19&gt;$BS19+$BT19*$BT$2,CS19&lt;$BS19-$BT19*$BT$2),AVEDEV(ARRAYFORMULA(XLOOKUP(FILTER(INDIRECT(""'""&amp;CS$1&amp;""'!$C$4:$C$66""),INDIRECT(""'""&amp;CS$1&amp;""'!$D$4:$D$66"")=CS$2),$G$4:$BQ$4,$G19:$BQ19))),"""")"),"")</f>
        <v/>
      </c>
      <c r="CU19" s="208" t="str">
        <f t="shared" si="15"/>
        <v/>
      </c>
      <c r="CV19" s="210">
        <f>IFERROR(__xludf.DUMMYFUNCTION("AVERAGE(ARRAYFORMULA(XLOOKUP(FILTER(INDIRECT(""'""&amp;CV$1&amp;""'!$C$4:$C$66""),INDIRECT(""'""&amp;CV$1&amp;""'!$D$4:$D$66"")=CV$2),$G$4:$BQ$4,$G19:$BQ19)))"),-0.02216224)</f>
        <v>-0.02216224</v>
      </c>
      <c r="CW19" s="207" t="str">
        <f>IFERROR(__xludf.DUMMYFUNCTION("IF(OR(CV19&gt;$BS19+$BT19*$BT$2,CV19&lt;$BS19-$BT19*$BT$2),AVEDEV(ARRAYFORMULA(XLOOKUP(FILTER(INDIRECT(""'""&amp;CV$1&amp;""'!$C$4:$C$66""),INDIRECT(""'""&amp;CV$1&amp;""'!$D$4:$D$66"")=CV$2),$G$4:$BQ$4,$G19:$BQ19))),"""")"),"")</f>
        <v/>
      </c>
      <c r="CX19" s="208" t="str">
        <f t="shared" si="16"/>
        <v/>
      </c>
      <c r="CY19" s="209" t="s">
        <v>444</v>
      </c>
      <c r="CZ19" s="210">
        <f>IFERROR(__xludf.DUMMYFUNCTION("AVERAGE(ARRAYFORMULA(XLOOKUP(FILTER(INDIRECT(""'""&amp;CZ$1&amp;""'!$C$4:$C$66""),INDIRECT(""'""&amp;CZ$1&amp;""'!$D$4:$D$66"")=CZ$2),$G$4:$BQ$4,$G19:$BQ19)))"),-0.24494827357142857)</f>
        <v>-0.2449482736</v>
      </c>
      <c r="DA19" s="207" t="str">
        <f>IFERROR(__xludf.DUMMYFUNCTION("IF(OR(CZ19&gt;$BS19+$BT19*$BT$2,CZ19&lt;$BS19-$BT19*$BT$2),AVEDEV(ARRAYFORMULA(XLOOKUP(FILTER(INDIRECT(""'""&amp;CZ$1&amp;""'!$C$4:$C$66""),INDIRECT(""'""&amp;CZ$1&amp;""'!$D$4:$D$66"")=CZ$2),$G$4:$BQ$4,$G19:$BQ19))),"""")"),"")</f>
        <v/>
      </c>
      <c r="DB19" s="208" t="str">
        <f t="shared" si="17"/>
        <v/>
      </c>
      <c r="DC19" s="210">
        <f>IFERROR(__xludf.DUMMYFUNCTION("AVERAGE(ARRAYFORMULA(XLOOKUP(FILTER(INDIRECT(""'""&amp;DC$1&amp;""'!$C$4:$C$66""),INDIRECT(""'""&amp;DC$1&amp;""'!$D$4:$D$66"")=DC$2),$G$4:$BQ$4,$G19:$BQ19)))"),0.27538443444444444)</f>
        <v>0.2753844344</v>
      </c>
      <c r="DD19" s="207" t="str">
        <f>IFERROR(__xludf.DUMMYFUNCTION("IF(OR(DC19&gt;$BS19+$BT19*$BT$2,DC19&lt;$BS19-$BT19*$BT$2),AVEDEV(ARRAYFORMULA(XLOOKUP(FILTER(INDIRECT(""'""&amp;DC$1&amp;""'!$C$4:$C$66""),INDIRECT(""'""&amp;DC$1&amp;""'!$D$4:$D$66"")=DC$2),$G$4:$BQ$4,$G19:$BQ19))),"""")"),"")</f>
        <v/>
      </c>
      <c r="DE19" s="208" t="str">
        <f t="shared" si="18"/>
        <v/>
      </c>
      <c r="DF19" s="210">
        <f>IFERROR(__xludf.DUMMYFUNCTION("AVERAGE(ARRAYFORMULA(XLOOKUP(FILTER(INDIRECT(""'""&amp;DF$1&amp;""'!$C$4:$C$66""),INDIRECT(""'""&amp;DF$1&amp;""'!$D$4:$D$66"")=DF$2),$G$4:$BQ$4,$G19:$BQ19)))"),0.4206426245454544)</f>
        <v>0.4206426245</v>
      </c>
      <c r="DG19" s="207" t="str">
        <f>IFERROR(__xludf.DUMMYFUNCTION("IF(OR(DF19&gt;$BS19+$BT19*$BT$2,DF19&lt;$BS19-$BT19*$BT$2),AVEDEV(ARRAYFORMULA(XLOOKUP(FILTER(INDIRECT(""'""&amp;DF$1&amp;""'!$C$4:$C$66""),INDIRECT(""'""&amp;DF$1&amp;""'!$D$4:$D$66"")=DF$2),$G$4:$BQ$4,$G19:$BQ19))),"""")"),"")</f>
        <v/>
      </c>
      <c r="DH19" s="208" t="str">
        <f t="shared" si="19"/>
        <v/>
      </c>
      <c r="DI19" s="210">
        <f>IFERROR(__xludf.DUMMYFUNCTION("AVERAGE(ARRAYFORMULA(XLOOKUP(FILTER(INDIRECT(""'""&amp;DI$1&amp;""'!$C$4:$C$66""),INDIRECT(""'""&amp;DI$1&amp;""'!$D$4:$D$66"")=DI$2),$G$4:$BQ$4,$G19:$BQ19)))"),-0.10341589)</f>
        <v>-0.10341589</v>
      </c>
      <c r="DJ19" s="207" t="str">
        <f>IFERROR(__xludf.DUMMYFUNCTION("IF(OR(DI19&gt;$BS19+$BT19*$BT$2,DI19&lt;$BS19-$BT19*$BT$2),AVEDEV(ARRAYFORMULA(XLOOKUP(FILTER(INDIRECT(""'""&amp;DI$1&amp;""'!$C$4:$C$66""),INDIRECT(""'""&amp;DI$1&amp;""'!$D$4:$D$66"")=DI$2),$G$4:$BQ$4,$G19:$BQ19))),"""")"),"")</f>
        <v/>
      </c>
      <c r="DK19" s="208" t="str">
        <f t="shared" si="20"/>
        <v/>
      </c>
      <c r="DL19" s="210">
        <f>IFERROR(__xludf.DUMMYFUNCTION("AVERAGE(ARRAYFORMULA(XLOOKUP(FILTER(INDIRECT(""'""&amp;DL$1&amp;""'!$C$4:$C$66""),INDIRECT(""'""&amp;DL$1&amp;""'!$D$4:$D$66"")=DL$2),$G$4:$BQ$4,$G19:$BQ19)))"),0.1678936121428571)</f>
        <v>0.1678936121</v>
      </c>
      <c r="DM19" s="207" t="str">
        <f>IFERROR(__xludf.DUMMYFUNCTION("IF(OR(DL19&gt;$BS19+$BT19*$BT$2,DL19&lt;$BS19-$BT19*$BT$2),AVEDEV(ARRAYFORMULA(XLOOKUP(FILTER(INDIRECT(""'""&amp;DL$1&amp;""'!$C$4:$C$66""),INDIRECT(""'""&amp;DL$1&amp;""'!$D$4:$D$66"")=DL$2),$G$4:$BQ$4,$G19:$BQ19))),"""")"),"")</f>
        <v/>
      </c>
      <c r="DN19" s="208" t="str">
        <f t="shared" si="21"/>
        <v/>
      </c>
      <c r="DO19" s="209" t="s">
        <v>444</v>
      </c>
      <c r="DP19" s="210">
        <f>IFERROR(__xludf.DUMMYFUNCTION("AVERAGE(ARRAYFORMULA(XLOOKUP(FILTER(INDIRECT(""'""&amp;DP$1&amp;""'!$C$4:$C$66""),INDIRECT(""'""&amp;DP$1&amp;""'!$D$4:$D$66"")=DP$2),$G$4:$BQ$4,$G19:$BQ19)))"),0.265164136)</f>
        <v>0.265164136</v>
      </c>
      <c r="DQ19" s="207" t="str">
        <f>IFERROR(__xludf.DUMMYFUNCTION("IF(OR(DP19&gt;$BS19+$BT19*$BT$2,DP19&lt;$BS19-$BT19*$BT$2),AVEDEV(ARRAYFORMULA(XLOOKUP(FILTER(INDIRECT(""'""&amp;DP$1&amp;""'!$C$4:$C$66""),INDIRECT(""'""&amp;DP$1&amp;""'!$D$4:$D$66"")=DP$2),$G$4:$BQ$4,$G19:$BQ19))),"""")"),"")</f>
        <v/>
      </c>
      <c r="DR19" s="208" t="str">
        <f t="shared" si="22"/>
        <v/>
      </c>
      <c r="DS19" s="210">
        <f>IFERROR(__xludf.DUMMYFUNCTION("AVERAGE(ARRAYFORMULA(XLOOKUP(FILTER(INDIRECT(""'""&amp;DS$1&amp;""'!$C$4:$C$66""),INDIRECT(""'""&amp;DS$1&amp;""'!$D$4:$D$66"")=DS$2),$G$4:$BQ$4,$G19:$BQ19)))"),0.4529483133333334)</f>
        <v>0.4529483133</v>
      </c>
      <c r="DT19" s="207" t="str">
        <f>IFERROR(__xludf.DUMMYFUNCTION("IF(OR(DS19&gt;$BS19+$BT19*$BT$2,DS19&lt;$BS19-$BT19*$BT$2),AVEDEV(ARRAYFORMULA(XLOOKUP(FILTER(INDIRECT(""'""&amp;DS$1&amp;""'!$C$4:$C$66""),INDIRECT(""'""&amp;DS$1&amp;""'!$D$4:$D$66"")=DS$2),$G$4:$BQ$4,$G19:$BQ19))),"""")"),"")</f>
        <v/>
      </c>
      <c r="DU19" s="208" t="str">
        <f t="shared" si="23"/>
        <v/>
      </c>
      <c r="DV19" s="210">
        <f>IFERROR(__xludf.DUMMYFUNCTION("AVERAGE(ARRAYFORMULA(XLOOKUP(FILTER(INDIRECT(""'""&amp;DV$1&amp;""'!$C$4:$C$66""),INDIRECT(""'""&amp;DV$1&amp;""'!$D$4:$D$66"")=DV$2),$G$4:$BQ$4,$G19:$BQ19)))"),0.5088919012500001)</f>
        <v>0.5088919013</v>
      </c>
      <c r="DW19" s="207" t="str">
        <f>IFERROR(__xludf.DUMMYFUNCTION("IF(OR(DV19&gt;$BS19+$BT19*$BT$2,DV19&lt;$BS19-$BT19*$BT$2),AVEDEV(ARRAYFORMULA(XLOOKUP(FILTER(INDIRECT(""'""&amp;DV$1&amp;""'!$C$4:$C$66""),INDIRECT(""'""&amp;DV$1&amp;""'!$D$4:$D$66"")=DV$2),$G$4:$BQ$4,$G19:$BQ19))),"""")"),"")</f>
        <v/>
      </c>
      <c r="DX19" s="208" t="str">
        <f t="shared" si="24"/>
        <v/>
      </c>
      <c r="DY19" s="210">
        <f>IFERROR(__xludf.DUMMYFUNCTION("AVERAGE(ARRAYFORMULA(XLOOKUP(FILTER(INDIRECT(""'""&amp;DY$1&amp;""'!$C$4:$C$66""),INDIRECT(""'""&amp;DY$1&amp;""'!$D$4:$D$66"")=DY$2),$G$4:$BQ$4,$G19:$BQ19)))"),-0.3123214866666666)</f>
        <v>-0.3123214867</v>
      </c>
      <c r="DZ19" s="207" t="str">
        <f>IFERROR(__xludf.DUMMYFUNCTION("IF(OR(DY19&gt;$BS19+$BT19*$BT$2,DY19&lt;$BS19-$BT19*$BT$2),AVEDEV(ARRAYFORMULA(XLOOKUP(FILTER(INDIRECT(""'""&amp;DY$1&amp;""'!$C$4:$C$66""),INDIRECT(""'""&amp;DY$1&amp;""'!$D$4:$D$66"")=DY$2),$G$4:$BQ$4,$G19:$BQ19))),"""")"),"")</f>
        <v/>
      </c>
      <c r="EA19" s="208" t="str">
        <f t="shared" si="25"/>
        <v/>
      </c>
      <c r="EB19" s="191"/>
    </row>
    <row r="20" outlineLevel="1">
      <c r="A20" s="2"/>
      <c r="B20" s="204">
        <v>16.0</v>
      </c>
      <c r="C20" s="204" t="s">
        <v>442</v>
      </c>
      <c r="D20" s="204" t="s">
        <v>459</v>
      </c>
      <c r="E20" s="205" t="b">
        <f>VLOOKUP(D20,'Feature Set List'!A16:C246,2,0)</f>
        <v>1</v>
      </c>
      <c r="F20" s="205" t="b">
        <f>VLOOKUP(D20,'Feature Set List'!A16:C246,3,0)</f>
        <v>0</v>
      </c>
      <c r="G20" s="205">
        <v>0.77419355</v>
      </c>
      <c r="H20" s="205">
        <v>-0.6116129</v>
      </c>
      <c r="I20" s="205">
        <v>0.86709677</v>
      </c>
      <c r="J20" s="205">
        <v>-0.9367742</v>
      </c>
      <c r="K20" s="205">
        <v>-0.643871</v>
      </c>
      <c r="L20" s="205">
        <v>-0.0774194</v>
      </c>
      <c r="M20" s="205">
        <v>1.00387097</v>
      </c>
      <c r="N20" s="205">
        <v>0.12645161</v>
      </c>
      <c r="O20" s="205">
        <v>2.08903226</v>
      </c>
      <c r="P20" s="205">
        <v>-0.2645161</v>
      </c>
      <c r="Q20" s="205">
        <v>0.08774194</v>
      </c>
      <c r="R20" s="205">
        <v>1.53935484</v>
      </c>
      <c r="S20" s="205">
        <v>-0.0967742</v>
      </c>
      <c r="T20" s="205">
        <v>-0.3587097</v>
      </c>
      <c r="U20" s="205">
        <v>0.53806452</v>
      </c>
      <c r="V20" s="205">
        <v>-0.323871</v>
      </c>
      <c r="W20" s="205">
        <v>2.26451613</v>
      </c>
      <c r="X20" s="205">
        <v>2.86322581</v>
      </c>
      <c r="Y20" s="205">
        <v>-0.8541935</v>
      </c>
      <c r="Z20" s="205">
        <v>1.15354839</v>
      </c>
      <c r="AA20" s="205">
        <v>0.02193548</v>
      </c>
      <c r="AB20" s="205">
        <v>2.6516129</v>
      </c>
      <c r="AC20" s="205">
        <v>-0.1058065</v>
      </c>
      <c r="AD20" s="205">
        <v>-0.1187097</v>
      </c>
      <c r="AE20" s="205">
        <v>-0.0529032</v>
      </c>
      <c r="AF20" s="205">
        <v>-0.32</v>
      </c>
      <c r="AG20" s="205">
        <v>-0.3496774</v>
      </c>
      <c r="AH20" s="205">
        <v>-0.4593548</v>
      </c>
      <c r="AI20" s="205">
        <v>-0.7677419</v>
      </c>
      <c r="AJ20" s="205">
        <v>-0.3793548</v>
      </c>
      <c r="AK20" s="205">
        <v>-0.276129</v>
      </c>
      <c r="AL20" s="205">
        <v>-0.8167742</v>
      </c>
      <c r="AM20" s="205">
        <v>0.48516129</v>
      </c>
      <c r="AN20" s="205">
        <v>0.03870968</v>
      </c>
      <c r="AO20" s="205">
        <v>-0.5509677</v>
      </c>
      <c r="AP20" s="205">
        <v>0.49290323</v>
      </c>
      <c r="AQ20" s="205">
        <v>0.10580645</v>
      </c>
      <c r="AR20" s="205">
        <v>-0.396129</v>
      </c>
      <c r="AS20" s="205">
        <v>-0.2606452</v>
      </c>
      <c r="AT20" s="205">
        <v>-0.5612903</v>
      </c>
      <c r="AU20" s="205">
        <v>0.20774194</v>
      </c>
      <c r="AV20" s="205">
        <v>1.84774194</v>
      </c>
      <c r="AW20" s="205">
        <v>-0.2309677</v>
      </c>
      <c r="AX20" s="205">
        <v>-0.0967742</v>
      </c>
      <c r="AY20" s="205">
        <v>0.54064516</v>
      </c>
      <c r="AZ20" s="205">
        <v>1.67612903</v>
      </c>
      <c r="BA20" s="205">
        <v>0.91612903</v>
      </c>
      <c r="BB20" s="205">
        <v>1.79096774</v>
      </c>
      <c r="BC20" s="205">
        <v>-0.2645161</v>
      </c>
      <c r="BD20" s="205">
        <v>-0.8812903</v>
      </c>
      <c r="BE20" s="205">
        <v>4.91870968</v>
      </c>
      <c r="BF20" s="205">
        <v>-0.6541935</v>
      </c>
      <c r="BG20" s="205">
        <v>0.0</v>
      </c>
      <c r="BH20" s="205">
        <v>-0.1909677</v>
      </c>
      <c r="BI20" s="205">
        <v>0.55225806</v>
      </c>
      <c r="BJ20" s="205">
        <v>0.36903226</v>
      </c>
      <c r="BK20" s="205">
        <v>-0.6890323</v>
      </c>
      <c r="BL20" s="205">
        <v>3.88129032</v>
      </c>
      <c r="BM20" s="205">
        <v>0.17032258</v>
      </c>
      <c r="BN20" s="205">
        <v>0.33032258</v>
      </c>
      <c r="BO20" s="205">
        <v>0.5483871</v>
      </c>
      <c r="BP20" s="205">
        <v>0.94322581</v>
      </c>
      <c r="BQ20" s="205">
        <v>-0.2219355</v>
      </c>
      <c r="BR20" s="206"/>
      <c r="BS20" s="207">
        <f t="shared" si="6"/>
        <v>0.3648131119</v>
      </c>
      <c r="BT20" s="207">
        <f t="shared" si="7"/>
        <v>0.835441118</v>
      </c>
      <c r="BU20" s="206"/>
      <c r="BV20" s="207">
        <f>IFERROR(__xludf.DUMMYFUNCTION("AVERAGE(ARRAYFORMULA(XLOOKUP(FILTER(INDIRECT(""'""&amp;BV$1&amp;""'!$C$4:$C$66""),INDIRECT(""'""&amp;BV$1&amp;""'!$D$4:$D$66"")=BV$2),$G$4:$BQ$4,$G20:$BQ20)))"),1.9974193614285711)</f>
        <v>1.997419361</v>
      </c>
      <c r="BW20" s="207">
        <f>IFERROR(__xludf.DUMMYFUNCTION("IF(OR(BV20&gt;$BS20+$BT20*$BT$2,BV20&lt;$BS20-$BT20*$BT$2),AVEDEV(ARRAYFORMULA(XLOOKUP(FILTER(INDIRECT(""'""&amp;BV$1&amp;""'!$C$4:$C$66""),INDIRECT(""'""&amp;BV$1&amp;""'!$D$4:$D$66"")=BV$2),$G$4:$BQ$4,$G20:$BQ20))),"""")"),1.6202764930612243)</f>
        <v>1.620276493</v>
      </c>
      <c r="BX20" s="208">
        <f t="shared" si="8"/>
        <v>0.7971651315</v>
      </c>
      <c r="BY20" s="207">
        <f>IFERROR(__xludf.DUMMYFUNCTION("AVERAGE(ARRAYFORMULA(XLOOKUP(FILTER(INDIRECT(""'""&amp;BY$1&amp;""'!$C$4:$C$66""),INDIRECT(""'""&amp;BY$1&amp;""'!$D$4:$D$66"")=BY$2),$G$4:$BQ$4,$G20:$BQ20)))"),0.09231951238095239)</f>
        <v>0.09231951238</v>
      </c>
      <c r="BZ20" s="207" t="str">
        <f>IFERROR(__xludf.DUMMYFUNCTION("IF(OR(BY20&gt;$BS20+$BT20*$BT$2,BY20&lt;$BS20-$BT20*$BT$2),AVEDEV(ARRAYFORMULA(XLOOKUP(FILTER(INDIRECT(""'""&amp;BY$1&amp;""'!$C$4:$C$66""),INDIRECT(""'""&amp;BY$1&amp;""'!$D$4:$D$66"")=BY$2),$G$4:$BQ$4,$G20:$BQ20))),"""")"),"")</f>
        <v/>
      </c>
      <c r="CA20" s="208" t="str">
        <f t="shared" si="9"/>
        <v/>
      </c>
      <c r="CB20" s="207">
        <f>IFERROR(__xludf.DUMMYFUNCTION("AVERAGE(ARRAYFORMULA(XLOOKUP(FILTER(INDIRECT(""'""&amp;CB$1&amp;""'!$C$4:$C$66""),INDIRECT(""'""&amp;CB$1&amp;""'!$D$4:$D$66"")=CB$2),$G$4:$BQ$4,$G20:$BQ20)))"),0.44821114454545447)</f>
        <v>0.4482111445</v>
      </c>
      <c r="CC20" s="207" t="str">
        <f>IFERROR(__xludf.DUMMYFUNCTION("IF(OR(CB20&gt;$BS20+$BT20*$BT$2,CB20&lt;$BS20-$BT20*$BT$2),AVEDEV(ARRAYFORMULA(XLOOKUP(FILTER(INDIRECT(""'""&amp;CB$1&amp;""'!$C$4:$C$66""),INDIRECT(""'""&amp;CB$1&amp;""'!$D$4:$D$66"")=CB$2),$G$4:$BQ$4,$G20:$BQ20))),"""")"),"")</f>
        <v/>
      </c>
      <c r="CD20" s="208" t="str">
        <f t="shared" si="10"/>
        <v/>
      </c>
      <c r="CE20" s="209" t="s">
        <v>444</v>
      </c>
      <c r="CF20" s="207">
        <f>IFERROR(__xludf.DUMMYFUNCTION("AVERAGE(ARRAYFORMULA(XLOOKUP(FILTER(INDIRECT(""'""&amp;CF$1&amp;""'!$C$4:$C$66""),INDIRECT(""'""&amp;CF$1&amp;""'!$D$4:$D$66"")=CF$2),$G$4:$BQ$4,$G20:$BQ20)))"),-0.147177409375)</f>
        <v>-0.1471774094</v>
      </c>
      <c r="CG20" s="207" t="str">
        <f>IFERROR(__xludf.DUMMYFUNCTION("IF(OR(CF20&gt;$BS20+$BT20*$BT$2,CF20&lt;$BS20-$BT20*$BT$2),AVEDEV(ARRAYFORMULA(XLOOKUP(FILTER(INDIRECT(""'""&amp;CF$1&amp;""'!$C$4:$C$66""),INDIRECT(""'""&amp;CF$1&amp;""'!$D$4:$D$66"")=CF$2),$G$4:$BQ$4,$G20:$BQ20))),"""")"),"")</f>
        <v/>
      </c>
      <c r="CH20" s="208" t="str">
        <f t="shared" si="11"/>
        <v/>
      </c>
      <c r="CI20" s="207">
        <f>IFERROR(__xludf.DUMMYFUNCTION("AVERAGE(ARRAYFORMULA(XLOOKUP(FILTER(INDIRECT(""'""&amp;CI$1&amp;""'!$C$4:$C$66""),INDIRECT(""'""&amp;CI$1&amp;""'!$D$4:$D$66"")=CI$2),$G$4:$BQ$4,$G20:$BQ20)))"),0.578022893548387)</f>
        <v>0.5780228935</v>
      </c>
      <c r="CJ20" s="207" t="str">
        <f>IFERROR(__xludf.DUMMYFUNCTION("IF(OR(CI20&gt;$BS20+$BT20*$BT$2,CI20&lt;$BS20-$BT20*$BT$2),AVEDEV(ARRAYFORMULA(XLOOKUP(FILTER(INDIRECT(""'""&amp;CI$1&amp;""'!$C$4:$C$66""),INDIRECT(""'""&amp;CI$1&amp;""'!$D$4:$D$66"")=CI$2),$G$4:$BQ$4,$G20:$BQ20))),"""")"),"")</f>
        <v/>
      </c>
      <c r="CK20" s="208" t="str">
        <f t="shared" si="12"/>
        <v/>
      </c>
      <c r="CL20" s="207">
        <f>IFERROR(__xludf.DUMMYFUNCTION("AVERAGE(ARRAYFORMULA(XLOOKUP(FILTER(INDIRECT(""'""&amp;CL$1&amp;""'!$C$4:$C$66""),INDIRECT(""'""&amp;CL$1&amp;""'!$D$4:$D$66"")=CL$2),$G$4:$BQ$4,$G20:$BQ20)))"),0.006451605999999987)</f>
        <v>0.006451606</v>
      </c>
      <c r="CM20" s="207" t="str">
        <f>IFERROR(__xludf.DUMMYFUNCTION("IF(OR(CL20&gt;$BS20+$BT20*$BT$2,CL20&lt;$BS20-$BT20*$BT$2),AVEDEV(ARRAYFORMULA(XLOOKUP(FILTER(INDIRECT(""'""&amp;CL$1&amp;""'!$C$4:$C$66""),INDIRECT(""'""&amp;CL$1&amp;""'!$D$4:$D$66"")=CL$2),$G$4:$BQ$4,$G20:$BQ20))),"""")"),"")</f>
        <v/>
      </c>
      <c r="CN20" s="208" t="str">
        <f t="shared" si="13"/>
        <v/>
      </c>
      <c r="CO20" s="209" t="s">
        <v>444</v>
      </c>
      <c r="CP20" s="210">
        <f>IFERROR(__xludf.DUMMYFUNCTION("AVERAGE(ARRAYFORMULA(XLOOKUP(FILTER(INDIRECT(""'""&amp;CP$1&amp;""'!$C$4:$C$66""),INDIRECT(""'""&amp;CP$1&amp;""'!$D$4:$D$66"")=CP$2),$G$4:$BQ$4,$G20:$BQ20)))"),0.8246881779999998)</f>
        <v>0.824688178</v>
      </c>
      <c r="CQ20" s="207" t="str">
        <f>IFERROR(__xludf.DUMMYFUNCTION("IF(OR(CP20&gt;$BS20+$BT20*$BT$2,CP20&lt;$BS20-$BT20*$BT$2),AVEDEV(ARRAYFORMULA(XLOOKUP(FILTER(INDIRECT(""'""&amp;CP$1&amp;""'!$C$4:$C$66""),INDIRECT(""'""&amp;CP$1&amp;""'!$D$4:$D$66"")=CP$2),$G$4:$BQ$4,$G20:$BQ20))),"""")"),"")</f>
        <v/>
      </c>
      <c r="CR20" s="208" t="str">
        <f t="shared" si="14"/>
        <v/>
      </c>
      <c r="CS20" s="210">
        <f>IFERROR(__xludf.DUMMYFUNCTION("AVERAGE(ARRAYFORMULA(XLOOKUP(FILTER(INDIRECT(""'""&amp;CS$1&amp;""'!$C$4:$C$66""),INDIRECT(""'""&amp;CS$1&amp;""'!$D$4:$D$66"")=CS$2),$G$4:$BQ$4,$G20:$BQ20)))"),0.16681555435897438)</f>
        <v>0.1668155544</v>
      </c>
      <c r="CT20" s="207" t="str">
        <f>IFERROR(__xludf.DUMMYFUNCTION("IF(OR(CS20&gt;$BS20+$BT20*$BT$2,CS20&lt;$BS20-$BT20*$BT$2),AVEDEV(ARRAYFORMULA(XLOOKUP(FILTER(INDIRECT(""'""&amp;CS$1&amp;""'!$C$4:$C$66""),INDIRECT(""'""&amp;CS$1&amp;""'!$D$4:$D$66"")=CS$2),$G$4:$BQ$4,$G20:$BQ20))),"""")"),"")</f>
        <v/>
      </c>
      <c r="CU20" s="208" t="str">
        <f t="shared" si="15"/>
        <v/>
      </c>
      <c r="CV20" s="210">
        <f>IFERROR(__xludf.DUMMYFUNCTION("AVERAGE(ARRAYFORMULA(XLOOKUP(FILTER(INDIRECT(""'""&amp;CV$1&amp;""'!$C$4:$C$66""),INDIRECT(""'""&amp;CV$1&amp;""'!$D$4:$D$66"")=CV$2),$G$4:$BQ$4,$G20:$BQ20)))"),0.006451605999999987)</f>
        <v>0.006451606</v>
      </c>
      <c r="CW20" s="207" t="str">
        <f>IFERROR(__xludf.DUMMYFUNCTION("IF(OR(CV20&gt;$BS20+$BT20*$BT$2,CV20&lt;$BS20-$BT20*$BT$2),AVEDEV(ARRAYFORMULA(XLOOKUP(FILTER(INDIRECT(""'""&amp;CV$1&amp;""'!$C$4:$C$66""),INDIRECT(""'""&amp;CV$1&amp;""'!$D$4:$D$66"")=CV$2),$G$4:$BQ$4,$G20:$BQ20))),"""")"),"")</f>
        <v/>
      </c>
      <c r="CX20" s="208" t="str">
        <f t="shared" si="16"/>
        <v/>
      </c>
      <c r="CY20" s="209" t="s">
        <v>444</v>
      </c>
      <c r="CZ20" s="210">
        <f>IFERROR(__xludf.DUMMYFUNCTION("AVERAGE(ARRAYFORMULA(XLOOKUP(FILTER(INDIRECT(""'""&amp;CZ$1&amp;""'!$C$4:$C$66""),INDIRECT(""'""&amp;CZ$1&amp;""'!$D$4:$D$66"")=CZ$2),$G$4:$BQ$4,$G20:$BQ20)))"),-0.3560368578571428)</f>
        <v>-0.3560368579</v>
      </c>
      <c r="DA20" s="207" t="str">
        <f>IFERROR(__xludf.DUMMYFUNCTION("IF(OR(CZ20&gt;$BS20+$BT20*$BT$2,CZ20&lt;$BS20-$BT20*$BT$2),AVEDEV(ARRAYFORMULA(XLOOKUP(FILTER(INDIRECT(""'""&amp;CZ$1&amp;""'!$C$4:$C$66""),INDIRECT(""'""&amp;CZ$1&amp;""'!$D$4:$D$66"")=CZ$2),$G$4:$BQ$4,$G20:$BQ20))),"""")"),"")</f>
        <v/>
      </c>
      <c r="DB20" s="208" t="str">
        <f t="shared" si="17"/>
        <v/>
      </c>
      <c r="DC20" s="210">
        <f>IFERROR(__xludf.DUMMYFUNCTION("AVERAGE(ARRAYFORMULA(XLOOKUP(FILTER(INDIRECT(""'""&amp;DC$1&amp;""'!$C$4:$C$66""),INDIRECT(""'""&amp;DC$1&amp;""'!$D$4:$D$66"")=DC$2),$G$4:$BQ$4,$G20:$BQ20)))"),0.3426523311111111)</f>
        <v>0.3426523311</v>
      </c>
      <c r="DD20" s="207" t="str">
        <f>IFERROR(__xludf.DUMMYFUNCTION("IF(OR(DC20&gt;$BS20+$BT20*$BT$2,DC20&lt;$BS20-$BT20*$BT$2),AVEDEV(ARRAYFORMULA(XLOOKUP(FILTER(INDIRECT(""'""&amp;DC$1&amp;""'!$C$4:$C$66""),INDIRECT(""'""&amp;DC$1&amp;""'!$D$4:$D$66"")=DC$2),$G$4:$BQ$4,$G20:$BQ20))),"""")"),"")</f>
        <v/>
      </c>
      <c r="DE20" s="208" t="str">
        <f t="shared" si="18"/>
        <v/>
      </c>
      <c r="DF20" s="210">
        <f>IFERROR(__xludf.DUMMYFUNCTION("AVERAGE(ARRAYFORMULA(XLOOKUP(FILTER(INDIRECT(""'""&amp;DF$1&amp;""'!$C$4:$C$66""),INDIRECT(""'""&amp;DF$1&amp;""'!$D$4:$D$66"")=DF$2),$G$4:$BQ$4,$G20:$BQ20)))"),0.5461583581818181)</f>
        <v>0.5461583582</v>
      </c>
      <c r="DG20" s="207" t="str">
        <f>IFERROR(__xludf.DUMMYFUNCTION("IF(OR(DF20&gt;$BS20+$BT20*$BT$2,DF20&lt;$BS20-$BT20*$BT$2),AVEDEV(ARRAYFORMULA(XLOOKUP(FILTER(INDIRECT(""'""&amp;DF$1&amp;""'!$C$4:$C$66""),INDIRECT(""'""&amp;DF$1&amp;""'!$D$4:$D$66"")=DF$2),$G$4:$BQ$4,$G20:$BQ20))),"""")"),"")</f>
        <v/>
      </c>
      <c r="DH20" s="208" t="str">
        <f t="shared" si="19"/>
        <v/>
      </c>
      <c r="DI20" s="210">
        <f>IFERROR(__xludf.DUMMYFUNCTION("AVERAGE(ARRAYFORMULA(XLOOKUP(FILTER(INDIRECT(""'""&amp;DI$1&amp;""'!$C$4:$C$66""),INDIRECT(""'""&amp;DI$1&amp;""'!$D$4:$D$66"")=DI$2),$G$4:$BQ$4,$G20:$BQ20)))"),-0.1548387)</f>
        <v>-0.1548387</v>
      </c>
      <c r="DJ20" s="207" t="str">
        <f>IFERROR(__xludf.DUMMYFUNCTION("IF(OR(DI20&gt;$BS20+$BT20*$BT$2,DI20&lt;$BS20-$BT20*$BT$2),AVEDEV(ARRAYFORMULA(XLOOKUP(FILTER(INDIRECT(""'""&amp;DI$1&amp;""'!$C$4:$C$66""),INDIRECT(""'""&amp;DI$1&amp;""'!$D$4:$D$66"")=DI$2),$G$4:$BQ$4,$G20:$BQ20))),"""")"),"")</f>
        <v/>
      </c>
      <c r="DK20" s="208" t="str">
        <f t="shared" si="20"/>
        <v/>
      </c>
      <c r="DL20" s="210">
        <f>IFERROR(__xludf.DUMMYFUNCTION("AVERAGE(ARRAYFORMULA(XLOOKUP(FILTER(INDIRECT(""'""&amp;DL$1&amp;""'!$C$4:$C$66""),INDIRECT(""'""&amp;DL$1&amp;""'!$D$4:$D$66"")=DL$2),$G$4:$BQ$4,$G20:$BQ20)))"),0.4103225871428572)</f>
        <v>0.4103225871</v>
      </c>
      <c r="DM20" s="207" t="str">
        <f>IFERROR(__xludf.DUMMYFUNCTION("IF(OR(DL20&gt;$BS20+$BT20*$BT$2,DL20&lt;$BS20-$BT20*$BT$2),AVEDEV(ARRAYFORMULA(XLOOKUP(FILTER(INDIRECT(""'""&amp;DL$1&amp;""'!$C$4:$C$66""),INDIRECT(""'""&amp;DL$1&amp;""'!$D$4:$D$66"")=DL$2),$G$4:$BQ$4,$G20:$BQ20))),"""")"),"")</f>
        <v/>
      </c>
      <c r="DN20" s="208" t="str">
        <f t="shared" si="21"/>
        <v/>
      </c>
      <c r="DO20" s="209" t="s">
        <v>444</v>
      </c>
      <c r="DP20" s="210">
        <f>IFERROR(__xludf.DUMMYFUNCTION("AVERAGE(ARRAYFORMULA(XLOOKUP(FILTER(INDIRECT(""'""&amp;DP$1&amp;""'!$C$4:$C$66""),INDIRECT(""'""&amp;DP$1&amp;""'!$D$4:$D$66"")=DP$2),$G$4:$BQ$4,$G20:$BQ20)))"),0.17995699166666665)</f>
        <v>0.1799569917</v>
      </c>
      <c r="DQ20" s="207" t="str">
        <f>IFERROR(__xludf.DUMMYFUNCTION("IF(OR(DP20&gt;$BS20+$BT20*$BT$2,DP20&lt;$BS20-$BT20*$BT$2),AVEDEV(ARRAYFORMULA(XLOOKUP(FILTER(INDIRECT(""'""&amp;DP$1&amp;""'!$C$4:$C$66""),INDIRECT(""'""&amp;DP$1&amp;""'!$D$4:$D$66"")=DP$2),$G$4:$BQ$4,$G20:$BQ20))),"""")"),"")</f>
        <v/>
      </c>
      <c r="DR20" s="208" t="str">
        <f t="shared" si="22"/>
        <v/>
      </c>
      <c r="DS20" s="210">
        <f>IFERROR(__xludf.DUMMYFUNCTION("AVERAGE(ARRAYFORMULA(XLOOKUP(FILTER(INDIRECT(""'""&amp;DS$1&amp;""'!$C$4:$C$66""),INDIRECT(""'""&amp;DS$1&amp;""'!$D$4:$D$66"")=DS$2),$G$4:$BQ$4,$G20:$BQ20)))"),0.6973476666666666)</f>
        <v>0.6973476667</v>
      </c>
      <c r="DT20" s="207" t="str">
        <f>IFERROR(__xludf.DUMMYFUNCTION("IF(OR(DS20&gt;$BS20+$BT20*$BT$2,DS20&lt;$BS20-$BT20*$BT$2),AVEDEV(ARRAYFORMULA(XLOOKUP(FILTER(INDIRECT(""'""&amp;DS$1&amp;""'!$C$4:$C$66""),INDIRECT(""'""&amp;DS$1&amp;""'!$D$4:$D$66"")=DS$2),$G$4:$BQ$4,$G20:$BQ20))),"""")"),"")</f>
        <v/>
      </c>
      <c r="DU20" s="208" t="str">
        <f t="shared" si="23"/>
        <v/>
      </c>
      <c r="DV20" s="210">
        <f>IFERROR(__xludf.DUMMYFUNCTION("AVERAGE(ARRAYFORMULA(XLOOKUP(FILTER(INDIRECT(""'""&amp;DV$1&amp;""'!$C$4:$C$66""),INDIRECT(""'""&amp;DV$1&amp;""'!$D$4:$D$66"")=DV$2),$G$4:$BQ$4,$G20:$BQ20)))"),0.74112903625)</f>
        <v>0.7411290363</v>
      </c>
      <c r="DW20" s="207" t="str">
        <f>IFERROR(__xludf.DUMMYFUNCTION("IF(OR(DV20&gt;$BS20+$BT20*$BT$2,DV20&lt;$BS20-$BT20*$BT$2),AVEDEV(ARRAYFORMULA(XLOOKUP(FILTER(INDIRECT(""'""&amp;DV$1&amp;""'!$C$4:$C$66""),INDIRECT(""'""&amp;DV$1&amp;""'!$D$4:$D$66"")=DV$2),$G$4:$BQ$4,$G20:$BQ20))),"""")"),"")</f>
        <v/>
      </c>
      <c r="DX20" s="208" t="str">
        <f t="shared" si="24"/>
        <v/>
      </c>
      <c r="DY20" s="210">
        <f>IFERROR(__xludf.DUMMYFUNCTION("AVERAGE(ARRAYFORMULA(XLOOKUP(FILTER(INDIRECT(""'""&amp;DY$1&amp;""'!$C$4:$C$66""),INDIRECT(""'""&amp;DY$1&amp;""'!$D$4:$D$66"")=DY$2),$G$4:$BQ$4,$G20:$BQ20)))"),-0.06795698111111115)</f>
        <v>-0.06795698111</v>
      </c>
      <c r="DZ20" s="207" t="str">
        <f>IFERROR(__xludf.DUMMYFUNCTION("IF(OR(DY20&gt;$BS20+$BT20*$BT$2,DY20&lt;$BS20-$BT20*$BT$2),AVEDEV(ARRAYFORMULA(XLOOKUP(FILTER(INDIRECT(""'""&amp;DY$1&amp;""'!$C$4:$C$66""),INDIRECT(""'""&amp;DY$1&amp;""'!$D$4:$D$66"")=DY$2),$G$4:$BQ$4,$G20:$BQ20))),"""")"),"")</f>
        <v/>
      </c>
      <c r="EA20" s="208" t="str">
        <f t="shared" si="25"/>
        <v/>
      </c>
      <c r="EB20" s="191"/>
    </row>
    <row r="21" outlineLevel="1">
      <c r="A21" s="2"/>
      <c r="B21" s="204">
        <v>17.0</v>
      </c>
      <c r="C21" s="204" t="s">
        <v>442</v>
      </c>
      <c r="D21" s="204" t="s">
        <v>460</v>
      </c>
      <c r="E21" s="205" t="b">
        <f>VLOOKUP(D21,'Feature Set List'!A17:C246,2,0)</f>
        <v>1</v>
      </c>
      <c r="F21" s="205" t="b">
        <f>VLOOKUP(D21,'Feature Set List'!A17:C246,3,0)</f>
        <v>1</v>
      </c>
      <c r="G21" s="205">
        <v>-1.1639451</v>
      </c>
      <c r="H21" s="205">
        <v>-0.0241672</v>
      </c>
      <c r="I21" s="205">
        <v>0.60744611</v>
      </c>
      <c r="J21" s="205">
        <v>-0.7302417</v>
      </c>
      <c r="K21" s="205">
        <v>0.57674722</v>
      </c>
      <c r="L21" s="205">
        <v>0.45460483</v>
      </c>
      <c r="M21" s="205">
        <v>0.62181581</v>
      </c>
      <c r="N21" s="205">
        <v>0.07642064</v>
      </c>
      <c r="O21" s="205">
        <v>-0.5702155</v>
      </c>
      <c r="P21" s="205">
        <v>0.31743958</v>
      </c>
      <c r="Q21" s="205">
        <v>-1.2044415</v>
      </c>
      <c r="R21" s="205">
        <v>0.14043109</v>
      </c>
      <c r="S21" s="205">
        <v>-0.0137165</v>
      </c>
      <c r="T21" s="205">
        <v>0.29131287</v>
      </c>
      <c r="U21" s="205">
        <v>0.90137165</v>
      </c>
      <c r="V21" s="205">
        <v>-1.0006532</v>
      </c>
      <c r="W21" s="205">
        <v>-0.556499</v>
      </c>
      <c r="X21" s="205">
        <v>-2.3050294</v>
      </c>
      <c r="Y21" s="205">
        <v>-0.4382756</v>
      </c>
      <c r="Z21" s="205">
        <v>0.83670803</v>
      </c>
      <c r="AA21" s="205">
        <v>-1.1802743</v>
      </c>
      <c r="AB21" s="205">
        <v>-1.9451339</v>
      </c>
      <c r="AC21" s="205">
        <v>0.10711953</v>
      </c>
      <c r="AD21" s="205">
        <v>0.41214892</v>
      </c>
      <c r="AE21" s="205">
        <v>-0.747224</v>
      </c>
      <c r="AF21" s="205">
        <v>0.09797518</v>
      </c>
      <c r="AG21" s="205">
        <v>-0.0548661</v>
      </c>
      <c r="AH21" s="205">
        <v>0.37949053</v>
      </c>
      <c r="AI21" s="205">
        <v>0.46374918</v>
      </c>
      <c r="AJ21" s="205">
        <v>-0.2070542</v>
      </c>
      <c r="AK21" s="205">
        <v>0.18680601</v>
      </c>
      <c r="AL21" s="205">
        <v>0.91770085</v>
      </c>
      <c r="AM21" s="205">
        <v>-0.4644024</v>
      </c>
      <c r="AN21" s="205">
        <v>0.4898759</v>
      </c>
      <c r="AO21" s="205">
        <v>-0.5473547</v>
      </c>
      <c r="AP21" s="205">
        <v>0.3109079</v>
      </c>
      <c r="AQ21" s="205">
        <v>-0.1887655</v>
      </c>
      <c r="AR21" s="205">
        <v>0.52449379</v>
      </c>
      <c r="AS21" s="205">
        <v>-0.5179621</v>
      </c>
      <c r="AT21" s="205">
        <v>-0.9294579</v>
      </c>
      <c r="AU21" s="205">
        <v>-0.9980405</v>
      </c>
      <c r="AV21" s="205">
        <v>-1.019595</v>
      </c>
      <c r="AW21" s="205">
        <v>0.90137165</v>
      </c>
      <c r="AX21" s="205">
        <v>1.04310908</v>
      </c>
      <c r="AY21" s="205">
        <v>0.0</v>
      </c>
      <c r="AZ21" s="205">
        <v>-0.4689745</v>
      </c>
      <c r="BA21" s="205">
        <v>0.53886349</v>
      </c>
      <c r="BB21" s="205">
        <v>-0.0999347</v>
      </c>
      <c r="BC21" s="205">
        <v>-1.178968</v>
      </c>
      <c r="BD21" s="205">
        <v>-0.3919007</v>
      </c>
      <c r="BE21" s="205">
        <v>-2.9013717</v>
      </c>
      <c r="BF21" s="205">
        <v>0.07576747</v>
      </c>
      <c r="BG21" s="205">
        <v>-1.3011104</v>
      </c>
      <c r="BH21" s="205">
        <v>-0.0809928</v>
      </c>
      <c r="BI21" s="205">
        <v>0.56825604</v>
      </c>
      <c r="BJ21" s="205">
        <v>0.15937296</v>
      </c>
      <c r="BK21" s="205">
        <v>0.43239713</v>
      </c>
      <c r="BL21" s="205">
        <v>-0.4702809</v>
      </c>
      <c r="BM21" s="205">
        <v>0.00849118</v>
      </c>
      <c r="BN21" s="205">
        <v>0.90137165</v>
      </c>
      <c r="BO21" s="205">
        <v>0.49902025</v>
      </c>
      <c r="BP21" s="205">
        <v>-0.1796212</v>
      </c>
      <c r="BQ21" s="205">
        <v>0.44154148</v>
      </c>
      <c r="BR21" s="206"/>
      <c r="BS21" s="207">
        <f t="shared" si="6"/>
        <v>-0.1523228921</v>
      </c>
      <c r="BT21" s="207">
        <f t="shared" si="7"/>
        <v>0.6236951653</v>
      </c>
      <c r="BU21" s="206"/>
      <c r="BV21" s="207">
        <f>IFERROR(__xludf.DUMMYFUNCTION("AVERAGE(ARRAYFORMULA(XLOOKUP(FILTER(INDIRECT(""'""&amp;BV$1&amp;""'!$C$4:$C$66""),INDIRECT(""'""&amp;BV$1&amp;""'!$D$4:$D$66"")=BV$2),$G$4:$BQ$4,$G21:$BQ21)))"),-0.7746571071428571)</f>
        <v>-0.7746571071</v>
      </c>
      <c r="BW21" s="207" t="str">
        <f>IFERROR(__xludf.DUMMYFUNCTION("IF(OR(BV21&gt;$BS21+$BT21*$BT$2,BV21&lt;$BS21-$BT21*$BT$2),AVEDEV(ARRAYFORMULA(XLOOKUP(FILTER(INDIRECT(""'""&amp;BV$1&amp;""'!$C$4:$C$66""),INDIRECT(""'""&amp;BV$1&amp;""'!$D$4:$D$66"")=BV$2),$G$4:$BQ$4,$G21:$BQ21))),"""")"),"")</f>
        <v/>
      </c>
      <c r="BX21" s="208" t="str">
        <f t="shared" si="8"/>
        <v/>
      </c>
      <c r="BY21" s="207">
        <f>IFERROR(__xludf.DUMMYFUNCTION("AVERAGE(ARRAYFORMULA(XLOOKUP(FILTER(INDIRECT(""'""&amp;BY$1&amp;""'!$C$4:$C$66""),INDIRECT(""'""&amp;BY$1&amp;""'!$D$4:$D$66"")=BY$2),$G$4:$BQ$4,$G21:$BQ21)))"),-0.07366800238095235)</f>
        <v>-0.07366800238</v>
      </c>
      <c r="BZ21" s="207" t="str">
        <f>IFERROR(__xludf.DUMMYFUNCTION("IF(OR(BY21&gt;$BS21+$BT21*$BT$2,BY21&lt;$BS21-$BT21*$BT$2),AVEDEV(ARRAYFORMULA(XLOOKUP(FILTER(INDIRECT(""'""&amp;BY$1&amp;""'!$C$4:$C$66""),INDIRECT(""'""&amp;BY$1&amp;""'!$D$4:$D$66"")=BY$2),$G$4:$BQ$4,$G21:$BQ21))),"""")"),"")</f>
        <v/>
      </c>
      <c r="CA21" s="208" t="str">
        <f t="shared" si="9"/>
        <v/>
      </c>
      <c r="CB21" s="207">
        <f>IFERROR(__xludf.DUMMYFUNCTION("AVERAGE(ARRAYFORMULA(XLOOKUP(FILTER(INDIRECT(""'""&amp;CB$1&amp;""'!$C$4:$C$66""),INDIRECT(""'""&amp;CB$1&amp;""'!$D$4:$D$66"")=CB$2),$G$4:$BQ$4,$G21:$BQ21)))"),-0.027017387272727265)</f>
        <v>-0.02701738727</v>
      </c>
      <c r="CC21" s="207" t="str">
        <f>IFERROR(__xludf.DUMMYFUNCTION("IF(OR(CB21&gt;$BS21+$BT21*$BT$2,CB21&lt;$BS21-$BT21*$BT$2),AVEDEV(ARRAYFORMULA(XLOOKUP(FILTER(INDIRECT(""'""&amp;CB$1&amp;""'!$C$4:$C$66""),INDIRECT(""'""&amp;CB$1&amp;""'!$D$4:$D$66"")=CB$2),$G$4:$BQ$4,$G21:$BQ21))),"""")"),"")</f>
        <v/>
      </c>
      <c r="CD21" s="208" t="str">
        <f t="shared" si="10"/>
        <v/>
      </c>
      <c r="CE21" s="209" t="s">
        <v>444</v>
      </c>
      <c r="CF21" s="207">
        <f>IFERROR(__xludf.DUMMYFUNCTION("AVERAGE(ARRAYFORMULA(XLOOKUP(FILTER(INDIRECT(""'""&amp;CF$1&amp;""'!$C$4:$C$66""),INDIRECT(""'""&amp;CF$1&amp;""'!$D$4:$D$66"")=CF$2),$G$4:$BQ$4,$G21:$BQ21)))"),-0.017635536250000007)</f>
        <v>-0.01763553625</v>
      </c>
      <c r="CG21" s="207" t="str">
        <f>IFERROR(__xludf.DUMMYFUNCTION("IF(OR(CF21&gt;$BS21+$BT21*$BT$2,CF21&lt;$BS21-$BT21*$BT$2),AVEDEV(ARRAYFORMULA(XLOOKUP(FILTER(INDIRECT(""'""&amp;CF$1&amp;""'!$C$4:$C$66""),INDIRECT(""'""&amp;CF$1&amp;""'!$D$4:$D$66"")=CF$2),$G$4:$BQ$4,$G21:$BQ21))),"""")"),"")</f>
        <v/>
      </c>
      <c r="CH21" s="208" t="str">
        <f t="shared" si="11"/>
        <v/>
      </c>
      <c r="CI21" s="207">
        <f>IFERROR(__xludf.DUMMYFUNCTION("AVERAGE(ARRAYFORMULA(XLOOKUP(FILTER(INDIRECT(""'""&amp;CI$1&amp;""'!$C$4:$C$66""),INDIRECT(""'""&amp;CI$1&amp;""'!$D$4:$D$66"")=CI$2),$G$4:$BQ$4,$G21:$BQ21)))"),-0.17576536032258064)</f>
        <v>-0.1757653603</v>
      </c>
      <c r="CJ21" s="207" t="str">
        <f>IFERROR(__xludf.DUMMYFUNCTION("IF(OR(CI21&gt;$BS21+$BT21*$BT$2,CI21&lt;$BS21-$BT21*$BT$2),AVEDEV(ARRAYFORMULA(XLOOKUP(FILTER(INDIRECT(""'""&amp;CI$1&amp;""'!$C$4:$C$66""),INDIRECT(""'""&amp;CI$1&amp;""'!$D$4:$D$66"")=CI$2),$G$4:$BQ$4,$G21:$BQ21))),"""")"),"")</f>
        <v/>
      </c>
      <c r="CK21" s="208" t="str">
        <f t="shared" si="12"/>
        <v/>
      </c>
      <c r="CL21" s="207">
        <f>IFERROR(__xludf.DUMMYFUNCTION("AVERAGE(ARRAYFORMULA(XLOOKUP(FILTER(INDIRECT(""'""&amp;CL$1&amp;""'!$C$4:$C$66""),INDIRECT(""'""&amp;CL$1&amp;""'!$D$4:$D$66"")=CL$2),$G$4:$BQ$4,$G21:$BQ21)))"),-0.134291312)</f>
        <v>-0.134291312</v>
      </c>
      <c r="CM21" s="207" t="str">
        <f>IFERROR(__xludf.DUMMYFUNCTION("IF(OR(CL21&gt;$BS21+$BT21*$BT$2,CL21&lt;$BS21-$BT21*$BT$2),AVEDEV(ARRAYFORMULA(XLOOKUP(FILTER(INDIRECT(""'""&amp;CL$1&amp;""'!$C$4:$C$66""),INDIRECT(""'""&amp;CL$1&amp;""'!$D$4:$D$66"")=CL$2),$G$4:$BQ$4,$G21:$BQ21))),"""")"),"")</f>
        <v/>
      </c>
      <c r="CN21" s="208" t="str">
        <f t="shared" si="13"/>
        <v/>
      </c>
      <c r="CO21" s="209" t="s">
        <v>444</v>
      </c>
      <c r="CP21" s="210">
        <f>IFERROR(__xludf.DUMMYFUNCTION("AVERAGE(ARRAYFORMULA(XLOOKUP(FILTER(INDIRECT(""'""&amp;CP$1&amp;""'!$C$4:$C$66""),INDIRECT(""'""&amp;CP$1&amp;""'!$D$4:$D$66"")=CP$2),$G$4:$BQ$4,$G21:$BQ21)))"),-0.6492488546666667)</f>
        <v>-0.6492488547</v>
      </c>
      <c r="CQ21" s="207" t="str">
        <f>IFERROR(__xludf.DUMMYFUNCTION("IF(OR(CP21&gt;$BS21+$BT21*$BT$2,CP21&lt;$BS21-$BT21*$BT$2),AVEDEV(ARRAYFORMULA(XLOOKUP(FILTER(INDIRECT(""'""&amp;CP$1&amp;""'!$C$4:$C$66""),INDIRECT(""'""&amp;CP$1&amp;""'!$D$4:$D$66"")=CP$2),$G$4:$BQ$4,$G21:$BQ21))),"""")"),"")</f>
        <v/>
      </c>
      <c r="CR21" s="208" t="str">
        <f t="shared" si="14"/>
        <v/>
      </c>
      <c r="CS21" s="210">
        <f>IFERROR(__xludf.DUMMYFUNCTION("AVERAGE(ARRAYFORMULA(XLOOKUP(FILTER(INDIRECT(""'""&amp;CS$1&amp;""'!$C$4:$C$66""),INDIRECT(""'""&amp;CS$1&amp;""'!$D$4:$D$66"")=CS$2),$G$4:$BQ$4,$G21:$BQ21)))"),0.05299033769230769)</f>
        <v>0.05299033769</v>
      </c>
      <c r="CT21" s="207" t="str">
        <f>IFERROR(__xludf.DUMMYFUNCTION("IF(OR(CS21&gt;$BS21+$BT21*$BT$2,CS21&lt;$BS21-$BT21*$BT$2),AVEDEV(ARRAYFORMULA(XLOOKUP(FILTER(INDIRECT(""'""&amp;CS$1&amp;""'!$C$4:$C$66""),INDIRECT(""'""&amp;CS$1&amp;""'!$D$4:$D$66"")=CS$2),$G$4:$BQ$4,$G21:$BQ21))),"""")"),"")</f>
        <v/>
      </c>
      <c r="CU21" s="208" t="str">
        <f t="shared" si="15"/>
        <v/>
      </c>
      <c r="CV21" s="210">
        <f>IFERROR(__xludf.DUMMYFUNCTION("AVERAGE(ARRAYFORMULA(XLOOKUP(FILTER(INDIRECT(""'""&amp;CV$1&amp;""'!$C$4:$C$66""),INDIRECT(""'""&amp;CV$1&amp;""'!$D$4:$D$66"")=CV$2),$G$4:$BQ$4,$G21:$BQ21)))"),-0.134291312)</f>
        <v>-0.134291312</v>
      </c>
      <c r="CW21" s="207" t="str">
        <f>IFERROR(__xludf.DUMMYFUNCTION("IF(OR(CV21&gt;$BS21+$BT21*$BT$2,CV21&lt;$BS21-$BT21*$BT$2),AVEDEV(ARRAYFORMULA(XLOOKUP(FILTER(INDIRECT(""'""&amp;CV$1&amp;""'!$C$4:$C$66""),INDIRECT(""'""&amp;CV$1&amp;""'!$D$4:$D$66"")=CV$2),$G$4:$BQ$4,$G21:$BQ21))),"""")"),"")</f>
        <v/>
      </c>
      <c r="CX21" s="208" t="str">
        <f t="shared" si="16"/>
        <v/>
      </c>
      <c r="CY21" s="209" t="s">
        <v>444</v>
      </c>
      <c r="CZ21" s="210">
        <f>IFERROR(__xludf.DUMMYFUNCTION("AVERAGE(ARRAYFORMULA(XLOOKUP(FILTER(INDIRECT(""'""&amp;CZ$1&amp;""'!$C$4:$C$66""),INDIRECT(""'""&amp;CZ$1&amp;""'!$D$4:$D$66"")=CZ$2),$G$4:$BQ$4,$G21:$BQ21)))"),0.04422879500000001)</f>
        <v>0.044228795</v>
      </c>
      <c r="DA21" s="207" t="str">
        <f>IFERROR(__xludf.DUMMYFUNCTION("IF(OR(CZ21&gt;$BS21+$BT21*$BT$2,CZ21&lt;$BS21-$BT21*$BT$2),AVEDEV(ARRAYFORMULA(XLOOKUP(FILTER(INDIRECT(""'""&amp;CZ$1&amp;""'!$C$4:$C$66""),INDIRECT(""'""&amp;CZ$1&amp;""'!$D$4:$D$66"")=CZ$2),$G$4:$BQ$4,$G21:$BQ21))),"""")"),"")</f>
        <v/>
      </c>
      <c r="DB21" s="208" t="str">
        <f t="shared" si="17"/>
        <v/>
      </c>
      <c r="DC21" s="210">
        <f>IFERROR(__xludf.DUMMYFUNCTION("AVERAGE(ARRAYFORMULA(XLOOKUP(FILTER(INDIRECT(""'""&amp;DC$1&amp;""'!$C$4:$C$66""),INDIRECT(""'""&amp;DC$1&amp;""'!$D$4:$D$66"")=DC$2),$G$4:$BQ$4,$G21:$BQ21)))"),0.018143562222222243)</f>
        <v>0.01814356222</v>
      </c>
      <c r="DD21" s="207" t="str">
        <f>IFERROR(__xludf.DUMMYFUNCTION("IF(OR(DC21&gt;$BS21+$BT21*$BT$2,DC21&lt;$BS21-$BT21*$BT$2),AVEDEV(ARRAYFORMULA(XLOOKUP(FILTER(INDIRECT(""'""&amp;DC$1&amp;""'!$C$4:$C$66""),INDIRECT(""'""&amp;DC$1&amp;""'!$D$4:$D$66"")=DC$2),$G$4:$BQ$4,$G21:$BQ21))),"""")"),"")</f>
        <v/>
      </c>
      <c r="DE21" s="208" t="str">
        <f t="shared" si="18"/>
        <v/>
      </c>
      <c r="DF21" s="210">
        <f>IFERROR(__xludf.DUMMYFUNCTION("AVERAGE(ARRAYFORMULA(XLOOKUP(FILTER(INDIRECT(""'""&amp;DF$1&amp;""'!$C$4:$C$66""),INDIRECT(""'""&amp;DF$1&amp;""'!$D$4:$D$66"")=DF$2),$G$4:$BQ$4,$G21:$BQ21)))"),-0.5760940536363636)</f>
        <v>-0.5760940536</v>
      </c>
      <c r="DG21" s="207" t="str">
        <f>IFERROR(__xludf.DUMMYFUNCTION("IF(OR(DF21&gt;$BS21+$BT21*$BT$2,DF21&lt;$BS21-$BT21*$BT$2),AVEDEV(ARRAYFORMULA(XLOOKUP(FILTER(INDIRECT(""'""&amp;DF$1&amp;""'!$C$4:$C$66""),INDIRECT(""'""&amp;DF$1&amp;""'!$D$4:$D$66"")=DF$2),$G$4:$BQ$4,$G21:$BQ21))),"""")"),"")</f>
        <v/>
      </c>
      <c r="DH21" s="208" t="str">
        <f t="shared" si="19"/>
        <v/>
      </c>
      <c r="DI21" s="210">
        <f>IFERROR(__xludf.DUMMYFUNCTION("AVERAGE(ARRAYFORMULA(XLOOKUP(FILTER(INDIRECT(""'""&amp;DI$1&amp;""'!$C$4:$C$66""),INDIRECT(""'""&amp;DI$1&amp;""'!$D$4:$D$66"")=DI$2),$G$4:$BQ$4,$G21:$BQ21)))"),0.16557805999999997)</f>
        <v>0.16557806</v>
      </c>
      <c r="DJ21" s="207" t="str">
        <f>IFERROR(__xludf.DUMMYFUNCTION("IF(OR(DI21&gt;$BS21+$BT21*$BT$2,DI21&lt;$BS21-$BT21*$BT$2),AVEDEV(ARRAYFORMULA(XLOOKUP(FILTER(INDIRECT(""'""&amp;DI$1&amp;""'!$C$4:$C$66""),INDIRECT(""'""&amp;DI$1&amp;""'!$D$4:$D$66"")=DI$2),$G$4:$BQ$4,$G21:$BQ21))),"""")"),"")</f>
        <v/>
      </c>
      <c r="DK21" s="208" t="str">
        <f t="shared" si="20"/>
        <v/>
      </c>
      <c r="DL21" s="210">
        <f>IFERROR(__xludf.DUMMYFUNCTION("AVERAGE(ARRAYFORMULA(XLOOKUP(FILTER(INDIRECT(""'""&amp;DL$1&amp;""'!$C$4:$C$66""),INDIRECT(""'""&amp;DL$1&amp;""'!$D$4:$D$66"")=DL$2),$G$4:$BQ$4,$G21:$BQ21)))"),0.12606140142857145)</f>
        <v>0.1260614014</v>
      </c>
      <c r="DM21" s="207" t="str">
        <f>IFERROR(__xludf.DUMMYFUNCTION("IF(OR(DL21&gt;$BS21+$BT21*$BT$2,DL21&lt;$BS21-$BT21*$BT$2),AVEDEV(ARRAYFORMULA(XLOOKUP(FILTER(INDIRECT(""'""&amp;DL$1&amp;""'!$C$4:$C$66""),INDIRECT(""'""&amp;DL$1&amp;""'!$D$4:$D$66"")=DL$2),$G$4:$BQ$4,$G21:$BQ21))),"""")"),"")</f>
        <v/>
      </c>
      <c r="DN21" s="208" t="str">
        <f t="shared" si="21"/>
        <v/>
      </c>
      <c r="DO21" s="209" t="s">
        <v>444</v>
      </c>
      <c r="DP21" s="210">
        <f>IFERROR(__xludf.DUMMYFUNCTION("AVERAGE(ARRAYFORMULA(XLOOKUP(FILTER(INDIRECT(""'""&amp;DP$1&amp;""'!$C$4:$C$66""),INDIRECT(""'""&amp;DP$1&amp;""'!$D$4:$D$66"")=DP$2),$G$4:$BQ$4,$G21:$BQ21)))"),-0.18066623499999998)</f>
        <v>-0.180666235</v>
      </c>
      <c r="DQ21" s="207" t="str">
        <f>IFERROR(__xludf.DUMMYFUNCTION("IF(OR(DP21&gt;$BS21+$BT21*$BT$2,DP21&lt;$BS21-$BT21*$BT$2),AVEDEV(ARRAYFORMULA(XLOOKUP(FILTER(INDIRECT(""'""&amp;DP$1&amp;""'!$C$4:$C$66""),INDIRECT(""'""&amp;DP$1&amp;""'!$D$4:$D$66"")=DP$2),$G$4:$BQ$4,$G21:$BQ21))),"""")"),"")</f>
        <v/>
      </c>
      <c r="DR21" s="208" t="str">
        <f t="shared" si="22"/>
        <v/>
      </c>
      <c r="DS21" s="210">
        <f>IFERROR(__xludf.DUMMYFUNCTION("AVERAGE(ARRAYFORMULA(XLOOKUP(FILTER(INDIRECT(""'""&amp;DS$1&amp;""'!$C$4:$C$66""),INDIRECT(""'""&amp;DS$1&amp;""'!$D$4:$D$66"")=DS$2),$G$4:$BQ$4,$G21:$BQ21)))"),-0.05639014888888886)</f>
        <v>-0.05639014889</v>
      </c>
      <c r="DT21" s="207" t="str">
        <f>IFERROR(__xludf.DUMMYFUNCTION("IF(OR(DS21&gt;$BS21+$BT21*$BT$2,DS21&lt;$BS21-$BT21*$BT$2),AVEDEV(ARRAYFORMULA(XLOOKUP(FILTER(INDIRECT(""'""&amp;DS$1&amp;""'!$C$4:$C$66""),INDIRECT(""'""&amp;DS$1&amp;""'!$D$4:$D$66"")=DS$2),$G$4:$BQ$4,$G21:$BQ21))),"""")"),"")</f>
        <v/>
      </c>
      <c r="DU21" s="208" t="str">
        <f t="shared" si="23"/>
        <v/>
      </c>
      <c r="DV21" s="210">
        <f>IFERROR(__xludf.DUMMYFUNCTION("AVERAGE(ARRAYFORMULA(XLOOKUP(FILTER(INDIRECT(""'""&amp;DV$1&amp;""'!$C$4:$C$66""),INDIRECT(""'""&amp;DV$1&amp;""'!$D$4:$D$66"")=DV$2),$G$4:$BQ$4,$G21:$BQ21)))"),-0.17480403249999998)</f>
        <v>-0.1748040325</v>
      </c>
      <c r="DW21" s="207" t="str">
        <f>IFERROR(__xludf.DUMMYFUNCTION("IF(OR(DV21&gt;$BS21+$BT21*$BT$2,DV21&lt;$BS21-$BT21*$BT$2),AVEDEV(ARRAYFORMULA(XLOOKUP(FILTER(INDIRECT(""'""&amp;DV$1&amp;""'!$C$4:$C$66""),INDIRECT(""'""&amp;DV$1&amp;""'!$D$4:$D$66"")=DV$2),$G$4:$BQ$4,$G21:$BQ21))),"""")"),"")</f>
        <v/>
      </c>
      <c r="DX21" s="208" t="str">
        <f t="shared" si="24"/>
        <v/>
      </c>
      <c r="DY21" s="210">
        <f>IFERROR(__xludf.DUMMYFUNCTION("AVERAGE(ARRAYFORMULA(XLOOKUP(FILTER(INDIRECT(""'""&amp;DY$1&amp;""'!$C$4:$C$66""),INDIRECT(""'""&amp;DY$1&amp;""'!$D$4:$D$66"")=DY$2),$G$4:$BQ$4,$G21:$BQ21)))"),0.1455838611111111)</f>
        <v>0.1455838611</v>
      </c>
      <c r="DZ21" s="207" t="str">
        <f>IFERROR(__xludf.DUMMYFUNCTION("IF(OR(DY21&gt;$BS21+$BT21*$BT$2,DY21&lt;$BS21-$BT21*$BT$2),AVEDEV(ARRAYFORMULA(XLOOKUP(FILTER(INDIRECT(""'""&amp;DY$1&amp;""'!$C$4:$C$66""),INDIRECT(""'""&amp;DY$1&amp;""'!$D$4:$D$66"")=DY$2),$G$4:$BQ$4,$G21:$BQ21))),"""")"),"")</f>
        <v/>
      </c>
      <c r="EA21" s="208" t="str">
        <f t="shared" si="25"/>
        <v/>
      </c>
      <c r="EB21" s="191"/>
    </row>
    <row r="22" outlineLevel="1">
      <c r="A22" s="2"/>
      <c r="B22" s="204">
        <v>18.0</v>
      </c>
      <c r="C22" s="204" t="s">
        <v>442</v>
      </c>
      <c r="D22" s="204" t="s">
        <v>461</v>
      </c>
      <c r="E22" s="205" t="b">
        <f>VLOOKUP(D22,'Feature Set List'!A18:C246,2,0)</f>
        <v>1</v>
      </c>
      <c r="F22" s="205" t="b">
        <f>VLOOKUP(D22,'Feature Set List'!A18:C246,3,0)</f>
        <v>1</v>
      </c>
      <c r="G22" s="205">
        <v>-0.5688393</v>
      </c>
      <c r="H22" s="205">
        <v>0.28163123</v>
      </c>
      <c r="I22" s="205">
        <v>-0.6883932</v>
      </c>
      <c r="J22" s="205">
        <v>-0.238062</v>
      </c>
      <c r="K22" s="205">
        <v>0.19762984</v>
      </c>
      <c r="L22" s="205">
        <v>-0.3189265</v>
      </c>
      <c r="M22" s="205">
        <v>-1.0529801</v>
      </c>
      <c r="N22" s="205">
        <v>0.24224468</v>
      </c>
      <c r="O22" s="205">
        <v>-1.1906588</v>
      </c>
      <c r="P22" s="205">
        <v>0.24921575</v>
      </c>
      <c r="Q22" s="205">
        <v>-0.0362496</v>
      </c>
      <c r="R22" s="205">
        <v>-0.5426978</v>
      </c>
      <c r="S22" s="205">
        <v>0.66294876</v>
      </c>
      <c r="T22" s="205">
        <v>0.21157198</v>
      </c>
      <c r="U22" s="205">
        <v>0.06064831</v>
      </c>
      <c r="V22" s="205">
        <v>-0.0285814</v>
      </c>
      <c r="W22" s="205">
        <v>-1.0456605</v>
      </c>
      <c r="X22" s="205">
        <v>-1.0013942</v>
      </c>
      <c r="Y22" s="205">
        <v>-0.2126176</v>
      </c>
      <c r="Z22" s="205">
        <v>-0.30603</v>
      </c>
      <c r="AA22" s="205">
        <v>0.24573022</v>
      </c>
      <c r="AB22" s="205">
        <v>-0.8299059</v>
      </c>
      <c r="AC22" s="205">
        <v>0.52387591</v>
      </c>
      <c r="AD22" s="205">
        <v>0.50505403</v>
      </c>
      <c r="AE22" s="205">
        <v>-0.1596375</v>
      </c>
      <c r="AF22" s="205">
        <v>0.56256535</v>
      </c>
      <c r="AG22" s="205">
        <v>-0.2844197</v>
      </c>
      <c r="AH22" s="205">
        <v>0.66155455</v>
      </c>
      <c r="AI22" s="205">
        <v>0.72987104</v>
      </c>
      <c r="AJ22" s="205">
        <v>0.60369467</v>
      </c>
      <c r="AK22" s="205">
        <v>0.4677588</v>
      </c>
      <c r="AL22" s="205">
        <v>0.78285117</v>
      </c>
      <c r="AM22" s="205">
        <v>-0.2819798</v>
      </c>
      <c r="AN22" s="205">
        <v>-0.1456954</v>
      </c>
      <c r="AO22" s="205">
        <v>0.25095852</v>
      </c>
      <c r="AP22" s="205">
        <v>-0.0484489</v>
      </c>
      <c r="AQ22" s="205">
        <v>-0.491809</v>
      </c>
      <c r="AR22" s="205">
        <v>0.55942837</v>
      </c>
      <c r="AS22" s="205">
        <v>0.1394214</v>
      </c>
      <c r="AT22" s="205">
        <v>0.0</v>
      </c>
      <c r="AU22" s="205">
        <v>0.68630185</v>
      </c>
      <c r="AV22" s="205">
        <v>-1.2687348</v>
      </c>
      <c r="AW22" s="205">
        <v>0.5622168</v>
      </c>
      <c r="AX22" s="205">
        <v>0.63889857</v>
      </c>
      <c r="AY22" s="205">
        <v>0.16730568</v>
      </c>
      <c r="AZ22" s="205">
        <v>-0.5946323</v>
      </c>
      <c r="BA22" s="205">
        <v>-0.5109794</v>
      </c>
      <c r="BB22" s="205">
        <v>-1.1707912</v>
      </c>
      <c r="BC22" s="205">
        <v>0.27222029</v>
      </c>
      <c r="BD22" s="205">
        <v>0.20808644</v>
      </c>
      <c r="BE22" s="205">
        <v>-2.2415476</v>
      </c>
      <c r="BF22" s="205">
        <v>0.82816312</v>
      </c>
      <c r="BG22" s="205">
        <v>-0.2732659</v>
      </c>
      <c r="BH22" s="205">
        <v>0.51376786</v>
      </c>
      <c r="BI22" s="205">
        <v>-0.4872778</v>
      </c>
      <c r="BJ22" s="205">
        <v>-0.0097595</v>
      </c>
      <c r="BK22" s="205">
        <v>0.81178111</v>
      </c>
      <c r="BL22" s="205">
        <v>-1.5890554</v>
      </c>
      <c r="BM22" s="205">
        <v>0.80202161</v>
      </c>
      <c r="BN22" s="205">
        <v>-0.4893691</v>
      </c>
      <c r="BO22" s="205">
        <v>0.12164517</v>
      </c>
      <c r="BP22" s="205">
        <v>-1.1307076</v>
      </c>
      <c r="BQ22" s="205">
        <v>0.57267341</v>
      </c>
      <c r="BR22" s="206"/>
      <c r="BS22" s="207">
        <f t="shared" si="6"/>
        <v>-0.08119637</v>
      </c>
      <c r="BT22" s="207">
        <f t="shared" si="7"/>
        <v>0.5372624257</v>
      </c>
      <c r="BU22" s="206"/>
      <c r="BV22" s="207">
        <f>IFERROR(__xludf.DUMMYFUNCTION("AVERAGE(ARRAYFORMULA(XLOOKUP(FILTER(INDIRECT(""'""&amp;BV$1&amp;""'!$C$4:$C$66""),INDIRECT(""'""&amp;BV$1&amp;""'!$D$4:$D$66"")=BV$2),$G$4:$BQ$4,$G22:$BQ22)))"),-0.7891251271428572)</f>
        <v>-0.7891251271</v>
      </c>
      <c r="BW22" s="207">
        <f>IFERROR(__xludf.DUMMYFUNCTION("IF(OR(BV22&gt;$BS22+$BT22*$BT$2,BV22&lt;$BS22-$BT22*$BT$2),AVEDEV(ARRAYFORMULA(XLOOKUP(FILTER(INDIRECT(""'""&amp;BV$1&amp;""'!$C$4:$C$66""),INDIRECT(""'""&amp;BV$1&amp;""'!$D$4:$D$66"")=BV$2),$G$4:$BQ$4,$G22:$BQ22))),"""")"),0.8132251118367347)</f>
        <v>0.8132251118</v>
      </c>
      <c r="BX22" s="208">
        <f t="shared" si="8"/>
        <v>-0.1706663314</v>
      </c>
      <c r="BY22" s="207">
        <f>IFERROR(__xludf.DUMMYFUNCTION("AVERAGE(ARRAYFORMULA(XLOOKUP(FILTER(INDIRECT(""'""&amp;BY$1&amp;""'!$C$4:$C$66""),INDIRECT(""'""&amp;BY$1&amp;""'!$D$4:$D$66"")=BY$2),$G$4:$BQ$4,$G22:$BQ22)))"),0.06385167857142857)</f>
        <v>0.06385167857</v>
      </c>
      <c r="BZ22" s="207" t="str">
        <f>IFERROR(__xludf.DUMMYFUNCTION("IF(OR(BY22&gt;$BS22+$BT22*$BT$2,BY22&lt;$BS22-$BT22*$BT$2),AVEDEV(ARRAYFORMULA(XLOOKUP(FILTER(INDIRECT(""'""&amp;BY$1&amp;""'!$C$4:$C$66""),INDIRECT(""'""&amp;BY$1&amp;""'!$D$4:$D$66"")=BY$2),$G$4:$BQ$4,$G22:$BQ22))),"""")"),"")</f>
        <v/>
      </c>
      <c r="CA22" s="208" t="str">
        <f t="shared" si="9"/>
        <v/>
      </c>
      <c r="CB22" s="207">
        <f>IFERROR(__xludf.DUMMYFUNCTION("AVERAGE(ARRAYFORMULA(XLOOKUP(FILTER(INDIRECT(""'""&amp;CB$1&amp;""'!$C$4:$C$66""),INDIRECT(""'""&amp;CB$1&amp;""'!$D$4:$D$66"")=CB$2),$G$4:$BQ$4,$G22:$BQ22)))"),-0.2253873645454546)</f>
        <v>-0.2253873645</v>
      </c>
      <c r="CC22" s="207" t="str">
        <f>IFERROR(__xludf.DUMMYFUNCTION("IF(OR(CB22&gt;$BS22+$BT22*$BT$2,CB22&lt;$BS22-$BT22*$BT$2),AVEDEV(ARRAYFORMULA(XLOOKUP(FILTER(INDIRECT(""'""&amp;CB$1&amp;""'!$C$4:$C$66""),INDIRECT(""'""&amp;CB$1&amp;""'!$D$4:$D$66"")=CB$2),$G$4:$BQ$4,$G22:$BQ22))),"""")"),"")</f>
        <v/>
      </c>
      <c r="CD22" s="208" t="str">
        <f t="shared" si="10"/>
        <v/>
      </c>
      <c r="CE22" s="209" t="s">
        <v>444</v>
      </c>
      <c r="CF22" s="207">
        <f>IFERROR(__xludf.DUMMYFUNCTION("AVERAGE(ARRAYFORMULA(XLOOKUP(FILTER(INDIRECT(""'""&amp;CF$1&amp;""'!$C$4:$C$66""),INDIRECT(""'""&amp;CF$1&amp;""'!$D$4:$D$66"")=CF$2),$G$4:$BQ$4,$G22:$BQ22)))"),0.059275882500000016)</f>
        <v>0.0592758825</v>
      </c>
      <c r="CG22" s="207" t="str">
        <f>IFERROR(__xludf.DUMMYFUNCTION("IF(OR(CF22&gt;$BS22+$BT22*$BT$2,CF22&lt;$BS22-$BT22*$BT$2),AVEDEV(ARRAYFORMULA(XLOOKUP(FILTER(INDIRECT(""'""&amp;CF$1&amp;""'!$C$4:$C$66""),INDIRECT(""'""&amp;CF$1&amp;""'!$D$4:$D$66"")=CF$2),$G$4:$BQ$4,$G22:$BQ22))),"""")"),"")</f>
        <v/>
      </c>
      <c r="CH22" s="208" t="str">
        <f t="shared" si="11"/>
        <v/>
      </c>
      <c r="CI22" s="207">
        <f>IFERROR(__xludf.DUMMYFUNCTION("AVERAGE(ARRAYFORMULA(XLOOKUP(FILTER(INDIRECT(""'""&amp;CI$1&amp;""'!$C$4:$C$66""),INDIRECT(""'""&amp;CI$1&amp;""'!$D$4:$D$66"")=CI$2),$G$4:$BQ$4,$G22:$BQ22)))"),-0.17094863516129039)</f>
        <v>-0.1709486352</v>
      </c>
      <c r="CJ22" s="207" t="str">
        <f>IFERROR(__xludf.DUMMYFUNCTION("IF(OR(CI22&gt;$BS22+$BT22*$BT$2,CI22&lt;$BS22-$BT22*$BT$2),AVEDEV(ARRAYFORMULA(XLOOKUP(FILTER(INDIRECT(""'""&amp;CI$1&amp;""'!$C$4:$C$66""),INDIRECT(""'""&amp;CI$1&amp;""'!$D$4:$D$66"")=CI$2),$G$4:$BQ$4,$G22:$BQ22))),"""")"),"")</f>
        <v/>
      </c>
      <c r="CK22" s="208" t="str">
        <f t="shared" si="12"/>
        <v/>
      </c>
      <c r="CL22" s="207">
        <f>IFERROR(__xludf.DUMMYFUNCTION("AVERAGE(ARRAYFORMULA(XLOOKUP(FILTER(INDIRECT(""'""&amp;CL$1&amp;""'!$C$4:$C$66""),INDIRECT(""'""&amp;CL$1&amp;""'!$D$4:$D$66"")=CL$2),$G$4:$BQ$4,$G22:$BQ22)))"),-0.036807233999999994)</f>
        <v>-0.036807234</v>
      </c>
      <c r="CM22" s="207" t="str">
        <f>IFERROR(__xludf.DUMMYFUNCTION("IF(OR(CL22&gt;$BS22+$BT22*$BT$2,CL22&lt;$BS22-$BT22*$BT$2),AVEDEV(ARRAYFORMULA(XLOOKUP(FILTER(INDIRECT(""'""&amp;CL$1&amp;""'!$C$4:$C$66""),INDIRECT(""'""&amp;CL$1&amp;""'!$D$4:$D$66"")=CL$2),$G$4:$BQ$4,$G22:$BQ22))),"""")"),"")</f>
        <v/>
      </c>
      <c r="CN22" s="208" t="str">
        <f t="shared" si="13"/>
        <v/>
      </c>
      <c r="CO22" s="209" t="s">
        <v>444</v>
      </c>
      <c r="CP22" s="210">
        <f>IFERROR(__xludf.DUMMYFUNCTION("AVERAGE(ARRAYFORMULA(XLOOKUP(FILTER(INDIRECT(""'""&amp;CP$1&amp;""'!$C$4:$C$66""),INDIRECT(""'""&amp;CP$1&amp;""'!$D$4:$D$66"")=CP$2),$G$4:$BQ$4,$G22:$BQ22)))"),-0.23513419000000002)</f>
        <v>-0.23513419</v>
      </c>
      <c r="CQ22" s="207" t="str">
        <f>IFERROR(__xludf.DUMMYFUNCTION("IF(OR(CP22&gt;$BS22+$BT22*$BT$2,CP22&lt;$BS22-$BT22*$BT$2),AVEDEV(ARRAYFORMULA(XLOOKUP(FILTER(INDIRECT(""'""&amp;CP$1&amp;""'!$C$4:$C$66""),INDIRECT(""'""&amp;CP$1&amp;""'!$D$4:$D$66"")=CP$2),$G$4:$BQ$4,$G22:$BQ22))),"""")"),"")</f>
        <v/>
      </c>
      <c r="CR22" s="208" t="str">
        <f t="shared" si="14"/>
        <v/>
      </c>
      <c r="CS22" s="210">
        <f>IFERROR(__xludf.DUMMYFUNCTION("AVERAGE(ARRAYFORMULA(XLOOKUP(FILTER(INDIRECT(""'""&amp;CS$1&amp;""'!$C$4:$C$66""),INDIRECT(""'""&amp;CS$1&amp;""'!$D$4:$D$66"")=CS$2),$G$4:$BQ$4,$G22:$BQ22)))"),-5.451789743589747E-4)</f>
        <v>-0.0005451789744</v>
      </c>
      <c r="CT22" s="207" t="str">
        <f>IFERROR(__xludf.DUMMYFUNCTION("IF(OR(CS22&gt;$BS22+$BT22*$BT$2,CS22&lt;$BS22-$BT22*$BT$2),AVEDEV(ARRAYFORMULA(XLOOKUP(FILTER(INDIRECT(""'""&amp;CS$1&amp;""'!$C$4:$C$66""),INDIRECT(""'""&amp;CS$1&amp;""'!$D$4:$D$66"")=CS$2),$G$4:$BQ$4,$G22:$BQ22))),"""")"),"")</f>
        <v/>
      </c>
      <c r="CU22" s="208" t="str">
        <f t="shared" si="15"/>
        <v/>
      </c>
      <c r="CV22" s="210">
        <f>IFERROR(__xludf.DUMMYFUNCTION("AVERAGE(ARRAYFORMULA(XLOOKUP(FILTER(INDIRECT(""'""&amp;CV$1&amp;""'!$C$4:$C$66""),INDIRECT(""'""&amp;CV$1&amp;""'!$D$4:$D$66"")=CV$2),$G$4:$BQ$4,$G22:$BQ22)))"),-0.036807233999999994)</f>
        <v>-0.036807234</v>
      </c>
      <c r="CW22" s="207" t="str">
        <f>IFERROR(__xludf.DUMMYFUNCTION("IF(OR(CV22&gt;$BS22+$BT22*$BT$2,CV22&lt;$BS22-$BT22*$BT$2),AVEDEV(ARRAYFORMULA(XLOOKUP(FILTER(INDIRECT(""'""&amp;CV$1&amp;""'!$C$4:$C$66""),INDIRECT(""'""&amp;CV$1&amp;""'!$D$4:$D$66"")=CV$2),$G$4:$BQ$4,$G22:$BQ22))),"""")"),"")</f>
        <v/>
      </c>
      <c r="CX22" s="208" t="str">
        <f t="shared" si="16"/>
        <v/>
      </c>
      <c r="CY22" s="209" t="s">
        <v>444</v>
      </c>
      <c r="CZ22" s="210">
        <f>IFERROR(__xludf.DUMMYFUNCTION("AVERAGE(ARRAYFORMULA(XLOOKUP(FILTER(INDIRECT(""'""&amp;CZ$1&amp;""'!$C$4:$C$66""),INDIRECT(""'""&amp;CZ$1&amp;""'!$D$4:$D$66"")=CZ$2),$G$4:$BQ$4,$G22:$BQ22)))"),0.246825675)</f>
        <v>0.246825675</v>
      </c>
      <c r="DA22" s="207" t="str">
        <f>IFERROR(__xludf.DUMMYFUNCTION("IF(OR(CZ22&gt;$BS22+$BT22*$BT$2,CZ22&lt;$BS22-$BT22*$BT$2),AVEDEV(ARRAYFORMULA(XLOOKUP(FILTER(INDIRECT(""'""&amp;CZ$1&amp;""'!$C$4:$C$66""),INDIRECT(""'""&amp;CZ$1&amp;""'!$D$4:$D$66"")=CZ$2),$G$4:$BQ$4,$G22:$BQ22))),"""")"),"")</f>
        <v/>
      </c>
      <c r="DB22" s="208" t="str">
        <f t="shared" si="17"/>
        <v/>
      </c>
      <c r="DC22" s="210">
        <f>IFERROR(__xludf.DUMMYFUNCTION("AVERAGE(ARRAYFORMULA(XLOOKUP(FILTER(INDIRECT(""'""&amp;DC$1&amp;""'!$C$4:$C$66""),INDIRECT(""'""&amp;DC$1&amp;""'!$D$4:$D$66"")=DC$2),$G$4:$BQ$4,$G22:$BQ22)))"),-0.29851670222222226)</f>
        <v>-0.2985167022</v>
      </c>
      <c r="DD22" s="207" t="str">
        <f>IFERROR(__xludf.DUMMYFUNCTION("IF(OR(DC22&gt;$BS22+$BT22*$BT$2,DC22&lt;$BS22-$BT22*$BT$2),AVEDEV(ARRAYFORMULA(XLOOKUP(FILTER(INDIRECT(""'""&amp;DC$1&amp;""'!$C$4:$C$66""),INDIRECT(""'""&amp;DC$1&amp;""'!$D$4:$D$66"")=DC$2),$G$4:$BQ$4,$G22:$BQ22))),"""")"),"")</f>
        <v/>
      </c>
      <c r="DE22" s="208" t="str">
        <f t="shared" si="18"/>
        <v/>
      </c>
      <c r="DF22" s="210">
        <f>IFERROR(__xludf.DUMMYFUNCTION("AVERAGE(ARRAYFORMULA(XLOOKUP(FILTER(INDIRECT(""'""&amp;DF$1&amp;""'!$C$4:$C$66""),INDIRECT(""'""&amp;DF$1&amp;""'!$D$4:$D$66"")=DF$2),$G$4:$BQ$4,$G22:$BQ22)))"),-0.09388764454545453)</f>
        <v>-0.09388764455</v>
      </c>
      <c r="DG22" s="207" t="str">
        <f>IFERROR(__xludf.DUMMYFUNCTION("IF(OR(DF22&gt;$BS22+$BT22*$BT$2,DF22&lt;$BS22-$BT22*$BT$2),AVEDEV(ARRAYFORMULA(XLOOKUP(FILTER(INDIRECT(""'""&amp;DF$1&amp;""'!$C$4:$C$66""),INDIRECT(""'""&amp;DF$1&amp;""'!$D$4:$D$66"")=DF$2),$G$4:$BQ$4,$G22:$BQ22))),"""")"),"")</f>
        <v/>
      </c>
      <c r="DH22" s="208" t="str">
        <f t="shared" si="19"/>
        <v/>
      </c>
      <c r="DI22" s="210">
        <f>IFERROR(__xludf.DUMMYFUNCTION("AVERAGE(ARRAYFORMULA(XLOOKUP(FILTER(INDIRECT(""'""&amp;DI$1&amp;""'!$C$4:$C$66""),INDIRECT(""'""&amp;DI$1&amp;""'!$D$4:$D$66"")=DI$2),$G$4:$BQ$4,$G22:$BQ22)))"),0.509410945)</f>
        <v>0.509410945</v>
      </c>
      <c r="DJ22" s="207">
        <f>IFERROR(__xludf.DUMMYFUNCTION("IF(OR(DI22&gt;$BS22+$BT22*$BT$2,DI22&lt;$BS22-$BT22*$BT$2),AVEDEV(ARRAYFORMULA(XLOOKUP(FILTER(INDIRECT(""'""&amp;DI$1&amp;""'!$C$4:$C$66""),INDIRECT(""'""&amp;DI$1&amp;""'!$D$4:$D$66"")=DI$2),$G$4:$BQ$4,$G22:$BQ22))),"""")"),0.004356914999999961)</f>
        <v>0.004356915</v>
      </c>
      <c r="DK22" s="208">
        <f t="shared" si="20"/>
        <v>0.05334488929</v>
      </c>
      <c r="DL22" s="210">
        <f>IFERROR(__xludf.DUMMYFUNCTION("AVERAGE(ARRAYFORMULA(XLOOKUP(FILTER(INDIRECT(""'""&amp;DL$1&amp;""'!$C$4:$C$66""),INDIRECT(""'""&amp;DL$1&amp;""'!$D$4:$D$66"")=DL$2),$G$4:$BQ$4,$G22:$BQ22)))"),-0.12082359214285712)</f>
        <v>-0.1208235921</v>
      </c>
      <c r="DM22" s="207" t="str">
        <f>IFERROR(__xludf.DUMMYFUNCTION("IF(OR(DL22&gt;$BS22+$BT22*$BT$2,DL22&lt;$BS22-$BT22*$BT$2),AVEDEV(ARRAYFORMULA(XLOOKUP(FILTER(INDIRECT(""'""&amp;DL$1&amp;""'!$C$4:$C$66""),INDIRECT(""'""&amp;DL$1&amp;""'!$D$4:$D$66"")=DL$2),$G$4:$BQ$4,$G22:$BQ22))),"""")"),"")</f>
        <v/>
      </c>
      <c r="DN22" s="208" t="str">
        <f t="shared" si="21"/>
        <v/>
      </c>
      <c r="DO22" s="209" t="s">
        <v>444</v>
      </c>
      <c r="DP22" s="210">
        <f>IFERROR(__xludf.DUMMYFUNCTION("AVERAGE(ARRAYFORMULA(XLOOKUP(FILTER(INDIRECT(""'""&amp;DP$1&amp;""'!$C$4:$C$66""),INDIRECT(""'""&amp;DP$1&amp;""'!$D$4:$D$66"")=DP$2),$G$4:$BQ$4,$G22:$BQ22)))"),-0.029034509333333333)</f>
        <v>-0.02903450933</v>
      </c>
      <c r="DQ22" s="207" t="str">
        <f>IFERROR(__xludf.DUMMYFUNCTION("IF(OR(DP22&gt;$BS22+$BT22*$BT$2,DP22&lt;$BS22-$BT22*$BT$2),AVEDEV(ARRAYFORMULA(XLOOKUP(FILTER(INDIRECT(""'""&amp;DP$1&amp;""'!$C$4:$C$66""),INDIRECT(""'""&amp;DP$1&amp;""'!$D$4:$D$66"")=DP$2),$G$4:$BQ$4,$G22:$BQ22))),"""")"),"")</f>
        <v/>
      </c>
      <c r="DR22" s="208" t="str">
        <f t="shared" si="22"/>
        <v/>
      </c>
      <c r="DS22" s="210">
        <f>IFERROR(__xludf.DUMMYFUNCTION("AVERAGE(ARRAYFORMULA(XLOOKUP(FILTER(INDIRECT(""'""&amp;DS$1&amp;""'!$C$4:$C$66""),INDIRECT(""'""&amp;DS$1&amp;""'!$D$4:$D$66"")=DS$2),$G$4:$BQ$4,$G22:$BQ22)))"),-0.3892568066666667)</f>
        <v>-0.3892568067</v>
      </c>
      <c r="DT22" s="207" t="str">
        <f>IFERROR(__xludf.DUMMYFUNCTION("IF(OR(DS22&gt;$BS22+$BT22*$BT$2,DS22&lt;$BS22-$BT22*$BT$2),AVEDEV(ARRAYFORMULA(XLOOKUP(FILTER(INDIRECT(""'""&amp;DS$1&amp;""'!$C$4:$C$66""),INDIRECT(""'""&amp;DS$1&amp;""'!$D$4:$D$66"")=DS$2),$G$4:$BQ$4,$G22:$BQ22))),"""")"),"")</f>
        <v/>
      </c>
      <c r="DU22" s="208" t="str">
        <f t="shared" si="23"/>
        <v/>
      </c>
      <c r="DV22" s="210">
        <f>IFERROR(__xludf.DUMMYFUNCTION("AVERAGE(ARRAYFORMULA(XLOOKUP(FILTER(INDIRECT(""'""&amp;DV$1&amp;""'!$C$4:$C$66""),INDIRECT(""'""&amp;DV$1&amp;""'!$D$4:$D$66"")=DV$2),$G$4:$BQ$4,$G22:$BQ22)))"),-0.07345765749999998)</f>
        <v>-0.0734576575</v>
      </c>
      <c r="DW22" s="207" t="str">
        <f>IFERROR(__xludf.DUMMYFUNCTION("IF(OR(DV22&gt;$BS22+$BT22*$BT$2,DV22&lt;$BS22-$BT22*$BT$2),AVEDEV(ARRAYFORMULA(XLOOKUP(FILTER(INDIRECT(""'""&amp;DV$1&amp;""'!$C$4:$C$66""),INDIRECT(""'""&amp;DV$1&amp;""'!$D$4:$D$66"")=DV$2),$G$4:$BQ$4,$G22:$BQ22))),"""")"),"")</f>
        <v/>
      </c>
      <c r="DX22" s="208" t="str">
        <f t="shared" si="24"/>
        <v/>
      </c>
      <c r="DY22" s="210">
        <f>IFERROR(__xludf.DUMMYFUNCTION("AVERAGE(ARRAYFORMULA(XLOOKUP(FILTER(INDIRECT(""'""&amp;DY$1&amp;""'!$C$4:$C$66""),INDIRECT(""'""&amp;DY$1&amp;""'!$D$4:$D$66"")=DY$2),$G$4:$BQ$4,$G22:$BQ22)))"),0.15785601222222223)</f>
        <v>0.1578560122</v>
      </c>
      <c r="DZ22" s="207" t="str">
        <f>IFERROR(__xludf.DUMMYFUNCTION("IF(OR(DY22&gt;$BS22+$BT22*$BT$2,DY22&lt;$BS22-$BT22*$BT$2),AVEDEV(ARRAYFORMULA(XLOOKUP(FILTER(INDIRECT(""'""&amp;DY$1&amp;""'!$C$4:$C$66""),INDIRECT(""'""&amp;DY$1&amp;""'!$D$4:$D$66"")=DY$2),$G$4:$BQ$4,$G22:$BQ22))),"""")"),"")</f>
        <v/>
      </c>
      <c r="EA22" s="208" t="str">
        <f t="shared" si="25"/>
        <v/>
      </c>
      <c r="EB22" s="191"/>
    </row>
    <row r="23" outlineLevel="1">
      <c r="A23" s="2"/>
      <c r="B23" s="204">
        <v>19.0</v>
      </c>
      <c r="C23" s="204" t="s">
        <v>442</v>
      </c>
      <c r="D23" s="204" t="s">
        <v>462</v>
      </c>
      <c r="E23" s="205" t="b">
        <f>VLOOKUP(D23,'Feature Set List'!A19:C246,2,0)</f>
        <v>1</v>
      </c>
      <c r="F23" s="205" t="b">
        <f>VLOOKUP(D23,'Feature Set List'!A19:C246,3,0)</f>
        <v>1</v>
      </c>
      <c r="G23" s="205">
        <v>-0.25</v>
      </c>
      <c r="H23" s="205">
        <v>-0.375</v>
      </c>
      <c r="I23" s="205">
        <v>3.625</v>
      </c>
      <c r="J23" s="205">
        <v>-0.5</v>
      </c>
      <c r="K23" s="205">
        <v>-0.625</v>
      </c>
      <c r="L23" s="205">
        <v>0.0</v>
      </c>
      <c r="M23" s="205">
        <v>0.625</v>
      </c>
      <c r="N23" s="205">
        <v>2.125</v>
      </c>
      <c r="O23" s="205">
        <v>0.625</v>
      </c>
      <c r="P23" s="205">
        <v>-0.625</v>
      </c>
      <c r="Q23" s="205">
        <v>0.625</v>
      </c>
      <c r="R23" s="205">
        <v>-0.25</v>
      </c>
      <c r="S23" s="205">
        <v>0.375</v>
      </c>
      <c r="T23" s="205">
        <v>-0.625</v>
      </c>
      <c r="U23" s="205">
        <v>-0.25</v>
      </c>
      <c r="V23" s="205">
        <v>-0.375</v>
      </c>
      <c r="W23" s="205">
        <v>0.625</v>
      </c>
      <c r="X23" s="205">
        <v>0.625</v>
      </c>
      <c r="Y23" s="205">
        <v>-0.25</v>
      </c>
      <c r="Z23" s="205">
        <v>0.0</v>
      </c>
      <c r="AA23" s="205">
        <v>4.125</v>
      </c>
      <c r="AB23" s="205">
        <v>0.0</v>
      </c>
      <c r="AC23" s="205">
        <v>0.875</v>
      </c>
      <c r="AD23" s="205">
        <v>0.0</v>
      </c>
      <c r="AE23" s="205">
        <v>-0.25</v>
      </c>
      <c r="AF23" s="205">
        <v>-0.625</v>
      </c>
      <c r="AG23" s="205">
        <v>-0.75</v>
      </c>
      <c r="AH23" s="205">
        <v>0.375</v>
      </c>
      <c r="AI23" s="205">
        <v>-0.75</v>
      </c>
      <c r="AJ23" s="205">
        <v>1.75</v>
      </c>
      <c r="AK23" s="205">
        <v>-0.25</v>
      </c>
      <c r="AL23" s="205">
        <v>0.375</v>
      </c>
      <c r="AM23" s="205">
        <v>2.5</v>
      </c>
      <c r="AN23" s="205">
        <v>1.5</v>
      </c>
      <c r="AO23" s="205">
        <v>0.0</v>
      </c>
      <c r="AP23" s="205">
        <v>-0.375</v>
      </c>
      <c r="AQ23" s="205">
        <v>-0.25</v>
      </c>
      <c r="AR23" s="205">
        <v>-0.5</v>
      </c>
      <c r="AS23" s="205">
        <v>0.0</v>
      </c>
      <c r="AT23" s="205">
        <v>0.625</v>
      </c>
      <c r="AU23" s="205">
        <v>-0.25</v>
      </c>
      <c r="AV23" s="205">
        <v>0.625</v>
      </c>
      <c r="AW23" s="205">
        <v>-0.5</v>
      </c>
      <c r="AX23" s="205">
        <v>0.0</v>
      </c>
      <c r="AY23" s="205">
        <v>-0.375</v>
      </c>
      <c r="AZ23" s="205">
        <v>0.0</v>
      </c>
      <c r="BA23" s="205">
        <v>-0.25</v>
      </c>
      <c r="BB23" s="205">
        <v>0.625</v>
      </c>
      <c r="BC23" s="205">
        <v>1.0</v>
      </c>
      <c r="BD23" s="205">
        <v>-0.75</v>
      </c>
      <c r="BE23" s="205">
        <v>0.625</v>
      </c>
      <c r="BF23" s="205">
        <v>0.0</v>
      </c>
      <c r="BG23" s="205">
        <v>-0.625</v>
      </c>
      <c r="BH23" s="205">
        <v>0.0</v>
      </c>
      <c r="BI23" s="205">
        <v>0.625</v>
      </c>
      <c r="BJ23" s="205">
        <v>0.625</v>
      </c>
      <c r="BK23" s="205">
        <v>0.0</v>
      </c>
      <c r="BL23" s="205">
        <v>3.625</v>
      </c>
      <c r="BM23" s="205">
        <v>-0.5</v>
      </c>
      <c r="BN23" s="205">
        <v>0.625</v>
      </c>
      <c r="BO23" s="205">
        <v>-0.5</v>
      </c>
      <c r="BP23" s="205">
        <v>2.125</v>
      </c>
      <c r="BQ23" s="205">
        <v>-0.25</v>
      </c>
      <c r="BR23" s="206"/>
      <c r="BS23" s="207">
        <f t="shared" si="6"/>
        <v>0.3174603175</v>
      </c>
      <c r="BT23" s="207">
        <f t="shared" si="7"/>
        <v>0.759952129</v>
      </c>
      <c r="BU23" s="206"/>
      <c r="BV23" s="207">
        <f>IFERROR(__xludf.DUMMYFUNCTION("AVERAGE(ARRAYFORMULA(XLOOKUP(FILTER(INDIRECT(""'""&amp;BV$1&amp;""'!$C$4:$C$66""),INDIRECT(""'""&amp;BV$1&amp;""'!$D$4:$D$66"")=BV$2),$G$4:$BQ$4,$G23:$BQ23)))"),0.6964285714285714)</f>
        <v>0.6964285714</v>
      </c>
      <c r="BW23" s="207" t="str">
        <f>IFERROR(__xludf.DUMMYFUNCTION("IF(OR(BV23&gt;$BS23+$BT23*$BT$2,BV23&lt;$BS23-$BT23*$BT$2),AVEDEV(ARRAYFORMULA(XLOOKUP(FILTER(INDIRECT(""'""&amp;BV$1&amp;""'!$C$4:$C$66""),INDIRECT(""'""&amp;BV$1&amp;""'!$D$4:$D$66"")=BV$2),$G$4:$BQ$4,$G23:$BQ23))),"""")"),"")</f>
        <v/>
      </c>
      <c r="BX23" s="208" t="str">
        <f t="shared" si="8"/>
        <v/>
      </c>
      <c r="BY23" s="207">
        <f>IFERROR(__xludf.DUMMYFUNCTION("AVERAGE(ARRAYFORMULA(XLOOKUP(FILTER(INDIRECT(""'""&amp;BY$1&amp;""'!$C$4:$C$66""),INDIRECT(""'""&amp;BY$1&amp;""'!$D$4:$D$66"")=BY$2),$G$4:$BQ$4,$G23:$BQ23)))"),0.34226190476190477)</f>
        <v>0.3422619048</v>
      </c>
      <c r="BZ23" s="207" t="str">
        <f>IFERROR(__xludf.DUMMYFUNCTION("IF(OR(BY23&gt;$BS23+$BT23*$BT$2,BY23&lt;$BS23-$BT23*$BT$2),AVEDEV(ARRAYFORMULA(XLOOKUP(FILTER(INDIRECT(""'""&amp;BY$1&amp;""'!$C$4:$C$66""),INDIRECT(""'""&amp;BY$1&amp;""'!$D$4:$D$66"")=BY$2),$G$4:$BQ$4,$G23:$BQ23))),"""")"),"")</f>
        <v/>
      </c>
      <c r="CA23" s="208" t="str">
        <f t="shared" si="9"/>
        <v/>
      </c>
      <c r="CB23" s="207">
        <f>IFERROR(__xludf.DUMMYFUNCTION("AVERAGE(ARRAYFORMULA(XLOOKUP(FILTER(INDIRECT(""'""&amp;CB$1&amp;""'!$C$4:$C$66""),INDIRECT(""'""&amp;CB$1&amp;""'!$D$4:$D$66"")=CB$2),$G$4:$BQ$4,$G23:$BQ23)))"),-0.17045454545454544)</f>
        <v>-0.1704545455</v>
      </c>
      <c r="CC23" s="207" t="str">
        <f>IFERROR(__xludf.DUMMYFUNCTION("IF(OR(CB23&gt;$BS23+$BT23*$BT$2,CB23&lt;$BS23-$BT23*$BT$2),AVEDEV(ARRAYFORMULA(XLOOKUP(FILTER(INDIRECT(""'""&amp;CB$1&amp;""'!$C$4:$C$66""),INDIRECT(""'""&amp;CB$1&amp;""'!$D$4:$D$66"")=CB$2),$G$4:$BQ$4,$G23:$BQ23))),"""")"),"")</f>
        <v/>
      </c>
      <c r="CD23" s="208" t="str">
        <f t="shared" si="10"/>
        <v/>
      </c>
      <c r="CE23" s="209" t="s">
        <v>444</v>
      </c>
      <c r="CF23" s="207">
        <f>IFERROR(__xludf.DUMMYFUNCTION("AVERAGE(ARRAYFORMULA(XLOOKUP(FILTER(INDIRECT(""'""&amp;CF$1&amp;""'!$C$4:$C$66""),INDIRECT(""'""&amp;CF$1&amp;""'!$D$4:$D$66"")=CF$2),$G$4:$BQ$4,$G23:$BQ23)))"),-0.1171875)</f>
        <v>-0.1171875</v>
      </c>
      <c r="CG23" s="207" t="str">
        <f>IFERROR(__xludf.DUMMYFUNCTION("IF(OR(CF23&gt;$BS23+$BT23*$BT$2,CF23&lt;$BS23-$BT23*$BT$2),AVEDEV(ARRAYFORMULA(XLOOKUP(FILTER(INDIRECT(""'""&amp;CF$1&amp;""'!$C$4:$C$66""),INDIRECT(""'""&amp;CF$1&amp;""'!$D$4:$D$66"")=CF$2),$G$4:$BQ$4,$G23:$BQ23))),"""")"),"")</f>
        <v/>
      </c>
      <c r="CH23" s="208" t="str">
        <f t="shared" si="11"/>
        <v/>
      </c>
      <c r="CI23" s="207">
        <f>IFERROR(__xludf.DUMMYFUNCTION("AVERAGE(ARRAYFORMULA(XLOOKUP(FILTER(INDIRECT(""'""&amp;CI$1&amp;""'!$C$4:$C$66""),INDIRECT(""'""&amp;CI$1&amp;""'!$D$4:$D$66"")=CI$2),$G$4:$BQ$4,$G23:$BQ23)))"),0.6088709677419355)</f>
        <v>0.6088709677</v>
      </c>
      <c r="CJ23" s="207" t="str">
        <f>IFERROR(__xludf.DUMMYFUNCTION("IF(OR(CI23&gt;$BS23+$BT23*$BT$2,CI23&lt;$BS23-$BT23*$BT$2),AVEDEV(ARRAYFORMULA(XLOOKUP(FILTER(INDIRECT(""'""&amp;CI$1&amp;""'!$C$4:$C$66""),INDIRECT(""'""&amp;CI$1&amp;""'!$D$4:$D$66"")=CI$2),$G$4:$BQ$4,$G23:$BQ23))),"""")"),"")</f>
        <v/>
      </c>
      <c r="CK23" s="208" t="str">
        <f t="shared" si="12"/>
        <v/>
      </c>
      <c r="CL23" s="207">
        <f>IFERROR(__xludf.DUMMYFUNCTION("AVERAGE(ARRAYFORMULA(XLOOKUP(FILTER(INDIRECT(""'""&amp;CL$1&amp;""'!$C$4:$C$66""),INDIRECT(""'""&amp;CL$1&amp;""'!$D$4:$D$66"")=CL$2),$G$4:$BQ$4,$G23:$BQ23)))"),-0.425)</f>
        <v>-0.425</v>
      </c>
      <c r="CM23" s="207" t="str">
        <f>IFERROR(__xludf.DUMMYFUNCTION("IF(OR(CL23&gt;$BS23+$BT23*$BT$2,CL23&lt;$BS23-$BT23*$BT$2),AVEDEV(ARRAYFORMULA(XLOOKUP(FILTER(INDIRECT(""'""&amp;CL$1&amp;""'!$C$4:$C$66""),INDIRECT(""'""&amp;CL$1&amp;""'!$D$4:$D$66"")=CL$2),$G$4:$BQ$4,$G23:$BQ23))),"""")"),"")</f>
        <v/>
      </c>
      <c r="CN23" s="208" t="str">
        <f t="shared" si="13"/>
        <v/>
      </c>
      <c r="CO23" s="209" t="s">
        <v>444</v>
      </c>
      <c r="CP23" s="210">
        <f>IFERROR(__xludf.DUMMYFUNCTION("AVERAGE(ARRAYFORMULA(XLOOKUP(FILTER(INDIRECT(""'""&amp;CP$1&amp;""'!$C$4:$C$66""),INDIRECT(""'""&amp;CP$1&amp;""'!$D$4:$D$66"")=CP$2),$G$4:$BQ$4,$G23:$BQ23)))"),0.5333333333333333)</f>
        <v>0.5333333333</v>
      </c>
      <c r="CQ23" s="207" t="str">
        <f>IFERROR(__xludf.DUMMYFUNCTION("IF(OR(CP23&gt;$BS23+$BT23*$BT$2,CP23&lt;$BS23-$BT23*$BT$2),AVEDEV(ARRAYFORMULA(XLOOKUP(FILTER(INDIRECT(""'""&amp;CP$1&amp;""'!$C$4:$C$66""),INDIRECT(""'""&amp;CP$1&amp;""'!$D$4:$D$66"")=CP$2),$G$4:$BQ$4,$G23:$BQ23))),"""")"),"")</f>
        <v/>
      </c>
      <c r="CR23" s="208" t="str">
        <f t="shared" si="14"/>
        <v/>
      </c>
      <c r="CS23" s="210">
        <f>IFERROR(__xludf.DUMMYFUNCTION("AVERAGE(ARRAYFORMULA(XLOOKUP(FILTER(INDIRECT(""'""&amp;CS$1&amp;""'!$C$4:$C$66""),INDIRECT(""'""&amp;CS$1&amp;""'!$D$4:$D$66"")=CS$2),$G$4:$BQ$4,$G23:$BQ23)))"),0.20192307692307693)</f>
        <v>0.2019230769</v>
      </c>
      <c r="CT23" s="207" t="str">
        <f>IFERROR(__xludf.DUMMYFUNCTION("IF(OR(CS23&gt;$BS23+$BT23*$BT$2,CS23&lt;$BS23-$BT23*$BT$2),AVEDEV(ARRAYFORMULA(XLOOKUP(FILTER(INDIRECT(""'""&amp;CS$1&amp;""'!$C$4:$C$66""),INDIRECT(""'""&amp;CS$1&amp;""'!$D$4:$D$66"")=CS$2),$G$4:$BQ$4,$G23:$BQ23))),"""")"),"")</f>
        <v/>
      </c>
      <c r="CU23" s="208" t="str">
        <f t="shared" si="15"/>
        <v/>
      </c>
      <c r="CV23" s="210">
        <f>IFERROR(__xludf.DUMMYFUNCTION("AVERAGE(ARRAYFORMULA(XLOOKUP(FILTER(INDIRECT(""'""&amp;CV$1&amp;""'!$C$4:$C$66""),INDIRECT(""'""&amp;CV$1&amp;""'!$D$4:$D$66"")=CV$2),$G$4:$BQ$4,$G23:$BQ23)))"),-0.425)</f>
        <v>-0.425</v>
      </c>
      <c r="CW23" s="207" t="str">
        <f>IFERROR(__xludf.DUMMYFUNCTION("IF(OR(CV23&gt;$BS23+$BT23*$BT$2,CV23&lt;$BS23-$BT23*$BT$2),AVEDEV(ARRAYFORMULA(XLOOKUP(FILTER(INDIRECT(""'""&amp;CV$1&amp;""'!$C$4:$C$66""),INDIRECT(""'""&amp;CV$1&amp;""'!$D$4:$D$66"")=CV$2),$G$4:$BQ$4,$G23:$BQ23))),"""")"),"")</f>
        <v/>
      </c>
      <c r="CX23" s="208" t="str">
        <f t="shared" si="16"/>
        <v/>
      </c>
      <c r="CY23" s="209" t="s">
        <v>444</v>
      </c>
      <c r="CZ23" s="210">
        <f>IFERROR(__xludf.DUMMYFUNCTION("AVERAGE(ARRAYFORMULA(XLOOKUP(FILTER(INDIRECT(""'""&amp;CZ$1&amp;""'!$C$4:$C$66""),INDIRECT(""'""&amp;CZ$1&amp;""'!$D$4:$D$66"")=CZ$2),$G$4:$BQ$4,$G23:$BQ23)))"),-0.13392857142857142)</f>
        <v>-0.1339285714</v>
      </c>
      <c r="DA23" s="207" t="str">
        <f>IFERROR(__xludf.DUMMYFUNCTION("IF(OR(CZ23&gt;$BS23+$BT23*$BT$2,CZ23&lt;$BS23-$BT23*$BT$2),AVEDEV(ARRAYFORMULA(XLOOKUP(FILTER(INDIRECT(""'""&amp;CZ$1&amp;""'!$C$4:$C$66""),INDIRECT(""'""&amp;CZ$1&amp;""'!$D$4:$D$66"")=CZ$2),$G$4:$BQ$4,$G23:$BQ23))),"""")"),"")</f>
        <v/>
      </c>
      <c r="DB23" s="208" t="str">
        <f t="shared" si="17"/>
        <v/>
      </c>
      <c r="DC23" s="210">
        <f>IFERROR(__xludf.DUMMYFUNCTION("AVERAGE(ARRAYFORMULA(XLOOKUP(FILTER(INDIRECT(""'""&amp;DC$1&amp;""'!$C$4:$C$66""),INDIRECT(""'""&amp;DC$1&amp;""'!$D$4:$D$66"")=DC$2),$G$4:$BQ$4,$G23:$BQ23)))"),-0.1527777777777778)</f>
        <v>-0.1527777778</v>
      </c>
      <c r="DD23" s="207" t="str">
        <f>IFERROR(__xludf.DUMMYFUNCTION("IF(OR(DC23&gt;$BS23+$BT23*$BT$2,DC23&lt;$BS23-$BT23*$BT$2),AVEDEV(ARRAYFORMULA(XLOOKUP(FILTER(INDIRECT(""'""&amp;DC$1&amp;""'!$C$4:$C$66""),INDIRECT(""'""&amp;DC$1&amp;""'!$D$4:$D$66"")=DC$2),$G$4:$BQ$4,$G23:$BQ23))),"""")"),"")</f>
        <v/>
      </c>
      <c r="DE23" s="208" t="str">
        <f t="shared" si="18"/>
        <v/>
      </c>
      <c r="DF23" s="210">
        <f>IFERROR(__xludf.DUMMYFUNCTION("AVERAGE(ARRAYFORMULA(XLOOKUP(FILTER(INDIRECT(""'""&amp;DF$1&amp;""'!$C$4:$C$66""),INDIRECT(""'""&amp;DF$1&amp;""'!$D$4:$D$66"")=DF$2),$G$4:$BQ$4,$G23:$BQ23)))"),0.7613636363636364)</f>
        <v>0.7613636364</v>
      </c>
      <c r="DG23" s="207" t="str">
        <f>IFERROR(__xludf.DUMMYFUNCTION("IF(OR(DF23&gt;$BS23+$BT23*$BT$2,DF23&lt;$BS23-$BT23*$BT$2),AVEDEV(ARRAYFORMULA(XLOOKUP(FILTER(INDIRECT(""'""&amp;DF$1&amp;""'!$C$4:$C$66""),INDIRECT(""'""&amp;DF$1&amp;""'!$D$4:$D$66"")=DF$2),$G$4:$BQ$4,$G23:$BQ23))),"""")"),"")</f>
        <v/>
      </c>
      <c r="DH23" s="208" t="str">
        <f t="shared" si="19"/>
        <v/>
      </c>
      <c r="DI23" s="210">
        <f>IFERROR(__xludf.DUMMYFUNCTION("AVERAGE(ARRAYFORMULA(XLOOKUP(FILTER(INDIRECT(""'""&amp;DI$1&amp;""'!$C$4:$C$66""),INDIRECT(""'""&amp;DI$1&amp;""'!$D$4:$D$66"")=DI$2),$G$4:$BQ$4,$G23:$BQ23)))"),0.0)</f>
        <v>0</v>
      </c>
      <c r="DJ23" s="207" t="str">
        <f>IFERROR(__xludf.DUMMYFUNCTION("IF(OR(DI23&gt;$BS23+$BT23*$BT$2,DI23&lt;$BS23-$BT23*$BT$2),AVEDEV(ARRAYFORMULA(XLOOKUP(FILTER(INDIRECT(""'""&amp;DI$1&amp;""'!$C$4:$C$66""),INDIRECT(""'""&amp;DI$1&amp;""'!$D$4:$D$66"")=DI$2),$G$4:$BQ$4,$G23:$BQ23))),"""")"),"")</f>
        <v/>
      </c>
      <c r="DK23" s="208" t="str">
        <f t="shared" si="20"/>
        <v/>
      </c>
      <c r="DL23" s="210">
        <f>IFERROR(__xludf.DUMMYFUNCTION("AVERAGE(ARRAYFORMULA(XLOOKUP(FILTER(INDIRECT(""'""&amp;DL$1&amp;""'!$C$4:$C$66""),INDIRECT(""'""&amp;DL$1&amp;""'!$D$4:$D$66"")=DL$2),$G$4:$BQ$4,$G23:$BQ23)))"),0.6071428571428571)</f>
        <v>0.6071428571</v>
      </c>
      <c r="DM23" s="207" t="str">
        <f>IFERROR(__xludf.DUMMYFUNCTION("IF(OR(DL23&gt;$BS23+$BT23*$BT$2,DL23&lt;$BS23-$BT23*$BT$2),AVEDEV(ARRAYFORMULA(XLOOKUP(FILTER(INDIRECT(""'""&amp;DL$1&amp;""'!$C$4:$C$66""),INDIRECT(""'""&amp;DL$1&amp;""'!$D$4:$D$66"")=DL$2),$G$4:$BQ$4,$G23:$BQ23))),"""")"),"")</f>
        <v/>
      </c>
      <c r="DN23" s="208" t="str">
        <f t="shared" si="21"/>
        <v/>
      </c>
      <c r="DO23" s="209" t="s">
        <v>444</v>
      </c>
      <c r="DP23" s="210">
        <f>IFERROR(__xludf.DUMMYFUNCTION("AVERAGE(ARRAYFORMULA(XLOOKUP(FILTER(INDIRECT(""'""&amp;DP$1&amp;""'!$C$4:$C$66""),INDIRECT(""'""&amp;DP$1&amp;""'!$D$4:$D$66"")=DP$2),$G$4:$BQ$4,$G23:$BQ23)))"),0.225)</f>
        <v>0.225</v>
      </c>
      <c r="DQ23" s="207" t="str">
        <f>IFERROR(__xludf.DUMMYFUNCTION("IF(OR(DP23&gt;$BS23+$BT23*$BT$2,DP23&lt;$BS23-$BT23*$BT$2),AVEDEV(ARRAYFORMULA(XLOOKUP(FILTER(INDIRECT(""'""&amp;DP$1&amp;""'!$C$4:$C$66""),INDIRECT(""'""&amp;DP$1&amp;""'!$D$4:$D$66"")=DP$2),$G$4:$BQ$4,$G23:$BQ23))),"""")"),"")</f>
        <v/>
      </c>
      <c r="DR23" s="208" t="str">
        <f t="shared" si="22"/>
        <v/>
      </c>
      <c r="DS23" s="210">
        <f>IFERROR(__xludf.DUMMYFUNCTION("AVERAGE(ARRAYFORMULA(XLOOKUP(FILTER(INDIRECT(""'""&amp;DS$1&amp;""'!$C$4:$C$66""),INDIRECT(""'""&amp;DS$1&amp;""'!$D$4:$D$66"")=DS$2),$G$4:$BQ$4,$G23:$BQ23)))"),-0.041666666666666664)</f>
        <v>-0.04166666667</v>
      </c>
      <c r="DT23" s="207" t="str">
        <f>IFERROR(__xludf.DUMMYFUNCTION("IF(OR(DS23&gt;$BS23+$BT23*$BT$2,DS23&lt;$BS23-$BT23*$BT$2),AVEDEV(ARRAYFORMULA(XLOOKUP(FILTER(INDIRECT(""'""&amp;DS$1&amp;""'!$C$4:$C$66""),INDIRECT(""'""&amp;DS$1&amp;""'!$D$4:$D$66"")=DS$2),$G$4:$BQ$4,$G23:$BQ23))),"""")"),"")</f>
        <v/>
      </c>
      <c r="DU23" s="208" t="str">
        <f t="shared" si="23"/>
        <v/>
      </c>
      <c r="DV23" s="210">
        <f>IFERROR(__xludf.DUMMYFUNCTION("AVERAGE(ARRAYFORMULA(XLOOKUP(FILTER(INDIRECT(""'""&amp;DV$1&amp;""'!$C$4:$C$66""),INDIRECT(""'""&amp;DV$1&amp;""'!$D$4:$D$66"")=DV$2),$G$4:$BQ$4,$G23:$BQ23)))"),0.75)</f>
        <v>0.75</v>
      </c>
      <c r="DW23" s="207" t="str">
        <f>IFERROR(__xludf.DUMMYFUNCTION("IF(OR(DV23&gt;$BS23+$BT23*$BT$2,DV23&lt;$BS23-$BT23*$BT$2),AVEDEV(ARRAYFORMULA(XLOOKUP(FILTER(INDIRECT(""'""&amp;DV$1&amp;""'!$C$4:$C$66""),INDIRECT(""'""&amp;DV$1&amp;""'!$D$4:$D$66"")=DV$2),$G$4:$BQ$4,$G23:$BQ23))),"""")"),"")</f>
        <v/>
      </c>
      <c r="DX23" s="208" t="str">
        <f t="shared" si="24"/>
        <v/>
      </c>
      <c r="DY23" s="210">
        <f>IFERROR(__xludf.DUMMYFUNCTION("AVERAGE(ARRAYFORMULA(XLOOKUP(FILTER(INDIRECT(""'""&amp;DY$1&amp;""'!$C$4:$C$66""),INDIRECT(""'""&amp;DY$1&amp;""'!$D$4:$D$66"")=DY$2),$G$4:$BQ$4,$G23:$BQ23)))"),0.1388888888888889)</f>
        <v>0.1388888889</v>
      </c>
      <c r="DZ23" s="207" t="str">
        <f>IFERROR(__xludf.DUMMYFUNCTION("IF(OR(DY23&gt;$BS23+$BT23*$BT$2,DY23&lt;$BS23-$BT23*$BT$2),AVEDEV(ARRAYFORMULA(XLOOKUP(FILTER(INDIRECT(""'""&amp;DY$1&amp;""'!$C$4:$C$66""),INDIRECT(""'""&amp;DY$1&amp;""'!$D$4:$D$66"")=DY$2),$G$4:$BQ$4,$G23:$BQ23))),"""")"),"")</f>
        <v/>
      </c>
      <c r="EA23" s="208" t="str">
        <f t="shared" si="25"/>
        <v/>
      </c>
      <c r="EB23" s="191"/>
    </row>
    <row r="24" outlineLevel="1">
      <c r="A24" s="2"/>
      <c r="B24" s="204">
        <v>20.0</v>
      </c>
      <c r="C24" s="204" t="s">
        <v>442</v>
      </c>
      <c r="D24" s="204" t="s">
        <v>463</v>
      </c>
      <c r="E24" s="205" t="b">
        <f>VLOOKUP(D24,'Feature Set List'!A20:C246,2,0)</f>
        <v>1</v>
      </c>
      <c r="F24" s="205" t="b">
        <f>VLOOKUP(D24,'Feature Set List'!A20:C246,3,0)</f>
        <v>1</v>
      </c>
      <c r="G24" s="205">
        <v>0.5</v>
      </c>
      <c r="H24" s="205">
        <v>-0.25</v>
      </c>
      <c r="I24" s="205">
        <v>-0.5</v>
      </c>
      <c r="J24" s="205">
        <v>-0.75</v>
      </c>
      <c r="K24" s="205">
        <v>-0.25</v>
      </c>
      <c r="L24" s="205">
        <v>0.5</v>
      </c>
      <c r="M24" s="205">
        <v>0.5</v>
      </c>
      <c r="N24" s="205">
        <v>-0.25</v>
      </c>
      <c r="O24" s="205">
        <v>0.5</v>
      </c>
      <c r="P24" s="205">
        <v>-0.75</v>
      </c>
      <c r="Q24" s="205">
        <v>0.0</v>
      </c>
      <c r="R24" s="205">
        <v>0.5</v>
      </c>
      <c r="S24" s="205">
        <v>-0.75</v>
      </c>
      <c r="T24" s="205">
        <v>0.0</v>
      </c>
      <c r="U24" s="205">
        <v>0.0</v>
      </c>
      <c r="V24" s="205">
        <v>-0.25</v>
      </c>
      <c r="W24" s="205">
        <v>0.0</v>
      </c>
      <c r="X24" s="205">
        <v>0.5</v>
      </c>
      <c r="Y24" s="205">
        <v>-0.25</v>
      </c>
      <c r="Z24" s="205">
        <v>0.5</v>
      </c>
      <c r="AA24" s="205">
        <v>-0.75</v>
      </c>
      <c r="AB24" s="205">
        <v>0.5</v>
      </c>
      <c r="AC24" s="205">
        <v>-0.75</v>
      </c>
      <c r="AD24" s="205">
        <v>0.5</v>
      </c>
      <c r="AE24" s="205">
        <v>-0.25</v>
      </c>
      <c r="AF24" s="205">
        <v>0.0</v>
      </c>
      <c r="AG24" s="205">
        <v>0.0</v>
      </c>
      <c r="AH24" s="205">
        <v>-0.75</v>
      </c>
      <c r="AI24" s="205">
        <v>0.0</v>
      </c>
      <c r="AJ24" s="205">
        <v>-0.25</v>
      </c>
      <c r="AK24" s="205">
        <v>0.0</v>
      </c>
      <c r="AL24" s="205">
        <v>-0.5</v>
      </c>
      <c r="AM24" s="205">
        <v>-0.5</v>
      </c>
      <c r="AN24" s="205">
        <v>0.0</v>
      </c>
      <c r="AO24" s="205">
        <v>0.0</v>
      </c>
      <c r="AP24" s="205">
        <v>-0.25</v>
      </c>
      <c r="AQ24" s="205">
        <v>0.0</v>
      </c>
      <c r="AR24" s="205">
        <v>-0.75</v>
      </c>
      <c r="AS24" s="205">
        <v>0.5</v>
      </c>
      <c r="AT24" s="205">
        <v>1.0</v>
      </c>
      <c r="AU24" s="205">
        <v>0.0</v>
      </c>
      <c r="AV24" s="205">
        <v>0.0</v>
      </c>
      <c r="AW24" s="205">
        <v>-0.5</v>
      </c>
      <c r="AX24" s="205">
        <v>0.0</v>
      </c>
      <c r="AY24" s="205">
        <v>-0.25</v>
      </c>
      <c r="AZ24" s="205">
        <v>0.5</v>
      </c>
      <c r="BA24" s="205">
        <v>0.0</v>
      </c>
      <c r="BB24" s="205">
        <v>0.5</v>
      </c>
      <c r="BC24" s="205">
        <v>1.0</v>
      </c>
      <c r="BD24" s="205">
        <v>-1.0</v>
      </c>
      <c r="BE24" s="205">
        <v>-0.25</v>
      </c>
      <c r="BF24" s="205">
        <v>0.5</v>
      </c>
      <c r="BG24" s="205">
        <v>0.0</v>
      </c>
      <c r="BH24" s="205">
        <v>0.5</v>
      </c>
      <c r="BI24" s="205">
        <v>0.0</v>
      </c>
      <c r="BJ24" s="205">
        <v>0.5</v>
      </c>
      <c r="BK24" s="205">
        <v>0.0</v>
      </c>
      <c r="BL24" s="205">
        <v>-0.75</v>
      </c>
      <c r="BM24" s="205">
        <v>-0.5</v>
      </c>
      <c r="BN24" s="205">
        <v>-0.5</v>
      </c>
      <c r="BO24" s="205">
        <v>-0.5</v>
      </c>
      <c r="BP24" s="205">
        <v>-0.75</v>
      </c>
      <c r="BQ24" s="205">
        <v>0.0</v>
      </c>
      <c r="BR24" s="206"/>
      <c r="BS24" s="207">
        <f t="shared" si="6"/>
        <v>-0.06746031746</v>
      </c>
      <c r="BT24" s="207">
        <f t="shared" si="7"/>
        <v>0.3786848073</v>
      </c>
      <c r="BU24" s="206"/>
      <c r="BV24" s="207">
        <f>IFERROR(__xludf.DUMMYFUNCTION("AVERAGE(ARRAYFORMULA(XLOOKUP(FILTER(INDIRECT(""'""&amp;BV$1&amp;""'!$C$4:$C$66""),INDIRECT(""'""&amp;BV$1&amp;""'!$D$4:$D$66"")=BV$2),$G$4:$BQ$4,$G24:$BQ24)))"),-0.03571428571428571)</f>
        <v>-0.03571428571</v>
      </c>
      <c r="BW24" s="207" t="str">
        <f>IFERROR(__xludf.DUMMYFUNCTION("IF(OR(BV24&gt;$BS24+$BT24*$BT$2,BV24&lt;$BS24-$BT24*$BT$2),AVEDEV(ARRAYFORMULA(XLOOKUP(FILTER(INDIRECT(""'""&amp;BV$1&amp;""'!$C$4:$C$66""),INDIRECT(""'""&amp;BV$1&amp;""'!$D$4:$D$66"")=BV$2),$G$4:$BQ$4,$G24:$BQ24))),"""")"),"")</f>
        <v/>
      </c>
      <c r="BX24" s="208" t="str">
        <f t="shared" si="8"/>
        <v/>
      </c>
      <c r="BY24" s="207">
        <f>IFERROR(__xludf.DUMMYFUNCTION("AVERAGE(ARRAYFORMULA(XLOOKUP(FILTER(INDIRECT(""'""&amp;BY$1&amp;""'!$C$4:$C$66""),INDIRECT(""'""&amp;BY$1&amp;""'!$D$4:$D$66"")=BY$2),$G$4:$BQ$4,$G24:$BQ24)))"),-0.07142857142857142)</f>
        <v>-0.07142857143</v>
      </c>
      <c r="BZ24" s="207" t="str">
        <f>IFERROR(__xludf.DUMMYFUNCTION("IF(OR(BY24&gt;$BS24+$BT24*$BT$2,BY24&lt;$BS24-$BT24*$BT$2),AVEDEV(ARRAYFORMULA(XLOOKUP(FILTER(INDIRECT(""'""&amp;BY$1&amp;""'!$C$4:$C$66""),INDIRECT(""'""&amp;BY$1&amp;""'!$D$4:$D$66"")=BY$2),$G$4:$BQ$4,$G24:$BQ24))),"""")"),"")</f>
        <v/>
      </c>
      <c r="CA24" s="208" t="str">
        <f t="shared" si="9"/>
        <v/>
      </c>
      <c r="CB24" s="207">
        <f>IFERROR(__xludf.DUMMYFUNCTION("AVERAGE(ARRAYFORMULA(XLOOKUP(FILTER(INDIRECT(""'""&amp;CB$1&amp;""'!$C$4:$C$66""),INDIRECT(""'""&amp;CB$1&amp;""'!$D$4:$D$66"")=CB$2),$G$4:$BQ$4,$G24:$BQ24)))"),0.045454545454545456)</f>
        <v>0.04545454545</v>
      </c>
      <c r="CC24" s="207" t="str">
        <f>IFERROR(__xludf.DUMMYFUNCTION("IF(OR(CB24&gt;$BS24+$BT24*$BT$2,CB24&lt;$BS24-$BT24*$BT$2),AVEDEV(ARRAYFORMULA(XLOOKUP(FILTER(INDIRECT(""'""&amp;CB$1&amp;""'!$C$4:$C$66""),INDIRECT(""'""&amp;CB$1&amp;""'!$D$4:$D$66"")=CB$2),$G$4:$BQ$4,$G24:$BQ24))),"""")"),"")</f>
        <v/>
      </c>
      <c r="CD24" s="208" t="str">
        <f t="shared" si="10"/>
        <v/>
      </c>
      <c r="CE24" s="209" t="s">
        <v>444</v>
      </c>
      <c r="CF24" s="207">
        <f>IFERROR(__xludf.DUMMYFUNCTION("AVERAGE(ARRAYFORMULA(XLOOKUP(FILTER(INDIRECT(""'""&amp;CF$1&amp;""'!$C$4:$C$66""),INDIRECT(""'""&amp;CF$1&amp;""'!$D$4:$D$66"")=CF$2),$G$4:$BQ$4,$G24:$BQ24)))"),-0.046875)</f>
        <v>-0.046875</v>
      </c>
      <c r="CG24" s="207" t="str">
        <f>IFERROR(__xludf.DUMMYFUNCTION("IF(OR(CF24&gt;$BS24+$BT24*$BT$2,CF24&lt;$BS24-$BT24*$BT$2),AVEDEV(ARRAYFORMULA(XLOOKUP(FILTER(INDIRECT(""'""&amp;CF$1&amp;""'!$C$4:$C$66""),INDIRECT(""'""&amp;CF$1&amp;""'!$D$4:$D$66"")=CF$2),$G$4:$BQ$4,$G24:$BQ24))),"""")"),"")</f>
        <v/>
      </c>
      <c r="CH24" s="208" t="str">
        <f t="shared" si="11"/>
        <v/>
      </c>
      <c r="CI24" s="207">
        <f>IFERROR(__xludf.DUMMYFUNCTION("AVERAGE(ARRAYFORMULA(XLOOKUP(FILTER(INDIRECT(""'""&amp;CI$1&amp;""'!$C$4:$C$66""),INDIRECT(""'""&amp;CI$1&amp;""'!$D$4:$D$66"")=CI$2),$G$4:$BQ$4,$G24:$BQ24)))"),-0.008064516129032258)</f>
        <v>-0.008064516129</v>
      </c>
      <c r="CJ24" s="207" t="str">
        <f>IFERROR(__xludf.DUMMYFUNCTION("IF(OR(CI24&gt;$BS24+$BT24*$BT$2,CI24&lt;$BS24-$BT24*$BT$2),AVEDEV(ARRAYFORMULA(XLOOKUP(FILTER(INDIRECT(""'""&amp;CI$1&amp;""'!$C$4:$C$66""),INDIRECT(""'""&amp;CI$1&amp;""'!$D$4:$D$66"")=CI$2),$G$4:$BQ$4,$G24:$BQ24))),"""")"),"")</f>
        <v/>
      </c>
      <c r="CK24" s="208" t="str">
        <f t="shared" si="12"/>
        <v/>
      </c>
      <c r="CL24" s="207">
        <f>IFERROR(__xludf.DUMMYFUNCTION("AVERAGE(ARRAYFORMULA(XLOOKUP(FILTER(INDIRECT(""'""&amp;CL$1&amp;""'!$C$4:$C$66""),INDIRECT(""'""&amp;CL$1&amp;""'!$D$4:$D$66"")=CL$2),$G$4:$BQ$4,$G24:$BQ24)))"),-0.05)</f>
        <v>-0.05</v>
      </c>
      <c r="CM24" s="207" t="str">
        <f>IFERROR(__xludf.DUMMYFUNCTION("IF(OR(CL24&gt;$BS24+$BT24*$BT$2,CL24&lt;$BS24-$BT24*$BT$2),AVEDEV(ARRAYFORMULA(XLOOKUP(FILTER(INDIRECT(""'""&amp;CL$1&amp;""'!$C$4:$C$66""),INDIRECT(""'""&amp;CL$1&amp;""'!$D$4:$D$66"")=CL$2),$G$4:$BQ$4,$G24:$BQ24))),"""")"),"")</f>
        <v/>
      </c>
      <c r="CN24" s="208" t="str">
        <f t="shared" si="13"/>
        <v/>
      </c>
      <c r="CO24" s="209" t="s">
        <v>444</v>
      </c>
      <c r="CP24" s="210">
        <f>IFERROR(__xludf.DUMMYFUNCTION("AVERAGE(ARRAYFORMULA(XLOOKUP(FILTER(INDIRECT(""'""&amp;CP$1&amp;""'!$C$4:$C$66""),INDIRECT(""'""&amp;CP$1&amp;""'!$D$4:$D$66"")=CP$2),$G$4:$BQ$4,$G24:$BQ24)))"),-0.08333333333333333)</f>
        <v>-0.08333333333</v>
      </c>
      <c r="CQ24" s="207" t="str">
        <f>IFERROR(__xludf.DUMMYFUNCTION("IF(OR(CP24&gt;$BS24+$BT24*$BT$2,CP24&lt;$BS24-$BT24*$BT$2),AVEDEV(ARRAYFORMULA(XLOOKUP(FILTER(INDIRECT(""'""&amp;CP$1&amp;""'!$C$4:$C$66""),INDIRECT(""'""&amp;CP$1&amp;""'!$D$4:$D$66"")=CP$2),$G$4:$BQ$4,$G24:$BQ24))),"""")"),"")</f>
        <v/>
      </c>
      <c r="CR24" s="208" t="str">
        <f t="shared" si="14"/>
        <v/>
      </c>
      <c r="CS24" s="210">
        <f>IFERROR(__xludf.DUMMYFUNCTION("AVERAGE(ARRAYFORMULA(XLOOKUP(FILTER(INDIRECT(""'""&amp;CS$1&amp;""'!$C$4:$C$66""),INDIRECT(""'""&amp;CS$1&amp;""'!$D$4:$D$66"")=CS$2),$G$4:$BQ$4,$G24:$BQ24)))"),-0.01282051282051282)</f>
        <v>-0.01282051282</v>
      </c>
      <c r="CT24" s="207" t="str">
        <f>IFERROR(__xludf.DUMMYFUNCTION("IF(OR(CS24&gt;$BS24+$BT24*$BT$2,CS24&lt;$BS24-$BT24*$BT$2),AVEDEV(ARRAYFORMULA(XLOOKUP(FILTER(INDIRECT(""'""&amp;CS$1&amp;""'!$C$4:$C$66""),INDIRECT(""'""&amp;CS$1&amp;""'!$D$4:$D$66"")=CS$2),$G$4:$BQ$4,$G24:$BQ24))),"""")"),"")</f>
        <v/>
      </c>
      <c r="CU24" s="208" t="str">
        <f t="shared" si="15"/>
        <v/>
      </c>
      <c r="CV24" s="210">
        <f>IFERROR(__xludf.DUMMYFUNCTION("AVERAGE(ARRAYFORMULA(XLOOKUP(FILTER(INDIRECT(""'""&amp;CV$1&amp;""'!$C$4:$C$66""),INDIRECT(""'""&amp;CV$1&amp;""'!$D$4:$D$66"")=CV$2),$G$4:$BQ$4,$G24:$BQ24)))"),-0.05)</f>
        <v>-0.05</v>
      </c>
      <c r="CW24" s="207" t="str">
        <f>IFERROR(__xludf.DUMMYFUNCTION("IF(OR(CV24&gt;$BS24+$BT24*$BT$2,CV24&lt;$BS24-$BT24*$BT$2),AVEDEV(ARRAYFORMULA(XLOOKUP(FILTER(INDIRECT(""'""&amp;CV$1&amp;""'!$C$4:$C$66""),INDIRECT(""'""&amp;CV$1&amp;""'!$D$4:$D$66"")=CV$2),$G$4:$BQ$4,$G24:$BQ24))),"""")"),"")</f>
        <v/>
      </c>
      <c r="CX24" s="208" t="str">
        <f t="shared" si="16"/>
        <v/>
      </c>
      <c r="CY24" s="209" t="s">
        <v>444</v>
      </c>
      <c r="CZ24" s="210">
        <f>IFERROR(__xludf.DUMMYFUNCTION("AVERAGE(ARRAYFORMULA(XLOOKUP(FILTER(INDIRECT(""'""&amp;CZ$1&amp;""'!$C$4:$C$66""),INDIRECT(""'""&amp;CZ$1&amp;""'!$D$4:$D$66"")=CZ$2),$G$4:$BQ$4,$G24:$BQ24)))"),-0.17857142857142858)</f>
        <v>-0.1785714286</v>
      </c>
      <c r="DA24" s="207" t="str">
        <f>IFERROR(__xludf.DUMMYFUNCTION("IF(OR(CZ24&gt;$BS24+$BT24*$BT$2,CZ24&lt;$BS24-$BT24*$BT$2),AVEDEV(ARRAYFORMULA(XLOOKUP(FILTER(INDIRECT(""'""&amp;CZ$1&amp;""'!$C$4:$C$66""),INDIRECT(""'""&amp;CZ$1&amp;""'!$D$4:$D$66"")=CZ$2),$G$4:$BQ$4,$G24:$BQ24))),"""")"),"")</f>
        <v/>
      </c>
      <c r="DB24" s="208" t="str">
        <f t="shared" si="17"/>
        <v/>
      </c>
      <c r="DC24" s="210">
        <f>IFERROR(__xludf.DUMMYFUNCTION("AVERAGE(ARRAYFORMULA(XLOOKUP(FILTER(INDIRECT(""'""&amp;DC$1&amp;""'!$C$4:$C$66""),INDIRECT(""'""&amp;DC$1&amp;""'!$D$4:$D$66"")=DC$2),$G$4:$BQ$4,$G24:$BQ24)))"),0.05555555555555555)</f>
        <v>0.05555555556</v>
      </c>
      <c r="DD24" s="207" t="str">
        <f>IFERROR(__xludf.DUMMYFUNCTION("IF(OR(DC24&gt;$BS24+$BT24*$BT$2,DC24&lt;$BS24-$BT24*$BT$2),AVEDEV(ARRAYFORMULA(XLOOKUP(FILTER(INDIRECT(""'""&amp;DC$1&amp;""'!$C$4:$C$66""),INDIRECT(""'""&amp;DC$1&amp;""'!$D$4:$D$66"")=DC$2),$G$4:$BQ$4,$G24:$BQ24))),"""")"),"")</f>
        <v/>
      </c>
      <c r="DE24" s="208" t="str">
        <f t="shared" si="18"/>
        <v/>
      </c>
      <c r="DF24" s="210">
        <f>IFERROR(__xludf.DUMMYFUNCTION("AVERAGE(ARRAYFORMULA(XLOOKUP(FILTER(INDIRECT(""'""&amp;DF$1&amp;""'!$C$4:$C$66""),INDIRECT(""'""&amp;DF$1&amp;""'!$D$4:$D$66"")=DF$2),$G$4:$BQ$4,$G24:$BQ24)))"),-0.18181818181818182)</f>
        <v>-0.1818181818</v>
      </c>
      <c r="DG24" s="207" t="str">
        <f>IFERROR(__xludf.DUMMYFUNCTION("IF(OR(DF24&gt;$BS24+$BT24*$BT$2,DF24&lt;$BS24-$BT24*$BT$2),AVEDEV(ARRAYFORMULA(XLOOKUP(FILTER(INDIRECT(""'""&amp;DF$1&amp;""'!$C$4:$C$66""),INDIRECT(""'""&amp;DF$1&amp;""'!$D$4:$D$66"")=DF$2),$G$4:$BQ$4,$G24:$BQ24))),"""")"),"")</f>
        <v/>
      </c>
      <c r="DH24" s="208" t="str">
        <f t="shared" si="19"/>
        <v/>
      </c>
      <c r="DI24" s="210">
        <f>IFERROR(__xludf.DUMMYFUNCTION("AVERAGE(ARRAYFORMULA(XLOOKUP(FILTER(INDIRECT(""'""&amp;DI$1&amp;""'!$C$4:$C$66""),INDIRECT(""'""&amp;DI$1&amp;""'!$D$4:$D$66"")=DI$2),$G$4:$BQ$4,$G24:$BQ24)))"),0.5)</f>
        <v>0.5</v>
      </c>
      <c r="DJ24" s="207">
        <f>IFERROR(__xludf.DUMMYFUNCTION("IF(OR(DI24&gt;$BS24+$BT24*$BT$2,DI24&lt;$BS24-$BT24*$BT$2),AVEDEV(ARRAYFORMULA(XLOOKUP(FILTER(INDIRECT(""'""&amp;DI$1&amp;""'!$C$4:$C$66""),INDIRECT(""'""&amp;DI$1&amp;""'!$D$4:$D$66"")=DI$2),$G$4:$BQ$4,$G24:$BQ24))),"""")"),0.0)</f>
        <v>0</v>
      </c>
      <c r="DK24" s="208">
        <f t="shared" si="20"/>
        <v>0.1887755102</v>
      </c>
      <c r="DL24" s="210">
        <f>IFERROR(__xludf.DUMMYFUNCTION("AVERAGE(ARRAYFORMULA(XLOOKUP(FILTER(INDIRECT(""'""&amp;DL$1&amp;""'!$C$4:$C$66""),INDIRECT(""'""&amp;DL$1&amp;""'!$D$4:$D$66"")=DL$2),$G$4:$BQ$4,$G24:$BQ24)))"),0.05357142857142857)</f>
        <v>0.05357142857</v>
      </c>
      <c r="DM24" s="207" t="str">
        <f>IFERROR(__xludf.DUMMYFUNCTION("IF(OR(DL24&gt;$BS24+$BT24*$BT$2,DL24&lt;$BS24-$BT24*$BT$2),AVEDEV(ARRAYFORMULA(XLOOKUP(FILTER(INDIRECT(""'""&amp;DL$1&amp;""'!$C$4:$C$66""),INDIRECT(""'""&amp;DL$1&amp;""'!$D$4:$D$66"")=DL$2),$G$4:$BQ$4,$G24:$BQ24))),"""")"),"")</f>
        <v/>
      </c>
      <c r="DN24" s="208" t="str">
        <f t="shared" si="21"/>
        <v/>
      </c>
      <c r="DO24" s="209" t="s">
        <v>444</v>
      </c>
      <c r="DP24" s="210">
        <f>IFERROR(__xludf.DUMMYFUNCTION("AVERAGE(ARRAYFORMULA(XLOOKUP(FILTER(INDIRECT(""'""&amp;DP$1&amp;""'!$C$4:$C$66""),INDIRECT(""'""&amp;DP$1&amp;""'!$D$4:$D$66"")=DP$2),$G$4:$BQ$4,$G24:$BQ24)))"),-0.025)</f>
        <v>-0.025</v>
      </c>
      <c r="DQ24" s="207" t="str">
        <f>IFERROR(__xludf.DUMMYFUNCTION("IF(OR(DP24&gt;$BS24+$BT24*$BT$2,DP24&lt;$BS24-$BT24*$BT$2),AVEDEV(ARRAYFORMULA(XLOOKUP(FILTER(INDIRECT(""'""&amp;DP$1&amp;""'!$C$4:$C$66""),INDIRECT(""'""&amp;DP$1&amp;""'!$D$4:$D$66"")=DP$2),$G$4:$BQ$4,$G24:$BQ24))),"""")"),"")</f>
        <v/>
      </c>
      <c r="DR24" s="208" t="str">
        <f t="shared" si="22"/>
        <v/>
      </c>
      <c r="DS24" s="210">
        <f>IFERROR(__xludf.DUMMYFUNCTION("AVERAGE(ARRAYFORMULA(XLOOKUP(FILTER(INDIRECT(""'""&amp;DS$1&amp;""'!$C$4:$C$66""),INDIRECT(""'""&amp;DS$1&amp;""'!$D$4:$D$66"")=DS$2),$G$4:$BQ$4,$G24:$BQ24)))"),0.027777777777777776)</f>
        <v>0.02777777778</v>
      </c>
      <c r="DT24" s="207" t="str">
        <f>IFERROR(__xludf.DUMMYFUNCTION("IF(OR(DS24&gt;$BS24+$BT24*$BT$2,DS24&lt;$BS24-$BT24*$BT$2),AVEDEV(ARRAYFORMULA(XLOOKUP(FILTER(INDIRECT(""'""&amp;DS$1&amp;""'!$C$4:$C$66""),INDIRECT(""'""&amp;DS$1&amp;""'!$D$4:$D$66"")=DS$2),$G$4:$BQ$4,$G24:$BQ24))),"""")"),"")</f>
        <v/>
      </c>
      <c r="DU24" s="208" t="str">
        <f t="shared" si="23"/>
        <v/>
      </c>
      <c r="DV24" s="210">
        <f>IFERROR(__xludf.DUMMYFUNCTION("AVERAGE(ARRAYFORMULA(XLOOKUP(FILTER(INDIRECT(""'""&amp;DV$1&amp;""'!$C$4:$C$66""),INDIRECT(""'""&amp;DV$1&amp;""'!$D$4:$D$66"")=DV$2),$G$4:$BQ$4,$G24:$BQ24)))"),-0.0625)</f>
        <v>-0.0625</v>
      </c>
      <c r="DW24" s="207" t="str">
        <f>IFERROR(__xludf.DUMMYFUNCTION("IF(OR(DV24&gt;$BS24+$BT24*$BT$2,DV24&lt;$BS24-$BT24*$BT$2),AVEDEV(ARRAYFORMULA(XLOOKUP(FILTER(INDIRECT(""'""&amp;DV$1&amp;""'!$C$4:$C$66""),INDIRECT(""'""&amp;DV$1&amp;""'!$D$4:$D$66"")=DV$2),$G$4:$BQ$4,$G24:$BQ24))),"""")"),"")</f>
        <v/>
      </c>
      <c r="DX24" s="208" t="str">
        <f t="shared" si="24"/>
        <v/>
      </c>
      <c r="DY24" s="210">
        <f>IFERROR(__xludf.DUMMYFUNCTION("AVERAGE(ARRAYFORMULA(XLOOKUP(FILTER(INDIRECT(""'""&amp;DY$1&amp;""'!$C$4:$C$66""),INDIRECT(""'""&amp;DY$1&amp;""'!$D$4:$D$66"")=DY$2),$G$4:$BQ$4,$G24:$BQ24)))"),-0.08333333333333333)</f>
        <v>-0.08333333333</v>
      </c>
      <c r="DZ24" s="207" t="str">
        <f>IFERROR(__xludf.DUMMYFUNCTION("IF(OR(DY24&gt;$BS24+$BT24*$BT$2,DY24&lt;$BS24-$BT24*$BT$2),AVEDEV(ARRAYFORMULA(XLOOKUP(FILTER(INDIRECT(""'""&amp;DY$1&amp;""'!$C$4:$C$66""),INDIRECT(""'""&amp;DY$1&amp;""'!$D$4:$D$66"")=DY$2),$G$4:$BQ$4,$G24:$BQ24))),"""")"),"")</f>
        <v/>
      </c>
      <c r="EA24" s="208" t="str">
        <f t="shared" si="25"/>
        <v/>
      </c>
      <c r="EB24" s="191"/>
    </row>
    <row r="25" outlineLevel="1">
      <c r="A25" s="2"/>
      <c r="B25" s="204">
        <v>21.0</v>
      </c>
      <c r="C25" s="204" t="s">
        <v>442</v>
      </c>
      <c r="D25" s="204" t="s">
        <v>464</v>
      </c>
      <c r="E25" s="205" t="b">
        <f>VLOOKUP(D25,'Feature Set List'!A21:C246,2,0)</f>
        <v>1</v>
      </c>
      <c r="F25" s="205" t="b">
        <f>VLOOKUP(D25,'Feature Set List'!A21:C246,3,0)</f>
        <v>1</v>
      </c>
      <c r="G25" s="205">
        <v>1.18823529</v>
      </c>
      <c r="H25" s="205">
        <v>1.16764706</v>
      </c>
      <c r="I25" s="205">
        <v>1.78823529</v>
      </c>
      <c r="J25" s="205">
        <v>0.72647059</v>
      </c>
      <c r="K25" s="205">
        <v>0.54705882</v>
      </c>
      <c r="L25" s="205">
        <v>-0.4647059</v>
      </c>
      <c r="M25" s="205">
        <v>-1.125</v>
      </c>
      <c r="N25" s="205">
        <v>0.99411765</v>
      </c>
      <c r="O25" s="205">
        <v>-0.9873529</v>
      </c>
      <c r="P25" s="205">
        <v>-0.05</v>
      </c>
      <c r="Q25" s="205">
        <v>-0.3588235</v>
      </c>
      <c r="R25" s="205">
        <v>-0.3823529</v>
      </c>
      <c r="S25" s="205">
        <v>0.34705882</v>
      </c>
      <c r="T25" s="205">
        <v>-0.1411765</v>
      </c>
      <c r="U25" s="205">
        <v>-0.4794118</v>
      </c>
      <c r="V25" s="205">
        <v>-0.4058824</v>
      </c>
      <c r="W25" s="205">
        <v>0.68529412</v>
      </c>
      <c r="X25" s="205">
        <v>-0.1470588</v>
      </c>
      <c r="Y25" s="205">
        <v>-0.5647059</v>
      </c>
      <c r="Z25" s="205">
        <v>0.09705882</v>
      </c>
      <c r="AA25" s="205">
        <v>1.23529412</v>
      </c>
      <c r="AB25" s="205">
        <v>-0.4852941</v>
      </c>
      <c r="AC25" s="205">
        <v>0.97352941</v>
      </c>
      <c r="AD25" s="205">
        <v>0.08235294</v>
      </c>
      <c r="AE25" s="205">
        <v>0.0</v>
      </c>
      <c r="AF25" s="205">
        <v>-0.2264706</v>
      </c>
      <c r="AG25" s="205">
        <v>0.52352941</v>
      </c>
      <c r="AH25" s="205">
        <v>-0.4529412</v>
      </c>
      <c r="AI25" s="205">
        <v>-0.1117647</v>
      </c>
      <c r="AJ25" s="205">
        <v>0.50882353</v>
      </c>
      <c r="AK25" s="205">
        <v>-1.4273529</v>
      </c>
      <c r="AL25" s="205">
        <v>-0.4294118</v>
      </c>
      <c r="AM25" s="205">
        <v>1.45882353</v>
      </c>
      <c r="AN25" s="205">
        <v>-0.2088235</v>
      </c>
      <c r="AO25" s="205">
        <v>-0.4794118</v>
      </c>
      <c r="AP25" s="205">
        <v>-1.0941176</v>
      </c>
      <c r="AQ25" s="205">
        <v>0.08529412</v>
      </c>
      <c r="AR25" s="205">
        <v>-0.0764706</v>
      </c>
      <c r="AS25" s="205">
        <v>0.49117647</v>
      </c>
      <c r="AT25" s="205">
        <v>-0.3529412</v>
      </c>
      <c r="AU25" s="205">
        <v>-0.2882353</v>
      </c>
      <c r="AV25" s="205">
        <v>0.86764706</v>
      </c>
      <c r="AW25" s="205">
        <v>-0.2970588</v>
      </c>
      <c r="AX25" s="205">
        <v>-0.6</v>
      </c>
      <c r="AY25" s="205">
        <v>0.37647059</v>
      </c>
      <c r="AZ25" s="205">
        <v>0.21176471</v>
      </c>
      <c r="BA25" s="205">
        <v>0.11176471</v>
      </c>
      <c r="BB25" s="205">
        <v>0.91176471</v>
      </c>
      <c r="BC25" s="205">
        <v>-0.7702941</v>
      </c>
      <c r="BD25" s="205">
        <v>0.71176471</v>
      </c>
      <c r="BE25" s="205">
        <v>0.74411765</v>
      </c>
      <c r="BF25" s="205">
        <v>0.72058824</v>
      </c>
      <c r="BG25" s="205">
        <v>-0.1823529</v>
      </c>
      <c r="BH25" s="205">
        <v>0.34705882</v>
      </c>
      <c r="BI25" s="205">
        <v>0.24411765</v>
      </c>
      <c r="BJ25" s="205">
        <v>-0.2323529</v>
      </c>
      <c r="BK25" s="205">
        <v>-0.2235294</v>
      </c>
      <c r="BL25" s="205">
        <v>0.66470588</v>
      </c>
      <c r="BM25" s="205">
        <v>-0.6264706</v>
      </c>
      <c r="BN25" s="205">
        <v>0.36176471</v>
      </c>
      <c r="BO25" s="205">
        <v>0.96176471</v>
      </c>
      <c r="BP25" s="205">
        <v>0.11764706</v>
      </c>
      <c r="BQ25" s="205">
        <v>-1.0105882</v>
      </c>
      <c r="BR25" s="206"/>
      <c r="BS25" s="207">
        <f t="shared" si="6"/>
        <v>0.0884220381</v>
      </c>
      <c r="BT25" s="207">
        <f t="shared" si="7"/>
        <v>0.5562239694</v>
      </c>
      <c r="BU25" s="206"/>
      <c r="BV25" s="207">
        <f>IFERROR(__xludf.DUMMYFUNCTION("AVERAGE(ARRAYFORMULA(XLOOKUP(FILTER(INDIRECT(""'""&amp;BV$1&amp;""'!$C$4:$C$66""),INDIRECT(""'""&amp;BV$1&amp;""'!$D$4:$D$66"")=BV$2),$G$4:$BQ$4,$G25:$BQ25)))"),0.22731091857142857)</f>
        <v>0.2273109186</v>
      </c>
      <c r="BW25" s="207" t="str">
        <f>IFERROR(__xludf.DUMMYFUNCTION("IF(OR(BV25&gt;$BS25+$BT25*$BT$2,BV25&lt;$BS25-$BT25*$BT$2),AVEDEV(ARRAYFORMULA(XLOOKUP(FILTER(INDIRECT(""'""&amp;BV$1&amp;""'!$C$4:$C$66""),INDIRECT(""'""&amp;BV$1&amp;""'!$D$4:$D$66"")=BV$2),$G$4:$BQ$4,$G25:$BQ25))),"""")"),"")</f>
        <v/>
      </c>
      <c r="BX25" s="208" t="str">
        <f t="shared" si="8"/>
        <v/>
      </c>
      <c r="BY25" s="207">
        <f>IFERROR(__xludf.DUMMYFUNCTION("AVERAGE(ARRAYFORMULA(XLOOKUP(FILTER(INDIRECT(""'""&amp;BY$1&amp;""'!$C$4:$C$66""),INDIRECT(""'""&amp;BY$1&amp;""'!$D$4:$D$66"")=BY$2),$G$4:$BQ$4,$G25:$BQ25)))"),0.06593137952380952)</f>
        <v>0.06593137952</v>
      </c>
      <c r="BZ25" s="207" t="str">
        <f>IFERROR(__xludf.DUMMYFUNCTION("IF(OR(BY25&gt;$BS25+$BT25*$BT$2,BY25&lt;$BS25-$BT25*$BT$2),AVEDEV(ARRAYFORMULA(XLOOKUP(FILTER(INDIRECT(""'""&amp;BY$1&amp;""'!$C$4:$C$66""),INDIRECT(""'""&amp;BY$1&amp;""'!$D$4:$D$66"")=BY$2),$G$4:$BQ$4,$G25:$BQ25))),"""")"),"")</f>
        <v/>
      </c>
      <c r="CA25" s="208" t="str">
        <f t="shared" si="9"/>
        <v/>
      </c>
      <c r="CB25" s="207">
        <f>IFERROR(__xludf.DUMMYFUNCTION("AVERAGE(ARRAYFORMULA(XLOOKUP(FILTER(INDIRECT(""'""&amp;CB$1&amp;""'!$C$4:$C$66""),INDIRECT(""'""&amp;CB$1&amp;""'!$D$4:$D$66"")=CB$2),$G$4:$BQ$4,$G25:$BQ25)))"),-0.0910427881818182)</f>
        <v>-0.09104278818</v>
      </c>
      <c r="CC25" s="207" t="str">
        <f>IFERROR(__xludf.DUMMYFUNCTION("IF(OR(CB25&gt;$BS25+$BT25*$BT$2,CB25&lt;$BS25-$BT25*$BT$2),AVEDEV(ARRAYFORMULA(XLOOKUP(FILTER(INDIRECT(""'""&amp;CB$1&amp;""'!$C$4:$C$66""),INDIRECT(""'""&amp;CB$1&amp;""'!$D$4:$D$66"")=CB$2),$G$4:$BQ$4,$G25:$BQ25))),"""")"),"")</f>
        <v/>
      </c>
      <c r="CD25" s="208" t="str">
        <f t="shared" si="10"/>
        <v/>
      </c>
      <c r="CE25" s="209" t="s">
        <v>444</v>
      </c>
      <c r="CF25" s="207">
        <f>IFERROR(__xludf.DUMMYFUNCTION("AVERAGE(ARRAYFORMULA(XLOOKUP(FILTER(INDIRECT(""'""&amp;CF$1&amp;""'!$C$4:$C$66""),INDIRECT(""'""&amp;CF$1&amp;""'!$D$4:$D$66"")=CF$2),$G$4:$BQ$4,$G25:$BQ25)))"),0.09424632499999999)</f>
        <v>0.094246325</v>
      </c>
      <c r="CG25" s="207" t="str">
        <f>IFERROR(__xludf.DUMMYFUNCTION("IF(OR(CF25&gt;$BS25+$BT25*$BT$2,CF25&lt;$BS25-$BT25*$BT$2),AVEDEV(ARRAYFORMULA(XLOOKUP(FILTER(INDIRECT(""'""&amp;CF$1&amp;""'!$C$4:$C$66""),INDIRECT(""'""&amp;CF$1&amp;""'!$D$4:$D$66"")=CF$2),$G$4:$BQ$4,$G25:$BQ25))),"""")"),"")</f>
        <v/>
      </c>
      <c r="CH25" s="208" t="str">
        <f t="shared" si="11"/>
        <v/>
      </c>
      <c r="CI25" s="207">
        <f>IFERROR(__xludf.DUMMYFUNCTION("AVERAGE(ARRAYFORMULA(XLOOKUP(FILTER(INDIRECT(""'""&amp;CI$1&amp;""'!$C$4:$C$66""),INDIRECT(""'""&amp;CI$1&amp;""'!$D$4:$D$66"")=CI$2),$G$4:$BQ$4,$G25:$BQ25)))"),0.023747633548387114)</f>
        <v>0.02374763355</v>
      </c>
      <c r="CJ25" s="207" t="str">
        <f>IFERROR(__xludf.DUMMYFUNCTION("IF(OR(CI25&gt;$BS25+$BT25*$BT$2,CI25&lt;$BS25-$BT25*$BT$2),AVEDEV(ARRAYFORMULA(XLOOKUP(FILTER(INDIRECT(""'""&amp;CI$1&amp;""'!$C$4:$C$66""),INDIRECT(""'""&amp;CI$1&amp;""'!$D$4:$D$66"")=CI$2),$G$4:$BQ$4,$G25:$BQ25))),"""")"),"")</f>
        <v/>
      </c>
      <c r="CK25" s="208" t="str">
        <f t="shared" si="12"/>
        <v/>
      </c>
      <c r="CL25" s="207">
        <f>IFERROR(__xludf.DUMMYFUNCTION("AVERAGE(ARRAYFORMULA(XLOOKUP(FILTER(INDIRECT(""'""&amp;CL$1&amp;""'!$C$4:$C$66""),INDIRECT(""'""&amp;CL$1&amp;""'!$D$4:$D$66"")=CL$2),$G$4:$BQ$4,$G25:$BQ25)))"),0.04588235599999997)</f>
        <v>0.045882356</v>
      </c>
      <c r="CM25" s="207" t="str">
        <f>IFERROR(__xludf.DUMMYFUNCTION("IF(OR(CL25&gt;$BS25+$BT25*$BT$2,CL25&lt;$BS25-$BT25*$BT$2),AVEDEV(ARRAYFORMULA(XLOOKUP(FILTER(INDIRECT(""'""&amp;CL$1&amp;""'!$C$4:$C$66""),INDIRECT(""'""&amp;CL$1&amp;""'!$D$4:$D$66"")=CL$2),$G$4:$BQ$4,$G25:$BQ25))),"""")"),"")</f>
        <v/>
      </c>
      <c r="CN25" s="208" t="str">
        <f t="shared" si="13"/>
        <v/>
      </c>
      <c r="CO25" s="209" t="s">
        <v>444</v>
      </c>
      <c r="CP25" s="210">
        <f>IFERROR(__xludf.DUMMYFUNCTION("AVERAGE(ARRAYFORMULA(XLOOKUP(FILTER(INDIRECT(""'""&amp;CP$1&amp;""'!$C$4:$C$66""),INDIRECT(""'""&amp;CP$1&amp;""'!$D$4:$D$66"")=CP$2),$G$4:$BQ$4,$G25:$BQ25)))"),0.259999996)</f>
        <v>0.259999996</v>
      </c>
      <c r="CQ25" s="207" t="str">
        <f>IFERROR(__xludf.DUMMYFUNCTION("IF(OR(CP25&gt;$BS25+$BT25*$BT$2,CP25&lt;$BS25-$BT25*$BT$2),AVEDEV(ARRAYFORMULA(XLOOKUP(FILTER(INDIRECT(""'""&amp;CP$1&amp;""'!$C$4:$C$66""),INDIRECT(""'""&amp;CP$1&amp;""'!$D$4:$D$66"")=CP$2),$G$4:$BQ$4,$G25:$BQ25))),"""")"),"")</f>
        <v/>
      </c>
      <c r="CR25" s="208" t="str">
        <f t="shared" si="14"/>
        <v/>
      </c>
      <c r="CS25" s="210">
        <f>IFERROR(__xludf.DUMMYFUNCTION("AVERAGE(ARRAYFORMULA(XLOOKUP(FILTER(INDIRECT(""'""&amp;CS$1&amp;""'!$C$4:$C$66""),INDIRECT(""'""&amp;CS$1&amp;""'!$D$4:$D$66"")=CS$2),$G$4:$BQ$4,$G25:$BQ25)))"),-0.03680240769230773)</f>
        <v>-0.03680240769</v>
      </c>
      <c r="CT25" s="207" t="str">
        <f>IFERROR(__xludf.DUMMYFUNCTION("IF(OR(CS25&gt;$BS25+$BT25*$BT$2,CS25&lt;$BS25-$BT25*$BT$2),AVEDEV(ARRAYFORMULA(XLOOKUP(FILTER(INDIRECT(""'""&amp;CS$1&amp;""'!$C$4:$C$66""),INDIRECT(""'""&amp;CS$1&amp;""'!$D$4:$D$66"")=CS$2),$G$4:$BQ$4,$G25:$BQ25))),"""")"),"")</f>
        <v/>
      </c>
      <c r="CU25" s="208" t="str">
        <f t="shared" si="15"/>
        <v/>
      </c>
      <c r="CV25" s="210">
        <f>IFERROR(__xludf.DUMMYFUNCTION("AVERAGE(ARRAYFORMULA(XLOOKUP(FILTER(INDIRECT(""'""&amp;CV$1&amp;""'!$C$4:$C$66""),INDIRECT(""'""&amp;CV$1&amp;""'!$D$4:$D$66"")=CV$2),$G$4:$BQ$4,$G25:$BQ25)))"),0.04588235599999997)</f>
        <v>0.045882356</v>
      </c>
      <c r="CW25" s="207" t="str">
        <f>IFERROR(__xludf.DUMMYFUNCTION("IF(OR(CV25&gt;$BS25+$BT25*$BT$2,CV25&lt;$BS25-$BT25*$BT$2),AVEDEV(ARRAYFORMULA(XLOOKUP(FILTER(INDIRECT(""'""&amp;CV$1&amp;""'!$C$4:$C$66""),INDIRECT(""'""&amp;CV$1&amp;""'!$D$4:$D$66"")=CV$2),$G$4:$BQ$4,$G25:$BQ25))),"""")"),"")</f>
        <v/>
      </c>
      <c r="CX25" s="208" t="str">
        <f t="shared" si="16"/>
        <v/>
      </c>
      <c r="CY25" s="209" t="s">
        <v>444</v>
      </c>
      <c r="CZ25" s="210">
        <f>IFERROR(__xludf.DUMMYFUNCTION("AVERAGE(ARRAYFORMULA(XLOOKUP(FILTER(INDIRECT(""'""&amp;CZ$1&amp;""'!$C$4:$C$66""),INDIRECT(""'""&amp;CZ$1&amp;""'!$D$4:$D$66"")=CZ$2),$G$4:$BQ$4,$G25:$BQ25)))"),0.016323533571428565)</f>
        <v>0.01632353357</v>
      </c>
      <c r="DA25" s="207" t="str">
        <f>IFERROR(__xludf.DUMMYFUNCTION("IF(OR(CZ25&gt;$BS25+$BT25*$BT$2,CZ25&lt;$BS25-$BT25*$BT$2),AVEDEV(ARRAYFORMULA(XLOOKUP(FILTER(INDIRECT(""'""&amp;CZ$1&amp;""'!$C$4:$C$66""),INDIRECT(""'""&amp;CZ$1&amp;""'!$D$4:$D$66"")=CZ$2),$G$4:$BQ$4,$G25:$BQ25))),"""")"),"")</f>
        <v/>
      </c>
      <c r="DB25" s="208" t="str">
        <f t="shared" si="17"/>
        <v/>
      </c>
      <c r="DC25" s="210">
        <f>IFERROR(__xludf.DUMMYFUNCTION("AVERAGE(ARRAYFORMULA(XLOOKUP(FILTER(INDIRECT(""'""&amp;DC$1&amp;""'!$C$4:$C$66""),INDIRECT(""'""&amp;DC$1&amp;""'!$D$4:$D$66"")=DC$2),$G$4:$BQ$4,$G25:$BQ25)))"),-0.06519608666666668)</f>
        <v>-0.06519608667</v>
      </c>
      <c r="DD25" s="207" t="str">
        <f>IFERROR(__xludf.DUMMYFUNCTION("IF(OR(DC25&gt;$BS25+$BT25*$BT$2,DC25&lt;$BS25-$BT25*$BT$2),AVEDEV(ARRAYFORMULA(XLOOKUP(FILTER(INDIRECT(""'""&amp;DC$1&amp;""'!$C$4:$C$66""),INDIRECT(""'""&amp;DC$1&amp;""'!$D$4:$D$66"")=DC$2),$G$4:$BQ$4,$G25:$BQ25))),"""")"),"")</f>
        <v/>
      </c>
      <c r="DE25" s="208" t="str">
        <f t="shared" si="18"/>
        <v/>
      </c>
      <c r="DF25" s="210">
        <f>IFERROR(__xludf.DUMMYFUNCTION("AVERAGE(ARRAYFORMULA(XLOOKUP(FILTER(INDIRECT(""'""&amp;DF$1&amp;""'!$C$4:$C$66""),INDIRECT(""'""&amp;DF$1&amp;""'!$D$4:$D$66"")=DF$2),$G$4:$BQ$4,$G25:$BQ25)))"),0.4165775418181818)</f>
        <v>0.4165775418</v>
      </c>
      <c r="DG25" s="207" t="str">
        <f>IFERROR(__xludf.DUMMYFUNCTION("IF(OR(DF25&gt;$BS25+$BT25*$BT$2,DF25&lt;$BS25-$BT25*$BT$2),AVEDEV(ARRAYFORMULA(XLOOKUP(FILTER(INDIRECT(""'""&amp;DF$1&amp;""'!$C$4:$C$66""),INDIRECT(""'""&amp;DF$1&amp;""'!$D$4:$D$66"")=DF$2),$G$4:$BQ$4,$G25:$BQ25))),"""")"),"")</f>
        <v/>
      </c>
      <c r="DH25" s="208" t="str">
        <f t="shared" si="19"/>
        <v/>
      </c>
      <c r="DI25" s="210">
        <f>IFERROR(__xludf.DUMMYFUNCTION("AVERAGE(ARRAYFORMULA(XLOOKUP(FILTER(INDIRECT(""'""&amp;DI$1&amp;""'!$C$4:$C$66""),INDIRECT(""'""&amp;DI$1&amp;""'!$D$4:$D$66"")=DI$2),$G$4:$BQ$4,$G25:$BQ25)))"),0.21470588)</f>
        <v>0.21470588</v>
      </c>
      <c r="DJ25" s="207" t="str">
        <f>IFERROR(__xludf.DUMMYFUNCTION("IF(OR(DI25&gt;$BS25+$BT25*$BT$2,DI25&lt;$BS25-$BT25*$BT$2),AVEDEV(ARRAYFORMULA(XLOOKUP(FILTER(INDIRECT(""'""&amp;DI$1&amp;""'!$C$4:$C$66""),INDIRECT(""'""&amp;DI$1&amp;""'!$D$4:$D$66"")=DI$2),$G$4:$BQ$4,$G25:$BQ25))),"""")"),"")</f>
        <v/>
      </c>
      <c r="DK25" s="208" t="str">
        <f t="shared" si="20"/>
        <v/>
      </c>
      <c r="DL25" s="210">
        <f>IFERROR(__xludf.DUMMYFUNCTION("AVERAGE(ARRAYFORMULA(XLOOKUP(FILTER(INDIRECT(""'""&amp;DL$1&amp;""'!$C$4:$C$66""),INDIRECT(""'""&amp;DL$1&amp;""'!$D$4:$D$66"")=DL$2),$G$4:$BQ$4,$G25:$BQ25)))"),-0.23554620214285715)</f>
        <v>-0.2355462021</v>
      </c>
      <c r="DM25" s="207" t="str">
        <f>IFERROR(__xludf.DUMMYFUNCTION("IF(OR(DL25&gt;$BS25+$BT25*$BT$2,DL25&lt;$BS25-$BT25*$BT$2),AVEDEV(ARRAYFORMULA(XLOOKUP(FILTER(INDIRECT(""'""&amp;DL$1&amp;""'!$C$4:$C$66""),INDIRECT(""'""&amp;DL$1&amp;""'!$D$4:$D$66"")=DL$2),$G$4:$BQ$4,$G25:$BQ25))),"""")"),"")</f>
        <v/>
      </c>
      <c r="DN25" s="208" t="str">
        <f t="shared" si="21"/>
        <v/>
      </c>
      <c r="DO25" s="209" t="s">
        <v>444</v>
      </c>
      <c r="DP25" s="210">
        <f>IFERROR(__xludf.DUMMYFUNCTION("AVERAGE(ARRAYFORMULA(XLOOKUP(FILTER(INDIRECT(""'""&amp;DP$1&amp;""'!$C$4:$C$66""),INDIRECT(""'""&amp;DP$1&amp;""'!$D$4:$D$66"")=DP$2),$G$4:$BQ$4,$G25:$BQ25)))"),-0.01645097366666667)</f>
        <v>-0.01645097367</v>
      </c>
      <c r="DQ25" s="207" t="str">
        <f>IFERROR(__xludf.DUMMYFUNCTION("IF(OR(DP25&gt;$BS25+$BT25*$BT$2,DP25&lt;$BS25-$BT25*$BT$2),AVEDEV(ARRAYFORMULA(XLOOKUP(FILTER(INDIRECT(""'""&amp;DP$1&amp;""'!$C$4:$C$66""),INDIRECT(""'""&amp;DP$1&amp;""'!$D$4:$D$66"")=DP$2),$G$4:$BQ$4,$G25:$BQ25))),"""")"),"")</f>
        <v/>
      </c>
      <c r="DR25" s="208" t="str">
        <f t="shared" si="22"/>
        <v/>
      </c>
      <c r="DS25" s="210">
        <f>IFERROR(__xludf.DUMMYFUNCTION("AVERAGE(ARRAYFORMULA(XLOOKUP(FILTER(INDIRECT(""'""&amp;DS$1&amp;""'!$C$4:$C$66""),INDIRECT(""'""&amp;DS$1&amp;""'!$D$4:$D$66"")=DS$2),$G$4:$BQ$4,$G25:$BQ25)))"),0.04950979777777775)</f>
        <v>0.04950979778</v>
      </c>
      <c r="DT25" s="207" t="str">
        <f>IFERROR(__xludf.DUMMYFUNCTION("IF(OR(DS25&gt;$BS25+$BT25*$BT$2,DS25&lt;$BS25-$BT25*$BT$2),AVEDEV(ARRAYFORMULA(XLOOKUP(FILTER(INDIRECT(""'""&amp;DS$1&amp;""'!$C$4:$C$66""),INDIRECT(""'""&amp;DS$1&amp;""'!$D$4:$D$66"")=DS$2),$G$4:$BQ$4,$G25:$BQ25))),"""")"),"")</f>
        <v/>
      </c>
      <c r="DU25" s="208" t="str">
        <f t="shared" si="23"/>
        <v/>
      </c>
      <c r="DV25" s="210">
        <f>IFERROR(__xludf.DUMMYFUNCTION("AVERAGE(ARRAYFORMULA(XLOOKUP(FILTER(INDIRECT(""'""&amp;DV$1&amp;""'!$C$4:$C$66""),INDIRECT(""'""&amp;DV$1&amp;""'!$D$4:$D$66"")=DV$2),$G$4:$BQ$4,$G25:$BQ25)))"),0.10378677124999999)</f>
        <v>0.1037867713</v>
      </c>
      <c r="DW25" s="207" t="str">
        <f>IFERROR(__xludf.DUMMYFUNCTION("IF(OR(DV25&gt;$BS25+$BT25*$BT$2,DV25&lt;$BS25-$BT25*$BT$2),AVEDEV(ARRAYFORMULA(XLOOKUP(FILTER(INDIRECT(""'""&amp;DV$1&amp;""'!$C$4:$C$66""),INDIRECT(""'""&amp;DV$1&amp;""'!$D$4:$D$66"")=DV$2),$G$4:$BQ$4,$G25:$BQ25))),"""")"),"")</f>
        <v/>
      </c>
      <c r="DX25" s="208" t="str">
        <f t="shared" si="24"/>
        <v/>
      </c>
      <c r="DY25" s="210">
        <f>IFERROR(__xludf.DUMMYFUNCTION("AVERAGE(ARRAYFORMULA(XLOOKUP(FILTER(INDIRECT(""'""&amp;DY$1&amp;""'!$C$4:$C$66""),INDIRECT(""'""&amp;DY$1&amp;""'!$D$4:$D$66"")=DY$2),$G$4:$BQ$4,$G25:$BQ25)))"),0.29052287555555556)</f>
        <v>0.2905228756</v>
      </c>
      <c r="DZ25" s="207" t="str">
        <f>IFERROR(__xludf.DUMMYFUNCTION("IF(OR(DY25&gt;$BS25+$BT25*$BT$2,DY25&lt;$BS25-$BT25*$BT$2),AVEDEV(ARRAYFORMULA(XLOOKUP(FILTER(INDIRECT(""'""&amp;DY$1&amp;""'!$C$4:$C$66""),INDIRECT(""'""&amp;DY$1&amp;""'!$D$4:$D$66"")=DY$2),$G$4:$BQ$4,$G25:$BQ25))),"""")"),"")</f>
        <v/>
      </c>
      <c r="EA25" s="208" t="str">
        <f t="shared" si="25"/>
        <v/>
      </c>
      <c r="EB25" s="191"/>
    </row>
    <row r="26" outlineLevel="1">
      <c r="A26" s="2"/>
      <c r="B26" s="204">
        <v>22.0</v>
      </c>
      <c r="C26" s="204" t="s">
        <v>442</v>
      </c>
      <c r="D26" s="204" t="s">
        <v>465</v>
      </c>
      <c r="E26" s="205" t="b">
        <f>VLOOKUP(D26,'Feature Set List'!A22:C246,2,0)</f>
        <v>1</v>
      </c>
      <c r="F26" s="205" t="b">
        <f>VLOOKUP(D26,'Feature Set List'!A22:C246,3,0)</f>
        <v>1</v>
      </c>
      <c r="G26" s="205">
        <v>-0.4300341</v>
      </c>
      <c r="H26" s="205">
        <v>0.18430034</v>
      </c>
      <c r="I26" s="205">
        <v>0.0</v>
      </c>
      <c r="J26" s="205">
        <v>0.39590444</v>
      </c>
      <c r="K26" s="205">
        <v>-0.4778157</v>
      </c>
      <c r="L26" s="205">
        <v>0.53924915</v>
      </c>
      <c r="M26" s="205">
        <v>0.69624573</v>
      </c>
      <c r="N26" s="205">
        <v>-0.0546075</v>
      </c>
      <c r="O26" s="205">
        <v>-1.447099</v>
      </c>
      <c r="P26" s="205">
        <v>-0.3276451</v>
      </c>
      <c r="Q26" s="205">
        <v>0.27303754</v>
      </c>
      <c r="R26" s="205">
        <v>-0.7167235</v>
      </c>
      <c r="S26" s="205">
        <v>-0.0614334</v>
      </c>
      <c r="T26" s="205">
        <v>-0.3959044</v>
      </c>
      <c r="U26" s="205">
        <v>0.02047782</v>
      </c>
      <c r="V26" s="205">
        <v>0.43003413</v>
      </c>
      <c r="W26" s="205">
        <v>-0.3822526</v>
      </c>
      <c r="X26" s="205">
        <v>-0.8805461</v>
      </c>
      <c r="Y26" s="205">
        <v>0.24573379</v>
      </c>
      <c r="Z26" s="205">
        <v>0.10921502</v>
      </c>
      <c r="AA26" s="205">
        <v>-0.4846416</v>
      </c>
      <c r="AB26" s="205">
        <v>-1.337884</v>
      </c>
      <c r="AC26" s="205">
        <v>1.74744027</v>
      </c>
      <c r="AD26" s="205">
        <v>0.59385666</v>
      </c>
      <c r="AE26" s="205">
        <v>-0.0750853</v>
      </c>
      <c r="AF26" s="205">
        <v>0.07508532</v>
      </c>
      <c r="AG26" s="205">
        <v>-0.7508532</v>
      </c>
      <c r="AH26" s="205">
        <v>1.66552901</v>
      </c>
      <c r="AI26" s="205">
        <v>-0.4027304</v>
      </c>
      <c r="AJ26" s="205">
        <v>1.7337884</v>
      </c>
      <c r="AK26" s="205">
        <v>0.89419795</v>
      </c>
      <c r="AL26" s="205">
        <v>-1.1194539</v>
      </c>
      <c r="AM26" s="205">
        <v>0.4778157</v>
      </c>
      <c r="AN26" s="205">
        <v>-0.6075085</v>
      </c>
      <c r="AO26" s="205">
        <v>-0.9010239</v>
      </c>
      <c r="AP26" s="205">
        <v>-0.0341297</v>
      </c>
      <c r="AQ26" s="205">
        <v>0.05460751</v>
      </c>
      <c r="AR26" s="205">
        <v>0.6894198</v>
      </c>
      <c r="AS26" s="205">
        <v>1.67918089</v>
      </c>
      <c r="AT26" s="205">
        <v>2.02730375</v>
      </c>
      <c r="AU26" s="205">
        <v>-0.4095563</v>
      </c>
      <c r="AV26" s="205">
        <v>-0.7645051</v>
      </c>
      <c r="AW26" s="205">
        <v>0.27986348</v>
      </c>
      <c r="AX26" s="205">
        <v>0.73720137</v>
      </c>
      <c r="AY26" s="205">
        <v>0.36860068</v>
      </c>
      <c r="AZ26" s="205">
        <v>-0.0750853</v>
      </c>
      <c r="BA26" s="205">
        <v>-0.3071672</v>
      </c>
      <c r="BB26" s="205">
        <v>-1.1808874</v>
      </c>
      <c r="BC26" s="205">
        <v>-0.1706485</v>
      </c>
      <c r="BD26" s="205">
        <v>-0.3822526</v>
      </c>
      <c r="BE26" s="205">
        <v>0.64163823</v>
      </c>
      <c r="BF26" s="205">
        <v>1.26279863</v>
      </c>
      <c r="BG26" s="205">
        <v>1.09215017</v>
      </c>
      <c r="BH26" s="205">
        <v>0.5665529</v>
      </c>
      <c r="BI26" s="205">
        <v>0.92150171</v>
      </c>
      <c r="BJ26" s="205">
        <v>0.07508532</v>
      </c>
      <c r="BK26" s="205">
        <v>0.68259386</v>
      </c>
      <c r="BL26" s="205">
        <v>-8.4573379</v>
      </c>
      <c r="BM26" s="205">
        <v>-0.1638225</v>
      </c>
      <c r="BN26" s="205">
        <v>-0.9692833</v>
      </c>
      <c r="BO26" s="205">
        <v>-1.0648464</v>
      </c>
      <c r="BP26" s="205">
        <v>1.23549488</v>
      </c>
      <c r="BQ26" s="205">
        <v>-0.3549488</v>
      </c>
      <c r="BR26" s="206"/>
      <c r="BS26" s="207">
        <f t="shared" si="6"/>
        <v>-0.0443144246</v>
      </c>
      <c r="BT26" s="207">
        <f t="shared" si="7"/>
        <v>0.7563222464</v>
      </c>
      <c r="BU26" s="206"/>
      <c r="BV26" s="207">
        <f>IFERROR(__xludf.DUMMYFUNCTION("AVERAGE(ARRAYFORMULA(XLOOKUP(FILTER(INDIRECT(""'""&amp;BV$1&amp;""'!$C$4:$C$66""),INDIRECT(""'""&amp;BV$1&amp;""'!$D$4:$D$66"")=BV$2),$G$4:$BQ$4,$G26:$BQ26)))"),-1.4841540814285714)</f>
        <v>-1.484154081</v>
      </c>
      <c r="BW26" s="207">
        <f>IFERROR(__xludf.DUMMYFUNCTION("IF(OR(BV26&gt;$BS26+$BT26*$BT$2,BV26&lt;$BS26-$BT26*$BT$2),AVEDEV(ARRAYFORMULA(XLOOKUP(FILTER(INDIRECT(""'""&amp;BV$1&amp;""'!$C$4:$C$66""),INDIRECT(""'""&amp;BV$1&amp;""'!$D$4:$D$66"")=BV$2),$G$4:$BQ$4,$G26:$BQ26))),"""")"),1.9923382338775508)</f>
        <v>1.992338234</v>
      </c>
      <c r="BX26" s="208">
        <f t="shared" si="8"/>
        <v>-0.6835174104</v>
      </c>
      <c r="BY26" s="207">
        <f>IFERROR(__xludf.DUMMYFUNCTION("AVERAGE(ARRAYFORMULA(XLOOKUP(FILTER(INDIRECT(""'""&amp;BY$1&amp;""'!$C$4:$C$66""),INDIRECT(""'""&amp;BY$1&amp;""'!$D$4:$D$66"")=BY$2),$G$4:$BQ$4,$G26:$BQ26)))"),0.21225418880952385)</f>
        <v>0.2122541888</v>
      </c>
      <c r="BZ26" s="207" t="str">
        <f>IFERROR(__xludf.DUMMYFUNCTION("IF(OR(BY26&gt;$BS26+$BT26*$BT$2,BY26&lt;$BS26-$BT26*$BT$2),AVEDEV(ARRAYFORMULA(XLOOKUP(FILTER(INDIRECT(""'""&amp;BY$1&amp;""'!$C$4:$C$66""),INDIRECT(""'""&amp;BY$1&amp;""'!$D$4:$D$66"")=BY$2),$G$4:$BQ$4,$G26:$BQ26))),"""")"),"")</f>
        <v/>
      </c>
      <c r="CA26" s="208" t="str">
        <f t="shared" si="9"/>
        <v/>
      </c>
      <c r="CB26" s="207">
        <f>IFERROR(__xludf.DUMMYFUNCTION("AVERAGE(ARRAYFORMULA(XLOOKUP(FILTER(INDIRECT(""'""&amp;CB$1&amp;""'!$C$4:$C$66""),INDIRECT(""'""&amp;CB$1&amp;""'!$D$4:$D$66"")=CB$2),$G$4:$BQ$4,$G26:$BQ26)))"),-0.04778156454545454)</f>
        <v>-0.04778156455</v>
      </c>
      <c r="CC26" s="207" t="str">
        <f>IFERROR(__xludf.DUMMYFUNCTION("IF(OR(CB26&gt;$BS26+$BT26*$BT$2,CB26&lt;$BS26-$BT26*$BT$2),AVEDEV(ARRAYFORMULA(XLOOKUP(FILTER(INDIRECT(""'""&amp;CB$1&amp;""'!$C$4:$C$66""),INDIRECT(""'""&amp;CB$1&amp;""'!$D$4:$D$66"")=CB$2),$G$4:$BQ$4,$G26:$BQ26))),"""")"),"")</f>
        <v/>
      </c>
      <c r="CD26" s="208" t="str">
        <f t="shared" si="10"/>
        <v/>
      </c>
      <c r="CE26" s="209" t="s">
        <v>444</v>
      </c>
      <c r="CF26" s="207">
        <f>IFERROR(__xludf.DUMMYFUNCTION("AVERAGE(ARRAYFORMULA(XLOOKUP(FILTER(INDIRECT(""'""&amp;CF$1&amp;""'!$C$4:$C$66""),INDIRECT(""'""&amp;CF$1&amp;""'!$D$4:$D$66"")=CF$2),$G$4:$BQ$4,$G26:$BQ26)))"),0.16083617812500003)</f>
        <v>0.1608361781</v>
      </c>
      <c r="CG26" s="207" t="str">
        <f>IFERROR(__xludf.DUMMYFUNCTION("IF(OR(CF26&gt;$BS26+$BT26*$BT$2,CF26&lt;$BS26-$BT26*$BT$2),AVEDEV(ARRAYFORMULA(XLOOKUP(FILTER(INDIRECT(""'""&amp;CF$1&amp;""'!$C$4:$C$66""),INDIRECT(""'""&amp;CF$1&amp;""'!$D$4:$D$66"")=CF$2),$G$4:$BQ$4,$G26:$BQ26))),"""")"),"")</f>
        <v/>
      </c>
      <c r="CH26" s="208" t="str">
        <f t="shared" si="11"/>
        <v/>
      </c>
      <c r="CI26" s="207">
        <f>IFERROR(__xludf.DUMMYFUNCTION("AVERAGE(ARRAYFORMULA(XLOOKUP(FILTER(INDIRECT(""'""&amp;CI$1&amp;""'!$C$4:$C$66""),INDIRECT(""'""&amp;CI$1&amp;""'!$D$4:$D$66"")=CI$2),$G$4:$BQ$4,$G26:$BQ26)))"),0.13409666677419355)</f>
        <v>0.1340966668</v>
      </c>
      <c r="CJ26" s="207" t="str">
        <f>IFERROR(__xludf.DUMMYFUNCTION("IF(OR(CI26&gt;$BS26+$BT26*$BT$2,CI26&lt;$BS26-$BT26*$BT$2),AVEDEV(ARRAYFORMULA(XLOOKUP(FILTER(INDIRECT(""'""&amp;CI$1&amp;""'!$C$4:$C$66""),INDIRECT(""'""&amp;CI$1&amp;""'!$D$4:$D$66"")=CI$2),$G$4:$BQ$4,$G26:$BQ26))),"""")"),"")</f>
        <v/>
      </c>
      <c r="CK26" s="208" t="str">
        <f t="shared" si="12"/>
        <v/>
      </c>
      <c r="CL26" s="207">
        <f>IFERROR(__xludf.DUMMYFUNCTION("AVERAGE(ARRAYFORMULA(XLOOKUP(FILTER(INDIRECT(""'""&amp;CL$1&amp;""'!$C$4:$C$66""),INDIRECT(""'""&amp;CL$1&amp;""'!$D$4:$D$66"")=CL$2),$G$4:$BQ$4,$G26:$BQ26)))"),0.34812287199999997)</f>
        <v>0.348122872</v>
      </c>
      <c r="CM26" s="207" t="str">
        <f>IFERROR(__xludf.DUMMYFUNCTION("IF(OR(CL26&gt;$BS26+$BT26*$BT$2,CL26&lt;$BS26-$BT26*$BT$2),AVEDEV(ARRAYFORMULA(XLOOKUP(FILTER(INDIRECT(""'""&amp;CL$1&amp;""'!$C$4:$C$66""),INDIRECT(""'""&amp;CL$1&amp;""'!$D$4:$D$66"")=CL$2),$G$4:$BQ$4,$G26:$BQ26))),"""")"),"")</f>
        <v/>
      </c>
      <c r="CN26" s="208" t="str">
        <f t="shared" si="13"/>
        <v/>
      </c>
      <c r="CO26" s="209" t="s">
        <v>444</v>
      </c>
      <c r="CP26" s="210">
        <f>IFERROR(__xludf.DUMMYFUNCTION("AVERAGE(ARRAYFORMULA(XLOOKUP(FILTER(INDIRECT(""'""&amp;CP$1&amp;""'!$C$4:$C$66""),INDIRECT(""'""&amp;CP$1&amp;""'!$D$4:$D$66"")=CP$2),$G$4:$BQ$4,$G26:$BQ26)))"),0.04505119800000001)</f>
        <v>0.045051198</v>
      </c>
      <c r="CQ26" s="207" t="str">
        <f>IFERROR(__xludf.DUMMYFUNCTION("IF(OR(CP26&gt;$BS26+$BT26*$BT$2,CP26&lt;$BS26-$BT26*$BT$2),AVEDEV(ARRAYFORMULA(XLOOKUP(FILTER(INDIRECT(""'""&amp;CP$1&amp;""'!$C$4:$C$66""),INDIRECT(""'""&amp;CP$1&amp;""'!$D$4:$D$66"")=CP$2),$G$4:$BQ$4,$G26:$BQ26))),"""")"),"")</f>
        <v/>
      </c>
      <c r="CR26" s="208" t="str">
        <f t="shared" si="14"/>
        <v/>
      </c>
      <c r="CS26" s="210">
        <f>IFERROR(__xludf.DUMMYFUNCTION("AVERAGE(ARRAYFORMULA(XLOOKUP(FILTER(INDIRECT(""'""&amp;CS$1&amp;""'!$C$4:$C$66""),INDIRECT(""'""&amp;CS$1&amp;""'!$D$4:$D$66"")=CS$2),$G$4:$BQ$4,$G26:$BQ26)))"),0.10361424923076924)</f>
        <v>0.1036142492</v>
      </c>
      <c r="CT26" s="207" t="str">
        <f>IFERROR(__xludf.DUMMYFUNCTION("IF(OR(CS26&gt;$BS26+$BT26*$BT$2,CS26&lt;$BS26-$BT26*$BT$2),AVEDEV(ARRAYFORMULA(XLOOKUP(FILTER(INDIRECT(""'""&amp;CS$1&amp;""'!$C$4:$C$66""),INDIRECT(""'""&amp;CS$1&amp;""'!$D$4:$D$66"")=CS$2),$G$4:$BQ$4,$G26:$BQ26))),"""")"),"")</f>
        <v/>
      </c>
      <c r="CU26" s="208" t="str">
        <f t="shared" si="15"/>
        <v/>
      </c>
      <c r="CV26" s="210">
        <f>IFERROR(__xludf.DUMMYFUNCTION("AVERAGE(ARRAYFORMULA(XLOOKUP(FILTER(INDIRECT(""'""&amp;CV$1&amp;""'!$C$4:$C$66""),INDIRECT(""'""&amp;CV$1&amp;""'!$D$4:$D$66"")=CV$2),$G$4:$BQ$4,$G26:$BQ26)))"),0.34812287199999997)</f>
        <v>0.348122872</v>
      </c>
      <c r="CW26" s="207" t="str">
        <f>IFERROR(__xludf.DUMMYFUNCTION("IF(OR(CV26&gt;$BS26+$BT26*$BT$2,CV26&lt;$BS26-$BT26*$BT$2),AVEDEV(ARRAYFORMULA(XLOOKUP(FILTER(INDIRECT(""'""&amp;CV$1&amp;""'!$C$4:$C$66""),INDIRECT(""'""&amp;CV$1&amp;""'!$D$4:$D$66"")=CV$2),$G$4:$BQ$4,$G26:$BQ26))),"""")"),"")</f>
        <v/>
      </c>
      <c r="CX26" s="208" t="str">
        <f t="shared" si="16"/>
        <v/>
      </c>
      <c r="CY26" s="209" t="s">
        <v>444</v>
      </c>
      <c r="CZ26" s="210">
        <f>IFERROR(__xludf.DUMMYFUNCTION("AVERAGE(ARRAYFORMULA(XLOOKUP(FILTER(INDIRECT(""'""&amp;CZ$1&amp;""'!$C$4:$C$66""),INDIRECT(""'""&amp;CZ$1&amp;""'!$D$4:$D$66"")=CZ$2),$G$4:$BQ$4,$G26:$BQ26)))"),0.12481716714285716)</f>
        <v>0.1248171671</v>
      </c>
      <c r="DA26" s="207" t="str">
        <f>IFERROR(__xludf.DUMMYFUNCTION("IF(OR(CZ26&gt;$BS26+$BT26*$BT$2,CZ26&lt;$BS26-$BT26*$BT$2),AVEDEV(ARRAYFORMULA(XLOOKUP(FILTER(INDIRECT(""'""&amp;CZ$1&amp;""'!$C$4:$C$66""),INDIRECT(""'""&amp;CZ$1&amp;""'!$D$4:$D$66"")=CZ$2),$G$4:$BQ$4,$G26:$BQ26))),"""")"),"")</f>
        <v/>
      </c>
      <c r="DB26" s="208" t="str">
        <f t="shared" si="17"/>
        <v/>
      </c>
      <c r="DC26" s="210">
        <f>IFERROR(__xludf.DUMMYFUNCTION("AVERAGE(ARRAYFORMULA(XLOOKUP(FILTER(INDIRECT(""'""&amp;DC$1&amp;""'!$C$4:$C$66""),INDIRECT(""'""&amp;DC$1&amp;""'!$D$4:$D$66"")=DC$2),$G$4:$BQ$4,$G26:$BQ26)))"),-0.03185437888888889)</f>
        <v>-0.03185437889</v>
      </c>
      <c r="DD26" s="207" t="str">
        <f>IFERROR(__xludf.DUMMYFUNCTION("IF(OR(DC26&gt;$BS26+$BT26*$BT$2,DC26&lt;$BS26-$BT26*$BT$2),AVEDEV(ARRAYFORMULA(XLOOKUP(FILTER(INDIRECT(""'""&amp;DC$1&amp;""'!$C$4:$C$66""),INDIRECT(""'""&amp;DC$1&amp;""'!$D$4:$D$66"")=DC$2),$G$4:$BQ$4,$G26:$BQ26))),"""")"),"")</f>
        <v/>
      </c>
      <c r="DE26" s="208" t="str">
        <f t="shared" si="18"/>
        <v/>
      </c>
      <c r="DF26" s="210">
        <f>IFERROR(__xludf.DUMMYFUNCTION("AVERAGE(ARRAYFORMULA(XLOOKUP(FILTER(INDIRECT(""'""&amp;DF$1&amp;""'!$C$4:$C$66""),INDIRECT(""'""&amp;DF$1&amp;""'!$D$4:$D$66"")=DF$2),$G$4:$BQ$4,$G26:$BQ26)))"),0.29289482727272725)</f>
        <v>0.2928948273</v>
      </c>
      <c r="DG26" s="207" t="str">
        <f>IFERROR(__xludf.DUMMYFUNCTION("IF(OR(DF26&gt;$BS26+$BT26*$BT$2,DF26&lt;$BS26-$BT26*$BT$2),AVEDEV(ARRAYFORMULA(XLOOKUP(FILTER(INDIRECT(""'""&amp;DF$1&amp;""'!$C$4:$C$66""),INDIRECT(""'""&amp;DF$1&amp;""'!$D$4:$D$66"")=DF$2),$G$4:$BQ$4,$G26:$BQ26))),"""")"),"")</f>
        <v/>
      </c>
      <c r="DH26" s="208" t="str">
        <f t="shared" si="19"/>
        <v/>
      </c>
      <c r="DI26" s="210">
        <f>IFERROR(__xludf.DUMMYFUNCTION("AVERAGE(ARRAYFORMULA(XLOOKUP(FILTER(INDIRECT(""'""&amp;DI$1&amp;""'!$C$4:$C$66""),INDIRECT(""'""&amp;DI$1&amp;""'!$D$4:$D$66"")=DI$2),$G$4:$BQ$4,$G26:$BQ26)))"),0.5802047800000001)</f>
        <v>0.58020478</v>
      </c>
      <c r="DJ26" s="207" t="str">
        <f>IFERROR(__xludf.DUMMYFUNCTION("IF(OR(DI26&gt;$BS26+$BT26*$BT$2,DI26&lt;$BS26-$BT26*$BT$2),AVEDEV(ARRAYFORMULA(XLOOKUP(FILTER(INDIRECT(""'""&amp;DI$1&amp;""'!$C$4:$C$66""),INDIRECT(""'""&amp;DI$1&amp;""'!$D$4:$D$66"")=DI$2),$G$4:$BQ$4,$G26:$BQ26))),"""")"),"")</f>
        <v/>
      </c>
      <c r="DK26" s="208" t="str">
        <f t="shared" si="20"/>
        <v/>
      </c>
      <c r="DL26" s="210">
        <f>IFERROR(__xludf.DUMMYFUNCTION("AVERAGE(ARRAYFORMULA(XLOOKUP(FILTER(INDIRECT(""'""&amp;DL$1&amp;""'!$C$4:$C$66""),INDIRECT(""'""&amp;DL$1&amp;""'!$D$4:$D$66"")=DL$2),$G$4:$BQ$4,$G26:$BQ26)))"),0.10775231714285714)</f>
        <v>0.1077523171</v>
      </c>
      <c r="DM26" s="207" t="str">
        <f>IFERROR(__xludf.DUMMYFUNCTION("IF(OR(DL26&gt;$BS26+$BT26*$BT$2,DL26&lt;$BS26-$BT26*$BT$2),AVEDEV(ARRAYFORMULA(XLOOKUP(FILTER(INDIRECT(""'""&amp;DL$1&amp;""'!$C$4:$C$66""),INDIRECT(""'""&amp;DL$1&amp;""'!$D$4:$D$66"")=DL$2),$G$4:$BQ$4,$G26:$BQ26))),"""")"),"")</f>
        <v/>
      </c>
      <c r="DN26" s="208" t="str">
        <f t="shared" si="21"/>
        <v/>
      </c>
      <c r="DO26" s="209" t="s">
        <v>444</v>
      </c>
      <c r="DP26" s="210">
        <f>IFERROR(__xludf.DUMMYFUNCTION("AVERAGE(ARRAYFORMULA(XLOOKUP(FILTER(INDIRECT(""'""&amp;DP$1&amp;""'!$C$4:$C$66""),INDIRECT(""'""&amp;DP$1&amp;""'!$D$4:$D$66"")=DP$2),$G$4:$BQ$4,$G26:$BQ26)))"),0.262116041)</f>
        <v>0.262116041</v>
      </c>
      <c r="DQ26" s="207" t="str">
        <f>IFERROR(__xludf.DUMMYFUNCTION("IF(OR(DP26&gt;$BS26+$BT26*$BT$2,DP26&lt;$BS26-$BT26*$BT$2),AVEDEV(ARRAYFORMULA(XLOOKUP(FILTER(INDIRECT(""'""&amp;DP$1&amp;""'!$C$4:$C$66""),INDIRECT(""'""&amp;DP$1&amp;""'!$D$4:$D$66"")=DP$2),$G$4:$BQ$4,$G26:$BQ26))),"""")"),"")</f>
        <v/>
      </c>
      <c r="DR26" s="208" t="str">
        <f t="shared" si="22"/>
        <v/>
      </c>
      <c r="DS26" s="210">
        <f>IFERROR(__xludf.DUMMYFUNCTION("AVERAGE(ARRAYFORMULA(XLOOKUP(FILTER(INDIRECT(""'""&amp;DS$1&amp;""'!$C$4:$C$66""),INDIRECT(""'""&amp;DS$1&amp;""'!$D$4:$D$66"")=DS$2),$G$4:$BQ$4,$G26:$BQ26)))"),-0.17064845777777776)</f>
        <v>-0.1706484578</v>
      </c>
      <c r="DT26" s="207" t="str">
        <f>IFERROR(__xludf.DUMMYFUNCTION("IF(OR(DS26&gt;$BS26+$BT26*$BT$2,DS26&lt;$BS26-$BT26*$BT$2),AVEDEV(ARRAYFORMULA(XLOOKUP(FILTER(INDIRECT(""'""&amp;DS$1&amp;""'!$C$4:$C$66""),INDIRECT(""'""&amp;DS$1&amp;""'!$D$4:$D$66"")=DS$2),$G$4:$BQ$4,$G26:$BQ26))),"""")"),"")</f>
        <v/>
      </c>
      <c r="DU26" s="208" t="str">
        <f t="shared" si="23"/>
        <v/>
      </c>
      <c r="DV26" s="210">
        <f>IFERROR(__xludf.DUMMYFUNCTION("AVERAGE(ARRAYFORMULA(XLOOKUP(FILTER(INDIRECT(""'""&amp;DV$1&amp;""'!$C$4:$C$66""),INDIRECT(""'""&amp;DV$1&amp;""'!$D$4:$D$66"")=DV$2),$G$4:$BQ$4,$G26:$BQ26)))"),-0.08276448749999998)</f>
        <v>-0.0827644875</v>
      </c>
      <c r="DW26" s="207" t="str">
        <f>IFERROR(__xludf.DUMMYFUNCTION("IF(OR(DV26&gt;$BS26+$BT26*$BT$2,DV26&lt;$BS26-$BT26*$BT$2),AVEDEV(ARRAYFORMULA(XLOOKUP(FILTER(INDIRECT(""'""&amp;DV$1&amp;""'!$C$4:$C$66""),INDIRECT(""'""&amp;DV$1&amp;""'!$D$4:$D$66"")=DV$2),$G$4:$BQ$4,$G26:$BQ26))),"""")"),"")</f>
        <v/>
      </c>
      <c r="DX26" s="208" t="str">
        <f t="shared" si="24"/>
        <v/>
      </c>
      <c r="DY26" s="210">
        <f>IFERROR(__xludf.DUMMYFUNCTION("AVERAGE(ARRAYFORMULA(XLOOKUP(FILTER(INDIRECT(""'""&amp;DY$1&amp;""'!$C$4:$C$66""),INDIRECT(""'""&amp;DY$1&amp;""'!$D$4:$D$66"")=DY$2),$G$4:$BQ$4,$G26:$BQ26)))"),0.20932878222222223)</f>
        <v>0.2093287822</v>
      </c>
      <c r="DZ26" s="207" t="str">
        <f>IFERROR(__xludf.DUMMYFUNCTION("IF(OR(DY26&gt;$BS26+$BT26*$BT$2,DY26&lt;$BS26-$BT26*$BT$2),AVEDEV(ARRAYFORMULA(XLOOKUP(FILTER(INDIRECT(""'""&amp;DY$1&amp;""'!$C$4:$C$66""),INDIRECT(""'""&amp;DY$1&amp;""'!$D$4:$D$66"")=DY$2),$G$4:$BQ$4,$G26:$BQ26))),"""")"),"")</f>
        <v/>
      </c>
      <c r="EA26" s="208" t="str">
        <f t="shared" si="25"/>
        <v/>
      </c>
      <c r="EB26" s="191"/>
    </row>
    <row r="27" outlineLevel="1">
      <c r="A27" s="2"/>
      <c r="B27" s="204">
        <v>23.0</v>
      </c>
      <c r="C27" s="204" t="s">
        <v>442</v>
      </c>
      <c r="D27" s="204" t="s">
        <v>466</v>
      </c>
      <c r="E27" s="205" t="b">
        <f>VLOOKUP(D27,'Feature Set List'!A23:C246,2,0)</f>
        <v>1</v>
      </c>
      <c r="F27" s="205" t="b">
        <f>VLOOKUP(D27,'Feature Set List'!A23:C246,3,0)</f>
        <v>1</v>
      </c>
      <c r="G27" s="205">
        <v>-0.7752668</v>
      </c>
      <c r="H27" s="205">
        <v>0.51663528</v>
      </c>
      <c r="I27" s="205">
        <v>-0.5505336</v>
      </c>
      <c r="J27" s="205">
        <v>0.39548023</v>
      </c>
      <c r="K27" s="205">
        <v>0.54613936</v>
      </c>
      <c r="L27" s="205">
        <v>0.66792216</v>
      </c>
      <c r="M27" s="205">
        <v>-0.0188324</v>
      </c>
      <c r="N27" s="205">
        <v>-0.3220339</v>
      </c>
      <c r="O27" s="205">
        <v>-0.6403013</v>
      </c>
      <c r="P27" s="205">
        <v>0.70119272</v>
      </c>
      <c r="Q27" s="205">
        <v>-0.5103578</v>
      </c>
      <c r="R27" s="205">
        <v>-0.2881356</v>
      </c>
      <c r="S27" s="205">
        <v>-0.5605775</v>
      </c>
      <c r="T27" s="205">
        <v>-0.2046453</v>
      </c>
      <c r="U27" s="205">
        <v>-0.7106089</v>
      </c>
      <c r="V27" s="205">
        <v>0.61895794</v>
      </c>
      <c r="W27" s="205">
        <v>-0.6566227</v>
      </c>
      <c r="X27" s="205">
        <v>-0.2366604</v>
      </c>
      <c r="Y27" s="205">
        <v>0.28499686</v>
      </c>
      <c r="Z27" s="205">
        <v>-0.5944758</v>
      </c>
      <c r="AA27" s="205">
        <v>-0.6277464</v>
      </c>
      <c r="AB27" s="205">
        <v>-1.0219711</v>
      </c>
      <c r="AC27" s="205">
        <v>0.40489642</v>
      </c>
      <c r="AD27" s="205">
        <v>0.36346516</v>
      </c>
      <c r="AE27" s="205">
        <v>0.07281858</v>
      </c>
      <c r="AF27" s="205">
        <v>0.79409918</v>
      </c>
      <c r="AG27" s="205">
        <v>0.24984306</v>
      </c>
      <c r="AH27" s="205">
        <v>0.06967985</v>
      </c>
      <c r="AI27" s="205">
        <v>0.75517891</v>
      </c>
      <c r="AJ27" s="205">
        <v>-0.428123</v>
      </c>
      <c r="AK27" s="205">
        <v>0.76522285</v>
      </c>
      <c r="AL27" s="205">
        <v>0.45951036</v>
      </c>
      <c r="AM27" s="205">
        <v>0.64908977</v>
      </c>
      <c r="AN27" s="205">
        <v>-0.2222222</v>
      </c>
      <c r="AO27" s="205">
        <v>0.53735091</v>
      </c>
      <c r="AP27" s="205">
        <v>0.82925298</v>
      </c>
      <c r="AQ27" s="205">
        <v>-0.4030132</v>
      </c>
      <c r="AR27" s="205">
        <v>-0.7055869</v>
      </c>
      <c r="AS27" s="205">
        <v>0.5737602</v>
      </c>
      <c r="AT27" s="205">
        <v>-0.1029504</v>
      </c>
      <c r="AU27" s="205">
        <v>0.0</v>
      </c>
      <c r="AV27" s="205">
        <v>1.01318267</v>
      </c>
      <c r="AW27" s="205">
        <v>0.77087257</v>
      </c>
      <c r="AX27" s="205">
        <v>-0.6076585</v>
      </c>
      <c r="AY27" s="205">
        <v>-0.440678</v>
      </c>
      <c r="AZ27" s="205">
        <v>-0.4187068</v>
      </c>
      <c r="BA27" s="205">
        <v>0.24670433</v>
      </c>
      <c r="BB27" s="205">
        <v>-0.6553672</v>
      </c>
      <c r="BC27" s="205">
        <v>-0.3283114</v>
      </c>
      <c r="BD27" s="205">
        <v>0.31889517</v>
      </c>
      <c r="BE27" s="205">
        <v>0.38166981</v>
      </c>
      <c r="BF27" s="205">
        <v>0.10169492</v>
      </c>
      <c r="BG27" s="205">
        <v>-0.4507219</v>
      </c>
      <c r="BH27" s="205">
        <v>0.38041431</v>
      </c>
      <c r="BI27" s="205">
        <v>-0.6352793</v>
      </c>
      <c r="BJ27" s="205">
        <v>-0.4532329</v>
      </c>
      <c r="BK27" s="205">
        <v>0.88135593</v>
      </c>
      <c r="BL27" s="205">
        <v>-0.9196485</v>
      </c>
      <c r="BM27" s="205">
        <v>0.89704959</v>
      </c>
      <c r="BN27" s="205">
        <v>-0.5134965</v>
      </c>
      <c r="BO27" s="205">
        <v>-0.7903327</v>
      </c>
      <c r="BP27" s="205">
        <v>0.23226616</v>
      </c>
      <c r="BQ27" s="205">
        <v>0.32705587</v>
      </c>
      <c r="BR27" s="206"/>
      <c r="BS27" s="207">
        <f t="shared" si="6"/>
        <v>0.0001992890476</v>
      </c>
      <c r="BT27" s="207">
        <f t="shared" si="7"/>
        <v>0.5016024174</v>
      </c>
      <c r="BU27" s="206"/>
      <c r="BV27" s="207">
        <f>IFERROR(__xludf.DUMMYFUNCTION("AVERAGE(ARRAYFORMULA(XLOOKUP(FILTER(INDIRECT(""'""&amp;BV$1&amp;""'!$C$4:$C$66""),INDIRECT(""'""&amp;BV$1&amp;""'!$D$4:$D$66"")=BV$2),$G$4:$BQ$4,$G27:$BQ27)))"),-0.2919917542857143)</f>
        <v>-0.2919917543</v>
      </c>
      <c r="BW27" s="207" t="str">
        <f>IFERROR(__xludf.DUMMYFUNCTION("IF(OR(BV27&gt;$BS27+$BT27*$BT$2,BV27&lt;$BS27-$BT27*$BT$2),AVEDEV(ARRAYFORMULA(XLOOKUP(FILTER(INDIRECT(""'""&amp;BV$1&amp;""'!$C$4:$C$66""),INDIRECT(""'""&amp;BV$1&amp;""'!$D$4:$D$66"")=BV$2),$G$4:$BQ$4,$G27:$BQ27))),"""")"),"")</f>
        <v/>
      </c>
      <c r="BX27" s="208" t="str">
        <f t="shared" si="8"/>
        <v/>
      </c>
      <c r="BY27" s="207">
        <f>IFERROR(__xludf.DUMMYFUNCTION("AVERAGE(ARRAYFORMULA(XLOOKUP(FILTER(INDIRECT(""'""&amp;BY$1&amp;""'!$C$4:$C$66""),INDIRECT(""'""&amp;BY$1&amp;""'!$D$4:$D$66"")=BY$2),$G$4:$BQ$4,$G27:$BQ27)))"),0.018339168571428567)</f>
        <v>0.01833916857</v>
      </c>
      <c r="BZ27" s="207" t="str">
        <f>IFERROR(__xludf.DUMMYFUNCTION("IF(OR(BY27&gt;$BS27+$BT27*$BT$2,BY27&lt;$BS27-$BT27*$BT$2),AVEDEV(ARRAYFORMULA(XLOOKUP(FILTER(INDIRECT(""'""&amp;BY$1&amp;""'!$C$4:$C$66""),INDIRECT(""'""&amp;BY$1&amp;""'!$D$4:$D$66"")=BY$2),$G$4:$BQ$4,$G27:$BQ27))),"""")"),"")</f>
        <v/>
      </c>
      <c r="CA27" s="208" t="str">
        <f t="shared" si="9"/>
        <v/>
      </c>
      <c r="CB27" s="207">
        <f>IFERROR(__xludf.DUMMYFUNCTION("AVERAGE(ARRAYFORMULA(XLOOKUP(FILTER(INDIRECT(""'""&amp;CB$1&amp;""'!$C$4:$C$66""),INDIRECT(""'""&amp;CB$1&amp;""'!$D$4:$D$66"")=CB$2),$G$4:$BQ$4,$G27:$BQ27)))"),0.1379900763636364)</f>
        <v>0.1379900764</v>
      </c>
      <c r="CC27" s="207" t="str">
        <f>IFERROR(__xludf.DUMMYFUNCTION("IF(OR(CB27&gt;$BS27+$BT27*$BT$2,CB27&lt;$BS27-$BT27*$BT$2),AVEDEV(ARRAYFORMULA(XLOOKUP(FILTER(INDIRECT(""'""&amp;CB$1&amp;""'!$C$4:$C$66""),INDIRECT(""'""&amp;CB$1&amp;""'!$D$4:$D$66"")=CB$2),$G$4:$BQ$4,$G27:$BQ27))),"""")"),"")</f>
        <v/>
      </c>
      <c r="CD27" s="208" t="str">
        <f t="shared" si="10"/>
        <v/>
      </c>
      <c r="CE27" s="209" t="s">
        <v>444</v>
      </c>
      <c r="CF27" s="207">
        <f>IFERROR(__xludf.DUMMYFUNCTION("AVERAGE(ARRAYFORMULA(XLOOKUP(FILTER(INDIRECT(""'""&amp;CF$1&amp;""'!$C$4:$C$66""),INDIRECT(""'""&amp;CF$1&amp;""'!$D$4:$D$66"")=CF$2),$G$4:$BQ$4,$G27:$BQ27)))"),0.21425769249999999)</f>
        <v>0.2142576925</v>
      </c>
      <c r="CG27" s="207" t="str">
        <f>IFERROR(__xludf.DUMMYFUNCTION("IF(OR(CF27&gt;$BS27+$BT27*$BT$2,CF27&lt;$BS27-$BT27*$BT$2),AVEDEV(ARRAYFORMULA(XLOOKUP(FILTER(INDIRECT(""'""&amp;CF$1&amp;""'!$C$4:$C$66""),INDIRECT(""'""&amp;CF$1&amp;""'!$D$4:$D$66"")=CF$2),$G$4:$BQ$4,$G27:$BQ27))),"""")"),"")</f>
        <v/>
      </c>
      <c r="CH27" s="208" t="str">
        <f t="shared" si="11"/>
        <v/>
      </c>
      <c r="CI27" s="207">
        <f>IFERROR(__xludf.DUMMYFUNCTION("AVERAGE(ARRAYFORMULA(XLOOKUP(FILTER(INDIRECT(""'""&amp;CI$1&amp;""'!$C$4:$C$66""),INDIRECT(""'""&amp;CI$1&amp;""'!$D$4:$D$66"")=CI$2),$G$4:$BQ$4,$G27:$BQ27)))"),-0.04675697387096774)</f>
        <v>-0.04675697387</v>
      </c>
      <c r="CJ27" s="207" t="str">
        <f>IFERROR(__xludf.DUMMYFUNCTION("IF(OR(CI27&gt;$BS27+$BT27*$BT$2,CI27&lt;$BS27-$BT27*$BT$2),AVEDEV(ARRAYFORMULA(XLOOKUP(FILTER(INDIRECT(""'""&amp;CI$1&amp;""'!$C$4:$C$66""),INDIRECT(""'""&amp;CI$1&amp;""'!$D$4:$D$66"")=CI$2),$G$4:$BQ$4,$G27:$BQ27))),"""")"),"")</f>
        <v/>
      </c>
      <c r="CK27" s="208" t="str">
        <f t="shared" si="12"/>
        <v/>
      </c>
      <c r="CL27" s="207">
        <f>IFERROR(__xludf.DUMMYFUNCTION("AVERAGE(ARRAYFORMULA(XLOOKUP(FILTER(INDIRECT(""'""&amp;CL$1&amp;""'!$C$4:$C$66""),INDIRECT(""'""&amp;CL$1&amp;""'!$D$4:$D$66"")=CL$2),$G$4:$BQ$4,$G27:$BQ27)))"),0.17325801000000002)</f>
        <v>0.17325801</v>
      </c>
      <c r="CM27" s="207" t="str">
        <f>IFERROR(__xludf.DUMMYFUNCTION("IF(OR(CL27&gt;$BS27+$BT27*$BT$2,CL27&lt;$BS27-$BT27*$BT$2),AVEDEV(ARRAYFORMULA(XLOOKUP(FILTER(INDIRECT(""'""&amp;CL$1&amp;""'!$C$4:$C$66""),INDIRECT(""'""&amp;CL$1&amp;""'!$D$4:$D$66"")=CL$2),$G$4:$BQ$4,$G27:$BQ27))),"""")"),"")</f>
        <v/>
      </c>
      <c r="CN27" s="208" t="str">
        <f t="shared" si="13"/>
        <v/>
      </c>
      <c r="CO27" s="209" t="s">
        <v>444</v>
      </c>
      <c r="CP27" s="210">
        <f>IFERROR(__xludf.DUMMYFUNCTION("AVERAGE(ARRAYFORMULA(XLOOKUP(FILTER(INDIRECT(""'""&amp;CP$1&amp;""'!$C$4:$C$66""),INDIRECT(""'""&amp;CP$1&amp;""'!$D$4:$D$66"")=CP$2),$G$4:$BQ$4,$G27:$BQ27)))"),-0.208788446)</f>
        <v>-0.208788446</v>
      </c>
      <c r="CQ27" s="207" t="str">
        <f>IFERROR(__xludf.DUMMYFUNCTION("IF(OR(CP27&gt;$BS27+$BT27*$BT$2,CP27&lt;$BS27-$BT27*$BT$2),AVEDEV(ARRAYFORMULA(XLOOKUP(FILTER(INDIRECT(""'""&amp;CP$1&amp;""'!$C$4:$C$66""),INDIRECT(""'""&amp;CP$1&amp;""'!$D$4:$D$66"")=CP$2),$G$4:$BQ$4,$G27:$BQ27))),"""")"),"")</f>
        <v/>
      </c>
      <c r="CR27" s="208" t="str">
        <f t="shared" si="14"/>
        <v/>
      </c>
      <c r="CS27" s="210">
        <f>IFERROR(__xludf.DUMMYFUNCTION("AVERAGE(ARRAYFORMULA(XLOOKUP(FILTER(INDIRECT(""'""&amp;CS$1&amp;""'!$C$4:$C$66""),INDIRECT(""'""&amp;CS$1&amp;""'!$D$4:$D$66"")=CS$2),$G$4:$BQ$4,$G27:$BQ27)))"),0.08793278923076922)</f>
        <v>0.08793278923</v>
      </c>
      <c r="CT27" s="207" t="str">
        <f>IFERROR(__xludf.DUMMYFUNCTION("IF(OR(CS27&gt;$BS27+$BT27*$BT$2,CS27&lt;$BS27-$BT27*$BT$2),AVEDEV(ARRAYFORMULA(XLOOKUP(FILTER(INDIRECT(""'""&amp;CS$1&amp;""'!$C$4:$C$66""),INDIRECT(""'""&amp;CS$1&amp;""'!$D$4:$D$66"")=CS$2),$G$4:$BQ$4,$G27:$BQ27))),"""")"),"")</f>
        <v/>
      </c>
      <c r="CU27" s="208" t="str">
        <f t="shared" si="15"/>
        <v/>
      </c>
      <c r="CV27" s="210">
        <f>IFERROR(__xludf.DUMMYFUNCTION("AVERAGE(ARRAYFORMULA(XLOOKUP(FILTER(INDIRECT(""'""&amp;CV$1&amp;""'!$C$4:$C$66""),INDIRECT(""'""&amp;CV$1&amp;""'!$D$4:$D$66"")=CV$2),$G$4:$BQ$4,$G27:$BQ27)))"),0.17325801000000002)</f>
        <v>0.17325801</v>
      </c>
      <c r="CW27" s="207" t="str">
        <f>IFERROR(__xludf.DUMMYFUNCTION("IF(OR(CV27&gt;$BS27+$BT27*$BT$2,CV27&lt;$BS27-$BT27*$BT$2),AVEDEV(ARRAYFORMULA(XLOOKUP(FILTER(INDIRECT(""'""&amp;CV$1&amp;""'!$C$4:$C$66""),INDIRECT(""'""&amp;CV$1&amp;""'!$D$4:$D$66"")=CV$2),$G$4:$BQ$4,$G27:$BQ27))),"""")"),"")</f>
        <v/>
      </c>
      <c r="CX27" s="208" t="str">
        <f t="shared" si="16"/>
        <v/>
      </c>
      <c r="CY27" s="209" t="s">
        <v>444</v>
      </c>
      <c r="CZ27" s="210">
        <f>IFERROR(__xludf.DUMMYFUNCTION("AVERAGE(ARRAYFORMULA(XLOOKUP(FILTER(INDIRECT(""'""&amp;CZ$1&amp;""'!$C$4:$C$66""),INDIRECT(""'""&amp;CZ$1&amp;""'!$D$4:$D$66"")=CZ$2),$G$4:$BQ$4,$G27:$BQ27)))"),0.406555465)</f>
        <v>0.406555465</v>
      </c>
      <c r="DA27" s="207" t="str">
        <f>IFERROR(__xludf.DUMMYFUNCTION("IF(OR(CZ27&gt;$BS27+$BT27*$BT$2,CZ27&lt;$BS27-$BT27*$BT$2),AVEDEV(ARRAYFORMULA(XLOOKUP(FILTER(INDIRECT(""'""&amp;CZ$1&amp;""'!$C$4:$C$66""),INDIRECT(""'""&amp;CZ$1&amp;""'!$D$4:$D$66"")=CZ$2),$G$4:$BQ$4,$G27:$BQ27))),"""")"),"")</f>
        <v/>
      </c>
      <c r="DB27" s="208" t="str">
        <f t="shared" si="17"/>
        <v/>
      </c>
      <c r="DC27" s="210">
        <f>IFERROR(__xludf.DUMMYFUNCTION("AVERAGE(ARRAYFORMULA(XLOOKUP(FILTER(INDIRECT(""'""&amp;DC$1&amp;""'!$C$4:$C$66""),INDIRECT(""'""&amp;DC$1&amp;""'!$D$4:$D$66"")=DC$2),$G$4:$BQ$4,$G27:$BQ27)))"),0.11550533888888892)</f>
        <v>0.1155053389</v>
      </c>
      <c r="DD27" s="207" t="str">
        <f>IFERROR(__xludf.DUMMYFUNCTION("IF(OR(DC27&gt;$BS27+$BT27*$BT$2,DC27&lt;$BS27-$BT27*$BT$2),AVEDEV(ARRAYFORMULA(XLOOKUP(FILTER(INDIRECT(""'""&amp;DC$1&amp;""'!$C$4:$C$66""),INDIRECT(""'""&amp;DC$1&amp;""'!$D$4:$D$66"")=DC$2),$G$4:$BQ$4,$G27:$BQ27))),"""")"),"")</f>
        <v/>
      </c>
      <c r="DE27" s="208" t="str">
        <f t="shared" si="18"/>
        <v/>
      </c>
      <c r="DF27" s="210">
        <f>IFERROR(__xludf.DUMMYFUNCTION("AVERAGE(ARRAYFORMULA(XLOOKUP(FILTER(INDIRECT(""'""&amp;DF$1&amp;""'!$C$4:$C$66""),INDIRECT(""'""&amp;DF$1&amp;""'!$D$4:$D$66"")=DF$2),$G$4:$BQ$4,$G27:$BQ27)))"),-0.1669234627272727)</f>
        <v>-0.1669234627</v>
      </c>
      <c r="DG27" s="207" t="str">
        <f>IFERROR(__xludf.DUMMYFUNCTION("IF(OR(DF27&gt;$BS27+$BT27*$BT$2,DF27&lt;$BS27-$BT27*$BT$2),AVEDEV(ARRAYFORMULA(XLOOKUP(FILTER(INDIRECT(""'""&amp;DF$1&amp;""'!$C$4:$C$66""),INDIRECT(""'""&amp;DF$1&amp;""'!$D$4:$D$66"")=DF$2),$G$4:$BQ$4,$G27:$BQ27))),"""")"),"")</f>
        <v/>
      </c>
      <c r="DH27" s="208" t="str">
        <f t="shared" si="19"/>
        <v/>
      </c>
      <c r="DI27" s="210">
        <f>IFERROR(__xludf.DUMMYFUNCTION("AVERAGE(ARRAYFORMULA(XLOOKUP(FILTER(INDIRECT(""'""&amp;DI$1&amp;""'!$C$4:$C$66""),INDIRECT(""'""&amp;DI$1&amp;""'!$D$4:$D$66"")=DI$2),$G$4:$BQ$4,$G27:$BQ27)))"),0.371939735)</f>
        <v>0.371939735</v>
      </c>
      <c r="DJ27" s="207" t="str">
        <f>IFERROR(__xludf.DUMMYFUNCTION("IF(OR(DI27&gt;$BS27+$BT27*$BT$2,DI27&lt;$BS27-$BT27*$BT$2),AVEDEV(ARRAYFORMULA(XLOOKUP(FILTER(INDIRECT(""'""&amp;DI$1&amp;""'!$C$4:$C$66""),INDIRECT(""'""&amp;DI$1&amp;""'!$D$4:$D$66"")=DI$2),$G$4:$BQ$4,$G27:$BQ27))),"""")"),"")</f>
        <v/>
      </c>
      <c r="DK27" s="208" t="str">
        <f t="shared" si="20"/>
        <v/>
      </c>
      <c r="DL27" s="210">
        <f>IFERROR(__xludf.DUMMYFUNCTION("AVERAGE(ARRAYFORMULA(XLOOKUP(FILTER(INDIRECT(""'""&amp;DL$1&amp;""'!$C$4:$C$66""),INDIRECT(""'""&amp;DL$1&amp;""'!$D$4:$D$66"")=DL$2),$G$4:$BQ$4,$G27:$BQ27)))"),-0.38341851214285716)</f>
        <v>-0.3834185121</v>
      </c>
      <c r="DM27" s="207" t="str">
        <f>IFERROR(__xludf.DUMMYFUNCTION("IF(OR(DL27&gt;$BS27+$BT27*$BT$2,DL27&lt;$BS27-$BT27*$BT$2),AVEDEV(ARRAYFORMULA(XLOOKUP(FILTER(INDIRECT(""'""&amp;DL$1&amp;""'!$C$4:$C$66""),INDIRECT(""'""&amp;DL$1&amp;""'!$D$4:$D$66"")=DL$2),$G$4:$BQ$4,$G27:$BQ27))),"""")"),"")</f>
        <v/>
      </c>
      <c r="DN27" s="208" t="str">
        <f t="shared" si="21"/>
        <v/>
      </c>
      <c r="DO27" s="209" t="s">
        <v>444</v>
      </c>
      <c r="DP27" s="210">
        <f>IFERROR(__xludf.DUMMYFUNCTION("AVERAGE(ARRAYFORMULA(XLOOKUP(FILTER(INDIRECT(""'""&amp;DP$1&amp;""'!$C$4:$C$66""),INDIRECT(""'""&amp;DP$1&amp;""'!$D$4:$D$66"")=DP$2),$G$4:$BQ$4,$G27:$BQ27)))"),0.04333543033333334)</f>
        <v>0.04333543033</v>
      </c>
      <c r="DQ27" s="207" t="str">
        <f>IFERROR(__xludf.DUMMYFUNCTION("IF(OR(DP27&gt;$BS27+$BT27*$BT$2,DP27&lt;$BS27-$BT27*$BT$2),AVEDEV(ARRAYFORMULA(XLOOKUP(FILTER(INDIRECT(""'""&amp;DP$1&amp;""'!$C$4:$C$66""),INDIRECT(""'""&amp;DP$1&amp;""'!$D$4:$D$66"")=DP$2),$G$4:$BQ$4,$G27:$BQ27))),"""")"),"")</f>
        <v/>
      </c>
      <c r="DR27" s="208" t="str">
        <f t="shared" si="22"/>
        <v/>
      </c>
      <c r="DS27" s="210">
        <f>IFERROR(__xludf.DUMMYFUNCTION("AVERAGE(ARRAYFORMULA(XLOOKUP(FILTER(INDIRECT(""'""&amp;DS$1&amp;""'!$C$4:$C$66""),INDIRECT(""'""&amp;DS$1&amp;""'!$D$4:$D$66"")=DS$2),$G$4:$BQ$4,$G27:$BQ27)))"),0.2078538077777778)</f>
        <v>0.2078538078</v>
      </c>
      <c r="DT27" s="207" t="str">
        <f>IFERROR(__xludf.DUMMYFUNCTION("IF(OR(DS27&gt;$BS27+$BT27*$BT$2,DS27&lt;$BS27-$BT27*$BT$2),AVEDEV(ARRAYFORMULA(XLOOKUP(FILTER(INDIRECT(""'""&amp;DS$1&amp;""'!$C$4:$C$66""),INDIRECT(""'""&amp;DS$1&amp;""'!$D$4:$D$66"")=DS$2),$G$4:$BQ$4,$G27:$BQ27))),"""")"),"")</f>
        <v/>
      </c>
      <c r="DU27" s="208" t="str">
        <f t="shared" si="23"/>
        <v/>
      </c>
      <c r="DV27" s="210">
        <f>IFERROR(__xludf.DUMMYFUNCTION("AVERAGE(ARRAYFORMULA(XLOOKUP(FILTER(INDIRECT(""'""&amp;DV$1&amp;""'!$C$4:$C$66""),INDIRECT(""'""&amp;DV$1&amp;""'!$D$4:$D$66"")=DV$2),$G$4:$BQ$4,$G27:$BQ27)))"),-0.5143596874999999)</f>
        <v>-0.5143596875</v>
      </c>
      <c r="DW27" s="207">
        <f>IFERROR(__xludf.DUMMYFUNCTION("IF(OR(DV27&gt;$BS27+$BT27*$BT$2,DV27&lt;$BS27-$BT27*$BT$2),AVEDEV(ARRAYFORMULA(XLOOKUP(FILTER(INDIRECT(""'""&amp;DV$1&amp;""'!$C$4:$C$66""),INDIRECT(""'""&amp;DV$1&amp;""'!$D$4:$D$66"")=DV$2),$G$4:$BQ$4,$G27:$BQ27))),"""")"),0.12044883749999999)</f>
        <v>0.1204488375</v>
      </c>
      <c r="DX27" s="208">
        <f t="shared" si="24"/>
        <v>-0.0129565591</v>
      </c>
      <c r="DY27" s="210">
        <f>IFERROR(__xludf.DUMMYFUNCTION("AVERAGE(ARRAYFORMULA(XLOOKUP(FILTER(INDIRECT(""'""&amp;DY$1&amp;""'!$C$4:$C$66""),INDIRECT(""'""&amp;DY$1&amp;""'!$D$4:$D$66"")=DY$2),$G$4:$BQ$4,$G27:$BQ27)))"),0.27920765)</f>
        <v>0.27920765</v>
      </c>
      <c r="DZ27" s="207" t="str">
        <f>IFERROR(__xludf.DUMMYFUNCTION("IF(OR(DY27&gt;$BS27+$BT27*$BT$2,DY27&lt;$BS27-$BT27*$BT$2),AVEDEV(ARRAYFORMULA(XLOOKUP(FILTER(INDIRECT(""'""&amp;DY$1&amp;""'!$C$4:$C$66""),INDIRECT(""'""&amp;DY$1&amp;""'!$D$4:$D$66"")=DY$2),$G$4:$BQ$4,$G27:$BQ27))),"""")"),"")</f>
        <v/>
      </c>
      <c r="EA27" s="208" t="str">
        <f t="shared" si="25"/>
        <v/>
      </c>
      <c r="EB27" s="191"/>
    </row>
    <row r="28" outlineLevel="1">
      <c r="A28" s="2"/>
      <c r="B28" s="204">
        <v>24.0</v>
      </c>
      <c r="C28" s="204" t="s">
        <v>442</v>
      </c>
      <c r="D28" s="204" t="s">
        <v>467</v>
      </c>
      <c r="E28" s="205" t="b">
        <f>VLOOKUP(D28,'Feature Set List'!A24:C246,2,0)</f>
        <v>1</v>
      </c>
      <c r="F28" s="205" t="b">
        <f>VLOOKUP(D28,'Feature Set List'!A24:C246,3,0)</f>
        <v>1</v>
      </c>
      <c r="G28" s="205">
        <v>-0.0328172</v>
      </c>
      <c r="H28" s="205">
        <v>-0.442208</v>
      </c>
      <c r="I28" s="205">
        <v>-0.7116387</v>
      </c>
      <c r="J28" s="205">
        <v>0.53385641</v>
      </c>
      <c r="K28" s="205">
        <v>-0.6960543</v>
      </c>
      <c r="L28" s="205">
        <v>-0.1429571</v>
      </c>
      <c r="M28" s="205">
        <v>0.18296712</v>
      </c>
      <c r="N28" s="205">
        <v>0.63432499</v>
      </c>
      <c r="O28" s="205">
        <v>0.05304698</v>
      </c>
      <c r="P28" s="205">
        <v>-0.714336</v>
      </c>
      <c r="Q28" s="205">
        <v>-0.1789212</v>
      </c>
      <c r="R28" s="205">
        <v>-1.117583</v>
      </c>
      <c r="S28" s="205">
        <v>0.78281757</v>
      </c>
      <c r="T28" s="205">
        <v>-0.4425077</v>
      </c>
      <c r="U28" s="205">
        <v>1.21783278</v>
      </c>
      <c r="V28" s="205">
        <v>-0.7005498</v>
      </c>
      <c r="W28" s="205">
        <v>0.65866666</v>
      </c>
      <c r="X28" s="205">
        <v>1.469731</v>
      </c>
      <c r="Y28" s="205">
        <v>0.02037963</v>
      </c>
      <c r="Z28" s="205">
        <v>0.17682327</v>
      </c>
      <c r="AA28" s="205">
        <v>0.47112911</v>
      </c>
      <c r="AB28" s="205">
        <v>1.43766306</v>
      </c>
      <c r="AC28" s="205">
        <v>1.53521555</v>
      </c>
      <c r="AD28" s="205">
        <v>-0.4951051</v>
      </c>
      <c r="AE28" s="205">
        <v>-0.1008492</v>
      </c>
      <c r="AF28" s="205">
        <v>-0.557293</v>
      </c>
      <c r="AG28" s="205">
        <v>-0.5094908</v>
      </c>
      <c r="AH28" s="205">
        <v>1.55919159</v>
      </c>
      <c r="AI28" s="205">
        <v>-0.3746256</v>
      </c>
      <c r="AJ28" s="205">
        <v>-0.0681819</v>
      </c>
      <c r="AK28" s="205">
        <v>0.64771261</v>
      </c>
      <c r="AL28" s="205">
        <v>0.09290714</v>
      </c>
      <c r="AM28" s="205">
        <v>0.49592932</v>
      </c>
      <c r="AN28" s="205">
        <v>-0.6968035</v>
      </c>
      <c r="AO28" s="205">
        <v>-0.0687813</v>
      </c>
      <c r="AP28" s="205">
        <v>0.19135874</v>
      </c>
      <c r="AQ28" s="205">
        <v>-0.1296204</v>
      </c>
      <c r="AR28" s="205">
        <v>-0.4188314</v>
      </c>
      <c r="AS28" s="205">
        <v>0.0</v>
      </c>
      <c r="AT28" s="205">
        <v>-0.028022</v>
      </c>
      <c r="AU28" s="205">
        <v>-0.1129871</v>
      </c>
      <c r="AV28" s="205">
        <v>1.39255814</v>
      </c>
      <c r="AW28" s="205">
        <v>0.07612391</v>
      </c>
      <c r="AX28" s="205">
        <v>0.34600417</v>
      </c>
      <c r="AY28" s="205">
        <v>2.07422681</v>
      </c>
      <c r="AZ28" s="205">
        <v>1.18966093</v>
      </c>
      <c r="BA28" s="205">
        <v>-0.7240763</v>
      </c>
      <c r="BB28" s="205">
        <v>0.99725325</v>
      </c>
      <c r="BC28" s="205">
        <v>0.10879126</v>
      </c>
      <c r="BD28" s="205">
        <v>-0.4210791</v>
      </c>
      <c r="BE28" s="205">
        <v>2.74855282</v>
      </c>
      <c r="BF28" s="205">
        <v>-0.4129872</v>
      </c>
      <c r="BG28" s="205">
        <v>-0.1895605</v>
      </c>
      <c r="BH28" s="205">
        <v>-0.2265735</v>
      </c>
      <c r="BI28" s="205">
        <v>-0.1873128</v>
      </c>
      <c r="BJ28" s="205">
        <v>-0.4327674</v>
      </c>
      <c r="BK28" s="205">
        <v>0.25864149</v>
      </c>
      <c r="BL28" s="205">
        <v>-1.5476531</v>
      </c>
      <c r="BM28" s="205">
        <v>-0.0116883</v>
      </c>
      <c r="BN28" s="205">
        <v>0.92652394</v>
      </c>
      <c r="BO28" s="205">
        <v>1.49820255</v>
      </c>
      <c r="BP28" s="205">
        <v>0.27557456</v>
      </c>
      <c r="BQ28" s="205">
        <v>0.09560444</v>
      </c>
      <c r="BR28" s="206"/>
      <c r="BS28" s="207">
        <f t="shared" si="6"/>
        <v>0.1786572905</v>
      </c>
      <c r="BT28" s="207">
        <f t="shared" si="7"/>
        <v>0.6107244507</v>
      </c>
      <c r="BU28" s="206"/>
      <c r="BV28" s="207">
        <f>IFERROR(__xludf.DUMMYFUNCTION("AVERAGE(ARRAYFORMULA(XLOOKUP(FILTER(INDIRECT(""'""&amp;BV$1&amp;""'!$C$4:$C$66""),INDIRECT(""'""&amp;BV$1&amp;""'!$D$4:$D$66"")=BV$2),$G$4:$BQ$4,$G28:$BQ28)))"),0.9844517514285714)</f>
        <v>0.9844517514</v>
      </c>
      <c r="BW28" s="207">
        <f>IFERROR(__xludf.DUMMYFUNCTION("IF(OR(BV28&gt;$BS28+$BT28*$BT$2,BV28&lt;$BS28-$BT28*$BT$2),AVEDEV(ARRAYFORMULA(XLOOKUP(FILTER(INDIRECT(""'""&amp;BV$1&amp;""'!$C$4:$C$66""),INDIRECT(""'""&amp;BV$1&amp;""'!$D$4:$D$66"")=BV$2),$G$4:$BQ$4,$G28:$BQ28))),"""")"),1.0243822579591837)</f>
        <v>1.024382258</v>
      </c>
      <c r="BX28" s="208">
        <f t="shared" si="8"/>
        <v>0.1950700102</v>
      </c>
      <c r="BY28" s="207">
        <f>IFERROR(__xludf.DUMMYFUNCTION("AVERAGE(ARRAYFORMULA(XLOOKUP(FILTER(INDIRECT(""'""&amp;BY$1&amp;""'!$C$4:$C$66""),INDIRECT(""'""&amp;BY$1&amp;""'!$D$4:$D$66"")=BY$2),$G$4:$BQ$4,$G28:$BQ28)))"),0.14723698095238097)</f>
        <v>0.147236981</v>
      </c>
      <c r="BZ28" s="207" t="str">
        <f>IFERROR(__xludf.DUMMYFUNCTION("IF(OR(BY28&gt;$BS28+$BT28*$BT$2,BY28&lt;$BS28-$BT28*$BT$2),AVEDEV(ARRAYFORMULA(XLOOKUP(FILTER(INDIRECT(""'""&amp;BY$1&amp;""'!$C$4:$C$66""),INDIRECT(""'""&amp;BY$1&amp;""'!$D$4:$D$66"")=BY$2),$G$4:$BQ$4,$G28:$BQ28))),"""")"),"")</f>
        <v/>
      </c>
      <c r="CA28" s="208" t="str">
        <f t="shared" si="9"/>
        <v/>
      </c>
      <c r="CB28" s="207">
        <f>IFERROR(__xludf.DUMMYFUNCTION("AVERAGE(ARRAYFORMULA(XLOOKUP(FILTER(INDIRECT(""'""&amp;CB$1&amp;""'!$C$4:$C$66""),INDIRECT(""'""&amp;CB$1&amp;""'!$D$4:$D$66"")=CB$2),$G$4:$BQ$4,$G28:$BQ28)))"),-0.052181932727272735)</f>
        <v>-0.05218193273</v>
      </c>
      <c r="CC28" s="207" t="str">
        <f>IFERROR(__xludf.DUMMYFUNCTION("IF(OR(CB28&gt;$BS28+$BT28*$BT$2,CB28&lt;$BS28-$BT28*$BT$2),AVEDEV(ARRAYFORMULA(XLOOKUP(FILTER(INDIRECT(""'""&amp;CB$1&amp;""'!$C$4:$C$66""),INDIRECT(""'""&amp;CB$1&amp;""'!$D$4:$D$66"")=CB$2),$G$4:$BQ$4,$G28:$BQ28))),"""")"),"")</f>
        <v/>
      </c>
      <c r="CD28" s="208" t="str">
        <f t="shared" si="10"/>
        <v/>
      </c>
      <c r="CE28" s="209" t="s">
        <v>444</v>
      </c>
      <c r="CF28" s="207">
        <f>IFERROR(__xludf.DUMMYFUNCTION("AVERAGE(ARRAYFORMULA(XLOOKUP(FILTER(INDIRECT(""'""&amp;CF$1&amp;""'!$C$4:$C$66""),INDIRECT(""'""&amp;CF$1&amp;""'!$D$4:$D$66"")=CF$2),$G$4:$BQ$4,$G28:$BQ28)))"),0.05650346187500001)</f>
        <v>0.05650346188</v>
      </c>
      <c r="CG28" s="207" t="str">
        <f>IFERROR(__xludf.DUMMYFUNCTION("IF(OR(CF28&gt;$BS28+$BT28*$BT$2,CF28&lt;$BS28-$BT28*$BT$2),AVEDEV(ARRAYFORMULA(XLOOKUP(FILTER(INDIRECT(""'""&amp;CF$1&amp;""'!$C$4:$C$66""),INDIRECT(""'""&amp;CF$1&amp;""'!$D$4:$D$66"")=CF$2),$G$4:$BQ$4,$G28:$BQ28))),"""")"),"")</f>
        <v/>
      </c>
      <c r="CH28" s="208" t="str">
        <f t="shared" si="11"/>
        <v/>
      </c>
      <c r="CI28" s="207">
        <f>IFERROR(__xludf.DUMMYFUNCTION("AVERAGE(ARRAYFORMULA(XLOOKUP(FILTER(INDIRECT(""'""&amp;CI$1&amp;""'!$C$4:$C$66""),INDIRECT(""'""&amp;CI$1&amp;""'!$D$4:$D$66"")=CI$2),$G$4:$BQ$4,$G28:$BQ28)))"),0.40107654483870964)</f>
        <v>0.4010765448</v>
      </c>
      <c r="CJ28" s="207" t="str">
        <f>IFERROR(__xludf.DUMMYFUNCTION("IF(OR(CI28&gt;$BS28+$BT28*$BT$2,CI28&lt;$BS28-$BT28*$BT$2),AVEDEV(ARRAYFORMULA(XLOOKUP(FILTER(INDIRECT(""'""&amp;CI$1&amp;""'!$C$4:$C$66""),INDIRECT(""'""&amp;CI$1&amp;""'!$D$4:$D$66"")=CI$2),$G$4:$BQ$4,$G28:$BQ28))),"""")"),"")</f>
        <v/>
      </c>
      <c r="CK28" s="208" t="str">
        <f t="shared" si="12"/>
        <v/>
      </c>
      <c r="CL28" s="207">
        <f>IFERROR(__xludf.DUMMYFUNCTION("AVERAGE(ARRAYFORMULA(XLOOKUP(FILTER(INDIRECT(""'""&amp;CL$1&amp;""'!$C$4:$C$66""),INDIRECT(""'""&amp;CL$1&amp;""'!$D$4:$D$66"")=CL$2),$G$4:$BQ$4,$G28:$BQ28)))"),-0.41409609999999997)</f>
        <v>-0.4140961</v>
      </c>
      <c r="CM28" s="207" t="str">
        <f>IFERROR(__xludf.DUMMYFUNCTION("IF(OR(CL28&gt;$BS28+$BT28*$BT$2,CL28&lt;$BS28-$BT28*$BT$2),AVEDEV(ARRAYFORMULA(XLOOKUP(FILTER(INDIRECT(""'""&amp;CL$1&amp;""'!$C$4:$C$66""),INDIRECT(""'""&amp;CL$1&amp;""'!$D$4:$D$66"")=CL$2),$G$4:$BQ$4,$G28:$BQ28))),"""")"),"")</f>
        <v/>
      </c>
      <c r="CN28" s="208" t="str">
        <f t="shared" si="13"/>
        <v/>
      </c>
      <c r="CO28" s="209" t="s">
        <v>444</v>
      </c>
      <c r="CP28" s="210">
        <f>IFERROR(__xludf.DUMMYFUNCTION("AVERAGE(ARRAYFORMULA(XLOOKUP(FILTER(INDIRECT(""'""&amp;CP$1&amp;""'!$C$4:$C$66""),INDIRECT(""'""&amp;CP$1&amp;""'!$D$4:$D$66"")=CP$2),$G$4:$BQ$4,$G28:$BQ28)))"),0.894406642)</f>
        <v>0.894406642</v>
      </c>
      <c r="CQ28" s="207">
        <f>IFERROR(__xludf.DUMMYFUNCTION("IF(OR(CP28&gt;$BS28+$BT28*$BT$2,CP28&lt;$BS28-$BT28*$BT$2),AVEDEV(ARRAYFORMULA(XLOOKUP(FILTER(INDIRECT(""'""&amp;CP$1&amp;""'!$C$4:$C$66""),INDIRECT(""'""&amp;CP$1&amp;""'!$D$4:$D$66"")=CP$2),$G$4:$BQ$4,$G28:$BQ28))),"""")"),0.7077852618666667)</f>
        <v>0.7077852619</v>
      </c>
      <c r="CR28" s="208">
        <f t="shared" si="14"/>
        <v>0.1050249008</v>
      </c>
      <c r="CS28" s="210">
        <f>IFERROR(__xludf.DUMMYFUNCTION("AVERAGE(ARRAYFORMULA(XLOOKUP(FILTER(INDIRECT(""'""&amp;CS$1&amp;""'!$C$4:$C$66""),INDIRECT(""'""&amp;CS$1&amp;""'!$D$4:$D$66"")=CS$2),$G$4:$BQ$4,$G28:$BQ28)))"),0.06931149153846153)</f>
        <v>0.06931149154</v>
      </c>
      <c r="CT28" s="207" t="str">
        <f>IFERROR(__xludf.DUMMYFUNCTION("IF(OR(CS28&gt;$BS28+$BT28*$BT$2,CS28&lt;$BS28-$BT28*$BT$2),AVEDEV(ARRAYFORMULA(XLOOKUP(FILTER(INDIRECT(""'""&amp;CS$1&amp;""'!$C$4:$C$66""),INDIRECT(""'""&amp;CS$1&amp;""'!$D$4:$D$66"")=CS$2),$G$4:$BQ$4,$G28:$BQ28))),"""")"),"")</f>
        <v/>
      </c>
      <c r="CU28" s="208" t="str">
        <f t="shared" si="15"/>
        <v/>
      </c>
      <c r="CV28" s="210">
        <f>IFERROR(__xludf.DUMMYFUNCTION("AVERAGE(ARRAYFORMULA(XLOOKUP(FILTER(INDIRECT(""'""&amp;CV$1&amp;""'!$C$4:$C$66""),INDIRECT(""'""&amp;CV$1&amp;""'!$D$4:$D$66"")=CV$2),$G$4:$BQ$4,$G28:$BQ28)))"),-0.41409609999999997)</f>
        <v>-0.4140961</v>
      </c>
      <c r="CW28" s="207" t="str">
        <f>IFERROR(__xludf.DUMMYFUNCTION("IF(OR(CV28&gt;$BS28+$BT28*$BT$2,CV28&lt;$BS28-$BT28*$BT$2),AVEDEV(ARRAYFORMULA(XLOOKUP(FILTER(INDIRECT(""'""&amp;CV$1&amp;""'!$C$4:$C$66""),INDIRECT(""'""&amp;CV$1&amp;""'!$D$4:$D$66"")=CV$2),$G$4:$BQ$4,$G28:$BQ28))),"""")"),"")</f>
        <v/>
      </c>
      <c r="CX28" s="208" t="str">
        <f t="shared" si="16"/>
        <v/>
      </c>
      <c r="CY28" s="209" t="s">
        <v>444</v>
      </c>
      <c r="CZ28" s="210">
        <f>IFERROR(__xludf.DUMMYFUNCTION("AVERAGE(ARRAYFORMULA(XLOOKUP(FILTER(INDIRECT(""'""&amp;CZ$1&amp;""'!$C$4:$C$66""),INDIRECT(""'""&amp;CZ$1&amp;""'!$D$4:$D$66"")=CZ$2),$G$4:$BQ$4,$G28:$BQ28)))"),-0.016814693571428587)</f>
        <v>-0.01681469357</v>
      </c>
      <c r="DA28" s="207" t="str">
        <f>IFERROR(__xludf.DUMMYFUNCTION("IF(OR(CZ28&gt;$BS28+$BT28*$BT$2,CZ28&lt;$BS28-$BT28*$BT$2),AVEDEV(ARRAYFORMULA(XLOOKUP(FILTER(INDIRECT(""'""&amp;CZ$1&amp;""'!$C$4:$C$66""),INDIRECT(""'""&amp;CZ$1&amp;""'!$D$4:$D$66"")=CZ$2),$G$4:$BQ$4,$G28:$BQ28))),"""")"),"")</f>
        <v/>
      </c>
      <c r="DB28" s="208" t="str">
        <f t="shared" si="17"/>
        <v/>
      </c>
      <c r="DC28" s="210">
        <f>IFERROR(__xludf.DUMMYFUNCTION("AVERAGE(ARRAYFORMULA(XLOOKUP(FILTER(INDIRECT(""'""&amp;DC$1&amp;""'!$C$4:$C$66""),INDIRECT(""'""&amp;DC$1&amp;""'!$D$4:$D$66"")=DC$2),$G$4:$BQ$4,$G28:$BQ28)))"),-0.19466376555555553)</f>
        <v>-0.1946637656</v>
      </c>
      <c r="DD28" s="207" t="str">
        <f>IFERROR(__xludf.DUMMYFUNCTION("IF(OR(DC28&gt;$BS28+$BT28*$BT$2,DC28&lt;$BS28-$BT28*$BT$2),AVEDEV(ARRAYFORMULA(XLOOKUP(FILTER(INDIRECT(""'""&amp;DC$1&amp;""'!$C$4:$C$66""),INDIRECT(""'""&amp;DC$1&amp;""'!$D$4:$D$66"")=DC$2),$G$4:$BQ$4,$G28:$BQ28))),"""")"),"")</f>
        <v/>
      </c>
      <c r="DE28" s="208" t="str">
        <f t="shared" si="18"/>
        <v/>
      </c>
      <c r="DF28" s="210">
        <f>IFERROR(__xludf.DUMMYFUNCTION("AVERAGE(ARRAYFORMULA(XLOOKUP(FILTER(INDIRECT(""'""&amp;DF$1&amp;""'!$C$4:$C$66""),INDIRECT(""'""&amp;DF$1&amp;""'!$D$4:$D$66"")=DF$2),$G$4:$BQ$4,$G28:$BQ28)))"),0.922253210909091)</f>
        <v>0.9222532109</v>
      </c>
      <c r="DG28" s="207">
        <f>IFERROR(__xludf.DUMMYFUNCTION("IF(OR(DF28&gt;$BS28+$BT28*$BT$2,DF28&lt;$BS28-$BT28*$BT$2),AVEDEV(ARRAYFORMULA(XLOOKUP(FILTER(INDIRECT(""'""&amp;DF$1&amp;""'!$C$4:$C$66""),INDIRECT(""'""&amp;DF$1&amp;""'!$D$4:$D$66"")=DF$2),$G$4:$BQ$4,$G28:$BQ28))),"""")"),0.5598131917355372)</f>
        <v>0.5598131917</v>
      </c>
      <c r="DH28" s="208">
        <f t="shared" si="19"/>
        <v>0.1328714697</v>
      </c>
      <c r="DI28" s="210">
        <f>IFERROR(__xludf.DUMMYFUNCTION("AVERAGE(ARRAYFORMULA(XLOOKUP(FILTER(INDIRECT(""'""&amp;DI$1&amp;""'!$C$4:$C$66""),INDIRECT(""'""&amp;DI$1&amp;""'!$D$4:$D$66"")=DI$2),$G$4:$BQ$4,$G28:$BQ28)))"),-0.36083930000000003)</f>
        <v>-0.3608393</v>
      </c>
      <c r="DJ28" s="207" t="str">
        <f>IFERROR(__xludf.DUMMYFUNCTION("IF(OR(DI28&gt;$BS28+$BT28*$BT$2,DI28&lt;$BS28-$BT28*$BT$2),AVEDEV(ARRAYFORMULA(XLOOKUP(FILTER(INDIRECT(""'""&amp;DI$1&amp;""'!$C$4:$C$66""),INDIRECT(""'""&amp;DI$1&amp;""'!$D$4:$D$66"")=DI$2),$G$4:$BQ$4,$G28:$BQ28))),"""")"),"")</f>
        <v/>
      </c>
      <c r="DK28" s="208" t="str">
        <f t="shared" si="20"/>
        <v/>
      </c>
      <c r="DL28" s="210">
        <f>IFERROR(__xludf.DUMMYFUNCTION("AVERAGE(ARRAYFORMULA(XLOOKUP(FILTER(INDIRECT(""'""&amp;DL$1&amp;""'!$C$4:$C$66""),INDIRECT(""'""&amp;DL$1&amp;""'!$D$4:$D$66"")=DL$2),$G$4:$BQ$4,$G28:$BQ28)))"),-0.07985946999999997)</f>
        <v>-0.07985947</v>
      </c>
      <c r="DM28" s="207" t="str">
        <f>IFERROR(__xludf.DUMMYFUNCTION("IF(OR(DL28&gt;$BS28+$BT28*$BT$2,DL28&lt;$BS28-$BT28*$BT$2),AVEDEV(ARRAYFORMULA(XLOOKUP(FILTER(INDIRECT(""'""&amp;DL$1&amp;""'!$C$4:$C$66""),INDIRECT(""'""&amp;DL$1&amp;""'!$D$4:$D$66"")=DL$2),$G$4:$BQ$4,$G28:$BQ28))),"""")"),"")</f>
        <v/>
      </c>
      <c r="DN28" s="208" t="str">
        <f t="shared" si="21"/>
        <v/>
      </c>
      <c r="DO28" s="209" t="s">
        <v>444</v>
      </c>
      <c r="DP28" s="210">
        <f>IFERROR(__xludf.DUMMYFUNCTION("AVERAGE(ARRAYFORMULA(XLOOKUP(FILTER(INDIRECT(""'""&amp;DP$1&amp;""'!$C$4:$C$66""),INDIRECT(""'""&amp;DP$1&amp;""'!$D$4:$D$66"")=DP$2),$G$4:$BQ$4,$G28:$BQ28)))"),0.218656755)</f>
        <v>0.218656755</v>
      </c>
      <c r="DQ28" s="207" t="str">
        <f>IFERROR(__xludf.DUMMYFUNCTION("IF(OR(DP28&gt;$BS28+$BT28*$BT$2,DP28&lt;$BS28-$BT28*$BT$2),AVEDEV(ARRAYFORMULA(XLOOKUP(FILTER(INDIRECT(""'""&amp;DP$1&amp;""'!$C$4:$C$66""),INDIRECT(""'""&amp;DP$1&amp;""'!$D$4:$D$66"")=DP$2),$G$4:$BQ$4,$G28:$BQ28))),"""")"),"")</f>
        <v/>
      </c>
      <c r="DR28" s="208" t="str">
        <f t="shared" si="22"/>
        <v/>
      </c>
      <c r="DS28" s="210">
        <f>IFERROR(__xludf.DUMMYFUNCTION("AVERAGE(ARRAYFORMULA(XLOOKUP(FILTER(INDIRECT(""'""&amp;DS$1&amp;""'!$C$4:$C$66""),INDIRECT(""'""&amp;DS$1&amp;""'!$D$4:$D$66"")=DS$2),$G$4:$BQ$4,$G28:$BQ28)))"),0.01842325777777779)</f>
        <v>0.01842325778</v>
      </c>
      <c r="DT28" s="207" t="str">
        <f>IFERROR(__xludf.DUMMYFUNCTION("IF(OR(DS28&gt;$BS28+$BT28*$BT$2,DS28&lt;$BS28-$BT28*$BT$2),AVEDEV(ARRAYFORMULA(XLOOKUP(FILTER(INDIRECT(""'""&amp;DS$1&amp;""'!$C$4:$C$66""),INDIRECT(""'""&amp;DS$1&amp;""'!$D$4:$D$66"")=DS$2),$G$4:$BQ$4,$G28:$BQ28))),"""")"),"")</f>
        <v/>
      </c>
      <c r="DU28" s="208" t="str">
        <f t="shared" si="23"/>
        <v/>
      </c>
      <c r="DV28" s="210">
        <f>IFERROR(__xludf.DUMMYFUNCTION("AVERAGE(ARRAYFORMULA(XLOOKUP(FILTER(INDIRECT(""'""&amp;DV$1&amp;""'!$C$4:$C$66""),INDIRECT(""'""&amp;DV$1&amp;""'!$D$4:$D$66"")=DV$2),$G$4:$BQ$4,$G28:$BQ28)))"),0.57536866)</f>
        <v>0.57536866</v>
      </c>
      <c r="DW28" s="207" t="str">
        <f>IFERROR(__xludf.DUMMYFUNCTION("IF(OR(DV28&gt;$BS28+$BT28*$BT$2,DV28&lt;$BS28-$BT28*$BT$2),AVEDEV(ARRAYFORMULA(XLOOKUP(FILTER(INDIRECT(""'""&amp;DV$1&amp;""'!$C$4:$C$66""),INDIRECT(""'""&amp;DV$1&amp;""'!$D$4:$D$66"")=DV$2),$G$4:$BQ$4,$G28:$BQ28))),"""")"),"")</f>
        <v/>
      </c>
      <c r="DX28" s="208" t="str">
        <f t="shared" si="24"/>
        <v/>
      </c>
      <c r="DY28" s="210">
        <f>IFERROR(__xludf.DUMMYFUNCTION("AVERAGE(ARRAYFORMULA(XLOOKUP(FILTER(INDIRECT(""'""&amp;DY$1&amp;""'!$C$4:$C$66""),INDIRECT(""'""&amp;DY$1&amp;""'!$D$4:$D$66"")=DY$2),$G$4:$BQ$4,$G28:$BQ28)))"),0.19313197222222223)</f>
        <v>0.1931319722</v>
      </c>
      <c r="DZ28" s="207" t="str">
        <f>IFERROR(__xludf.DUMMYFUNCTION("IF(OR(DY28&gt;$BS28+$BT28*$BT$2,DY28&lt;$BS28-$BT28*$BT$2),AVEDEV(ARRAYFORMULA(XLOOKUP(FILTER(INDIRECT(""'""&amp;DY$1&amp;""'!$C$4:$C$66""),INDIRECT(""'""&amp;DY$1&amp;""'!$D$4:$D$66"")=DY$2),$G$4:$BQ$4,$G28:$BQ28))),"""")"),"")</f>
        <v/>
      </c>
      <c r="EA28" s="208" t="str">
        <f t="shared" si="25"/>
        <v/>
      </c>
      <c r="EB28" s="191"/>
    </row>
    <row r="29" outlineLevel="1">
      <c r="A29" s="2"/>
      <c r="B29" s="204">
        <v>25.0</v>
      </c>
      <c r="C29" s="204" t="s">
        <v>442</v>
      </c>
      <c r="D29" s="204" t="s">
        <v>468</v>
      </c>
      <c r="E29" s="205" t="b">
        <f>VLOOKUP(D29,'Feature Set List'!A25:C246,2,0)</f>
        <v>1</v>
      </c>
      <c r="F29" s="205" t="b">
        <f>VLOOKUP(D29,'Feature Set List'!A25:C246,3,0)</f>
        <v>1</v>
      </c>
      <c r="G29" s="205">
        <v>-0.4952603</v>
      </c>
      <c r="H29" s="205">
        <v>0.25555668</v>
      </c>
      <c r="I29" s="205">
        <v>2.29452958</v>
      </c>
      <c r="J29" s="205">
        <v>-1.1856287</v>
      </c>
      <c r="K29" s="205">
        <v>0.32720999</v>
      </c>
      <c r="L29" s="205">
        <v>0.57566223</v>
      </c>
      <c r="M29" s="205">
        <v>-1.5331371</v>
      </c>
      <c r="N29" s="205">
        <v>-0.6645692</v>
      </c>
      <c r="O29" s="205">
        <v>3.33177712</v>
      </c>
      <c r="P29" s="205">
        <v>0.03876992</v>
      </c>
      <c r="Q29" s="205">
        <v>0.67126763</v>
      </c>
      <c r="R29" s="205">
        <v>-0.3410332</v>
      </c>
      <c r="S29" s="205">
        <v>2.05297879</v>
      </c>
      <c r="T29" s="205">
        <v>1.32528164</v>
      </c>
      <c r="U29" s="205">
        <v>-0.4424663</v>
      </c>
      <c r="V29" s="205">
        <v>0.24845225</v>
      </c>
      <c r="W29" s="205">
        <v>-1.8680605</v>
      </c>
      <c r="X29" s="205">
        <v>4.34872628</v>
      </c>
      <c r="Y29" s="205">
        <v>-0.4420786</v>
      </c>
      <c r="Z29" s="205">
        <v>0.07185629</v>
      </c>
      <c r="AA29" s="205">
        <v>-0.679793</v>
      </c>
      <c r="AB29" s="205">
        <v>0.74982239</v>
      </c>
      <c r="AC29" s="205">
        <v>0.0</v>
      </c>
      <c r="AD29" s="205">
        <v>-0.5749315</v>
      </c>
      <c r="AE29" s="205">
        <v>0.98223891</v>
      </c>
      <c r="AF29" s="205">
        <v>0.32518015</v>
      </c>
      <c r="AG29" s="205">
        <v>0.58012788</v>
      </c>
      <c r="AH29" s="205">
        <v>-0.1481782</v>
      </c>
      <c r="AI29" s="205">
        <v>0.2667208</v>
      </c>
      <c r="AJ29" s="205">
        <v>-2.3201056</v>
      </c>
      <c r="AK29" s="205">
        <v>-0.1991272</v>
      </c>
      <c r="AL29" s="205">
        <v>0.33289353</v>
      </c>
      <c r="AM29" s="205">
        <v>-2.3966305</v>
      </c>
      <c r="AN29" s="205">
        <v>-1.3147265</v>
      </c>
      <c r="AO29" s="205">
        <v>0.14980209</v>
      </c>
      <c r="AP29" s="205">
        <v>-0.2304882</v>
      </c>
      <c r="AQ29" s="205">
        <v>0.73662844</v>
      </c>
      <c r="AR29" s="205">
        <v>0.01339693</v>
      </c>
      <c r="AS29" s="205">
        <v>-0.0332894</v>
      </c>
      <c r="AT29" s="205">
        <v>-1.4076931</v>
      </c>
      <c r="AU29" s="205">
        <v>0.07733685</v>
      </c>
      <c r="AV29" s="205">
        <v>0.73784634</v>
      </c>
      <c r="AW29" s="205">
        <v>0.47721506</v>
      </c>
      <c r="AX29" s="205">
        <v>-1.8400487</v>
      </c>
      <c r="AY29" s="205">
        <v>0.0641429</v>
      </c>
      <c r="AZ29" s="205">
        <v>-1.5079671</v>
      </c>
      <c r="BA29" s="205">
        <v>0.00385669</v>
      </c>
      <c r="BB29" s="205">
        <v>2.61524409</v>
      </c>
      <c r="BC29" s="205">
        <v>-0.3135492</v>
      </c>
      <c r="BD29" s="205">
        <v>0.13721709</v>
      </c>
      <c r="BE29" s="205">
        <v>3.81690856</v>
      </c>
      <c r="BF29" s="205">
        <v>-1.8804425</v>
      </c>
      <c r="BG29" s="205">
        <v>-0.1122501</v>
      </c>
      <c r="BH29" s="205">
        <v>-0.5472242</v>
      </c>
      <c r="BI29" s="205">
        <v>-2.8957678</v>
      </c>
      <c r="BJ29" s="205">
        <v>-1.4878717</v>
      </c>
      <c r="BK29" s="205">
        <v>0.00913427</v>
      </c>
      <c r="BL29" s="205">
        <v>0.17273927</v>
      </c>
      <c r="BM29" s="205">
        <v>-1.1149904</v>
      </c>
      <c r="BN29" s="205">
        <v>-0.704963</v>
      </c>
      <c r="BO29" s="205">
        <v>-0.6753273</v>
      </c>
      <c r="BP29" s="205">
        <v>-0.1918198</v>
      </c>
      <c r="BQ29" s="205">
        <v>-0.2157718</v>
      </c>
      <c r="BR29" s="206"/>
      <c r="BS29" s="207">
        <f t="shared" si="6"/>
        <v>-0.03134396921</v>
      </c>
      <c r="BT29" s="207">
        <f t="shared" si="7"/>
        <v>0.914080243</v>
      </c>
      <c r="BU29" s="206"/>
      <c r="BV29" s="207">
        <f>IFERROR(__xludf.DUMMYFUNCTION("AVERAGE(ARRAYFORMULA(XLOOKUP(FILTER(INDIRECT(""'""&amp;BV$1&amp;""'!$C$4:$C$66""),INDIRECT(""'""&amp;BV$1&amp;""'!$D$4:$D$66"")=BV$2),$G$4:$BQ$4,$G29:$BQ29)))"),1.5321566985714286)</f>
        <v>1.532156699</v>
      </c>
      <c r="BW29" s="207">
        <f>IFERROR(__xludf.DUMMYFUNCTION("IF(OR(BV29&gt;$BS29+$BT29*$BT$2,BV29&lt;$BS29-$BT29*$BT$2),AVEDEV(ARRAYFORMULA(XLOOKUP(FILTER(INDIRECT(""'""&amp;BV$1&amp;""'!$C$4:$C$66""),INDIRECT(""'""&amp;BV$1&amp;""'!$D$4:$D$66"")=BV$2),$G$4:$BQ$4,$G29:$BQ29))),"""")"),1.766973952653061)</f>
        <v>1.766973953</v>
      </c>
      <c r="BX29" s="208">
        <f t="shared" si="8"/>
        <v>0.6494204248</v>
      </c>
      <c r="BY29" s="207">
        <f>IFERROR(__xludf.DUMMYFUNCTION("AVERAGE(ARRAYFORMULA(XLOOKUP(FILTER(INDIRECT(""'""&amp;BY$1&amp;""'!$C$4:$C$66""),INDIRECT(""'""&amp;BY$1&amp;""'!$D$4:$D$66"")=BY$2),$G$4:$BQ$4,$G29:$BQ29)))"),-0.25038350238095236)</f>
        <v>-0.2503835024</v>
      </c>
      <c r="BZ29" s="207" t="str">
        <f>IFERROR(__xludf.DUMMYFUNCTION("IF(OR(BY29&gt;$BS29+$BT29*$BT$2,BY29&lt;$BS29-$BT29*$BT$2),AVEDEV(ARRAYFORMULA(XLOOKUP(FILTER(INDIRECT(""'""&amp;BY$1&amp;""'!$C$4:$C$66""),INDIRECT(""'""&amp;BY$1&amp;""'!$D$4:$D$66"")=BY$2),$G$4:$BQ$4,$G29:$BQ29))),"""")"),"")</f>
        <v/>
      </c>
      <c r="CA29" s="208" t="str">
        <f t="shared" si="9"/>
        <v/>
      </c>
      <c r="CB29" s="207">
        <f>IFERROR(__xludf.DUMMYFUNCTION("AVERAGE(ARRAYFORMULA(XLOOKUP(FILTER(INDIRECT(""'""&amp;CB$1&amp;""'!$C$4:$C$66""),INDIRECT(""'""&amp;CB$1&amp;""'!$D$4:$D$66"")=CB$2),$G$4:$BQ$4,$G29:$BQ29)))"),-0.42661303363636366)</f>
        <v>-0.4266130336</v>
      </c>
      <c r="CC29" s="207" t="str">
        <f>IFERROR(__xludf.DUMMYFUNCTION("IF(OR(CB29&gt;$BS29+$BT29*$BT$2,CB29&lt;$BS29-$BT29*$BT$2),AVEDEV(ARRAYFORMULA(XLOOKUP(FILTER(INDIRECT(""'""&amp;CB$1&amp;""'!$C$4:$C$66""),INDIRECT(""'""&amp;CB$1&amp;""'!$D$4:$D$66"")=CB$2),$G$4:$BQ$4,$G29:$BQ29))),"""")"),"")</f>
        <v/>
      </c>
      <c r="CD29" s="208" t="str">
        <f t="shared" si="10"/>
        <v/>
      </c>
      <c r="CE29" s="209" t="s">
        <v>444</v>
      </c>
      <c r="CF29" s="207">
        <f>IFERROR(__xludf.DUMMYFUNCTION("AVERAGE(ARRAYFORMULA(XLOOKUP(FILTER(INDIRECT(""'""&amp;CF$1&amp;""'!$C$4:$C$66""),INDIRECT(""'""&amp;CF$1&amp;""'!$D$4:$D$66"")=CF$2),$G$4:$BQ$4,$G29:$BQ29)))"),0.029936181250000027)</f>
        <v>0.02993618125</v>
      </c>
      <c r="CG29" s="207" t="str">
        <f>IFERROR(__xludf.DUMMYFUNCTION("IF(OR(CF29&gt;$BS29+$BT29*$BT$2,CF29&lt;$BS29-$BT29*$BT$2),AVEDEV(ARRAYFORMULA(XLOOKUP(FILTER(INDIRECT(""'""&amp;CF$1&amp;""'!$C$4:$C$66""),INDIRECT(""'""&amp;CF$1&amp;""'!$D$4:$D$66"")=CF$2),$G$4:$BQ$4,$G29:$BQ29))),"""")"),"")</f>
        <v/>
      </c>
      <c r="CH29" s="208" t="str">
        <f t="shared" si="11"/>
        <v/>
      </c>
      <c r="CI29" s="207">
        <f>IFERROR(__xludf.DUMMYFUNCTION("AVERAGE(ARRAYFORMULA(XLOOKUP(FILTER(INDIRECT(""'""&amp;CI$1&amp;""'!$C$4:$C$66""),INDIRECT(""'""&amp;CI$1&amp;""'!$D$4:$D$66"")=CI$2),$G$4:$BQ$4,$G29:$BQ29)))"),-0.21755287419354838)</f>
        <v>-0.2175528742</v>
      </c>
      <c r="CJ29" s="207" t="str">
        <f>IFERROR(__xludf.DUMMYFUNCTION("IF(OR(CI29&gt;$BS29+$BT29*$BT$2,CI29&lt;$BS29-$BT29*$BT$2),AVEDEV(ARRAYFORMULA(XLOOKUP(FILTER(INDIRECT(""'""&amp;CI$1&amp;""'!$C$4:$C$66""),INDIRECT(""'""&amp;CI$1&amp;""'!$D$4:$D$66"")=CI$2),$G$4:$BQ$4,$G29:$BQ29))),"""")"),"")</f>
        <v/>
      </c>
      <c r="CK29" s="208" t="str">
        <f t="shared" si="12"/>
        <v/>
      </c>
      <c r="CL29" s="207">
        <f>IFERROR(__xludf.DUMMYFUNCTION("AVERAGE(ARRAYFORMULA(XLOOKUP(FILTER(INDIRECT(""'""&amp;CL$1&amp;""'!$C$4:$C$66""),INDIRECT(""'""&amp;CL$1&amp;""'!$D$4:$D$66"")=CL$2),$G$4:$BQ$4,$G29:$BQ29)))"),0.24447375)</f>
        <v>0.24447375</v>
      </c>
      <c r="CM29" s="207" t="str">
        <f>IFERROR(__xludf.DUMMYFUNCTION("IF(OR(CL29&gt;$BS29+$BT29*$BT$2,CL29&lt;$BS29-$BT29*$BT$2),AVEDEV(ARRAYFORMULA(XLOOKUP(FILTER(INDIRECT(""'""&amp;CL$1&amp;""'!$C$4:$C$66""),INDIRECT(""'""&amp;CL$1&amp;""'!$D$4:$D$66"")=CL$2),$G$4:$BQ$4,$G29:$BQ29))),"""")"),"")</f>
        <v/>
      </c>
      <c r="CN29" s="208" t="str">
        <f t="shared" si="13"/>
        <v/>
      </c>
      <c r="CO29" s="209" t="s">
        <v>444</v>
      </c>
      <c r="CP29" s="210">
        <f>IFERROR(__xludf.DUMMYFUNCTION("AVERAGE(ARRAYFORMULA(XLOOKUP(FILTER(INDIRECT(""'""&amp;CP$1&amp;""'!$C$4:$C$66""),INDIRECT(""'""&amp;CP$1&amp;""'!$D$4:$D$66"")=CP$2),$G$4:$BQ$4,$G29:$BQ29)))"),0.4295055886666666)</f>
        <v>0.4295055887</v>
      </c>
      <c r="CQ29" s="207" t="str">
        <f>IFERROR(__xludf.DUMMYFUNCTION("IF(OR(CP29&gt;$BS29+$BT29*$BT$2,CP29&lt;$BS29-$BT29*$BT$2),AVEDEV(ARRAYFORMULA(XLOOKUP(FILTER(INDIRECT(""'""&amp;CP$1&amp;""'!$C$4:$C$66""),INDIRECT(""'""&amp;CP$1&amp;""'!$D$4:$D$66"")=CP$2),$G$4:$BQ$4,$G29:$BQ29))),"""")"),"")</f>
        <v/>
      </c>
      <c r="CR29" s="208" t="str">
        <f t="shared" si="14"/>
        <v/>
      </c>
      <c r="CS29" s="210">
        <f>IFERROR(__xludf.DUMMYFUNCTION("AVERAGE(ARRAYFORMULA(XLOOKUP(FILTER(INDIRECT(""'""&amp;CS$1&amp;""'!$C$4:$C$66""),INDIRECT(""'""&amp;CS$1&amp;""'!$D$4:$D$66"")=CS$2),$G$4:$BQ$4,$G29:$BQ29)))"),-0.31593449820512826)</f>
        <v>-0.3159344982</v>
      </c>
      <c r="CT29" s="207" t="str">
        <f>IFERROR(__xludf.DUMMYFUNCTION("IF(OR(CS29&gt;$BS29+$BT29*$BT$2,CS29&lt;$BS29-$BT29*$BT$2),AVEDEV(ARRAYFORMULA(XLOOKUP(FILTER(INDIRECT(""'""&amp;CS$1&amp;""'!$C$4:$C$66""),INDIRECT(""'""&amp;CS$1&amp;""'!$D$4:$D$66"")=CS$2),$G$4:$BQ$4,$G29:$BQ29))),"""")"),"")</f>
        <v/>
      </c>
      <c r="CU29" s="208" t="str">
        <f t="shared" si="15"/>
        <v/>
      </c>
      <c r="CV29" s="210">
        <f>IFERROR(__xludf.DUMMYFUNCTION("AVERAGE(ARRAYFORMULA(XLOOKUP(FILTER(INDIRECT(""'""&amp;CV$1&amp;""'!$C$4:$C$66""),INDIRECT(""'""&amp;CV$1&amp;""'!$D$4:$D$66"")=CV$2),$G$4:$BQ$4,$G29:$BQ29)))"),0.24447375)</f>
        <v>0.24447375</v>
      </c>
      <c r="CW29" s="207" t="str">
        <f>IFERROR(__xludf.DUMMYFUNCTION("IF(OR(CV29&gt;$BS29+$BT29*$BT$2,CV29&lt;$BS29-$BT29*$BT$2),AVEDEV(ARRAYFORMULA(XLOOKUP(FILTER(INDIRECT(""'""&amp;CV$1&amp;""'!$C$4:$C$66""),INDIRECT(""'""&amp;CV$1&amp;""'!$D$4:$D$66"")=CV$2),$G$4:$BQ$4,$G29:$BQ29))),"""")"),"")</f>
        <v/>
      </c>
      <c r="CX29" s="208" t="str">
        <f t="shared" si="16"/>
        <v/>
      </c>
      <c r="CY29" s="209" t="s">
        <v>444</v>
      </c>
      <c r="CZ29" s="210">
        <f>IFERROR(__xludf.DUMMYFUNCTION("AVERAGE(ARRAYFORMULA(XLOOKUP(FILTER(INDIRECT(""'""&amp;CZ$1&amp;""'!$C$4:$C$66""),INDIRECT(""'""&amp;CZ$1&amp;""'!$D$4:$D$66"")=CZ$2),$G$4:$BQ$4,$G29:$BQ29)))"),-0.019377712857142897)</f>
        <v>-0.01937771286</v>
      </c>
      <c r="DA29" s="207" t="str">
        <f>IFERROR(__xludf.DUMMYFUNCTION("IF(OR(CZ29&gt;$BS29+$BT29*$BT$2,CZ29&lt;$BS29-$BT29*$BT$2),AVEDEV(ARRAYFORMULA(XLOOKUP(FILTER(INDIRECT(""'""&amp;CZ$1&amp;""'!$C$4:$C$66""),INDIRECT(""'""&amp;CZ$1&amp;""'!$D$4:$D$66"")=CZ$2),$G$4:$BQ$4,$G29:$BQ29))),"""")"),"")</f>
        <v/>
      </c>
      <c r="DB29" s="208" t="str">
        <f t="shared" si="17"/>
        <v/>
      </c>
      <c r="DC29" s="210">
        <f>IFERROR(__xludf.DUMMYFUNCTION("AVERAGE(ARRAYFORMULA(XLOOKUP(FILTER(INDIRECT(""'""&amp;DC$1&amp;""'!$C$4:$C$66""),INDIRECT(""'""&amp;DC$1&amp;""'!$D$4:$D$66"")=DC$2),$G$4:$BQ$4,$G29:$BQ29)))"),-0.22997620777777772)</f>
        <v>-0.2299762078</v>
      </c>
      <c r="DD29" s="207" t="str">
        <f>IFERROR(__xludf.DUMMYFUNCTION("IF(OR(DC29&gt;$BS29+$BT29*$BT$2,DC29&lt;$BS29-$BT29*$BT$2),AVEDEV(ARRAYFORMULA(XLOOKUP(FILTER(INDIRECT(""'""&amp;DC$1&amp;""'!$C$4:$C$66""),INDIRECT(""'""&amp;DC$1&amp;""'!$D$4:$D$66"")=DC$2),$G$4:$BQ$4,$G29:$BQ29))),"""")"),"")</f>
        <v/>
      </c>
      <c r="DE29" s="208" t="str">
        <f t="shared" si="18"/>
        <v/>
      </c>
      <c r="DF29" s="210">
        <f>IFERROR(__xludf.DUMMYFUNCTION("AVERAGE(ARRAYFORMULA(XLOOKUP(FILTER(INDIRECT(""'""&amp;DF$1&amp;""'!$C$4:$C$66""),INDIRECT(""'""&amp;DF$1&amp;""'!$D$4:$D$66"")=DF$2),$G$4:$BQ$4,$G29:$BQ29)))"),-0.30792652545454546)</f>
        <v>-0.3079265255</v>
      </c>
      <c r="DG29" s="207" t="str">
        <f>IFERROR(__xludf.DUMMYFUNCTION("IF(OR(DF29&gt;$BS29+$BT29*$BT$2,DF29&lt;$BS29-$BT29*$BT$2),AVEDEV(ARRAYFORMULA(XLOOKUP(FILTER(INDIRECT(""'""&amp;DF$1&amp;""'!$C$4:$C$66""),INDIRECT(""'""&amp;DF$1&amp;""'!$D$4:$D$66"")=DF$2),$G$4:$BQ$4,$G29:$BQ29))),"""")"),"")</f>
        <v/>
      </c>
      <c r="DH29" s="208" t="str">
        <f t="shared" si="19"/>
        <v/>
      </c>
      <c r="DI29" s="210">
        <f>IFERROR(__xludf.DUMMYFUNCTION("AVERAGE(ARRAYFORMULA(XLOOKUP(FILTER(INDIRECT(""'""&amp;DI$1&amp;""'!$C$4:$C$66""),INDIRECT(""'""&amp;DI$1&amp;""'!$D$4:$D$66"")=DI$2),$G$4:$BQ$4,$G29:$BQ29)))"),-0.56107785)</f>
        <v>-0.56107785</v>
      </c>
      <c r="DJ29" s="207" t="str">
        <f>IFERROR(__xludf.DUMMYFUNCTION("IF(OR(DI29&gt;$BS29+$BT29*$BT$2,DI29&lt;$BS29-$BT29*$BT$2),AVEDEV(ARRAYFORMULA(XLOOKUP(FILTER(INDIRECT(""'""&amp;DI$1&amp;""'!$C$4:$C$66""),INDIRECT(""'""&amp;DI$1&amp;""'!$D$4:$D$66"")=DI$2),$G$4:$BQ$4,$G29:$BQ29))),"""")"),"")</f>
        <v/>
      </c>
      <c r="DK29" s="208" t="str">
        <f t="shared" si="20"/>
        <v/>
      </c>
      <c r="DL29" s="210">
        <f>IFERROR(__xludf.DUMMYFUNCTION("AVERAGE(ARRAYFORMULA(XLOOKUP(FILTER(INDIRECT(""'""&amp;DL$1&amp;""'!$C$4:$C$66""),INDIRECT(""'""&amp;DL$1&amp;""'!$D$4:$D$66"")=DL$2),$G$4:$BQ$4,$G29:$BQ29)))"),-0.5383828092857144)</f>
        <v>-0.5383828093</v>
      </c>
      <c r="DM29" s="207" t="str">
        <f>IFERROR(__xludf.DUMMYFUNCTION("IF(OR(DL29&gt;$BS29+$BT29*$BT$2,DL29&lt;$BS29-$BT29*$BT$2),AVEDEV(ARRAYFORMULA(XLOOKUP(FILTER(INDIRECT(""'""&amp;DL$1&amp;""'!$C$4:$C$66""),INDIRECT(""'""&amp;DL$1&amp;""'!$D$4:$D$66"")=DL$2),$G$4:$BQ$4,$G29:$BQ29))),"""")"),"")</f>
        <v/>
      </c>
      <c r="DN29" s="208" t="str">
        <f t="shared" si="21"/>
        <v/>
      </c>
      <c r="DO29" s="209" t="s">
        <v>444</v>
      </c>
      <c r="DP29" s="210">
        <f>IFERROR(__xludf.DUMMYFUNCTION("AVERAGE(ARRAYFORMULA(XLOOKUP(FILTER(INDIRECT(""'""&amp;DP$1&amp;""'!$C$4:$C$66""),INDIRECT(""'""&amp;DP$1&amp;""'!$D$4:$D$66"")=DP$2),$G$4:$BQ$4,$G29:$BQ29)))"),-0.08079569966666665)</f>
        <v>-0.08079569967</v>
      </c>
      <c r="DQ29" s="207" t="str">
        <f>IFERROR(__xludf.DUMMYFUNCTION("IF(OR(DP29&gt;$BS29+$BT29*$BT$2,DP29&lt;$BS29-$BT29*$BT$2),AVEDEV(ARRAYFORMULA(XLOOKUP(FILTER(INDIRECT(""'""&amp;DP$1&amp;""'!$C$4:$C$66""),INDIRECT(""'""&amp;DP$1&amp;""'!$D$4:$D$66"")=DP$2),$G$4:$BQ$4,$G29:$BQ29))),"""")"),"")</f>
        <v/>
      </c>
      <c r="DR29" s="208" t="str">
        <f t="shared" si="22"/>
        <v/>
      </c>
      <c r="DS29" s="210">
        <f>IFERROR(__xludf.DUMMYFUNCTION("AVERAGE(ARRAYFORMULA(XLOOKUP(FILTER(INDIRECT(""'""&amp;DS$1&amp;""'!$C$4:$C$66""),INDIRECT(""'""&amp;DS$1&amp;""'!$D$4:$D$66"")=DS$2),$G$4:$BQ$4,$G29:$BQ29)))"),-0.25889238666666664)</f>
        <v>-0.2588923867</v>
      </c>
      <c r="DT29" s="207" t="str">
        <f>IFERROR(__xludf.DUMMYFUNCTION("IF(OR(DS29&gt;$BS29+$BT29*$BT$2,DS29&lt;$BS29-$BT29*$BT$2),AVEDEV(ARRAYFORMULA(XLOOKUP(FILTER(INDIRECT(""'""&amp;DS$1&amp;""'!$C$4:$C$66""),INDIRECT(""'""&amp;DS$1&amp;""'!$D$4:$D$66"")=DS$2),$G$4:$BQ$4,$G29:$BQ29))),"""")"),"")</f>
        <v/>
      </c>
      <c r="DU29" s="208" t="str">
        <f t="shared" si="23"/>
        <v/>
      </c>
      <c r="DV29" s="210">
        <f>IFERROR(__xludf.DUMMYFUNCTION("AVERAGE(ARRAYFORMULA(XLOOKUP(FILTER(INDIRECT(""'""&amp;DV$1&amp;""'!$C$4:$C$66""),INDIRECT(""'""&amp;DV$1&amp;""'!$D$4:$D$66"")=DV$2),$G$4:$BQ$4,$G29:$BQ29)))"),0.019691701249999916)</f>
        <v>0.01969170125</v>
      </c>
      <c r="DW29" s="207" t="str">
        <f>IFERROR(__xludf.DUMMYFUNCTION("IF(OR(DV29&gt;$BS29+$BT29*$BT$2,DV29&lt;$BS29-$BT29*$BT$2),AVEDEV(ARRAYFORMULA(XLOOKUP(FILTER(INDIRECT(""'""&amp;DV$1&amp;""'!$C$4:$C$66""),INDIRECT(""'""&amp;DV$1&amp;""'!$D$4:$D$66"")=DV$2),$G$4:$BQ$4,$G29:$BQ29))),"""")"),"")</f>
        <v/>
      </c>
      <c r="DX29" s="208" t="str">
        <f t="shared" si="24"/>
        <v/>
      </c>
      <c r="DY29" s="210">
        <f>IFERROR(__xludf.DUMMYFUNCTION("AVERAGE(ARRAYFORMULA(XLOOKUP(FILTER(INDIRECT(""'""&amp;DY$1&amp;""'!$C$4:$C$66""),INDIRECT(""'""&amp;DY$1&amp;""'!$D$4:$D$66"")=DY$2),$G$4:$BQ$4,$G29:$BQ29)))"),-0.5080054766666666)</f>
        <v>-0.5080054767</v>
      </c>
      <c r="DZ29" s="207" t="str">
        <f>IFERROR(__xludf.DUMMYFUNCTION("IF(OR(DY29&gt;$BS29+$BT29*$BT$2,DY29&lt;$BS29-$BT29*$BT$2),AVEDEV(ARRAYFORMULA(XLOOKUP(FILTER(INDIRECT(""'""&amp;DY$1&amp;""'!$C$4:$C$66""),INDIRECT(""'""&amp;DY$1&amp;""'!$D$4:$D$66"")=DY$2),$G$4:$BQ$4,$G29:$BQ29))),"""")"),"")</f>
        <v/>
      </c>
      <c r="EA29" s="208" t="str">
        <f t="shared" si="25"/>
        <v/>
      </c>
      <c r="EB29" s="191"/>
    </row>
    <row r="30" outlineLevel="1">
      <c r="A30" s="2"/>
      <c r="B30" s="204">
        <v>26.0</v>
      </c>
      <c r="C30" s="204" t="s">
        <v>442</v>
      </c>
      <c r="D30" s="204" t="s">
        <v>469</v>
      </c>
      <c r="E30" s="205" t="b">
        <f>VLOOKUP(D30,'Feature Set List'!A26:C246,2,0)</f>
        <v>1</v>
      </c>
      <c r="F30" s="205" t="b">
        <f>VLOOKUP(D30,'Feature Set List'!A26:C246,3,0)</f>
        <v>1</v>
      </c>
      <c r="G30" s="205">
        <v>-0.2914848</v>
      </c>
      <c r="H30" s="205">
        <v>0.56329245</v>
      </c>
      <c r="I30" s="205">
        <v>-0.1387792</v>
      </c>
      <c r="J30" s="205">
        <v>-0.4216587</v>
      </c>
      <c r="K30" s="205">
        <v>0.51202106</v>
      </c>
      <c r="L30" s="205">
        <v>-1.6767131</v>
      </c>
      <c r="M30" s="205">
        <v>0.17806416</v>
      </c>
      <c r="N30" s="205">
        <v>-0.9149865</v>
      </c>
      <c r="O30" s="205">
        <v>0.55567103</v>
      </c>
      <c r="P30" s="205">
        <v>0.76768517</v>
      </c>
      <c r="Q30" s="205">
        <v>-0.759648</v>
      </c>
      <c r="R30" s="205">
        <v>-0.0721264</v>
      </c>
      <c r="S30" s="205">
        <v>-0.333271</v>
      </c>
      <c r="T30" s="205">
        <v>0.0</v>
      </c>
      <c r="U30" s="205">
        <v>0.01170928</v>
      </c>
      <c r="V30" s="205">
        <v>-1.4349061</v>
      </c>
      <c r="W30" s="205">
        <v>0.63812097</v>
      </c>
      <c r="X30" s="205">
        <v>0.44550682</v>
      </c>
      <c r="Y30" s="205">
        <v>-0.5725074</v>
      </c>
      <c r="Z30" s="205">
        <v>0.27617266</v>
      </c>
      <c r="AA30" s="205">
        <v>-0.5829696</v>
      </c>
      <c r="AB30" s="205">
        <v>0.49469965</v>
      </c>
      <c r="AC30" s="205">
        <v>-0.9055636</v>
      </c>
      <c r="AD30" s="205">
        <v>0.46421395</v>
      </c>
      <c r="AE30" s="205">
        <v>0.36652117</v>
      </c>
      <c r="AF30" s="205">
        <v>-1.6372203</v>
      </c>
      <c r="AG30" s="205">
        <v>0.13877919</v>
      </c>
      <c r="AH30" s="205">
        <v>0.09748493</v>
      </c>
      <c r="AI30" s="205">
        <v>-1.3586919</v>
      </c>
      <c r="AJ30" s="205">
        <v>-0.2510912</v>
      </c>
      <c r="AK30" s="205">
        <v>0.46906395</v>
      </c>
      <c r="AL30" s="205">
        <v>-1.1251992</v>
      </c>
      <c r="AM30" s="205">
        <v>0.80579228</v>
      </c>
      <c r="AN30" s="205">
        <v>-0.0797478</v>
      </c>
      <c r="AO30" s="205">
        <v>-1.2658491</v>
      </c>
      <c r="AP30" s="205">
        <v>0.58269244</v>
      </c>
      <c r="AQ30" s="205">
        <v>-0.4013857</v>
      </c>
      <c r="AR30" s="205">
        <v>-0.4484168</v>
      </c>
      <c r="AS30" s="205">
        <v>0.26841267</v>
      </c>
      <c r="AT30" s="205">
        <v>-0.4056537</v>
      </c>
      <c r="AU30" s="205">
        <v>0.50578535</v>
      </c>
      <c r="AV30" s="205">
        <v>-1.9233701</v>
      </c>
      <c r="AW30" s="205">
        <v>0.6824638</v>
      </c>
      <c r="AX30" s="205">
        <v>0.40809257</v>
      </c>
      <c r="AY30" s="205">
        <v>0.33811404</v>
      </c>
      <c r="AZ30" s="205">
        <v>0.69216379</v>
      </c>
      <c r="BA30" s="205">
        <v>-0.9146401</v>
      </c>
      <c r="BB30" s="205">
        <v>-0.3878196</v>
      </c>
      <c r="BC30" s="205">
        <v>-9.7E-4</v>
      </c>
      <c r="BD30" s="205">
        <v>0.10545278</v>
      </c>
      <c r="BE30" s="205">
        <v>0.9332779</v>
      </c>
      <c r="BF30" s="205">
        <v>-0.5836624</v>
      </c>
      <c r="BG30" s="205">
        <v>-0.8055151</v>
      </c>
      <c r="BH30" s="205">
        <v>0.50578535</v>
      </c>
      <c r="BI30" s="205">
        <v>0.31483406</v>
      </c>
      <c r="BJ30" s="205">
        <v>0.05397353</v>
      </c>
      <c r="BK30" s="205">
        <v>0.33949976</v>
      </c>
      <c r="BL30" s="205">
        <v>-0.5177718</v>
      </c>
      <c r="BM30" s="205">
        <v>0.85152082</v>
      </c>
      <c r="BN30" s="205">
        <v>-0.2843484</v>
      </c>
      <c r="BO30" s="205">
        <v>-0.3619719</v>
      </c>
      <c r="BP30" s="205">
        <v>0.25919767</v>
      </c>
      <c r="BQ30" s="205">
        <v>-0.9005751</v>
      </c>
      <c r="BR30" s="206"/>
      <c r="BS30" s="207">
        <f t="shared" si="6"/>
        <v>-0.1290864976</v>
      </c>
      <c r="BT30" s="207">
        <f t="shared" si="7"/>
        <v>0.571150745</v>
      </c>
      <c r="BU30" s="206"/>
      <c r="BV30" s="207">
        <f>IFERROR(__xludf.DUMMYFUNCTION("AVERAGE(ARRAYFORMULA(XLOOKUP(FILTER(INDIRECT(""'""&amp;BV$1&amp;""'!$C$4:$C$66""),INDIRECT(""'""&amp;BV$1&amp;""'!$D$4:$D$66"")=BV$2),$G$4:$BQ$4,$G30:$BQ30)))"),-0.06326178000000003)</f>
        <v>-0.06326178</v>
      </c>
      <c r="BW30" s="207" t="str">
        <f>IFERROR(__xludf.DUMMYFUNCTION("IF(OR(BV30&gt;$BS30+$BT30*$BT$2,BV30&lt;$BS30-$BT30*$BT$2),AVEDEV(ARRAYFORMULA(XLOOKUP(FILTER(INDIRECT(""'""&amp;BV$1&amp;""'!$C$4:$C$66""),INDIRECT(""'""&amp;BV$1&amp;""'!$D$4:$D$66"")=BV$2),$G$4:$BQ$4,$G30:$BQ30))),"""")"),"")</f>
        <v/>
      </c>
      <c r="BX30" s="208" t="str">
        <f t="shared" si="8"/>
        <v/>
      </c>
      <c r="BY30" s="207">
        <f>IFERROR(__xludf.DUMMYFUNCTION("AVERAGE(ARRAYFORMULA(XLOOKUP(FILTER(INDIRECT(""'""&amp;BY$1&amp;""'!$C$4:$C$66""),INDIRECT(""'""&amp;BY$1&amp;""'!$D$4:$D$66"")=BY$2),$G$4:$BQ$4,$G30:$BQ30)))"),-0.1475491673809524)</f>
        <v>-0.1475491674</v>
      </c>
      <c r="BZ30" s="207" t="str">
        <f>IFERROR(__xludf.DUMMYFUNCTION("IF(OR(BY30&gt;$BS30+$BT30*$BT$2,BY30&lt;$BS30-$BT30*$BT$2),AVEDEV(ARRAYFORMULA(XLOOKUP(FILTER(INDIRECT(""'""&amp;BY$1&amp;""'!$C$4:$C$66""),INDIRECT(""'""&amp;BY$1&amp;""'!$D$4:$D$66"")=BY$2),$G$4:$BQ$4,$G30:$BQ30))),"""")"),"")</f>
        <v/>
      </c>
      <c r="CA30" s="208" t="str">
        <f t="shared" si="9"/>
        <v/>
      </c>
      <c r="CB30" s="207">
        <f>IFERROR(__xludf.DUMMYFUNCTION("AVERAGE(ARRAYFORMULA(XLOOKUP(FILTER(INDIRECT(""'""&amp;CB$1&amp;""'!$C$4:$C$66""),INDIRECT(""'""&amp;CB$1&amp;""'!$D$4:$D$66"")=CB$2),$G$4:$BQ$4,$G30:$BQ30)))"),-0.17863734454545455)</f>
        <v>-0.1786373445</v>
      </c>
      <c r="CC30" s="207" t="str">
        <f>IFERROR(__xludf.DUMMYFUNCTION("IF(OR(CB30&gt;$BS30+$BT30*$BT$2,CB30&lt;$BS30-$BT30*$BT$2),AVEDEV(ARRAYFORMULA(XLOOKUP(FILTER(INDIRECT(""'""&amp;CB$1&amp;""'!$C$4:$C$66""),INDIRECT(""'""&amp;CB$1&amp;""'!$D$4:$D$66"")=CB$2),$G$4:$BQ$4,$G30:$BQ30))),"""")"),"")</f>
        <v/>
      </c>
      <c r="CD30" s="208" t="str">
        <f t="shared" si="10"/>
        <v/>
      </c>
      <c r="CE30" s="209" t="s">
        <v>444</v>
      </c>
      <c r="CF30" s="207">
        <f>IFERROR(__xludf.DUMMYFUNCTION("AVERAGE(ARRAYFORMULA(XLOOKUP(FILTER(INDIRECT(""'""&amp;CF$1&amp;""'!$C$4:$C$66""),INDIRECT(""'""&amp;CF$1&amp;""'!$D$4:$D$66"")=CF$2),$G$4:$BQ$4,$G30:$BQ30)))"),-0.16138882875000002)</f>
        <v>-0.1613888288</v>
      </c>
      <c r="CG30" s="207" t="str">
        <f>IFERROR(__xludf.DUMMYFUNCTION("IF(OR(CF30&gt;$BS30+$BT30*$BT$2,CF30&lt;$BS30-$BT30*$BT$2),AVEDEV(ARRAYFORMULA(XLOOKUP(FILTER(INDIRECT(""'""&amp;CF$1&amp;""'!$C$4:$C$66""),INDIRECT(""'""&amp;CF$1&amp;""'!$D$4:$D$66"")=CF$2),$G$4:$BQ$4,$G30:$BQ30))),"""")"),"")</f>
        <v/>
      </c>
      <c r="CH30" s="208" t="str">
        <f t="shared" si="11"/>
        <v/>
      </c>
      <c r="CI30" s="207">
        <f>IFERROR(__xludf.DUMMYFUNCTION("AVERAGE(ARRAYFORMULA(XLOOKUP(FILTER(INDIRECT(""'""&amp;CI$1&amp;""'!$C$4:$C$66""),INDIRECT(""'""&amp;CI$1&amp;""'!$D$4:$D$66"")=CI$2),$G$4:$BQ$4,$G30:$BQ30)))"),-0.13413727322580643)</f>
        <v>-0.1341372732</v>
      </c>
      <c r="CJ30" s="207" t="str">
        <f>IFERROR(__xludf.DUMMYFUNCTION("IF(OR(CI30&gt;$BS30+$BT30*$BT$2,CI30&lt;$BS30-$BT30*$BT$2),AVEDEV(ARRAYFORMULA(XLOOKUP(FILTER(INDIRECT(""'""&amp;CI$1&amp;""'!$C$4:$C$66""),INDIRECT(""'""&amp;CI$1&amp;""'!$D$4:$D$66"")=CI$2),$G$4:$BQ$4,$G30:$BQ30))),"""")"),"")</f>
        <v/>
      </c>
      <c r="CK30" s="208" t="str">
        <f t="shared" si="12"/>
        <v/>
      </c>
      <c r="CL30" s="207">
        <f>IFERROR(__xludf.DUMMYFUNCTION("AVERAGE(ARRAYFORMULA(XLOOKUP(FILTER(INDIRECT(""'""&amp;CL$1&amp;""'!$C$4:$C$66""),INDIRECT(""'""&amp;CL$1&amp;""'!$D$4:$D$66"")=CL$2),$G$4:$BQ$4,$G30:$BQ30)))"),-0.136811472)</f>
        <v>-0.136811472</v>
      </c>
      <c r="CM30" s="207" t="str">
        <f>IFERROR(__xludf.DUMMYFUNCTION("IF(OR(CL30&gt;$BS30+$BT30*$BT$2,CL30&lt;$BS30-$BT30*$BT$2),AVEDEV(ARRAYFORMULA(XLOOKUP(FILTER(INDIRECT(""'""&amp;CL$1&amp;""'!$C$4:$C$66""),INDIRECT(""'""&amp;CL$1&amp;""'!$D$4:$D$66"")=CL$2),$G$4:$BQ$4,$G30:$BQ30))),"""")"),"")</f>
        <v/>
      </c>
      <c r="CN30" s="208" t="str">
        <f t="shared" si="13"/>
        <v/>
      </c>
      <c r="CO30" s="209" t="s">
        <v>444</v>
      </c>
      <c r="CP30" s="210">
        <f>IFERROR(__xludf.DUMMYFUNCTION("AVERAGE(ARRAYFORMULA(XLOOKUP(FILTER(INDIRECT(""'""&amp;CP$1&amp;""'!$C$4:$C$66""),INDIRECT(""'""&amp;CP$1&amp;""'!$D$4:$D$66"")=CP$2),$G$4:$BQ$4,$G30:$BQ30)))"),-0.08148243533333334)</f>
        <v>-0.08148243533</v>
      </c>
      <c r="CQ30" s="207" t="str">
        <f>IFERROR(__xludf.DUMMYFUNCTION("IF(OR(CP30&gt;$BS30+$BT30*$BT$2,CP30&lt;$BS30-$BT30*$BT$2),AVEDEV(ARRAYFORMULA(XLOOKUP(FILTER(INDIRECT(""'""&amp;CP$1&amp;""'!$C$4:$C$66""),INDIRECT(""'""&amp;CP$1&amp;""'!$D$4:$D$66"")=CP$2),$G$4:$BQ$4,$G30:$BQ30))),"""")"),"")</f>
        <v/>
      </c>
      <c r="CR30" s="208" t="str">
        <f t="shared" si="14"/>
        <v/>
      </c>
      <c r="CS30" s="210">
        <f>IFERROR(__xludf.DUMMYFUNCTION("AVERAGE(ARRAYFORMULA(XLOOKUP(FILTER(INDIRECT(""'""&amp;CS$1&amp;""'!$C$4:$C$66""),INDIRECT(""'""&amp;CS$1&amp;""'!$D$4:$D$66"")=CS$2),$G$4:$BQ$4,$G30:$BQ30)))"),-0.15848314333333335)</f>
        <v>-0.1584831433</v>
      </c>
      <c r="CT30" s="207" t="str">
        <f>IFERROR(__xludf.DUMMYFUNCTION("IF(OR(CS30&gt;$BS30+$BT30*$BT$2,CS30&lt;$BS30-$BT30*$BT$2),AVEDEV(ARRAYFORMULA(XLOOKUP(FILTER(INDIRECT(""'""&amp;CS$1&amp;""'!$C$4:$C$66""),INDIRECT(""'""&amp;CS$1&amp;""'!$D$4:$D$66"")=CS$2),$G$4:$BQ$4,$G30:$BQ30))),"""")"),"")</f>
        <v/>
      </c>
      <c r="CU30" s="208" t="str">
        <f t="shared" si="15"/>
        <v/>
      </c>
      <c r="CV30" s="211">
        <f>IFERROR(__xludf.DUMMYFUNCTION("AVERAGE(ARRAYFORMULA(XLOOKUP(FILTER(INDIRECT(""'""&amp;CV$1&amp;""'!$C$4:$C$66""),INDIRECT(""'""&amp;CV$1&amp;""'!$D$4:$D$66"")=CV$2),$G$4:$BQ$4,$G30:$BQ30)))"),-0.136811472)</f>
        <v>-0.136811472</v>
      </c>
      <c r="CW30" s="207" t="str">
        <f>IFERROR(__xludf.DUMMYFUNCTION("IF(OR(CV30&gt;$BS30+$BT30*$BT$2,CV30&lt;$BS30-$BT30*$BT$2),AVEDEV(ARRAYFORMULA(XLOOKUP(FILTER(INDIRECT(""'""&amp;CV$1&amp;""'!$C$4:$C$66""),INDIRECT(""'""&amp;CV$1&amp;""'!$D$4:$D$66"")=CV$2),$G$4:$BQ$4,$G30:$BQ30))),"""")"),"")</f>
        <v/>
      </c>
      <c r="CX30" s="208" t="str">
        <f t="shared" si="16"/>
        <v/>
      </c>
      <c r="CY30" s="209" t="s">
        <v>444</v>
      </c>
      <c r="CZ30" s="210">
        <f>IFERROR(__xludf.DUMMYFUNCTION("AVERAGE(ARRAYFORMULA(XLOOKUP(FILTER(INDIRECT(""'""&amp;CZ$1&amp;""'!$C$4:$C$66""),INDIRECT(""'""&amp;CZ$1&amp;""'!$D$4:$D$66"")=CZ$2),$G$4:$BQ$4,$G30:$BQ30)))"),-0.22129841000000003)</f>
        <v>-0.22129841</v>
      </c>
      <c r="DA30" s="207" t="str">
        <f>IFERROR(__xludf.DUMMYFUNCTION("IF(OR(CZ30&gt;$BS30+$BT30*$BT$2,CZ30&lt;$BS30-$BT30*$BT$2),AVEDEV(ARRAYFORMULA(XLOOKUP(FILTER(INDIRECT(""'""&amp;CZ$1&amp;""'!$C$4:$C$66""),INDIRECT(""'""&amp;CZ$1&amp;""'!$D$4:$D$66"")=CZ$2),$G$4:$BQ$4,$G30:$BQ30))),"""")"),"")</f>
        <v/>
      </c>
      <c r="DB30" s="208" t="str">
        <f t="shared" si="17"/>
        <v/>
      </c>
      <c r="DC30" s="210">
        <f>IFERROR(__xludf.DUMMYFUNCTION("AVERAGE(ARRAYFORMULA(XLOOKUP(FILTER(INDIRECT(""'""&amp;DC$1&amp;""'!$C$4:$C$66""),INDIRECT(""'""&amp;DC$1&amp;""'!$D$4:$D$66"")=DC$2),$G$4:$BQ$4,$G30:$BQ30)))"),-0.38985504444444447)</f>
        <v>-0.3898550444</v>
      </c>
      <c r="DD30" s="207" t="str">
        <f>IFERROR(__xludf.DUMMYFUNCTION("IF(OR(DC30&gt;$BS30+$BT30*$BT$2,DC30&lt;$BS30-$BT30*$BT$2),AVEDEV(ARRAYFORMULA(XLOOKUP(FILTER(INDIRECT(""'""&amp;DC$1&amp;""'!$C$4:$C$66""),INDIRECT(""'""&amp;DC$1&amp;""'!$D$4:$D$66"")=DC$2),$G$4:$BQ$4,$G30:$BQ30))),"""")"),"")</f>
        <v/>
      </c>
      <c r="DE30" s="208" t="str">
        <f t="shared" si="18"/>
        <v/>
      </c>
      <c r="DF30" s="210">
        <f>IFERROR(__xludf.DUMMYFUNCTION("AVERAGE(ARRAYFORMULA(XLOOKUP(FILTER(INDIRECT(""'""&amp;DF$1&amp;""'!$C$4:$C$66""),INDIRECT(""'""&amp;DF$1&amp;""'!$D$4:$D$66"")=DF$2),$G$4:$BQ$4,$G30:$BQ30)))"),-0.29347039545454545)</f>
        <v>-0.2934703955</v>
      </c>
      <c r="DG30" s="207" t="str">
        <f>IFERROR(__xludf.DUMMYFUNCTION("IF(OR(DF30&gt;$BS30+$BT30*$BT$2,DF30&lt;$BS30-$BT30*$BT$2),AVEDEV(ARRAYFORMULA(XLOOKUP(FILTER(INDIRECT(""'""&amp;DF$1&amp;""'!$C$4:$C$66""),INDIRECT(""'""&amp;DF$1&amp;""'!$D$4:$D$66"")=DF$2),$G$4:$BQ$4,$G30:$BQ30))),"""")"),"")</f>
        <v/>
      </c>
      <c r="DH30" s="208" t="str">
        <f t="shared" si="19"/>
        <v/>
      </c>
      <c r="DI30" s="210">
        <f>IFERROR(__xludf.DUMMYFUNCTION("AVERAGE(ARRAYFORMULA(XLOOKUP(FILTER(INDIRECT(""'""&amp;DI$1&amp;""'!$C$4:$C$66""),INDIRECT(""'""&amp;DI$1&amp;""'!$D$4:$D$66"")=DI$2),$G$4:$BQ$4,$G30:$BQ30)))"),0.48499965)</f>
        <v>0.48499965</v>
      </c>
      <c r="DJ30" s="207">
        <f>IFERROR(__xludf.DUMMYFUNCTION("IF(OR(DI30&gt;$BS30+$BT30*$BT$2,DI30&lt;$BS30-$BT30*$BT$2),AVEDEV(ARRAYFORMULA(XLOOKUP(FILTER(INDIRECT(""'""&amp;DI$1&amp;""'!$C$4:$C$66""),INDIRECT(""'""&amp;DI$1&amp;""'!$D$4:$D$66"")=DI$2),$G$4:$BQ$4,$G30:$BQ30))),"""")"),0.020785700000000018)</f>
        <v>0.0207857</v>
      </c>
      <c r="DK30" s="208">
        <f t="shared" si="20"/>
        <v>0.04293540265</v>
      </c>
      <c r="DL30" s="211">
        <f>IFERROR(__xludf.DUMMYFUNCTION("AVERAGE(ARRAYFORMULA(XLOOKUP(FILTER(INDIRECT(""'""&amp;DL$1&amp;""'!$C$4:$C$66""),INDIRECT(""'""&amp;DL$1&amp;""'!$D$4:$D$66"")=DL$2),$G$4:$BQ$4,$G30:$BQ30)))"),-0.06635587)</f>
        <v>-0.06635587</v>
      </c>
      <c r="DM30" s="207" t="str">
        <f>IFERROR(__xludf.DUMMYFUNCTION("IF(OR(DL30&gt;$BS30+$BT30*$BT$2,DL30&lt;$BS30-$BT30*$BT$2),AVEDEV(ARRAYFORMULA(XLOOKUP(FILTER(INDIRECT(""'""&amp;DL$1&amp;""'!$C$4:$C$66""),INDIRECT(""'""&amp;DL$1&amp;""'!$D$4:$D$66"")=DL$2),$G$4:$BQ$4,$G30:$BQ30))),"""")"),"")</f>
        <v/>
      </c>
      <c r="DN30" s="208" t="str">
        <f t="shared" si="21"/>
        <v/>
      </c>
      <c r="DO30" s="209" t="s">
        <v>444</v>
      </c>
      <c r="DP30" s="210">
        <f>IFERROR(__xludf.DUMMYFUNCTION("AVERAGE(ARRAYFORMULA(XLOOKUP(FILTER(INDIRECT(""'""&amp;DP$1&amp;""'!$C$4:$C$66""),INDIRECT(""'""&amp;DP$1&amp;""'!$D$4:$D$66"")=DP$2),$G$4:$BQ$4,$G30:$BQ30)))"),-0.155879347)</f>
        <v>-0.155879347</v>
      </c>
      <c r="DQ30" s="207" t="str">
        <f>IFERROR(__xludf.DUMMYFUNCTION("IF(OR(DP30&gt;$BS30+$BT30*$BT$2,DP30&lt;$BS30-$BT30*$BT$2),AVEDEV(ARRAYFORMULA(XLOOKUP(FILTER(INDIRECT(""'""&amp;DP$1&amp;""'!$C$4:$C$66""),INDIRECT(""'""&amp;DP$1&amp;""'!$D$4:$D$66"")=DP$2),$G$4:$BQ$4,$G30:$BQ30))),"""")"),"")</f>
        <v/>
      </c>
      <c r="DR30" s="208" t="str">
        <f t="shared" si="22"/>
        <v/>
      </c>
      <c r="DS30" s="210">
        <f>IFERROR(__xludf.DUMMYFUNCTION("AVERAGE(ARRAYFORMULA(XLOOKUP(FILTER(INDIRECT(""'""&amp;DS$1&amp;""'!$C$4:$C$66""),INDIRECT(""'""&amp;DS$1&amp;""'!$D$4:$D$66"")=DS$2),$G$4:$BQ$4,$G30:$BQ30)))"),-0.2634241088888889)</f>
        <v>-0.2634241089</v>
      </c>
      <c r="DT30" s="207" t="str">
        <f>IFERROR(__xludf.DUMMYFUNCTION("IF(OR(DS30&gt;$BS30+$BT30*$BT$2,DS30&lt;$BS30-$BT30*$BT$2),AVEDEV(ARRAYFORMULA(XLOOKUP(FILTER(INDIRECT(""'""&amp;DS$1&amp;""'!$C$4:$C$66""),INDIRECT(""'""&amp;DS$1&amp;""'!$D$4:$D$66"")=DS$2),$G$4:$BQ$4,$G30:$BQ30))),"""")"),"")</f>
        <v/>
      </c>
      <c r="DU30" s="208" t="str">
        <f t="shared" si="23"/>
        <v/>
      </c>
      <c r="DV30" s="210">
        <f>IFERROR(__xludf.DUMMYFUNCTION("AVERAGE(ARRAYFORMULA(XLOOKUP(FILTER(INDIRECT(""'""&amp;DV$1&amp;""'!$C$4:$C$66""),INDIRECT(""'""&amp;DV$1&amp;""'!$D$4:$D$66"")=DV$2),$G$4:$BQ$4,$G30:$BQ30)))"),0.044774992500000006)</f>
        <v>0.0447749925</v>
      </c>
      <c r="DW30" s="207" t="str">
        <f>IFERROR(__xludf.DUMMYFUNCTION("IF(OR(DV30&gt;$BS30+$BT30*$BT$2,DV30&lt;$BS30-$BT30*$BT$2),AVEDEV(ARRAYFORMULA(XLOOKUP(FILTER(INDIRECT(""'""&amp;DV$1&amp;""'!$C$4:$C$66""),INDIRECT(""'""&amp;DV$1&amp;""'!$D$4:$D$66"")=DV$2),$G$4:$BQ$4,$G30:$BQ30))),"""")"),"")</f>
        <v/>
      </c>
      <c r="DX30" s="208" t="str">
        <f t="shared" si="24"/>
        <v/>
      </c>
      <c r="DY30" s="210">
        <f>IFERROR(__xludf.DUMMYFUNCTION("AVERAGE(ARRAYFORMULA(XLOOKUP(FILTER(INDIRECT(""'""&amp;DY$1&amp;""'!$C$4:$C$66""),INDIRECT(""'""&amp;DY$1&amp;""'!$D$4:$D$66"")=DY$2),$G$4:$BQ$4,$G30:$BQ30)))"),-0.014375550000000015)</f>
        <v>-0.01437555</v>
      </c>
      <c r="DZ30" s="207" t="str">
        <f>IFERROR(__xludf.DUMMYFUNCTION("IF(OR(DY30&gt;$BS30+$BT30*$BT$2,DY30&lt;$BS30-$BT30*$BT$2),AVEDEV(ARRAYFORMULA(XLOOKUP(FILTER(INDIRECT(""'""&amp;DY$1&amp;""'!$C$4:$C$66""),INDIRECT(""'""&amp;DY$1&amp;""'!$D$4:$D$66"")=DY$2),$G$4:$BQ$4,$G30:$BQ30))),"""")"),"")</f>
        <v/>
      </c>
      <c r="EA30" s="208" t="str">
        <f t="shared" si="25"/>
        <v/>
      </c>
      <c r="EB30" s="191"/>
    </row>
    <row r="31" outlineLevel="1">
      <c r="A31" s="2"/>
      <c r="B31" s="204">
        <v>27.0</v>
      </c>
      <c r="C31" s="204" t="s">
        <v>442</v>
      </c>
      <c r="D31" s="204" t="s">
        <v>470</v>
      </c>
      <c r="E31" s="205" t="b">
        <f>VLOOKUP(D31,'Feature Set List'!A27:C246,2,0)</f>
        <v>1</v>
      </c>
      <c r="F31" s="205" t="b">
        <f>VLOOKUP(D31,'Feature Set List'!A27:C246,3,0)</f>
        <v>1</v>
      </c>
      <c r="G31" s="205">
        <v>-1.4276923</v>
      </c>
      <c r="H31" s="205">
        <v>-0.8516923</v>
      </c>
      <c r="I31" s="205">
        <v>-0.8676923</v>
      </c>
      <c r="J31" s="205">
        <v>1.01292308</v>
      </c>
      <c r="K31" s="205">
        <v>4.98953846</v>
      </c>
      <c r="L31" s="205">
        <v>0.36307692</v>
      </c>
      <c r="M31" s="205">
        <v>0.0</v>
      </c>
      <c r="N31" s="205">
        <v>5.744</v>
      </c>
      <c r="O31" s="205">
        <v>0.16984615</v>
      </c>
      <c r="P31" s="205">
        <v>-0.5329231</v>
      </c>
      <c r="Q31" s="205">
        <v>-0.2387692</v>
      </c>
      <c r="R31" s="205">
        <v>0.14276923</v>
      </c>
      <c r="S31" s="205">
        <v>0.82338462</v>
      </c>
      <c r="T31" s="205">
        <v>-0.3089231</v>
      </c>
      <c r="U31" s="205">
        <v>-0.3778462</v>
      </c>
      <c r="V31" s="205">
        <v>0.40369231</v>
      </c>
      <c r="W31" s="205">
        <v>1.24061538</v>
      </c>
      <c r="X31" s="205">
        <v>0.71876923</v>
      </c>
      <c r="Y31" s="205">
        <v>1.75507692</v>
      </c>
      <c r="Z31" s="205">
        <v>-0.3175385</v>
      </c>
      <c r="AA31" s="205">
        <v>-0.8726154</v>
      </c>
      <c r="AB31" s="205">
        <v>0.00615385</v>
      </c>
      <c r="AC31" s="205">
        <v>-0.1070769</v>
      </c>
      <c r="AD31" s="205">
        <v>0.52061538</v>
      </c>
      <c r="AE31" s="205">
        <v>0.22769231</v>
      </c>
      <c r="AF31" s="205">
        <v>0.13538462</v>
      </c>
      <c r="AG31" s="205">
        <v>1.90153846</v>
      </c>
      <c r="AH31" s="205">
        <v>-0.5132308</v>
      </c>
      <c r="AI31" s="205">
        <v>0.11815385</v>
      </c>
      <c r="AJ31" s="205">
        <v>-0.192</v>
      </c>
      <c r="AK31" s="205">
        <v>0.93169231</v>
      </c>
      <c r="AL31" s="205">
        <v>1.29476923</v>
      </c>
      <c r="AM31" s="205">
        <v>-0.3938462</v>
      </c>
      <c r="AN31" s="205">
        <v>-0.3790769</v>
      </c>
      <c r="AO31" s="205">
        <v>1.02523077</v>
      </c>
      <c r="AP31" s="205">
        <v>1.50030769</v>
      </c>
      <c r="AQ31" s="205">
        <v>1.08184615</v>
      </c>
      <c r="AR31" s="205">
        <v>0.32</v>
      </c>
      <c r="AS31" s="205">
        <v>-0.3889231</v>
      </c>
      <c r="AT31" s="205">
        <v>0.33476923</v>
      </c>
      <c r="AU31" s="205">
        <v>-0.1956923</v>
      </c>
      <c r="AV31" s="205">
        <v>-0.4467692</v>
      </c>
      <c r="AW31" s="205">
        <v>-0.2683077</v>
      </c>
      <c r="AX31" s="205">
        <v>0.72615385</v>
      </c>
      <c r="AY31" s="205">
        <v>-0.4972308</v>
      </c>
      <c r="AZ31" s="205">
        <v>-0.4763077</v>
      </c>
      <c r="BA31" s="205">
        <v>-0.2424615</v>
      </c>
      <c r="BB31" s="205">
        <v>-0.7175385</v>
      </c>
      <c r="BC31" s="205">
        <v>-0.2301538</v>
      </c>
      <c r="BD31" s="205">
        <v>0.89230769</v>
      </c>
      <c r="BE31" s="205">
        <v>0.58584615</v>
      </c>
      <c r="BF31" s="205">
        <v>-0.7101538</v>
      </c>
      <c r="BG31" s="205">
        <v>0.95507692</v>
      </c>
      <c r="BH31" s="205">
        <v>-0.0873846</v>
      </c>
      <c r="BI31" s="205">
        <v>0.21292308</v>
      </c>
      <c r="BJ31" s="205">
        <v>-0.2769231</v>
      </c>
      <c r="BK31" s="205">
        <v>0.15630769</v>
      </c>
      <c r="BL31" s="205">
        <v>-0.1895385</v>
      </c>
      <c r="BM31" s="205">
        <v>-0.2769231</v>
      </c>
      <c r="BN31" s="205">
        <v>-0.1132308</v>
      </c>
      <c r="BO31" s="205">
        <v>-1.2073846</v>
      </c>
      <c r="BP31" s="205">
        <v>-0.176</v>
      </c>
      <c r="BQ31" s="205">
        <v>0.33723077</v>
      </c>
      <c r="BR31" s="206"/>
      <c r="BS31" s="207">
        <f t="shared" si="6"/>
        <v>0.2658070794</v>
      </c>
      <c r="BT31" s="207">
        <f t="shared" si="7"/>
        <v>0.7411078951</v>
      </c>
      <c r="BU31" s="206"/>
      <c r="BV31" s="207">
        <f>IFERROR(__xludf.DUMMYFUNCTION("AVERAGE(ARRAYFORMULA(XLOOKUP(FILTER(INDIRECT(""'""&amp;BV$1&amp;""'!$C$4:$C$66""),INDIRECT(""'""&amp;BV$1&amp;""'!$D$4:$D$66"")=BV$2),$G$4:$BQ$4,$G31:$BQ31)))"),0.07824173571428572)</f>
        <v>0.07824173571</v>
      </c>
      <c r="BW31" s="207" t="str">
        <f>IFERROR(__xludf.DUMMYFUNCTION("IF(OR(BV31&gt;$BS31+$BT31*$BT$2,BV31&lt;$BS31-$BT31*$BT$2),AVEDEV(ARRAYFORMULA(XLOOKUP(FILTER(INDIRECT(""'""&amp;BV$1&amp;""'!$C$4:$C$66""),INDIRECT(""'""&amp;BV$1&amp;""'!$D$4:$D$66"")=BV$2),$G$4:$BQ$4,$G31:$BQ31))),"""")"),"")</f>
        <v/>
      </c>
      <c r="BX31" s="208" t="str">
        <f t="shared" si="8"/>
        <v/>
      </c>
      <c r="BY31" s="207">
        <f>IFERROR(__xludf.DUMMYFUNCTION("AVERAGE(ARRAYFORMULA(XLOOKUP(FILTER(INDIRECT(""'""&amp;BY$1&amp;""'!$C$4:$C$66""),INDIRECT(""'""&amp;BY$1&amp;""'!$D$4:$D$66"")=BY$2),$G$4:$BQ$4,$G31:$BQ31)))"),0.38429304095238104)</f>
        <v>0.384293041</v>
      </c>
      <c r="BZ31" s="207" t="str">
        <f>IFERROR(__xludf.DUMMYFUNCTION("IF(OR(BY31&gt;$BS31+$BT31*$BT$2,BY31&lt;$BS31-$BT31*$BT$2),AVEDEV(ARRAYFORMULA(XLOOKUP(FILTER(INDIRECT(""'""&amp;BY$1&amp;""'!$C$4:$C$66""),INDIRECT(""'""&amp;BY$1&amp;""'!$D$4:$D$66"")=BY$2),$G$4:$BQ$4,$G31:$BQ31))),"""")"),"")</f>
        <v/>
      </c>
      <c r="CA31" s="208" t="str">
        <f t="shared" si="9"/>
        <v/>
      </c>
      <c r="CB31" s="207">
        <f>IFERROR(__xludf.DUMMYFUNCTION("AVERAGE(ARRAYFORMULA(XLOOKUP(FILTER(INDIRECT(""'""&amp;CB$1&amp;""'!$C$4:$C$66""),INDIRECT(""'""&amp;CB$1&amp;""'!$D$4:$D$66"")=CB$2),$G$4:$BQ$4,$G31:$BQ31)))"),0.02081118545454547)</f>
        <v>0.02081118545</v>
      </c>
      <c r="CC31" s="207" t="str">
        <f>IFERROR(__xludf.DUMMYFUNCTION("IF(OR(CB31&gt;$BS31+$BT31*$BT$2,CB31&lt;$BS31-$BT31*$BT$2),AVEDEV(ARRAYFORMULA(XLOOKUP(FILTER(INDIRECT(""'""&amp;CB$1&amp;""'!$C$4:$C$66""),INDIRECT(""'""&amp;CB$1&amp;""'!$D$4:$D$66"")=CB$2),$G$4:$BQ$4,$G31:$BQ31))),"""")"),"")</f>
        <v/>
      </c>
      <c r="CD31" s="208" t="str">
        <f t="shared" si="10"/>
        <v/>
      </c>
      <c r="CE31" s="209" t="s">
        <v>444</v>
      </c>
      <c r="CF31" s="207">
        <f>IFERROR(__xludf.DUMMYFUNCTION("AVERAGE(ARRAYFORMULA(XLOOKUP(FILTER(INDIRECT(""'""&amp;CF$1&amp;""'!$C$4:$C$66""),INDIRECT(""'""&amp;CF$1&amp;""'!$D$4:$D$66"")=CF$2),$G$4:$BQ$4,$G31:$BQ31)))"),0.9575384593749999)</f>
        <v>0.9575384594</v>
      </c>
      <c r="CG31" s="207" t="str">
        <f>IFERROR(__xludf.DUMMYFUNCTION("IF(OR(CF31&gt;$BS31+$BT31*$BT$2,CF31&lt;$BS31-$BT31*$BT$2),AVEDEV(ARRAYFORMULA(XLOOKUP(FILTER(INDIRECT(""'""&amp;CF$1&amp;""'!$C$4:$C$66""),INDIRECT(""'""&amp;CF$1&amp;""'!$D$4:$D$66"")=CF$2),$G$4:$BQ$4,$G31:$BQ31))),"""")"),"")</f>
        <v/>
      </c>
      <c r="CH31" s="208" t="str">
        <f t="shared" si="11"/>
        <v/>
      </c>
      <c r="CI31" s="207">
        <f>IFERROR(__xludf.DUMMYFUNCTION("AVERAGE(ARRAYFORMULA(XLOOKUP(FILTER(INDIRECT(""'""&amp;CI$1&amp;""'!$C$4:$C$66""),INDIRECT(""'""&amp;CI$1&amp;""'!$D$4:$D$66"")=CI$2),$G$4:$BQ$4,$G31:$BQ31)))"),0.07825309967741935)</f>
        <v>0.07825309968</v>
      </c>
      <c r="CJ31" s="207" t="str">
        <f>IFERROR(__xludf.DUMMYFUNCTION("IF(OR(CI31&gt;$BS31+$BT31*$BT$2,CI31&lt;$BS31-$BT31*$BT$2),AVEDEV(ARRAYFORMULA(XLOOKUP(FILTER(INDIRECT(""'""&amp;CI$1&amp;""'!$C$4:$C$66""),INDIRECT(""'""&amp;CI$1&amp;""'!$D$4:$D$66"")=CI$2),$G$4:$BQ$4,$G31:$BQ31))),"""")"),"")</f>
        <v/>
      </c>
      <c r="CK31" s="208" t="str">
        <f t="shared" si="12"/>
        <v/>
      </c>
      <c r="CL31" s="207">
        <f>IFERROR(__xludf.DUMMYFUNCTION("AVERAGE(ARRAYFORMULA(XLOOKUP(FILTER(INDIRECT(""'""&amp;CL$1&amp;""'!$C$4:$C$66""),INDIRECT(""'""&amp;CL$1&amp;""'!$D$4:$D$66"")=CL$2),$G$4:$BQ$4,$G31:$BQ31)))"),-0.10363077600000001)</f>
        <v>-0.103630776</v>
      </c>
      <c r="CM31" s="207" t="str">
        <f>IFERROR(__xludf.DUMMYFUNCTION("IF(OR(CL31&gt;$BS31+$BT31*$BT$2,CL31&lt;$BS31-$BT31*$BT$2),AVEDEV(ARRAYFORMULA(XLOOKUP(FILTER(INDIRECT(""'""&amp;CL$1&amp;""'!$C$4:$C$66""),INDIRECT(""'""&amp;CL$1&amp;""'!$D$4:$D$66"")=CL$2),$G$4:$BQ$4,$G31:$BQ31))),"""")"),"")</f>
        <v/>
      </c>
      <c r="CN31" s="208" t="str">
        <f t="shared" si="13"/>
        <v/>
      </c>
      <c r="CO31" s="209" t="s">
        <v>444</v>
      </c>
      <c r="CP31" s="210">
        <f>IFERROR(__xludf.DUMMYFUNCTION("AVERAGE(ARRAYFORMULA(XLOOKUP(FILTER(INDIRECT(""'""&amp;CP$1&amp;""'!$C$4:$C$66""),INDIRECT(""'""&amp;CP$1&amp;""'!$D$4:$D$66"")=CP$2),$G$4:$BQ$4,$G31:$BQ31)))"),0.258133326)</f>
        <v>0.258133326</v>
      </c>
      <c r="CQ31" s="207" t="str">
        <f>IFERROR(__xludf.DUMMYFUNCTION("IF(OR(CP31&gt;$BS31+$BT31*$BT$2,CP31&lt;$BS31-$BT31*$BT$2),AVEDEV(ARRAYFORMULA(XLOOKUP(FILTER(INDIRECT(""'""&amp;CP$1&amp;""'!$C$4:$C$66""),INDIRECT(""'""&amp;CP$1&amp;""'!$D$4:$D$66"")=CP$2),$G$4:$BQ$4,$G31:$BQ31))),"""")"),"")</f>
        <v/>
      </c>
      <c r="CR31" s="208" t="str">
        <f t="shared" si="14"/>
        <v/>
      </c>
      <c r="CS31" s="210">
        <f>IFERROR(__xludf.DUMMYFUNCTION("AVERAGE(ARRAYFORMULA(XLOOKUP(FILTER(INDIRECT(""'""&amp;CS$1&amp;""'!$C$4:$C$66""),INDIRECT(""'""&amp;CS$1&amp;""'!$D$4:$D$66"")=CS$2),$G$4:$BQ$4,$G31:$BQ31)))"),0.3526311641025641)</f>
        <v>0.3526311641</v>
      </c>
      <c r="CT31" s="207" t="str">
        <f>IFERROR(__xludf.DUMMYFUNCTION("IF(OR(CS31&gt;$BS31+$BT31*$BT$2,CS31&lt;$BS31-$BT31*$BT$2),AVEDEV(ARRAYFORMULA(XLOOKUP(FILTER(INDIRECT(""'""&amp;CS$1&amp;""'!$C$4:$C$66""),INDIRECT(""'""&amp;CS$1&amp;""'!$D$4:$D$66"")=CS$2),$G$4:$BQ$4,$G31:$BQ31))),"""")"),"")</f>
        <v/>
      </c>
      <c r="CU31" s="208" t="str">
        <f t="shared" si="15"/>
        <v/>
      </c>
      <c r="CV31" s="210">
        <f>IFERROR(__xludf.DUMMYFUNCTION("AVERAGE(ARRAYFORMULA(XLOOKUP(FILTER(INDIRECT(""'""&amp;CV$1&amp;""'!$C$4:$C$66""),INDIRECT(""'""&amp;CV$1&amp;""'!$D$4:$D$66"")=CV$2),$G$4:$BQ$4,$G31:$BQ31)))"),-0.10363077600000001)</f>
        <v>-0.103630776</v>
      </c>
      <c r="CW31" s="207" t="str">
        <f>IFERROR(__xludf.DUMMYFUNCTION("IF(OR(CV31&gt;$BS31+$BT31*$BT$2,CV31&lt;$BS31-$BT31*$BT$2),AVEDEV(ARRAYFORMULA(XLOOKUP(FILTER(INDIRECT(""'""&amp;CV$1&amp;""'!$C$4:$C$66""),INDIRECT(""'""&amp;CV$1&amp;""'!$D$4:$D$66"")=CV$2),$G$4:$BQ$4,$G31:$BQ31))),"""")"),"")</f>
        <v/>
      </c>
      <c r="CX31" s="208" t="str">
        <f t="shared" si="16"/>
        <v/>
      </c>
      <c r="CY31" s="209" t="s">
        <v>444</v>
      </c>
      <c r="CZ31" s="210">
        <f>IFERROR(__xludf.DUMMYFUNCTION("AVERAGE(ARRAYFORMULA(XLOOKUP(FILTER(INDIRECT(""'""&amp;CZ$1&amp;""'!$C$4:$C$66""),INDIRECT(""'""&amp;CZ$1&amp;""'!$D$4:$D$66"")=CZ$2),$G$4:$BQ$4,$G31:$BQ31)))"),0.8959120914285715)</f>
        <v>0.8959120914</v>
      </c>
      <c r="DA31" s="207" t="str">
        <f>IFERROR(__xludf.DUMMYFUNCTION("IF(OR(CZ31&gt;$BS31+$BT31*$BT$2,CZ31&lt;$BS31-$BT31*$BT$2),AVEDEV(ARRAYFORMULA(XLOOKUP(FILTER(INDIRECT(""'""&amp;CZ$1&amp;""'!$C$4:$C$66""),INDIRECT(""'""&amp;CZ$1&amp;""'!$D$4:$D$66"")=CZ$2),$G$4:$BQ$4,$G31:$BQ31))),"""")"),"")</f>
        <v/>
      </c>
      <c r="DB31" s="208" t="str">
        <f t="shared" si="17"/>
        <v/>
      </c>
      <c r="DC31" s="210">
        <f>IFERROR(__xludf.DUMMYFUNCTION("AVERAGE(ARRAYFORMULA(XLOOKUP(FILTER(INDIRECT(""'""&amp;DC$1&amp;""'!$C$4:$C$66""),INDIRECT(""'""&amp;DC$1&amp;""'!$D$4:$D$66"")=DC$2),$G$4:$BQ$4,$G31:$BQ31)))"),0.10912820444444446)</f>
        <v>0.1091282044</v>
      </c>
      <c r="DD31" s="207" t="str">
        <f>IFERROR(__xludf.DUMMYFUNCTION("IF(OR(DC31&gt;$BS31+$BT31*$BT$2,DC31&lt;$BS31-$BT31*$BT$2),AVEDEV(ARRAYFORMULA(XLOOKUP(FILTER(INDIRECT(""'""&amp;DC$1&amp;""'!$C$4:$C$66""),INDIRECT(""'""&amp;DC$1&amp;""'!$D$4:$D$66"")=DC$2),$G$4:$BQ$4,$G31:$BQ31))),"""")"),"")</f>
        <v/>
      </c>
      <c r="DE31" s="208" t="str">
        <f t="shared" si="18"/>
        <v/>
      </c>
      <c r="DF31" s="210">
        <f>IFERROR(__xludf.DUMMYFUNCTION("AVERAGE(ARRAYFORMULA(XLOOKUP(FILTER(INDIRECT(""'""&amp;DF$1&amp;""'!$C$4:$C$66""),INDIRECT(""'""&amp;DF$1&amp;""'!$D$4:$D$66"")=DF$2),$G$4:$BQ$4,$G31:$BQ31)))"),-0.1725314709090909)</f>
        <v>-0.1725314709</v>
      </c>
      <c r="DG31" s="207" t="str">
        <f>IFERROR(__xludf.DUMMYFUNCTION("IF(OR(DF31&gt;$BS31+$BT31*$BT$2,DF31&lt;$BS31-$BT31*$BT$2),AVEDEV(ARRAYFORMULA(XLOOKUP(FILTER(INDIRECT(""'""&amp;DF$1&amp;""'!$C$4:$C$66""),INDIRECT(""'""&amp;DF$1&amp;""'!$D$4:$D$66"")=DF$2),$G$4:$BQ$4,$G31:$BQ31))),"""")"),"")</f>
        <v/>
      </c>
      <c r="DH31" s="208" t="str">
        <f t="shared" si="19"/>
        <v/>
      </c>
      <c r="DI31" s="210">
        <f>IFERROR(__xludf.DUMMYFUNCTION("AVERAGE(ARRAYFORMULA(XLOOKUP(FILTER(INDIRECT(""'""&amp;DI$1&amp;""'!$C$4:$C$66""),INDIRECT(""'""&amp;DI$1&amp;""'!$D$4:$D$66"")=DI$2),$G$4:$BQ$4,$G31:$BQ31)))"),0.21661538999999996)</f>
        <v>0.21661539</v>
      </c>
      <c r="DJ31" s="207" t="str">
        <f>IFERROR(__xludf.DUMMYFUNCTION("IF(OR(DI31&gt;$BS31+$BT31*$BT$2,DI31&lt;$BS31-$BT31*$BT$2),AVEDEV(ARRAYFORMULA(XLOOKUP(FILTER(INDIRECT(""'""&amp;DI$1&amp;""'!$C$4:$C$66""),INDIRECT(""'""&amp;DI$1&amp;""'!$D$4:$D$66"")=DI$2),$G$4:$BQ$4,$G31:$BQ31))),"""")"),"")</f>
        <v/>
      </c>
      <c r="DK31" s="208" t="str">
        <f t="shared" si="20"/>
        <v/>
      </c>
      <c r="DL31" s="210">
        <f>IFERROR(__xludf.DUMMYFUNCTION("AVERAGE(ARRAYFORMULA(XLOOKUP(FILTER(INDIRECT(""'""&amp;DL$1&amp;""'!$C$4:$C$66""),INDIRECT(""'""&amp;DL$1&amp;""'!$D$4:$D$66"")=DL$2),$G$4:$BQ$4,$G31:$BQ31)))"),-0.0010549442857142796)</f>
        <v>-0.001054944286</v>
      </c>
      <c r="DM31" s="207" t="str">
        <f>IFERROR(__xludf.DUMMYFUNCTION("IF(OR(DL31&gt;$BS31+$BT31*$BT$2,DL31&lt;$BS31-$BT31*$BT$2),AVEDEV(ARRAYFORMULA(XLOOKUP(FILTER(INDIRECT(""'""&amp;DL$1&amp;""'!$C$4:$C$66""),INDIRECT(""'""&amp;DL$1&amp;""'!$D$4:$D$66"")=DL$2),$G$4:$BQ$4,$G31:$BQ31))),"""")"),"")</f>
        <v/>
      </c>
      <c r="DN31" s="208" t="str">
        <f t="shared" si="21"/>
        <v/>
      </c>
      <c r="DO31" s="209" t="s">
        <v>444</v>
      </c>
      <c r="DP31" s="210">
        <f>IFERROR(__xludf.DUMMYFUNCTION("AVERAGE(ARRAYFORMULA(XLOOKUP(FILTER(INDIRECT(""'""&amp;DP$1&amp;""'!$C$4:$C$66""),INDIRECT(""'""&amp;DP$1&amp;""'!$D$4:$D$66"")=DP$2),$G$4:$BQ$4,$G31:$BQ31)))"),0.600082053)</f>
        <v>0.600082053</v>
      </c>
      <c r="DQ31" s="207" t="str">
        <f>IFERROR(__xludf.DUMMYFUNCTION("IF(OR(DP31&gt;$BS31+$BT31*$BT$2,DP31&lt;$BS31-$BT31*$BT$2),AVEDEV(ARRAYFORMULA(XLOOKUP(FILTER(INDIRECT(""'""&amp;DP$1&amp;""'!$C$4:$C$66""),INDIRECT(""'""&amp;DP$1&amp;""'!$D$4:$D$66"")=DP$2),$G$4:$BQ$4,$G31:$BQ31))),"""")"),"")</f>
        <v/>
      </c>
      <c r="DR31" s="208" t="str">
        <f t="shared" si="22"/>
        <v/>
      </c>
      <c r="DS31" s="210">
        <f>IFERROR(__xludf.DUMMYFUNCTION("AVERAGE(ARRAYFORMULA(XLOOKUP(FILTER(INDIRECT(""'""&amp;DS$1&amp;""'!$C$4:$C$66""),INDIRECT(""'""&amp;DS$1&amp;""'!$D$4:$D$66"")=DS$2),$G$4:$BQ$4,$G31:$BQ31)))"),-0.1813333333333333)</f>
        <v>-0.1813333333</v>
      </c>
      <c r="DT31" s="207" t="str">
        <f>IFERROR(__xludf.DUMMYFUNCTION("IF(OR(DS31&gt;$BS31+$BT31*$BT$2,DS31&lt;$BS31-$BT31*$BT$2),AVEDEV(ARRAYFORMULA(XLOOKUP(FILTER(INDIRECT(""'""&amp;DS$1&amp;""'!$C$4:$C$66""),INDIRECT(""'""&amp;DS$1&amp;""'!$D$4:$D$66"")=DS$2),$G$4:$BQ$4,$G31:$BQ31))),"""")"),"")</f>
        <v/>
      </c>
      <c r="DU31" s="208" t="str">
        <f t="shared" si="23"/>
        <v/>
      </c>
      <c r="DV31" s="210">
        <f>IFERROR(__xludf.DUMMYFUNCTION("AVERAGE(ARRAYFORMULA(XLOOKUP(FILTER(INDIRECT(""'""&amp;DV$1&amp;""'!$C$4:$C$66""),INDIRECT(""'""&amp;DV$1&amp;""'!$D$4:$D$66"")=DV$2),$G$4:$BQ$4,$G31:$BQ31)))"),-0.16000001249999998)</f>
        <v>-0.1600000125</v>
      </c>
      <c r="DW31" s="207" t="str">
        <f>IFERROR(__xludf.DUMMYFUNCTION("IF(OR(DV31&gt;$BS31+$BT31*$BT$2,DV31&lt;$BS31-$BT31*$BT$2),AVEDEV(ARRAYFORMULA(XLOOKUP(FILTER(INDIRECT(""'""&amp;DV$1&amp;""'!$C$4:$C$66""),INDIRECT(""'""&amp;DV$1&amp;""'!$D$4:$D$66"")=DV$2),$G$4:$BQ$4,$G31:$BQ31))),"""")"),"")</f>
        <v/>
      </c>
      <c r="DX31" s="208" t="str">
        <f t="shared" si="24"/>
        <v/>
      </c>
      <c r="DY31" s="210">
        <f>IFERROR(__xludf.DUMMYFUNCTION("AVERAGE(ARRAYFORMULA(XLOOKUP(FILTER(INDIRECT(""'""&amp;DY$1&amp;""'!$C$4:$C$66""),INDIRECT(""'""&amp;DY$1&amp;""'!$D$4:$D$66"")=DY$2),$G$4:$BQ$4,$G31:$BQ31)))"),-0.005333342222222222)</f>
        <v>-0.005333342222</v>
      </c>
      <c r="DZ31" s="207" t="str">
        <f>IFERROR(__xludf.DUMMYFUNCTION("IF(OR(DY31&gt;$BS31+$BT31*$BT$2,DY31&lt;$BS31-$BT31*$BT$2),AVEDEV(ARRAYFORMULA(XLOOKUP(FILTER(INDIRECT(""'""&amp;DY$1&amp;""'!$C$4:$C$66""),INDIRECT(""'""&amp;DY$1&amp;""'!$D$4:$D$66"")=DY$2),$G$4:$BQ$4,$G31:$BQ31))),"""")"),"")</f>
        <v/>
      </c>
      <c r="EA31" s="208" t="str">
        <f t="shared" si="25"/>
        <v/>
      </c>
      <c r="EB31" s="191"/>
    </row>
    <row r="32" outlineLevel="1">
      <c r="A32" s="2"/>
      <c r="B32" s="204">
        <v>28.0</v>
      </c>
      <c r="C32" s="204" t="s">
        <v>442</v>
      </c>
      <c r="D32" s="204" t="s">
        <v>471</v>
      </c>
      <c r="E32" s="205" t="b">
        <f>VLOOKUP(D32,'Feature Set List'!A28:C246,2,0)</f>
        <v>1</v>
      </c>
      <c r="F32" s="205" t="b">
        <f>VLOOKUP(D32,'Feature Set List'!A28:C246,3,0)</f>
        <v>1</v>
      </c>
      <c r="G32" s="205">
        <v>-1.0</v>
      </c>
      <c r="H32" s="205">
        <v>-0.2865169</v>
      </c>
      <c r="I32" s="205">
        <v>0.76966292</v>
      </c>
      <c r="J32" s="205">
        <v>-0.3370787</v>
      </c>
      <c r="K32" s="205">
        <v>0.19662921</v>
      </c>
      <c r="L32" s="205">
        <v>-0.6460674</v>
      </c>
      <c r="M32" s="205">
        <v>-0.7359551</v>
      </c>
      <c r="N32" s="205">
        <v>0.06741573</v>
      </c>
      <c r="O32" s="205">
        <v>0.20224719</v>
      </c>
      <c r="P32" s="205">
        <v>0.1011236</v>
      </c>
      <c r="Q32" s="205">
        <v>0.29213483</v>
      </c>
      <c r="R32" s="205">
        <v>-0.6460674</v>
      </c>
      <c r="S32" s="205">
        <v>0.48876404</v>
      </c>
      <c r="T32" s="205">
        <v>0.90449438</v>
      </c>
      <c r="U32" s="205">
        <v>-0.6910112</v>
      </c>
      <c r="V32" s="205">
        <v>-0.1011236</v>
      </c>
      <c r="W32" s="205">
        <v>-0.3258427</v>
      </c>
      <c r="X32" s="205">
        <v>-0.4606742</v>
      </c>
      <c r="Y32" s="205">
        <v>-0.2078652</v>
      </c>
      <c r="Z32" s="205">
        <v>-0.3651685</v>
      </c>
      <c r="AA32" s="205">
        <v>0.04494382</v>
      </c>
      <c r="AB32" s="205">
        <v>-1.3707865</v>
      </c>
      <c r="AC32" s="205">
        <v>-1.5337079</v>
      </c>
      <c r="AD32" s="205">
        <v>0.70786517</v>
      </c>
      <c r="AE32" s="205">
        <v>0.8988764</v>
      </c>
      <c r="AF32" s="205">
        <v>-0.1516854</v>
      </c>
      <c r="AG32" s="205">
        <v>0.21348315</v>
      </c>
      <c r="AH32" s="205">
        <v>-0.3539326</v>
      </c>
      <c r="AI32" s="205">
        <v>0.03932584</v>
      </c>
      <c r="AJ32" s="205">
        <v>0.16853933</v>
      </c>
      <c r="AK32" s="205">
        <v>-0.2865169</v>
      </c>
      <c r="AL32" s="205">
        <v>0.53370787</v>
      </c>
      <c r="AM32" s="205">
        <v>0.0</v>
      </c>
      <c r="AN32" s="205">
        <v>0.95505618</v>
      </c>
      <c r="AO32" s="205">
        <v>1.01685393</v>
      </c>
      <c r="AP32" s="205">
        <v>0.12921348</v>
      </c>
      <c r="AQ32" s="205">
        <v>-0.505618</v>
      </c>
      <c r="AR32" s="205">
        <v>-0.7865169</v>
      </c>
      <c r="AS32" s="205">
        <v>-0.1966292</v>
      </c>
      <c r="AT32" s="205">
        <v>-0.505618</v>
      </c>
      <c r="AU32" s="205">
        <v>0.46067416</v>
      </c>
      <c r="AV32" s="205">
        <v>2.48314607</v>
      </c>
      <c r="AW32" s="205">
        <v>-0.9382022</v>
      </c>
      <c r="AX32" s="205">
        <v>-0.1011236</v>
      </c>
      <c r="AY32" s="205">
        <v>2.57865169</v>
      </c>
      <c r="AZ32" s="205">
        <v>-1.5168539</v>
      </c>
      <c r="BA32" s="205">
        <v>-0.9157303</v>
      </c>
      <c r="BB32" s="205">
        <v>0.96067416</v>
      </c>
      <c r="BC32" s="205">
        <v>-0.6516854</v>
      </c>
      <c r="BD32" s="205">
        <v>0.5</v>
      </c>
      <c r="BE32" s="205">
        <v>6.21348315</v>
      </c>
      <c r="BF32" s="205">
        <v>-0.8651685</v>
      </c>
      <c r="BG32" s="205">
        <v>-0.3483146</v>
      </c>
      <c r="BH32" s="205">
        <v>0.6741573</v>
      </c>
      <c r="BI32" s="205">
        <v>0.57865169</v>
      </c>
      <c r="BJ32" s="205">
        <v>-1.011236</v>
      </c>
      <c r="BK32" s="205">
        <v>-0.3089888</v>
      </c>
      <c r="BL32" s="205">
        <v>13.4213483</v>
      </c>
      <c r="BM32" s="205">
        <v>0.03932584</v>
      </c>
      <c r="BN32" s="205">
        <v>2.15168539</v>
      </c>
      <c r="BO32" s="205">
        <v>0.64044944</v>
      </c>
      <c r="BP32" s="205">
        <v>-0.0842697</v>
      </c>
      <c r="BQ32" s="205">
        <v>0.01685393</v>
      </c>
      <c r="BR32" s="206"/>
      <c r="BS32" s="207">
        <f t="shared" si="6"/>
        <v>0.3208489348</v>
      </c>
      <c r="BT32" s="207">
        <f t="shared" si="7"/>
        <v>0.979113412</v>
      </c>
      <c r="BU32" s="206"/>
      <c r="BV32" s="207">
        <f>IFERROR(__xludf.DUMMYFUNCTION("AVERAGE(ARRAYFORMULA(XLOOKUP(FILTER(INDIRECT(""'""&amp;BV$1&amp;""'!$C$4:$C$66""),INDIRECT(""'""&amp;BV$1&amp;""'!$D$4:$D$66"")=BV$2),$G$4:$BQ$4,$G32:$BQ32)))"),3.291332261428572)</f>
        <v>3.291332261</v>
      </c>
      <c r="BW32" s="207">
        <f>IFERROR(__xludf.DUMMYFUNCTION("IF(OR(BV32&gt;$BS32+$BT32*$BT$2,BV32&lt;$BS32-$BT32*$BT$2),AVEDEV(ARRAYFORMULA(XLOOKUP(FILTER(INDIRECT(""'""&amp;BV$1&amp;""'!$C$4:$C$66""),INDIRECT(""'""&amp;BV$1&amp;""'!$D$4:$D$66"")=BV$2),$G$4:$BQ$4,$G32:$BQ32))),"""")"),3.7291905506122447)</f>
        <v>3.729190551</v>
      </c>
      <c r="BX32" s="208" t="str">
        <f t="shared" si="8"/>
        <v/>
      </c>
      <c r="BY32" s="207">
        <f>IFERROR(__xludf.DUMMYFUNCTION("AVERAGE(ARRAYFORMULA(XLOOKUP(FILTER(INDIRECT(""'""&amp;BY$1&amp;""'!$C$4:$C$66""),INDIRECT(""'""&amp;BY$1&amp;""'!$D$4:$D$66"")=BY$2),$G$4:$BQ$4,$G32:$BQ32)))"),-0.002407710476190478)</f>
        <v>-0.002407710476</v>
      </c>
      <c r="BZ32" s="207" t="str">
        <f>IFERROR(__xludf.DUMMYFUNCTION("IF(OR(BY32&gt;$BS32+$BT32*$BT$2,BY32&lt;$BS32-$BT32*$BT$2),AVEDEV(ARRAYFORMULA(XLOOKUP(FILTER(INDIRECT(""'""&amp;BY$1&amp;""'!$C$4:$C$66""),INDIRECT(""'""&amp;BY$1&amp;""'!$D$4:$D$66"")=BY$2),$G$4:$BQ$4,$G32:$BQ32))),"""")"),"")</f>
        <v/>
      </c>
      <c r="CA32" s="208" t="str">
        <f t="shared" si="9"/>
        <v/>
      </c>
      <c r="CB32" s="207">
        <f>IFERROR(__xludf.DUMMYFUNCTION("AVERAGE(ARRAYFORMULA(XLOOKUP(FILTER(INDIRECT(""'""&amp;CB$1&amp;""'!$C$4:$C$66""),INDIRECT(""'""&amp;CB$1&amp;""'!$D$4:$D$66"")=CB$2),$G$4:$BQ$4,$G32:$BQ32)))"),-0.40500510727272715)</f>
        <v>-0.4050051073</v>
      </c>
      <c r="CC32" s="207" t="str">
        <f>IFERROR(__xludf.DUMMYFUNCTION("IF(OR(CB32&gt;$BS32+$BT32*$BT$2,CB32&lt;$BS32-$BT32*$BT$2),AVEDEV(ARRAYFORMULA(XLOOKUP(FILTER(INDIRECT(""'""&amp;CB$1&amp;""'!$C$4:$C$66""),INDIRECT(""'""&amp;CB$1&amp;""'!$D$4:$D$66"")=CB$2),$G$4:$BQ$4,$G32:$BQ32))),"""")"),"")</f>
        <v/>
      </c>
      <c r="CD32" s="208" t="str">
        <f t="shared" si="10"/>
        <v/>
      </c>
      <c r="CE32" s="209" t="s">
        <v>444</v>
      </c>
      <c r="CF32" s="207">
        <f>IFERROR(__xludf.DUMMYFUNCTION("AVERAGE(ARRAYFORMULA(XLOOKUP(FILTER(INDIRECT(""'""&amp;CF$1&amp;""'!$C$4:$C$66""),INDIRECT(""'""&amp;CF$1&amp;""'!$D$4:$D$66"")=CF$2),$G$4:$BQ$4,$G32:$BQ32)))"),-0.125702251875)</f>
        <v>-0.1257022519</v>
      </c>
      <c r="CG32" s="207" t="str">
        <f>IFERROR(__xludf.DUMMYFUNCTION("IF(OR(CF32&gt;$BS32+$BT32*$BT$2,CF32&lt;$BS32-$BT32*$BT$2),AVEDEV(ARRAYFORMULA(XLOOKUP(FILTER(INDIRECT(""'""&amp;CF$1&amp;""'!$C$4:$C$66""),INDIRECT(""'""&amp;CF$1&amp;""'!$D$4:$D$66"")=CF$2),$G$4:$BQ$4,$G32:$BQ32))),"""")"),"")</f>
        <v/>
      </c>
      <c r="CH32" s="208" t="str">
        <f t="shared" si="11"/>
        <v/>
      </c>
      <c r="CI32" s="207">
        <f>IFERROR(__xludf.DUMMYFUNCTION("AVERAGE(ARRAYFORMULA(XLOOKUP(FILTER(INDIRECT(""'""&amp;CI$1&amp;""'!$C$4:$C$66""),INDIRECT(""'""&amp;CI$1&amp;""'!$D$4:$D$66"")=CI$2),$G$4:$BQ$4,$G32:$BQ32)))"),0.263863714516129)</f>
        <v>0.2638637145</v>
      </c>
      <c r="CJ32" s="207" t="str">
        <f>IFERROR(__xludf.DUMMYFUNCTION("IF(OR(CI32&gt;$BS32+$BT32*$BT$2,CI32&lt;$BS32-$BT32*$BT$2),AVEDEV(ARRAYFORMULA(XLOOKUP(FILTER(INDIRECT(""'""&amp;CI$1&amp;""'!$C$4:$C$66""),INDIRECT(""'""&amp;CI$1&amp;""'!$D$4:$D$66"")=CI$2),$G$4:$BQ$4,$G32:$BQ32))),"""")"),"")</f>
        <v/>
      </c>
      <c r="CK32" s="208" t="str">
        <f t="shared" si="12"/>
        <v/>
      </c>
      <c r="CL32" s="207">
        <f>IFERROR(__xludf.DUMMYFUNCTION("AVERAGE(ARRAYFORMULA(XLOOKUP(FILTER(INDIRECT(""'""&amp;CL$1&amp;""'!$C$4:$C$66""),INDIRECT(""'""&amp;CL$1&amp;""'!$D$4:$D$66"")=CL$2),$G$4:$BQ$4,$G32:$BQ32)))"),-0.09101122399999997)</f>
        <v>-0.091011224</v>
      </c>
      <c r="CM32" s="207" t="str">
        <f>IFERROR(__xludf.DUMMYFUNCTION("IF(OR(CL32&gt;$BS32+$BT32*$BT$2,CL32&lt;$BS32-$BT32*$BT$2),AVEDEV(ARRAYFORMULA(XLOOKUP(FILTER(INDIRECT(""'""&amp;CL$1&amp;""'!$C$4:$C$66""),INDIRECT(""'""&amp;CL$1&amp;""'!$D$4:$D$66"")=CL$2),$G$4:$BQ$4,$G32:$BQ32))),"""")"),"")</f>
        <v/>
      </c>
      <c r="CN32" s="208" t="str">
        <f t="shared" si="13"/>
        <v/>
      </c>
      <c r="CO32" s="209" t="s">
        <v>444</v>
      </c>
      <c r="CP32" s="210">
        <f>IFERROR(__xludf.DUMMYFUNCTION("AVERAGE(ARRAYFORMULA(XLOOKUP(FILTER(INDIRECT(""'""&amp;CP$1&amp;""'!$C$4:$C$66""),INDIRECT(""'""&amp;CP$1&amp;""'!$D$4:$D$66"")=CP$2),$G$4:$BQ$4,$G32:$BQ32)))"),0.18277152933333335)</f>
        <v>0.1827715293</v>
      </c>
      <c r="CQ32" s="207" t="str">
        <f>IFERROR(__xludf.DUMMYFUNCTION("IF(OR(CP32&gt;$BS32+$BT32*$BT$2,CP32&lt;$BS32-$BT32*$BT$2),AVEDEV(ARRAYFORMULA(XLOOKUP(FILTER(INDIRECT(""'""&amp;CP$1&amp;""'!$C$4:$C$66""),INDIRECT(""'""&amp;CP$1&amp;""'!$D$4:$D$66"")=CP$2),$G$4:$BQ$4,$G32:$BQ32))),"""")"),"")</f>
        <v/>
      </c>
      <c r="CR32" s="208" t="str">
        <f t="shared" si="14"/>
        <v/>
      </c>
      <c r="CS32" s="210">
        <f>IFERROR(__xludf.DUMMYFUNCTION("AVERAGE(ARRAYFORMULA(XLOOKUP(FILTER(INDIRECT(""'""&amp;CS$1&amp;""'!$C$4:$C$66""),INDIRECT(""'""&amp;CS$1&amp;""'!$D$4:$D$66"")=CS$2),$G$4:$BQ$4,$G32:$BQ32)))"),0.07116104333333333)</f>
        <v>0.07116104333</v>
      </c>
      <c r="CT32" s="207" t="str">
        <f>IFERROR(__xludf.DUMMYFUNCTION("IF(OR(CS32&gt;$BS32+$BT32*$BT$2,CS32&lt;$BS32-$BT32*$BT$2),AVEDEV(ARRAYFORMULA(XLOOKUP(FILTER(INDIRECT(""'""&amp;CS$1&amp;""'!$C$4:$C$66""),INDIRECT(""'""&amp;CS$1&amp;""'!$D$4:$D$66"")=CS$2),$G$4:$BQ$4,$G32:$BQ32))),"""")"),"")</f>
        <v/>
      </c>
      <c r="CU32" s="208" t="str">
        <f t="shared" si="15"/>
        <v/>
      </c>
      <c r="CV32" s="210">
        <f>IFERROR(__xludf.DUMMYFUNCTION("AVERAGE(ARRAYFORMULA(XLOOKUP(FILTER(INDIRECT(""'""&amp;CV$1&amp;""'!$C$4:$C$66""),INDIRECT(""'""&amp;CV$1&amp;""'!$D$4:$D$66"")=CV$2),$G$4:$BQ$4,$G32:$BQ32)))"),-0.09101122399999997)</f>
        <v>-0.091011224</v>
      </c>
      <c r="CW32" s="207" t="str">
        <f>IFERROR(__xludf.DUMMYFUNCTION("IF(OR(CV32&gt;$BS32+$BT32*$BT$2,CV32&lt;$BS32-$BT32*$BT$2),AVEDEV(ARRAYFORMULA(XLOOKUP(FILTER(INDIRECT(""'""&amp;CV$1&amp;""'!$C$4:$C$66""),INDIRECT(""'""&amp;CV$1&amp;""'!$D$4:$D$66"")=CV$2),$G$4:$BQ$4,$G32:$BQ32))),"""")"),"")</f>
        <v/>
      </c>
      <c r="CX32" s="208" t="str">
        <f t="shared" si="16"/>
        <v/>
      </c>
      <c r="CY32" s="209" t="s">
        <v>444</v>
      </c>
      <c r="CZ32" s="210">
        <f>IFERROR(__xludf.DUMMYFUNCTION("AVERAGE(ARRAYFORMULA(XLOOKUP(FILTER(INDIRECT(""'""&amp;CZ$1&amp;""'!$C$4:$C$66""),INDIRECT(""'""&amp;CZ$1&amp;""'!$D$4:$D$66"")=CZ$2),$G$4:$BQ$4,$G32:$BQ32)))"),-0.12479936642857141)</f>
        <v>-0.1247993664</v>
      </c>
      <c r="DA32" s="207" t="str">
        <f>IFERROR(__xludf.DUMMYFUNCTION("IF(OR(CZ32&gt;$BS32+$BT32*$BT$2,CZ32&lt;$BS32-$BT32*$BT$2),AVEDEV(ARRAYFORMULA(XLOOKUP(FILTER(INDIRECT(""'""&amp;CZ$1&amp;""'!$C$4:$C$66""),INDIRECT(""'""&amp;CZ$1&amp;""'!$D$4:$D$66"")=CZ$2),$G$4:$BQ$4,$G32:$BQ32))),"""")"),"")</f>
        <v/>
      </c>
      <c r="DB32" s="208" t="str">
        <f t="shared" si="17"/>
        <v/>
      </c>
      <c r="DC32" s="210">
        <f>IFERROR(__xludf.DUMMYFUNCTION("AVERAGE(ARRAYFORMULA(XLOOKUP(FILTER(INDIRECT(""'""&amp;DC$1&amp;""'!$C$4:$C$66""),INDIRECT(""'""&amp;DC$1&amp;""'!$D$4:$D$66"")=DC$2),$G$4:$BQ$4,$G32:$BQ32)))"),-0.3308364577777778)</f>
        <v>-0.3308364578</v>
      </c>
      <c r="DD32" s="207" t="str">
        <f>IFERROR(__xludf.DUMMYFUNCTION("IF(OR(DC32&gt;$BS32+$BT32*$BT$2,DC32&lt;$BS32-$BT32*$BT$2),AVEDEV(ARRAYFORMULA(XLOOKUP(FILTER(INDIRECT(""'""&amp;DC$1&amp;""'!$C$4:$C$66""),INDIRECT(""'""&amp;DC$1&amp;""'!$D$4:$D$66"")=DC$2),$G$4:$BQ$4,$G32:$BQ32))),"""")"),"")</f>
        <v/>
      </c>
      <c r="DE32" s="208" t="str">
        <f t="shared" si="18"/>
        <v/>
      </c>
      <c r="DF32" s="210">
        <f>IFERROR(__xludf.DUMMYFUNCTION("AVERAGE(ARRAYFORMULA(XLOOKUP(FILTER(INDIRECT(""'""&amp;DF$1&amp;""'!$C$4:$C$66""),INDIRECT(""'""&amp;DF$1&amp;""'!$D$4:$D$66"")=DF$2),$G$4:$BQ$4,$G32:$BQ32)))"),-0.17926455727272728)</f>
        <v>-0.1792645573</v>
      </c>
      <c r="DG32" s="207" t="str">
        <f>IFERROR(__xludf.DUMMYFUNCTION("IF(OR(DF32&gt;$BS32+$BT32*$BT$2,DF32&lt;$BS32-$BT32*$BT$2),AVEDEV(ARRAYFORMULA(XLOOKUP(FILTER(INDIRECT(""'""&amp;DF$1&amp;""'!$C$4:$C$66""),INDIRECT(""'""&amp;DF$1&amp;""'!$D$4:$D$66"")=DF$2),$G$4:$BQ$4,$G32:$BQ32))),"""")"),"")</f>
        <v/>
      </c>
      <c r="DH32" s="208" t="str">
        <f t="shared" si="19"/>
        <v/>
      </c>
      <c r="DI32" s="210">
        <f>IFERROR(__xludf.DUMMYFUNCTION("AVERAGE(ARRAYFORMULA(XLOOKUP(FILTER(INDIRECT(""'""&amp;DI$1&amp;""'!$C$4:$C$66""),INDIRECT(""'""&amp;DI$1&amp;""'!$D$4:$D$66"")=DI$2),$G$4:$BQ$4,$G32:$BQ32)))"),0.691011235)</f>
        <v>0.691011235</v>
      </c>
      <c r="DJ32" s="207" t="str">
        <f>IFERROR(__xludf.DUMMYFUNCTION("IF(OR(DI32&gt;$BS32+$BT32*$BT$2,DI32&lt;$BS32-$BT32*$BT$2),AVEDEV(ARRAYFORMULA(XLOOKUP(FILTER(INDIRECT(""'""&amp;DI$1&amp;""'!$C$4:$C$66""),INDIRECT(""'""&amp;DI$1&amp;""'!$D$4:$D$66"")=DI$2),$G$4:$BQ$4,$G32:$BQ32))),"""")"),"")</f>
        <v/>
      </c>
      <c r="DK32" s="208" t="str">
        <f t="shared" si="20"/>
        <v/>
      </c>
      <c r="DL32" s="210">
        <f>IFERROR(__xludf.DUMMYFUNCTION("AVERAGE(ARRAYFORMULA(XLOOKUP(FILTER(INDIRECT(""'""&amp;DL$1&amp;""'!$C$4:$C$66""),INDIRECT(""'""&amp;DL$1&amp;""'!$D$4:$D$66"")=DL$2),$G$4:$BQ$4,$G32:$BQ32)))"),0.051364360000000005)</f>
        <v>0.05136436</v>
      </c>
      <c r="DM32" s="207" t="str">
        <f>IFERROR(__xludf.DUMMYFUNCTION("IF(OR(DL32&gt;$BS32+$BT32*$BT$2,DL32&lt;$BS32-$BT32*$BT$2),AVEDEV(ARRAYFORMULA(XLOOKUP(FILTER(INDIRECT(""'""&amp;DL$1&amp;""'!$C$4:$C$66""),INDIRECT(""'""&amp;DL$1&amp;""'!$D$4:$D$66"")=DL$2),$G$4:$BQ$4,$G32:$BQ32))),"""")"),"")</f>
        <v/>
      </c>
      <c r="DN32" s="208" t="str">
        <f t="shared" si="21"/>
        <v/>
      </c>
      <c r="DO32" s="209" t="s">
        <v>444</v>
      </c>
      <c r="DP32" s="210">
        <f>IFERROR(__xludf.DUMMYFUNCTION("AVERAGE(ARRAYFORMULA(XLOOKUP(FILTER(INDIRECT(""'""&amp;DP$1&amp;""'!$C$4:$C$66""),INDIRECT(""'""&amp;DP$1&amp;""'!$D$4:$D$66"")=DP$2),$G$4:$BQ$4,$G32:$BQ32)))"),0.06928838066666669)</f>
        <v>0.06928838067</v>
      </c>
      <c r="DQ32" s="207" t="str">
        <f>IFERROR(__xludf.DUMMYFUNCTION("IF(OR(DP32&gt;$BS32+$BT32*$BT$2,DP32&lt;$BS32-$BT32*$BT$2),AVEDEV(ARRAYFORMULA(XLOOKUP(FILTER(INDIRECT(""'""&amp;DP$1&amp;""'!$C$4:$C$66""),INDIRECT(""'""&amp;DP$1&amp;""'!$D$4:$D$66"")=DP$2),$G$4:$BQ$4,$G32:$BQ32))),"""")"),"")</f>
        <v/>
      </c>
      <c r="DR32" s="208" t="str">
        <f t="shared" si="22"/>
        <v/>
      </c>
      <c r="DS32" s="210">
        <f>IFERROR(__xludf.DUMMYFUNCTION("AVERAGE(ARRAYFORMULA(XLOOKUP(FILTER(INDIRECT(""'""&amp;DS$1&amp;""'!$C$4:$C$66""),INDIRECT(""'""&amp;DS$1&amp;""'!$D$4:$D$66"")=DS$2),$G$4:$BQ$4,$G32:$BQ32)))"),-0.010611734444444446)</f>
        <v>-0.01061173444</v>
      </c>
      <c r="DT32" s="207" t="str">
        <f>IFERROR(__xludf.DUMMYFUNCTION("IF(OR(DS32&gt;$BS32+$BT32*$BT$2,DS32&lt;$BS32-$BT32*$BT$2),AVEDEV(ARRAYFORMULA(XLOOKUP(FILTER(INDIRECT(""'""&amp;DS$1&amp;""'!$C$4:$C$66""),INDIRECT(""'""&amp;DS$1&amp;""'!$D$4:$D$66"")=DS$2),$G$4:$BQ$4,$G32:$BQ32))),"""")"),"")</f>
        <v/>
      </c>
      <c r="DU32" s="208" t="str">
        <f t="shared" si="23"/>
        <v/>
      </c>
      <c r="DV32" s="210">
        <f>IFERROR(__xludf.DUMMYFUNCTION("AVERAGE(ARRAYFORMULA(XLOOKUP(FILTER(INDIRECT(""'""&amp;DV$1&amp;""'!$C$4:$C$66""),INDIRECT(""'""&amp;DV$1&amp;""'!$D$4:$D$66"")=DV$2),$G$4:$BQ$4,$G32:$BQ32)))"),0.07865169624999999)</f>
        <v>0.07865169625</v>
      </c>
      <c r="DW32" s="207" t="str">
        <f>IFERROR(__xludf.DUMMYFUNCTION("IF(OR(DV32&gt;$BS32+$BT32*$BT$2,DV32&lt;$BS32-$BT32*$BT$2),AVEDEV(ARRAYFORMULA(XLOOKUP(FILTER(INDIRECT(""'""&amp;DV$1&amp;""'!$C$4:$C$66""),INDIRECT(""'""&amp;DV$1&amp;""'!$D$4:$D$66"")=DV$2),$G$4:$BQ$4,$G32:$BQ32))),"""")"),"")</f>
        <v/>
      </c>
      <c r="DX32" s="208" t="str">
        <f t="shared" si="24"/>
        <v/>
      </c>
      <c r="DY32" s="210">
        <f>IFERROR(__xludf.DUMMYFUNCTION("AVERAGE(ARRAYFORMULA(XLOOKUP(FILTER(INDIRECT(""'""&amp;DY$1&amp;""'!$C$4:$C$66""),INDIRECT(""'""&amp;DY$1&amp;""'!$D$4:$D$66"")=DY$2),$G$4:$BQ$4,$G32:$BQ32)))"),0.2977528111111111)</f>
        <v>0.2977528111</v>
      </c>
      <c r="DZ32" s="207" t="str">
        <f>IFERROR(__xludf.DUMMYFUNCTION("IF(OR(DY32&gt;$BS32+$BT32*$BT$2,DY32&lt;$BS32-$BT32*$BT$2),AVEDEV(ARRAYFORMULA(XLOOKUP(FILTER(INDIRECT(""'""&amp;DY$1&amp;""'!$C$4:$C$66""),INDIRECT(""'""&amp;DY$1&amp;""'!$D$4:$D$66"")=DY$2),$G$4:$BQ$4,$G32:$BQ32))),"""")"),"")</f>
        <v/>
      </c>
      <c r="EA32" s="208" t="str">
        <f t="shared" si="25"/>
        <v/>
      </c>
      <c r="EB32" s="191"/>
    </row>
    <row r="33" outlineLevel="1">
      <c r="A33" s="2"/>
      <c r="B33" s="204">
        <v>29.0</v>
      </c>
      <c r="C33" s="204" t="s">
        <v>442</v>
      </c>
      <c r="D33" s="204" t="s">
        <v>472</v>
      </c>
      <c r="E33" s="205" t="b">
        <f>VLOOKUP(D33,'Feature Set List'!A29:C246,2,0)</f>
        <v>1</v>
      </c>
      <c r="F33" s="205" t="b">
        <f>VLOOKUP(D33,'Feature Set List'!A29:C246,3,0)</f>
        <v>1</v>
      </c>
      <c r="G33" s="205">
        <v>-0.1065472</v>
      </c>
      <c r="H33" s="205">
        <v>-0.5143142</v>
      </c>
      <c r="I33" s="205">
        <v>0.80308688</v>
      </c>
      <c r="J33" s="205">
        <v>-0.6069206</v>
      </c>
      <c r="K33" s="205">
        <v>-0.5187951</v>
      </c>
      <c r="L33" s="205">
        <v>-0.6950461</v>
      </c>
      <c r="M33" s="205">
        <v>0.23251182</v>
      </c>
      <c r="N33" s="205">
        <v>-0.1025641</v>
      </c>
      <c r="O33" s="205">
        <v>0.49290515</v>
      </c>
      <c r="P33" s="205">
        <v>-0.5078417</v>
      </c>
      <c r="Q33" s="205">
        <v>0.48195171</v>
      </c>
      <c r="R33" s="205">
        <v>1.18894698</v>
      </c>
      <c r="S33" s="205">
        <v>1.05850137</v>
      </c>
      <c r="T33" s="205">
        <v>0.35349764</v>
      </c>
      <c r="U33" s="205">
        <v>1.2442121</v>
      </c>
      <c r="V33" s="205">
        <v>-0.7084889</v>
      </c>
      <c r="W33" s="205">
        <v>0.42021409</v>
      </c>
      <c r="X33" s="205">
        <v>1.93079412</v>
      </c>
      <c r="Y33" s="205">
        <v>-0.5073438</v>
      </c>
      <c r="Z33" s="205">
        <v>0.26885736</v>
      </c>
      <c r="AA33" s="205">
        <v>0.09708738</v>
      </c>
      <c r="AB33" s="205">
        <v>0.7776948</v>
      </c>
      <c r="AC33" s="205">
        <v>-0.1259647</v>
      </c>
      <c r="AD33" s="205">
        <v>0.13144137</v>
      </c>
      <c r="AE33" s="205">
        <v>-0.3181479</v>
      </c>
      <c r="AF33" s="205">
        <v>-0.7443366</v>
      </c>
      <c r="AG33" s="205">
        <v>-0.3813791</v>
      </c>
      <c r="AH33" s="205">
        <v>-0.0881255</v>
      </c>
      <c r="AI33" s="205">
        <v>-0.7851631</v>
      </c>
      <c r="AJ33" s="205">
        <v>0.73039582</v>
      </c>
      <c r="AK33" s="205">
        <v>-0.6163804</v>
      </c>
      <c r="AL33" s="205">
        <v>-0.510829</v>
      </c>
      <c r="AM33" s="205">
        <v>-0.6099079</v>
      </c>
      <c r="AN33" s="205">
        <v>0.69156087</v>
      </c>
      <c r="AO33" s="205">
        <v>-0.5715708</v>
      </c>
      <c r="AP33" s="205">
        <v>-0.6716455</v>
      </c>
      <c r="AQ33" s="205">
        <v>-0.042818</v>
      </c>
      <c r="AR33" s="205">
        <v>-0.2384864</v>
      </c>
      <c r="AS33" s="205">
        <v>-0.4809559</v>
      </c>
      <c r="AT33" s="205">
        <v>-0.0702016</v>
      </c>
      <c r="AU33" s="205">
        <v>0.68160319</v>
      </c>
      <c r="AV33" s="205">
        <v>-0.7876525</v>
      </c>
      <c r="AW33" s="205">
        <v>-0.8145382</v>
      </c>
      <c r="AX33" s="205">
        <v>0.14986308</v>
      </c>
      <c r="AY33" s="205">
        <v>0.54468509</v>
      </c>
      <c r="AZ33" s="205">
        <v>1.1789893</v>
      </c>
      <c r="BA33" s="205">
        <v>0.0527757</v>
      </c>
      <c r="BB33" s="205">
        <v>1.15658452</v>
      </c>
      <c r="BC33" s="205">
        <v>0.57804332</v>
      </c>
      <c r="BD33" s="205">
        <v>-0.5735624</v>
      </c>
      <c r="BE33" s="205">
        <v>0.33706746</v>
      </c>
      <c r="BF33" s="205">
        <v>0.03286034</v>
      </c>
      <c r="BG33" s="205">
        <v>-0.1175006</v>
      </c>
      <c r="BH33" s="205">
        <v>0.06572069</v>
      </c>
      <c r="BI33" s="205">
        <v>0.0592482</v>
      </c>
      <c r="BJ33" s="205">
        <v>0.75529002</v>
      </c>
      <c r="BK33" s="205">
        <v>-0.8090615</v>
      </c>
      <c r="BL33" s="205">
        <v>0.0</v>
      </c>
      <c r="BM33" s="205">
        <v>-0.6681603</v>
      </c>
      <c r="BN33" s="205">
        <v>0.36196166</v>
      </c>
      <c r="BO33" s="205">
        <v>1.107294</v>
      </c>
      <c r="BP33" s="205">
        <v>0.41075429</v>
      </c>
      <c r="BQ33" s="205">
        <v>-0.1105302</v>
      </c>
      <c r="BR33" s="206"/>
      <c r="BS33" s="207">
        <f t="shared" si="6"/>
        <v>0.06304159556</v>
      </c>
      <c r="BT33" s="207">
        <f t="shared" si="7"/>
        <v>0.5227413144</v>
      </c>
      <c r="BU33" s="206"/>
      <c r="BV33" s="207">
        <f>IFERROR(__xludf.DUMMYFUNCTION("AVERAGE(ARRAYFORMULA(XLOOKUP(FILTER(INDIRECT(""'""&amp;BV$1&amp;""'!$C$4:$C$66""),INDIRECT(""'""&amp;BV$1&amp;""'!$D$4:$D$66"")=BV$2),$G$4:$BQ$4,$G33:$BQ33)))"),0.6631103557142858)</f>
        <v>0.6631103557</v>
      </c>
      <c r="BW33" s="207">
        <f>IFERROR(__xludf.DUMMYFUNCTION("IF(OR(BV33&gt;$BS33+$BT33*$BT$2,BV33&lt;$BS33-$BT33*$BT$2),AVEDEV(ARRAYFORMULA(XLOOKUP(FILTER(INDIRECT(""'""&amp;BV$1&amp;""'!$C$4:$C$66""),INDIRECT(""'""&amp;BV$1&amp;""'!$D$4:$D$66"")=BV$2),$G$4:$BQ$4,$G33:$BQ33))),"""")"),0.6692170493877551)</f>
        <v>0.6692170494</v>
      </c>
      <c r="BX33" s="208">
        <f t="shared" si="8"/>
        <v>0.07732744573</v>
      </c>
      <c r="BY33" s="207">
        <f>IFERROR(__xludf.DUMMYFUNCTION("AVERAGE(ARRAYFORMULA(XLOOKUP(FILTER(INDIRECT(""'""&amp;BY$1&amp;""'!$C$4:$C$66""),INDIRECT(""'""&amp;BY$1&amp;""'!$D$4:$D$66"")=BY$2),$G$4:$BQ$4,$G33:$BQ33)))"),-0.014047440238095243)</f>
        <v>-0.01404744024</v>
      </c>
      <c r="BZ33" s="207" t="str">
        <f>IFERROR(__xludf.DUMMYFUNCTION("IF(OR(BY33&gt;$BS33+$BT33*$BT$2,BY33&lt;$BS33-$BT33*$BT$2),AVEDEV(ARRAYFORMULA(XLOOKUP(FILTER(INDIRECT(""'""&amp;BY$1&amp;""'!$C$4:$C$66""),INDIRECT(""'""&amp;BY$1&amp;""'!$D$4:$D$66"")=BY$2),$G$4:$BQ$4,$G33:$BQ33))),"""")"),"")</f>
        <v/>
      </c>
      <c r="CA33" s="208" t="str">
        <f t="shared" si="9"/>
        <v/>
      </c>
      <c r="CB33" s="207">
        <f>IFERROR(__xludf.DUMMYFUNCTION("AVERAGE(ARRAYFORMULA(XLOOKUP(FILTER(INDIRECT(""'""&amp;CB$1&amp;""'!$C$4:$C$66""),INDIRECT(""'""&amp;CB$1&amp;""'!$D$4:$D$66"")=CB$2),$G$4:$BQ$4,$G33:$BQ33)))"),-0.09011701363636364)</f>
        <v>-0.09011701364</v>
      </c>
      <c r="CC33" s="207" t="str">
        <f>IFERROR(__xludf.DUMMYFUNCTION("IF(OR(CB33&gt;$BS33+$BT33*$BT$2,CB33&lt;$BS33-$BT33*$BT$2),AVEDEV(ARRAYFORMULA(XLOOKUP(FILTER(INDIRECT(""'""&amp;CB$1&amp;""'!$C$4:$C$66""),INDIRECT(""'""&amp;CB$1&amp;""'!$D$4:$D$66"")=CB$2),$G$4:$BQ$4,$G33:$BQ33))),"""")"),"")</f>
        <v/>
      </c>
      <c r="CD33" s="208" t="str">
        <f t="shared" si="10"/>
        <v/>
      </c>
      <c r="CE33" s="209" t="s">
        <v>444</v>
      </c>
      <c r="CF33" s="207">
        <f>IFERROR(__xludf.DUMMYFUNCTION("AVERAGE(ARRAYFORMULA(XLOOKUP(FILTER(INDIRECT(""'""&amp;CF$1&amp;""'!$C$4:$C$66""),INDIRECT(""'""&amp;CF$1&amp;""'!$D$4:$D$66"")=CF$2),$G$4:$BQ$4,$G33:$BQ33)))"),-0.23235623375000006)</f>
        <v>-0.2323562338</v>
      </c>
      <c r="CG33" s="207" t="str">
        <f>IFERROR(__xludf.DUMMYFUNCTION("IF(OR(CF33&gt;$BS33+$BT33*$BT$2,CF33&lt;$BS33-$BT33*$BT$2),AVEDEV(ARRAYFORMULA(XLOOKUP(FILTER(INDIRECT(""'""&amp;CF$1&amp;""'!$C$4:$C$66""),INDIRECT(""'""&amp;CF$1&amp;""'!$D$4:$D$66"")=CF$2),$G$4:$BQ$4,$G33:$BQ33))),"""")"),"")</f>
        <v/>
      </c>
      <c r="CH33" s="208" t="str">
        <f t="shared" si="11"/>
        <v/>
      </c>
      <c r="CI33" s="207">
        <f>IFERROR(__xludf.DUMMYFUNCTION("AVERAGE(ARRAYFORMULA(XLOOKUP(FILTER(INDIRECT(""'""&amp;CI$1&amp;""'!$C$4:$C$66""),INDIRECT(""'""&amp;CI$1&amp;""'!$D$4:$D$66"")=CI$2),$G$4:$BQ$4,$G33:$BQ33)))"),0.18951712741935486)</f>
        <v>0.1895171274</v>
      </c>
      <c r="CJ33" s="207" t="str">
        <f>IFERROR(__xludf.DUMMYFUNCTION("IF(OR(CI33&gt;$BS33+$BT33*$BT$2,CI33&lt;$BS33-$BT33*$BT$2),AVEDEV(ARRAYFORMULA(XLOOKUP(FILTER(INDIRECT(""'""&amp;CI$1&amp;""'!$C$4:$C$66""),INDIRECT(""'""&amp;CI$1&amp;""'!$D$4:$D$66"")=CI$2),$G$4:$BQ$4,$G33:$BQ33))),"""")"),"")</f>
        <v/>
      </c>
      <c r="CK33" s="208" t="str">
        <f t="shared" si="12"/>
        <v/>
      </c>
      <c r="CL33" s="207">
        <f>IFERROR(__xludf.DUMMYFUNCTION("AVERAGE(ARRAYFORMULA(XLOOKUP(FILTER(INDIRECT(""'""&amp;CL$1&amp;""'!$C$4:$C$66""),INDIRECT(""'""&amp;CL$1&amp;""'!$D$4:$D$66"")=CL$2),$G$4:$BQ$4,$G33:$BQ33)))"),-0.140004972)</f>
        <v>-0.140004972</v>
      </c>
      <c r="CM33" s="207" t="str">
        <f>IFERROR(__xludf.DUMMYFUNCTION("IF(OR(CL33&gt;$BS33+$BT33*$BT$2,CL33&lt;$BS33-$BT33*$BT$2),AVEDEV(ARRAYFORMULA(XLOOKUP(FILTER(INDIRECT(""'""&amp;CL$1&amp;""'!$C$4:$C$66""),INDIRECT(""'""&amp;CL$1&amp;""'!$D$4:$D$66"")=CL$2),$G$4:$BQ$4,$G33:$BQ33))),"""")"),"")</f>
        <v/>
      </c>
      <c r="CN33" s="208" t="str">
        <f t="shared" si="13"/>
        <v/>
      </c>
      <c r="CO33" s="209" t="s">
        <v>444</v>
      </c>
      <c r="CP33" s="210">
        <f>IFERROR(__xludf.DUMMYFUNCTION("AVERAGE(ARRAYFORMULA(XLOOKUP(FILTER(INDIRECT(""'""&amp;CP$1&amp;""'!$C$4:$C$66""),INDIRECT(""'""&amp;CP$1&amp;""'!$D$4:$D$66"")=CP$2),$G$4:$BQ$4,$G33:$BQ33)))"),0.310911952)</f>
        <v>0.310911952</v>
      </c>
      <c r="CQ33" s="207" t="str">
        <f>IFERROR(__xludf.DUMMYFUNCTION("IF(OR(CP33&gt;$BS33+$BT33*$BT$2,CP33&lt;$BS33-$BT33*$BT$2),AVEDEV(ARRAYFORMULA(XLOOKUP(FILTER(INDIRECT(""'""&amp;CP$1&amp;""'!$C$4:$C$66""),INDIRECT(""'""&amp;CP$1&amp;""'!$D$4:$D$66"")=CP$2),$G$4:$BQ$4,$G33:$BQ33))),"""")"),"")</f>
        <v/>
      </c>
      <c r="CR33" s="208" t="str">
        <f t="shared" si="14"/>
        <v/>
      </c>
      <c r="CS33" s="210">
        <f>IFERROR(__xludf.DUMMYFUNCTION("AVERAGE(ARRAYFORMULA(XLOOKUP(FILTER(INDIRECT(""'""&amp;CS$1&amp;""'!$C$4:$C$66""),INDIRECT(""'""&amp;CS$1&amp;""'!$D$4:$D$66"")=CS$2),$G$4:$BQ$4,$G33:$BQ33)))"),-0.02315798897435897)</f>
        <v>-0.02315798897</v>
      </c>
      <c r="CT33" s="207" t="str">
        <f>IFERROR(__xludf.DUMMYFUNCTION("IF(OR(CS33&gt;$BS33+$BT33*$BT$2,CS33&lt;$BS33-$BT33*$BT$2),AVEDEV(ARRAYFORMULA(XLOOKUP(FILTER(INDIRECT(""'""&amp;CS$1&amp;""'!$C$4:$C$66""),INDIRECT(""'""&amp;CS$1&amp;""'!$D$4:$D$66"")=CS$2),$G$4:$BQ$4,$G33:$BQ33))),"""")"),"")</f>
        <v/>
      </c>
      <c r="CU33" s="208" t="str">
        <f t="shared" si="15"/>
        <v/>
      </c>
      <c r="CV33" s="210">
        <f>IFERROR(__xludf.DUMMYFUNCTION("AVERAGE(ARRAYFORMULA(XLOOKUP(FILTER(INDIRECT(""'""&amp;CV$1&amp;""'!$C$4:$C$66""),INDIRECT(""'""&amp;CV$1&amp;""'!$D$4:$D$66"")=CV$2),$G$4:$BQ$4,$G33:$BQ33)))"),-0.140004972)</f>
        <v>-0.140004972</v>
      </c>
      <c r="CW33" s="207" t="str">
        <f>IFERROR(__xludf.DUMMYFUNCTION("IF(OR(CV33&gt;$BS33+$BT33*$BT$2,CV33&lt;$BS33-$BT33*$BT$2),AVEDEV(ARRAYFORMULA(XLOOKUP(FILTER(INDIRECT(""'""&amp;CV$1&amp;""'!$C$4:$C$66""),INDIRECT(""'""&amp;CV$1&amp;""'!$D$4:$D$66"")=CV$2),$G$4:$BQ$4,$G33:$BQ33))),"""")"),"")</f>
        <v/>
      </c>
      <c r="CX33" s="208" t="str">
        <f t="shared" si="16"/>
        <v/>
      </c>
      <c r="CY33" s="209" t="s">
        <v>444</v>
      </c>
      <c r="CZ33" s="210">
        <f>IFERROR(__xludf.DUMMYFUNCTION("AVERAGE(ARRAYFORMULA(XLOOKUP(FILTER(INDIRECT(""'""&amp;CZ$1&amp;""'!$C$4:$C$66""),INDIRECT(""'""&amp;CZ$1&amp;""'!$D$4:$D$66"")=CZ$2),$G$4:$BQ$4,$G33:$BQ33)))"),-0.4892421542857143)</f>
        <v>-0.4892421543</v>
      </c>
      <c r="DA33" s="207">
        <f>IFERROR(__xludf.DUMMYFUNCTION("IF(OR(CZ33&gt;$BS33+$BT33*$BT$2,CZ33&lt;$BS33-$BT33*$BT$2),AVEDEV(ARRAYFORMULA(XLOOKUP(FILTER(INDIRECT(""'""&amp;CZ$1&amp;""'!$C$4:$C$66""),INDIRECT(""'""&amp;CZ$1&amp;""'!$D$4:$D$66"")=CZ$2),$G$4:$BQ$4,$G33:$BQ33))),"""")"),0.23345171591836736)</f>
        <v>0.2334517159</v>
      </c>
      <c r="DB33" s="208">
        <f t="shared" si="17"/>
        <v>-0.02954243541</v>
      </c>
      <c r="DC33" s="210">
        <f>IFERROR(__xludf.DUMMYFUNCTION("AVERAGE(ARRAYFORMULA(XLOOKUP(FILTER(INDIRECT(""'""&amp;DC$1&amp;""'!$C$4:$C$66""),INDIRECT(""'""&amp;DC$1&amp;""'!$D$4:$D$66"")=DC$2),$G$4:$BQ$4,$G33:$BQ33)))"),-0.16690179444444445)</f>
        <v>-0.1669017944</v>
      </c>
      <c r="DD33" s="207" t="str">
        <f>IFERROR(__xludf.DUMMYFUNCTION("IF(OR(DC33&gt;$BS33+$BT33*$BT$2,DC33&lt;$BS33-$BT33*$BT$2),AVEDEV(ARRAYFORMULA(XLOOKUP(FILTER(INDIRECT(""'""&amp;DC$1&amp;""'!$C$4:$C$66""),INDIRECT(""'""&amp;DC$1&amp;""'!$D$4:$D$66"")=DC$2),$G$4:$BQ$4,$G33:$BQ33))),"""")"),"")</f>
        <v/>
      </c>
      <c r="DE33" s="208" t="str">
        <f t="shared" si="18"/>
        <v/>
      </c>
      <c r="DF33" s="210">
        <f>IFERROR(__xludf.DUMMYFUNCTION("AVERAGE(ARRAYFORMULA(XLOOKUP(FILTER(INDIRECT(""'""&amp;DF$1&amp;""'!$C$4:$C$66""),INDIRECT(""'""&amp;DF$1&amp;""'!$D$4:$D$66"")=DF$2),$G$4:$BQ$4,$G33:$BQ33)))"),0.22001945909090911)</f>
        <v>0.2200194591</v>
      </c>
      <c r="DG33" s="207" t="str">
        <f>IFERROR(__xludf.DUMMYFUNCTION("IF(OR(DF33&gt;$BS33+$BT33*$BT$2,DF33&lt;$BS33-$BT33*$BT$2),AVEDEV(ARRAYFORMULA(XLOOKUP(FILTER(INDIRECT(""'""&amp;DF$1&amp;""'!$C$4:$C$66""),INDIRECT(""'""&amp;DF$1&amp;""'!$D$4:$D$66"")=DF$2),$G$4:$BQ$4,$G33:$BQ33))),"""")"),"")</f>
        <v/>
      </c>
      <c r="DH33" s="208" t="str">
        <f t="shared" si="19"/>
        <v/>
      </c>
      <c r="DI33" s="210">
        <f>IFERROR(__xludf.DUMMYFUNCTION("AVERAGE(ARRAYFORMULA(XLOOKUP(FILTER(INDIRECT(""'""&amp;DI$1&amp;""'!$C$4:$C$66""),INDIRECT(""'""&amp;DI$1&amp;""'!$D$4:$D$66"")=DI$2),$G$4:$BQ$4,$G33:$BQ33)))"),0.09858103)</f>
        <v>0.09858103</v>
      </c>
      <c r="DJ33" s="207" t="str">
        <f>IFERROR(__xludf.DUMMYFUNCTION("IF(OR(DI33&gt;$BS33+$BT33*$BT$2,DI33&lt;$BS33-$BT33*$BT$2),AVEDEV(ARRAYFORMULA(XLOOKUP(FILTER(INDIRECT(""'""&amp;DI$1&amp;""'!$C$4:$C$66""),INDIRECT(""'""&amp;DI$1&amp;""'!$D$4:$D$66"")=DI$2),$G$4:$BQ$4,$G33:$BQ33))),"""")"),"")</f>
        <v/>
      </c>
      <c r="DK33" s="208" t="str">
        <f t="shared" si="20"/>
        <v/>
      </c>
      <c r="DL33" s="210">
        <f>IFERROR(__xludf.DUMMYFUNCTION("AVERAGE(ARRAYFORMULA(XLOOKUP(FILTER(INDIRECT(""'""&amp;DL$1&amp;""'!$C$4:$C$66""),INDIRECT(""'""&amp;DL$1&amp;""'!$D$4:$D$66"")=DL$2),$G$4:$BQ$4,$G33:$BQ33)))"),0.4157687042857143)</f>
        <v>0.4157687043</v>
      </c>
      <c r="DM33" s="207" t="str">
        <f>IFERROR(__xludf.DUMMYFUNCTION("IF(OR(DL33&gt;$BS33+$BT33*$BT$2,DL33&lt;$BS33-$BT33*$BT$2),AVEDEV(ARRAYFORMULA(XLOOKUP(FILTER(INDIRECT(""'""&amp;DL$1&amp;""'!$C$4:$C$66""),INDIRECT(""'""&amp;DL$1&amp;""'!$D$4:$D$66"")=DL$2),$G$4:$BQ$4,$G33:$BQ33))),"""")"),"")</f>
        <v/>
      </c>
      <c r="DN33" s="208" t="str">
        <f t="shared" si="21"/>
        <v/>
      </c>
      <c r="DO33" s="209" t="s">
        <v>444</v>
      </c>
      <c r="DP33" s="210">
        <f>IFERROR(__xludf.DUMMYFUNCTION("AVERAGE(ARRAYFORMULA(XLOOKUP(FILTER(INDIRECT(""'""&amp;DP$1&amp;""'!$C$4:$C$66""),INDIRECT(""'""&amp;DP$1&amp;""'!$D$4:$D$66"")=DP$2),$G$4:$BQ$4,$G33:$BQ33)))"),-0.046635134333333335)</f>
        <v>-0.04663513433</v>
      </c>
      <c r="DQ33" s="207" t="str">
        <f>IFERROR(__xludf.DUMMYFUNCTION("IF(OR(DP33&gt;$BS33+$BT33*$BT$2,DP33&lt;$BS33-$BT33*$BT$2),AVEDEV(ARRAYFORMULA(XLOOKUP(FILTER(INDIRECT(""'""&amp;DP$1&amp;""'!$C$4:$C$66""),INDIRECT(""'""&amp;DP$1&amp;""'!$D$4:$D$66"")=DP$2),$G$4:$BQ$4,$G33:$BQ33))),"""")"),"")</f>
        <v/>
      </c>
      <c r="DR33" s="208" t="str">
        <f t="shared" si="22"/>
        <v/>
      </c>
      <c r="DS33" s="210">
        <f>IFERROR(__xludf.DUMMYFUNCTION("AVERAGE(ARRAYFORMULA(XLOOKUP(FILTER(INDIRECT(""'""&amp;DS$1&amp;""'!$C$4:$C$66""),INDIRECT(""'""&amp;DS$1&amp;""'!$D$4:$D$66"")=DS$2),$G$4:$BQ$4,$G33:$BQ33)))"),-0.1895831722222222)</f>
        <v>-0.1895831722</v>
      </c>
      <c r="DT33" s="207" t="str">
        <f>IFERROR(__xludf.DUMMYFUNCTION("IF(OR(DS33&gt;$BS33+$BT33*$BT$2,DS33&lt;$BS33-$BT33*$BT$2),AVEDEV(ARRAYFORMULA(XLOOKUP(FILTER(INDIRECT(""'""&amp;DS$1&amp;""'!$C$4:$C$66""),INDIRECT(""'""&amp;DS$1&amp;""'!$D$4:$D$66"")=DS$2),$G$4:$BQ$4,$G33:$BQ33))),"""")"),"")</f>
        <v/>
      </c>
      <c r="DU33" s="208" t="str">
        <f t="shared" si="23"/>
        <v/>
      </c>
      <c r="DV33" s="210">
        <f>IFERROR(__xludf.DUMMYFUNCTION("AVERAGE(ARRAYFORMULA(XLOOKUP(FILTER(INDIRECT(""'""&amp;DV$1&amp;""'!$C$4:$C$66""),INDIRECT(""'""&amp;DV$1&amp;""'!$D$4:$D$66"")=DV$2),$G$4:$BQ$4,$G33:$BQ33)))"),0.8169653987499998)</f>
        <v>0.8169653988</v>
      </c>
      <c r="DW33" s="207">
        <f>IFERROR(__xludf.DUMMYFUNCTION("IF(OR(DV33&gt;$BS33+$BT33*$BT$2,DV33&lt;$BS33-$BT33*$BT$2),AVEDEV(ARRAYFORMULA(XLOOKUP(FILTER(INDIRECT(""'""&amp;DV$1&amp;""'!$C$4:$C$66""),INDIRECT(""'""&amp;DV$1&amp;""'!$D$4:$D$66"")=DV$2),$G$4:$BQ$4,$G33:$BQ33))),"""")"),0.35069703875)</f>
        <v>0.3506970388</v>
      </c>
      <c r="DX33" s="208">
        <f t="shared" si="24"/>
        <v>0.2311824888</v>
      </c>
      <c r="DY33" s="210">
        <f>IFERROR(__xludf.DUMMYFUNCTION("AVERAGE(ARRAYFORMULA(XLOOKUP(FILTER(INDIRECT(""'""&amp;DY$1&amp;""'!$C$4:$C$66""),INDIRECT(""'""&amp;DY$1&amp;""'!$D$4:$D$66"")=DY$2),$G$4:$BQ$4,$G33:$BQ33)))"),-0.16562940888888888)</f>
        <v>-0.1656294089</v>
      </c>
      <c r="DZ33" s="207" t="str">
        <f>IFERROR(__xludf.DUMMYFUNCTION("IF(OR(DY33&gt;$BS33+$BT33*$BT$2,DY33&lt;$BS33-$BT33*$BT$2),AVEDEV(ARRAYFORMULA(XLOOKUP(FILTER(INDIRECT(""'""&amp;DY$1&amp;""'!$C$4:$C$66""),INDIRECT(""'""&amp;DY$1&amp;""'!$D$4:$D$66"")=DY$2),$G$4:$BQ$4,$G33:$BQ33))),"""")"),"")</f>
        <v/>
      </c>
      <c r="EA33" s="208" t="str">
        <f t="shared" si="25"/>
        <v/>
      </c>
      <c r="EB33" s="191"/>
    </row>
    <row r="34" outlineLevel="1">
      <c r="A34" s="2"/>
      <c r="B34" s="204">
        <v>30.0</v>
      </c>
      <c r="C34" s="204" t="s">
        <v>442</v>
      </c>
      <c r="D34" s="204" t="s">
        <v>473</v>
      </c>
      <c r="E34" s="205" t="b">
        <f>VLOOKUP(D34,'Feature Set List'!A30:C246,2,0)</f>
        <v>1</v>
      </c>
      <c r="F34" s="205" t="b">
        <f>VLOOKUP(D34,'Feature Set List'!A30:C246,3,0)</f>
        <v>0</v>
      </c>
      <c r="G34" s="205">
        <v>0.0</v>
      </c>
      <c r="H34" s="205">
        <v>0.0</v>
      </c>
      <c r="I34" s="205">
        <v>0.0</v>
      </c>
      <c r="J34" s="205">
        <v>0.0</v>
      </c>
      <c r="K34" s="205">
        <v>0.0</v>
      </c>
      <c r="L34" s="205">
        <v>0.0</v>
      </c>
      <c r="M34" s="205">
        <v>0.0</v>
      </c>
      <c r="N34" s="205">
        <v>0.0</v>
      </c>
      <c r="O34" s="205">
        <v>0.0</v>
      </c>
      <c r="P34" s="205">
        <v>0.0</v>
      </c>
      <c r="Q34" s="205">
        <v>0.0</v>
      </c>
      <c r="R34" s="205">
        <v>0.0</v>
      </c>
      <c r="S34" s="205">
        <v>0.0</v>
      </c>
      <c r="T34" s="205">
        <v>0.0</v>
      </c>
      <c r="U34" s="205">
        <v>0.0</v>
      </c>
      <c r="V34" s="205">
        <v>0.0</v>
      </c>
      <c r="W34" s="205">
        <v>0.0</v>
      </c>
      <c r="X34" s="205">
        <v>0.0</v>
      </c>
      <c r="Y34" s="205">
        <v>0.0</v>
      </c>
      <c r="Z34" s="205">
        <v>0.0</v>
      </c>
      <c r="AA34" s="205">
        <v>0.0</v>
      </c>
      <c r="AB34" s="205">
        <v>0.0</v>
      </c>
      <c r="AC34" s="205">
        <v>0.0</v>
      </c>
      <c r="AD34" s="205">
        <v>0.0</v>
      </c>
      <c r="AE34" s="205">
        <v>0.0</v>
      </c>
      <c r="AF34" s="205">
        <v>0.0</v>
      </c>
      <c r="AG34" s="205">
        <v>0.0</v>
      </c>
      <c r="AH34" s="205">
        <v>0.0</v>
      </c>
      <c r="AI34" s="205">
        <v>0.0</v>
      </c>
      <c r="AJ34" s="205">
        <v>0.0</v>
      </c>
      <c r="AK34" s="205">
        <v>0.0</v>
      </c>
      <c r="AL34" s="205">
        <v>0.0</v>
      </c>
      <c r="AM34" s="205">
        <v>0.0</v>
      </c>
      <c r="AN34" s="205">
        <v>0.0</v>
      </c>
      <c r="AO34" s="205">
        <v>0.0</v>
      </c>
      <c r="AP34" s="205">
        <v>0.0</v>
      </c>
      <c r="AQ34" s="205">
        <v>0.0</v>
      </c>
      <c r="AR34" s="205">
        <v>0.0</v>
      </c>
      <c r="AS34" s="205">
        <v>0.0</v>
      </c>
      <c r="AT34" s="205">
        <v>0.0</v>
      </c>
      <c r="AU34" s="205">
        <v>0.0</v>
      </c>
      <c r="AV34" s="205">
        <v>0.0</v>
      </c>
      <c r="AW34" s="205">
        <v>0.0</v>
      </c>
      <c r="AX34" s="205">
        <v>0.0</v>
      </c>
      <c r="AY34" s="205">
        <v>0.0</v>
      </c>
      <c r="AZ34" s="205">
        <v>0.0</v>
      </c>
      <c r="BA34" s="205">
        <v>0.0</v>
      </c>
      <c r="BB34" s="205">
        <v>0.0</v>
      </c>
      <c r="BC34" s="205">
        <v>0.0</v>
      </c>
      <c r="BD34" s="205">
        <v>0.0</v>
      </c>
      <c r="BE34" s="205">
        <v>0.0</v>
      </c>
      <c r="BF34" s="205">
        <v>0.0</v>
      </c>
      <c r="BG34" s="205">
        <v>0.0</v>
      </c>
      <c r="BH34" s="205">
        <v>0.0</v>
      </c>
      <c r="BI34" s="205">
        <v>0.0</v>
      </c>
      <c r="BJ34" s="205">
        <v>0.0</v>
      </c>
      <c r="BK34" s="205">
        <v>0.0</v>
      </c>
      <c r="BL34" s="205">
        <v>0.0</v>
      </c>
      <c r="BM34" s="205">
        <v>0.0</v>
      </c>
      <c r="BN34" s="205">
        <v>0.0</v>
      </c>
      <c r="BO34" s="205">
        <v>0.0</v>
      </c>
      <c r="BP34" s="205">
        <v>0.0</v>
      </c>
      <c r="BQ34" s="205">
        <v>0.0</v>
      </c>
      <c r="BR34" s="206"/>
      <c r="BS34" s="207">
        <f t="shared" si="6"/>
        <v>0</v>
      </c>
      <c r="BT34" s="207">
        <f t="shared" si="7"/>
        <v>0</v>
      </c>
      <c r="BU34" s="206"/>
      <c r="BV34" s="207">
        <f>IFERROR(__xludf.DUMMYFUNCTION("AVERAGE(ARRAYFORMULA(XLOOKUP(FILTER(INDIRECT(""'""&amp;BV$1&amp;""'!$C$4:$C$66""),INDIRECT(""'""&amp;BV$1&amp;""'!$D$4:$D$66"")=BV$2),$G$4:$BQ$4,$G34:$BQ34)))"),0.0)</f>
        <v>0</v>
      </c>
      <c r="BW34" s="207" t="str">
        <f>IFERROR(__xludf.DUMMYFUNCTION("IF(OR(BV34&gt;$BS34+$BT34*$BT$2,BV34&lt;$BS34-$BT34*$BT$2),AVEDEV(ARRAYFORMULA(XLOOKUP(FILTER(INDIRECT(""'""&amp;BV$1&amp;""'!$C$4:$C$66""),INDIRECT(""'""&amp;BV$1&amp;""'!$D$4:$D$66"")=BV$2),$G$4:$BQ$4,$G34:$BQ34))),"""")"),"")</f>
        <v/>
      </c>
      <c r="BX34" s="208" t="str">
        <f t="shared" si="8"/>
        <v/>
      </c>
      <c r="BY34" s="207">
        <f>IFERROR(__xludf.DUMMYFUNCTION("AVERAGE(ARRAYFORMULA(XLOOKUP(FILTER(INDIRECT(""'""&amp;BY$1&amp;""'!$C$4:$C$66""),INDIRECT(""'""&amp;BY$1&amp;""'!$D$4:$D$66"")=BY$2),$G$4:$BQ$4,$G34:$BQ34)))"),0.0)</f>
        <v>0</v>
      </c>
      <c r="BZ34" s="207" t="str">
        <f>IFERROR(__xludf.DUMMYFUNCTION("IF(OR(BY34&gt;$BS34+$BT34*$BT$2,BY34&lt;$BS34-$BT34*$BT$2),AVEDEV(ARRAYFORMULA(XLOOKUP(FILTER(INDIRECT(""'""&amp;BY$1&amp;""'!$C$4:$C$66""),INDIRECT(""'""&amp;BY$1&amp;""'!$D$4:$D$66"")=BY$2),$G$4:$BQ$4,$G34:$BQ34))),"""")"),"")</f>
        <v/>
      </c>
      <c r="CA34" s="208" t="str">
        <f t="shared" si="9"/>
        <v/>
      </c>
      <c r="CB34" s="207">
        <f>IFERROR(__xludf.DUMMYFUNCTION("AVERAGE(ARRAYFORMULA(XLOOKUP(FILTER(INDIRECT(""'""&amp;CB$1&amp;""'!$C$4:$C$66""),INDIRECT(""'""&amp;CB$1&amp;""'!$D$4:$D$66"")=CB$2),$G$4:$BQ$4,$G34:$BQ34)))"),0.0)</f>
        <v>0</v>
      </c>
      <c r="CC34" s="207" t="str">
        <f>IFERROR(__xludf.DUMMYFUNCTION("IF(OR(CB34&gt;$BS34+$BT34*$BT$2,CB34&lt;$BS34-$BT34*$BT$2),AVEDEV(ARRAYFORMULA(XLOOKUP(FILTER(INDIRECT(""'""&amp;CB$1&amp;""'!$C$4:$C$66""),INDIRECT(""'""&amp;CB$1&amp;""'!$D$4:$D$66"")=CB$2),$G$4:$BQ$4,$G34:$BQ34))),"""")"),"")</f>
        <v/>
      </c>
      <c r="CD34" s="208" t="str">
        <f t="shared" si="10"/>
        <v/>
      </c>
      <c r="CE34" s="209" t="s">
        <v>444</v>
      </c>
      <c r="CF34" s="207">
        <f>IFERROR(__xludf.DUMMYFUNCTION("AVERAGE(ARRAYFORMULA(XLOOKUP(FILTER(INDIRECT(""'""&amp;CF$1&amp;""'!$C$4:$C$66""),INDIRECT(""'""&amp;CF$1&amp;""'!$D$4:$D$66"")=CF$2),$G$4:$BQ$4,$G34:$BQ34)))"),0.0)</f>
        <v>0</v>
      </c>
      <c r="CG34" s="207" t="str">
        <f>IFERROR(__xludf.DUMMYFUNCTION("IF(OR(CF34&gt;$BS34+$BT34*$BT$2,CF34&lt;$BS34-$BT34*$BT$2),AVEDEV(ARRAYFORMULA(XLOOKUP(FILTER(INDIRECT(""'""&amp;CF$1&amp;""'!$C$4:$C$66""),INDIRECT(""'""&amp;CF$1&amp;""'!$D$4:$D$66"")=CF$2),$G$4:$BQ$4,$G34:$BQ34))),"""")"),"")</f>
        <v/>
      </c>
      <c r="CH34" s="208" t="str">
        <f t="shared" si="11"/>
        <v/>
      </c>
      <c r="CI34" s="207">
        <f>IFERROR(__xludf.DUMMYFUNCTION("AVERAGE(ARRAYFORMULA(XLOOKUP(FILTER(INDIRECT(""'""&amp;CI$1&amp;""'!$C$4:$C$66""),INDIRECT(""'""&amp;CI$1&amp;""'!$D$4:$D$66"")=CI$2),$G$4:$BQ$4,$G34:$BQ34)))"),0.0)</f>
        <v>0</v>
      </c>
      <c r="CJ34" s="207" t="str">
        <f>IFERROR(__xludf.DUMMYFUNCTION("IF(OR(CI34&gt;$BS34+$BT34*$BT$2,CI34&lt;$BS34-$BT34*$BT$2),AVEDEV(ARRAYFORMULA(XLOOKUP(FILTER(INDIRECT(""'""&amp;CI$1&amp;""'!$C$4:$C$66""),INDIRECT(""'""&amp;CI$1&amp;""'!$D$4:$D$66"")=CI$2),$G$4:$BQ$4,$G34:$BQ34))),"""")"),"")</f>
        <v/>
      </c>
      <c r="CK34" s="208" t="str">
        <f t="shared" si="12"/>
        <v/>
      </c>
      <c r="CL34" s="207">
        <f>IFERROR(__xludf.DUMMYFUNCTION("AVERAGE(ARRAYFORMULA(XLOOKUP(FILTER(INDIRECT(""'""&amp;CL$1&amp;""'!$C$4:$C$66""),INDIRECT(""'""&amp;CL$1&amp;""'!$D$4:$D$66"")=CL$2),$G$4:$BQ$4,$G34:$BQ34)))"),0.0)</f>
        <v>0</v>
      </c>
      <c r="CM34" s="207" t="str">
        <f>IFERROR(__xludf.DUMMYFUNCTION("IF(OR(CL34&gt;$BS34+$BT34*$BT$2,CL34&lt;$BS34-$BT34*$BT$2),AVEDEV(ARRAYFORMULA(XLOOKUP(FILTER(INDIRECT(""'""&amp;CL$1&amp;""'!$C$4:$C$66""),INDIRECT(""'""&amp;CL$1&amp;""'!$D$4:$D$66"")=CL$2),$G$4:$BQ$4,$G34:$BQ34))),"""")"),"")</f>
        <v/>
      </c>
      <c r="CN34" s="208" t="str">
        <f t="shared" si="13"/>
        <v/>
      </c>
      <c r="CO34" s="209" t="s">
        <v>444</v>
      </c>
      <c r="CP34" s="210">
        <f>IFERROR(__xludf.DUMMYFUNCTION("AVERAGE(ARRAYFORMULA(XLOOKUP(FILTER(INDIRECT(""'""&amp;CP$1&amp;""'!$C$4:$C$66""),INDIRECT(""'""&amp;CP$1&amp;""'!$D$4:$D$66"")=CP$2),$G$4:$BQ$4,$G34:$BQ34)))"),0.0)</f>
        <v>0</v>
      </c>
      <c r="CQ34" s="207" t="str">
        <f>IFERROR(__xludf.DUMMYFUNCTION("IF(OR(CP34&gt;$BS34+$BT34*$BT$2,CP34&lt;$BS34-$BT34*$BT$2),AVEDEV(ARRAYFORMULA(XLOOKUP(FILTER(INDIRECT(""'""&amp;CP$1&amp;""'!$C$4:$C$66""),INDIRECT(""'""&amp;CP$1&amp;""'!$D$4:$D$66"")=CP$2),$G$4:$BQ$4,$G34:$BQ34))),"""")"),"")</f>
        <v/>
      </c>
      <c r="CR34" s="208" t="str">
        <f t="shared" si="14"/>
        <v/>
      </c>
      <c r="CS34" s="210">
        <f>IFERROR(__xludf.DUMMYFUNCTION("AVERAGE(ARRAYFORMULA(XLOOKUP(FILTER(INDIRECT(""'""&amp;CS$1&amp;""'!$C$4:$C$66""),INDIRECT(""'""&amp;CS$1&amp;""'!$D$4:$D$66"")=CS$2),$G$4:$BQ$4,$G34:$BQ34)))"),0.0)</f>
        <v>0</v>
      </c>
      <c r="CT34" s="207" t="str">
        <f>IFERROR(__xludf.DUMMYFUNCTION("IF(OR(CS34&gt;$BS34+$BT34*$BT$2,CS34&lt;$BS34-$BT34*$BT$2),AVEDEV(ARRAYFORMULA(XLOOKUP(FILTER(INDIRECT(""'""&amp;CS$1&amp;""'!$C$4:$C$66""),INDIRECT(""'""&amp;CS$1&amp;""'!$D$4:$D$66"")=CS$2),$G$4:$BQ$4,$G34:$BQ34))),"""")"),"")</f>
        <v/>
      </c>
      <c r="CU34" s="208" t="str">
        <f t="shared" si="15"/>
        <v/>
      </c>
      <c r="CV34" s="210">
        <f>IFERROR(__xludf.DUMMYFUNCTION("AVERAGE(ARRAYFORMULA(XLOOKUP(FILTER(INDIRECT(""'""&amp;CV$1&amp;""'!$C$4:$C$66""),INDIRECT(""'""&amp;CV$1&amp;""'!$D$4:$D$66"")=CV$2),$G$4:$BQ$4,$G34:$BQ34)))"),0.0)</f>
        <v>0</v>
      </c>
      <c r="CW34" s="207" t="str">
        <f>IFERROR(__xludf.DUMMYFUNCTION("IF(OR(CV34&gt;$BS34+$BT34*$BT$2,CV34&lt;$BS34-$BT34*$BT$2),AVEDEV(ARRAYFORMULA(XLOOKUP(FILTER(INDIRECT(""'""&amp;CV$1&amp;""'!$C$4:$C$66""),INDIRECT(""'""&amp;CV$1&amp;""'!$D$4:$D$66"")=CV$2),$G$4:$BQ$4,$G34:$BQ34))),"""")"),"")</f>
        <v/>
      </c>
      <c r="CX34" s="208" t="str">
        <f t="shared" si="16"/>
        <v/>
      </c>
      <c r="CY34" s="209" t="s">
        <v>444</v>
      </c>
      <c r="CZ34" s="210">
        <f>IFERROR(__xludf.DUMMYFUNCTION("AVERAGE(ARRAYFORMULA(XLOOKUP(FILTER(INDIRECT(""'""&amp;CZ$1&amp;""'!$C$4:$C$66""),INDIRECT(""'""&amp;CZ$1&amp;""'!$D$4:$D$66"")=CZ$2),$G$4:$BQ$4,$G34:$BQ34)))"),0.0)</f>
        <v>0</v>
      </c>
      <c r="DA34" s="207" t="str">
        <f>IFERROR(__xludf.DUMMYFUNCTION("IF(OR(CZ34&gt;$BS34+$BT34*$BT$2,CZ34&lt;$BS34-$BT34*$BT$2),AVEDEV(ARRAYFORMULA(XLOOKUP(FILTER(INDIRECT(""'""&amp;CZ$1&amp;""'!$C$4:$C$66""),INDIRECT(""'""&amp;CZ$1&amp;""'!$D$4:$D$66"")=CZ$2),$G$4:$BQ$4,$G34:$BQ34))),"""")"),"")</f>
        <v/>
      </c>
      <c r="DB34" s="208" t="str">
        <f t="shared" si="17"/>
        <v/>
      </c>
      <c r="DC34" s="210">
        <f>IFERROR(__xludf.DUMMYFUNCTION("AVERAGE(ARRAYFORMULA(XLOOKUP(FILTER(INDIRECT(""'""&amp;DC$1&amp;""'!$C$4:$C$66""),INDIRECT(""'""&amp;DC$1&amp;""'!$D$4:$D$66"")=DC$2),$G$4:$BQ$4,$G34:$BQ34)))"),0.0)</f>
        <v>0</v>
      </c>
      <c r="DD34" s="207" t="str">
        <f>IFERROR(__xludf.DUMMYFUNCTION("IF(OR(DC34&gt;$BS34+$BT34*$BT$2,DC34&lt;$BS34-$BT34*$BT$2),AVEDEV(ARRAYFORMULA(XLOOKUP(FILTER(INDIRECT(""'""&amp;DC$1&amp;""'!$C$4:$C$66""),INDIRECT(""'""&amp;DC$1&amp;""'!$D$4:$D$66"")=DC$2),$G$4:$BQ$4,$G34:$BQ34))),"""")"),"")</f>
        <v/>
      </c>
      <c r="DE34" s="208" t="str">
        <f t="shared" si="18"/>
        <v/>
      </c>
      <c r="DF34" s="210">
        <f>IFERROR(__xludf.DUMMYFUNCTION("AVERAGE(ARRAYFORMULA(XLOOKUP(FILTER(INDIRECT(""'""&amp;DF$1&amp;""'!$C$4:$C$66""),INDIRECT(""'""&amp;DF$1&amp;""'!$D$4:$D$66"")=DF$2),$G$4:$BQ$4,$G34:$BQ34)))"),0.0)</f>
        <v>0</v>
      </c>
      <c r="DG34" s="207" t="str">
        <f>IFERROR(__xludf.DUMMYFUNCTION("IF(OR(DF34&gt;$BS34+$BT34*$BT$2,DF34&lt;$BS34-$BT34*$BT$2),AVEDEV(ARRAYFORMULA(XLOOKUP(FILTER(INDIRECT(""'""&amp;DF$1&amp;""'!$C$4:$C$66""),INDIRECT(""'""&amp;DF$1&amp;""'!$D$4:$D$66"")=DF$2),$G$4:$BQ$4,$G34:$BQ34))),"""")"),"")</f>
        <v/>
      </c>
      <c r="DH34" s="208" t="str">
        <f t="shared" si="19"/>
        <v/>
      </c>
      <c r="DI34" s="210">
        <f>IFERROR(__xludf.DUMMYFUNCTION("AVERAGE(ARRAYFORMULA(XLOOKUP(FILTER(INDIRECT(""'""&amp;DI$1&amp;""'!$C$4:$C$66""),INDIRECT(""'""&amp;DI$1&amp;""'!$D$4:$D$66"")=DI$2),$G$4:$BQ$4,$G34:$BQ34)))"),0.0)</f>
        <v>0</v>
      </c>
      <c r="DJ34" s="207" t="str">
        <f>IFERROR(__xludf.DUMMYFUNCTION("IF(OR(DI34&gt;$BS34+$BT34*$BT$2,DI34&lt;$BS34-$BT34*$BT$2),AVEDEV(ARRAYFORMULA(XLOOKUP(FILTER(INDIRECT(""'""&amp;DI$1&amp;""'!$C$4:$C$66""),INDIRECT(""'""&amp;DI$1&amp;""'!$D$4:$D$66"")=DI$2),$G$4:$BQ$4,$G34:$BQ34))),"""")"),"")</f>
        <v/>
      </c>
      <c r="DK34" s="208" t="str">
        <f t="shared" si="20"/>
        <v/>
      </c>
      <c r="DL34" s="210">
        <f>IFERROR(__xludf.DUMMYFUNCTION("AVERAGE(ARRAYFORMULA(XLOOKUP(FILTER(INDIRECT(""'""&amp;DL$1&amp;""'!$C$4:$C$66""),INDIRECT(""'""&amp;DL$1&amp;""'!$D$4:$D$66"")=DL$2),$G$4:$BQ$4,$G34:$BQ34)))"),0.0)</f>
        <v>0</v>
      </c>
      <c r="DM34" s="207" t="str">
        <f>IFERROR(__xludf.DUMMYFUNCTION("IF(OR(DL34&gt;$BS34+$BT34*$BT$2,DL34&lt;$BS34-$BT34*$BT$2),AVEDEV(ARRAYFORMULA(XLOOKUP(FILTER(INDIRECT(""'""&amp;DL$1&amp;""'!$C$4:$C$66""),INDIRECT(""'""&amp;DL$1&amp;""'!$D$4:$D$66"")=DL$2),$G$4:$BQ$4,$G34:$BQ34))),"""")"),"")</f>
        <v/>
      </c>
      <c r="DN34" s="208" t="str">
        <f t="shared" si="21"/>
        <v/>
      </c>
      <c r="DO34" s="209" t="s">
        <v>444</v>
      </c>
      <c r="DP34" s="210">
        <f>IFERROR(__xludf.DUMMYFUNCTION("AVERAGE(ARRAYFORMULA(XLOOKUP(FILTER(INDIRECT(""'""&amp;DP$1&amp;""'!$C$4:$C$66""),INDIRECT(""'""&amp;DP$1&amp;""'!$D$4:$D$66"")=DP$2),$G$4:$BQ$4,$G34:$BQ34)))"),0.0)</f>
        <v>0</v>
      </c>
      <c r="DQ34" s="207" t="str">
        <f>IFERROR(__xludf.DUMMYFUNCTION("IF(OR(DP34&gt;$BS34+$BT34*$BT$2,DP34&lt;$BS34-$BT34*$BT$2),AVEDEV(ARRAYFORMULA(XLOOKUP(FILTER(INDIRECT(""'""&amp;DP$1&amp;""'!$C$4:$C$66""),INDIRECT(""'""&amp;DP$1&amp;""'!$D$4:$D$66"")=DP$2),$G$4:$BQ$4,$G34:$BQ34))),"""")"),"")</f>
        <v/>
      </c>
      <c r="DR34" s="208" t="str">
        <f t="shared" si="22"/>
        <v/>
      </c>
      <c r="DS34" s="210">
        <f>IFERROR(__xludf.DUMMYFUNCTION("AVERAGE(ARRAYFORMULA(XLOOKUP(FILTER(INDIRECT(""'""&amp;DS$1&amp;""'!$C$4:$C$66""),INDIRECT(""'""&amp;DS$1&amp;""'!$D$4:$D$66"")=DS$2),$G$4:$BQ$4,$G34:$BQ34)))"),0.0)</f>
        <v>0</v>
      </c>
      <c r="DT34" s="207" t="str">
        <f>IFERROR(__xludf.DUMMYFUNCTION("IF(OR(DS34&gt;$BS34+$BT34*$BT$2,DS34&lt;$BS34-$BT34*$BT$2),AVEDEV(ARRAYFORMULA(XLOOKUP(FILTER(INDIRECT(""'""&amp;DS$1&amp;""'!$C$4:$C$66""),INDIRECT(""'""&amp;DS$1&amp;""'!$D$4:$D$66"")=DS$2),$G$4:$BQ$4,$G34:$BQ34))),"""")"),"")</f>
        <v/>
      </c>
      <c r="DU34" s="208" t="str">
        <f t="shared" si="23"/>
        <v/>
      </c>
      <c r="DV34" s="210">
        <f>IFERROR(__xludf.DUMMYFUNCTION("AVERAGE(ARRAYFORMULA(XLOOKUP(FILTER(INDIRECT(""'""&amp;DV$1&amp;""'!$C$4:$C$66""),INDIRECT(""'""&amp;DV$1&amp;""'!$D$4:$D$66"")=DV$2),$G$4:$BQ$4,$G34:$BQ34)))"),0.0)</f>
        <v>0</v>
      </c>
      <c r="DW34" s="207" t="str">
        <f>IFERROR(__xludf.DUMMYFUNCTION("IF(OR(DV34&gt;$BS34+$BT34*$BT$2,DV34&lt;$BS34-$BT34*$BT$2),AVEDEV(ARRAYFORMULA(XLOOKUP(FILTER(INDIRECT(""'""&amp;DV$1&amp;""'!$C$4:$C$66""),INDIRECT(""'""&amp;DV$1&amp;""'!$D$4:$D$66"")=DV$2),$G$4:$BQ$4,$G34:$BQ34))),"""")"),"")</f>
        <v/>
      </c>
      <c r="DX34" s="208" t="str">
        <f t="shared" si="24"/>
        <v/>
      </c>
      <c r="DY34" s="210">
        <f>IFERROR(__xludf.DUMMYFUNCTION("AVERAGE(ARRAYFORMULA(XLOOKUP(FILTER(INDIRECT(""'""&amp;DY$1&amp;""'!$C$4:$C$66""),INDIRECT(""'""&amp;DY$1&amp;""'!$D$4:$D$66"")=DY$2),$G$4:$BQ$4,$G34:$BQ34)))"),0.0)</f>
        <v>0</v>
      </c>
      <c r="DZ34" s="207" t="str">
        <f>IFERROR(__xludf.DUMMYFUNCTION("IF(OR(DY34&gt;$BS34+$BT34*$BT$2,DY34&lt;$BS34-$BT34*$BT$2),AVEDEV(ARRAYFORMULA(XLOOKUP(FILTER(INDIRECT(""'""&amp;DY$1&amp;""'!$C$4:$C$66""),INDIRECT(""'""&amp;DY$1&amp;""'!$D$4:$D$66"")=DY$2),$G$4:$BQ$4,$G34:$BQ34))),"""")"),"")</f>
        <v/>
      </c>
      <c r="EA34" s="208" t="str">
        <f t="shared" si="25"/>
        <v/>
      </c>
      <c r="EB34" s="191"/>
    </row>
    <row r="35" outlineLevel="1">
      <c r="A35" s="2"/>
      <c r="B35" s="204">
        <v>31.0</v>
      </c>
      <c r="C35" s="204" t="s">
        <v>442</v>
      </c>
      <c r="D35" s="204" t="s">
        <v>474</v>
      </c>
      <c r="E35" s="205" t="b">
        <f>VLOOKUP(D35,'Feature Set List'!A31:C246,2,0)</f>
        <v>1</v>
      </c>
      <c r="F35" s="205" t="b">
        <f>VLOOKUP(D35,'Feature Set List'!A31:C246,3,0)</f>
        <v>0</v>
      </c>
      <c r="G35" s="205">
        <v>0.25641026</v>
      </c>
      <c r="H35" s="205">
        <v>-0.7179487</v>
      </c>
      <c r="I35" s="205">
        <v>-0.974359</v>
      </c>
      <c r="J35" s="205">
        <v>-0.3076923</v>
      </c>
      <c r="K35" s="205">
        <v>1.12820513</v>
      </c>
      <c r="L35" s="205">
        <v>0.66666667</v>
      </c>
      <c r="M35" s="205">
        <v>0.71794872</v>
      </c>
      <c r="N35" s="205">
        <v>0.56410256</v>
      </c>
      <c r="O35" s="205">
        <v>-0.6153846</v>
      </c>
      <c r="P35" s="205">
        <v>0.15384615</v>
      </c>
      <c r="Q35" s="205">
        <v>-0.6153846</v>
      </c>
      <c r="R35" s="205">
        <v>0.25641026</v>
      </c>
      <c r="S35" s="205">
        <v>1.12820513</v>
      </c>
      <c r="T35" s="205">
        <v>0.51282051</v>
      </c>
      <c r="U35" s="205">
        <v>-0.4615385</v>
      </c>
      <c r="V35" s="205">
        <v>-0.6666667</v>
      </c>
      <c r="W35" s="205">
        <v>0.25641026</v>
      </c>
      <c r="X35" s="205">
        <v>-1.3333333</v>
      </c>
      <c r="Y35" s="205">
        <v>0.0</v>
      </c>
      <c r="Z35" s="205">
        <v>0.0</v>
      </c>
      <c r="AA35" s="205">
        <v>0.25641026</v>
      </c>
      <c r="AB35" s="205">
        <v>0.1025641</v>
      </c>
      <c r="AC35" s="205">
        <v>0.25641026</v>
      </c>
      <c r="AD35" s="205">
        <v>-0.8205128</v>
      </c>
      <c r="AE35" s="205">
        <v>-1.2307692</v>
      </c>
      <c r="AF35" s="205">
        <v>-0.8205128</v>
      </c>
      <c r="AG35" s="205">
        <v>-0.7179487</v>
      </c>
      <c r="AH35" s="205">
        <v>-0.5641026</v>
      </c>
      <c r="AI35" s="205">
        <v>0.15384615</v>
      </c>
      <c r="AJ35" s="205">
        <v>0.25641026</v>
      </c>
      <c r="AK35" s="205">
        <v>0.30769231</v>
      </c>
      <c r="AL35" s="205">
        <v>-0.4615385</v>
      </c>
      <c r="AM35" s="205">
        <v>-0.3589744</v>
      </c>
      <c r="AN35" s="205">
        <v>-0.8205128</v>
      </c>
      <c r="AO35" s="205">
        <v>-0.6666667</v>
      </c>
      <c r="AP35" s="205">
        <v>-0.5641026</v>
      </c>
      <c r="AQ35" s="205">
        <v>0.51282051</v>
      </c>
      <c r="AR35" s="205">
        <v>-0.3589744</v>
      </c>
      <c r="AS35" s="205">
        <v>0.41025641</v>
      </c>
      <c r="AT35" s="205">
        <v>0.51282051</v>
      </c>
      <c r="AU35" s="205">
        <v>-0.4615385</v>
      </c>
      <c r="AV35" s="205">
        <v>-1.1794872</v>
      </c>
      <c r="AW35" s="205">
        <v>-0.0512821</v>
      </c>
      <c r="AX35" s="205">
        <v>0.51282051</v>
      </c>
      <c r="AY35" s="205">
        <v>-1.2307692</v>
      </c>
      <c r="AZ35" s="205">
        <v>0.51282051</v>
      </c>
      <c r="BA35" s="205">
        <v>0.82051282</v>
      </c>
      <c r="BB35" s="205">
        <v>-0.7179487</v>
      </c>
      <c r="BC35" s="205">
        <v>1.12820513</v>
      </c>
      <c r="BD35" s="205">
        <v>-1.3333333</v>
      </c>
      <c r="BE35" s="205">
        <v>0.35897436</v>
      </c>
      <c r="BF35" s="205">
        <v>-0.2051282</v>
      </c>
      <c r="BG35" s="205">
        <v>0.1025641</v>
      </c>
      <c r="BH35" s="205">
        <v>-0.8205128</v>
      </c>
      <c r="BI35" s="205">
        <v>-0.4615385</v>
      </c>
      <c r="BJ35" s="205">
        <v>-0.1025641</v>
      </c>
      <c r="BK35" s="205">
        <v>0.15384615</v>
      </c>
      <c r="BL35" s="205">
        <v>-1.2307692</v>
      </c>
      <c r="BM35" s="205">
        <v>0.41025641</v>
      </c>
      <c r="BN35" s="205">
        <v>0.61538462</v>
      </c>
      <c r="BO35" s="205">
        <v>0.35897436</v>
      </c>
      <c r="BP35" s="205">
        <v>-0.2051282</v>
      </c>
      <c r="BQ35" s="205">
        <v>0.0</v>
      </c>
      <c r="BR35" s="206"/>
      <c r="BS35" s="207">
        <f t="shared" si="6"/>
        <v>-0.122100124</v>
      </c>
      <c r="BT35" s="207">
        <f t="shared" si="7"/>
        <v>0.5518150287</v>
      </c>
      <c r="BU35" s="206"/>
      <c r="BV35" s="207">
        <f>IFERROR(__xludf.DUMMYFUNCTION("AVERAGE(ARRAYFORMULA(XLOOKUP(FILTER(INDIRECT(""'""&amp;BV$1&amp;""'!$C$4:$C$66""),INDIRECT(""'""&amp;BV$1&amp;""'!$D$4:$D$66"")=BV$2),$G$4:$BQ$4,$G35:$BQ35)))"),-0.7545787485714285)</f>
        <v>-0.7545787486</v>
      </c>
      <c r="BW35" s="207">
        <f>IFERROR(__xludf.DUMMYFUNCTION("IF(OR(BV35&gt;$BS35+$BT35*$BT$2,BV35&lt;$BS35-$BT35*$BT$2),AVEDEV(ARRAYFORMULA(XLOOKUP(FILTER(INDIRECT(""'""&amp;BV$1&amp;""'!$C$4:$C$66""),INDIRECT(""'""&amp;BV$1&amp;""'!$D$4:$D$66"")=BV$2),$G$4:$BQ$4,$G35:$BQ35))),"""")"),0.4374672726530612)</f>
        <v>0.4374672727</v>
      </c>
      <c r="BX35" s="208">
        <f t="shared" si="8"/>
        <v>-0.08066359588</v>
      </c>
      <c r="BY35" s="207">
        <f>IFERROR(__xludf.DUMMYFUNCTION("AVERAGE(ARRAYFORMULA(XLOOKUP(FILTER(INDIRECT(""'""&amp;BY$1&amp;""'!$C$4:$C$66""),INDIRECT(""'""&amp;BY$1&amp;""'!$D$4:$D$66"")=BY$2),$G$4:$BQ$4,$G35:$BQ35)))"),-0.0744810780952381)</f>
        <v>-0.0744810781</v>
      </c>
      <c r="BZ35" s="207" t="str">
        <f>IFERROR(__xludf.DUMMYFUNCTION("IF(OR(BY35&gt;$BS35+$BT35*$BT$2,BY35&lt;$BS35-$BT35*$BT$2),AVEDEV(ARRAYFORMULA(XLOOKUP(FILTER(INDIRECT(""'""&amp;BY$1&amp;""'!$C$4:$C$66""),INDIRECT(""'""&amp;BY$1&amp;""'!$D$4:$D$66"")=BY$2),$G$4:$BQ$4,$G35:$BQ35))),"""")"),"")</f>
        <v/>
      </c>
      <c r="CA35" s="208" t="str">
        <f t="shared" si="9"/>
        <v/>
      </c>
      <c r="CB35" s="207">
        <f>IFERROR(__xludf.DUMMYFUNCTION("AVERAGE(ARRAYFORMULA(XLOOKUP(FILTER(INDIRECT(""'""&amp;CB$1&amp;""'!$C$4:$C$66""),INDIRECT(""'""&amp;CB$1&amp;""'!$D$4:$D$66"")=CB$2),$G$4:$BQ$4,$G35:$BQ35)))"),0.3170163190909091)</f>
        <v>0.3170163191</v>
      </c>
      <c r="CC35" s="207" t="str">
        <f>IFERROR(__xludf.DUMMYFUNCTION("IF(OR(CB35&gt;$BS35+$BT35*$BT$2,CB35&lt;$BS35-$BT35*$BT$2),AVEDEV(ARRAYFORMULA(XLOOKUP(FILTER(INDIRECT(""'""&amp;CB$1&amp;""'!$C$4:$C$66""),INDIRECT(""'""&amp;CB$1&amp;""'!$D$4:$D$66"")=CB$2),$G$4:$BQ$4,$G35:$BQ35))),"""")"),"")</f>
        <v/>
      </c>
      <c r="CD35" s="208" t="str">
        <f t="shared" si="10"/>
        <v/>
      </c>
      <c r="CE35" s="209" t="s">
        <v>444</v>
      </c>
      <c r="CF35" s="207">
        <f>IFERROR(__xludf.DUMMYFUNCTION("AVERAGE(ARRAYFORMULA(XLOOKUP(FILTER(INDIRECT(""'""&amp;CF$1&amp;""'!$C$4:$C$66""),INDIRECT(""'""&amp;CF$1&amp;""'!$D$4:$D$66"")=CF$2),$G$4:$BQ$4,$G35:$BQ35)))"),-0.15384615812500002)</f>
        <v>-0.1538461581</v>
      </c>
      <c r="CG35" s="207" t="str">
        <f>IFERROR(__xludf.DUMMYFUNCTION("IF(OR(CF35&gt;$BS35+$BT35*$BT$2,CF35&lt;$BS35-$BT35*$BT$2),AVEDEV(ARRAYFORMULA(XLOOKUP(FILTER(INDIRECT(""'""&amp;CF$1&amp;""'!$C$4:$C$66""),INDIRECT(""'""&amp;CF$1&amp;""'!$D$4:$D$66"")=CF$2),$G$4:$BQ$4,$G35:$BQ35))),"""")"),"")</f>
        <v/>
      </c>
      <c r="CH35" s="208" t="str">
        <f t="shared" si="11"/>
        <v/>
      </c>
      <c r="CI35" s="207">
        <f>IFERROR(__xludf.DUMMYFUNCTION("AVERAGE(ARRAYFORMULA(XLOOKUP(FILTER(INDIRECT(""'""&amp;CI$1&amp;""'!$C$4:$C$66""),INDIRECT(""'""&amp;CI$1&amp;""'!$D$4:$D$66"")=CI$2),$G$4:$BQ$4,$G35:$BQ35)))"),-0.07775020677419356)</f>
        <v>-0.07775020677</v>
      </c>
      <c r="CJ35" s="207" t="str">
        <f>IFERROR(__xludf.DUMMYFUNCTION("IF(OR(CI35&gt;$BS35+$BT35*$BT$2,CI35&lt;$BS35-$BT35*$BT$2),AVEDEV(ARRAYFORMULA(XLOOKUP(FILTER(INDIRECT(""'""&amp;CI$1&amp;""'!$C$4:$C$66""),INDIRECT(""'""&amp;CI$1&amp;""'!$D$4:$D$66"")=CI$2),$G$4:$BQ$4,$G35:$BQ35))),"""")"),"")</f>
        <v/>
      </c>
      <c r="CK35" s="208" t="str">
        <f t="shared" si="12"/>
        <v/>
      </c>
      <c r="CL35" s="207">
        <f>IFERROR(__xludf.DUMMYFUNCTION("AVERAGE(ARRAYFORMULA(XLOOKUP(FILTER(INDIRECT(""'""&amp;CL$1&amp;""'!$C$4:$C$66""),INDIRECT(""'""&amp;CL$1&amp;""'!$D$4:$D$66"")=CL$2),$G$4:$BQ$4,$G35:$BQ35)))"),0.399999998)</f>
        <v>0.399999998</v>
      </c>
      <c r="CM35" s="207" t="str">
        <f>IFERROR(__xludf.DUMMYFUNCTION("IF(OR(CL35&gt;$BS35+$BT35*$BT$2,CL35&lt;$BS35-$BT35*$BT$2),AVEDEV(ARRAYFORMULA(XLOOKUP(FILTER(INDIRECT(""'""&amp;CL$1&amp;""'!$C$4:$C$66""),INDIRECT(""'""&amp;CL$1&amp;""'!$D$4:$D$66"")=CL$2),$G$4:$BQ$4,$G35:$BQ35))),"""")"),"")</f>
        <v/>
      </c>
      <c r="CN35" s="208" t="str">
        <f t="shared" si="13"/>
        <v/>
      </c>
      <c r="CO35" s="209" t="s">
        <v>444</v>
      </c>
      <c r="CP35" s="210">
        <f>IFERROR(__xludf.DUMMYFUNCTION("AVERAGE(ARRAYFORMULA(XLOOKUP(FILTER(INDIRECT(""'""&amp;CP$1&amp;""'!$C$4:$C$66""),INDIRECT(""'""&amp;CP$1&amp;""'!$D$4:$D$66"")=CP$2),$G$4:$BQ$4,$G35:$BQ35)))"),-0.08205128133333334)</f>
        <v>-0.08205128133</v>
      </c>
      <c r="CQ35" s="207" t="str">
        <f>IFERROR(__xludf.DUMMYFUNCTION("IF(OR(CP35&gt;$BS35+$BT35*$BT$2,CP35&lt;$BS35-$BT35*$BT$2),AVEDEV(ARRAYFORMULA(XLOOKUP(FILTER(INDIRECT(""'""&amp;CP$1&amp;""'!$C$4:$C$66""),INDIRECT(""'""&amp;CP$1&amp;""'!$D$4:$D$66"")=CP$2),$G$4:$BQ$4,$G35:$BQ35))),"""")"),"")</f>
        <v/>
      </c>
      <c r="CR35" s="208" t="str">
        <f t="shared" si="14"/>
        <v/>
      </c>
      <c r="CS35" s="210">
        <f>IFERROR(__xludf.DUMMYFUNCTION("AVERAGE(ARRAYFORMULA(XLOOKUP(FILTER(INDIRECT(""'""&amp;CS$1&amp;""'!$C$4:$C$66""),INDIRECT(""'""&amp;CS$1&amp;""'!$D$4:$D$66"")=CS$2),$G$4:$BQ$4,$G35:$BQ35)))"),-0.11439842512820513)</f>
        <v>-0.1143984251</v>
      </c>
      <c r="CT35" s="207" t="str">
        <f>IFERROR(__xludf.DUMMYFUNCTION("IF(OR(CS35&gt;$BS35+$BT35*$BT$2,CS35&lt;$BS35-$BT35*$BT$2),AVEDEV(ARRAYFORMULA(XLOOKUP(FILTER(INDIRECT(""'""&amp;CS$1&amp;""'!$C$4:$C$66""),INDIRECT(""'""&amp;CS$1&amp;""'!$D$4:$D$66"")=CS$2),$G$4:$BQ$4,$G35:$BQ35))),"""")"),"")</f>
        <v/>
      </c>
      <c r="CU35" s="208" t="str">
        <f t="shared" si="15"/>
        <v/>
      </c>
      <c r="CV35" s="210">
        <f>IFERROR(__xludf.DUMMYFUNCTION("AVERAGE(ARRAYFORMULA(XLOOKUP(FILTER(INDIRECT(""'""&amp;CV$1&amp;""'!$C$4:$C$66""),INDIRECT(""'""&amp;CV$1&amp;""'!$D$4:$D$66"")=CV$2),$G$4:$BQ$4,$G35:$BQ35)))"),0.399999998)</f>
        <v>0.399999998</v>
      </c>
      <c r="CW35" s="207" t="str">
        <f>IFERROR(__xludf.DUMMYFUNCTION("IF(OR(CV35&gt;$BS35+$BT35*$BT$2,CV35&lt;$BS35-$BT35*$BT$2),AVEDEV(ARRAYFORMULA(XLOOKUP(FILTER(INDIRECT(""'""&amp;CV$1&amp;""'!$C$4:$C$66""),INDIRECT(""'""&amp;CV$1&amp;""'!$D$4:$D$66"")=CV$2),$G$4:$BQ$4,$G35:$BQ35))),"""")"),"")</f>
        <v/>
      </c>
      <c r="CX35" s="208" t="str">
        <f t="shared" si="16"/>
        <v/>
      </c>
      <c r="CY35" s="209" t="s">
        <v>444</v>
      </c>
      <c r="CZ35" s="210">
        <f>IFERROR(__xludf.DUMMYFUNCTION("AVERAGE(ARRAYFORMULA(XLOOKUP(FILTER(INDIRECT(""'""&amp;CZ$1&amp;""'!$C$4:$C$66""),INDIRECT(""'""&amp;CZ$1&amp;""'!$D$4:$D$66"")=CZ$2),$G$4:$BQ$4,$G35:$BQ35)))"),-0.23076923714285713)</f>
        <v>-0.2307692371</v>
      </c>
      <c r="DA35" s="207" t="str">
        <f>IFERROR(__xludf.DUMMYFUNCTION("IF(OR(CZ35&gt;$BS35+$BT35*$BT$2,CZ35&lt;$BS35-$BT35*$BT$2),AVEDEV(ARRAYFORMULA(XLOOKUP(FILTER(INDIRECT(""'""&amp;CZ$1&amp;""'!$C$4:$C$66""),INDIRECT(""'""&amp;CZ$1&amp;""'!$D$4:$D$66"")=CZ$2),$G$4:$BQ$4,$G35:$BQ35))),"""")"),"")</f>
        <v/>
      </c>
      <c r="DB35" s="208" t="str">
        <f t="shared" si="17"/>
        <v/>
      </c>
      <c r="DC35" s="210">
        <f>IFERROR(__xludf.DUMMYFUNCTION("AVERAGE(ARRAYFORMULA(XLOOKUP(FILTER(INDIRECT(""'""&amp;DC$1&amp;""'!$C$4:$C$66""),INDIRECT(""'""&amp;DC$1&amp;""'!$D$4:$D$66"")=DC$2),$G$4:$BQ$4,$G35:$BQ35)))"),0.28490028777777776)</f>
        <v>0.2849002878</v>
      </c>
      <c r="DD35" s="207" t="str">
        <f>IFERROR(__xludf.DUMMYFUNCTION("IF(OR(DC35&gt;$BS35+$BT35*$BT$2,DC35&lt;$BS35-$BT35*$BT$2),AVEDEV(ARRAYFORMULA(XLOOKUP(FILTER(INDIRECT(""'""&amp;DC$1&amp;""'!$C$4:$C$66""),INDIRECT(""'""&amp;DC$1&amp;""'!$D$4:$D$66"")=DC$2),$G$4:$BQ$4,$G35:$BQ35))),"""")"),"")</f>
        <v/>
      </c>
      <c r="DE35" s="208" t="str">
        <f t="shared" si="18"/>
        <v/>
      </c>
      <c r="DF35" s="210">
        <f>IFERROR(__xludf.DUMMYFUNCTION("AVERAGE(ARRAYFORMULA(XLOOKUP(FILTER(INDIRECT(""'""&amp;DF$1&amp;""'!$C$4:$C$66""),INDIRECT(""'""&amp;DF$1&amp;""'!$D$4:$D$66"")=DF$2),$G$4:$BQ$4,$G35:$BQ35)))"),0.10256409363636364)</f>
        <v>0.1025640936</v>
      </c>
      <c r="DG35" s="207" t="str">
        <f>IFERROR(__xludf.DUMMYFUNCTION("IF(OR(DF35&gt;$BS35+$BT35*$BT$2,DF35&lt;$BS35-$BT35*$BT$2),AVEDEV(ARRAYFORMULA(XLOOKUP(FILTER(INDIRECT(""'""&amp;DF$1&amp;""'!$C$4:$C$66""),INDIRECT(""'""&amp;DF$1&amp;""'!$D$4:$D$66"")=DF$2),$G$4:$BQ$4,$G35:$BQ35))),"""")"),"")</f>
        <v/>
      </c>
      <c r="DH35" s="208" t="str">
        <f t="shared" si="19"/>
        <v/>
      </c>
      <c r="DI35" s="210">
        <f>IFERROR(__xludf.DUMMYFUNCTION("AVERAGE(ARRAYFORMULA(XLOOKUP(FILTER(INDIRECT(""'""&amp;DI$1&amp;""'!$C$4:$C$66""),INDIRECT(""'""&amp;DI$1&amp;""'!$D$4:$D$66"")=DI$2),$G$4:$BQ$4,$G35:$BQ35)))"),-0.8205128)</f>
        <v>-0.8205128</v>
      </c>
      <c r="DJ35" s="207">
        <f>IFERROR(__xludf.DUMMYFUNCTION("IF(OR(DI35&gt;$BS35+$BT35*$BT$2,DI35&lt;$BS35-$BT35*$BT$2),AVEDEV(ARRAYFORMULA(XLOOKUP(FILTER(INDIRECT(""'""&amp;DI$1&amp;""'!$C$4:$C$66""),INDIRECT(""'""&amp;DI$1&amp;""'!$D$4:$D$66"")=DI$2),$G$4:$BQ$4,$G35:$BQ35))),"""")"),0.0)</f>
        <v>0</v>
      </c>
      <c r="DK35" s="208">
        <f t="shared" si="20"/>
        <v>-0.1465976473</v>
      </c>
      <c r="DL35" s="210">
        <f>IFERROR(__xludf.DUMMYFUNCTION("AVERAGE(ARRAYFORMULA(XLOOKUP(FILTER(INDIRECT(""'""&amp;DL$1&amp;""'!$C$4:$C$66""),INDIRECT(""'""&amp;DL$1&amp;""'!$D$4:$D$66"")=DL$2),$G$4:$BQ$4,$G35:$BQ35)))"),-0.029304030000000005)</f>
        <v>-0.02930403</v>
      </c>
      <c r="DM35" s="207" t="str">
        <f>IFERROR(__xludf.DUMMYFUNCTION("IF(OR(DL35&gt;$BS35+$BT35*$BT$2,DL35&lt;$BS35-$BT35*$BT$2),AVEDEV(ARRAYFORMULA(XLOOKUP(FILTER(INDIRECT(""'""&amp;DL$1&amp;""'!$C$4:$C$66""),INDIRECT(""'""&amp;DL$1&amp;""'!$D$4:$D$66"")=DL$2),$G$4:$BQ$4,$G35:$BQ35))),"""")"),"")</f>
        <v/>
      </c>
      <c r="DN35" s="208" t="str">
        <f t="shared" si="21"/>
        <v/>
      </c>
      <c r="DO35" s="209" t="s">
        <v>444</v>
      </c>
      <c r="DP35" s="210">
        <f>IFERROR(__xludf.DUMMYFUNCTION("AVERAGE(ARRAYFORMULA(XLOOKUP(FILTER(INDIRECT(""'""&amp;DP$1&amp;""'!$C$4:$C$66""),INDIRECT(""'""&amp;DP$1&amp;""'!$D$4:$D$66"")=DP$2),$G$4:$BQ$4,$G35:$BQ35)))"),-0.08547008733333333)</f>
        <v>-0.08547008733</v>
      </c>
      <c r="DQ35" s="207" t="str">
        <f>IFERROR(__xludf.DUMMYFUNCTION("IF(OR(DP35&gt;$BS35+$BT35*$BT$2,DP35&lt;$BS35-$BT35*$BT$2),AVEDEV(ARRAYFORMULA(XLOOKUP(FILTER(INDIRECT(""'""&amp;DP$1&amp;""'!$C$4:$C$66""),INDIRECT(""'""&amp;DP$1&amp;""'!$D$4:$D$66"")=DP$2),$G$4:$BQ$4,$G35:$BQ35))),"""")"),"")</f>
        <v/>
      </c>
      <c r="DR35" s="208" t="str">
        <f t="shared" si="22"/>
        <v/>
      </c>
      <c r="DS35" s="210">
        <f>IFERROR(__xludf.DUMMYFUNCTION("AVERAGE(ARRAYFORMULA(XLOOKUP(FILTER(INDIRECT(""'""&amp;DS$1&amp;""'!$C$4:$C$66""),INDIRECT(""'""&amp;DS$1&amp;""'!$D$4:$D$66"")=DS$2),$G$4:$BQ$4,$G35:$BQ35)))"),0.2905982888888889)</f>
        <v>0.2905982889</v>
      </c>
      <c r="DT35" s="207" t="str">
        <f>IFERROR(__xludf.DUMMYFUNCTION("IF(OR(DS35&gt;$BS35+$BT35*$BT$2,DS35&lt;$BS35-$BT35*$BT$2),AVEDEV(ARRAYFORMULA(XLOOKUP(FILTER(INDIRECT(""'""&amp;DS$1&amp;""'!$C$4:$C$66""),INDIRECT(""'""&amp;DS$1&amp;""'!$D$4:$D$66"")=DS$2),$G$4:$BQ$4,$G35:$BQ35))),"""")"),"")</f>
        <v/>
      </c>
      <c r="DU35" s="208" t="str">
        <f t="shared" si="23"/>
        <v/>
      </c>
      <c r="DV35" s="210">
        <f>IFERROR(__xludf.DUMMYFUNCTION("AVERAGE(ARRAYFORMULA(XLOOKUP(FILTER(INDIRECT(""'""&amp;DV$1&amp;""'!$C$4:$C$66""),INDIRECT(""'""&amp;DV$1&amp;""'!$D$4:$D$66"")=DV$2),$G$4:$BQ$4,$G35:$BQ35)))"),0.012820515000000005)</f>
        <v>0.012820515</v>
      </c>
      <c r="DW35" s="207" t="str">
        <f>IFERROR(__xludf.DUMMYFUNCTION("IF(OR(DV35&gt;$BS35+$BT35*$BT$2,DV35&lt;$BS35-$BT35*$BT$2),AVEDEV(ARRAYFORMULA(XLOOKUP(FILTER(INDIRECT(""'""&amp;DV$1&amp;""'!$C$4:$C$66""),INDIRECT(""'""&amp;DV$1&amp;""'!$D$4:$D$66"")=DV$2),$G$4:$BQ$4,$G35:$BQ35))),"""")"),"")</f>
        <v/>
      </c>
      <c r="DX35" s="208" t="str">
        <f t="shared" si="24"/>
        <v/>
      </c>
      <c r="DY35" s="210">
        <f>IFERROR(__xludf.DUMMYFUNCTION("AVERAGE(ARRAYFORMULA(XLOOKUP(FILTER(INDIRECT(""'""&amp;DY$1&amp;""'!$C$4:$C$66""),INDIRECT(""'""&amp;DY$1&amp;""'!$D$4:$D$66"")=DY$2),$G$4:$BQ$4,$G35:$BQ35)))"),-0.1652421677777778)</f>
        <v>-0.1652421678</v>
      </c>
      <c r="DZ35" s="207" t="str">
        <f>IFERROR(__xludf.DUMMYFUNCTION("IF(OR(DY35&gt;$BS35+$BT35*$BT$2,DY35&lt;$BS35-$BT35*$BT$2),AVEDEV(ARRAYFORMULA(XLOOKUP(FILTER(INDIRECT(""'""&amp;DY$1&amp;""'!$C$4:$C$66""),INDIRECT(""'""&amp;DY$1&amp;""'!$D$4:$D$66"")=DY$2),$G$4:$BQ$4,$G35:$BQ35))),"""")"),"")</f>
        <v/>
      </c>
      <c r="EA35" s="208" t="str">
        <f t="shared" si="25"/>
        <v/>
      </c>
      <c r="EB35" s="191"/>
    </row>
    <row r="36" outlineLevel="1">
      <c r="A36" s="2"/>
      <c r="B36" s="204">
        <v>32.0</v>
      </c>
      <c r="C36" s="204" t="s">
        <v>442</v>
      </c>
      <c r="D36" s="204" t="s">
        <v>475</v>
      </c>
      <c r="E36" s="205" t="b">
        <f>VLOOKUP(D36,'Feature Set List'!A32:C246,2,0)</f>
        <v>1</v>
      </c>
      <c r="F36" s="205" t="b">
        <f>VLOOKUP(D36,'Feature Set List'!A32:C246,3,0)</f>
        <v>0</v>
      </c>
      <c r="G36" s="205">
        <v>1.0</v>
      </c>
      <c r="H36" s="205">
        <v>-0.4</v>
      </c>
      <c r="I36" s="205">
        <v>1.0</v>
      </c>
      <c r="J36" s="205">
        <v>1.2</v>
      </c>
      <c r="K36" s="205">
        <v>-0.4</v>
      </c>
      <c r="L36" s="205">
        <v>0.2</v>
      </c>
      <c r="M36" s="205">
        <v>0.4</v>
      </c>
      <c r="N36" s="205">
        <v>-0.2</v>
      </c>
      <c r="O36" s="205">
        <v>0.0</v>
      </c>
      <c r="P36" s="205">
        <v>0.6</v>
      </c>
      <c r="Q36" s="205">
        <v>0.0</v>
      </c>
      <c r="R36" s="205">
        <v>1.0</v>
      </c>
      <c r="S36" s="205">
        <v>-0.4</v>
      </c>
      <c r="T36" s="205">
        <v>-0.4</v>
      </c>
      <c r="U36" s="205">
        <v>0.6</v>
      </c>
      <c r="V36" s="205">
        <v>-0.2</v>
      </c>
      <c r="W36" s="205">
        <v>1.0</v>
      </c>
      <c r="X36" s="205">
        <v>-0.4</v>
      </c>
      <c r="Y36" s="205">
        <v>0.0</v>
      </c>
      <c r="Z36" s="205">
        <v>0.0</v>
      </c>
      <c r="AA36" s="205">
        <v>1.0</v>
      </c>
      <c r="AB36" s="205">
        <v>0.4</v>
      </c>
      <c r="AC36" s="205">
        <v>1.0</v>
      </c>
      <c r="AD36" s="205">
        <v>-0.8</v>
      </c>
      <c r="AE36" s="205">
        <v>0.0</v>
      </c>
      <c r="AF36" s="205">
        <v>-0.8</v>
      </c>
      <c r="AG36" s="205">
        <v>-0.4</v>
      </c>
      <c r="AH36" s="205">
        <v>0.2</v>
      </c>
      <c r="AI36" s="205">
        <v>0.6</v>
      </c>
      <c r="AJ36" s="205">
        <v>1.0</v>
      </c>
      <c r="AK36" s="205">
        <v>1.2</v>
      </c>
      <c r="AL36" s="205">
        <v>0.6</v>
      </c>
      <c r="AM36" s="205">
        <v>1.0</v>
      </c>
      <c r="AN36" s="205">
        <v>-0.8</v>
      </c>
      <c r="AO36" s="205">
        <v>-0.2</v>
      </c>
      <c r="AP36" s="205">
        <v>0.2</v>
      </c>
      <c r="AQ36" s="205">
        <v>-0.4</v>
      </c>
      <c r="AR36" s="205">
        <v>1.0</v>
      </c>
      <c r="AS36" s="205">
        <v>-0.8</v>
      </c>
      <c r="AT36" s="205">
        <v>-0.4</v>
      </c>
      <c r="AU36" s="205">
        <v>0.6</v>
      </c>
      <c r="AV36" s="205">
        <v>0.2</v>
      </c>
      <c r="AW36" s="205">
        <v>-0.2</v>
      </c>
      <c r="AX36" s="205">
        <v>-0.4</v>
      </c>
      <c r="AY36" s="205">
        <v>0.0</v>
      </c>
      <c r="AZ36" s="205">
        <v>-0.4</v>
      </c>
      <c r="BA36" s="205">
        <v>0.8</v>
      </c>
      <c r="BB36" s="205">
        <v>-0.4</v>
      </c>
      <c r="BC36" s="205">
        <v>-0.4</v>
      </c>
      <c r="BD36" s="205">
        <v>-0.4</v>
      </c>
      <c r="BE36" s="205">
        <v>1.4</v>
      </c>
      <c r="BF36" s="205">
        <v>-0.8</v>
      </c>
      <c r="BG36" s="205">
        <v>0.4</v>
      </c>
      <c r="BH36" s="205">
        <v>-0.8</v>
      </c>
      <c r="BI36" s="205">
        <v>0.6</v>
      </c>
      <c r="BJ36" s="205">
        <v>-0.4</v>
      </c>
      <c r="BK36" s="205">
        <v>0.6</v>
      </c>
      <c r="BL36" s="205">
        <v>0.0</v>
      </c>
      <c r="BM36" s="205">
        <v>-0.8</v>
      </c>
      <c r="BN36" s="205">
        <v>0.0</v>
      </c>
      <c r="BO36" s="205">
        <v>1.4</v>
      </c>
      <c r="BP36" s="205">
        <v>-0.8</v>
      </c>
      <c r="BQ36" s="205">
        <v>0.0</v>
      </c>
      <c r="BR36" s="206"/>
      <c r="BS36" s="207">
        <f t="shared" si="6"/>
        <v>0.1333333333</v>
      </c>
      <c r="BT36" s="207">
        <f t="shared" si="7"/>
        <v>0.5544973545</v>
      </c>
      <c r="BU36" s="206"/>
      <c r="BV36" s="207">
        <f>IFERROR(__xludf.DUMMYFUNCTION("AVERAGE(ARRAYFORMULA(XLOOKUP(FILTER(INDIRECT(""'""&amp;BV$1&amp;""'!$C$4:$C$66""),INDIRECT(""'""&amp;BV$1&amp;""'!$D$4:$D$66"")=BV$2),$G$4:$BQ$4,$G36:$BQ36)))"),0.14285714285714285)</f>
        <v>0.1428571429</v>
      </c>
      <c r="BW36" s="207" t="str">
        <f>IFERROR(__xludf.DUMMYFUNCTION("IF(OR(BV36&gt;$BS36+$BT36*$BT$2,BV36&lt;$BS36-$BT36*$BT$2),AVEDEV(ARRAYFORMULA(XLOOKUP(FILTER(INDIRECT(""'""&amp;BV$1&amp;""'!$C$4:$C$66""),INDIRECT(""'""&amp;BV$1&amp;""'!$D$4:$D$66"")=BV$2),$G$4:$BQ$4,$G36:$BQ36))),"""")"),"")</f>
        <v/>
      </c>
      <c r="BX36" s="208" t="str">
        <f t="shared" si="8"/>
        <v/>
      </c>
      <c r="BY36" s="207">
        <f>IFERROR(__xludf.DUMMYFUNCTION("AVERAGE(ARRAYFORMULA(XLOOKUP(FILTER(INDIRECT(""'""&amp;BY$1&amp;""'!$C$4:$C$66""),INDIRECT(""'""&amp;BY$1&amp;""'!$D$4:$D$66"")=BY$2),$G$4:$BQ$4,$G36:$BQ36)))"),0.1095238095238095)</f>
        <v>0.1095238095</v>
      </c>
      <c r="BZ36" s="207" t="str">
        <f>IFERROR(__xludf.DUMMYFUNCTION("IF(OR(BY36&gt;$BS36+$BT36*$BT$2,BY36&lt;$BS36-$BT36*$BT$2),AVEDEV(ARRAYFORMULA(XLOOKUP(FILTER(INDIRECT(""'""&amp;BY$1&amp;""'!$C$4:$C$66""),INDIRECT(""'""&amp;BY$1&amp;""'!$D$4:$D$66"")=BY$2),$G$4:$BQ$4,$G36:$BQ36))),"""")"),"")</f>
        <v/>
      </c>
      <c r="CA36" s="208" t="str">
        <f t="shared" si="9"/>
        <v/>
      </c>
      <c r="CB36" s="207">
        <f>IFERROR(__xludf.DUMMYFUNCTION("AVERAGE(ARRAYFORMULA(XLOOKUP(FILTER(INDIRECT(""'""&amp;CB$1&amp;""'!$C$4:$C$66""),INDIRECT(""'""&amp;CB$1&amp;""'!$D$4:$D$66"")=CB$2),$G$4:$BQ$4,$G36:$BQ36)))"),0.14545454545454548)</f>
        <v>0.1454545455</v>
      </c>
      <c r="CC36" s="207" t="str">
        <f>IFERROR(__xludf.DUMMYFUNCTION("IF(OR(CB36&gt;$BS36+$BT36*$BT$2,CB36&lt;$BS36-$BT36*$BT$2),AVEDEV(ARRAYFORMULA(XLOOKUP(FILTER(INDIRECT(""'""&amp;CB$1&amp;""'!$C$4:$C$66""),INDIRECT(""'""&amp;CB$1&amp;""'!$D$4:$D$66"")=CB$2),$G$4:$BQ$4,$G36:$BQ36))),"""")"),"")</f>
        <v/>
      </c>
      <c r="CD36" s="208" t="str">
        <f t="shared" si="10"/>
        <v/>
      </c>
      <c r="CE36" s="209" t="s">
        <v>444</v>
      </c>
      <c r="CF36" s="207">
        <f>IFERROR(__xludf.DUMMYFUNCTION("AVERAGE(ARRAYFORMULA(XLOOKUP(FILTER(INDIRECT(""'""&amp;CF$1&amp;""'!$C$4:$C$66""),INDIRECT(""'""&amp;CF$1&amp;""'!$D$4:$D$66"")=CF$2),$G$4:$BQ$4,$G36:$BQ36)))"),-2.0816681711721685E-17)</f>
        <v>0</v>
      </c>
      <c r="CG36" s="207" t="str">
        <f>IFERROR(__xludf.DUMMYFUNCTION("IF(OR(CF36&gt;$BS36+$BT36*$BT$2,CF36&lt;$BS36-$BT36*$BT$2),AVEDEV(ARRAYFORMULA(XLOOKUP(FILTER(INDIRECT(""'""&amp;CF$1&amp;""'!$C$4:$C$66""),INDIRECT(""'""&amp;CF$1&amp;""'!$D$4:$D$66"")=CF$2),$G$4:$BQ$4,$G36:$BQ36))),"""")"),"")</f>
        <v/>
      </c>
      <c r="CH36" s="208" t="str">
        <f t="shared" si="11"/>
        <v/>
      </c>
      <c r="CI36" s="207">
        <f>IFERROR(__xludf.DUMMYFUNCTION("AVERAGE(ARRAYFORMULA(XLOOKUP(FILTER(INDIRECT(""'""&amp;CI$1&amp;""'!$C$4:$C$66""),INDIRECT(""'""&amp;CI$1&amp;""'!$D$4:$D$66"")=CI$2),$G$4:$BQ$4,$G36:$BQ36)))"),0.16129032258064516)</f>
        <v>0.1612903226</v>
      </c>
      <c r="CJ36" s="207" t="str">
        <f>IFERROR(__xludf.DUMMYFUNCTION("IF(OR(CI36&gt;$BS36+$BT36*$BT$2,CI36&lt;$BS36-$BT36*$BT$2),AVEDEV(ARRAYFORMULA(XLOOKUP(FILTER(INDIRECT(""'""&amp;CI$1&amp;""'!$C$4:$C$66""),INDIRECT(""'""&amp;CI$1&amp;""'!$D$4:$D$66"")=CI$2),$G$4:$BQ$4,$G36:$BQ36))),"""")"),"")</f>
        <v/>
      </c>
      <c r="CK36" s="208" t="str">
        <f t="shared" si="12"/>
        <v/>
      </c>
      <c r="CL36" s="207">
        <f>IFERROR(__xludf.DUMMYFUNCTION("AVERAGE(ARRAYFORMULA(XLOOKUP(FILTER(INDIRECT(""'""&amp;CL$1&amp;""'!$C$4:$C$66""),INDIRECT(""'""&amp;CL$1&amp;""'!$D$4:$D$66"")=CL$2),$G$4:$BQ$4,$G36:$BQ36)))"),0.11999999999999997)</f>
        <v>0.12</v>
      </c>
      <c r="CM36" s="207" t="str">
        <f>IFERROR(__xludf.DUMMYFUNCTION("IF(OR(CL36&gt;$BS36+$BT36*$BT$2,CL36&lt;$BS36-$BT36*$BT$2),AVEDEV(ARRAYFORMULA(XLOOKUP(FILTER(INDIRECT(""'""&amp;CL$1&amp;""'!$C$4:$C$66""),INDIRECT(""'""&amp;CL$1&amp;""'!$D$4:$D$66"")=CL$2),$G$4:$BQ$4,$G36:$BQ36))),"""")"),"")</f>
        <v/>
      </c>
      <c r="CN36" s="208" t="str">
        <f t="shared" si="13"/>
        <v/>
      </c>
      <c r="CO36" s="209" t="s">
        <v>444</v>
      </c>
      <c r="CP36" s="210">
        <f>IFERROR(__xludf.DUMMYFUNCTION("AVERAGE(ARRAYFORMULA(XLOOKUP(FILTER(INDIRECT(""'""&amp;CP$1&amp;""'!$C$4:$C$66""),INDIRECT(""'""&amp;CP$1&amp;""'!$D$4:$D$66"")=CP$2),$G$4:$BQ$4,$G36:$BQ36)))"),0.32)</f>
        <v>0.32</v>
      </c>
      <c r="CQ36" s="207" t="str">
        <f>IFERROR(__xludf.DUMMYFUNCTION("IF(OR(CP36&gt;$BS36+$BT36*$BT$2,CP36&lt;$BS36-$BT36*$BT$2),AVEDEV(ARRAYFORMULA(XLOOKUP(FILTER(INDIRECT(""'""&amp;CP$1&amp;""'!$C$4:$C$66""),INDIRECT(""'""&amp;CP$1&amp;""'!$D$4:$D$66"")=CP$2),$G$4:$BQ$4,$G36:$BQ36))),"""")"),"")</f>
        <v/>
      </c>
      <c r="CR36" s="208" t="str">
        <f t="shared" si="14"/>
        <v/>
      </c>
      <c r="CS36" s="210">
        <f>IFERROR(__xludf.DUMMYFUNCTION("AVERAGE(ARRAYFORMULA(XLOOKUP(FILTER(INDIRECT(""'""&amp;CS$1&amp;""'!$C$4:$C$66""),INDIRECT(""'""&amp;CS$1&amp;""'!$D$4:$D$66"")=CS$2),$G$4:$BQ$4,$G36:$BQ36)))"),0.046153846153846136)</f>
        <v>0.04615384615</v>
      </c>
      <c r="CT36" s="207" t="str">
        <f>IFERROR(__xludf.DUMMYFUNCTION("IF(OR(CS36&gt;$BS36+$BT36*$BT$2,CS36&lt;$BS36-$BT36*$BT$2),AVEDEV(ARRAYFORMULA(XLOOKUP(FILTER(INDIRECT(""'""&amp;CS$1&amp;""'!$C$4:$C$66""),INDIRECT(""'""&amp;CS$1&amp;""'!$D$4:$D$66"")=CS$2),$G$4:$BQ$4,$G36:$BQ36))),"""")"),"")</f>
        <v/>
      </c>
      <c r="CU36" s="208" t="str">
        <f t="shared" si="15"/>
        <v/>
      </c>
      <c r="CV36" s="210">
        <f>IFERROR(__xludf.DUMMYFUNCTION("AVERAGE(ARRAYFORMULA(XLOOKUP(FILTER(INDIRECT(""'""&amp;CV$1&amp;""'!$C$4:$C$66""),INDIRECT(""'""&amp;CV$1&amp;""'!$D$4:$D$66"")=CV$2),$G$4:$BQ$4,$G36:$BQ36)))"),0.11999999999999997)</f>
        <v>0.12</v>
      </c>
      <c r="CW36" s="207" t="str">
        <f>IFERROR(__xludf.DUMMYFUNCTION("IF(OR(CV36&gt;$BS36+$BT36*$BT$2,CV36&lt;$BS36-$BT36*$BT$2),AVEDEV(ARRAYFORMULA(XLOOKUP(FILTER(INDIRECT(""'""&amp;CV$1&amp;""'!$C$4:$C$66""),INDIRECT(""'""&amp;CV$1&amp;""'!$D$4:$D$66"")=CV$2),$G$4:$BQ$4,$G36:$BQ36))),"""")"),"")</f>
        <v/>
      </c>
      <c r="CX36" s="208" t="str">
        <f t="shared" si="16"/>
        <v/>
      </c>
      <c r="CY36" s="209" t="s">
        <v>444</v>
      </c>
      <c r="CZ36" s="210">
        <f>IFERROR(__xludf.DUMMYFUNCTION("AVERAGE(ARRAYFORMULA(XLOOKUP(FILTER(INDIRECT(""'""&amp;CZ$1&amp;""'!$C$4:$C$66""),INDIRECT(""'""&amp;CZ$1&amp;""'!$D$4:$D$66"")=CZ$2),$G$4:$BQ$4,$G36:$BQ36)))"),0.12857142857142856)</f>
        <v>0.1285714286</v>
      </c>
      <c r="DA36" s="207" t="str">
        <f>IFERROR(__xludf.DUMMYFUNCTION("IF(OR(CZ36&gt;$BS36+$BT36*$BT$2,CZ36&lt;$BS36-$BT36*$BT$2),AVEDEV(ARRAYFORMULA(XLOOKUP(FILTER(INDIRECT(""'""&amp;CZ$1&amp;""'!$C$4:$C$66""),INDIRECT(""'""&amp;CZ$1&amp;""'!$D$4:$D$66"")=CZ$2),$G$4:$BQ$4,$G36:$BQ36))),"""")"),"")</f>
        <v/>
      </c>
      <c r="DB36" s="208" t="str">
        <f t="shared" si="17"/>
        <v/>
      </c>
      <c r="DC36" s="210">
        <f>IFERROR(__xludf.DUMMYFUNCTION("AVERAGE(ARRAYFORMULA(XLOOKUP(FILTER(INDIRECT(""'""&amp;DC$1&amp;""'!$C$4:$C$66""),INDIRECT(""'""&amp;DC$1&amp;""'!$D$4:$D$66"")=DC$2),$G$4:$BQ$4,$G36:$BQ36)))"),0.3111111111111111)</f>
        <v>0.3111111111</v>
      </c>
      <c r="DD36" s="207" t="str">
        <f>IFERROR(__xludf.DUMMYFUNCTION("IF(OR(DC36&gt;$BS36+$BT36*$BT$2,DC36&lt;$BS36-$BT36*$BT$2),AVEDEV(ARRAYFORMULA(XLOOKUP(FILTER(INDIRECT(""'""&amp;DC$1&amp;""'!$C$4:$C$66""),INDIRECT(""'""&amp;DC$1&amp;""'!$D$4:$D$66"")=DC$2),$G$4:$BQ$4,$G36:$BQ36))),"""")"),"")</f>
        <v/>
      </c>
      <c r="DE36" s="208" t="str">
        <f t="shared" si="18"/>
        <v/>
      </c>
      <c r="DF36" s="210">
        <f>IFERROR(__xludf.DUMMYFUNCTION("AVERAGE(ARRAYFORMULA(XLOOKUP(FILTER(INDIRECT(""'""&amp;DF$1&amp;""'!$C$4:$C$66""),INDIRECT(""'""&amp;DF$1&amp;""'!$D$4:$D$66"")=DF$2),$G$4:$BQ$4,$G36:$BQ36)))"),0.4)</f>
        <v>0.4</v>
      </c>
      <c r="DG36" s="207" t="str">
        <f>IFERROR(__xludf.DUMMYFUNCTION("IF(OR(DF36&gt;$BS36+$BT36*$BT$2,DF36&lt;$BS36-$BT36*$BT$2),AVEDEV(ARRAYFORMULA(XLOOKUP(FILTER(INDIRECT(""'""&amp;DF$1&amp;""'!$C$4:$C$66""),INDIRECT(""'""&amp;DF$1&amp;""'!$D$4:$D$66"")=DF$2),$G$4:$BQ$4,$G36:$BQ36))),"""")"),"")</f>
        <v/>
      </c>
      <c r="DH36" s="208" t="str">
        <f t="shared" si="19"/>
        <v/>
      </c>
      <c r="DI36" s="210">
        <f>IFERROR(__xludf.DUMMYFUNCTION("AVERAGE(ARRAYFORMULA(XLOOKUP(FILTER(INDIRECT(""'""&amp;DI$1&amp;""'!$C$4:$C$66""),INDIRECT(""'""&amp;DI$1&amp;""'!$D$4:$D$66"")=DI$2),$G$4:$BQ$4,$G36:$BQ36)))"),-0.8)</f>
        <v>-0.8</v>
      </c>
      <c r="DJ36" s="207">
        <f>IFERROR(__xludf.DUMMYFUNCTION("IF(OR(DI36&gt;$BS36+$BT36*$BT$2,DI36&lt;$BS36-$BT36*$BT$2),AVEDEV(ARRAYFORMULA(XLOOKUP(FILTER(INDIRECT(""'""&amp;DI$1&amp;""'!$C$4:$C$66""),INDIRECT(""'""&amp;DI$1&amp;""'!$D$4:$D$66"")=DI$2),$G$4:$BQ$4,$G36:$BQ36))),"""")"),0.0)</f>
        <v>0</v>
      </c>
      <c r="DK36" s="208">
        <f t="shared" si="20"/>
        <v>-0.3788359788</v>
      </c>
      <c r="DL36" s="210">
        <f>IFERROR(__xludf.DUMMYFUNCTION("AVERAGE(ARRAYFORMULA(XLOOKUP(FILTER(INDIRECT(""'""&amp;DL$1&amp;""'!$C$4:$C$66""),INDIRECT(""'""&amp;DL$1&amp;""'!$D$4:$D$66"")=DL$2),$G$4:$BQ$4,$G36:$BQ36)))"),0.05714285714285712)</f>
        <v>0.05714285714</v>
      </c>
      <c r="DM36" s="207" t="str">
        <f>IFERROR(__xludf.DUMMYFUNCTION("IF(OR(DL36&gt;$BS36+$BT36*$BT$2,DL36&lt;$BS36-$BT36*$BT$2),AVEDEV(ARRAYFORMULA(XLOOKUP(FILTER(INDIRECT(""'""&amp;DL$1&amp;""'!$C$4:$C$66""),INDIRECT(""'""&amp;DL$1&amp;""'!$D$4:$D$66"")=DL$2),$G$4:$BQ$4,$G36:$BQ36))),"""")"),"")</f>
        <v/>
      </c>
      <c r="DN36" s="208" t="str">
        <f t="shared" si="21"/>
        <v/>
      </c>
      <c r="DO36" s="209" t="s">
        <v>444</v>
      </c>
      <c r="DP36" s="210">
        <f>IFERROR(__xludf.DUMMYFUNCTION("AVERAGE(ARRAYFORMULA(XLOOKUP(FILTER(INDIRECT(""'""&amp;DP$1&amp;""'!$C$4:$C$66""),INDIRECT(""'""&amp;DP$1&amp;""'!$D$4:$D$66"")=DP$2),$G$4:$BQ$4,$G36:$BQ36)))"),0.06666666666666665)</f>
        <v>0.06666666667</v>
      </c>
      <c r="DQ36" s="207" t="str">
        <f>IFERROR(__xludf.DUMMYFUNCTION("IF(OR(DP36&gt;$BS36+$BT36*$BT$2,DP36&lt;$BS36-$BT36*$BT$2),AVEDEV(ARRAYFORMULA(XLOOKUP(FILTER(INDIRECT(""'""&amp;DP$1&amp;""'!$C$4:$C$66""),INDIRECT(""'""&amp;DP$1&amp;""'!$D$4:$D$66"")=DP$2),$G$4:$BQ$4,$G36:$BQ36))),"""")"),"")</f>
        <v/>
      </c>
      <c r="DR36" s="208" t="str">
        <f t="shared" si="22"/>
        <v/>
      </c>
      <c r="DS36" s="210">
        <f>IFERROR(__xludf.DUMMYFUNCTION("AVERAGE(ARRAYFORMULA(XLOOKUP(FILTER(INDIRECT(""'""&amp;DS$1&amp;""'!$C$4:$C$66""),INDIRECT(""'""&amp;DS$1&amp;""'!$D$4:$D$66"")=DS$2),$G$4:$BQ$4,$G36:$BQ36)))"),0.33333333333333337)</f>
        <v>0.3333333333</v>
      </c>
      <c r="DT36" s="207" t="str">
        <f>IFERROR(__xludf.DUMMYFUNCTION("IF(OR(DS36&gt;$BS36+$BT36*$BT$2,DS36&lt;$BS36-$BT36*$BT$2),AVEDEV(ARRAYFORMULA(XLOOKUP(FILTER(INDIRECT(""'""&amp;DS$1&amp;""'!$C$4:$C$66""),INDIRECT(""'""&amp;DS$1&amp;""'!$D$4:$D$66"")=DS$2),$G$4:$BQ$4,$G36:$BQ36))),"""")"),"")</f>
        <v/>
      </c>
      <c r="DU36" s="208" t="str">
        <f t="shared" si="23"/>
        <v/>
      </c>
      <c r="DV36" s="210">
        <f>IFERROR(__xludf.DUMMYFUNCTION("AVERAGE(ARRAYFORMULA(XLOOKUP(FILTER(INDIRECT(""'""&amp;DV$1&amp;""'!$C$4:$C$66""),INDIRECT(""'""&amp;DV$1&amp;""'!$D$4:$D$66"")=DV$2),$G$4:$BQ$4,$G36:$BQ36)))"),0.35)</f>
        <v>0.35</v>
      </c>
      <c r="DW36" s="207" t="str">
        <f>IFERROR(__xludf.DUMMYFUNCTION("IF(OR(DV36&gt;$BS36+$BT36*$BT$2,DV36&lt;$BS36-$BT36*$BT$2),AVEDEV(ARRAYFORMULA(XLOOKUP(FILTER(INDIRECT(""'""&amp;DV$1&amp;""'!$C$4:$C$66""),INDIRECT(""'""&amp;DV$1&amp;""'!$D$4:$D$66"")=DV$2),$G$4:$BQ$4,$G36:$BQ36))),"""")"),"")</f>
        <v/>
      </c>
      <c r="DX36" s="208" t="str">
        <f t="shared" si="24"/>
        <v/>
      </c>
      <c r="DY36" s="210">
        <f>IFERROR(__xludf.DUMMYFUNCTION("AVERAGE(ARRAYFORMULA(XLOOKUP(FILTER(INDIRECT(""'""&amp;DY$1&amp;""'!$C$4:$C$66""),INDIRECT(""'""&amp;DY$1&amp;""'!$D$4:$D$66"")=DY$2),$G$4:$BQ$4,$G36:$BQ36)))"),-0.11111111111111116)</f>
        <v>-0.1111111111</v>
      </c>
      <c r="DZ36" s="207" t="str">
        <f>IFERROR(__xludf.DUMMYFUNCTION("IF(OR(DY36&gt;$BS36+$BT36*$BT$2,DY36&lt;$BS36-$BT36*$BT$2),AVEDEV(ARRAYFORMULA(XLOOKUP(FILTER(INDIRECT(""'""&amp;DY$1&amp;""'!$C$4:$C$66""),INDIRECT(""'""&amp;DY$1&amp;""'!$D$4:$D$66"")=DY$2),$G$4:$BQ$4,$G36:$BQ36))),"""")"),"")</f>
        <v/>
      </c>
      <c r="EA36" s="208" t="str">
        <f t="shared" si="25"/>
        <v/>
      </c>
      <c r="EB36" s="191"/>
    </row>
    <row r="37" outlineLevel="1">
      <c r="A37" s="2"/>
      <c r="B37" s="204">
        <v>33.0</v>
      </c>
      <c r="C37" s="204" t="s">
        <v>442</v>
      </c>
      <c r="D37" s="204" t="s">
        <v>476</v>
      </c>
      <c r="E37" s="205" t="b">
        <f>VLOOKUP(D37,'Feature Set List'!A33:C246,2,0)</f>
        <v>1</v>
      </c>
      <c r="F37" s="205" t="b">
        <f>VLOOKUP(D37,'Feature Set List'!A33:C246,3,0)</f>
        <v>0</v>
      </c>
      <c r="G37" s="205">
        <v>0.62222222</v>
      </c>
      <c r="H37" s="205">
        <v>-0.7555556</v>
      </c>
      <c r="I37" s="205">
        <v>-1.2888889</v>
      </c>
      <c r="J37" s="205">
        <v>-0.8</v>
      </c>
      <c r="K37" s="205">
        <v>-0.0888889</v>
      </c>
      <c r="L37" s="205">
        <v>1.2</v>
      </c>
      <c r="M37" s="205">
        <v>-0.0888889</v>
      </c>
      <c r="N37" s="205">
        <v>0.0</v>
      </c>
      <c r="O37" s="205">
        <v>0.08888889</v>
      </c>
      <c r="P37" s="205">
        <v>0.75555556</v>
      </c>
      <c r="Q37" s="205">
        <v>0.31111111</v>
      </c>
      <c r="R37" s="205">
        <v>-1.0666667</v>
      </c>
      <c r="S37" s="205">
        <v>0.53333333</v>
      </c>
      <c r="T37" s="205">
        <v>0.31111111</v>
      </c>
      <c r="U37" s="205">
        <v>0.62222222</v>
      </c>
      <c r="V37" s="205">
        <v>-0.4888889</v>
      </c>
      <c r="W37" s="205">
        <v>-0.2222222</v>
      </c>
      <c r="X37" s="205">
        <v>0.0</v>
      </c>
      <c r="Y37" s="205">
        <v>0.66666667</v>
      </c>
      <c r="Z37" s="205">
        <v>-0.1333333</v>
      </c>
      <c r="AA37" s="205">
        <v>0.93333333</v>
      </c>
      <c r="AB37" s="205">
        <v>0.93333333</v>
      </c>
      <c r="AC37" s="205">
        <v>0.22222222</v>
      </c>
      <c r="AD37" s="205">
        <v>0.53333333</v>
      </c>
      <c r="AE37" s="205">
        <v>0.31111111</v>
      </c>
      <c r="AF37" s="205">
        <v>0.8</v>
      </c>
      <c r="AG37" s="205">
        <v>-0.4444444</v>
      </c>
      <c r="AH37" s="205">
        <v>0.93333333</v>
      </c>
      <c r="AI37" s="205">
        <v>1.11111111</v>
      </c>
      <c r="AJ37" s="205">
        <v>0.17777778</v>
      </c>
      <c r="AK37" s="205">
        <v>-0.0888889</v>
      </c>
      <c r="AL37" s="205">
        <v>-0.9777778</v>
      </c>
      <c r="AM37" s="205">
        <v>-0.8444444</v>
      </c>
      <c r="AN37" s="205">
        <v>1.15555556</v>
      </c>
      <c r="AO37" s="205">
        <v>-0.9333333</v>
      </c>
      <c r="AP37" s="205">
        <v>-0.4</v>
      </c>
      <c r="AQ37" s="205">
        <v>-0.1333333</v>
      </c>
      <c r="AR37" s="205">
        <v>-0.5333333</v>
      </c>
      <c r="AS37" s="205">
        <v>-0.7111111</v>
      </c>
      <c r="AT37" s="205">
        <v>0.71111111</v>
      </c>
      <c r="AU37" s="205">
        <v>-0.4444444</v>
      </c>
      <c r="AV37" s="205">
        <v>0.31111111</v>
      </c>
      <c r="AW37" s="205">
        <v>-0.3111111</v>
      </c>
      <c r="AX37" s="205">
        <v>0.0</v>
      </c>
      <c r="AY37" s="205">
        <v>1.15555556</v>
      </c>
      <c r="AZ37" s="205">
        <v>0.0</v>
      </c>
      <c r="BA37" s="205">
        <v>-0.2666667</v>
      </c>
      <c r="BB37" s="205">
        <v>0.08888889</v>
      </c>
      <c r="BC37" s="205">
        <v>-0.3555556</v>
      </c>
      <c r="BD37" s="205">
        <v>0.8</v>
      </c>
      <c r="BE37" s="205">
        <v>0.75555556</v>
      </c>
      <c r="BF37" s="205">
        <v>0.71111111</v>
      </c>
      <c r="BG37" s="205">
        <v>-0.6666667</v>
      </c>
      <c r="BH37" s="205">
        <v>0.53333333</v>
      </c>
      <c r="BI37" s="205">
        <v>-0.8444444</v>
      </c>
      <c r="BJ37" s="205">
        <v>-0.2222222</v>
      </c>
      <c r="BK37" s="205">
        <v>-0.4</v>
      </c>
      <c r="BL37" s="205">
        <v>0.08888889</v>
      </c>
      <c r="BM37" s="205">
        <v>-0.4</v>
      </c>
      <c r="BN37" s="205">
        <v>-0.1333333</v>
      </c>
      <c r="BO37" s="205">
        <v>-0.4444444</v>
      </c>
      <c r="BP37" s="205">
        <v>0.08888889</v>
      </c>
      <c r="BQ37" s="205">
        <v>0.57777778</v>
      </c>
      <c r="BR37" s="206"/>
      <c r="BS37" s="207">
        <f t="shared" si="6"/>
        <v>0.0564373927</v>
      </c>
      <c r="BT37" s="207">
        <f t="shared" si="7"/>
        <v>0.5190896082</v>
      </c>
      <c r="BU37" s="206"/>
      <c r="BV37" s="207">
        <f>IFERROR(__xludf.DUMMYFUNCTION("AVERAGE(ARRAYFORMULA(XLOOKUP(FILTER(INDIRECT(""'""&amp;BV$1&amp;""'!$C$4:$C$66""),INDIRECT(""'""&amp;BV$1&amp;""'!$D$4:$D$66"")=BV$2),$G$4:$BQ$4,$G37:$BQ37)))"),0.25396826)</f>
        <v>0.25396826</v>
      </c>
      <c r="BW37" s="207" t="str">
        <f>IFERROR(__xludf.DUMMYFUNCTION("IF(OR(BV37&gt;$BS37+$BT37*$BT$2,BV37&lt;$BS37-$BT37*$BT$2),AVEDEV(ARRAYFORMULA(XLOOKUP(FILTER(INDIRECT(""'""&amp;BV$1&amp;""'!$C$4:$C$66""),INDIRECT(""'""&amp;BV$1&amp;""'!$D$4:$D$66"")=BV$2),$G$4:$BQ$4,$G37:$BQ37))),"""")"),"")</f>
        <v/>
      </c>
      <c r="BX37" s="208" t="str">
        <f t="shared" si="8"/>
        <v/>
      </c>
      <c r="BY37" s="207">
        <f>IFERROR(__xludf.DUMMYFUNCTION("AVERAGE(ARRAYFORMULA(XLOOKUP(FILTER(INDIRECT(""'""&amp;BY$1&amp;""'!$C$4:$C$66""),INDIRECT(""'""&amp;BY$1&amp;""'!$D$4:$D$66"")=BY$2),$G$4:$BQ$4,$G37:$BQ37)))"),-0.01587301285714286)</f>
        <v>-0.01587301286</v>
      </c>
      <c r="BZ37" s="207" t="str">
        <f>IFERROR(__xludf.DUMMYFUNCTION("IF(OR(BY37&gt;$BS37+$BT37*$BT$2,BY37&lt;$BS37-$BT37*$BT$2),AVEDEV(ARRAYFORMULA(XLOOKUP(FILTER(INDIRECT(""'""&amp;BY$1&amp;""'!$C$4:$C$66""),INDIRECT(""'""&amp;BY$1&amp;""'!$D$4:$D$66"")=BY$2),$G$4:$BQ$4,$G37:$BQ37))),"""")"),"")</f>
        <v/>
      </c>
      <c r="CA37" s="208" t="str">
        <f t="shared" si="9"/>
        <v/>
      </c>
      <c r="CB37" s="207">
        <f>IFERROR(__xludf.DUMMYFUNCTION("AVERAGE(ARRAYFORMULA(XLOOKUP(FILTER(INDIRECT(""'""&amp;CB$1&amp;""'!$C$4:$C$66""),INDIRECT(""'""&amp;CB$1&amp;""'!$D$4:$D$66"")=CB$2),$G$4:$BQ$4,$G37:$BQ37)))"),0.30707070545454546)</f>
        <v>0.3070707055</v>
      </c>
      <c r="CC37" s="207" t="str">
        <f>IFERROR(__xludf.DUMMYFUNCTION("IF(OR(CB37&gt;$BS37+$BT37*$BT$2,CB37&lt;$BS37-$BT37*$BT$2),AVEDEV(ARRAYFORMULA(XLOOKUP(FILTER(INDIRECT(""'""&amp;CB$1&amp;""'!$C$4:$C$66""),INDIRECT(""'""&amp;CB$1&amp;""'!$D$4:$D$66"")=CB$2),$G$4:$BQ$4,$G37:$BQ37))),"""")"),"")</f>
        <v/>
      </c>
      <c r="CD37" s="208" t="str">
        <f t="shared" si="10"/>
        <v/>
      </c>
      <c r="CE37" s="209" t="s">
        <v>444</v>
      </c>
      <c r="CF37" s="207">
        <f>IFERROR(__xludf.DUMMYFUNCTION("AVERAGE(ARRAYFORMULA(XLOOKUP(FILTER(INDIRECT(""'""&amp;CF$1&amp;""'!$C$4:$C$66""),INDIRECT(""'""&amp;CF$1&amp;""'!$D$4:$D$66"")=CF$2),$G$4:$BQ$4,$G37:$BQ37)))"),0.002777778125000005)</f>
        <v>0.002777778125</v>
      </c>
      <c r="CG37" s="207" t="str">
        <f>IFERROR(__xludf.DUMMYFUNCTION("IF(OR(CF37&gt;$BS37+$BT37*$BT$2,CF37&lt;$BS37-$BT37*$BT$2),AVEDEV(ARRAYFORMULA(XLOOKUP(FILTER(INDIRECT(""'""&amp;CF$1&amp;""'!$C$4:$C$66""),INDIRECT(""'""&amp;CF$1&amp;""'!$D$4:$D$66"")=CF$2),$G$4:$BQ$4,$G37:$BQ37))),"""")"),"")</f>
        <v/>
      </c>
      <c r="CH37" s="208" t="str">
        <f t="shared" si="11"/>
        <v/>
      </c>
      <c r="CI37" s="207">
        <f>IFERROR(__xludf.DUMMYFUNCTION("AVERAGE(ARRAYFORMULA(XLOOKUP(FILTER(INDIRECT(""'""&amp;CI$1&amp;""'!$C$4:$C$66""),INDIRECT(""'""&amp;CI$1&amp;""'!$D$4:$D$66"")=CI$2),$G$4:$BQ$4,$G37:$BQ37)))"),0.21362007451612897)</f>
        <v>0.2136200745</v>
      </c>
      <c r="CJ37" s="207" t="str">
        <f>IFERROR(__xludf.DUMMYFUNCTION("IF(OR(CI37&gt;$BS37+$BT37*$BT$2,CI37&lt;$BS37-$BT37*$BT$2),AVEDEV(ARRAYFORMULA(XLOOKUP(FILTER(INDIRECT(""'""&amp;CI$1&amp;""'!$C$4:$C$66""),INDIRECT(""'""&amp;CI$1&amp;""'!$D$4:$D$66"")=CI$2),$G$4:$BQ$4,$G37:$BQ37))),"""")"),"")</f>
        <v/>
      </c>
      <c r="CK37" s="208" t="str">
        <f t="shared" si="12"/>
        <v/>
      </c>
      <c r="CL37" s="207">
        <f>IFERROR(__xludf.DUMMYFUNCTION("AVERAGE(ARRAYFORMULA(XLOOKUP(FILTER(INDIRECT(""'""&amp;CL$1&amp;""'!$C$4:$C$66""),INDIRECT(""'""&amp;CL$1&amp;""'!$D$4:$D$66"")=CL$2),$G$4:$BQ$4,$G37:$BQ37)))"),-0.11555556599999997)</f>
        <v>-0.115555566</v>
      </c>
      <c r="CM37" s="207" t="str">
        <f>IFERROR(__xludf.DUMMYFUNCTION("IF(OR(CL37&gt;$BS37+$BT37*$BT$2,CL37&lt;$BS37-$BT37*$BT$2),AVEDEV(ARRAYFORMULA(XLOOKUP(FILTER(INDIRECT(""'""&amp;CL$1&amp;""'!$C$4:$C$66""),INDIRECT(""'""&amp;CL$1&amp;""'!$D$4:$D$66"")=CL$2),$G$4:$BQ$4,$G37:$BQ37))),"""")"),"")</f>
        <v/>
      </c>
      <c r="CN37" s="208" t="str">
        <f t="shared" si="13"/>
        <v/>
      </c>
      <c r="CO37" s="209" t="s">
        <v>444</v>
      </c>
      <c r="CP37" s="210">
        <f>IFERROR(__xludf.DUMMYFUNCTION("AVERAGE(ARRAYFORMULA(XLOOKUP(FILTER(INDIRECT(""'""&amp;CP$1&amp;""'!$C$4:$C$66""),INDIRECT(""'""&amp;CP$1&amp;""'!$D$4:$D$66"")=CP$2),$G$4:$BQ$4,$G37:$BQ37)))"),0.3970370393333333)</f>
        <v>0.3970370393</v>
      </c>
      <c r="CQ37" s="207" t="str">
        <f>IFERROR(__xludf.DUMMYFUNCTION("IF(OR(CP37&gt;$BS37+$BT37*$BT$2,CP37&lt;$BS37-$BT37*$BT$2),AVEDEV(ARRAYFORMULA(XLOOKUP(FILTER(INDIRECT(""'""&amp;CP$1&amp;""'!$C$4:$C$66""),INDIRECT(""'""&amp;CP$1&amp;""'!$D$4:$D$66"")=CP$2),$G$4:$BQ$4,$G37:$BQ37))),"""")"),"")</f>
        <v/>
      </c>
      <c r="CR37" s="208" t="str">
        <f t="shared" si="14"/>
        <v/>
      </c>
      <c r="CS37" s="210">
        <f>IFERROR(__xludf.DUMMYFUNCTION("AVERAGE(ARRAYFORMULA(XLOOKUP(FILTER(INDIRECT(""'""&amp;CS$1&amp;""'!$C$4:$C$66""),INDIRECT(""'""&amp;CS$1&amp;""'!$D$4:$D$66"")=CS$2),$G$4:$BQ$4,$G37:$BQ37)))"),-0.025071220769230768)</f>
        <v>-0.02507122077</v>
      </c>
      <c r="CT37" s="207" t="str">
        <f>IFERROR(__xludf.DUMMYFUNCTION("IF(OR(CS37&gt;$BS37+$BT37*$BT$2,CS37&lt;$BS37-$BT37*$BT$2),AVEDEV(ARRAYFORMULA(XLOOKUP(FILTER(INDIRECT(""'""&amp;CS$1&amp;""'!$C$4:$C$66""),INDIRECT(""'""&amp;CS$1&amp;""'!$D$4:$D$66"")=CS$2),$G$4:$BQ$4,$G37:$BQ37))),"""")"),"")</f>
        <v/>
      </c>
      <c r="CU37" s="208" t="str">
        <f t="shared" si="15"/>
        <v/>
      </c>
      <c r="CV37" s="210">
        <f>IFERROR(__xludf.DUMMYFUNCTION("AVERAGE(ARRAYFORMULA(XLOOKUP(FILTER(INDIRECT(""'""&amp;CV$1&amp;""'!$C$4:$C$66""),INDIRECT(""'""&amp;CV$1&amp;""'!$D$4:$D$66"")=CV$2),$G$4:$BQ$4,$G37:$BQ37)))"),-0.11555556599999997)</f>
        <v>-0.115555566</v>
      </c>
      <c r="CW37" s="207" t="str">
        <f>IFERROR(__xludf.DUMMYFUNCTION("IF(OR(CV37&gt;$BS37+$BT37*$BT$2,CV37&lt;$BS37-$BT37*$BT$2),AVEDEV(ARRAYFORMULA(XLOOKUP(FILTER(INDIRECT(""'""&amp;CV$1&amp;""'!$C$4:$C$66""),INDIRECT(""'""&amp;CV$1&amp;""'!$D$4:$D$66"")=CV$2),$G$4:$BQ$4,$G37:$BQ37))),"""")"),"")</f>
        <v/>
      </c>
      <c r="CX37" s="208" t="str">
        <f t="shared" si="16"/>
        <v/>
      </c>
      <c r="CY37" s="209" t="s">
        <v>444</v>
      </c>
      <c r="CZ37" s="210">
        <f>IFERROR(__xludf.DUMMYFUNCTION("AVERAGE(ARRAYFORMULA(XLOOKUP(FILTER(INDIRECT(""'""&amp;CZ$1&amp;""'!$C$4:$C$66""),INDIRECT(""'""&amp;CZ$1&amp;""'!$D$4:$D$66"")=CZ$2),$G$4:$BQ$4,$G37:$BQ37)))"),-0.19047619071428573)</f>
        <v>-0.1904761907</v>
      </c>
      <c r="DA37" s="207" t="str">
        <f>IFERROR(__xludf.DUMMYFUNCTION("IF(OR(CZ37&gt;$BS37+$BT37*$BT$2,CZ37&lt;$BS37-$BT37*$BT$2),AVEDEV(ARRAYFORMULA(XLOOKUP(FILTER(INDIRECT(""'""&amp;CZ$1&amp;""'!$C$4:$C$66""),INDIRECT(""'""&amp;CZ$1&amp;""'!$D$4:$D$66"")=CZ$2),$G$4:$BQ$4,$G37:$BQ37))),"""")"),"")</f>
        <v/>
      </c>
      <c r="DB37" s="208" t="str">
        <f t="shared" si="17"/>
        <v/>
      </c>
      <c r="DC37" s="210">
        <f>IFERROR(__xludf.DUMMYFUNCTION("AVERAGE(ARRAYFORMULA(XLOOKUP(FILTER(INDIRECT(""'""&amp;DC$1&amp;""'!$C$4:$C$66""),INDIRECT(""'""&amp;DC$1&amp;""'!$D$4:$D$66"")=DC$2),$G$4:$BQ$4,$G37:$BQ37)))"),0.4197530844444445)</f>
        <v>0.4197530844</v>
      </c>
      <c r="DD37" s="207" t="str">
        <f>IFERROR(__xludf.DUMMYFUNCTION("IF(OR(DC37&gt;$BS37+$BT37*$BT$2,DC37&lt;$BS37-$BT37*$BT$2),AVEDEV(ARRAYFORMULA(XLOOKUP(FILTER(INDIRECT(""'""&amp;DC$1&amp;""'!$C$4:$C$66""),INDIRECT(""'""&amp;DC$1&amp;""'!$D$4:$D$66"")=DC$2),$G$4:$BQ$4,$G37:$BQ37))),"""")"),"")</f>
        <v/>
      </c>
      <c r="DE37" s="208" t="str">
        <f t="shared" si="18"/>
        <v/>
      </c>
      <c r="DF37" s="210">
        <f>IFERROR(__xludf.DUMMYFUNCTION("AVERAGE(ARRAYFORMULA(XLOOKUP(FILTER(INDIRECT(""'""&amp;DF$1&amp;""'!$C$4:$C$66""),INDIRECT(""'""&amp;DF$1&amp;""'!$D$4:$D$66"")=DF$2),$G$4:$BQ$4,$G37:$BQ37)))"),0.2383838418181818)</f>
        <v>0.2383838418</v>
      </c>
      <c r="DG37" s="207" t="str">
        <f>IFERROR(__xludf.DUMMYFUNCTION("IF(OR(DF37&gt;$BS37+$BT37*$BT$2,DF37&lt;$BS37-$BT37*$BT$2),AVEDEV(ARRAYFORMULA(XLOOKUP(FILTER(INDIRECT(""'""&amp;DF$1&amp;""'!$C$4:$C$66""),INDIRECT(""'""&amp;DF$1&amp;""'!$D$4:$D$66"")=DF$2),$G$4:$BQ$4,$G37:$BQ37))),"""")"),"")</f>
        <v/>
      </c>
      <c r="DH37" s="208" t="str">
        <f t="shared" si="19"/>
        <v/>
      </c>
      <c r="DI37" s="210">
        <f>IFERROR(__xludf.DUMMYFUNCTION("AVERAGE(ARRAYFORMULA(XLOOKUP(FILTER(INDIRECT(""'""&amp;DI$1&amp;""'!$C$4:$C$66""),INDIRECT(""'""&amp;DI$1&amp;""'!$D$4:$D$66"")=DI$2),$G$4:$BQ$4,$G37:$BQ37)))"),0.53333333)</f>
        <v>0.53333333</v>
      </c>
      <c r="DJ37" s="207" t="str">
        <f>IFERROR(__xludf.DUMMYFUNCTION("IF(OR(DI37&gt;$BS37+$BT37*$BT$2,DI37&lt;$BS37-$BT37*$BT$2),AVEDEV(ARRAYFORMULA(XLOOKUP(FILTER(INDIRECT(""'""&amp;DI$1&amp;""'!$C$4:$C$66""),INDIRECT(""'""&amp;DI$1&amp;""'!$D$4:$D$66"")=DI$2),$G$4:$BQ$4,$G37:$BQ37))),"""")"),"")</f>
        <v/>
      </c>
      <c r="DK37" s="208" t="str">
        <f t="shared" si="20"/>
        <v/>
      </c>
      <c r="DL37" s="210">
        <f>IFERROR(__xludf.DUMMYFUNCTION("AVERAGE(ARRAYFORMULA(XLOOKUP(FILTER(INDIRECT(""'""&amp;DL$1&amp;""'!$C$4:$C$66""),INDIRECT(""'""&amp;DL$1&amp;""'!$D$4:$D$66"")=DL$2),$G$4:$BQ$4,$G37:$BQ37)))"),-0.06349205642857143)</f>
        <v>-0.06349205643</v>
      </c>
      <c r="DM37" s="207" t="str">
        <f>IFERROR(__xludf.DUMMYFUNCTION("IF(OR(DL37&gt;$BS37+$BT37*$BT$2,DL37&lt;$BS37-$BT37*$BT$2),AVEDEV(ARRAYFORMULA(XLOOKUP(FILTER(INDIRECT(""'""&amp;DL$1&amp;""'!$C$4:$C$66""),INDIRECT(""'""&amp;DL$1&amp;""'!$D$4:$D$66"")=DL$2),$G$4:$BQ$4,$G37:$BQ37))),"""")"),"")</f>
        <v/>
      </c>
      <c r="DN37" s="208" t="str">
        <f t="shared" si="21"/>
        <v/>
      </c>
      <c r="DO37" s="209" t="s">
        <v>444</v>
      </c>
      <c r="DP37" s="210">
        <f>IFERROR(__xludf.DUMMYFUNCTION("AVERAGE(ARRAYFORMULA(XLOOKUP(FILTER(INDIRECT(""'""&amp;DP$1&amp;""'!$C$4:$C$66""),INDIRECT(""'""&amp;DP$1&amp;""'!$D$4:$D$66"")=DP$2),$G$4:$BQ$4,$G37:$BQ37)))"),0.037037037)</f>
        <v>0.037037037</v>
      </c>
      <c r="DQ37" s="207" t="str">
        <f>IFERROR(__xludf.DUMMYFUNCTION("IF(OR(DP37&gt;$BS37+$BT37*$BT$2,DP37&lt;$BS37-$BT37*$BT$2),AVEDEV(ARRAYFORMULA(XLOOKUP(FILTER(INDIRECT(""'""&amp;DP$1&amp;""'!$C$4:$C$66""),INDIRECT(""'""&amp;DP$1&amp;""'!$D$4:$D$66"")=DP$2),$G$4:$BQ$4,$G37:$BQ37))),"""")"),"")</f>
        <v/>
      </c>
      <c r="DR37" s="208" t="str">
        <f t="shared" si="22"/>
        <v/>
      </c>
      <c r="DS37" s="210">
        <f>IFERROR(__xludf.DUMMYFUNCTION("AVERAGE(ARRAYFORMULA(XLOOKUP(FILTER(INDIRECT(""'""&amp;DS$1&amp;""'!$C$4:$C$66""),INDIRECT(""'""&amp;DS$1&amp;""'!$D$4:$D$66"")=DS$2),$G$4:$BQ$4,$G37:$BQ37)))"),0.24691357777777778)</f>
        <v>0.2469135778</v>
      </c>
      <c r="DT37" s="207" t="str">
        <f>IFERROR(__xludf.DUMMYFUNCTION("IF(OR(DS37&gt;$BS37+$BT37*$BT$2,DS37&lt;$BS37-$BT37*$BT$2),AVEDEV(ARRAYFORMULA(XLOOKUP(FILTER(INDIRECT(""'""&amp;DS$1&amp;""'!$C$4:$C$66""),INDIRECT(""'""&amp;DS$1&amp;""'!$D$4:$D$66"")=DS$2),$G$4:$BQ$4,$G37:$BQ37))),"""")"),"")</f>
        <v/>
      </c>
      <c r="DU37" s="208" t="str">
        <f t="shared" si="23"/>
        <v/>
      </c>
      <c r="DV37" s="210">
        <f>IFERROR(__xludf.DUMMYFUNCTION("AVERAGE(ARRAYFORMULA(XLOOKUP(FILTER(INDIRECT(""'""&amp;DV$1&amp;""'!$C$4:$C$66""),INDIRECT(""'""&amp;DV$1&amp;""'!$D$4:$D$66"")=DV$2),$G$4:$BQ$4,$G37:$BQ37)))"),0.30555555125)</f>
        <v>0.3055555513</v>
      </c>
      <c r="DW37" s="207" t="str">
        <f>IFERROR(__xludf.DUMMYFUNCTION("IF(OR(DV37&gt;$BS37+$BT37*$BT$2,DV37&lt;$BS37-$BT37*$BT$2),AVEDEV(ARRAYFORMULA(XLOOKUP(FILTER(INDIRECT(""'""&amp;DV$1&amp;""'!$C$4:$C$66""),INDIRECT(""'""&amp;DV$1&amp;""'!$D$4:$D$66"")=DV$2),$G$4:$BQ$4,$G37:$BQ37))),"""")"),"")</f>
        <v/>
      </c>
      <c r="DX37" s="208" t="str">
        <f t="shared" si="24"/>
        <v/>
      </c>
      <c r="DY37" s="210">
        <f>IFERROR(__xludf.DUMMYFUNCTION("AVERAGE(ARRAYFORMULA(XLOOKUP(FILTER(INDIRECT(""'""&amp;DY$1&amp;""'!$C$4:$C$66""),INDIRECT(""'""&amp;DY$1&amp;""'!$D$4:$D$66"")=DY$2),$G$4:$BQ$4,$G37:$BQ37)))"),0.009876558888888923)</f>
        <v>0.009876558889</v>
      </c>
      <c r="DZ37" s="207" t="str">
        <f>IFERROR(__xludf.DUMMYFUNCTION("IF(OR(DY37&gt;$BS37+$BT37*$BT$2,DY37&lt;$BS37-$BT37*$BT$2),AVEDEV(ARRAYFORMULA(XLOOKUP(FILTER(INDIRECT(""'""&amp;DY$1&amp;""'!$C$4:$C$66""),INDIRECT(""'""&amp;DY$1&amp;""'!$D$4:$D$66"")=DY$2),$G$4:$BQ$4,$G37:$BQ37))),"""")"),"")</f>
        <v/>
      </c>
      <c r="EA37" s="208" t="str">
        <f t="shared" si="25"/>
        <v/>
      </c>
      <c r="EB37" s="191"/>
    </row>
    <row r="38" outlineLevel="1">
      <c r="A38" s="2"/>
      <c r="B38" s="204">
        <v>34.0</v>
      </c>
      <c r="C38" s="204" t="s">
        <v>442</v>
      </c>
      <c r="D38" s="204" t="s">
        <v>477</v>
      </c>
      <c r="E38" s="205" t="b">
        <f>VLOOKUP(D38,'Feature Set List'!A34:C246,2,0)</f>
        <v>1</v>
      </c>
      <c r="F38" s="205" t="b">
        <f>VLOOKUP(D38,'Feature Set List'!A34:C246,3,0)</f>
        <v>0</v>
      </c>
      <c r="G38" s="205">
        <v>-0.2222222</v>
      </c>
      <c r="H38" s="205">
        <v>0.88888889</v>
      </c>
      <c r="I38" s="205">
        <v>0.88888889</v>
      </c>
      <c r="J38" s="205">
        <v>0.66666667</v>
      </c>
      <c r="K38" s="205">
        <v>-1.1111111</v>
      </c>
      <c r="L38" s="205">
        <v>0.0</v>
      </c>
      <c r="M38" s="205">
        <v>-1.1111111</v>
      </c>
      <c r="N38" s="205">
        <v>-0.6666667</v>
      </c>
      <c r="O38" s="205">
        <v>-0.2222222</v>
      </c>
      <c r="P38" s="205">
        <v>0.44444444</v>
      </c>
      <c r="Q38" s="205">
        <v>0.88888889</v>
      </c>
      <c r="R38" s="205">
        <v>-0.6666667</v>
      </c>
      <c r="S38" s="205">
        <v>-0.6666667</v>
      </c>
      <c r="T38" s="205">
        <v>0.88888889</v>
      </c>
      <c r="U38" s="205">
        <v>-0.2222222</v>
      </c>
      <c r="V38" s="205">
        <v>-0.4444444</v>
      </c>
      <c r="W38" s="205">
        <v>0.88888889</v>
      </c>
      <c r="X38" s="205">
        <v>-0.6666667</v>
      </c>
      <c r="Y38" s="205">
        <v>0.0</v>
      </c>
      <c r="Z38" s="205">
        <v>1.33333333</v>
      </c>
      <c r="AA38" s="205">
        <v>1.33333333</v>
      </c>
      <c r="AB38" s="205">
        <v>1.33333333</v>
      </c>
      <c r="AC38" s="205">
        <v>0.44444444</v>
      </c>
      <c r="AD38" s="205">
        <v>-0.6666667</v>
      </c>
      <c r="AE38" s="205">
        <v>0.88888889</v>
      </c>
      <c r="AF38" s="205">
        <v>0.66666667</v>
      </c>
      <c r="AG38" s="205">
        <v>-0.2222222</v>
      </c>
      <c r="AH38" s="205">
        <v>1.33333333</v>
      </c>
      <c r="AI38" s="205">
        <v>-0.4444444</v>
      </c>
      <c r="AJ38" s="205">
        <v>0.22222222</v>
      </c>
      <c r="AK38" s="205">
        <v>-1.1111111</v>
      </c>
      <c r="AL38" s="205">
        <v>-0.2222222</v>
      </c>
      <c r="AM38" s="205">
        <v>0.44444444</v>
      </c>
      <c r="AN38" s="205">
        <v>-0.2222222</v>
      </c>
      <c r="AO38" s="205">
        <v>0.0</v>
      </c>
      <c r="AP38" s="205">
        <v>0.0</v>
      </c>
      <c r="AQ38" s="205">
        <v>1.33333333</v>
      </c>
      <c r="AR38" s="205">
        <v>-0.6666667</v>
      </c>
      <c r="AS38" s="205">
        <v>1.11111111</v>
      </c>
      <c r="AT38" s="205">
        <v>0.22222222</v>
      </c>
      <c r="AU38" s="205">
        <v>-0.2222222</v>
      </c>
      <c r="AV38" s="205">
        <v>0.88888889</v>
      </c>
      <c r="AW38" s="205">
        <v>0.44444444</v>
      </c>
      <c r="AX38" s="205">
        <v>-0.6666667</v>
      </c>
      <c r="AY38" s="205">
        <v>-0.2222222</v>
      </c>
      <c r="AZ38" s="205">
        <v>-0.6666667</v>
      </c>
      <c r="BA38" s="205">
        <v>0.66666667</v>
      </c>
      <c r="BB38" s="205">
        <v>-0.2222222</v>
      </c>
      <c r="BC38" s="205">
        <v>0.22222222</v>
      </c>
      <c r="BD38" s="205">
        <v>0.66666667</v>
      </c>
      <c r="BE38" s="205">
        <v>0.44444444</v>
      </c>
      <c r="BF38" s="205">
        <v>0.22222222</v>
      </c>
      <c r="BG38" s="205">
        <v>1.33333333</v>
      </c>
      <c r="BH38" s="205">
        <v>-0.6666667</v>
      </c>
      <c r="BI38" s="205">
        <v>0.44444444</v>
      </c>
      <c r="BJ38" s="205">
        <v>0.88888889</v>
      </c>
      <c r="BK38" s="205">
        <v>0.0</v>
      </c>
      <c r="BL38" s="205">
        <v>-0.2222222</v>
      </c>
      <c r="BM38" s="205">
        <v>0.0</v>
      </c>
      <c r="BN38" s="205">
        <v>1.33333333</v>
      </c>
      <c r="BO38" s="205">
        <v>-0.2222222</v>
      </c>
      <c r="BP38" s="205">
        <v>-0.2222222</v>
      </c>
      <c r="BQ38" s="205">
        <v>-0.4444444</v>
      </c>
      <c r="BR38" s="206"/>
      <c r="BS38" s="207">
        <f t="shared" si="6"/>
        <v>0.165784834</v>
      </c>
      <c r="BT38" s="207">
        <f t="shared" si="7"/>
        <v>0.5969597689</v>
      </c>
      <c r="BU38" s="206"/>
      <c r="BV38" s="207">
        <f>IFERROR(__xludf.DUMMYFUNCTION("AVERAGE(ARRAYFORMULA(XLOOKUP(FILTER(INDIRECT(""'""&amp;BV$1&amp;""'!$C$4:$C$66""),INDIRECT(""'""&amp;BV$1&amp;""'!$D$4:$D$66"")=BV$2),$G$4:$BQ$4,$G38:$BQ38)))"),-0.15873015142857144)</f>
        <v>-0.1587301514</v>
      </c>
      <c r="BW38" s="207" t="str">
        <f>IFERROR(__xludf.DUMMYFUNCTION("IF(OR(BV38&gt;$BS38+$BT38*$BT$2,BV38&lt;$BS38-$BT38*$BT$2),AVEDEV(ARRAYFORMULA(XLOOKUP(FILTER(INDIRECT(""'""&amp;BV$1&amp;""'!$C$4:$C$66""),INDIRECT(""'""&amp;BV$1&amp;""'!$D$4:$D$66"")=BV$2),$G$4:$BQ$4,$G38:$BQ38))),"""")"),"")</f>
        <v/>
      </c>
      <c r="BX38" s="208" t="str">
        <f t="shared" si="8"/>
        <v/>
      </c>
      <c r="BY38" s="207">
        <f>IFERROR(__xludf.DUMMYFUNCTION("AVERAGE(ARRAYFORMULA(XLOOKUP(FILTER(INDIRECT(""'""&amp;BY$1&amp;""'!$C$4:$C$66""),INDIRECT(""'""&amp;BY$1&amp;""'!$D$4:$D$66"")=BY$2),$G$4:$BQ$4,$G38:$BQ38)))"),0.20634920666666673)</f>
        <v>0.2063492067</v>
      </c>
      <c r="BZ38" s="207" t="str">
        <f>IFERROR(__xludf.DUMMYFUNCTION("IF(OR(BY38&gt;$BS38+$BT38*$BT$2,BY38&lt;$BS38-$BT38*$BT$2),AVEDEV(ARRAYFORMULA(XLOOKUP(FILTER(INDIRECT(""'""&amp;BY$1&amp;""'!$C$4:$C$66""),INDIRECT(""'""&amp;BY$1&amp;""'!$D$4:$D$66"")=BY$2),$G$4:$BQ$4,$G38:$BQ38))),"""")"),"")</f>
        <v/>
      </c>
      <c r="CA38" s="208" t="str">
        <f t="shared" si="9"/>
        <v/>
      </c>
      <c r="CB38" s="207">
        <f>IFERROR(__xludf.DUMMYFUNCTION("AVERAGE(ARRAYFORMULA(XLOOKUP(FILTER(INDIRECT(""'""&amp;CB$1&amp;""'!$C$4:$C$66""),INDIRECT(""'""&amp;CB$1&amp;""'!$D$4:$D$66"")=CB$2),$G$4:$BQ$4,$G38:$BQ38)))"),0.14141414181818182)</f>
        <v>0.1414141418</v>
      </c>
      <c r="CC38" s="207" t="str">
        <f>IFERROR(__xludf.DUMMYFUNCTION("IF(OR(CB38&gt;$BS38+$BT38*$BT$2,CB38&lt;$BS38-$BT38*$BT$2),AVEDEV(ARRAYFORMULA(XLOOKUP(FILTER(INDIRECT(""'""&amp;CB$1&amp;""'!$C$4:$C$66""),INDIRECT(""'""&amp;CB$1&amp;""'!$D$4:$D$66"")=CB$2),$G$4:$BQ$4,$G38:$BQ38))),"""")"),"")</f>
        <v/>
      </c>
      <c r="CD38" s="208" t="str">
        <f t="shared" si="10"/>
        <v/>
      </c>
      <c r="CE38" s="209" t="s">
        <v>444</v>
      </c>
      <c r="CF38" s="207">
        <f>IFERROR(__xludf.DUMMYFUNCTION("AVERAGE(ARRAYFORMULA(XLOOKUP(FILTER(INDIRECT(""'""&amp;CF$1&amp;""'!$C$4:$C$66""),INDIRECT(""'""&amp;CF$1&amp;""'!$D$4:$D$66"")=CF$2),$G$4:$BQ$4,$G38:$BQ38)))"),0.01388889750000002)</f>
        <v>0.0138888975</v>
      </c>
      <c r="CG38" s="207" t="str">
        <f>IFERROR(__xludf.DUMMYFUNCTION("IF(OR(CF38&gt;$BS38+$BT38*$BT$2,CF38&lt;$BS38-$BT38*$BT$2),AVEDEV(ARRAYFORMULA(XLOOKUP(FILTER(INDIRECT(""'""&amp;CF$1&amp;""'!$C$4:$C$66""),INDIRECT(""'""&amp;CF$1&amp;""'!$D$4:$D$66"")=CF$2),$G$4:$BQ$4,$G38:$BQ38))),"""")"),"")</f>
        <v/>
      </c>
      <c r="CH38" s="208" t="str">
        <f t="shared" si="11"/>
        <v/>
      </c>
      <c r="CI38" s="207">
        <f>IFERROR(__xludf.DUMMYFUNCTION("AVERAGE(ARRAYFORMULA(XLOOKUP(FILTER(INDIRECT(""'""&amp;CI$1&amp;""'!$C$4:$C$66""),INDIRECT(""'""&amp;CI$1&amp;""'!$D$4:$D$66"")=CI$2),$G$4:$BQ$4,$G38:$BQ38)))"),0.22939067999999999)</f>
        <v>0.22939068</v>
      </c>
      <c r="CJ38" s="207" t="str">
        <f>IFERROR(__xludf.DUMMYFUNCTION("IF(OR(CI38&gt;$BS38+$BT38*$BT$2,CI38&lt;$BS38-$BT38*$BT$2),AVEDEV(ARRAYFORMULA(XLOOKUP(FILTER(INDIRECT(""'""&amp;CI$1&amp;""'!$C$4:$C$66""),INDIRECT(""'""&amp;CI$1&amp;""'!$D$4:$D$66"")=CI$2),$G$4:$BQ$4,$G38:$BQ38))),"""")"),"")</f>
        <v/>
      </c>
      <c r="CK38" s="208" t="str">
        <f t="shared" si="12"/>
        <v/>
      </c>
      <c r="CL38" s="207">
        <f>IFERROR(__xludf.DUMMYFUNCTION("AVERAGE(ARRAYFORMULA(XLOOKUP(FILTER(INDIRECT(""'""&amp;CL$1&amp;""'!$C$4:$C$66""),INDIRECT(""'""&amp;CL$1&amp;""'!$D$4:$D$66"")=CL$2),$G$4:$BQ$4,$G38:$BQ38)))"),0.888888888)</f>
        <v>0.888888888</v>
      </c>
      <c r="CM38" s="207">
        <f>IFERROR(__xludf.DUMMYFUNCTION("IF(OR(CL38&gt;$BS38+$BT38*$BT$2,CL38&lt;$BS38-$BT38*$BT$2),AVEDEV(ARRAYFORMULA(XLOOKUP(FILTER(INDIRECT(""'""&amp;CL$1&amp;""'!$C$4:$C$66""),INDIRECT(""'""&amp;CL$1&amp;""'!$D$4:$D$66"")=CL$2),$G$4:$BQ$4,$G38:$BQ38))),"""")"),0.26666666640000003)</f>
        <v>0.2666666664</v>
      </c>
      <c r="CN38" s="208">
        <f t="shared" si="13"/>
        <v>0.1261442851</v>
      </c>
      <c r="CO38" s="209" t="s">
        <v>444</v>
      </c>
      <c r="CP38" s="210">
        <f>IFERROR(__xludf.DUMMYFUNCTION("AVERAGE(ARRAYFORMULA(XLOOKUP(FILTER(INDIRECT(""'""&amp;CP$1&amp;""'!$C$4:$C$66""),INDIRECT(""'""&amp;CP$1&amp;""'!$D$4:$D$66"")=CP$2),$G$4:$BQ$4,$G38:$BQ38)))"),0.251851852)</f>
        <v>0.251851852</v>
      </c>
      <c r="CQ38" s="207" t="str">
        <f>IFERROR(__xludf.DUMMYFUNCTION("IF(OR(CP38&gt;$BS38+$BT38*$BT$2,CP38&lt;$BS38-$BT38*$BT$2),AVEDEV(ARRAYFORMULA(XLOOKUP(FILTER(INDIRECT(""'""&amp;CP$1&amp;""'!$C$4:$C$66""),INDIRECT(""'""&amp;CP$1&amp;""'!$D$4:$D$66"")=CP$2),$G$4:$BQ$4,$G38:$BQ38))),"""")"),"")</f>
        <v/>
      </c>
      <c r="CR38" s="208" t="str">
        <f t="shared" si="14"/>
        <v/>
      </c>
      <c r="CS38" s="210">
        <f>IFERROR(__xludf.DUMMYFUNCTION("AVERAGE(ARRAYFORMULA(XLOOKUP(FILTER(INDIRECT(""'""&amp;CS$1&amp;""'!$C$4:$C$66""),INDIRECT(""'""&amp;CS$1&amp;""'!$D$4:$D$66"")=CS$2),$G$4:$BQ$4,$G38:$BQ38)))"),0.028490029743589756)</f>
        <v>0.02849002974</v>
      </c>
      <c r="CT38" s="207" t="str">
        <f>IFERROR(__xludf.DUMMYFUNCTION("IF(OR(CS38&gt;$BS38+$BT38*$BT$2,CS38&lt;$BS38-$BT38*$BT$2),AVEDEV(ARRAYFORMULA(XLOOKUP(FILTER(INDIRECT(""'""&amp;CS$1&amp;""'!$C$4:$C$66""),INDIRECT(""'""&amp;CS$1&amp;""'!$D$4:$D$66"")=CS$2),$G$4:$BQ$4,$G38:$BQ38))),"""")"),"")</f>
        <v/>
      </c>
      <c r="CU38" s="208" t="str">
        <f t="shared" si="15"/>
        <v/>
      </c>
      <c r="CV38" s="210">
        <f>IFERROR(__xludf.DUMMYFUNCTION("AVERAGE(ARRAYFORMULA(XLOOKUP(FILTER(INDIRECT(""'""&amp;CV$1&amp;""'!$C$4:$C$66""),INDIRECT(""'""&amp;CV$1&amp;""'!$D$4:$D$66"")=CV$2),$G$4:$BQ$4,$G38:$BQ38)))"),0.888888888)</f>
        <v>0.888888888</v>
      </c>
      <c r="CW38" s="207">
        <f>IFERROR(__xludf.DUMMYFUNCTION("IF(OR(CV38&gt;$BS38+$BT38*$BT$2,CV38&lt;$BS38-$BT38*$BT$2),AVEDEV(ARRAYFORMULA(XLOOKUP(FILTER(INDIRECT(""'""&amp;CV$1&amp;""'!$C$4:$C$66""),INDIRECT(""'""&amp;CV$1&amp;""'!$D$4:$D$66"")=CV$2),$G$4:$BQ$4,$G38:$BQ38))),"""")"),0.26666666640000003)</f>
        <v>0.2666666664</v>
      </c>
      <c r="CX38" s="208">
        <f t="shared" si="16"/>
        <v>0.1261442851</v>
      </c>
      <c r="CY38" s="209" t="s">
        <v>444</v>
      </c>
      <c r="CZ38" s="210">
        <f>IFERROR(__xludf.DUMMYFUNCTION("AVERAGE(ARRAYFORMULA(XLOOKUP(FILTER(INDIRECT(""'""&amp;CZ$1&amp;""'!$C$4:$C$66""),INDIRECT(""'""&amp;CZ$1&amp;""'!$D$4:$D$66"")=CZ$2),$G$4:$BQ$4,$G38:$BQ38)))"),0.09523810285714286)</f>
        <v>0.09523810286</v>
      </c>
      <c r="DA38" s="207" t="str">
        <f>IFERROR(__xludf.DUMMYFUNCTION("IF(OR(CZ38&gt;$BS38+$BT38*$BT$2,CZ38&lt;$BS38-$BT38*$BT$2),AVEDEV(ARRAYFORMULA(XLOOKUP(FILTER(INDIRECT(""'""&amp;CZ$1&amp;""'!$C$4:$C$66""),INDIRECT(""'""&amp;CZ$1&amp;""'!$D$4:$D$66"")=CZ$2),$G$4:$BQ$4,$G38:$BQ38))),"""")"),"")</f>
        <v/>
      </c>
      <c r="DB38" s="208" t="str">
        <f t="shared" si="17"/>
        <v/>
      </c>
      <c r="DC38" s="210">
        <f>IFERROR(__xludf.DUMMYFUNCTION("AVERAGE(ARRAYFORMULA(XLOOKUP(FILTER(INDIRECT(""'""&amp;DC$1&amp;""'!$C$4:$C$66""),INDIRECT(""'""&amp;DC$1&amp;""'!$D$4:$D$66"")=DC$2),$G$4:$BQ$4,$G38:$BQ38)))"),0.24691358444444444)</f>
        <v>0.2469135844</v>
      </c>
      <c r="DD38" s="207" t="str">
        <f>IFERROR(__xludf.DUMMYFUNCTION("IF(OR(DC38&gt;$BS38+$BT38*$BT$2,DC38&lt;$BS38-$BT38*$BT$2),AVEDEV(ARRAYFORMULA(XLOOKUP(FILTER(INDIRECT(""'""&amp;DC$1&amp;""'!$C$4:$C$66""),INDIRECT(""'""&amp;DC$1&amp;""'!$D$4:$D$66"")=DC$2),$G$4:$BQ$4,$G38:$BQ38))),"""")"),"")</f>
        <v/>
      </c>
      <c r="DE38" s="208" t="str">
        <f t="shared" si="18"/>
        <v/>
      </c>
      <c r="DF38" s="210">
        <f>IFERROR(__xludf.DUMMYFUNCTION("AVERAGE(ARRAYFORMULA(XLOOKUP(FILTER(INDIRECT(""'""&amp;DF$1&amp;""'!$C$4:$C$66""),INDIRECT(""'""&amp;DF$1&amp;""'!$D$4:$D$66"")=DF$2),$G$4:$BQ$4,$G38:$BQ38)))"),0.5252525190909091)</f>
        <v>0.5252525191</v>
      </c>
      <c r="DG38" s="207" t="str">
        <f>IFERROR(__xludf.DUMMYFUNCTION("IF(OR(DF38&gt;$BS38+$BT38*$BT$2,DF38&lt;$BS38-$BT38*$BT$2),AVEDEV(ARRAYFORMULA(XLOOKUP(FILTER(INDIRECT(""'""&amp;DF$1&amp;""'!$C$4:$C$66""),INDIRECT(""'""&amp;DF$1&amp;""'!$D$4:$D$66"")=DF$2),$G$4:$BQ$4,$G38:$BQ38))),"""")"),"")</f>
        <v/>
      </c>
      <c r="DH38" s="208" t="str">
        <f t="shared" si="19"/>
        <v/>
      </c>
      <c r="DI38" s="210">
        <f>IFERROR(__xludf.DUMMYFUNCTION("AVERAGE(ARRAYFORMULA(XLOOKUP(FILTER(INDIRECT(""'""&amp;DI$1&amp;""'!$C$4:$C$66""),INDIRECT(""'""&amp;DI$1&amp;""'!$D$4:$D$66"")=DI$2),$G$4:$BQ$4,$G38:$BQ38)))"),-0.6666667)</f>
        <v>-0.6666667</v>
      </c>
      <c r="DJ38" s="207">
        <f>IFERROR(__xludf.DUMMYFUNCTION("IF(OR(DI38&gt;$BS38+$BT38*$BT$2,DI38&lt;$BS38-$BT38*$BT$2),AVEDEV(ARRAYFORMULA(XLOOKUP(FILTER(INDIRECT(""'""&amp;DI$1&amp;""'!$C$4:$C$66""),INDIRECT(""'""&amp;DI$1&amp;""'!$D$4:$D$66"")=DI$2),$G$4:$BQ$4,$G38:$BQ38))),"""")"),0.0)</f>
        <v>0</v>
      </c>
      <c r="DK38" s="208">
        <f t="shared" si="20"/>
        <v>-0.235491765</v>
      </c>
      <c r="DL38" s="210">
        <f>IFERROR(__xludf.DUMMYFUNCTION("AVERAGE(ARRAYFORMULA(XLOOKUP(FILTER(INDIRECT(""'""&amp;DL$1&amp;""'!$C$4:$C$66""),INDIRECT(""'""&amp;DL$1&amp;""'!$D$4:$D$66"")=DL$2),$G$4:$BQ$4,$G38:$BQ38)))"),0.1587301585714286)</f>
        <v>0.1587301586</v>
      </c>
      <c r="DM38" s="207" t="str">
        <f>IFERROR(__xludf.DUMMYFUNCTION("IF(OR(DL38&gt;$BS38+$BT38*$BT$2,DL38&lt;$BS38-$BT38*$BT$2),AVEDEV(ARRAYFORMULA(XLOOKUP(FILTER(INDIRECT(""'""&amp;DL$1&amp;""'!$C$4:$C$66""),INDIRECT(""'""&amp;DL$1&amp;""'!$D$4:$D$66"")=DL$2),$G$4:$BQ$4,$G38:$BQ38))),"""")"),"")</f>
        <v/>
      </c>
      <c r="DN38" s="208" t="str">
        <f t="shared" si="21"/>
        <v/>
      </c>
      <c r="DO38" s="209" t="s">
        <v>444</v>
      </c>
      <c r="DP38" s="210">
        <f>IFERROR(__xludf.DUMMYFUNCTION("AVERAGE(ARRAYFORMULA(XLOOKUP(FILTER(INDIRECT(""'""&amp;DP$1&amp;""'!$C$4:$C$66""),INDIRECT(""'""&amp;DP$1&amp;""'!$D$4:$D$66"")=DP$2),$G$4:$BQ$4,$G38:$BQ38)))"),0.2296296353333333)</f>
        <v>0.2296296353</v>
      </c>
      <c r="DQ38" s="207" t="str">
        <f>IFERROR(__xludf.DUMMYFUNCTION("IF(OR(DP38&gt;$BS38+$BT38*$BT$2,DP38&lt;$BS38-$BT38*$BT$2),AVEDEV(ARRAYFORMULA(XLOOKUP(FILTER(INDIRECT(""'""&amp;DP$1&amp;""'!$C$4:$C$66""),INDIRECT(""'""&amp;DP$1&amp;""'!$D$4:$D$66"")=DP$2),$G$4:$BQ$4,$G38:$BQ38))),"""")"),"")</f>
        <v/>
      </c>
      <c r="DR38" s="208" t="str">
        <f t="shared" si="22"/>
        <v/>
      </c>
      <c r="DS38" s="210">
        <f>IFERROR(__xludf.DUMMYFUNCTION("AVERAGE(ARRAYFORMULA(XLOOKUP(FILTER(INDIRECT(""'""&amp;DS$1&amp;""'!$C$4:$C$66""),INDIRECT(""'""&amp;DS$1&amp;""'!$D$4:$D$66"")=DS$2),$G$4:$BQ$4,$G38:$BQ38)))"),0.2716049422222222)</f>
        <v>0.2716049422</v>
      </c>
      <c r="DT38" s="207" t="str">
        <f>IFERROR(__xludf.DUMMYFUNCTION("IF(OR(DS38&gt;$BS38+$BT38*$BT$2,DS38&lt;$BS38-$BT38*$BT$2),AVEDEV(ARRAYFORMULA(XLOOKUP(FILTER(INDIRECT(""'""&amp;DS$1&amp;""'!$C$4:$C$66""),INDIRECT(""'""&amp;DS$1&amp;""'!$D$4:$D$66"")=DS$2),$G$4:$BQ$4,$G38:$BQ38))),"""")"),"")</f>
        <v/>
      </c>
      <c r="DU38" s="208" t="str">
        <f t="shared" si="23"/>
        <v/>
      </c>
      <c r="DV38" s="210">
        <f>IFERROR(__xludf.DUMMYFUNCTION("AVERAGE(ARRAYFORMULA(XLOOKUP(FILTER(INDIRECT(""'""&amp;DV$1&amp;""'!$C$4:$C$66""),INDIRECT(""'""&amp;DV$1&amp;""'!$D$4:$D$66"")=DV$2),$G$4:$BQ$4,$G38:$BQ38)))"),-0.13888889375)</f>
        <v>-0.1388888938</v>
      </c>
      <c r="DW38" s="207" t="str">
        <f>IFERROR(__xludf.DUMMYFUNCTION("IF(OR(DV38&gt;$BS38+$BT38*$BT$2,DV38&lt;$BS38-$BT38*$BT$2),AVEDEV(ARRAYFORMULA(XLOOKUP(FILTER(INDIRECT(""'""&amp;DV$1&amp;""'!$C$4:$C$66""),INDIRECT(""'""&amp;DV$1&amp;""'!$D$4:$D$66"")=DV$2),$G$4:$BQ$4,$G38:$BQ38))),"""")"),"")</f>
        <v/>
      </c>
      <c r="DX38" s="208" t="str">
        <f t="shared" si="24"/>
        <v/>
      </c>
      <c r="DY38" s="210">
        <f>IFERROR(__xludf.DUMMYFUNCTION("AVERAGE(ARRAYFORMULA(XLOOKUP(FILTER(INDIRECT(""'""&amp;DY$1&amp;""'!$C$4:$C$66""),INDIRECT(""'""&amp;DY$1&amp;""'!$D$4:$D$66"")=DY$2),$G$4:$BQ$4,$G38:$BQ38)))"),0.2716049322222222)</f>
        <v>0.2716049322</v>
      </c>
      <c r="DZ38" s="207" t="str">
        <f>IFERROR(__xludf.DUMMYFUNCTION("IF(OR(DY38&gt;$BS38+$BT38*$BT$2,DY38&lt;$BS38-$BT38*$BT$2),AVEDEV(ARRAYFORMULA(XLOOKUP(FILTER(INDIRECT(""'""&amp;DY$1&amp;""'!$C$4:$C$66""),INDIRECT(""'""&amp;DY$1&amp;""'!$D$4:$D$66"")=DY$2),$G$4:$BQ$4,$G38:$BQ38))),"""")"),"")</f>
        <v/>
      </c>
      <c r="EA38" s="208" t="str">
        <f t="shared" si="25"/>
        <v/>
      </c>
      <c r="EB38" s="191"/>
    </row>
    <row r="39" outlineLevel="1">
      <c r="A39" s="2"/>
      <c r="B39" s="204">
        <v>35.0</v>
      </c>
      <c r="C39" s="204" t="s">
        <v>442</v>
      </c>
      <c r="D39" s="204" t="s">
        <v>478</v>
      </c>
      <c r="E39" s="205" t="b">
        <f>VLOOKUP(D39,'Feature Set List'!A35:C246,2,0)</f>
        <v>1</v>
      </c>
      <c r="F39" s="205" t="b">
        <f>VLOOKUP(D39,'Feature Set List'!A35:C246,3,0)</f>
        <v>0</v>
      </c>
      <c r="G39" s="205">
        <v>0.31597948</v>
      </c>
      <c r="H39" s="205">
        <v>0.35370231</v>
      </c>
      <c r="I39" s="205">
        <v>-0.4162898</v>
      </c>
      <c r="J39" s="205">
        <v>0.12858215</v>
      </c>
      <c r="K39" s="205">
        <v>6.8116089</v>
      </c>
      <c r="L39" s="205">
        <v>-0.5601639</v>
      </c>
      <c r="M39" s="205">
        <v>0.98890624</v>
      </c>
      <c r="N39" s="205">
        <v>0.03772284</v>
      </c>
      <c r="O39" s="205">
        <v>-0.3192245</v>
      </c>
      <c r="P39" s="205">
        <v>0.58734054</v>
      </c>
      <c r="Q39" s="205">
        <v>-0.6021457</v>
      </c>
      <c r="R39" s="205">
        <v>0.31395137</v>
      </c>
      <c r="S39" s="205">
        <v>-0.2518912</v>
      </c>
      <c r="T39" s="205">
        <v>1.67075669</v>
      </c>
      <c r="U39" s="205">
        <v>-0.0048675</v>
      </c>
      <c r="V39" s="205">
        <v>0.76378607</v>
      </c>
      <c r="W39" s="205">
        <v>0.44740098</v>
      </c>
      <c r="X39" s="205">
        <v>-0.1241203</v>
      </c>
      <c r="Y39" s="205">
        <v>1.33368487</v>
      </c>
      <c r="Z39" s="205">
        <v>0.63195895</v>
      </c>
      <c r="AA39" s="205">
        <v>-0.4435881</v>
      </c>
      <c r="AB39" s="205">
        <v>-0.4946965</v>
      </c>
      <c r="AC39" s="205">
        <v>0.12533717</v>
      </c>
      <c r="AD39" s="205">
        <v>-0.384124</v>
      </c>
      <c r="AE39" s="205">
        <v>0.26892733</v>
      </c>
      <c r="AF39" s="205">
        <v>0.02555418</v>
      </c>
      <c r="AG39" s="205">
        <v>-0.3707384</v>
      </c>
      <c r="AH39" s="205">
        <v>3.33948527</v>
      </c>
      <c r="AI39" s="205">
        <v>2.74889975</v>
      </c>
      <c r="AJ39" s="205">
        <v>-0.8181394</v>
      </c>
      <c r="AK39" s="205">
        <v>-0.3249032</v>
      </c>
      <c r="AL39" s="205">
        <v>0.4737664</v>
      </c>
      <c r="AM39" s="205">
        <v>0.23972255</v>
      </c>
      <c r="AN39" s="205">
        <v>0.0425903</v>
      </c>
      <c r="AO39" s="205">
        <v>-0.7785669</v>
      </c>
      <c r="AP39" s="205">
        <v>-0.5249153</v>
      </c>
      <c r="AQ39" s="205">
        <v>-0.6055935</v>
      </c>
      <c r="AR39" s="205">
        <v>-0.3999432</v>
      </c>
      <c r="AS39" s="205">
        <v>0.69483035</v>
      </c>
      <c r="AT39" s="205">
        <v>1.83787292</v>
      </c>
      <c r="AU39" s="205">
        <v>-0.8181394</v>
      </c>
      <c r="AV39" s="205">
        <v>0.28718032</v>
      </c>
      <c r="AW39" s="205">
        <v>-0.6768207</v>
      </c>
      <c r="AX39" s="205">
        <v>-0.4299998</v>
      </c>
      <c r="AY39" s="205">
        <v>-0.8181394</v>
      </c>
      <c r="AZ39" s="205">
        <v>1.51215852</v>
      </c>
      <c r="BA39" s="205">
        <v>0.16062628</v>
      </c>
      <c r="BB39" s="205">
        <v>-0.6068915</v>
      </c>
      <c r="BC39" s="205">
        <v>-0.4198592</v>
      </c>
      <c r="BD39" s="205">
        <v>-0.6147606</v>
      </c>
      <c r="BE39" s="205">
        <v>0.77879409</v>
      </c>
      <c r="BF39" s="205">
        <v>0.53907153</v>
      </c>
      <c r="BG39" s="205">
        <v>2.03906139</v>
      </c>
      <c r="BH39" s="205">
        <v>-0.2786623</v>
      </c>
      <c r="BI39" s="205">
        <v>-0.540329</v>
      </c>
      <c r="BJ39" s="205">
        <v>-0.096538</v>
      </c>
      <c r="BK39" s="205">
        <v>-0.5417486</v>
      </c>
      <c r="BL39" s="205">
        <v>4.39004604</v>
      </c>
      <c r="BM39" s="205">
        <v>0.0</v>
      </c>
      <c r="BN39" s="205">
        <v>-0.1537307</v>
      </c>
      <c r="BO39" s="205">
        <v>6.44654917</v>
      </c>
      <c r="BP39" s="205">
        <v>-0.2920478</v>
      </c>
      <c r="BQ39" s="205">
        <v>-0.6414505</v>
      </c>
      <c r="BR39" s="206"/>
      <c r="BS39" s="207">
        <f t="shared" si="6"/>
        <v>0.4124258103</v>
      </c>
      <c r="BT39" s="207">
        <f t="shared" si="7"/>
        <v>0.9587266119</v>
      </c>
      <c r="BU39" s="206"/>
      <c r="BV39" s="207">
        <f>IFERROR(__xludf.DUMMYFUNCTION("AVERAGE(ARRAYFORMULA(XLOOKUP(FILTER(INDIRECT(""'""&amp;BV$1&amp;""'!$C$4:$C$66""),INDIRECT(""'""&amp;BV$1&amp;""'!$D$4:$D$66"")=BV$2),$G$4:$BQ$4,$G39:$BQ39)))"),0.40517921857142847)</f>
        <v>0.4051792186</v>
      </c>
      <c r="BW39" s="207" t="str">
        <f>IFERROR(__xludf.DUMMYFUNCTION("IF(OR(BV39&gt;$BS39+$BT39*$BT$2,BV39&lt;$BS39-$BT39*$BT$2),AVEDEV(ARRAYFORMULA(XLOOKUP(FILTER(INDIRECT(""'""&amp;BV$1&amp;""'!$C$4:$C$66""),INDIRECT(""'""&amp;BV$1&amp;""'!$D$4:$D$66"")=BV$2),$G$4:$BQ$4,$G39:$BQ39))),"""")"),"")</f>
        <v/>
      </c>
      <c r="BX39" s="208" t="str">
        <f t="shared" si="8"/>
        <v/>
      </c>
      <c r="BY39" s="207">
        <f>IFERROR(__xludf.DUMMYFUNCTION("AVERAGE(ARRAYFORMULA(XLOOKUP(FILTER(INDIRECT(""'""&amp;BY$1&amp;""'!$C$4:$C$66""),INDIRECT(""'""&amp;BY$1&amp;""'!$D$4:$D$66"")=BY$2),$G$4:$BQ$4,$G39:$BQ39)))"),0.4407980342857144)</f>
        <v>0.4407980343</v>
      </c>
      <c r="BZ39" s="207" t="str">
        <f>IFERROR(__xludf.DUMMYFUNCTION("IF(OR(BY39&gt;$BS39+$BT39*$BT$2,BY39&lt;$BS39-$BT39*$BT$2),AVEDEV(ARRAYFORMULA(XLOOKUP(FILTER(INDIRECT(""'""&amp;BY$1&amp;""'!$C$4:$C$66""),INDIRECT(""'""&amp;BY$1&amp;""'!$D$4:$D$66"")=BY$2),$G$4:$BQ$4,$G39:$BQ39))),"""")"),"")</f>
        <v/>
      </c>
      <c r="CA39" s="208" t="str">
        <f t="shared" si="9"/>
        <v/>
      </c>
      <c r="CB39" s="207">
        <f>IFERROR(__xludf.DUMMYFUNCTION("AVERAGE(ARRAYFORMULA(XLOOKUP(FILTER(INDIRECT(""'""&amp;CB$1&amp;""'!$C$4:$C$66""),INDIRECT(""'""&amp;CB$1&amp;""'!$D$4:$D$66"")=CB$2),$G$4:$BQ$4,$G39:$BQ39)))"),0.5892948981818181)</f>
        <v>0.5892948982</v>
      </c>
      <c r="CC39" s="207" t="str">
        <f>IFERROR(__xludf.DUMMYFUNCTION("IF(OR(CB39&gt;$BS39+$BT39*$BT$2,CB39&lt;$BS39-$BT39*$BT$2),AVEDEV(ARRAYFORMULA(XLOOKUP(FILTER(INDIRECT(""'""&amp;CB$1&amp;""'!$C$4:$C$66""),INDIRECT(""'""&amp;CB$1&amp;""'!$D$4:$D$66"")=CB$2),$G$4:$BQ$4,$G39:$BQ39))),"""")"),"")</f>
        <v/>
      </c>
      <c r="CD39" s="208" t="str">
        <f t="shared" si="10"/>
        <v/>
      </c>
      <c r="CE39" s="209" t="s">
        <v>444</v>
      </c>
      <c r="CF39" s="207">
        <f>IFERROR(__xludf.DUMMYFUNCTION("AVERAGE(ARRAYFORMULA(XLOOKUP(FILTER(INDIRECT(""'""&amp;CF$1&amp;""'!$C$4:$C$66""),INDIRECT(""'""&amp;CF$1&amp;""'!$D$4:$D$66"")=CF$2),$G$4:$BQ$4,$G39:$BQ39)))"),0.64846523125)</f>
        <v>0.6484652313</v>
      </c>
      <c r="CG39" s="207" t="str">
        <f>IFERROR(__xludf.DUMMYFUNCTION("IF(OR(CF39&gt;$BS39+$BT39*$BT$2,CF39&lt;$BS39-$BT39*$BT$2),AVEDEV(ARRAYFORMULA(XLOOKUP(FILTER(INDIRECT(""'""&amp;CF$1&amp;""'!$C$4:$C$66""),INDIRECT(""'""&amp;CF$1&amp;""'!$D$4:$D$66"")=CF$2),$G$4:$BQ$4,$G39:$BQ39))),"""")"),"")</f>
        <v/>
      </c>
      <c r="CH39" s="208" t="str">
        <f t="shared" si="11"/>
        <v/>
      </c>
      <c r="CI39" s="207">
        <f>IFERROR(__xludf.DUMMYFUNCTION("AVERAGE(ARRAYFORMULA(XLOOKUP(FILTER(INDIRECT(""'""&amp;CI$1&amp;""'!$C$4:$C$66""),INDIRECT(""'""&amp;CI$1&amp;""'!$D$4:$D$66"")=CI$2),$G$4:$BQ$4,$G39:$BQ39)))"),0.09303265838709676)</f>
        <v>0.09303265839</v>
      </c>
      <c r="CJ39" s="207" t="str">
        <f>IFERROR(__xludf.DUMMYFUNCTION("IF(OR(CI39&gt;$BS39+$BT39*$BT$2,CI39&lt;$BS39-$BT39*$BT$2),AVEDEV(ARRAYFORMULA(XLOOKUP(FILTER(INDIRECT(""'""&amp;CI$1&amp;""'!$C$4:$C$66""),INDIRECT(""'""&amp;CI$1&amp;""'!$D$4:$D$66"")=CI$2),$G$4:$BQ$4,$G39:$BQ39))),"""")"),"")</f>
        <v/>
      </c>
      <c r="CK39" s="208" t="str">
        <f t="shared" si="12"/>
        <v/>
      </c>
      <c r="CL39" s="207">
        <f>IFERROR(__xludf.DUMMYFUNCTION("AVERAGE(ARRAYFORMULA(XLOOKUP(FILTER(INDIRECT(""'""&amp;CL$1&amp;""'!$C$4:$C$66""),INDIRECT(""'""&amp;CL$1&amp;""'!$D$4:$D$66"")=CL$2),$G$4:$BQ$4,$G39:$BQ39)))"),1.03052305)</f>
        <v>1.03052305</v>
      </c>
      <c r="CM39" s="207" t="str">
        <f>IFERROR(__xludf.DUMMYFUNCTION("IF(OR(CL39&gt;$BS39+$BT39*$BT$2,CL39&lt;$BS39-$BT39*$BT$2),AVEDEV(ARRAYFORMULA(XLOOKUP(FILTER(INDIRECT(""'""&amp;CL$1&amp;""'!$C$4:$C$66""),INDIRECT(""'""&amp;CL$1&amp;""'!$D$4:$D$66"")=CL$2),$G$4:$BQ$4,$G39:$BQ39))),"""")"),"")</f>
        <v/>
      </c>
      <c r="CN39" s="208" t="str">
        <f t="shared" si="13"/>
        <v/>
      </c>
      <c r="CO39" s="209" t="s">
        <v>444</v>
      </c>
      <c r="CP39" s="210">
        <f>IFERROR(__xludf.DUMMYFUNCTION("AVERAGE(ARRAYFORMULA(XLOOKUP(FILTER(INDIRECT(""'""&amp;CP$1&amp;""'!$C$4:$C$66""),INDIRECT(""'""&amp;CP$1&amp;""'!$D$4:$D$66"")=CP$2),$G$4:$BQ$4,$G39:$BQ39)))"),0.854012616)</f>
        <v>0.854012616</v>
      </c>
      <c r="CQ39" s="207" t="str">
        <f>IFERROR(__xludf.DUMMYFUNCTION("IF(OR(CP39&gt;$BS39+$BT39*$BT$2,CP39&lt;$BS39-$BT39*$BT$2),AVEDEV(ARRAYFORMULA(XLOOKUP(FILTER(INDIRECT(""'""&amp;CP$1&amp;""'!$C$4:$C$66""),INDIRECT(""'""&amp;CP$1&amp;""'!$D$4:$D$66"")=CP$2),$G$4:$BQ$4,$G39:$BQ39))),"""")"),"")</f>
        <v/>
      </c>
      <c r="CR39" s="208" t="str">
        <f t="shared" si="14"/>
        <v/>
      </c>
      <c r="CS39" s="210">
        <f>IFERROR(__xludf.DUMMYFUNCTION("AVERAGE(ARRAYFORMULA(XLOOKUP(FILTER(INDIRECT(""'""&amp;CS$1&amp;""'!$C$4:$C$66""),INDIRECT(""'""&amp;CS$1&amp;""'!$D$4:$D$66"")=CS$2),$G$4:$BQ$4,$G39:$BQ39)))"),0.14049141846153843)</f>
        <v>0.1404914185</v>
      </c>
      <c r="CT39" s="207" t="str">
        <f>IFERROR(__xludf.DUMMYFUNCTION("IF(OR(CS39&gt;$BS39+$BT39*$BT$2,CS39&lt;$BS39-$BT39*$BT$2),AVEDEV(ARRAYFORMULA(XLOOKUP(FILTER(INDIRECT(""'""&amp;CS$1&amp;""'!$C$4:$C$66""),INDIRECT(""'""&amp;CS$1&amp;""'!$D$4:$D$66"")=CS$2),$G$4:$BQ$4,$G39:$BQ39))),"""")"),"")</f>
        <v/>
      </c>
      <c r="CU39" s="208" t="str">
        <f t="shared" si="15"/>
        <v/>
      </c>
      <c r="CV39" s="210">
        <f>IFERROR(__xludf.DUMMYFUNCTION("AVERAGE(ARRAYFORMULA(XLOOKUP(FILTER(INDIRECT(""'""&amp;CV$1&amp;""'!$C$4:$C$66""),INDIRECT(""'""&amp;CV$1&amp;""'!$D$4:$D$66"")=CV$2),$G$4:$BQ$4,$G39:$BQ39)))"),1.03052305)</f>
        <v>1.03052305</v>
      </c>
      <c r="CW39" s="207" t="str">
        <f>IFERROR(__xludf.DUMMYFUNCTION("IF(OR(CV39&gt;$BS39+$BT39*$BT$2,CV39&lt;$BS39-$BT39*$BT$2),AVEDEV(ARRAYFORMULA(XLOOKUP(FILTER(INDIRECT(""'""&amp;CV$1&amp;""'!$C$4:$C$66""),INDIRECT(""'""&amp;CV$1&amp;""'!$D$4:$D$66"")=CV$2),$G$4:$BQ$4,$G39:$BQ39))),"""")"),"")</f>
        <v/>
      </c>
      <c r="CX39" s="208" t="str">
        <f t="shared" si="16"/>
        <v/>
      </c>
      <c r="CY39" s="209" t="s">
        <v>444</v>
      </c>
      <c r="CZ39" s="210">
        <f>IFERROR(__xludf.DUMMYFUNCTION("AVERAGE(ARRAYFORMULA(XLOOKUP(FILTER(INDIRECT(""'""&amp;CZ$1&amp;""'!$C$4:$C$66""),INDIRECT(""'""&amp;CZ$1&amp;""'!$D$4:$D$66"")=CZ$2),$G$4:$BQ$4,$G39:$BQ39)))"),0.16212419142857143)</f>
        <v>0.1621241914</v>
      </c>
      <c r="DA39" s="207" t="str">
        <f>IFERROR(__xludf.DUMMYFUNCTION("IF(OR(CZ39&gt;$BS39+$BT39*$BT$2,CZ39&lt;$BS39-$BT39*$BT$2),AVEDEV(ARRAYFORMULA(XLOOKUP(FILTER(INDIRECT(""'""&amp;CZ$1&amp;""'!$C$4:$C$66""),INDIRECT(""'""&amp;CZ$1&amp;""'!$D$4:$D$66"")=CZ$2),$G$4:$BQ$4,$G39:$BQ39))),"""")"),"")</f>
        <v/>
      </c>
      <c r="DB39" s="208" t="str">
        <f t="shared" si="17"/>
        <v/>
      </c>
      <c r="DC39" s="210">
        <f>IFERROR(__xludf.DUMMYFUNCTION("AVERAGE(ARRAYFORMULA(XLOOKUP(FILTER(INDIRECT(""'""&amp;DC$1&amp;""'!$C$4:$C$66""),INDIRECT(""'""&amp;DC$1&amp;""'!$D$4:$D$66"")=DC$2),$G$4:$BQ$4,$G39:$BQ39)))"),0.5522317066666668)</f>
        <v>0.5522317067</v>
      </c>
      <c r="DD39" s="207" t="str">
        <f>IFERROR(__xludf.DUMMYFUNCTION("IF(OR(DC39&gt;$BS39+$BT39*$BT$2,DC39&lt;$BS39-$BT39*$BT$2),AVEDEV(ARRAYFORMULA(XLOOKUP(FILTER(INDIRECT(""'""&amp;DC$1&amp;""'!$C$4:$C$66""),INDIRECT(""'""&amp;DC$1&amp;""'!$D$4:$D$66"")=DC$2),$G$4:$BQ$4,$G39:$BQ39))),"""")"),"")</f>
        <v/>
      </c>
      <c r="DE39" s="208" t="str">
        <f t="shared" si="18"/>
        <v/>
      </c>
      <c r="DF39" s="210">
        <f>IFERROR(__xludf.DUMMYFUNCTION("AVERAGE(ARRAYFORMULA(XLOOKUP(FILTER(INDIRECT(""'""&amp;DF$1&amp;""'!$C$4:$C$66""),INDIRECT(""'""&amp;DF$1&amp;""'!$D$4:$D$66"")=DF$2),$G$4:$BQ$4,$G39:$BQ39)))"),1.3306537736363635)</f>
        <v>1.330653774</v>
      </c>
      <c r="DG39" s="207" t="str">
        <f>IFERROR(__xludf.DUMMYFUNCTION("IF(OR(DF39&gt;$BS39+$BT39*$BT$2,DF39&lt;$BS39-$BT39*$BT$2),AVEDEV(ARRAYFORMULA(XLOOKUP(FILTER(INDIRECT(""'""&amp;DF$1&amp;""'!$C$4:$C$66""),INDIRECT(""'""&amp;DF$1&amp;""'!$D$4:$D$66"")=DF$2),$G$4:$BQ$4,$G39:$BQ39))),"""")"),"")</f>
        <v/>
      </c>
      <c r="DH39" s="208" t="str">
        <f t="shared" si="19"/>
        <v/>
      </c>
      <c r="DI39" s="210">
        <f>IFERROR(__xludf.DUMMYFUNCTION("AVERAGE(ARRAYFORMULA(XLOOKUP(FILTER(INDIRECT(""'""&amp;DI$1&amp;""'!$C$4:$C$66""),INDIRECT(""'""&amp;DI$1&amp;""'!$D$4:$D$66"")=DI$2),$G$4:$BQ$4,$G39:$BQ39)))"),-0.33139315)</f>
        <v>-0.33139315</v>
      </c>
      <c r="DJ39" s="207" t="str">
        <f>IFERROR(__xludf.DUMMYFUNCTION("IF(OR(DI39&gt;$BS39+$BT39*$BT$2,DI39&lt;$BS39-$BT39*$BT$2),AVEDEV(ARRAYFORMULA(XLOOKUP(FILTER(INDIRECT(""'""&amp;DI$1&amp;""'!$C$4:$C$66""),INDIRECT(""'""&amp;DI$1&amp;""'!$D$4:$D$66"")=DI$2),$G$4:$BQ$4,$G39:$BQ39))),"""")"),"")</f>
        <v/>
      </c>
      <c r="DK39" s="208" t="str">
        <f t="shared" si="20"/>
        <v/>
      </c>
      <c r="DL39" s="210">
        <f>IFERROR(__xludf.DUMMYFUNCTION("AVERAGE(ARRAYFORMULA(XLOOKUP(FILTER(INDIRECT(""'""&amp;DL$1&amp;""'!$C$4:$C$66""),INDIRECT(""'""&amp;DL$1&amp;""'!$D$4:$D$66"")=DL$2),$G$4:$BQ$4,$G39:$BQ39)))"),-0.26606479857142856)</f>
        <v>-0.2660647986</v>
      </c>
      <c r="DM39" s="207" t="str">
        <f>IFERROR(__xludf.DUMMYFUNCTION("IF(OR(DL39&gt;$BS39+$BT39*$BT$2,DL39&lt;$BS39-$BT39*$BT$2),AVEDEV(ARRAYFORMULA(XLOOKUP(FILTER(INDIRECT(""'""&amp;DL$1&amp;""'!$C$4:$C$66""),INDIRECT(""'""&amp;DL$1&amp;""'!$D$4:$D$66"")=DL$2),$G$4:$BQ$4,$G39:$BQ39))),"""")"),"")</f>
        <v/>
      </c>
      <c r="DN39" s="208" t="str">
        <f t="shared" si="21"/>
        <v/>
      </c>
      <c r="DO39" s="209" t="s">
        <v>444</v>
      </c>
      <c r="DP39" s="210">
        <f>IFERROR(__xludf.DUMMYFUNCTION("AVERAGE(ARRAYFORMULA(XLOOKUP(FILTER(INDIRECT(""'""&amp;DP$1&amp;""'!$C$4:$C$66""),INDIRECT(""'""&amp;DP$1&amp;""'!$D$4:$D$66"")=DP$2),$G$4:$BQ$4,$G39:$BQ39)))"),0.48097701233333345)</f>
        <v>0.4809770123</v>
      </c>
      <c r="DQ39" s="207" t="str">
        <f>IFERROR(__xludf.DUMMYFUNCTION("IF(OR(DP39&gt;$BS39+$BT39*$BT$2,DP39&lt;$BS39-$BT39*$BT$2),AVEDEV(ARRAYFORMULA(XLOOKUP(FILTER(INDIRECT(""'""&amp;DP$1&amp;""'!$C$4:$C$66""),INDIRECT(""'""&amp;DP$1&amp;""'!$D$4:$D$66"")=DP$2),$G$4:$BQ$4,$G39:$BQ39))),"""")"),"")</f>
        <v/>
      </c>
      <c r="DR39" s="208" t="str">
        <f t="shared" si="22"/>
        <v/>
      </c>
      <c r="DS39" s="210">
        <f>IFERROR(__xludf.DUMMYFUNCTION("AVERAGE(ARRAYFORMULA(XLOOKUP(FILTER(INDIRECT(""'""&amp;DS$1&amp;""'!$C$4:$C$66""),INDIRECT(""'""&amp;DS$1&amp;""'!$D$4:$D$66"")=DS$2),$G$4:$BQ$4,$G39:$BQ39)))"),0.43311407)</f>
        <v>0.43311407</v>
      </c>
      <c r="DT39" s="207" t="str">
        <f>IFERROR(__xludf.DUMMYFUNCTION("IF(OR(DS39&gt;$BS39+$BT39*$BT$2,DS39&lt;$BS39-$BT39*$BT$2),AVEDEV(ARRAYFORMULA(XLOOKUP(FILTER(INDIRECT(""'""&amp;DS$1&amp;""'!$C$4:$C$66""),INDIRECT(""'""&amp;DS$1&amp;""'!$D$4:$D$66"")=DS$2),$G$4:$BQ$4,$G39:$BQ39))),"""")"),"")</f>
        <v/>
      </c>
      <c r="DU39" s="208" t="str">
        <f t="shared" si="23"/>
        <v/>
      </c>
      <c r="DV39" s="210">
        <f>IFERROR(__xludf.DUMMYFUNCTION("AVERAGE(ARRAYFORMULA(XLOOKUP(FILTER(INDIRECT(""'""&amp;DV$1&amp;""'!$C$4:$C$66""),INDIRECT(""'""&amp;DV$1&amp;""'!$D$4:$D$66"")=DV$2),$G$4:$BQ$4,$G39:$BQ39)))"),-0.10371752624999997)</f>
        <v>-0.1037175263</v>
      </c>
      <c r="DW39" s="207" t="str">
        <f>IFERROR(__xludf.DUMMYFUNCTION("IF(OR(DV39&gt;$BS39+$BT39*$BT$2,DV39&lt;$BS39-$BT39*$BT$2),AVEDEV(ARRAYFORMULA(XLOOKUP(FILTER(INDIRECT(""'""&amp;DV$1&amp;""'!$C$4:$C$66""),INDIRECT(""'""&amp;DV$1&amp;""'!$D$4:$D$66"")=DV$2),$G$4:$BQ$4,$G39:$BQ39))),"""")"),"")</f>
        <v/>
      </c>
      <c r="DX39" s="208" t="str">
        <f t="shared" si="24"/>
        <v/>
      </c>
      <c r="DY39" s="210">
        <f>IFERROR(__xludf.DUMMYFUNCTION("AVERAGE(ARRAYFORMULA(XLOOKUP(FILTER(INDIRECT(""'""&amp;DY$1&amp;""'!$C$4:$C$66""),INDIRECT(""'""&amp;DY$1&amp;""'!$D$4:$D$66"")=DY$2),$G$4:$BQ$4,$G39:$BQ39)))"),0.8052226022222222)</f>
        <v>0.8052226022</v>
      </c>
      <c r="DZ39" s="207" t="str">
        <f>IFERROR(__xludf.DUMMYFUNCTION("IF(OR(DY39&gt;$BS39+$BT39*$BT$2,DY39&lt;$BS39-$BT39*$BT$2),AVEDEV(ARRAYFORMULA(XLOOKUP(FILTER(INDIRECT(""'""&amp;DY$1&amp;""'!$C$4:$C$66""),INDIRECT(""'""&amp;DY$1&amp;""'!$D$4:$D$66"")=DY$2),$G$4:$BQ$4,$G39:$BQ39))),"""")"),"")</f>
        <v/>
      </c>
      <c r="EA39" s="208" t="str">
        <f t="shared" si="25"/>
        <v/>
      </c>
      <c r="EB39" s="191"/>
    </row>
    <row r="40" outlineLevel="1">
      <c r="A40" s="2"/>
      <c r="B40" s="204">
        <v>36.0</v>
      </c>
      <c r="C40" s="204" t="s">
        <v>442</v>
      </c>
      <c r="D40" s="204" t="s">
        <v>479</v>
      </c>
      <c r="E40" s="205" t="b">
        <f>VLOOKUP(D40,'Feature Set List'!A36:C246,2,0)</f>
        <v>1</v>
      </c>
      <c r="F40" s="205" t="b">
        <f>VLOOKUP(D40,'Feature Set List'!A36:C246,3,0)</f>
        <v>0</v>
      </c>
      <c r="G40" s="205">
        <v>0.12884391</v>
      </c>
      <c r="H40" s="205">
        <v>-0.5990658</v>
      </c>
      <c r="I40" s="205">
        <v>-1.0945893</v>
      </c>
      <c r="J40" s="205">
        <v>-0.6835344</v>
      </c>
      <c r="K40" s="205">
        <v>-0.5924484</v>
      </c>
      <c r="L40" s="205">
        <v>-0.3012845</v>
      </c>
      <c r="M40" s="205">
        <v>0.88127676</v>
      </c>
      <c r="N40" s="205">
        <v>0.015181</v>
      </c>
      <c r="O40" s="205">
        <v>-0.8389257</v>
      </c>
      <c r="P40" s="205">
        <v>0.552355</v>
      </c>
      <c r="Q40" s="205">
        <v>0.20552744</v>
      </c>
      <c r="R40" s="205">
        <v>-0.2386142</v>
      </c>
      <c r="S40" s="205">
        <v>-0.85761</v>
      </c>
      <c r="T40" s="205">
        <v>0.46594005</v>
      </c>
      <c r="U40" s="205">
        <v>0.27092254</v>
      </c>
      <c r="V40" s="205">
        <v>-0.7399766</v>
      </c>
      <c r="W40" s="205">
        <v>0.41884002</v>
      </c>
      <c r="X40" s="205">
        <v>-0.6052939</v>
      </c>
      <c r="Y40" s="205">
        <v>0.35188789</v>
      </c>
      <c r="Z40" s="205">
        <v>-0.4725574</v>
      </c>
      <c r="AA40" s="205">
        <v>0.0</v>
      </c>
      <c r="AB40" s="205">
        <v>0.32074737</v>
      </c>
      <c r="AC40" s="205">
        <v>0.71195018</v>
      </c>
      <c r="AD40" s="205">
        <v>0.0688984</v>
      </c>
      <c r="AE40" s="205">
        <v>-0.717789</v>
      </c>
      <c r="AF40" s="205">
        <v>0.40132347</v>
      </c>
      <c r="AG40" s="205">
        <v>-0.2861035</v>
      </c>
      <c r="AH40" s="205">
        <v>-0.7224601</v>
      </c>
      <c r="AI40" s="205">
        <v>0.22460101</v>
      </c>
      <c r="AJ40" s="205">
        <v>-1.1724406</v>
      </c>
      <c r="AK40" s="205">
        <v>-0.493188</v>
      </c>
      <c r="AL40" s="205">
        <v>0.35655897</v>
      </c>
      <c r="AM40" s="205">
        <v>0.13974309</v>
      </c>
      <c r="AN40" s="205">
        <v>-0.2160374</v>
      </c>
      <c r="AO40" s="205">
        <v>-1.1724406</v>
      </c>
      <c r="AP40" s="205">
        <v>-1.1724406</v>
      </c>
      <c r="AQ40" s="205">
        <v>0.51498638</v>
      </c>
      <c r="AR40" s="205">
        <v>-0.1066563</v>
      </c>
      <c r="AS40" s="205">
        <v>0.55040872</v>
      </c>
      <c r="AT40" s="205">
        <v>0.35694823</v>
      </c>
      <c r="AU40" s="205">
        <v>-1.1724406</v>
      </c>
      <c r="AV40" s="205">
        <v>0.9435578</v>
      </c>
      <c r="AW40" s="205">
        <v>0.6239782</v>
      </c>
      <c r="AX40" s="205">
        <v>-0.6695212</v>
      </c>
      <c r="AY40" s="205">
        <v>-1.1724406</v>
      </c>
      <c r="AZ40" s="205">
        <v>-0.8038536</v>
      </c>
      <c r="BA40" s="205">
        <v>0.06617361</v>
      </c>
      <c r="BB40" s="205">
        <v>0.07318023</v>
      </c>
      <c r="BC40" s="205">
        <v>-0.7613858</v>
      </c>
      <c r="BD40" s="205">
        <v>-0.6317633</v>
      </c>
      <c r="BE40" s="205">
        <v>-0.6200856</v>
      </c>
      <c r="BF40" s="205">
        <v>-0.4927988</v>
      </c>
      <c r="BG40" s="205">
        <v>0.56948229</v>
      </c>
      <c r="BH40" s="205">
        <v>0.13818606</v>
      </c>
      <c r="BI40" s="205">
        <v>0.36395485</v>
      </c>
      <c r="BJ40" s="205">
        <v>-0.6547295</v>
      </c>
      <c r="BK40" s="205">
        <v>0.22226547</v>
      </c>
      <c r="BL40" s="205">
        <v>0.84235111</v>
      </c>
      <c r="BM40" s="205">
        <v>0.63020631</v>
      </c>
      <c r="BN40" s="205">
        <v>-0.4994161</v>
      </c>
      <c r="BO40" s="205">
        <v>0.11521993</v>
      </c>
      <c r="BP40" s="205">
        <v>0.98949007</v>
      </c>
      <c r="BQ40" s="205">
        <v>-0.4857921</v>
      </c>
      <c r="BR40" s="206"/>
      <c r="BS40" s="207">
        <f t="shared" si="6"/>
        <v>-0.1354396371</v>
      </c>
      <c r="BT40" s="207">
        <f t="shared" si="7"/>
        <v>0.5358043837</v>
      </c>
      <c r="BU40" s="206"/>
      <c r="BV40" s="207">
        <f>IFERROR(__xludf.DUMMYFUNCTION("AVERAGE(ARRAYFORMULA(XLOOKUP(FILTER(INDIRECT(""'""&amp;BV$1&amp;""'!$C$4:$C$66""),INDIRECT(""'""&amp;BV$1&amp;""'!$D$4:$D$66"")=BV$2),$G$4:$BQ$4,$G40:$BQ40)))"),-0.3405438314285715)</f>
        <v>-0.3405438314</v>
      </c>
      <c r="BW40" s="207" t="str">
        <f>IFERROR(__xludf.DUMMYFUNCTION("IF(OR(BV40&gt;$BS40+$BT40*$BT$2,BV40&lt;$BS40-$BT40*$BT$2),AVEDEV(ARRAYFORMULA(XLOOKUP(FILTER(INDIRECT(""'""&amp;BV$1&amp;""'!$C$4:$C$66""),INDIRECT(""'""&amp;BV$1&amp;""'!$D$4:$D$66"")=BV$2),$G$4:$BQ$4,$G40:$BQ40))),"""")"),"")</f>
        <v/>
      </c>
      <c r="BX40" s="208" t="str">
        <f t="shared" si="8"/>
        <v/>
      </c>
      <c r="BY40" s="207">
        <f>IFERROR(__xludf.DUMMYFUNCTION("AVERAGE(ARRAYFORMULA(XLOOKUP(FILTER(INDIRECT(""'""&amp;BY$1&amp;""'!$C$4:$C$66""),INDIRECT(""'""&amp;BY$1&amp;""'!$D$4:$D$66"")=BY$2),$G$4:$BQ$4,$G40:$BQ40)))"),-0.1438525247619048)</f>
        <v>-0.1438525248</v>
      </c>
      <c r="BZ40" s="207" t="str">
        <f>IFERROR(__xludf.DUMMYFUNCTION("IF(OR(BY40&gt;$BS40+$BT40*$BT$2,BY40&lt;$BS40-$BT40*$BT$2),AVEDEV(ARRAYFORMULA(XLOOKUP(FILTER(INDIRECT(""'""&amp;BY$1&amp;""'!$C$4:$C$66""),INDIRECT(""'""&amp;BY$1&amp;""'!$D$4:$D$66"")=BY$2),$G$4:$BQ$4,$G40:$BQ40))),"""")"),"")</f>
        <v/>
      </c>
      <c r="CA40" s="208" t="str">
        <f t="shared" si="9"/>
        <v/>
      </c>
      <c r="CB40" s="207">
        <f>IFERROR(__xludf.DUMMYFUNCTION("AVERAGE(ARRAYFORMULA(XLOOKUP(FILTER(INDIRECT(""'""&amp;CB$1&amp;""'!$C$4:$C$66""),INDIRECT(""'""&amp;CB$1&amp;""'!$D$4:$D$66"")=CB$2),$G$4:$BQ$4,$G40:$BQ40)))"),0.25379172)</f>
        <v>0.25379172</v>
      </c>
      <c r="CC40" s="207" t="str">
        <f>IFERROR(__xludf.DUMMYFUNCTION("IF(OR(CB40&gt;$BS40+$BT40*$BT$2,CB40&lt;$BS40-$BT40*$BT$2),AVEDEV(ARRAYFORMULA(XLOOKUP(FILTER(INDIRECT(""'""&amp;CB$1&amp;""'!$C$4:$C$66""),INDIRECT(""'""&amp;CB$1&amp;""'!$D$4:$D$66"")=CB$2),$G$4:$BQ$4,$G40:$BQ40))),"""")"),"")</f>
        <v/>
      </c>
      <c r="CD40" s="208" t="str">
        <f t="shared" si="10"/>
        <v/>
      </c>
      <c r="CE40" s="209" t="s">
        <v>444</v>
      </c>
      <c r="CF40" s="207">
        <f>IFERROR(__xludf.DUMMYFUNCTION("AVERAGE(ARRAYFORMULA(XLOOKUP(FILTER(INDIRECT(""'""&amp;CF$1&amp;""'!$C$4:$C$66""),INDIRECT(""'""&amp;CF$1&amp;""'!$D$4:$D$66"")=CF$2),$G$4:$BQ$4,$G40:$BQ40)))"),-0.231096719375)</f>
        <v>-0.2310967194</v>
      </c>
      <c r="CG40" s="207" t="str">
        <f>IFERROR(__xludf.DUMMYFUNCTION("IF(OR(CF40&gt;$BS40+$BT40*$BT$2,CF40&lt;$BS40-$BT40*$BT$2),AVEDEV(ARRAYFORMULA(XLOOKUP(FILTER(INDIRECT(""'""&amp;CF$1&amp;""'!$C$4:$C$66""),INDIRECT(""'""&amp;CF$1&amp;""'!$D$4:$D$66"")=CF$2),$G$4:$BQ$4,$G40:$BQ40))),"""")"),"")</f>
        <v/>
      </c>
      <c r="CH40" s="208" t="str">
        <f t="shared" si="11"/>
        <v/>
      </c>
      <c r="CI40" s="207">
        <f>IFERROR(__xludf.DUMMYFUNCTION("AVERAGE(ARRAYFORMULA(XLOOKUP(FILTER(INDIRECT(""'""&amp;CI$1&amp;""'!$C$4:$C$66""),INDIRECT(""'""&amp;CI$1&amp;""'!$D$4:$D$66"")=CI$2),$G$4:$BQ$4,$G40:$BQ40)))"),-0.10656210838709673)</f>
        <v>-0.1065621084</v>
      </c>
      <c r="CJ40" s="207" t="str">
        <f>IFERROR(__xludf.DUMMYFUNCTION("IF(OR(CI40&gt;$BS40+$BT40*$BT$2,CI40&lt;$BS40-$BT40*$BT$2),AVEDEV(ARRAYFORMULA(XLOOKUP(FILTER(INDIRECT(""'""&amp;CI$1&amp;""'!$C$4:$C$66""),INDIRECT(""'""&amp;CI$1&amp;""'!$D$4:$D$66"")=CI$2),$G$4:$BQ$4,$G40:$BQ40))),"""")"),"")</f>
        <v/>
      </c>
      <c r="CK40" s="208" t="str">
        <f t="shared" si="12"/>
        <v/>
      </c>
      <c r="CL40" s="207">
        <f>IFERROR(__xludf.DUMMYFUNCTION("AVERAGE(ARRAYFORMULA(XLOOKUP(FILTER(INDIRECT(""'""&amp;CL$1&amp;""'!$C$4:$C$66""),INDIRECT(""'""&amp;CL$1&amp;""'!$D$4:$D$66"")=CL$2),$G$4:$BQ$4,$G40:$BQ40)))"),0.4408719339999999)</f>
        <v>0.440871934</v>
      </c>
      <c r="CM40" s="207">
        <f>IFERROR(__xludf.DUMMYFUNCTION("IF(OR(CL40&gt;$BS40+$BT40*$BT$2,CL40&lt;$BS40-$BT40*$BT$2),AVEDEV(ARRAYFORMULA(XLOOKUP(FILTER(INDIRECT(""'""&amp;CL$1&amp;""'!$C$4:$C$66""),INDIRECT(""'""&amp;CL$1&amp;""'!$D$4:$D$66"")=CL$2),$G$4:$BQ$4,$G40:$BQ40))),"""")"),0.14987932960000006)</f>
        <v>0.1498793296</v>
      </c>
      <c r="CN40" s="208">
        <f t="shared" si="13"/>
        <v>0.04050718747</v>
      </c>
      <c r="CO40" s="209" t="s">
        <v>444</v>
      </c>
      <c r="CP40" s="210">
        <f>IFERROR(__xludf.DUMMYFUNCTION("AVERAGE(ARRAYFORMULA(XLOOKUP(FILTER(INDIRECT(""'""&amp;CP$1&amp;""'!$C$4:$C$66""),INDIRECT(""'""&amp;CP$1&amp;""'!$D$4:$D$66"")=CP$2),$G$4:$BQ$4,$G40:$BQ40)))"),0.02063059933333332)</f>
        <v>0.02063059933</v>
      </c>
      <c r="CQ40" s="207" t="str">
        <f>IFERROR(__xludf.DUMMYFUNCTION("IF(OR(CP40&gt;$BS40+$BT40*$BT$2,CP40&lt;$BS40-$BT40*$BT$2),AVEDEV(ARRAYFORMULA(XLOOKUP(FILTER(INDIRECT(""'""&amp;CP$1&amp;""'!$C$4:$C$66""),INDIRECT(""'""&amp;CP$1&amp;""'!$D$4:$D$66"")=CP$2),$G$4:$BQ$4,$G40:$BQ40))),"""")"),"")</f>
        <v/>
      </c>
      <c r="CR40" s="208" t="str">
        <f t="shared" si="14"/>
        <v/>
      </c>
      <c r="CS40" s="210">
        <f>IFERROR(__xludf.DUMMYFUNCTION("AVERAGE(ARRAYFORMULA(XLOOKUP(FILTER(INDIRECT(""'""&amp;CS$1&amp;""'!$C$4:$C$66""),INDIRECT(""'""&amp;CS$1&amp;""'!$D$4:$D$66"")=CS$2),$G$4:$BQ$4,$G40:$BQ40)))"),-0.23051471051282052)</f>
        <v>-0.2305147105</v>
      </c>
      <c r="CT40" s="207" t="str">
        <f>IFERROR(__xludf.DUMMYFUNCTION("IF(OR(CS40&gt;$BS40+$BT40*$BT$2,CS40&lt;$BS40-$BT40*$BT$2),AVEDEV(ARRAYFORMULA(XLOOKUP(FILTER(INDIRECT(""'""&amp;CS$1&amp;""'!$C$4:$C$66""),INDIRECT(""'""&amp;CS$1&amp;""'!$D$4:$D$66"")=CS$2),$G$4:$BQ$4,$G40:$BQ40))),"""")"),"")</f>
        <v/>
      </c>
      <c r="CU40" s="208" t="str">
        <f t="shared" si="15"/>
        <v/>
      </c>
      <c r="CV40" s="211">
        <f>IFERROR(__xludf.DUMMYFUNCTION("AVERAGE(ARRAYFORMULA(XLOOKUP(FILTER(INDIRECT(""'""&amp;CV$1&amp;""'!$C$4:$C$66""),INDIRECT(""'""&amp;CV$1&amp;""'!$D$4:$D$66"")=CV$2),$G$4:$BQ$4,$G40:$BQ40)))"),0.4408719339999999)</f>
        <v>0.440871934</v>
      </c>
      <c r="CW40" s="207">
        <f>IFERROR(__xludf.DUMMYFUNCTION("IF(OR(CV40&gt;$BS40+$BT40*$BT$2,CV40&lt;$BS40-$BT40*$BT$2),AVEDEV(ARRAYFORMULA(XLOOKUP(FILTER(INDIRECT(""'""&amp;CV$1&amp;""'!$C$4:$C$66""),INDIRECT(""'""&amp;CV$1&amp;""'!$D$4:$D$66"")=CV$2),$G$4:$BQ$4,$G40:$BQ40))),"""")"),0.14987932960000006)</f>
        <v>0.1498793296</v>
      </c>
      <c r="CX40" s="208">
        <f t="shared" si="16"/>
        <v>0.04050718747</v>
      </c>
      <c r="CY40" s="209" t="s">
        <v>444</v>
      </c>
      <c r="CZ40" s="210">
        <f>IFERROR(__xludf.DUMMYFUNCTION("AVERAGE(ARRAYFORMULA(XLOOKUP(FILTER(INDIRECT(""'""&amp;CZ$1&amp;""'!$C$4:$C$66""),INDIRECT(""'""&amp;CZ$1&amp;""'!$D$4:$D$66"")=CZ$2),$G$4:$BQ$4,$G40:$BQ40)))"),-0.2305232621428571)</f>
        <v>-0.2305232621</v>
      </c>
      <c r="DA40" s="207" t="str">
        <f>IFERROR(__xludf.DUMMYFUNCTION("IF(OR(CZ40&gt;$BS40+$BT40*$BT$2,CZ40&lt;$BS40-$BT40*$BT$2),AVEDEV(ARRAYFORMULA(XLOOKUP(FILTER(INDIRECT(""'""&amp;CZ$1&amp;""'!$C$4:$C$66""),INDIRECT(""'""&amp;CZ$1&amp;""'!$D$4:$D$66"")=CZ$2),$G$4:$BQ$4,$G40:$BQ40))),"""")"),"")</f>
        <v/>
      </c>
      <c r="DB40" s="208" t="str">
        <f t="shared" si="17"/>
        <v/>
      </c>
      <c r="DC40" s="210">
        <f>IFERROR(__xludf.DUMMYFUNCTION("AVERAGE(ARRAYFORMULA(XLOOKUP(FILTER(INDIRECT(""'""&amp;DC$1&amp;""'!$C$4:$C$66""),INDIRECT(""'""&amp;DC$1&amp;""'!$D$4:$D$66"")=DC$2),$G$4:$BQ$4,$G40:$BQ40)))"),0.3294840233333333)</f>
        <v>0.3294840233</v>
      </c>
      <c r="DD40" s="207" t="str">
        <f>IFERROR(__xludf.DUMMYFUNCTION("IF(OR(DC40&gt;$BS40+$BT40*$BT$2,DC40&lt;$BS40-$BT40*$BT$2),AVEDEV(ARRAYFORMULA(XLOOKUP(FILTER(INDIRECT(""'""&amp;DC$1&amp;""'!$C$4:$C$66""),INDIRECT(""'""&amp;DC$1&amp;""'!$D$4:$D$66"")=DC$2),$G$4:$BQ$4,$G40:$BQ40))),"""")"),"")</f>
        <v/>
      </c>
      <c r="DE40" s="208" t="str">
        <f t="shared" si="18"/>
        <v/>
      </c>
      <c r="DF40" s="210">
        <f>IFERROR(__xludf.DUMMYFUNCTION("AVERAGE(ARRAYFORMULA(XLOOKUP(FILTER(INDIRECT(""'""&amp;DF$1&amp;""'!$C$4:$C$66""),INDIRECT(""'""&amp;DF$1&amp;""'!$D$4:$D$66"")=DF$2),$G$4:$BQ$4,$G40:$BQ40)))"),0.07033865363636362)</f>
        <v>0.07033865364</v>
      </c>
      <c r="DG40" s="207" t="str">
        <f>IFERROR(__xludf.DUMMYFUNCTION("IF(OR(DF40&gt;$BS40+$BT40*$BT$2,DF40&lt;$BS40-$BT40*$BT$2),AVEDEV(ARRAYFORMULA(XLOOKUP(FILTER(INDIRECT(""'""&amp;DF$1&amp;""'!$C$4:$C$66""),INDIRECT(""'""&amp;DF$1&amp;""'!$D$4:$D$66"")=DF$2),$G$4:$BQ$4,$G40:$BQ40))),"""")"),"")</f>
        <v/>
      </c>
      <c r="DH40" s="208" t="str">
        <f t="shared" si="19"/>
        <v/>
      </c>
      <c r="DI40" s="210">
        <f>IFERROR(__xludf.DUMMYFUNCTION("AVERAGE(ARRAYFORMULA(XLOOKUP(FILTER(INDIRECT(""'""&amp;DI$1&amp;""'!$C$4:$C$66""),INDIRECT(""'""&amp;DI$1&amp;""'!$D$4:$D$66"")=DI$2),$G$4:$BQ$4,$G40:$BQ40)))"),0.10354223)</f>
        <v>0.10354223</v>
      </c>
      <c r="DJ40" s="207" t="str">
        <f>IFERROR(__xludf.DUMMYFUNCTION("IF(OR(DI40&gt;$BS40+$BT40*$BT$2,DI40&lt;$BS40-$BT40*$BT$2),AVEDEV(ARRAYFORMULA(XLOOKUP(FILTER(INDIRECT(""'""&amp;DI$1&amp;""'!$C$4:$C$66""),INDIRECT(""'""&amp;DI$1&amp;""'!$D$4:$D$66"")=DI$2),$G$4:$BQ$4,$G40:$BQ40))),"""")"),"")</f>
        <v/>
      </c>
      <c r="DK40" s="208" t="str">
        <f t="shared" si="20"/>
        <v/>
      </c>
      <c r="DL40" s="211">
        <f>IFERROR(__xludf.DUMMYFUNCTION("AVERAGE(ARRAYFORMULA(XLOOKUP(FILTER(INDIRECT(""'""&amp;DL$1&amp;""'!$C$4:$C$66""),INDIRECT(""'""&amp;DL$1&amp;""'!$D$4:$D$66"")=DL$2),$G$4:$BQ$4,$G40:$BQ40)))"),-0.3255074242857143)</f>
        <v>-0.3255074243</v>
      </c>
      <c r="DM40" s="207" t="str">
        <f>IFERROR(__xludf.DUMMYFUNCTION("IF(OR(DL40&gt;$BS40+$BT40*$BT$2,DL40&lt;$BS40-$BT40*$BT$2),AVEDEV(ARRAYFORMULA(XLOOKUP(FILTER(INDIRECT(""'""&amp;DL$1&amp;""'!$C$4:$C$66""),INDIRECT(""'""&amp;DL$1&amp;""'!$D$4:$D$66"")=DL$2),$G$4:$BQ$4,$G40:$BQ40))),"""")"),"")</f>
        <v/>
      </c>
      <c r="DN40" s="208" t="str">
        <f t="shared" si="21"/>
        <v/>
      </c>
      <c r="DO40" s="209" t="s">
        <v>444</v>
      </c>
      <c r="DP40" s="210">
        <f>IFERROR(__xludf.DUMMYFUNCTION("AVERAGE(ARRAYFORMULA(XLOOKUP(FILTER(INDIRECT(""'""&amp;DP$1&amp;""'!$C$4:$C$66""),INDIRECT(""'""&amp;DP$1&amp;""'!$D$4:$D$66"")=DP$2),$G$4:$BQ$4,$G40:$BQ40)))"),-0.1818346903333334)</f>
        <v>-0.1818346903</v>
      </c>
      <c r="DQ40" s="207" t="str">
        <f>IFERROR(__xludf.DUMMYFUNCTION("IF(OR(DP40&gt;$BS40+$BT40*$BT$2,DP40&lt;$BS40-$BT40*$BT$2),AVEDEV(ARRAYFORMULA(XLOOKUP(FILTER(INDIRECT(""'""&amp;DP$1&amp;""'!$C$4:$C$66""),INDIRECT(""'""&amp;DP$1&amp;""'!$D$4:$D$66"")=DP$2),$G$4:$BQ$4,$G40:$BQ40))),"""")"),"")</f>
        <v/>
      </c>
      <c r="DR40" s="208" t="str">
        <f t="shared" si="22"/>
        <v/>
      </c>
      <c r="DS40" s="210">
        <f>IFERROR(__xludf.DUMMYFUNCTION("AVERAGE(ARRAYFORMULA(XLOOKUP(FILTER(INDIRECT(""'""&amp;DS$1&amp;""'!$C$4:$C$66""),INDIRECT(""'""&amp;DS$1&amp;""'!$D$4:$D$66"")=DS$2),$G$4:$BQ$4,$G40:$BQ40)))"),0.42065655111111105)</f>
        <v>0.4206565511</v>
      </c>
      <c r="DT40" s="207">
        <f>IFERROR(__xludf.DUMMYFUNCTION("IF(OR(DS40&gt;$BS40+$BT40*$BT$2,DS40&lt;$BS40-$BT40*$BT$2),AVEDEV(ARRAYFORMULA(XLOOKUP(FILTER(INDIRECT(""'""&amp;DS$1&amp;""'!$C$4:$C$66""),INDIRECT(""'""&amp;DS$1&amp;""'!$D$4:$D$66"")=DS$2),$G$4:$BQ$4,$G40:$BQ40))),"""")"),0.3044562587654321)</f>
        <v>0.3044562588</v>
      </c>
      <c r="DU40" s="208">
        <f t="shared" si="23"/>
        <v>0.02029180458</v>
      </c>
      <c r="DV40" s="210">
        <f>IFERROR(__xludf.DUMMYFUNCTION("AVERAGE(ARRAYFORMULA(XLOOKUP(FILTER(INDIRECT(""'""&amp;DV$1&amp;""'!$C$4:$C$66""),INDIRECT(""'""&amp;DV$1&amp;""'!$D$4:$D$66"")=DV$2),$G$4:$BQ$4,$G40:$BQ40)))"),-0.60162027)</f>
        <v>-0.60162027</v>
      </c>
      <c r="DW40" s="207" t="str">
        <f>IFERROR(__xludf.DUMMYFUNCTION("IF(OR(DV40&gt;$BS40+$BT40*$BT$2,DV40&lt;$BS40-$BT40*$BT$2),AVEDEV(ARRAYFORMULA(XLOOKUP(FILTER(INDIRECT(""'""&amp;DV$1&amp;""'!$C$4:$C$66""),INDIRECT(""'""&amp;DV$1&amp;""'!$D$4:$D$66"")=DV$2),$G$4:$BQ$4,$G40:$BQ40))),"""")"),"")</f>
        <v/>
      </c>
      <c r="DX40" s="208" t="str">
        <f t="shared" si="24"/>
        <v/>
      </c>
      <c r="DY40" s="210">
        <f>IFERROR(__xludf.DUMMYFUNCTION("AVERAGE(ARRAYFORMULA(XLOOKUP(FILTER(INDIRECT(""'""&amp;DY$1&amp;""'!$C$4:$C$66""),INDIRECT(""'""&amp;DY$1&amp;""'!$D$4:$D$66"")=DY$2),$G$4:$BQ$4,$G40:$BQ40)))"),0.2100255177777778)</f>
        <v>0.2100255178</v>
      </c>
      <c r="DZ40" s="207" t="str">
        <f>IFERROR(__xludf.DUMMYFUNCTION("IF(OR(DY40&gt;$BS40+$BT40*$BT$2,DY40&lt;$BS40-$BT40*$BT$2),AVEDEV(ARRAYFORMULA(XLOOKUP(FILTER(INDIRECT(""'""&amp;DY$1&amp;""'!$C$4:$C$66""),INDIRECT(""'""&amp;DY$1&amp;""'!$D$4:$D$66"")=DY$2),$G$4:$BQ$4,$G40:$BQ40))),"""")"),"")</f>
        <v/>
      </c>
      <c r="EA40" s="208" t="str">
        <f t="shared" si="25"/>
        <v/>
      </c>
      <c r="EB40" s="191"/>
    </row>
    <row r="41" outlineLevel="1">
      <c r="A41" s="2"/>
      <c r="B41" s="204">
        <v>37.0</v>
      </c>
      <c r="C41" s="204" t="s">
        <v>442</v>
      </c>
      <c r="D41" s="204" t="s">
        <v>480</v>
      </c>
      <c r="E41" s="205" t="b">
        <f>VLOOKUP(D41,'Feature Set List'!A37:C246,2,0)</f>
        <v>1</v>
      </c>
      <c r="F41" s="205" t="b">
        <f>VLOOKUP(D41,'Feature Set List'!A37:C246,3,0)</f>
        <v>0</v>
      </c>
      <c r="G41" s="205">
        <v>28.1428333</v>
      </c>
      <c r="H41" s="205">
        <v>0.0</v>
      </c>
      <c r="I41" s="205">
        <v>6.20056733</v>
      </c>
      <c r="J41" s="205">
        <v>0.0</v>
      </c>
      <c r="K41" s="205">
        <v>3.30418822</v>
      </c>
      <c r="L41" s="205">
        <v>0.81628567</v>
      </c>
      <c r="M41" s="205">
        <v>0.95311196</v>
      </c>
      <c r="N41" s="205">
        <v>0.0</v>
      </c>
      <c r="O41" s="205">
        <v>0.0</v>
      </c>
      <c r="P41" s="205">
        <v>0.96379109</v>
      </c>
      <c r="Q41" s="205">
        <v>0.0</v>
      </c>
      <c r="R41" s="205">
        <v>0.0</v>
      </c>
      <c r="S41" s="205">
        <v>0.0</v>
      </c>
      <c r="T41" s="205">
        <v>0.0</v>
      </c>
      <c r="U41" s="205">
        <v>0.0</v>
      </c>
      <c r="V41" s="205">
        <v>0.0</v>
      </c>
      <c r="W41" s="205">
        <v>0.57200067</v>
      </c>
      <c r="X41" s="205">
        <v>0.0</v>
      </c>
      <c r="Y41" s="205">
        <v>12.3510763</v>
      </c>
      <c r="Z41" s="205">
        <v>0.0</v>
      </c>
      <c r="AA41" s="205">
        <v>0.0</v>
      </c>
      <c r="AB41" s="205">
        <v>1.06457534</v>
      </c>
      <c r="AC41" s="205">
        <v>3.01451694</v>
      </c>
      <c r="AD41" s="205">
        <v>0.0</v>
      </c>
      <c r="AE41" s="205">
        <v>0.0</v>
      </c>
      <c r="AF41" s="205">
        <v>1.03620891</v>
      </c>
      <c r="AG41" s="205">
        <v>0.0</v>
      </c>
      <c r="AH41" s="205">
        <v>4.24828967</v>
      </c>
      <c r="AI41" s="205">
        <v>0.0</v>
      </c>
      <c r="AJ41" s="205">
        <v>0.0</v>
      </c>
      <c r="AK41" s="205">
        <v>0.0</v>
      </c>
      <c r="AL41" s="205">
        <v>4.57200067</v>
      </c>
      <c r="AM41" s="205">
        <v>3.14533623</v>
      </c>
      <c r="AN41" s="205">
        <v>0.0</v>
      </c>
      <c r="AO41" s="205">
        <v>0.0</v>
      </c>
      <c r="AP41" s="205">
        <v>0.0</v>
      </c>
      <c r="AQ41" s="205">
        <v>0.0</v>
      </c>
      <c r="AR41" s="205">
        <v>0.0</v>
      </c>
      <c r="AS41" s="205">
        <v>1.33856166</v>
      </c>
      <c r="AT41" s="205">
        <v>8.31303187</v>
      </c>
      <c r="AU41" s="205">
        <v>0.0</v>
      </c>
      <c r="AV41" s="205">
        <v>0.0</v>
      </c>
      <c r="AW41" s="205">
        <v>0.0</v>
      </c>
      <c r="AX41" s="205">
        <v>0.0</v>
      </c>
      <c r="AY41" s="205">
        <v>0.0</v>
      </c>
      <c r="AZ41" s="205">
        <v>0.0</v>
      </c>
      <c r="BA41" s="205">
        <v>0.0</v>
      </c>
      <c r="BB41" s="205">
        <v>0.0</v>
      </c>
      <c r="BC41" s="205">
        <v>0.0</v>
      </c>
      <c r="BD41" s="205">
        <v>0.0</v>
      </c>
      <c r="BE41" s="205">
        <v>0.0</v>
      </c>
      <c r="BF41" s="205">
        <v>0.0</v>
      </c>
      <c r="BG41" s="205">
        <v>1.85082596</v>
      </c>
      <c r="BH41" s="205">
        <v>0.0</v>
      </c>
      <c r="BI41" s="205">
        <v>0.0</v>
      </c>
      <c r="BJ41" s="205">
        <v>0.0</v>
      </c>
      <c r="BK41" s="205">
        <v>0.0</v>
      </c>
      <c r="BL41" s="205">
        <v>129.851493</v>
      </c>
      <c r="BM41" s="205">
        <v>7.47872518</v>
      </c>
      <c r="BN41" s="205">
        <v>0.0</v>
      </c>
      <c r="BO41" s="205">
        <v>6.11046221</v>
      </c>
      <c r="BP41" s="205">
        <v>0.0</v>
      </c>
      <c r="BQ41" s="205">
        <v>0.0</v>
      </c>
      <c r="BR41" s="206"/>
      <c r="BS41" s="207">
        <f t="shared" si="6"/>
        <v>3.57663305</v>
      </c>
      <c r="BT41" s="207">
        <f t="shared" si="7"/>
        <v>5.558056574</v>
      </c>
      <c r="BU41" s="206"/>
      <c r="BV41" s="207">
        <f>IFERROR(__xludf.DUMMYFUNCTION("AVERAGE(ARRAYFORMULA(XLOOKUP(FILTER(INDIRECT(""'""&amp;BV$1&amp;""'!$C$4:$C$66""),INDIRECT(""'""&amp;BV$1&amp;""'!$D$4:$D$66"")=BV$2),$G$4:$BQ$4,$G41:$BQ41)))"),18.550213285714285)</f>
        <v>18.55021329</v>
      </c>
      <c r="BW41" s="207">
        <f>IFERROR(__xludf.DUMMYFUNCTION("IF(OR(BV41&gt;$BS41+$BT41*$BT$2,BV41&lt;$BS41-$BT41*$BT$2),AVEDEV(ARRAYFORMULA(XLOOKUP(FILTER(INDIRECT(""'""&amp;BV$1&amp;""'!$C$4:$C$66""),INDIRECT(""'""&amp;BV$1&amp;""'!$D$4:$D$66"")=BV$2),$G$4:$BQ$4,$G41:$BQ41))),"""")"),31.800365632653058)</f>
        <v>31.80036563</v>
      </c>
      <c r="BX41" s="208" t="str">
        <f t="shared" si="8"/>
        <v/>
      </c>
      <c r="BY41" s="207">
        <f>IFERROR(__xludf.DUMMYFUNCTION("AVERAGE(ARRAYFORMULA(XLOOKUP(FILTER(INDIRECT(""'""&amp;BY$1&amp;""'!$C$4:$C$66""),INDIRECT(""'""&amp;BY$1&amp;""'!$D$4:$D$66"")=BY$2),$G$4:$BQ$4,$G41:$BQ41)))"),0.8800425897619049)</f>
        <v>0.8800425898</v>
      </c>
      <c r="BZ41" s="207" t="str">
        <f>IFERROR(__xludf.DUMMYFUNCTION("IF(OR(BY41&gt;$BS41+$BT41*$BT$2,BY41&lt;$BS41-$BT41*$BT$2),AVEDEV(ARRAYFORMULA(XLOOKUP(FILTER(INDIRECT(""'""&amp;BY$1&amp;""'!$C$4:$C$66""),INDIRECT(""'""&amp;BY$1&amp;""'!$D$4:$D$66"")=BY$2),$G$4:$BQ$4,$G41:$BQ41))),"""")"),"")</f>
        <v/>
      </c>
      <c r="CA41" s="208" t="str">
        <f t="shared" si="9"/>
        <v/>
      </c>
      <c r="CB41" s="207">
        <f>IFERROR(__xludf.DUMMYFUNCTION("AVERAGE(ARRAYFORMULA(XLOOKUP(FILTER(INDIRECT(""'""&amp;CB$1&amp;""'!$C$4:$C$66""),INDIRECT(""'""&amp;CB$1&amp;""'!$D$4:$D$66"")=CB$2),$G$4:$BQ$4,$G41:$BQ41)))"),4.755821189090909)</f>
        <v>4.755821189</v>
      </c>
      <c r="CC41" s="207" t="str">
        <f>IFERROR(__xludf.DUMMYFUNCTION("IF(OR(CB41&gt;$BS41+$BT41*$BT$2,CB41&lt;$BS41-$BT41*$BT$2),AVEDEV(ARRAYFORMULA(XLOOKUP(FILTER(INDIRECT(""'""&amp;CB$1&amp;""'!$C$4:$C$66""),INDIRECT(""'""&amp;CB$1&amp;""'!$D$4:$D$66"")=CB$2),$G$4:$BQ$4,$G41:$BQ41))),"""")"),"")</f>
        <v/>
      </c>
      <c r="CD41" s="208" t="str">
        <f t="shared" si="10"/>
        <v/>
      </c>
      <c r="CE41" s="209" t="s">
        <v>444</v>
      </c>
      <c r="CF41" s="207">
        <f>IFERROR(__xludf.DUMMYFUNCTION("AVERAGE(ARRAYFORMULA(XLOOKUP(FILTER(INDIRECT(""'""&amp;CF$1&amp;""'!$C$4:$C$66""),INDIRECT(""'""&amp;CF$1&amp;""'!$D$4:$D$66"")=CF$2),$G$4:$BQ$4,$G41:$BQ41)))"),0.726076255625)</f>
        <v>0.7260762556</v>
      </c>
      <c r="CG41" s="207" t="str">
        <f>IFERROR(__xludf.DUMMYFUNCTION("IF(OR(CF41&gt;$BS41+$BT41*$BT$2,CF41&lt;$BS41-$BT41*$BT$2),AVEDEV(ARRAYFORMULA(XLOOKUP(FILTER(INDIRECT(""'""&amp;CF$1&amp;""'!$C$4:$C$66""),INDIRECT(""'""&amp;CF$1&amp;""'!$D$4:$D$66"")=CF$2),$G$4:$BQ$4,$G41:$BQ41))),"""")"),"")</f>
        <v/>
      </c>
      <c r="CH41" s="208" t="str">
        <f t="shared" si="11"/>
        <v/>
      </c>
      <c r="CI41" s="207">
        <f>IFERROR(__xludf.DUMMYFUNCTION("AVERAGE(ARRAYFORMULA(XLOOKUP(FILTER(INDIRECT(""'""&amp;CI$1&amp;""'!$C$4:$C$66""),INDIRECT(""'""&amp;CI$1&amp;""'!$D$4:$D$66"")=CI$2),$G$4:$BQ$4,$G41:$BQ41)))"),1.0249484632258063)</f>
        <v>1.024948463</v>
      </c>
      <c r="CJ41" s="207" t="str">
        <f>IFERROR(__xludf.DUMMYFUNCTION("IF(OR(CI41&gt;$BS41+$BT41*$BT$2,CI41&lt;$BS41-$BT41*$BT$2),AVEDEV(ARRAYFORMULA(XLOOKUP(FILTER(INDIRECT(""'""&amp;CI$1&amp;""'!$C$4:$C$66""),INDIRECT(""'""&amp;CI$1&amp;""'!$D$4:$D$66"")=CI$2),$G$4:$BQ$4,$G41:$BQ41))),"""")"),"")</f>
        <v/>
      </c>
      <c r="CK41" s="208" t="str">
        <f t="shared" si="12"/>
        <v/>
      </c>
      <c r="CL41" s="207">
        <f>IFERROR(__xludf.DUMMYFUNCTION("AVERAGE(ARRAYFORMULA(XLOOKUP(FILTER(INDIRECT(""'""&amp;CL$1&amp;""'!$C$4:$C$66""),INDIRECT(""'""&amp;CL$1&amp;""'!$D$4:$D$66"")=CL$2),$G$4:$BQ$4,$G41:$BQ41)))"),0.8306357419999999)</f>
        <v>0.830635742</v>
      </c>
      <c r="CM41" s="207" t="str">
        <f>IFERROR(__xludf.DUMMYFUNCTION("IF(OR(CL41&gt;$BS41+$BT41*$BT$2,CL41&lt;$BS41-$BT41*$BT$2),AVEDEV(ARRAYFORMULA(XLOOKUP(FILTER(INDIRECT(""'""&amp;CL$1&amp;""'!$C$4:$C$66""),INDIRECT(""'""&amp;CL$1&amp;""'!$D$4:$D$66"")=CL$2),$G$4:$BQ$4,$G41:$BQ41))),"""")"),"")</f>
        <v/>
      </c>
      <c r="CN41" s="208" t="str">
        <f t="shared" si="13"/>
        <v/>
      </c>
      <c r="CO41" s="209" t="s">
        <v>444</v>
      </c>
      <c r="CP41" s="210">
        <f>IFERROR(__xludf.DUMMYFUNCTION("AVERAGE(ARRAYFORMULA(XLOOKUP(FILTER(INDIRECT(""'""&amp;CP$1&amp;""'!$C$4:$C$66""),INDIRECT(""'""&amp;CP$1&amp;""'!$D$4:$D$66"")=CP$2),$G$4:$BQ$4,$G41:$BQ41)))"),4.714900720666667)</f>
        <v>4.714900721</v>
      </c>
      <c r="CQ41" s="207" t="str">
        <f>IFERROR(__xludf.DUMMYFUNCTION("IF(OR(CP41&gt;$BS41+$BT41*$BT$2,CP41&lt;$BS41-$BT41*$BT$2),AVEDEV(ARRAYFORMULA(XLOOKUP(FILTER(INDIRECT(""'""&amp;CP$1&amp;""'!$C$4:$C$66""),INDIRECT(""'""&amp;CP$1&amp;""'!$D$4:$D$66"")=CP$2),$G$4:$BQ$4,$G41:$BQ41))),"""")"),"")</f>
        <v/>
      </c>
      <c r="CR41" s="208" t="str">
        <f t="shared" si="14"/>
        <v/>
      </c>
      <c r="CS41" s="210">
        <f>IFERROR(__xludf.DUMMYFUNCTION("AVERAGE(ARRAYFORMULA(XLOOKUP(FILTER(INDIRECT(""'""&amp;CS$1&amp;""'!$C$4:$C$66""),INDIRECT(""'""&amp;CS$1&amp;""'!$D$4:$D$66"")=CS$2),$G$4:$BQ$4,$G41:$BQ41)))"),0.3692085212820512)</f>
        <v>0.3692085213</v>
      </c>
      <c r="CT41" s="207" t="str">
        <f>IFERROR(__xludf.DUMMYFUNCTION("IF(OR(CS41&gt;$BS41+$BT41*$BT$2,CS41&lt;$BS41-$BT41*$BT$2),AVEDEV(ARRAYFORMULA(XLOOKUP(FILTER(INDIRECT(""'""&amp;CS$1&amp;""'!$C$4:$C$66""),INDIRECT(""'""&amp;CS$1&amp;""'!$D$4:$D$66"")=CS$2),$G$4:$BQ$4,$G41:$BQ41))),"""")"),"")</f>
        <v/>
      </c>
      <c r="CU41" s="208" t="str">
        <f t="shared" si="15"/>
        <v/>
      </c>
      <c r="CV41" s="210">
        <f>IFERROR(__xludf.DUMMYFUNCTION("AVERAGE(ARRAYFORMULA(XLOOKUP(FILTER(INDIRECT(""'""&amp;CV$1&amp;""'!$C$4:$C$66""),INDIRECT(""'""&amp;CV$1&amp;""'!$D$4:$D$66"")=CV$2),$G$4:$BQ$4,$G41:$BQ41)))"),0.8306357419999999)</f>
        <v>0.830635742</v>
      </c>
      <c r="CW41" s="207" t="str">
        <f>IFERROR(__xludf.DUMMYFUNCTION("IF(OR(CV41&gt;$BS41+$BT41*$BT$2,CV41&lt;$BS41-$BT41*$BT$2),AVEDEV(ARRAYFORMULA(XLOOKUP(FILTER(INDIRECT(""'""&amp;CV$1&amp;""'!$C$4:$C$66""),INDIRECT(""'""&amp;CV$1&amp;""'!$D$4:$D$66"")=CV$2),$G$4:$BQ$4,$G41:$BQ41))),"""")"),"")</f>
        <v/>
      </c>
      <c r="CX41" s="208" t="str">
        <f t="shared" si="16"/>
        <v/>
      </c>
      <c r="CY41" s="209" t="s">
        <v>444</v>
      </c>
      <c r="CZ41" s="210">
        <f>IFERROR(__xludf.DUMMYFUNCTION("AVERAGE(ARRAYFORMULA(XLOOKUP(FILTER(INDIRECT(""'""&amp;CZ$1&amp;""'!$C$4:$C$66""),INDIRECT(""'""&amp;CZ$1&amp;""'!$D$4:$D$66"")=CZ$2),$G$4:$BQ$4,$G41:$BQ41)))"),0.3265714764285715)</f>
        <v>0.3265714764</v>
      </c>
      <c r="DA41" s="207" t="str">
        <f>IFERROR(__xludf.DUMMYFUNCTION("IF(OR(CZ41&gt;$BS41+$BT41*$BT$2,CZ41&lt;$BS41-$BT41*$BT$2),AVEDEV(ARRAYFORMULA(XLOOKUP(FILTER(INDIRECT(""'""&amp;CZ$1&amp;""'!$C$4:$C$66""),INDIRECT(""'""&amp;CZ$1&amp;""'!$D$4:$D$66"")=CZ$2),$G$4:$BQ$4,$G41:$BQ41))),"""")"),"")</f>
        <v/>
      </c>
      <c r="DB41" s="208" t="str">
        <f t="shared" si="17"/>
        <v/>
      </c>
      <c r="DC41" s="210">
        <f>IFERROR(__xludf.DUMMYFUNCTION("AVERAGE(ARRAYFORMULA(XLOOKUP(FILTER(INDIRECT(""'""&amp;DC$1&amp;""'!$C$4:$C$66""),INDIRECT(""'""&amp;DC$1&amp;""'!$D$4:$D$66"")=DC$2),$G$4:$BQ$4,$G41:$BQ41)))"),4.9817008777777785)</f>
        <v>4.981700878</v>
      </c>
      <c r="DD41" s="207" t="str">
        <f>IFERROR(__xludf.DUMMYFUNCTION("IF(OR(DC41&gt;$BS41+$BT41*$BT$2,DC41&lt;$BS41-$BT41*$BT$2),AVEDEV(ARRAYFORMULA(XLOOKUP(FILTER(INDIRECT(""'""&amp;DC$1&amp;""'!$C$4:$C$66""),INDIRECT(""'""&amp;DC$1&amp;""'!$D$4:$D$66"")=DC$2),$G$4:$BQ$4,$G41:$BQ41))),"""")"),"")</f>
        <v/>
      </c>
      <c r="DE41" s="208" t="str">
        <f t="shared" si="18"/>
        <v/>
      </c>
      <c r="DF41" s="210">
        <f>IFERROR(__xludf.DUMMYFUNCTION("AVERAGE(ARRAYFORMULA(XLOOKUP(FILTER(INDIRECT(""'""&amp;DF$1&amp;""'!$C$4:$C$66""),INDIRECT(""'""&amp;DF$1&amp;""'!$D$4:$D$66"")=DF$2),$G$4:$BQ$4,$G41:$BQ41)))"),2.52245802)</f>
        <v>2.52245802</v>
      </c>
      <c r="DG41" s="207" t="str">
        <f>IFERROR(__xludf.DUMMYFUNCTION("IF(OR(DF41&gt;$BS41+$BT41*$BT$2,DF41&lt;$BS41-$BT41*$BT$2),AVEDEV(ARRAYFORMULA(XLOOKUP(FILTER(INDIRECT(""'""&amp;DF$1&amp;""'!$C$4:$C$66""),INDIRECT(""'""&amp;DF$1&amp;""'!$D$4:$D$66"")=DF$2),$G$4:$BQ$4,$G41:$BQ41))),"""")"),"")</f>
        <v/>
      </c>
      <c r="DH41" s="208" t="str">
        <f t="shared" si="19"/>
        <v/>
      </c>
      <c r="DI41" s="210">
        <f>IFERROR(__xludf.DUMMYFUNCTION("AVERAGE(ARRAYFORMULA(XLOOKUP(FILTER(INDIRECT(""'""&amp;DI$1&amp;""'!$C$4:$C$66""),INDIRECT(""'""&amp;DI$1&amp;""'!$D$4:$D$66"")=DI$2),$G$4:$BQ$4,$G41:$BQ41)))"),0.0)</f>
        <v>0</v>
      </c>
      <c r="DJ41" s="207" t="str">
        <f>IFERROR(__xludf.DUMMYFUNCTION("IF(OR(DI41&gt;$BS41+$BT41*$BT$2,DI41&lt;$BS41-$BT41*$BT$2),AVEDEV(ARRAYFORMULA(XLOOKUP(FILTER(INDIRECT(""'""&amp;DI$1&amp;""'!$C$4:$C$66""),INDIRECT(""'""&amp;DI$1&amp;""'!$D$4:$D$66"")=DI$2),$G$4:$BQ$4,$G41:$BQ41))),"""")"),"")</f>
        <v/>
      </c>
      <c r="DK41" s="208" t="str">
        <f t="shared" si="20"/>
        <v/>
      </c>
      <c r="DL41" s="210">
        <f>IFERROR(__xludf.DUMMYFUNCTION("AVERAGE(ARRAYFORMULA(XLOOKUP(FILTER(INDIRECT(""'""&amp;DL$1&amp;""'!$C$4:$C$66""),INDIRECT(""'""&amp;DL$1&amp;""'!$D$4:$D$66"")=DL$2),$G$4:$BQ$4,$G41:$BQ41)))"),0.0)</f>
        <v>0</v>
      </c>
      <c r="DM41" s="207" t="str">
        <f>IFERROR(__xludf.DUMMYFUNCTION("IF(OR(DL41&gt;$BS41+$BT41*$BT$2,DL41&lt;$BS41-$BT41*$BT$2),AVEDEV(ARRAYFORMULA(XLOOKUP(FILTER(INDIRECT(""'""&amp;DL$1&amp;""'!$C$4:$C$66""),INDIRECT(""'""&amp;DL$1&amp;""'!$D$4:$D$66"")=DL$2),$G$4:$BQ$4,$G41:$BQ41))),"""")"),"")</f>
        <v/>
      </c>
      <c r="DN41" s="208" t="str">
        <f t="shared" si="21"/>
        <v/>
      </c>
      <c r="DO41" s="209" t="s">
        <v>444</v>
      </c>
      <c r="DP41" s="210">
        <f>IFERROR(__xludf.DUMMYFUNCTION("AVERAGE(ARRAYFORMULA(XLOOKUP(FILTER(INDIRECT(""'""&amp;DP$1&amp;""'!$C$4:$C$66""),INDIRECT(""'""&amp;DP$1&amp;""'!$D$4:$D$66"")=DP$2),$G$4:$BQ$4,$G41:$BQ41)))"),0.8789142890000001)</f>
        <v>0.878914289</v>
      </c>
      <c r="DQ41" s="207" t="str">
        <f>IFERROR(__xludf.DUMMYFUNCTION("IF(OR(DP41&gt;$BS41+$BT41*$BT$2,DP41&lt;$BS41-$BT41*$BT$2),AVEDEV(ARRAYFORMULA(XLOOKUP(FILTER(INDIRECT(""'""&amp;DP$1&amp;""'!$C$4:$C$66""),INDIRECT(""'""&amp;DP$1&amp;""'!$D$4:$D$66"")=DP$2),$G$4:$BQ$4,$G41:$BQ41))),"""")"),"")</f>
        <v/>
      </c>
      <c r="DR41" s="208" t="str">
        <f t="shared" si="22"/>
        <v/>
      </c>
      <c r="DS41" s="210">
        <f>IFERROR(__xludf.DUMMYFUNCTION("AVERAGE(ARRAYFORMULA(XLOOKUP(FILTER(INDIRECT(""'""&amp;DS$1&amp;""'!$C$4:$C$66""),INDIRECT(""'""&amp;DS$1&amp;""'!$D$4:$D$66"")=DS$2),$G$4:$BQ$4,$G41:$BQ41)))"),4.325194207777778)</f>
        <v>4.325194208</v>
      </c>
      <c r="DT41" s="207" t="str">
        <f>IFERROR(__xludf.DUMMYFUNCTION("IF(OR(DS41&gt;$BS41+$BT41*$BT$2,DS41&lt;$BS41-$BT41*$BT$2),AVEDEV(ARRAYFORMULA(XLOOKUP(FILTER(INDIRECT(""'""&amp;DS$1&amp;""'!$C$4:$C$66""),INDIRECT(""'""&amp;DS$1&amp;""'!$D$4:$D$66"")=DS$2),$G$4:$BQ$4,$G41:$BQ41))),"""")"),"")</f>
        <v/>
      </c>
      <c r="DU41" s="208" t="str">
        <f t="shared" si="23"/>
        <v/>
      </c>
      <c r="DV41" s="210">
        <f>IFERROR(__xludf.DUMMYFUNCTION("AVERAGE(ARRAYFORMULA(XLOOKUP(FILTER(INDIRECT(""'""&amp;DV$1&amp;""'!$C$4:$C$66""),INDIRECT(""'""&amp;DV$1&amp;""'!$D$4:$D$66"")=DV$2),$G$4:$BQ$4,$G41:$BQ41)))"),0.0)</f>
        <v>0</v>
      </c>
      <c r="DW41" s="207" t="str">
        <f>IFERROR(__xludf.DUMMYFUNCTION("IF(OR(DV41&gt;$BS41+$BT41*$BT$2,DV41&lt;$BS41-$BT41*$BT$2),AVEDEV(ARRAYFORMULA(XLOOKUP(FILTER(INDIRECT(""'""&amp;DV$1&amp;""'!$C$4:$C$66""),INDIRECT(""'""&amp;DV$1&amp;""'!$D$4:$D$66"")=DV$2),$G$4:$BQ$4,$G41:$BQ41))),"""")"),"")</f>
        <v/>
      </c>
      <c r="DX41" s="208" t="str">
        <f t="shared" si="24"/>
        <v/>
      </c>
      <c r="DY41" s="210">
        <f>IFERROR(__xludf.DUMMYFUNCTION("AVERAGE(ARRAYFORMULA(XLOOKUP(FILTER(INDIRECT(""'""&amp;DY$1&amp;""'!$C$4:$C$66""),INDIRECT(""'""&amp;DY$1&amp;""'!$D$4:$D$66"")=DY$2),$G$4:$BQ$4,$G41:$BQ41)))"),2.6646272566666673)</f>
        <v>2.664627257</v>
      </c>
      <c r="DZ41" s="207" t="str">
        <f>IFERROR(__xludf.DUMMYFUNCTION("IF(OR(DY41&gt;$BS41+$BT41*$BT$2,DY41&lt;$BS41-$BT41*$BT$2),AVEDEV(ARRAYFORMULA(XLOOKUP(FILTER(INDIRECT(""'""&amp;DY$1&amp;""'!$C$4:$C$66""),INDIRECT(""'""&amp;DY$1&amp;""'!$D$4:$D$66"")=DY$2),$G$4:$BQ$4,$G41:$BQ41))),"""")"),"")</f>
        <v/>
      </c>
      <c r="EA41" s="208" t="str">
        <f t="shared" si="25"/>
        <v/>
      </c>
      <c r="EB41" s="191"/>
    </row>
    <row r="42" outlineLevel="1">
      <c r="A42" s="2"/>
      <c r="B42" s="204">
        <v>38.0</v>
      </c>
      <c r="C42" s="204" t="s">
        <v>442</v>
      </c>
      <c r="D42" s="204" t="s">
        <v>481</v>
      </c>
      <c r="E42" s="205" t="b">
        <f>VLOOKUP(D42,'Feature Set List'!A38:C246,2,0)</f>
        <v>1</v>
      </c>
      <c r="F42" s="205" t="b">
        <f>VLOOKUP(D42,'Feature Set List'!A38:C246,3,0)</f>
        <v>0</v>
      </c>
      <c r="G42" s="205">
        <v>-0.0947564</v>
      </c>
      <c r="H42" s="205">
        <v>0.70241106</v>
      </c>
      <c r="I42" s="205">
        <v>-0.3053448</v>
      </c>
      <c r="J42" s="205">
        <v>1.48052605</v>
      </c>
      <c r="K42" s="205">
        <v>4.38897319</v>
      </c>
      <c r="L42" s="205">
        <v>0.0</v>
      </c>
      <c r="M42" s="205">
        <v>0.19979767</v>
      </c>
      <c r="N42" s="205">
        <v>0.43904906</v>
      </c>
      <c r="O42" s="205">
        <v>-0.1139774</v>
      </c>
      <c r="P42" s="205">
        <v>-0.2291351</v>
      </c>
      <c r="Q42" s="205">
        <v>-0.6186141</v>
      </c>
      <c r="R42" s="205">
        <v>2.76530096</v>
      </c>
      <c r="S42" s="205">
        <v>0.33097285</v>
      </c>
      <c r="T42" s="205">
        <v>1.1736638</v>
      </c>
      <c r="U42" s="205">
        <v>0.25392008</v>
      </c>
      <c r="V42" s="205">
        <v>1.37599056</v>
      </c>
      <c r="W42" s="205">
        <v>0.8263362</v>
      </c>
      <c r="X42" s="205">
        <v>-0.102175</v>
      </c>
      <c r="Y42" s="205">
        <v>1.66936436</v>
      </c>
      <c r="Z42" s="205">
        <v>1.04029675</v>
      </c>
      <c r="AA42" s="205">
        <v>-0.1606812</v>
      </c>
      <c r="AB42" s="205">
        <v>-0.4572753</v>
      </c>
      <c r="AC42" s="205">
        <v>0.33333333</v>
      </c>
      <c r="AD42" s="205">
        <v>-0.2389142</v>
      </c>
      <c r="AE42" s="205">
        <v>1.04602934</v>
      </c>
      <c r="AF42" s="205">
        <v>-0.0950936</v>
      </c>
      <c r="AG42" s="205">
        <v>-0.1385938</v>
      </c>
      <c r="AH42" s="205">
        <v>1.52773563</v>
      </c>
      <c r="AI42" s="205">
        <v>0.88079582</v>
      </c>
      <c r="AJ42" s="205">
        <v>-0.6186141</v>
      </c>
      <c r="AK42" s="205">
        <v>1.22593155</v>
      </c>
      <c r="AL42" s="205">
        <v>-0.2721295</v>
      </c>
      <c r="AM42" s="205">
        <v>0.70561457</v>
      </c>
      <c r="AN42" s="205">
        <v>1.13657056</v>
      </c>
      <c r="AO42" s="205">
        <v>-0.4541224</v>
      </c>
      <c r="AP42" s="205">
        <v>0.60023605</v>
      </c>
      <c r="AQ42" s="205">
        <v>-0.4147699</v>
      </c>
      <c r="AR42" s="205">
        <v>0.12662283</v>
      </c>
      <c r="AS42" s="205">
        <v>0.66632946</v>
      </c>
      <c r="AT42" s="205">
        <v>-0.1385938</v>
      </c>
      <c r="AU42" s="205">
        <v>-0.6186141</v>
      </c>
      <c r="AV42" s="205">
        <v>-0.1279717</v>
      </c>
      <c r="AW42" s="205">
        <v>-0.6186141</v>
      </c>
      <c r="AX42" s="205">
        <v>0.00202327</v>
      </c>
      <c r="AY42" s="205">
        <v>-0.6186141</v>
      </c>
      <c r="AZ42" s="205">
        <v>1.24785028</v>
      </c>
      <c r="BA42" s="205">
        <v>-0.04232</v>
      </c>
      <c r="BB42" s="205">
        <v>-0.179565</v>
      </c>
      <c r="BC42" s="205">
        <v>0.10301804</v>
      </c>
      <c r="BD42" s="205">
        <v>-0.1488788</v>
      </c>
      <c r="BE42" s="205">
        <v>-0.0234362</v>
      </c>
      <c r="BF42" s="205">
        <v>0.19558253</v>
      </c>
      <c r="BG42" s="205">
        <v>1.25122239</v>
      </c>
      <c r="BH42" s="205">
        <v>-0.2448154</v>
      </c>
      <c r="BI42" s="205">
        <v>-0.3754847</v>
      </c>
      <c r="BJ42" s="205">
        <v>-0.1347159</v>
      </c>
      <c r="BK42" s="205">
        <v>-0.6186141</v>
      </c>
      <c r="BL42" s="205">
        <v>0.03743045</v>
      </c>
      <c r="BM42" s="205">
        <v>-0.5241612</v>
      </c>
      <c r="BN42" s="205">
        <v>0.18293711</v>
      </c>
      <c r="BO42" s="205">
        <v>24.773394</v>
      </c>
      <c r="BP42" s="205">
        <v>-0.4504299</v>
      </c>
      <c r="BQ42" s="205">
        <v>-0.0898668</v>
      </c>
      <c r="BR42" s="206"/>
      <c r="BS42" s="207">
        <f t="shared" si="6"/>
        <v>0.6892121778</v>
      </c>
      <c r="BT42" s="207">
        <f t="shared" si="7"/>
        <v>1.168640885</v>
      </c>
      <c r="BU42" s="206"/>
      <c r="BV42" s="207">
        <f>IFERROR(__xludf.DUMMYFUNCTION("AVERAGE(ARRAYFORMULA(XLOOKUP(FILTER(INDIRECT(""'""&amp;BV$1&amp;""'!$C$4:$C$66""),INDIRECT(""'""&amp;BV$1&amp;""'!$D$4:$D$66"")=BV$2),$G$4:$BQ$4,$G42:$BQ42)))"),-0.15522316714285714)</f>
        <v>-0.1552231671</v>
      </c>
      <c r="BW42" s="207" t="str">
        <f>IFERROR(__xludf.DUMMYFUNCTION("IF(OR(BV42&gt;$BS42+$BT42*$BT$2,BV42&lt;$BS42-$BT42*$BT$2),AVEDEV(ARRAYFORMULA(XLOOKUP(FILTER(INDIRECT(""'""&amp;BV$1&amp;""'!$C$4:$C$66""),INDIRECT(""'""&amp;BV$1&amp;""'!$D$4:$D$66"")=BV$2),$G$4:$BQ$4,$G42:$BQ42))),"""")"),"")</f>
        <v/>
      </c>
      <c r="BX42" s="208" t="str">
        <f t="shared" si="8"/>
        <v/>
      </c>
      <c r="BY42" s="207">
        <f>IFERROR(__xludf.DUMMYFUNCTION("AVERAGE(ARRAYFORMULA(XLOOKUP(FILTER(INDIRECT(""'""&amp;BY$1&amp;""'!$C$4:$C$66""),INDIRECT(""'""&amp;BY$1&amp;""'!$D$4:$D$66"")=BY$2),$G$4:$BQ$4,$G42:$BQ42)))"),0.986862406190476)</f>
        <v>0.9868624062</v>
      </c>
      <c r="BZ42" s="207" t="str">
        <f>IFERROR(__xludf.DUMMYFUNCTION("IF(OR(BY42&gt;$BS42+$BT42*$BT$2,BY42&lt;$BS42-$BT42*$BT$2),AVEDEV(ARRAYFORMULA(XLOOKUP(FILTER(INDIRECT(""'""&amp;BY$1&amp;""'!$C$4:$C$66""),INDIRECT(""'""&amp;BY$1&amp;""'!$D$4:$D$66"")=BY$2),$G$4:$BQ$4,$G42:$BQ42))),"""")"),"")</f>
        <v/>
      </c>
      <c r="CA42" s="208" t="str">
        <f t="shared" si="9"/>
        <v/>
      </c>
      <c r="CB42" s="207">
        <f>IFERROR(__xludf.DUMMYFUNCTION("AVERAGE(ARRAYFORMULA(XLOOKUP(FILTER(INDIRECT(""'""&amp;CB$1&amp;""'!$C$4:$C$66""),INDIRECT(""'""&amp;CB$1&amp;""'!$D$4:$D$66"")=CB$2),$G$4:$BQ$4,$G42:$BQ42)))"),0.37559509181818185)</f>
        <v>0.3755950918</v>
      </c>
      <c r="CC42" s="207" t="str">
        <f>IFERROR(__xludf.DUMMYFUNCTION("IF(OR(CB42&gt;$BS42+$BT42*$BT$2,CB42&lt;$BS42-$BT42*$BT$2),AVEDEV(ARRAYFORMULA(XLOOKUP(FILTER(INDIRECT(""'""&amp;CB$1&amp;""'!$C$4:$C$66""),INDIRECT(""'""&amp;CB$1&amp;""'!$D$4:$D$66"")=CB$2),$G$4:$BQ$4,$G42:$BQ42))),"""")"),"")</f>
        <v/>
      </c>
      <c r="CD42" s="208" t="str">
        <f t="shared" si="10"/>
        <v/>
      </c>
      <c r="CE42" s="209" t="s">
        <v>444</v>
      </c>
      <c r="CF42" s="207">
        <f>IFERROR(__xludf.DUMMYFUNCTION("AVERAGE(ARRAYFORMULA(XLOOKUP(FILTER(INDIRECT(""'""&amp;CF$1&amp;""'!$C$4:$C$66""),INDIRECT(""'""&amp;CF$1&amp;""'!$D$4:$D$66"")=CF$2),$G$4:$BQ$4,$G42:$BQ42)))"),0.6937067931249999)</f>
        <v>0.6937067931</v>
      </c>
      <c r="CG42" s="207" t="str">
        <f>IFERROR(__xludf.DUMMYFUNCTION("IF(OR(CF42&gt;$BS42+$BT42*$BT$2,CF42&lt;$BS42-$BT42*$BT$2),AVEDEV(ARRAYFORMULA(XLOOKUP(FILTER(INDIRECT(""'""&amp;CF$1&amp;""'!$C$4:$C$66""),INDIRECT(""'""&amp;CF$1&amp;""'!$D$4:$D$66"")=CF$2),$G$4:$BQ$4,$G42:$BQ42))),"""")"),"")</f>
        <v/>
      </c>
      <c r="CH42" s="208" t="str">
        <f t="shared" si="11"/>
        <v/>
      </c>
      <c r="CI42" s="207">
        <f>IFERROR(__xludf.DUMMYFUNCTION("AVERAGE(ARRAYFORMULA(XLOOKUP(FILTER(INDIRECT(""'""&amp;CI$1&amp;""'!$C$4:$C$66""),INDIRECT(""'""&amp;CI$1&amp;""'!$D$4:$D$66"")=CI$2),$G$4:$BQ$4,$G42:$BQ42)))"),0.21967355193548385)</f>
        <v>0.2196735519</v>
      </c>
      <c r="CJ42" s="207" t="str">
        <f>IFERROR(__xludf.DUMMYFUNCTION("IF(OR(CI42&gt;$BS42+$BT42*$BT$2,CI42&lt;$BS42-$BT42*$BT$2),AVEDEV(ARRAYFORMULA(XLOOKUP(FILTER(INDIRECT(""'""&amp;CI$1&amp;""'!$C$4:$C$66""),INDIRECT(""'""&amp;CI$1&amp;""'!$D$4:$D$66"")=CI$2),$G$4:$BQ$4,$G42:$BQ42))),"""")"),"")</f>
        <v/>
      </c>
      <c r="CK42" s="208" t="str">
        <f t="shared" si="12"/>
        <v/>
      </c>
      <c r="CL42" s="207">
        <f>IFERROR(__xludf.DUMMYFUNCTION("AVERAGE(ARRAYFORMULA(XLOOKUP(FILTER(INDIRECT(""'""&amp;CL$1&amp;""'!$C$4:$C$66""),INDIRECT(""'""&amp;CL$1&amp;""'!$D$4:$D$66"")=CL$2),$G$4:$BQ$4,$G42:$BQ42)))"),0.56395211)</f>
        <v>0.56395211</v>
      </c>
      <c r="CM42" s="207" t="str">
        <f>IFERROR(__xludf.DUMMYFUNCTION("IF(OR(CL42&gt;$BS42+$BT42*$BT$2,CL42&lt;$BS42-$BT42*$BT$2),AVEDEV(ARRAYFORMULA(XLOOKUP(FILTER(INDIRECT(""'""&amp;CL$1&amp;""'!$C$4:$C$66""),INDIRECT(""'""&amp;CL$1&amp;""'!$D$4:$D$66"")=CL$2),$G$4:$BQ$4,$G42:$BQ42))),"""")"),"")</f>
        <v/>
      </c>
      <c r="CN42" s="208" t="str">
        <f t="shared" si="13"/>
        <v/>
      </c>
      <c r="CO42" s="209" t="s">
        <v>444</v>
      </c>
      <c r="CP42" s="210">
        <f>IFERROR(__xludf.DUMMYFUNCTION("AVERAGE(ARRAYFORMULA(XLOOKUP(FILTER(INDIRECT(""'""&amp;CP$1&amp;""'!$C$4:$C$66""),INDIRECT(""'""&amp;CP$1&amp;""'!$D$4:$D$66"")=CP$2),$G$4:$BQ$4,$G42:$BQ42)))"),1.8908121133333333)</f>
        <v>1.890812113</v>
      </c>
      <c r="CQ42" s="207">
        <f>IFERROR(__xludf.DUMMYFUNCTION("IF(OR(CP42&gt;$BS42+$BT42*$BT$2,CP42&lt;$BS42-$BT42*$BT$2),AVEDEV(ARRAYFORMULA(XLOOKUP(FILTER(INDIRECT(""'""&amp;CP$1&amp;""'!$C$4:$C$66""),INDIRECT(""'""&amp;CP$1&amp;""'!$D$4:$D$66"")=CP$2),$G$4:$BQ$4,$G42:$BQ42))),"""")"),3.0510109182222225)</f>
        <v>3.051010918</v>
      </c>
      <c r="CR42" s="208" t="str">
        <f t="shared" si="14"/>
        <v/>
      </c>
      <c r="CS42" s="210">
        <f>IFERROR(__xludf.DUMMYFUNCTION("AVERAGE(ARRAYFORMULA(XLOOKUP(FILTER(INDIRECT(""'""&amp;CS$1&amp;""'!$C$4:$C$66""),INDIRECT(""'""&amp;CS$1&amp;""'!$D$4:$D$66"")=CS$2),$G$4:$BQ$4,$G42:$BQ42)))"),0.3403546717948717)</f>
        <v>0.3403546718</v>
      </c>
      <c r="CT42" s="207" t="str">
        <f>IFERROR(__xludf.DUMMYFUNCTION("IF(OR(CS42&gt;$BS42+$BT42*$BT$2,CS42&lt;$BS42-$BT42*$BT$2),AVEDEV(ARRAYFORMULA(XLOOKUP(FILTER(INDIRECT(""'""&amp;CS$1&amp;""'!$C$4:$C$66""),INDIRECT(""'""&amp;CS$1&amp;""'!$D$4:$D$66"")=CS$2),$G$4:$BQ$4,$G42:$BQ42))),"""")"),"")</f>
        <v/>
      </c>
      <c r="CU42" s="208" t="str">
        <f t="shared" si="15"/>
        <v/>
      </c>
      <c r="CV42" s="210">
        <f>IFERROR(__xludf.DUMMYFUNCTION("AVERAGE(ARRAYFORMULA(XLOOKUP(FILTER(INDIRECT(""'""&amp;CV$1&amp;""'!$C$4:$C$66""),INDIRECT(""'""&amp;CV$1&amp;""'!$D$4:$D$66"")=CV$2),$G$4:$BQ$4,$G42:$BQ42)))"),0.56395211)</f>
        <v>0.56395211</v>
      </c>
      <c r="CW42" s="207" t="str">
        <f>IFERROR(__xludf.DUMMYFUNCTION("IF(OR(CV42&gt;$BS42+$BT42*$BT$2,CV42&lt;$BS42-$BT42*$BT$2),AVEDEV(ARRAYFORMULA(XLOOKUP(FILTER(INDIRECT(""'""&amp;CV$1&amp;""'!$C$4:$C$66""),INDIRECT(""'""&amp;CV$1&amp;""'!$D$4:$D$66"")=CV$2),$G$4:$BQ$4,$G42:$BQ42))),"""")"),"")</f>
        <v/>
      </c>
      <c r="CX42" s="208" t="str">
        <f t="shared" si="16"/>
        <v/>
      </c>
      <c r="CY42" s="209" t="s">
        <v>444</v>
      </c>
      <c r="CZ42" s="210">
        <f>IFERROR(__xludf.DUMMYFUNCTION("AVERAGE(ARRAYFORMULA(XLOOKUP(FILTER(INDIRECT(""'""&amp;CZ$1&amp;""'!$C$4:$C$66""),INDIRECT(""'""&amp;CZ$1&amp;""'!$D$4:$D$66"")=CZ$2),$G$4:$BQ$4,$G42:$BQ42)))"),0.42027361571428573)</f>
        <v>0.4202736157</v>
      </c>
      <c r="DA42" s="207" t="str">
        <f>IFERROR(__xludf.DUMMYFUNCTION("IF(OR(CZ42&gt;$BS42+$BT42*$BT$2,CZ42&lt;$BS42-$BT42*$BT$2),AVEDEV(ARRAYFORMULA(XLOOKUP(FILTER(INDIRECT(""'""&amp;CZ$1&amp;""'!$C$4:$C$66""),INDIRECT(""'""&amp;CZ$1&amp;""'!$D$4:$D$66"")=CZ$2),$G$4:$BQ$4,$G42:$BQ42))),"""")"),"")</f>
        <v/>
      </c>
      <c r="DB42" s="208" t="str">
        <f t="shared" si="17"/>
        <v/>
      </c>
      <c r="DC42" s="210">
        <f>IFERROR(__xludf.DUMMYFUNCTION("AVERAGE(ARRAYFORMULA(XLOOKUP(FILTER(INDIRECT(""'""&amp;DC$1&amp;""'!$C$4:$C$66""),INDIRECT(""'""&amp;DC$1&amp;""'!$D$4:$D$66"")=DC$2),$G$4:$BQ$4,$G42:$BQ42)))"),0.37865077)</f>
        <v>0.37865077</v>
      </c>
      <c r="DD42" s="207" t="str">
        <f>IFERROR(__xludf.DUMMYFUNCTION("IF(OR(DC42&gt;$BS42+$BT42*$BT$2,DC42&lt;$BS42-$BT42*$BT$2),AVEDEV(ARRAYFORMULA(XLOOKUP(FILTER(INDIRECT(""'""&amp;DC$1&amp;""'!$C$4:$C$66""),INDIRECT(""'""&amp;DC$1&amp;""'!$D$4:$D$66"")=DC$2),$G$4:$BQ$4,$G42:$BQ42))),"""")"),"")</f>
        <v/>
      </c>
      <c r="DE42" s="208" t="str">
        <f t="shared" si="18"/>
        <v/>
      </c>
      <c r="DF42" s="210">
        <f>IFERROR(__xludf.DUMMYFUNCTION("AVERAGE(ARRAYFORMULA(XLOOKUP(FILTER(INDIRECT(""'""&amp;DF$1&amp;""'!$C$4:$C$66""),INDIRECT(""'""&amp;DF$1&amp;""'!$D$4:$D$66"")=DF$2),$G$4:$BQ$4,$G42:$BQ42)))"),2.6623273681818183)</f>
        <v>2.662327368</v>
      </c>
      <c r="DG42" s="207">
        <f>IFERROR(__xludf.DUMMYFUNCTION("IF(OR(DF42&gt;$BS42+$BT42*$BT$2,DF42&lt;$BS42-$BT42*$BT$2),AVEDEV(ARRAYFORMULA(XLOOKUP(FILTER(INDIRECT(""'""&amp;DF$1&amp;""'!$C$4:$C$66""),INDIRECT(""'""&amp;DF$1&amp;""'!$D$4:$D$66"")=DF$2),$G$4:$BQ$4,$G42:$BQ42))),"""")"),4.020193933057851)</f>
        <v>4.020193933</v>
      </c>
      <c r="DH42" s="208" t="str">
        <f t="shared" si="19"/>
        <v/>
      </c>
      <c r="DI42" s="210">
        <f>IFERROR(__xludf.DUMMYFUNCTION("AVERAGE(ARRAYFORMULA(XLOOKUP(FILTER(INDIRECT(""'""&amp;DI$1&amp;""'!$C$4:$C$66""),INDIRECT(""'""&amp;DI$1&amp;""'!$D$4:$D$66"")=DI$2),$G$4:$BQ$4,$G42:$BQ42)))"),-0.2418648)</f>
        <v>-0.2418648</v>
      </c>
      <c r="DJ42" s="207" t="str">
        <f>IFERROR(__xludf.DUMMYFUNCTION("IF(OR(DI42&gt;$BS42+$BT42*$BT$2,DI42&lt;$BS42-$BT42*$BT$2),AVEDEV(ARRAYFORMULA(XLOOKUP(FILTER(INDIRECT(""'""&amp;DI$1&amp;""'!$C$4:$C$66""),INDIRECT(""'""&amp;DI$1&amp;""'!$D$4:$D$66"")=DI$2),$G$4:$BQ$4,$G42:$BQ42))),"""")"),"")</f>
        <v/>
      </c>
      <c r="DK42" s="208" t="str">
        <f t="shared" si="20"/>
        <v/>
      </c>
      <c r="DL42" s="210">
        <f>IFERROR(__xludf.DUMMYFUNCTION("AVERAGE(ARRAYFORMULA(XLOOKUP(FILTER(INDIRECT(""'""&amp;DL$1&amp;""'!$C$4:$C$66""),INDIRECT(""'""&amp;DL$1&amp;""'!$D$4:$D$66"")=DL$2),$G$4:$BQ$4,$G42:$BQ42)))"),0.2110761871428572)</f>
        <v>0.2110761871</v>
      </c>
      <c r="DM42" s="207" t="str">
        <f>IFERROR(__xludf.DUMMYFUNCTION("IF(OR(DL42&gt;$BS42+$BT42*$BT$2,DL42&lt;$BS42-$BT42*$BT$2),AVEDEV(ARRAYFORMULA(XLOOKUP(FILTER(INDIRECT(""'""&amp;DL$1&amp;""'!$C$4:$C$66""),INDIRECT(""'""&amp;DL$1&amp;""'!$D$4:$D$66"")=DL$2),$G$4:$BQ$4,$G42:$BQ42))),"""")"),"")</f>
        <v/>
      </c>
      <c r="DN42" s="208" t="str">
        <f t="shared" si="21"/>
        <v/>
      </c>
      <c r="DO42" s="209" t="s">
        <v>444</v>
      </c>
      <c r="DP42" s="210">
        <f>IFERROR(__xludf.DUMMYFUNCTION("AVERAGE(ARRAYFORMULA(XLOOKUP(FILTER(INDIRECT(""'""&amp;DP$1&amp;""'!$C$4:$C$66""),INDIRECT(""'""&amp;DP$1&amp;""'!$D$4:$D$66"")=DP$2),$G$4:$BQ$4,$G42:$BQ42)))"),0.46058787266666673)</f>
        <v>0.4605878727</v>
      </c>
      <c r="DQ42" s="207" t="str">
        <f>IFERROR(__xludf.DUMMYFUNCTION("IF(OR(DP42&gt;$BS42+$BT42*$BT$2,DP42&lt;$BS42-$BT42*$BT$2),AVEDEV(ARRAYFORMULA(XLOOKUP(FILTER(INDIRECT(""'""&amp;DP$1&amp;""'!$C$4:$C$66""),INDIRECT(""'""&amp;DP$1&amp;""'!$D$4:$D$66"")=DP$2),$G$4:$BQ$4,$G42:$BQ42))),"""")"),"")</f>
        <v/>
      </c>
      <c r="DR42" s="208" t="str">
        <f t="shared" si="22"/>
        <v/>
      </c>
      <c r="DS42" s="210">
        <f>IFERROR(__xludf.DUMMYFUNCTION("AVERAGE(ARRAYFORMULA(XLOOKUP(FILTER(INDIRECT(""'""&amp;DS$1&amp;""'!$C$4:$C$66""),INDIRECT(""'""&amp;DS$1&amp;""'!$D$4:$D$66"")=DS$2),$G$4:$BQ$4,$G42:$BQ42)))"),0.13127258555555554)</f>
        <v>0.1312725856</v>
      </c>
      <c r="DT42" s="207" t="str">
        <f>IFERROR(__xludf.DUMMYFUNCTION("IF(OR(DS42&gt;$BS42+$BT42*$BT$2,DS42&lt;$BS42-$BT42*$BT$2),AVEDEV(ARRAYFORMULA(XLOOKUP(FILTER(INDIRECT(""'""&amp;DS$1&amp;""'!$C$4:$C$66""),INDIRECT(""'""&amp;DS$1&amp;""'!$D$4:$D$66"")=DS$2),$G$4:$BQ$4,$G42:$BQ42))),"""")"),"")</f>
        <v/>
      </c>
      <c r="DU42" s="208" t="str">
        <f t="shared" si="23"/>
        <v/>
      </c>
      <c r="DV42" s="210">
        <f>IFERROR(__xludf.DUMMYFUNCTION("AVERAGE(ARRAYFORMULA(XLOOKUP(FILTER(INDIRECT(""'""&amp;DV$1&amp;""'!$C$4:$C$66""),INDIRECT(""'""&amp;DV$1&amp;""'!$D$4:$D$66"")=DV$2),$G$4:$BQ$4,$G42:$BQ42)))"),0.38576967125000006)</f>
        <v>0.3857696713</v>
      </c>
      <c r="DW42" s="207" t="str">
        <f>IFERROR(__xludf.DUMMYFUNCTION("IF(OR(DV42&gt;$BS42+$BT42*$BT$2,DV42&lt;$BS42-$BT42*$BT$2),AVEDEV(ARRAYFORMULA(XLOOKUP(FILTER(INDIRECT(""'""&amp;DV$1&amp;""'!$C$4:$C$66""),INDIRECT(""'""&amp;DV$1&amp;""'!$D$4:$D$66"")=DV$2),$G$4:$BQ$4,$G42:$BQ42))),"""")"),"")</f>
        <v/>
      </c>
      <c r="DX42" s="208" t="str">
        <f t="shared" si="24"/>
        <v/>
      </c>
      <c r="DY42" s="210">
        <f>IFERROR(__xludf.DUMMYFUNCTION("AVERAGE(ARRAYFORMULA(XLOOKUP(FILTER(INDIRECT(""'""&amp;DY$1&amp;""'!$C$4:$C$66""),INDIRECT(""'""&amp;DY$1&amp;""'!$D$4:$D$66"")=DY$2),$G$4:$BQ$4,$G42:$BQ42)))"),2.9778002444444445)</f>
        <v>2.977800244</v>
      </c>
      <c r="DZ42" s="207">
        <f>IFERROR(__xludf.DUMMYFUNCTION("IF(OR(DY42&gt;$BS42+$BT42*$BT$2,DY42&lt;$BS42-$BT42*$BT$2),AVEDEV(ARRAYFORMULA(XLOOKUP(FILTER(INDIRECT(""'""&amp;DY$1&amp;""'!$C$4:$C$66""),INDIRECT(""'""&amp;DY$1&amp;""'!$D$4:$D$66"")=DY$2),$G$4:$BQ$4,$G42:$BQ42))),"""")"),4.843465279012346)</f>
        <v>4.843465279</v>
      </c>
      <c r="EA42" s="208" t="str">
        <f t="shared" si="25"/>
        <v/>
      </c>
      <c r="EB42" s="191"/>
    </row>
    <row r="43" outlineLevel="1">
      <c r="A43" s="2"/>
      <c r="B43" s="204">
        <v>39.0</v>
      </c>
      <c r="C43" s="204" t="s">
        <v>482</v>
      </c>
      <c r="D43" s="204" t="s">
        <v>483</v>
      </c>
      <c r="E43" s="205" t="b">
        <f>VLOOKUP(D43,'Feature Set List'!A39:C246,2,0)</f>
        <v>1</v>
      </c>
      <c r="F43" s="205" t="b">
        <f>VLOOKUP(D43,'Feature Set List'!A39:C246,3,0)</f>
        <v>1</v>
      </c>
      <c r="G43" s="205">
        <v>0.0</v>
      </c>
      <c r="H43" s="205">
        <v>0.0</v>
      </c>
      <c r="I43" s="205">
        <v>0.0</v>
      </c>
      <c r="J43" s="205">
        <v>0.0</v>
      </c>
      <c r="K43" s="205">
        <v>1.0</v>
      </c>
      <c r="L43" s="205">
        <v>0.0</v>
      </c>
      <c r="M43" s="205">
        <v>0.0</v>
      </c>
      <c r="N43" s="205">
        <v>0.0</v>
      </c>
      <c r="O43" s="205">
        <v>0.0</v>
      </c>
      <c r="P43" s="205">
        <v>0.0</v>
      </c>
      <c r="Q43" s="205">
        <v>2.5</v>
      </c>
      <c r="R43" s="205">
        <v>0.0</v>
      </c>
      <c r="S43" s="205">
        <v>0.0</v>
      </c>
      <c r="T43" s="205">
        <v>0.0</v>
      </c>
      <c r="U43" s="205">
        <v>1.0</v>
      </c>
      <c r="V43" s="205">
        <v>1.0</v>
      </c>
      <c r="W43" s="205">
        <v>0.0</v>
      </c>
      <c r="X43" s="205">
        <v>0.0</v>
      </c>
      <c r="Y43" s="205">
        <v>2.5</v>
      </c>
      <c r="Z43" s="205">
        <v>0.0</v>
      </c>
      <c r="AA43" s="205">
        <v>0.0</v>
      </c>
      <c r="AB43" s="205">
        <v>0.0</v>
      </c>
      <c r="AC43" s="205">
        <v>0.0</v>
      </c>
      <c r="AD43" s="205">
        <v>1.0</v>
      </c>
      <c r="AE43" s="205">
        <v>0.0</v>
      </c>
      <c r="AF43" s="205">
        <v>1.0</v>
      </c>
      <c r="AG43" s="205">
        <v>0.0</v>
      </c>
      <c r="AH43" s="205">
        <v>0.0</v>
      </c>
      <c r="AI43" s="205">
        <v>0.0</v>
      </c>
      <c r="AJ43" s="205">
        <v>6.0</v>
      </c>
      <c r="AK43" s="205">
        <v>1.0</v>
      </c>
      <c r="AL43" s="205">
        <v>0.0</v>
      </c>
      <c r="AM43" s="205">
        <v>1.0</v>
      </c>
      <c r="AN43" s="205">
        <v>0.0</v>
      </c>
      <c r="AO43" s="205">
        <v>1.5</v>
      </c>
      <c r="AP43" s="205">
        <v>1.0</v>
      </c>
      <c r="AQ43" s="205">
        <v>0.0</v>
      </c>
      <c r="AR43" s="205">
        <v>6.0</v>
      </c>
      <c r="AS43" s="205">
        <v>0.0</v>
      </c>
      <c r="AT43" s="205">
        <v>0.0</v>
      </c>
      <c r="AU43" s="205">
        <v>2.5</v>
      </c>
      <c r="AV43" s="205">
        <v>6.0</v>
      </c>
      <c r="AW43" s="205">
        <v>2.5</v>
      </c>
      <c r="AX43" s="205">
        <v>1.0</v>
      </c>
      <c r="AY43" s="205">
        <v>0.0</v>
      </c>
      <c r="AZ43" s="205">
        <v>3.5</v>
      </c>
      <c r="BA43" s="205">
        <v>0.0</v>
      </c>
      <c r="BB43" s="205">
        <v>0.0</v>
      </c>
      <c r="BC43" s="205">
        <v>0.0</v>
      </c>
      <c r="BD43" s="205">
        <v>1.0</v>
      </c>
      <c r="BE43" s="205">
        <v>0.0</v>
      </c>
      <c r="BF43" s="205">
        <v>1.0</v>
      </c>
      <c r="BG43" s="205">
        <v>0.0</v>
      </c>
      <c r="BH43" s="205">
        <v>1.0</v>
      </c>
      <c r="BI43" s="205">
        <v>1.0</v>
      </c>
      <c r="BJ43" s="205">
        <v>0.0</v>
      </c>
      <c r="BK43" s="205">
        <v>1.0</v>
      </c>
      <c r="BL43" s="205">
        <v>0.0</v>
      </c>
      <c r="BM43" s="205">
        <v>0.0</v>
      </c>
      <c r="BN43" s="205">
        <v>1.0</v>
      </c>
      <c r="BO43" s="205">
        <v>1.5</v>
      </c>
      <c r="BP43" s="205">
        <v>1.0</v>
      </c>
      <c r="BQ43" s="205">
        <v>2.5</v>
      </c>
      <c r="BR43" s="206"/>
      <c r="BS43" s="207">
        <f t="shared" si="6"/>
        <v>0.8412698413</v>
      </c>
      <c r="BT43" s="207">
        <f t="shared" si="7"/>
        <v>0.9614512472</v>
      </c>
      <c r="BU43" s="206"/>
      <c r="BV43" s="207">
        <f>IFERROR(__xludf.DUMMYFUNCTION("AVERAGE(ARRAYFORMULA(XLOOKUP(FILTER(INDIRECT(""'""&amp;BV$1&amp;""'!$C$4:$C$66""),INDIRECT(""'""&amp;BV$1&amp;""'!$D$4:$D$66"")=BV$2),$G$4:$BQ$4,$G43:$BQ43)))"),0.35714285714285715)</f>
        <v>0.3571428571</v>
      </c>
      <c r="BW43" s="207" t="str">
        <f>IFERROR(__xludf.DUMMYFUNCTION("IF(OR(BV43&gt;$BS43+$BT43*$BT$2,BV43&lt;$BS43-$BT43*$BT$2),AVEDEV(ARRAYFORMULA(XLOOKUP(FILTER(INDIRECT(""'""&amp;BV$1&amp;""'!$C$4:$C$66""),INDIRECT(""'""&amp;BV$1&amp;""'!$D$4:$D$66"")=BV$2),$G$4:$BQ$4,$G43:$BQ43))),"""")"),"")</f>
        <v/>
      </c>
      <c r="BX43" s="208" t="str">
        <f t="shared" si="8"/>
        <v/>
      </c>
      <c r="BY43" s="207">
        <f>IFERROR(__xludf.DUMMYFUNCTION("AVERAGE(ARRAYFORMULA(XLOOKUP(FILTER(INDIRECT(""'""&amp;BY$1&amp;""'!$C$4:$C$66""),INDIRECT(""'""&amp;BY$1&amp;""'!$D$4:$D$66"")=BY$2),$G$4:$BQ$4,$G43:$BQ43)))"),0.9523809523809523)</f>
        <v>0.9523809524</v>
      </c>
      <c r="BZ43" s="207" t="str">
        <f>IFERROR(__xludf.DUMMYFUNCTION("IF(OR(BY43&gt;$BS43+$BT43*$BT$2,BY43&lt;$BS43-$BT43*$BT$2),AVEDEV(ARRAYFORMULA(XLOOKUP(FILTER(INDIRECT(""'""&amp;BY$1&amp;""'!$C$4:$C$66""),INDIRECT(""'""&amp;BY$1&amp;""'!$D$4:$D$66"")=BY$2),$G$4:$BQ$4,$G43:$BQ43))),"""")"),"")</f>
        <v/>
      </c>
      <c r="CA43" s="208" t="str">
        <f t="shared" si="9"/>
        <v/>
      </c>
      <c r="CB43" s="207">
        <f>IFERROR(__xludf.DUMMYFUNCTION("AVERAGE(ARRAYFORMULA(XLOOKUP(FILTER(INDIRECT(""'""&amp;CB$1&amp;""'!$C$4:$C$66""),INDIRECT(""'""&amp;CB$1&amp;""'!$D$4:$D$66"")=CB$2),$G$4:$BQ$4,$G43:$BQ43)))"),0.6363636363636364)</f>
        <v>0.6363636364</v>
      </c>
      <c r="CC43" s="207" t="str">
        <f>IFERROR(__xludf.DUMMYFUNCTION("IF(OR(CB43&gt;$BS43+$BT43*$BT$2,CB43&lt;$BS43-$BT43*$BT$2),AVEDEV(ARRAYFORMULA(XLOOKUP(FILTER(INDIRECT(""'""&amp;CB$1&amp;""'!$C$4:$C$66""),INDIRECT(""'""&amp;CB$1&amp;""'!$D$4:$D$66"")=CB$2),$G$4:$BQ$4,$G43:$BQ43))),"""")"),"")</f>
        <v/>
      </c>
      <c r="CD43" s="208" t="str">
        <f t="shared" si="10"/>
        <v/>
      </c>
      <c r="CE43" s="209" t="s">
        <v>444</v>
      </c>
      <c r="CF43" s="207">
        <f>IFERROR(__xludf.DUMMYFUNCTION("AVERAGE(ARRAYFORMULA(XLOOKUP(FILTER(INDIRECT(""'""&amp;CF$1&amp;""'!$C$4:$C$66""),INDIRECT(""'""&amp;CF$1&amp;""'!$D$4:$D$66"")=CF$2),$G$4:$BQ$4,$G43:$BQ43)))"),0.53125)</f>
        <v>0.53125</v>
      </c>
      <c r="CG43" s="207" t="str">
        <f>IFERROR(__xludf.DUMMYFUNCTION("IF(OR(CF43&gt;$BS43+$BT43*$BT$2,CF43&lt;$BS43-$BT43*$BT$2),AVEDEV(ARRAYFORMULA(XLOOKUP(FILTER(INDIRECT(""'""&amp;CF$1&amp;""'!$C$4:$C$66""),INDIRECT(""'""&amp;CF$1&amp;""'!$D$4:$D$66"")=CF$2),$G$4:$BQ$4,$G43:$BQ43))),"""")"),"")</f>
        <v/>
      </c>
      <c r="CH43" s="208" t="str">
        <f t="shared" si="11"/>
        <v/>
      </c>
      <c r="CI43" s="207">
        <f>IFERROR(__xludf.DUMMYFUNCTION("AVERAGE(ARRAYFORMULA(XLOOKUP(FILTER(INDIRECT(""'""&amp;CI$1&amp;""'!$C$4:$C$66""),INDIRECT(""'""&amp;CI$1&amp;""'!$D$4:$D$66"")=CI$2),$G$4:$BQ$4,$G43:$BQ43)))"),1.0)</f>
        <v>1</v>
      </c>
      <c r="CJ43" s="207" t="str">
        <f>IFERROR(__xludf.DUMMYFUNCTION("IF(OR(CI43&gt;$BS43+$BT43*$BT$2,CI43&lt;$BS43-$BT43*$BT$2),AVEDEV(ARRAYFORMULA(XLOOKUP(FILTER(INDIRECT(""'""&amp;CI$1&amp;""'!$C$4:$C$66""),INDIRECT(""'""&amp;CI$1&amp;""'!$D$4:$D$66"")=CI$2),$G$4:$BQ$4,$G43:$BQ43))),"""")"),"")</f>
        <v/>
      </c>
      <c r="CK43" s="208" t="str">
        <f t="shared" si="12"/>
        <v/>
      </c>
      <c r="CL43" s="207">
        <f>IFERROR(__xludf.DUMMYFUNCTION("AVERAGE(ARRAYFORMULA(XLOOKUP(FILTER(INDIRECT(""'""&amp;CL$1&amp;""'!$C$4:$C$66""),INDIRECT(""'""&amp;CL$1&amp;""'!$D$4:$D$66"")=CL$2),$G$4:$BQ$4,$G43:$BQ43)))"),0.0)</f>
        <v>0</v>
      </c>
      <c r="CM43" s="207" t="str">
        <f>IFERROR(__xludf.DUMMYFUNCTION("IF(OR(CL43&gt;$BS43+$BT43*$BT$2,CL43&lt;$BS43-$BT43*$BT$2),AVEDEV(ARRAYFORMULA(XLOOKUP(FILTER(INDIRECT(""'""&amp;CL$1&amp;""'!$C$4:$C$66""),INDIRECT(""'""&amp;CL$1&amp;""'!$D$4:$D$66"")=CL$2),$G$4:$BQ$4,$G43:$BQ43))),"""")"),"")</f>
        <v/>
      </c>
      <c r="CN43" s="208" t="str">
        <f t="shared" si="13"/>
        <v/>
      </c>
      <c r="CO43" s="209" t="s">
        <v>444</v>
      </c>
      <c r="CP43" s="210">
        <f>IFERROR(__xludf.DUMMYFUNCTION("AVERAGE(ARRAYFORMULA(XLOOKUP(FILTER(INDIRECT(""'""&amp;CP$1&amp;""'!$C$4:$C$66""),INDIRECT(""'""&amp;CP$1&amp;""'!$D$4:$D$66"")=CP$2),$G$4:$BQ$4,$G43:$BQ43)))"),0.3333333333333333)</f>
        <v>0.3333333333</v>
      </c>
      <c r="CQ43" s="207" t="str">
        <f>IFERROR(__xludf.DUMMYFUNCTION("IF(OR(CP43&gt;$BS43+$BT43*$BT$2,CP43&lt;$BS43-$BT43*$BT$2),AVEDEV(ARRAYFORMULA(XLOOKUP(FILTER(INDIRECT(""'""&amp;CP$1&amp;""'!$C$4:$C$66""),INDIRECT(""'""&amp;CP$1&amp;""'!$D$4:$D$66"")=CP$2),$G$4:$BQ$4,$G43:$BQ43))),"""")"),"")</f>
        <v/>
      </c>
      <c r="CR43" s="208" t="str">
        <f t="shared" si="14"/>
        <v/>
      </c>
      <c r="CS43" s="210">
        <f>IFERROR(__xludf.DUMMYFUNCTION("AVERAGE(ARRAYFORMULA(XLOOKUP(FILTER(INDIRECT(""'""&amp;CS$1&amp;""'!$C$4:$C$66""),INDIRECT(""'""&amp;CS$1&amp;""'!$D$4:$D$66"")=CS$2),$G$4:$BQ$4,$G43:$BQ43)))"),1.141025641025641)</f>
        <v>1.141025641</v>
      </c>
      <c r="CT43" s="207" t="str">
        <f>IFERROR(__xludf.DUMMYFUNCTION("IF(OR(CS43&gt;$BS43+$BT43*$BT$2,CS43&lt;$BS43-$BT43*$BT$2),AVEDEV(ARRAYFORMULA(XLOOKUP(FILTER(INDIRECT(""'""&amp;CS$1&amp;""'!$C$4:$C$66""),INDIRECT(""'""&amp;CS$1&amp;""'!$D$4:$D$66"")=CS$2),$G$4:$BQ$4,$G43:$BQ43))),"""")"),"")</f>
        <v/>
      </c>
      <c r="CU43" s="208" t="str">
        <f t="shared" si="15"/>
        <v/>
      </c>
      <c r="CV43" s="210">
        <f>IFERROR(__xludf.DUMMYFUNCTION("AVERAGE(ARRAYFORMULA(XLOOKUP(FILTER(INDIRECT(""'""&amp;CV$1&amp;""'!$C$4:$C$66""),INDIRECT(""'""&amp;CV$1&amp;""'!$D$4:$D$66"")=CV$2),$G$4:$BQ$4,$G43:$BQ43)))"),0.0)</f>
        <v>0</v>
      </c>
      <c r="CW43" s="207" t="str">
        <f>IFERROR(__xludf.DUMMYFUNCTION("IF(OR(CV43&gt;$BS43+$BT43*$BT$2,CV43&lt;$BS43-$BT43*$BT$2),AVEDEV(ARRAYFORMULA(XLOOKUP(FILTER(INDIRECT(""'""&amp;CV$1&amp;""'!$C$4:$C$66""),INDIRECT(""'""&amp;CV$1&amp;""'!$D$4:$D$66"")=CV$2),$G$4:$BQ$4,$G43:$BQ43))),"""")"),"")</f>
        <v/>
      </c>
      <c r="CX43" s="208" t="str">
        <f t="shared" si="16"/>
        <v/>
      </c>
      <c r="CY43" s="209" t="s">
        <v>444</v>
      </c>
      <c r="CZ43" s="210">
        <f>IFERROR(__xludf.DUMMYFUNCTION("AVERAGE(ARRAYFORMULA(XLOOKUP(FILTER(INDIRECT(""'""&amp;CZ$1&amp;""'!$C$4:$C$66""),INDIRECT(""'""&amp;CZ$1&amp;""'!$D$4:$D$66"")=CZ$2),$G$4:$BQ$4,$G43:$BQ43)))"),0.5357142857142857)</f>
        <v>0.5357142857</v>
      </c>
      <c r="DA43" s="207" t="str">
        <f>IFERROR(__xludf.DUMMYFUNCTION("IF(OR(CZ43&gt;$BS43+$BT43*$BT$2,CZ43&lt;$BS43-$BT43*$BT$2),AVEDEV(ARRAYFORMULA(XLOOKUP(FILTER(INDIRECT(""'""&amp;CZ$1&amp;""'!$C$4:$C$66""),INDIRECT(""'""&amp;CZ$1&amp;""'!$D$4:$D$66"")=CZ$2),$G$4:$BQ$4,$G43:$BQ43))),"""")"),"")</f>
        <v/>
      </c>
      <c r="DB43" s="208" t="str">
        <f t="shared" si="17"/>
        <v/>
      </c>
      <c r="DC43" s="210">
        <f>IFERROR(__xludf.DUMMYFUNCTION("AVERAGE(ARRAYFORMULA(XLOOKUP(FILTER(INDIRECT(""'""&amp;DC$1&amp;""'!$C$4:$C$66""),INDIRECT(""'""&amp;DC$1&amp;""'!$D$4:$D$66"")=DC$2),$G$4:$BQ$4,$G43:$BQ43)))"),0.3888888888888889)</f>
        <v>0.3888888889</v>
      </c>
      <c r="DD43" s="207" t="str">
        <f>IFERROR(__xludf.DUMMYFUNCTION("IF(OR(DC43&gt;$BS43+$BT43*$BT$2,DC43&lt;$BS43-$BT43*$BT$2),AVEDEV(ARRAYFORMULA(XLOOKUP(FILTER(INDIRECT(""'""&amp;DC$1&amp;""'!$C$4:$C$66""),INDIRECT(""'""&amp;DC$1&amp;""'!$D$4:$D$66"")=DC$2),$G$4:$BQ$4,$G43:$BQ43))),"""")"),"")</f>
        <v/>
      </c>
      <c r="DE43" s="208" t="str">
        <f t="shared" si="18"/>
        <v/>
      </c>
      <c r="DF43" s="210">
        <f>IFERROR(__xludf.DUMMYFUNCTION("AVERAGE(ARRAYFORMULA(XLOOKUP(FILTER(INDIRECT(""'""&amp;DF$1&amp;""'!$C$4:$C$66""),INDIRECT(""'""&amp;DF$1&amp;""'!$D$4:$D$66"")=DF$2),$G$4:$BQ$4,$G43:$BQ43)))"),1.0909090909090908)</f>
        <v>1.090909091</v>
      </c>
      <c r="DG43" s="207" t="str">
        <f>IFERROR(__xludf.DUMMYFUNCTION("IF(OR(DF43&gt;$BS43+$BT43*$BT$2,DF43&lt;$BS43-$BT43*$BT$2),AVEDEV(ARRAYFORMULA(XLOOKUP(FILTER(INDIRECT(""'""&amp;DF$1&amp;""'!$C$4:$C$66""),INDIRECT(""'""&amp;DF$1&amp;""'!$D$4:$D$66"")=DF$2),$G$4:$BQ$4,$G43:$BQ43))),"""")"),"")</f>
        <v/>
      </c>
      <c r="DH43" s="208" t="str">
        <f t="shared" si="19"/>
        <v/>
      </c>
      <c r="DI43" s="210">
        <f>IFERROR(__xludf.DUMMYFUNCTION("AVERAGE(ARRAYFORMULA(XLOOKUP(FILTER(INDIRECT(""'""&amp;DI$1&amp;""'!$C$4:$C$66""),INDIRECT(""'""&amp;DI$1&amp;""'!$D$4:$D$66"")=DI$2),$G$4:$BQ$4,$G43:$BQ43)))"),1.0)</f>
        <v>1</v>
      </c>
      <c r="DJ43" s="207" t="str">
        <f>IFERROR(__xludf.DUMMYFUNCTION("IF(OR(DI43&gt;$BS43+$BT43*$BT$2,DI43&lt;$BS43-$BT43*$BT$2),AVEDEV(ARRAYFORMULA(XLOOKUP(FILTER(INDIRECT(""'""&amp;DI$1&amp;""'!$C$4:$C$66""),INDIRECT(""'""&amp;DI$1&amp;""'!$D$4:$D$66"")=DI$2),$G$4:$BQ$4,$G43:$BQ43))),"""")"),"")</f>
        <v/>
      </c>
      <c r="DK43" s="208" t="str">
        <f t="shared" si="20"/>
        <v/>
      </c>
      <c r="DL43" s="210">
        <f>IFERROR(__xludf.DUMMYFUNCTION("AVERAGE(ARRAYFORMULA(XLOOKUP(FILTER(INDIRECT(""'""&amp;DL$1&amp;""'!$C$4:$C$66""),INDIRECT(""'""&amp;DL$1&amp;""'!$D$4:$D$66"")=DL$2),$G$4:$BQ$4,$G43:$BQ43)))"),1.5)</f>
        <v>1.5</v>
      </c>
      <c r="DM43" s="207" t="str">
        <f>IFERROR(__xludf.DUMMYFUNCTION("IF(OR(DL43&gt;$BS43+$BT43*$BT$2,DL43&lt;$BS43-$BT43*$BT$2),AVEDEV(ARRAYFORMULA(XLOOKUP(FILTER(INDIRECT(""'""&amp;DL$1&amp;""'!$C$4:$C$66""),INDIRECT(""'""&amp;DL$1&amp;""'!$D$4:$D$66"")=DL$2),$G$4:$BQ$4,$G43:$BQ43))),"""")"),"")</f>
        <v/>
      </c>
      <c r="DN43" s="208" t="str">
        <f t="shared" si="21"/>
        <v/>
      </c>
      <c r="DO43" s="209" t="s">
        <v>444</v>
      </c>
      <c r="DP43" s="210">
        <f>IFERROR(__xludf.DUMMYFUNCTION("AVERAGE(ARRAYFORMULA(XLOOKUP(FILTER(INDIRECT(""'""&amp;DP$1&amp;""'!$C$4:$C$66""),INDIRECT(""'""&amp;DP$1&amp;""'!$D$4:$D$66"")=DP$2),$G$4:$BQ$4,$G43:$BQ43)))"),0.4666666666666667)</f>
        <v>0.4666666667</v>
      </c>
      <c r="DQ43" s="207" t="str">
        <f>IFERROR(__xludf.DUMMYFUNCTION("IF(OR(DP43&gt;$BS43+$BT43*$BT$2,DP43&lt;$BS43-$BT43*$BT$2),AVEDEV(ARRAYFORMULA(XLOOKUP(FILTER(INDIRECT(""'""&amp;DP$1&amp;""'!$C$4:$C$66""),INDIRECT(""'""&amp;DP$1&amp;""'!$D$4:$D$66"")=DP$2),$G$4:$BQ$4,$G43:$BQ43))),"""")"),"")</f>
        <v/>
      </c>
      <c r="DR43" s="208" t="str">
        <f t="shared" si="22"/>
        <v/>
      </c>
      <c r="DS43" s="210">
        <f>IFERROR(__xludf.DUMMYFUNCTION("AVERAGE(ARRAYFORMULA(XLOOKUP(FILTER(INDIRECT(""'""&amp;DS$1&amp;""'!$C$4:$C$66""),INDIRECT(""'""&amp;DS$1&amp;""'!$D$4:$D$66"")=DS$2),$G$4:$BQ$4,$G43:$BQ43)))"),0.6666666666666666)</f>
        <v>0.6666666667</v>
      </c>
      <c r="DT43" s="207" t="str">
        <f>IFERROR(__xludf.DUMMYFUNCTION("IF(OR(DS43&gt;$BS43+$BT43*$BT$2,DS43&lt;$BS43-$BT43*$BT$2),AVEDEV(ARRAYFORMULA(XLOOKUP(FILTER(INDIRECT(""'""&amp;DS$1&amp;""'!$C$4:$C$66""),INDIRECT(""'""&amp;DS$1&amp;""'!$D$4:$D$66"")=DS$2),$G$4:$BQ$4,$G43:$BQ43))),"""")"),"")</f>
        <v/>
      </c>
      <c r="DU43" s="208" t="str">
        <f t="shared" si="23"/>
        <v/>
      </c>
      <c r="DV43" s="210">
        <f>IFERROR(__xludf.DUMMYFUNCTION("AVERAGE(ARRAYFORMULA(XLOOKUP(FILTER(INDIRECT(""'""&amp;DV$1&amp;""'!$C$4:$C$66""),INDIRECT(""'""&amp;DV$1&amp;""'!$D$4:$D$66"")=DV$2),$G$4:$BQ$4,$G43:$BQ43)))"),1.3125)</f>
        <v>1.3125</v>
      </c>
      <c r="DW43" s="207" t="str">
        <f>IFERROR(__xludf.DUMMYFUNCTION("IF(OR(DV43&gt;$BS43+$BT43*$BT$2,DV43&lt;$BS43-$BT43*$BT$2),AVEDEV(ARRAYFORMULA(XLOOKUP(FILTER(INDIRECT(""'""&amp;DV$1&amp;""'!$C$4:$C$66""),INDIRECT(""'""&amp;DV$1&amp;""'!$D$4:$D$66"")=DV$2),$G$4:$BQ$4,$G43:$BQ43))),"""")"),"")</f>
        <v/>
      </c>
      <c r="DX43" s="208" t="str">
        <f t="shared" si="24"/>
        <v/>
      </c>
      <c r="DY43" s="210">
        <f>IFERROR(__xludf.DUMMYFUNCTION("AVERAGE(ARRAYFORMULA(XLOOKUP(FILTER(INDIRECT(""'""&amp;DY$1&amp;""'!$C$4:$C$66""),INDIRECT(""'""&amp;DY$1&amp;""'!$D$4:$D$66"")=DY$2),$G$4:$BQ$4,$G43:$BQ43)))"),1.2777777777777777)</f>
        <v>1.277777778</v>
      </c>
      <c r="DZ43" s="207" t="str">
        <f>IFERROR(__xludf.DUMMYFUNCTION("IF(OR(DY43&gt;$BS43+$BT43*$BT$2,DY43&lt;$BS43-$BT43*$BT$2),AVEDEV(ARRAYFORMULA(XLOOKUP(FILTER(INDIRECT(""'""&amp;DY$1&amp;""'!$C$4:$C$66""),INDIRECT(""'""&amp;DY$1&amp;""'!$D$4:$D$66"")=DY$2),$G$4:$BQ$4,$G43:$BQ43))),"""")"),"")</f>
        <v/>
      </c>
      <c r="EA43" s="208" t="str">
        <f t="shared" si="25"/>
        <v/>
      </c>
      <c r="EB43" s="191"/>
    </row>
    <row r="44" outlineLevel="1">
      <c r="A44" s="2"/>
      <c r="B44" s="204">
        <v>40.0</v>
      </c>
      <c r="C44" s="204" t="s">
        <v>482</v>
      </c>
      <c r="D44" s="204" t="s">
        <v>484</v>
      </c>
      <c r="E44" s="205" t="b">
        <f>VLOOKUP(D44,'Feature Set List'!A40:C246,2,0)</f>
        <v>1</v>
      </c>
      <c r="F44" s="205" t="b">
        <f>VLOOKUP(D44,'Feature Set List'!A40:C246,3,0)</f>
        <v>1</v>
      </c>
      <c r="G44" s="205">
        <v>-0.5502559</v>
      </c>
      <c r="H44" s="205">
        <v>-0.2079836</v>
      </c>
      <c r="I44" s="205">
        <v>-0.7934493</v>
      </c>
      <c r="J44" s="205">
        <v>-0.0282497</v>
      </c>
      <c r="K44" s="205">
        <v>-0.6906858</v>
      </c>
      <c r="L44" s="205">
        <v>0.50726714</v>
      </c>
      <c r="M44" s="205">
        <v>0.0</v>
      </c>
      <c r="N44" s="205">
        <v>0.30010235</v>
      </c>
      <c r="O44" s="205">
        <v>0.55025589</v>
      </c>
      <c r="P44" s="205">
        <v>1.34042989</v>
      </c>
      <c r="Q44" s="205">
        <v>-0.0376663</v>
      </c>
      <c r="R44" s="205">
        <v>0.45813715</v>
      </c>
      <c r="S44" s="205">
        <v>0.5408393</v>
      </c>
      <c r="T44" s="205">
        <v>0.30747185</v>
      </c>
      <c r="U44" s="205">
        <v>-0.616172</v>
      </c>
      <c r="V44" s="205">
        <v>0.82497441</v>
      </c>
      <c r="W44" s="205">
        <v>0.25465711</v>
      </c>
      <c r="X44" s="205">
        <v>0.1383828</v>
      </c>
      <c r="Y44" s="205">
        <v>-0.3443193</v>
      </c>
      <c r="Z44" s="205">
        <v>-0.6493347</v>
      </c>
      <c r="AA44" s="205">
        <v>-0.8945752</v>
      </c>
      <c r="AB44" s="205">
        <v>-0.2792221</v>
      </c>
      <c r="AC44" s="205">
        <v>-0.5121801</v>
      </c>
      <c r="AD44" s="205">
        <v>-0.3054248</v>
      </c>
      <c r="AE44" s="205">
        <v>-0.414739</v>
      </c>
      <c r="AF44" s="205">
        <v>0.55844422</v>
      </c>
      <c r="AG44" s="205">
        <v>-0.5019447</v>
      </c>
      <c r="AH44" s="205">
        <v>-0.5940635</v>
      </c>
      <c r="AI44" s="205">
        <v>0.55189355</v>
      </c>
      <c r="AJ44" s="205">
        <v>0.58219038</v>
      </c>
      <c r="AK44" s="205">
        <v>0.24032753</v>
      </c>
      <c r="AL44" s="205">
        <v>-0.2206755</v>
      </c>
      <c r="AM44" s="205">
        <v>-0.7291709</v>
      </c>
      <c r="AN44" s="205">
        <v>-0.0769703</v>
      </c>
      <c r="AO44" s="205">
        <v>0.72221085</v>
      </c>
      <c r="AP44" s="205">
        <v>0.35701126</v>
      </c>
      <c r="AQ44" s="205">
        <v>-0.4929376</v>
      </c>
      <c r="AR44" s="205">
        <v>2.02128966</v>
      </c>
      <c r="AS44" s="205">
        <v>0.42006141</v>
      </c>
      <c r="AT44" s="205">
        <v>-0.2501535</v>
      </c>
      <c r="AU44" s="205">
        <v>1.75148414</v>
      </c>
      <c r="AV44" s="205">
        <v>0.53183214</v>
      </c>
      <c r="AW44" s="205">
        <v>1.29498465</v>
      </c>
      <c r="AX44" s="205">
        <v>0.74145343</v>
      </c>
      <c r="AY44" s="205">
        <v>-0.7041965</v>
      </c>
      <c r="AZ44" s="205">
        <v>0.18874104</v>
      </c>
      <c r="BA44" s="205">
        <v>0.04708291</v>
      </c>
      <c r="BB44" s="205">
        <v>-1.0558854</v>
      </c>
      <c r="BC44" s="205">
        <v>0.27676561</v>
      </c>
      <c r="BD44" s="205">
        <v>-0.3934493</v>
      </c>
      <c r="BE44" s="205">
        <v>-1.0128966</v>
      </c>
      <c r="BF44" s="205">
        <v>-0.5543501</v>
      </c>
      <c r="BG44" s="205">
        <v>-0.223132</v>
      </c>
      <c r="BH44" s="205">
        <v>-0.4053224</v>
      </c>
      <c r="BI44" s="205">
        <v>0.63909928</v>
      </c>
      <c r="BJ44" s="205">
        <v>1.14636643</v>
      </c>
      <c r="BK44" s="205">
        <v>0.36724667</v>
      </c>
      <c r="BL44" s="205">
        <v>-0.5760491</v>
      </c>
      <c r="BM44" s="205">
        <v>-0.4024565</v>
      </c>
      <c r="BN44" s="205">
        <v>0.10440123</v>
      </c>
      <c r="BO44" s="205">
        <v>-0.7631525</v>
      </c>
      <c r="BP44" s="205">
        <v>0.47246673</v>
      </c>
      <c r="BQ44" s="205">
        <v>0.49785056</v>
      </c>
      <c r="BR44" s="206"/>
      <c r="BS44" s="207">
        <f t="shared" si="6"/>
        <v>0.05483583127</v>
      </c>
      <c r="BT44" s="207">
        <f t="shared" si="7"/>
        <v>0.541065515</v>
      </c>
      <c r="BU44" s="206"/>
      <c r="BV44" s="207">
        <f>IFERROR(__xludf.DUMMYFUNCTION("AVERAGE(ARRAYFORMULA(XLOOKUP(FILTER(INDIRECT(""'""&amp;BV$1&amp;""'!$C$4:$C$66""),INDIRECT(""'""&amp;BV$1&amp;""'!$D$4:$D$66"")=BV$2),$G$4:$BQ$4,$G44:$BQ44)))"),-0.4435151357142857)</f>
        <v>-0.4435151357</v>
      </c>
      <c r="BW44" s="207" t="str">
        <f>IFERROR(__xludf.DUMMYFUNCTION("IF(OR(BV44&gt;$BS44+$BT44*$BT$2,BV44&lt;$BS44-$BT44*$BT$2),AVEDEV(ARRAYFORMULA(XLOOKUP(FILTER(INDIRECT(""'""&amp;BV$1&amp;""'!$C$4:$C$66""),INDIRECT(""'""&amp;BV$1&amp;""'!$D$4:$D$66"")=BV$2),$G$4:$BQ$4,$G44:$BQ44))),"""")"),"")</f>
        <v/>
      </c>
      <c r="BX44" s="208" t="str">
        <f t="shared" si="8"/>
        <v/>
      </c>
      <c r="BY44" s="207">
        <f>IFERROR(__xludf.DUMMYFUNCTION("AVERAGE(ARRAYFORMULA(XLOOKUP(FILTER(INDIRECT(""'""&amp;BY$1&amp;""'!$C$4:$C$66""),INDIRECT(""'""&amp;BY$1&amp;""'!$D$4:$D$66"")=BY$2),$G$4:$BQ$4,$G44:$BQ44)))"),0.0973241742857143)</f>
        <v>0.09732417429</v>
      </c>
      <c r="BZ44" s="207" t="str">
        <f>IFERROR(__xludf.DUMMYFUNCTION("IF(OR(BY44&gt;$BS44+$BT44*$BT$2,BY44&lt;$BS44-$BT44*$BT$2),AVEDEV(ARRAYFORMULA(XLOOKUP(FILTER(INDIRECT(""'""&amp;BY$1&amp;""'!$C$4:$C$66""),INDIRECT(""'""&amp;BY$1&amp;""'!$D$4:$D$66"")=BY$2),$G$4:$BQ$4,$G44:$BQ44))),"""")"),"")</f>
        <v/>
      </c>
      <c r="CA44" s="208" t="str">
        <f t="shared" si="9"/>
        <v/>
      </c>
      <c r="CB44" s="207">
        <f>IFERROR(__xludf.DUMMYFUNCTION("AVERAGE(ARRAYFORMULA(XLOOKUP(FILTER(INDIRECT(""'""&amp;CB$1&amp;""'!$C$4:$C$66""),INDIRECT(""'""&amp;CB$1&amp;""'!$D$4:$D$66"")=CB$2),$G$4:$BQ$4,$G44:$BQ44)))"),0.17336931454545457)</f>
        <v>0.1733693145</v>
      </c>
      <c r="CC44" s="207" t="str">
        <f>IFERROR(__xludf.DUMMYFUNCTION("IF(OR(CB44&gt;$BS44+$BT44*$BT$2,CB44&lt;$BS44-$BT44*$BT$2),AVEDEV(ARRAYFORMULA(XLOOKUP(FILTER(INDIRECT(""'""&amp;CB$1&amp;""'!$C$4:$C$66""),INDIRECT(""'""&amp;CB$1&amp;""'!$D$4:$D$66"")=CB$2),$G$4:$BQ$4,$G44:$BQ44))),"""")"),"")</f>
        <v/>
      </c>
      <c r="CD44" s="208" t="str">
        <f t="shared" si="10"/>
        <v/>
      </c>
      <c r="CE44" s="209" t="s">
        <v>444</v>
      </c>
      <c r="CF44" s="207">
        <f>IFERROR(__xludf.DUMMYFUNCTION("AVERAGE(ARRAYFORMULA(XLOOKUP(FILTER(INDIRECT(""'""&amp;CF$1&amp;""'!$C$4:$C$66""),INDIRECT(""'""&amp;CF$1&amp;""'!$D$4:$D$66"")=CF$2),$G$4:$BQ$4,$G44:$BQ44)))"),-0.07773797812500001)</f>
        <v>-0.07773797813</v>
      </c>
      <c r="CG44" s="207" t="str">
        <f>IFERROR(__xludf.DUMMYFUNCTION("IF(OR(CF44&gt;$BS44+$BT44*$BT$2,CF44&lt;$BS44-$BT44*$BT$2),AVEDEV(ARRAYFORMULA(XLOOKUP(FILTER(INDIRECT(""'""&amp;CF$1&amp;""'!$C$4:$C$66""),INDIRECT(""'""&amp;CF$1&amp;""'!$D$4:$D$66"")=CF$2),$G$4:$BQ$4,$G44:$BQ44))),"""")"),"")</f>
        <v/>
      </c>
      <c r="CH44" s="208" t="str">
        <f t="shared" si="11"/>
        <v/>
      </c>
      <c r="CI44" s="207">
        <f>IFERROR(__xludf.DUMMYFUNCTION("AVERAGE(ARRAYFORMULA(XLOOKUP(FILTER(INDIRECT(""'""&amp;CI$1&amp;""'!$C$4:$C$66""),INDIRECT(""'""&amp;CI$1&amp;""'!$D$4:$D$66"")=CI$2),$G$4:$BQ$4,$G44:$BQ44)))"),0.029372344516129027)</f>
        <v>0.02937234452</v>
      </c>
      <c r="CJ44" s="207" t="str">
        <f>IFERROR(__xludf.DUMMYFUNCTION("IF(OR(CI44&gt;$BS44+$BT44*$BT$2,CI44&lt;$BS44-$BT44*$BT$2),AVEDEV(ARRAYFORMULA(XLOOKUP(FILTER(INDIRECT(""'""&amp;CI$1&amp;""'!$C$4:$C$66""),INDIRECT(""'""&amp;CI$1&amp;""'!$D$4:$D$66"")=CI$2),$G$4:$BQ$4,$G44:$BQ44))),"""")"),"")</f>
        <v/>
      </c>
      <c r="CK44" s="208" t="str">
        <f t="shared" si="12"/>
        <v/>
      </c>
      <c r="CL44" s="207">
        <f>IFERROR(__xludf.DUMMYFUNCTION("AVERAGE(ARRAYFORMULA(XLOOKUP(FILTER(INDIRECT(""'""&amp;CL$1&amp;""'!$C$4:$C$66""),INDIRECT(""'""&amp;CL$1&amp;""'!$D$4:$D$66"")=CL$2),$G$4:$BQ$4,$G44:$BQ44)))"),0.378382812)</f>
        <v>0.378382812</v>
      </c>
      <c r="CM44" s="207" t="str">
        <f>IFERROR(__xludf.DUMMYFUNCTION("IF(OR(CL44&gt;$BS44+$BT44*$BT$2,CL44&lt;$BS44-$BT44*$BT$2),AVEDEV(ARRAYFORMULA(XLOOKUP(FILTER(INDIRECT(""'""&amp;CL$1&amp;""'!$C$4:$C$66""),INDIRECT(""'""&amp;CL$1&amp;""'!$D$4:$D$66"")=CL$2),$G$4:$BQ$4,$G44:$BQ44))),"""")"),"")</f>
        <v/>
      </c>
      <c r="CN44" s="208" t="str">
        <f t="shared" si="13"/>
        <v/>
      </c>
      <c r="CO44" s="209" t="s">
        <v>444</v>
      </c>
      <c r="CP44" s="210">
        <f>IFERROR(__xludf.DUMMYFUNCTION("AVERAGE(ARRAYFORMULA(XLOOKUP(FILTER(INDIRECT(""'""&amp;CP$1&amp;""'!$C$4:$C$66""),INDIRECT(""'""&amp;CP$1&amp;""'!$D$4:$D$66"")=CP$2),$G$4:$BQ$4,$G44:$BQ44)))"),-0.48343909666666673)</f>
        <v>-0.4834390967</v>
      </c>
      <c r="CQ44" s="207" t="str">
        <f>IFERROR(__xludf.DUMMYFUNCTION("IF(OR(CP44&gt;$BS44+$BT44*$BT$2,CP44&lt;$BS44-$BT44*$BT$2),AVEDEV(ARRAYFORMULA(XLOOKUP(FILTER(INDIRECT(""'""&amp;CP$1&amp;""'!$C$4:$C$66""),INDIRECT(""'""&amp;CP$1&amp;""'!$D$4:$D$66"")=CP$2),$G$4:$BQ$4,$G44:$BQ44))),"""")"),"")</f>
        <v/>
      </c>
      <c r="CR44" s="208" t="str">
        <f t="shared" si="14"/>
        <v/>
      </c>
      <c r="CS44" s="210">
        <f>IFERROR(__xludf.DUMMYFUNCTION("AVERAGE(ARRAYFORMULA(XLOOKUP(FILTER(INDIRECT(""'""&amp;CS$1&amp;""'!$C$4:$C$66""),INDIRECT(""'""&amp;CS$1&amp;""'!$D$4:$D$66"")=CS$2),$G$4:$BQ$4,$G44:$BQ44)))"),0.22630239282051287)</f>
        <v>0.2263023928</v>
      </c>
      <c r="CT44" s="207" t="str">
        <f>IFERROR(__xludf.DUMMYFUNCTION("IF(OR(CS44&gt;$BS44+$BT44*$BT$2,CS44&lt;$BS44-$BT44*$BT$2),AVEDEV(ARRAYFORMULA(XLOOKUP(FILTER(INDIRECT(""'""&amp;CS$1&amp;""'!$C$4:$C$66""),INDIRECT(""'""&amp;CS$1&amp;""'!$D$4:$D$66"")=CS$2),$G$4:$BQ$4,$G44:$BQ44))),"""")"),"")</f>
        <v/>
      </c>
      <c r="CU44" s="208" t="str">
        <f t="shared" si="15"/>
        <v/>
      </c>
      <c r="CV44" s="210">
        <f>IFERROR(__xludf.DUMMYFUNCTION("AVERAGE(ARRAYFORMULA(XLOOKUP(FILTER(INDIRECT(""'""&amp;CV$1&amp;""'!$C$4:$C$66""),INDIRECT(""'""&amp;CV$1&amp;""'!$D$4:$D$66"")=CV$2),$G$4:$BQ$4,$G44:$BQ44)))"),0.378382812)</f>
        <v>0.378382812</v>
      </c>
      <c r="CW44" s="207" t="str">
        <f>IFERROR(__xludf.DUMMYFUNCTION("IF(OR(CV44&gt;$BS44+$BT44*$BT$2,CV44&lt;$BS44-$BT44*$BT$2),AVEDEV(ARRAYFORMULA(XLOOKUP(FILTER(INDIRECT(""'""&amp;CV$1&amp;""'!$C$4:$C$66""),INDIRECT(""'""&amp;CV$1&amp;""'!$D$4:$D$66"")=CV$2),$G$4:$BQ$4,$G44:$BQ44))),"""")"),"")</f>
        <v/>
      </c>
      <c r="CX44" s="208" t="str">
        <f t="shared" si="16"/>
        <v/>
      </c>
      <c r="CY44" s="209" t="s">
        <v>444</v>
      </c>
      <c r="CZ44" s="210">
        <f>IFERROR(__xludf.DUMMYFUNCTION("AVERAGE(ARRAYFORMULA(XLOOKUP(FILTER(INDIRECT(""'""&amp;CZ$1&amp;""'!$C$4:$C$66""),INDIRECT(""'""&amp;CZ$1&amp;""'!$D$4:$D$66"")=CZ$2),$G$4:$BQ$4,$G44:$BQ44)))"),0.10826144428571428)</f>
        <v>0.1082614443</v>
      </c>
      <c r="DA44" s="207" t="str">
        <f>IFERROR(__xludf.DUMMYFUNCTION("IF(OR(CZ44&gt;$BS44+$BT44*$BT$2,CZ44&lt;$BS44-$BT44*$BT$2),AVEDEV(ARRAYFORMULA(XLOOKUP(FILTER(INDIRECT(""'""&amp;CZ$1&amp;""'!$C$4:$C$66""),INDIRECT(""'""&amp;CZ$1&amp;""'!$D$4:$D$66"")=CZ$2),$G$4:$BQ$4,$G44:$BQ44))),"""")"),"")</f>
        <v/>
      </c>
      <c r="DB44" s="208" t="str">
        <f t="shared" si="17"/>
        <v/>
      </c>
      <c r="DC44" s="210">
        <f>IFERROR(__xludf.DUMMYFUNCTION("AVERAGE(ARRAYFORMULA(XLOOKUP(FILTER(INDIRECT(""'""&amp;DC$1&amp;""'!$C$4:$C$66""),INDIRECT(""'""&amp;DC$1&amp;""'!$D$4:$D$66"")=DC$2),$G$4:$BQ$4,$G44:$BQ44)))"),0.23564199111111106)</f>
        <v>0.2356419911</v>
      </c>
      <c r="DD44" s="207" t="str">
        <f>IFERROR(__xludf.DUMMYFUNCTION("IF(OR(DC44&gt;$BS44+$BT44*$BT$2,DC44&lt;$BS44-$BT44*$BT$2),AVEDEV(ARRAYFORMULA(XLOOKUP(FILTER(INDIRECT(""'""&amp;DC$1&amp;""'!$C$4:$C$66""),INDIRECT(""'""&amp;DC$1&amp;""'!$D$4:$D$66"")=DC$2),$G$4:$BQ$4,$G44:$BQ44))),"""")"),"")</f>
        <v/>
      </c>
      <c r="DE44" s="208" t="str">
        <f t="shared" si="18"/>
        <v/>
      </c>
      <c r="DF44" s="210">
        <f>IFERROR(__xludf.DUMMYFUNCTION("AVERAGE(ARRAYFORMULA(XLOOKUP(FILTER(INDIRECT(""'""&amp;DF$1&amp;""'!$C$4:$C$66""),INDIRECT(""'""&amp;DF$1&amp;""'!$D$4:$D$66"")=DF$2),$G$4:$BQ$4,$G44:$BQ44)))"),-0.27129430181818176)</f>
        <v>-0.2712943018</v>
      </c>
      <c r="DG44" s="207" t="str">
        <f>IFERROR(__xludf.DUMMYFUNCTION("IF(OR(DF44&gt;$BS44+$BT44*$BT$2,DF44&lt;$BS44-$BT44*$BT$2),AVEDEV(ARRAYFORMULA(XLOOKUP(FILTER(INDIRECT(""'""&amp;DF$1&amp;""'!$C$4:$C$66""),INDIRECT(""'""&amp;DF$1&amp;""'!$D$4:$D$66"")=DF$2),$G$4:$BQ$4,$G44:$BQ44))),"""")"),"")</f>
        <v/>
      </c>
      <c r="DH44" s="208" t="str">
        <f t="shared" si="19"/>
        <v/>
      </c>
      <c r="DI44" s="210">
        <f>IFERROR(__xludf.DUMMYFUNCTION("AVERAGE(ARRAYFORMULA(XLOOKUP(FILTER(INDIRECT(""'""&amp;DI$1&amp;""'!$C$4:$C$66""),INDIRECT(""'""&amp;DI$1&amp;""'!$D$4:$D$66"")=DI$2),$G$4:$BQ$4,$G44:$BQ44)))"),-0.3553736)</f>
        <v>-0.3553736</v>
      </c>
      <c r="DJ44" s="207" t="str">
        <f>IFERROR(__xludf.DUMMYFUNCTION("IF(OR(DI44&gt;$BS44+$BT44*$BT$2,DI44&lt;$BS44-$BT44*$BT$2),AVEDEV(ARRAYFORMULA(XLOOKUP(FILTER(INDIRECT(""'""&amp;DI$1&amp;""'!$C$4:$C$66""),INDIRECT(""'""&amp;DI$1&amp;""'!$D$4:$D$66"")=DI$2),$G$4:$BQ$4,$G44:$BQ44))),"""")"),"")</f>
        <v/>
      </c>
      <c r="DK44" s="208" t="str">
        <f t="shared" si="20"/>
        <v/>
      </c>
      <c r="DL44" s="210">
        <f>IFERROR(__xludf.DUMMYFUNCTION("AVERAGE(ARRAYFORMULA(XLOOKUP(FILTER(INDIRECT(""'""&amp;DL$1&amp;""'!$C$4:$C$66""),INDIRECT(""'""&amp;DL$1&amp;""'!$D$4:$D$66"")=DL$2),$G$4:$BQ$4,$G44:$BQ44)))"),0.48045036071428576)</f>
        <v>0.4804503607</v>
      </c>
      <c r="DM44" s="207" t="str">
        <f>IFERROR(__xludf.DUMMYFUNCTION("IF(OR(DL44&gt;$BS44+$BT44*$BT$2,DL44&lt;$BS44-$BT44*$BT$2),AVEDEV(ARRAYFORMULA(XLOOKUP(FILTER(INDIRECT(""'""&amp;DL$1&amp;""'!$C$4:$C$66""),INDIRECT(""'""&amp;DL$1&amp;""'!$D$4:$D$66"")=DL$2),$G$4:$BQ$4,$G44:$BQ44))),"""")"),"")</f>
        <v/>
      </c>
      <c r="DN44" s="208" t="str">
        <f t="shared" si="21"/>
        <v/>
      </c>
      <c r="DO44" s="209" t="s">
        <v>444</v>
      </c>
      <c r="DP44" s="210">
        <f>IFERROR(__xludf.DUMMYFUNCTION("AVERAGE(ARRAYFORMULA(XLOOKUP(FILTER(INDIRECT(""'""&amp;DP$1&amp;""'!$C$4:$C$66""),INDIRECT(""'""&amp;DP$1&amp;""'!$D$4:$D$66"")=DP$2),$G$4:$BQ$4,$G44:$BQ44)))"),-0.04625042300000003)</f>
        <v>-0.046250423</v>
      </c>
      <c r="DQ44" s="207" t="str">
        <f>IFERROR(__xludf.DUMMYFUNCTION("IF(OR(DP44&gt;$BS44+$BT44*$BT$2,DP44&lt;$BS44-$BT44*$BT$2),AVEDEV(ARRAYFORMULA(XLOOKUP(FILTER(INDIRECT(""'""&amp;DP$1&amp;""'!$C$4:$C$66""),INDIRECT(""'""&amp;DP$1&amp;""'!$D$4:$D$66"")=DP$2),$G$4:$BQ$4,$G44:$BQ44))),"""")"),"")</f>
        <v/>
      </c>
      <c r="DR44" s="208" t="str">
        <f t="shared" si="22"/>
        <v/>
      </c>
      <c r="DS44" s="210">
        <f>IFERROR(__xludf.DUMMYFUNCTION("AVERAGE(ARRAYFORMULA(XLOOKUP(FILTER(INDIRECT(""'""&amp;DS$1&amp;""'!$C$4:$C$66""),INDIRECT(""'""&amp;DS$1&amp;""'!$D$4:$D$66"")=DS$2),$G$4:$BQ$4,$G44:$BQ44)))"),0.22622540444444444)</f>
        <v>0.2262254044</v>
      </c>
      <c r="DT44" s="207" t="str">
        <f>IFERROR(__xludf.DUMMYFUNCTION("IF(OR(DS44&gt;$BS44+$BT44*$BT$2,DS44&lt;$BS44-$BT44*$BT$2),AVEDEV(ARRAYFORMULA(XLOOKUP(FILTER(INDIRECT(""'""&amp;DS$1&amp;""'!$C$4:$C$66""),INDIRECT(""'""&amp;DS$1&amp;""'!$D$4:$D$66"")=DS$2),$G$4:$BQ$4,$G44:$BQ44))),"""")"),"")</f>
        <v/>
      </c>
      <c r="DU44" s="208" t="str">
        <f t="shared" si="23"/>
        <v/>
      </c>
      <c r="DV44" s="210">
        <f>IFERROR(__xludf.DUMMYFUNCTION("AVERAGE(ARRAYFORMULA(XLOOKUP(FILTER(INDIRECT(""'""&amp;DV$1&amp;""'!$C$4:$C$66""),INDIRECT(""'""&amp;DV$1&amp;""'!$D$4:$D$66"")=DV$2),$G$4:$BQ$4,$G44:$BQ44)))"),0.013152507499999994)</f>
        <v>0.0131525075</v>
      </c>
      <c r="DW44" s="207" t="str">
        <f>IFERROR(__xludf.DUMMYFUNCTION("IF(OR(DV44&gt;$BS44+$BT44*$BT$2,DV44&lt;$BS44-$BT44*$BT$2),AVEDEV(ARRAYFORMULA(XLOOKUP(FILTER(INDIRECT(""'""&amp;DV$1&amp;""'!$C$4:$C$66""),INDIRECT(""'""&amp;DV$1&amp;""'!$D$4:$D$66"")=DV$2),$G$4:$BQ$4,$G44:$BQ44))),"""")"),"")</f>
        <v/>
      </c>
      <c r="DX44" s="208" t="str">
        <f t="shared" si="24"/>
        <v/>
      </c>
      <c r="DY44" s="210">
        <f>IFERROR(__xludf.DUMMYFUNCTION("AVERAGE(ARRAYFORMULA(XLOOKUP(FILTER(INDIRECT(""'""&amp;DY$1&amp;""'!$C$4:$C$66""),INDIRECT(""'""&amp;DY$1&amp;""'!$D$4:$D$66"")=DY$2),$G$4:$BQ$4,$G44:$BQ44)))"),-0.01883315444444443)</f>
        <v>-0.01883315444</v>
      </c>
      <c r="DZ44" s="207" t="str">
        <f>IFERROR(__xludf.DUMMYFUNCTION("IF(OR(DY44&gt;$BS44+$BT44*$BT$2,DY44&lt;$BS44-$BT44*$BT$2),AVEDEV(ARRAYFORMULA(XLOOKUP(FILTER(INDIRECT(""'""&amp;DY$1&amp;""'!$C$4:$C$66""),INDIRECT(""'""&amp;DY$1&amp;""'!$D$4:$D$66"")=DY$2),$G$4:$BQ$4,$G44:$BQ44))),"""")"),"")</f>
        <v/>
      </c>
      <c r="EA44" s="208" t="str">
        <f t="shared" si="25"/>
        <v/>
      </c>
      <c r="EB44" s="191"/>
    </row>
    <row r="45" outlineLevel="1">
      <c r="A45" s="2"/>
      <c r="B45" s="204">
        <v>41.0</v>
      </c>
      <c r="C45" s="204" t="s">
        <v>482</v>
      </c>
      <c r="D45" s="204" t="s">
        <v>485</v>
      </c>
      <c r="E45" s="205" t="b">
        <f>VLOOKUP(D45,'Feature Set List'!A41:C246,2,0)</f>
        <v>1</v>
      </c>
      <c r="F45" s="205" t="b">
        <f>VLOOKUP(D45,'Feature Set List'!A41:C246,3,0)</f>
        <v>1</v>
      </c>
      <c r="G45" s="205">
        <v>0.0</v>
      </c>
      <c r="H45" s="205">
        <v>-1.0</v>
      </c>
      <c r="I45" s="205">
        <v>0.0</v>
      </c>
      <c r="J45" s="205">
        <v>0.0</v>
      </c>
      <c r="K45" s="205">
        <v>0.0</v>
      </c>
      <c r="L45" s="205">
        <v>1.0</v>
      </c>
      <c r="M45" s="205">
        <v>0.0</v>
      </c>
      <c r="N45" s="205">
        <v>-1.0</v>
      </c>
      <c r="O45" s="205">
        <v>-1.0</v>
      </c>
      <c r="P45" s="205">
        <v>-1.0</v>
      </c>
      <c r="Q45" s="205">
        <v>1.0</v>
      </c>
      <c r="R45" s="205">
        <v>-1.0</v>
      </c>
      <c r="S45" s="205">
        <v>0.0</v>
      </c>
      <c r="T45" s="205">
        <v>1.0</v>
      </c>
      <c r="U45" s="205">
        <v>-2.0</v>
      </c>
      <c r="V45" s="205">
        <v>-1.0</v>
      </c>
      <c r="W45" s="205">
        <v>-1.0</v>
      </c>
      <c r="X45" s="205">
        <v>-1.0</v>
      </c>
      <c r="Y45" s="205">
        <v>1.0</v>
      </c>
      <c r="Z45" s="205">
        <v>-1.0</v>
      </c>
      <c r="AA45" s="205">
        <v>0.0</v>
      </c>
      <c r="AB45" s="205">
        <v>0.0</v>
      </c>
      <c r="AC45" s="205">
        <v>0.0</v>
      </c>
      <c r="AD45" s="205">
        <v>0.0</v>
      </c>
      <c r="AE45" s="205">
        <v>-1.0</v>
      </c>
      <c r="AF45" s="205">
        <v>0.0</v>
      </c>
      <c r="AG45" s="205">
        <v>0.0</v>
      </c>
      <c r="AH45" s="205">
        <v>-1.0</v>
      </c>
      <c r="AI45" s="205">
        <v>0.0</v>
      </c>
      <c r="AJ45" s="205">
        <v>1.0</v>
      </c>
      <c r="AK45" s="205">
        <v>1.0</v>
      </c>
      <c r="AL45" s="205">
        <v>1.0</v>
      </c>
      <c r="AM45" s="205">
        <v>-1.0</v>
      </c>
      <c r="AN45" s="205">
        <v>-2.0</v>
      </c>
      <c r="AO45" s="205">
        <v>-1.0</v>
      </c>
      <c r="AP45" s="205">
        <v>0.0</v>
      </c>
      <c r="AQ45" s="205">
        <v>0.0</v>
      </c>
      <c r="AR45" s="205">
        <v>0.0</v>
      </c>
      <c r="AS45" s="205">
        <v>0.0</v>
      </c>
      <c r="AT45" s="205">
        <v>-1.0</v>
      </c>
      <c r="AU45" s="205">
        <v>0.0</v>
      </c>
      <c r="AV45" s="205">
        <v>-1.0</v>
      </c>
      <c r="AW45" s="205">
        <v>0.0</v>
      </c>
      <c r="AX45" s="205">
        <v>0.0</v>
      </c>
      <c r="AY45" s="205">
        <v>-3.0</v>
      </c>
      <c r="AZ45" s="205">
        <v>-1.0</v>
      </c>
      <c r="BA45" s="205">
        <v>1.0</v>
      </c>
      <c r="BB45" s="205">
        <v>0.0</v>
      </c>
      <c r="BC45" s="205">
        <v>-1.0</v>
      </c>
      <c r="BD45" s="205">
        <v>0.0</v>
      </c>
      <c r="BE45" s="205">
        <v>-3.0</v>
      </c>
      <c r="BF45" s="205">
        <v>0.0</v>
      </c>
      <c r="BG45" s="205">
        <v>2.0</v>
      </c>
      <c r="BH45" s="205">
        <v>-1.0</v>
      </c>
      <c r="BI45" s="205">
        <v>-1.0</v>
      </c>
      <c r="BJ45" s="205">
        <v>-2.0</v>
      </c>
      <c r="BK45" s="205">
        <v>1.0</v>
      </c>
      <c r="BL45" s="205">
        <v>-2.0</v>
      </c>
      <c r="BM45" s="205">
        <v>0.0</v>
      </c>
      <c r="BN45" s="205">
        <v>0.0</v>
      </c>
      <c r="BO45" s="205">
        <v>0.0</v>
      </c>
      <c r="BP45" s="205">
        <v>-1.0</v>
      </c>
      <c r="BQ45" s="205">
        <v>-1.0</v>
      </c>
      <c r="BR45" s="206"/>
      <c r="BS45" s="207">
        <f t="shared" si="6"/>
        <v>-0.380952381</v>
      </c>
      <c r="BT45" s="207">
        <f t="shared" si="7"/>
        <v>0.7845804989</v>
      </c>
      <c r="BU45" s="206"/>
      <c r="BV45" s="207">
        <f>IFERROR(__xludf.DUMMYFUNCTION("AVERAGE(ARRAYFORMULA(XLOOKUP(FILTER(INDIRECT(""'""&amp;BV$1&amp;""'!$C$4:$C$66""),INDIRECT(""'""&amp;BV$1&amp;""'!$D$4:$D$66"")=BV$2),$G$4:$BQ$4,$G45:$BQ45)))"),-1.7142857142857142)</f>
        <v>-1.714285714</v>
      </c>
      <c r="BW45" s="207">
        <f>IFERROR(__xludf.DUMMYFUNCTION("IF(OR(BV45&gt;$BS45+$BT45*$BT$2,BV45&lt;$BS45-$BT45*$BT$2),AVEDEV(ARRAYFORMULA(XLOOKUP(FILTER(INDIRECT(""'""&amp;BV$1&amp;""'!$C$4:$C$66""),INDIRECT(""'""&amp;BV$1&amp;""'!$D$4:$D$66"")=BV$2),$G$4:$BQ$4,$G45:$BQ45))),"""")"),0.8979591836734694)</f>
        <v>0.8979591837</v>
      </c>
      <c r="BX45" s="208">
        <f t="shared" si="8"/>
        <v>-0.5487528345</v>
      </c>
      <c r="BY45" s="207">
        <f>IFERROR(__xludf.DUMMYFUNCTION("AVERAGE(ARRAYFORMULA(XLOOKUP(FILTER(INDIRECT(""'""&amp;BY$1&amp;""'!$C$4:$C$66""),INDIRECT(""'""&amp;BY$1&amp;""'!$D$4:$D$66"")=BY$2),$G$4:$BQ$4,$G45:$BQ45)))"),-0.30952380952380953)</f>
        <v>-0.3095238095</v>
      </c>
      <c r="BZ45" s="207" t="str">
        <f>IFERROR(__xludf.DUMMYFUNCTION("IF(OR(BY45&gt;$BS45+$BT45*$BT$2,BY45&lt;$BS45-$BT45*$BT$2),AVEDEV(ARRAYFORMULA(XLOOKUP(FILTER(INDIRECT(""'""&amp;BY$1&amp;""'!$C$4:$C$66""),INDIRECT(""'""&amp;BY$1&amp;""'!$D$4:$D$66"")=BY$2),$G$4:$BQ$4,$G45:$BQ45))),"""")"),"")</f>
        <v/>
      </c>
      <c r="CA45" s="208" t="str">
        <f t="shared" si="9"/>
        <v/>
      </c>
      <c r="CB45" s="207">
        <f>IFERROR(__xludf.DUMMYFUNCTION("AVERAGE(ARRAYFORMULA(XLOOKUP(FILTER(INDIRECT(""'""&amp;CB$1&amp;""'!$C$4:$C$66""),INDIRECT(""'""&amp;CB$1&amp;""'!$D$4:$D$66"")=CB$2),$G$4:$BQ$4,$G45:$BQ45)))"),0.09090909090909091)</f>
        <v>0.09090909091</v>
      </c>
      <c r="CC45" s="207" t="str">
        <f>IFERROR(__xludf.DUMMYFUNCTION("IF(OR(CB45&gt;$BS45+$BT45*$BT$2,CB45&lt;$BS45-$BT45*$BT$2),AVEDEV(ARRAYFORMULA(XLOOKUP(FILTER(INDIRECT(""'""&amp;CB$1&amp;""'!$C$4:$C$66""),INDIRECT(""'""&amp;CB$1&amp;""'!$D$4:$D$66"")=CB$2),$G$4:$BQ$4,$G45:$BQ45))),"""")"),"")</f>
        <v/>
      </c>
      <c r="CD45" s="208" t="str">
        <f t="shared" si="10"/>
        <v/>
      </c>
      <c r="CE45" s="209" t="s">
        <v>444</v>
      </c>
      <c r="CF45" s="207">
        <f>IFERROR(__xludf.DUMMYFUNCTION("AVERAGE(ARRAYFORMULA(XLOOKUP(FILTER(INDIRECT(""'""&amp;CF$1&amp;""'!$C$4:$C$66""),INDIRECT(""'""&amp;CF$1&amp;""'!$D$4:$D$66"")=CF$2),$G$4:$BQ$4,$G45:$BQ45)))"),-0.375)</f>
        <v>-0.375</v>
      </c>
      <c r="CG45" s="207" t="str">
        <f>IFERROR(__xludf.DUMMYFUNCTION("IF(OR(CF45&gt;$BS45+$BT45*$BT$2,CF45&lt;$BS45-$BT45*$BT$2),AVEDEV(ARRAYFORMULA(XLOOKUP(FILTER(INDIRECT(""'""&amp;CF$1&amp;""'!$C$4:$C$66""),INDIRECT(""'""&amp;CF$1&amp;""'!$D$4:$D$66"")=CF$2),$G$4:$BQ$4,$G45:$BQ45))),"""")"),"")</f>
        <v/>
      </c>
      <c r="CH45" s="208" t="str">
        <f t="shared" si="11"/>
        <v/>
      </c>
      <c r="CI45" s="207">
        <f>IFERROR(__xludf.DUMMYFUNCTION("AVERAGE(ARRAYFORMULA(XLOOKUP(FILTER(INDIRECT(""'""&amp;CI$1&amp;""'!$C$4:$C$66""),INDIRECT(""'""&amp;CI$1&amp;""'!$D$4:$D$66"")=CI$2),$G$4:$BQ$4,$G45:$BQ45)))"),-0.5483870967741935)</f>
        <v>-0.5483870968</v>
      </c>
      <c r="CJ45" s="207" t="str">
        <f>IFERROR(__xludf.DUMMYFUNCTION("IF(OR(CI45&gt;$BS45+$BT45*$BT$2,CI45&lt;$BS45-$BT45*$BT$2),AVEDEV(ARRAYFORMULA(XLOOKUP(FILTER(INDIRECT(""'""&amp;CI$1&amp;""'!$C$4:$C$66""),INDIRECT(""'""&amp;CI$1&amp;""'!$D$4:$D$66"")=CI$2),$G$4:$BQ$4,$G45:$BQ45))),"""")"),"")</f>
        <v/>
      </c>
      <c r="CK45" s="208" t="str">
        <f t="shared" si="12"/>
        <v/>
      </c>
      <c r="CL45" s="207">
        <f>IFERROR(__xludf.DUMMYFUNCTION("AVERAGE(ARRAYFORMULA(XLOOKUP(FILTER(INDIRECT(""'""&amp;CL$1&amp;""'!$C$4:$C$66""),INDIRECT(""'""&amp;CL$1&amp;""'!$D$4:$D$66"")=CL$2),$G$4:$BQ$4,$G45:$BQ45)))"),0.6)</f>
        <v>0.6</v>
      </c>
      <c r="CM45" s="207">
        <f>IFERROR(__xludf.DUMMYFUNCTION("IF(OR(CL45&gt;$BS45+$BT45*$BT$2,CL45&lt;$BS45-$BT45*$BT$2),AVEDEV(ARRAYFORMULA(XLOOKUP(FILTER(INDIRECT(""'""&amp;CL$1&amp;""'!$C$4:$C$66""),INDIRECT(""'""&amp;CL$1&amp;""'!$D$4:$D$66"")=CL$2),$G$4:$BQ$4,$G45:$BQ45))),"""")"),0.8800000000000001)</f>
        <v>0.88</v>
      </c>
      <c r="CN45" s="208">
        <f t="shared" si="13"/>
        <v>0.1963718821</v>
      </c>
      <c r="CO45" s="209" t="s">
        <v>444</v>
      </c>
      <c r="CP45" s="210">
        <f>IFERROR(__xludf.DUMMYFUNCTION("AVERAGE(ARRAYFORMULA(XLOOKUP(FILTER(INDIRECT(""'""&amp;CP$1&amp;""'!$C$4:$C$66""),INDIRECT(""'""&amp;CP$1&amp;""'!$D$4:$D$66"")=CP$2),$G$4:$BQ$4,$G45:$BQ45)))"),-0.6)</f>
        <v>-0.6</v>
      </c>
      <c r="CQ45" s="207" t="str">
        <f>IFERROR(__xludf.DUMMYFUNCTION("IF(OR(CP45&gt;$BS45+$BT45*$BT$2,CP45&lt;$BS45-$BT45*$BT$2),AVEDEV(ARRAYFORMULA(XLOOKUP(FILTER(INDIRECT(""'""&amp;CP$1&amp;""'!$C$4:$C$66""),INDIRECT(""'""&amp;CP$1&amp;""'!$D$4:$D$66"")=CP$2),$G$4:$BQ$4,$G45:$BQ45))),"""")"),"")</f>
        <v/>
      </c>
      <c r="CR45" s="208" t="str">
        <f t="shared" si="14"/>
        <v/>
      </c>
      <c r="CS45" s="210">
        <f>IFERROR(__xludf.DUMMYFUNCTION("AVERAGE(ARRAYFORMULA(XLOOKUP(FILTER(INDIRECT(""'""&amp;CS$1&amp;""'!$C$4:$C$66""),INDIRECT(""'""&amp;CS$1&amp;""'!$D$4:$D$66"")=CS$2),$G$4:$BQ$4,$G45:$BQ45)))"),-0.41025641025641024)</f>
        <v>-0.4102564103</v>
      </c>
      <c r="CT45" s="207" t="str">
        <f>IFERROR(__xludf.DUMMYFUNCTION("IF(OR(CS45&gt;$BS45+$BT45*$BT$2,CS45&lt;$BS45-$BT45*$BT$2),AVEDEV(ARRAYFORMULA(XLOOKUP(FILTER(INDIRECT(""'""&amp;CS$1&amp;""'!$C$4:$C$66""),INDIRECT(""'""&amp;CS$1&amp;""'!$D$4:$D$66"")=CS$2),$G$4:$BQ$4,$G45:$BQ45))),"""")"),"")</f>
        <v/>
      </c>
      <c r="CU45" s="208" t="str">
        <f t="shared" si="15"/>
        <v/>
      </c>
      <c r="CV45" s="210">
        <f>IFERROR(__xludf.DUMMYFUNCTION("AVERAGE(ARRAYFORMULA(XLOOKUP(FILTER(INDIRECT(""'""&amp;CV$1&amp;""'!$C$4:$C$66""),INDIRECT(""'""&amp;CV$1&amp;""'!$D$4:$D$66"")=CV$2),$G$4:$BQ$4,$G45:$BQ45)))"),0.6)</f>
        <v>0.6</v>
      </c>
      <c r="CW45" s="207">
        <f>IFERROR(__xludf.DUMMYFUNCTION("IF(OR(CV45&gt;$BS45+$BT45*$BT$2,CV45&lt;$BS45-$BT45*$BT$2),AVEDEV(ARRAYFORMULA(XLOOKUP(FILTER(INDIRECT(""'""&amp;CV$1&amp;""'!$C$4:$C$66""),INDIRECT(""'""&amp;CV$1&amp;""'!$D$4:$D$66"")=CV$2),$G$4:$BQ$4,$G45:$BQ45))),"""")"),0.8800000000000001)</f>
        <v>0.88</v>
      </c>
      <c r="CX45" s="208">
        <f t="shared" si="16"/>
        <v>0.1963718821</v>
      </c>
      <c r="CY45" s="209" t="s">
        <v>444</v>
      </c>
      <c r="CZ45" s="210">
        <f>IFERROR(__xludf.DUMMYFUNCTION("AVERAGE(ARRAYFORMULA(XLOOKUP(FILTER(INDIRECT(""'""&amp;CZ$1&amp;""'!$C$4:$C$66""),INDIRECT(""'""&amp;CZ$1&amp;""'!$D$4:$D$66"")=CZ$2),$G$4:$BQ$4,$G45:$BQ45)))"),-0.07142857142857142)</f>
        <v>-0.07142857143</v>
      </c>
      <c r="DA45" s="207" t="str">
        <f>IFERROR(__xludf.DUMMYFUNCTION("IF(OR(CZ45&gt;$BS45+$BT45*$BT$2,CZ45&lt;$BS45-$BT45*$BT$2),AVEDEV(ARRAYFORMULA(XLOOKUP(FILTER(INDIRECT(""'""&amp;CZ$1&amp;""'!$C$4:$C$66""),INDIRECT(""'""&amp;CZ$1&amp;""'!$D$4:$D$66"")=CZ$2),$G$4:$BQ$4,$G45:$BQ45))),"""")"),"")</f>
        <v/>
      </c>
      <c r="DB45" s="208" t="str">
        <f t="shared" si="17"/>
        <v/>
      </c>
      <c r="DC45" s="210">
        <f>IFERROR(__xludf.DUMMYFUNCTION("AVERAGE(ARRAYFORMULA(XLOOKUP(FILTER(INDIRECT(""'""&amp;DC$1&amp;""'!$C$4:$C$66""),INDIRECT(""'""&amp;DC$1&amp;""'!$D$4:$D$66"")=DC$2),$G$4:$BQ$4,$G45:$BQ45)))"),0.2222222222222222)</f>
        <v>0.2222222222</v>
      </c>
      <c r="DD45" s="207" t="str">
        <f>IFERROR(__xludf.DUMMYFUNCTION("IF(OR(DC45&gt;$BS45+$BT45*$BT$2,DC45&lt;$BS45-$BT45*$BT$2),AVEDEV(ARRAYFORMULA(XLOOKUP(FILTER(INDIRECT(""'""&amp;DC$1&amp;""'!$C$4:$C$66""),INDIRECT(""'""&amp;DC$1&amp;""'!$D$4:$D$66"")=DC$2),$G$4:$BQ$4,$G45:$BQ45))),"""")"),"")</f>
        <v/>
      </c>
      <c r="DE45" s="208" t="str">
        <f t="shared" si="18"/>
        <v/>
      </c>
      <c r="DF45" s="210">
        <f>IFERROR(__xludf.DUMMYFUNCTION("AVERAGE(ARRAYFORMULA(XLOOKUP(FILTER(INDIRECT(""'""&amp;DF$1&amp;""'!$C$4:$C$66""),INDIRECT(""'""&amp;DF$1&amp;""'!$D$4:$D$66"")=DF$2),$G$4:$BQ$4,$G45:$BQ45)))"),-0.2727272727272727)</f>
        <v>-0.2727272727</v>
      </c>
      <c r="DG45" s="207" t="str">
        <f>IFERROR(__xludf.DUMMYFUNCTION("IF(OR(DF45&gt;$BS45+$BT45*$BT$2,DF45&lt;$BS45-$BT45*$BT$2),AVEDEV(ARRAYFORMULA(XLOOKUP(FILTER(INDIRECT(""'""&amp;DF$1&amp;""'!$C$4:$C$66""),INDIRECT(""'""&amp;DF$1&amp;""'!$D$4:$D$66"")=DF$2),$G$4:$BQ$4,$G45:$BQ45))),"""")"),"")</f>
        <v/>
      </c>
      <c r="DH45" s="208" t="str">
        <f t="shared" si="19"/>
        <v/>
      </c>
      <c r="DI45" s="210">
        <f>IFERROR(__xludf.DUMMYFUNCTION("AVERAGE(ARRAYFORMULA(XLOOKUP(FILTER(INDIRECT(""'""&amp;DI$1&amp;""'!$C$4:$C$66""),INDIRECT(""'""&amp;DI$1&amp;""'!$D$4:$D$66"")=DI$2),$G$4:$BQ$4,$G45:$BQ45)))"),-0.5)</f>
        <v>-0.5</v>
      </c>
      <c r="DJ45" s="207" t="str">
        <f>IFERROR(__xludf.DUMMYFUNCTION("IF(OR(DI45&gt;$BS45+$BT45*$BT$2,DI45&lt;$BS45-$BT45*$BT$2),AVEDEV(ARRAYFORMULA(XLOOKUP(FILTER(INDIRECT(""'""&amp;DI$1&amp;""'!$C$4:$C$66""),INDIRECT(""'""&amp;DI$1&amp;""'!$D$4:$D$66"")=DI$2),$G$4:$BQ$4,$G45:$BQ45))),"""")"),"")</f>
        <v/>
      </c>
      <c r="DK45" s="208" t="str">
        <f t="shared" si="20"/>
        <v/>
      </c>
      <c r="DL45" s="210">
        <f>IFERROR(__xludf.DUMMYFUNCTION("AVERAGE(ARRAYFORMULA(XLOOKUP(FILTER(INDIRECT(""'""&amp;DL$1&amp;""'!$C$4:$C$66""),INDIRECT(""'""&amp;DL$1&amp;""'!$D$4:$D$66"")=DL$2),$G$4:$BQ$4,$G45:$BQ45)))"),-0.6428571428571429)</f>
        <v>-0.6428571429</v>
      </c>
      <c r="DM45" s="207" t="str">
        <f>IFERROR(__xludf.DUMMYFUNCTION("IF(OR(DL45&gt;$BS45+$BT45*$BT$2,DL45&lt;$BS45-$BT45*$BT$2),AVEDEV(ARRAYFORMULA(XLOOKUP(FILTER(INDIRECT(""'""&amp;DL$1&amp;""'!$C$4:$C$66""),INDIRECT(""'""&amp;DL$1&amp;""'!$D$4:$D$66"")=DL$2),$G$4:$BQ$4,$G45:$BQ45))),"""")"),"")</f>
        <v/>
      </c>
      <c r="DN45" s="208" t="str">
        <f t="shared" si="21"/>
        <v/>
      </c>
      <c r="DO45" s="209" t="s">
        <v>444</v>
      </c>
      <c r="DP45" s="210">
        <f>IFERROR(__xludf.DUMMYFUNCTION("AVERAGE(ARRAYFORMULA(XLOOKUP(FILTER(INDIRECT(""'""&amp;DP$1&amp;""'!$C$4:$C$66""),INDIRECT(""'""&amp;DP$1&amp;""'!$D$4:$D$66"")=DP$2),$G$4:$BQ$4,$G45:$BQ45)))"),-0.4)</f>
        <v>-0.4</v>
      </c>
      <c r="DQ45" s="207" t="str">
        <f>IFERROR(__xludf.DUMMYFUNCTION("IF(OR(DP45&gt;$BS45+$BT45*$BT$2,DP45&lt;$BS45-$BT45*$BT$2),AVEDEV(ARRAYFORMULA(XLOOKUP(FILTER(INDIRECT(""'""&amp;DP$1&amp;""'!$C$4:$C$66""),INDIRECT(""'""&amp;DP$1&amp;""'!$D$4:$D$66"")=DP$2),$G$4:$BQ$4,$G45:$BQ45))),"""")"),"")</f>
        <v/>
      </c>
      <c r="DR45" s="208" t="str">
        <f t="shared" si="22"/>
        <v/>
      </c>
      <c r="DS45" s="210">
        <f>IFERROR(__xludf.DUMMYFUNCTION("AVERAGE(ARRAYFORMULA(XLOOKUP(FILTER(INDIRECT(""'""&amp;DS$1&amp;""'!$C$4:$C$66""),INDIRECT(""'""&amp;DS$1&amp;""'!$D$4:$D$66"")=DS$2),$G$4:$BQ$4,$G45:$BQ45)))"),0.0)</f>
        <v>0</v>
      </c>
      <c r="DT45" s="207" t="str">
        <f>IFERROR(__xludf.DUMMYFUNCTION("IF(OR(DS45&gt;$BS45+$BT45*$BT$2,DS45&lt;$BS45-$BT45*$BT$2),AVEDEV(ARRAYFORMULA(XLOOKUP(FILTER(INDIRECT(""'""&amp;DS$1&amp;""'!$C$4:$C$66""),INDIRECT(""'""&amp;DS$1&amp;""'!$D$4:$D$66"")=DS$2),$G$4:$BQ$4,$G45:$BQ45))),"""")"),"")</f>
        <v/>
      </c>
      <c r="DU45" s="208" t="str">
        <f t="shared" si="23"/>
        <v/>
      </c>
      <c r="DV45" s="210">
        <f>IFERROR(__xludf.DUMMYFUNCTION("AVERAGE(ARRAYFORMULA(XLOOKUP(FILTER(INDIRECT(""'""&amp;DV$1&amp;""'!$C$4:$C$66""),INDIRECT(""'""&amp;DV$1&amp;""'!$D$4:$D$66"")=DV$2),$G$4:$BQ$4,$G45:$BQ45)))"),-0.875)</f>
        <v>-0.875</v>
      </c>
      <c r="DW45" s="207" t="str">
        <f>IFERROR(__xludf.DUMMYFUNCTION("IF(OR(DV45&gt;$BS45+$BT45*$BT$2,DV45&lt;$BS45-$BT45*$BT$2),AVEDEV(ARRAYFORMULA(XLOOKUP(FILTER(INDIRECT(""'""&amp;DV$1&amp;""'!$C$4:$C$66""),INDIRECT(""'""&amp;DV$1&amp;""'!$D$4:$D$66"")=DV$2),$G$4:$BQ$4,$G45:$BQ45))),"""")"),"")</f>
        <v/>
      </c>
      <c r="DX45" s="208" t="str">
        <f t="shared" si="24"/>
        <v/>
      </c>
      <c r="DY45" s="210">
        <f>IFERROR(__xludf.DUMMYFUNCTION("AVERAGE(ARRAYFORMULA(XLOOKUP(FILTER(INDIRECT(""'""&amp;DY$1&amp;""'!$C$4:$C$66""),INDIRECT(""'""&amp;DY$1&amp;""'!$D$4:$D$66"")=DY$2),$G$4:$BQ$4,$G45:$BQ45)))"),-0.1111111111111111)</f>
        <v>-0.1111111111</v>
      </c>
      <c r="DZ45" s="207" t="str">
        <f>IFERROR(__xludf.DUMMYFUNCTION("IF(OR(DY45&gt;$BS45+$BT45*$BT$2,DY45&lt;$BS45-$BT45*$BT$2),AVEDEV(ARRAYFORMULA(XLOOKUP(FILTER(INDIRECT(""'""&amp;DY$1&amp;""'!$C$4:$C$66""),INDIRECT(""'""&amp;DY$1&amp;""'!$D$4:$D$66"")=DY$2),$G$4:$BQ$4,$G45:$BQ45))),"""")"),"")</f>
        <v/>
      </c>
      <c r="EA45" s="208" t="str">
        <f t="shared" si="25"/>
        <v/>
      </c>
      <c r="EB45" s="191"/>
    </row>
    <row r="46" outlineLevel="1">
      <c r="A46" s="2"/>
      <c r="B46" s="204">
        <v>42.0</v>
      </c>
      <c r="C46" s="204" t="s">
        <v>482</v>
      </c>
      <c r="D46" s="204" t="s">
        <v>486</v>
      </c>
      <c r="E46" s="205" t="b">
        <f>VLOOKUP(D46,'Feature Set List'!A42:C246,2,0)</f>
        <v>1</v>
      </c>
      <c r="F46" s="205" t="b">
        <f>VLOOKUP(D46,'Feature Set List'!A42:C246,3,0)</f>
        <v>1</v>
      </c>
      <c r="G46" s="205">
        <v>0.0</v>
      </c>
      <c r="H46" s="205">
        <v>0.0</v>
      </c>
      <c r="I46" s="205">
        <v>0.33333333</v>
      </c>
      <c r="J46" s="205">
        <v>0.0</v>
      </c>
      <c r="K46" s="205">
        <v>-0.3333333</v>
      </c>
      <c r="L46" s="205">
        <v>0.0</v>
      </c>
      <c r="M46" s="205">
        <v>1.0</v>
      </c>
      <c r="N46" s="205">
        <v>1.0</v>
      </c>
      <c r="O46" s="205">
        <v>1.0</v>
      </c>
      <c r="P46" s="205">
        <v>0.0</v>
      </c>
      <c r="Q46" s="205">
        <v>0.66666667</v>
      </c>
      <c r="R46" s="205">
        <v>1.0</v>
      </c>
      <c r="S46" s="205">
        <v>3.33333333</v>
      </c>
      <c r="T46" s="205">
        <v>0.0</v>
      </c>
      <c r="U46" s="205">
        <v>0.0</v>
      </c>
      <c r="V46" s="205">
        <v>0.0</v>
      </c>
      <c r="W46" s="205">
        <v>1.0</v>
      </c>
      <c r="X46" s="205">
        <v>1.66666667</v>
      </c>
      <c r="Y46" s="205">
        <v>-0.3333333</v>
      </c>
      <c r="Z46" s="205">
        <v>-0.3333333</v>
      </c>
      <c r="AA46" s="205">
        <v>0.0</v>
      </c>
      <c r="AB46" s="205">
        <v>1.66666667</v>
      </c>
      <c r="AC46" s="205">
        <v>1.0</v>
      </c>
      <c r="AD46" s="205">
        <v>0.0</v>
      </c>
      <c r="AE46" s="205">
        <v>-0.3333333</v>
      </c>
      <c r="AF46" s="205">
        <v>0.0</v>
      </c>
      <c r="AG46" s="205">
        <v>0.33333333</v>
      </c>
      <c r="AH46" s="205">
        <v>1.0</v>
      </c>
      <c r="AI46" s="205">
        <v>0.33333333</v>
      </c>
      <c r="AJ46" s="205">
        <v>3.33333333</v>
      </c>
      <c r="AK46" s="205">
        <v>0.33333333</v>
      </c>
      <c r="AL46" s="205">
        <v>0.33333333</v>
      </c>
      <c r="AM46" s="205">
        <v>-0.3333333</v>
      </c>
      <c r="AN46" s="205">
        <v>0.0</v>
      </c>
      <c r="AO46" s="205">
        <v>0.0</v>
      </c>
      <c r="AP46" s="205">
        <v>0.33333333</v>
      </c>
      <c r="AQ46" s="205">
        <v>-0.3333333</v>
      </c>
      <c r="AR46" s="205">
        <v>2.66666667</v>
      </c>
      <c r="AS46" s="205">
        <v>0.0</v>
      </c>
      <c r="AT46" s="205">
        <v>0.0</v>
      </c>
      <c r="AU46" s="205">
        <v>1.0</v>
      </c>
      <c r="AV46" s="205">
        <v>3.33333333</v>
      </c>
      <c r="AW46" s="205">
        <v>-0.3333333</v>
      </c>
      <c r="AX46" s="205">
        <v>0.33333333</v>
      </c>
      <c r="AY46" s="205">
        <v>0.0</v>
      </c>
      <c r="AZ46" s="205">
        <v>1.66666667</v>
      </c>
      <c r="BA46" s="205">
        <v>3.33333333</v>
      </c>
      <c r="BB46" s="205">
        <v>0.0</v>
      </c>
      <c r="BC46" s="205">
        <v>0.0</v>
      </c>
      <c r="BD46" s="205">
        <v>0.0</v>
      </c>
      <c r="BE46" s="205">
        <v>-0.3333333</v>
      </c>
      <c r="BF46" s="205">
        <v>0.0</v>
      </c>
      <c r="BG46" s="205">
        <v>0.0</v>
      </c>
      <c r="BH46" s="205">
        <v>0.0</v>
      </c>
      <c r="BI46" s="205">
        <v>0.0</v>
      </c>
      <c r="BJ46" s="205">
        <v>0.0</v>
      </c>
      <c r="BK46" s="205">
        <v>0.0</v>
      </c>
      <c r="BL46" s="205">
        <v>0.0</v>
      </c>
      <c r="BM46" s="205">
        <v>0.0</v>
      </c>
      <c r="BN46" s="205">
        <v>0.0</v>
      </c>
      <c r="BO46" s="205">
        <v>0.33333333</v>
      </c>
      <c r="BP46" s="205">
        <v>0.0</v>
      </c>
      <c r="BQ46" s="205">
        <v>1.0</v>
      </c>
      <c r="BR46" s="206"/>
      <c r="BS46" s="207">
        <f t="shared" si="6"/>
        <v>0.4867724906</v>
      </c>
      <c r="BT46" s="207">
        <f t="shared" si="7"/>
        <v>0.6953892647</v>
      </c>
      <c r="BU46" s="206"/>
      <c r="BV46" s="207">
        <f>IFERROR(__xludf.DUMMYFUNCTION("AVERAGE(ARRAYFORMULA(XLOOKUP(FILTER(INDIRECT(""'""&amp;BV$1&amp;""'!$C$4:$C$66""),INDIRECT(""'""&amp;BV$1&amp;""'!$D$4:$D$66"")=BV$2),$G$4:$BQ$4,$G46:$BQ46)))"),0.1904761957142857)</f>
        <v>0.1904761957</v>
      </c>
      <c r="BW46" s="207" t="str">
        <f>IFERROR(__xludf.DUMMYFUNCTION("IF(OR(BV46&gt;$BS46+$BT46*$BT$2,BV46&lt;$BS46-$BT46*$BT$2),AVEDEV(ARRAYFORMULA(XLOOKUP(FILTER(INDIRECT(""'""&amp;BV$1&amp;""'!$C$4:$C$66""),INDIRECT(""'""&amp;BV$1&amp;""'!$D$4:$D$66"")=BV$2),$G$4:$BQ$4,$G46:$BQ46))),"""")"),"")</f>
        <v/>
      </c>
      <c r="BX46" s="208" t="str">
        <f t="shared" si="8"/>
        <v/>
      </c>
      <c r="BY46" s="207">
        <f>IFERROR(__xludf.DUMMYFUNCTION("AVERAGE(ARRAYFORMULA(XLOOKUP(FILTER(INDIRECT(""'""&amp;BY$1&amp;""'!$C$4:$C$66""),INDIRECT(""'""&amp;BY$1&amp;""'!$D$4:$D$66"")=BY$2),$G$4:$BQ$4,$G46:$BQ46)))"),0.5079365121428572)</f>
        <v>0.5079365121</v>
      </c>
      <c r="BZ46" s="207" t="str">
        <f>IFERROR(__xludf.DUMMYFUNCTION("IF(OR(BY46&gt;$BS46+$BT46*$BT$2,BY46&lt;$BS46-$BT46*$BT$2),AVEDEV(ARRAYFORMULA(XLOOKUP(FILTER(INDIRECT(""'""&amp;BY$1&amp;""'!$C$4:$C$66""),INDIRECT(""'""&amp;BY$1&amp;""'!$D$4:$D$66"")=BY$2),$G$4:$BQ$4,$G46:$BQ46))),"""")"),"")</f>
        <v/>
      </c>
      <c r="CA46" s="208" t="str">
        <f t="shared" si="9"/>
        <v/>
      </c>
      <c r="CB46" s="207">
        <f>IFERROR(__xludf.DUMMYFUNCTION("AVERAGE(ARRAYFORMULA(XLOOKUP(FILTER(INDIRECT(""'""&amp;CB$1&amp;""'!$C$4:$C$66""),INDIRECT(""'""&amp;CB$1&amp;""'!$D$4:$D$66"")=CB$2),$G$4:$BQ$4,$G46:$BQ46)))"),0.6060606090909091)</f>
        <v>0.6060606091</v>
      </c>
      <c r="CC46" s="207" t="str">
        <f>IFERROR(__xludf.DUMMYFUNCTION("IF(OR(CB46&gt;$BS46+$BT46*$BT$2,CB46&lt;$BS46-$BT46*$BT$2),AVEDEV(ARRAYFORMULA(XLOOKUP(FILTER(INDIRECT(""'""&amp;CB$1&amp;""'!$C$4:$C$66""),INDIRECT(""'""&amp;CB$1&amp;""'!$D$4:$D$66"")=CB$2),$G$4:$BQ$4,$G46:$BQ46))),"""")"),"")</f>
        <v/>
      </c>
      <c r="CD46" s="208" t="str">
        <f t="shared" si="10"/>
        <v/>
      </c>
      <c r="CE46" s="209" t="s">
        <v>444</v>
      </c>
      <c r="CF46" s="207">
        <f>IFERROR(__xludf.DUMMYFUNCTION("AVERAGE(ARRAYFORMULA(XLOOKUP(FILTER(INDIRECT(""'""&amp;CF$1&amp;""'!$C$4:$C$66""),INDIRECT(""'""&amp;CF$1&amp;""'!$D$4:$D$66"")=CF$2),$G$4:$BQ$4,$G46:$BQ46)))"),0.06250000749999998)</f>
        <v>0.0625000075</v>
      </c>
      <c r="CG46" s="207" t="str">
        <f>IFERROR(__xludf.DUMMYFUNCTION("IF(OR(CF46&gt;$BS46+$BT46*$BT$2,CF46&lt;$BS46-$BT46*$BT$2),AVEDEV(ARRAYFORMULA(XLOOKUP(FILTER(INDIRECT(""'""&amp;CF$1&amp;""'!$C$4:$C$66""),INDIRECT(""'""&amp;CF$1&amp;""'!$D$4:$D$66"")=CF$2),$G$4:$BQ$4,$G46:$BQ46))),"""")"),"")</f>
        <v/>
      </c>
      <c r="CH46" s="208" t="str">
        <f t="shared" si="11"/>
        <v/>
      </c>
      <c r="CI46" s="207">
        <f>IFERROR(__xludf.DUMMYFUNCTION("AVERAGE(ARRAYFORMULA(XLOOKUP(FILTER(INDIRECT(""'""&amp;CI$1&amp;""'!$C$4:$C$66""),INDIRECT(""'""&amp;CI$1&amp;""'!$D$4:$D$66"")=CI$2),$G$4:$BQ$4,$G46:$BQ46)))"),0.645161294516129)</f>
        <v>0.6451612945</v>
      </c>
      <c r="CJ46" s="207" t="str">
        <f>IFERROR(__xludf.DUMMYFUNCTION("IF(OR(CI46&gt;$BS46+$BT46*$BT$2,CI46&lt;$BS46-$BT46*$BT$2),AVEDEV(ARRAYFORMULA(XLOOKUP(FILTER(INDIRECT(""'""&amp;CI$1&amp;""'!$C$4:$C$66""),INDIRECT(""'""&amp;CI$1&amp;""'!$D$4:$D$66"")=CI$2),$G$4:$BQ$4,$G46:$BQ46))),"""")"),"")</f>
        <v/>
      </c>
      <c r="CK46" s="208" t="str">
        <f t="shared" si="12"/>
        <v/>
      </c>
      <c r="CL46" s="207">
        <f>IFERROR(__xludf.DUMMYFUNCTION("AVERAGE(ARRAYFORMULA(XLOOKUP(FILTER(INDIRECT(""'""&amp;CL$1&amp;""'!$C$4:$C$66""),INDIRECT(""'""&amp;CL$1&amp;""'!$D$4:$D$66"")=CL$2),$G$4:$BQ$4,$G46:$BQ46)))"),0.666666666)</f>
        <v>0.666666666</v>
      </c>
      <c r="CM46" s="207" t="str">
        <f>IFERROR(__xludf.DUMMYFUNCTION("IF(OR(CL46&gt;$BS46+$BT46*$BT$2,CL46&lt;$BS46-$BT46*$BT$2),AVEDEV(ARRAYFORMULA(XLOOKUP(FILTER(INDIRECT(""'""&amp;CL$1&amp;""'!$C$4:$C$66""),INDIRECT(""'""&amp;CL$1&amp;""'!$D$4:$D$66"")=CL$2),$G$4:$BQ$4,$G46:$BQ46))),"""")"),"")</f>
        <v/>
      </c>
      <c r="CN46" s="208" t="str">
        <f t="shared" si="13"/>
        <v/>
      </c>
      <c r="CO46" s="209" t="s">
        <v>444</v>
      </c>
      <c r="CP46" s="210">
        <f>IFERROR(__xludf.DUMMYFUNCTION("AVERAGE(ARRAYFORMULA(XLOOKUP(FILTER(INDIRECT(""'""&amp;CP$1&amp;""'!$C$4:$C$66""),INDIRECT(""'""&amp;CP$1&amp;""'!$D$4:$D$66"")=CP$2),$G$4:$BQ$4,$G46:$BQ46)))"),0.3777777846666667)</f>
        <v>0.3777777847</v>
      </c>
      <c r="CQ46" s="207" t="str">
        <f>IFERROR(__xludf.DUMMYFUNCTION("IF(OR(CP46&gt;$BS46+$BT46*$BT$2,CP46&lt;$BS46-$BT46*$BT$2),AVEDEV(ARRAYFORMULA(XLOOKUP(FILTER(INDIRECT(""'""&amp;CP$1&amp;""'!$C$4:$C$66""),INDIRECT(""'""&amp;CP$1&amp;""'!$D$4:$D$66"")=CP$2),$G$4:$BQ$4,$G46:$BQ46))),"""")"),"")</f>
        <v/>
      </c>
      <c r="CR46" s="208" t="str">
        <f t="shared" si="14"/>
        <v/>
      </c>
      <c r="CS46" s="210">
        <f>IFERROR(__xludf.DUMMYFUNCTION("AVERAGE(ARRAYFORMULA(XLOOKUP(FILTER(INDIRECT(""'""&amp;CS$1&amp;""'!$C$4:$C$66""),INDIRECT(""'""&amp;CS$1&amp;""'!$D$4:$D$66"")=CS$2),$G$4:$BQ$4,$G46:$BQ46)))"),0.5213675251282052)</f>
        <v>0.5213675251</v>
      </c>
      <c r="CT46" s="207" t="str">
        <f>IFERROR(__xludf.DUMMYFUNCTION("IF(OR(CS46&gt;$BS46+$BT46*$BT$2,CS46&lt;$BS46-$BT46*$BT$2),AVEDEV(ARRAYFORMULA(XLOOKUP(FILTER(INDIRECT(""'""&amp;CS$1&amp;""'!$C$4:$C$66""),INDIRECT(""'""&amp;CS$1&amp;""'!$D$4:$D$66"")=CS$2),$G$4:$BQ$4,$G46:$BQ46))),"""")"),"")</f>
        <v/>
      </c>
      <c r="CU46" s="208" t="str">
        <f t="shared" si="15"/>
        <v/>
      </c>
      <c r="CV46" s="210">
        <f>IFERROR(__xludf.DUMMYFUNCTION("AVERAGE(ARRAYFORMULA(XLOOKUP(FILTER(INDIRECT(""'""&amp;CV$1&amp;""'!$C$4:$C$66""),INDIRECT(""'""&amp;CV$1&amp;""'!$D$4:$D$66"")=CV$2),$G$4:$BQ$4,$G46:$BQ46)))"),0.666666666)</f>
        <v>0.666666666</v>
      </c>
      <c r="CW46" s="207" t="str">
        <f>IFERROR(__xludf.DUMMYFUNCTION("IF(OR(CV46&gt;$BS46+$BT46*$BT$2,CV46&lt;$BS46-$BT46*$BT$2),AVEDEV(ARRAYFORMULA(XLOOKUP(FILTER(INDIRECT(""'""&amp;CV$1&amp;""'!$C$4:$C$66""),INDIRECT(""'""&amp;CV$1&amp;""'!$D$4:$D$66"")=CV$2),$G$4:$BQ$4,$G46:$BQ46))),"""")"),"")</f>
        <v/>
      </c>
      <c r="CX46" s="208" t="str">
        <f t="shared" si="16"/>
        <v/>
      </c>
      <c r="CY46" s="209" t="s">
        <v>444</v>
      </c>
      <c r="CZ46" s="210">
        <f>IFERROR(__xludf.DUMMYFUNCTION("AVERAGE(ARRAYFORMULA(XLOOKUP(FILTER(INDIRECT(""'""&amp;CZ$1&amp;""'!$C$4:$C$66""),INDIRECT(""'""&amp;CZ$1&amp;""'!$D$4:$D$66"")=CZ$2),$G$4:$BQ$4,$G46:$BQ46)))"),0.11904762499999998)</f>
        <v>0.119047625</v>
      </c>
      <c r="DA46" s="207" t="str">
        <f>IFERROR(__xludf.DUMMYFUNCTION("IF(OR(CZ46&gt;$BS46+$BT46*$BT$2,CZ46&lt;$BS46-$BT46*$BT$2),AVEDEV(ARRAYFORMULA(XLOOKUP(FILTER(INDIRECT(""'""&amp;CZ$1&amp;""'!$C$4:$C$66""),INDIRECT(""'""&amp;CZ$1&amp;""'!$D$4:$D$66"")=CZ$2),$G$4:$BQ$4,$G46:$BQ46))),"""")"),"")</f>
        <v/>
      </c>
      <c r="DB46" s="208" t="str">
        <f t="shared" si="17"/>
        <v/>
      </c>
      <c r="DC46" s="210">
        <f>IFERROR(__xludf.DUMMYFUNCTION("AVERAGE(ARRAYFORMULA(XLOOKUP(FILTER(INDIRECT(""'""&amp;DC$1&amp;""'!$C$4:$C$66""),INDIRECT(""'""&amp;DC$1&amp;""'!$D$4:$D$66"")=DC$2),$G$4:$BQ$4,$G46:$BQ46)))"),0.555555558888889)</f>
        <v>0.5555555589</v>
      </c>
      <c r="DD46" s="207" t="str">
        <f>IFERROR(__xludf.DUMMYFUNCTION("IF(OR(DC46&gt;$BS46+$BT46*$BT$2,DC46&lt;$BS46-$BT46*$BT$2),AVEDEV(ARRAYFORMULA(XLOOKUP(FILTER(INDIRECT(""'""&amp;DC$1&amp;""'!$C$4:$C$66""),INDIRECT(""'""&amp;DC$1&amp;""'!$D$4:$D$66"")=DC$2),$G$4:$BQ$4,$G46:$BQ46))),"""")"),"")</f>
        <v/>
      </c>
      <c r="DE46" s="208" t="str">
        <f t="shared" si="18"/>
        <v/>
      </c>
      <c r="DF46" s="210">
        <f>IFERROR(__xludf.DUMMYFUNCTION("AVERAGE(ARRAYFORMULA(XLOOKUP(FILTER(INDIRECT(""'""&amp;DF$1&amp;""'!$C$4:$C$66""),INDIRECT(""'""&amp;DF$1&amp;""'!$D$4:$D$66"")=DF$2),$G$4:$BQ$4,$G46:$BQ46)))"),1.0909090936363637)</f>
        <v>1.090909094</v>
      </c>
      <c r="DG46" s="207" t="str">
        <f>IFERROR(__xludf.DUMMYFUNCTION("IF(OR(DF46&gt;$BS46+$BT46*$BT$2,DF46&lt;$BS46-$BT46*$BT$2),AVEDEV(ARRAYFORMULA(XLOOKUP(FILTER(INDIRECT(""'""&amp;DF$1&amp;""'!$C$4:$C$66""),INDIRECT(""'""&amp;DF$1&amp;""'!$D$4:$D$66"")=DF$2),$G$4:$BQ$4,$G46:$BQ46))),"""")"),"")</f>
        <v/>
      </c>
      <c r="DH46" s="208" t="str">
        <f t="shared" si="19"/>
        <v/>
      </c>
      <c r="DI46" s="210">
        <f>IFERROR(__xludf.DUMMYFUNCTION("AVERAGE(ARRAYFORMULA(XLOOKUP(FILTER(INDIRECT(""'""&amp;DI$1&amp;""'!$C$4:$C$66""),INDIRECT(""'""&amp;DI$1&amp;""'!$D$4:$D$66"")=DI$2),$G$4:$BQ$4,$G46:$BQ46)))"),0.0)</f>
        <v>0</v>
      </c>
      <c r="DJ46" s="207" t="str">
        <f>IFERROR(__xludf.DUMMYFUNCTION("IF(OR(DI46&gt;$BS46+$BT46*$BT$2,DI46&lt;$BS46-$BT46*$BT$2),AVEDEV(ARRAYFORMULA(XLOOKUP(FILTER(INDIRECT(""'""&amp;DI$1&amp;""'!$C$4:$C$66""),INDIRECT(""'""&amp;DI$1&amp;""'!$D$4:$D$66"")=DI$2),$G$4:$BQ$4,$G46:$BQ46))),"""")"),"")</f>
        <v/>
      </c>
      <c r="DK46" s="208" t="str">
        <f t="shared" si="20"/>
        <v/>
      </c>
      <c r="DL46" s="210">
        <f>IFERROR(__xludf.DUMMYFUNCTION("AVERAGE(ARRAYFORMULA(XLOOKUP(FILTER(INDIRECT(""'""&amp;DL$1&amp;""'!$C$4:$C$66""),INDIRECT(""'""&amp;DL$1&amp;""'!$D$4:$D$66"")=DL$2),$G$4:$BQ$4,$G46:$BQ46)))"),0.6904761928571429)</f>
        <v>0.6904761929</v>
      </c>
      <c r="DM46" s="207" t="str">
        <f>IFERROR(__xludf.DUMMYFUNCTION("IF(OR(DL46&gt;$BS46+$BT46*$BT$2,DL46&lt;$BS46-$BT46*$BT$2),AVEDEV(ARRAYFORMULA(XLOOKUP(FILTER(INDIRECT(""'""&amp;DL$1&amp;""'!$C$4:$C$66""),INDIRECT(""'""&amp;DL$1&amp;""'!$D$4:$D$66"")=DL$2),$G$4:$BQ$4,$G46:$BQ46))),"""")"),"")</f>
        <v/>
      </c>
      <c r="DN46" s="208" t="str">
        <f t="shared" si="21"/>
        <v/>
      </c>
      <c r="DO46" s="209" t="s">
        <v>444</v>
      </c>
      <c r="DP46" s="210">
        <f>IFERROR(__xludf.DUMMYFUNCTION("AVERAGE(ARRAYFORMULA(XLOOKUP(FILTER(INDIRECT(""'""&amp;DP$1&amp;""'!$C$4:$C$66""),INDIRECT(""'""&amp;DP$1&amp;""'!$D$4:$D$66"")=DP$2),$G$4:$BQ$4,$G46:$BQ46)))"),0.22222222733333338)</f>
        <v>0.2222222273</v>
      </c>
      <c r="DQ46" s="207" t="str">
        <f>IFERROR(__xludf.DUMMYFUNCTION("IF(OR(DP46&gt;$BS46+$BT46*$BT$2,DP46&lt;$BS46-$BT46*$BT$2),AVEDEV(ARRAYFORMULA(XLOOKUP(FILTER(INDIRECT(""'""&amp;DP$1&amp;""'!$C$4:$C$66""),INDIRECT(""'""&amp;DP$1&amp;""'!$D$4:$D$66"")=DP$2),$G$4:$BQ$4,$G46:$BQ46))),"""")"),"")</f>
        <v/>
      </c>
      <c r="DR46" s="208" t="str">
        <f t="shared" si="22"/>
        <v/>
      </c>
      <c r="DS46" s="210">
        <f>IFERROR(__xludf.DUMMYFUNCTION("AVERAGE(ARRAYFORMULA(XLOOKUP(FILTER(INDIRECT(""'""&amp;DS$1&amp;""'!$C$4:$C$66""),INDIRECT(""'""&amp;DS$1&amp;""'!$D$4:$D$66"")=DS$2),$G$4:$BQ$4,$G46:$BQ46)))"),0.9629629622222223)</f>
        <v>0.9629629622</v>
      </c>
      <c r="DT46" s="207" t="str">
        <f>IFERROR(__xludf.DUMMYFUNCTION("IF(OR(DS46&gt;$BS46+$BT46*$BT$2,DS46&lt;$BS46-$BT46*$BT$2),AVEDEV(ARRAYFORMULA(XLOOKUP(FILTER(INDIRECT(""'""&amp;DS$1&amp;""'!$C$4:$C$66""),INDIRECT(""'""&amp;DS$1&amp;""'!$D$4:$D$66"")=DS$2),$G$4:$BQ$4,$G46:$BQ46))),"""")"),"")</f>
        <v/>
      </c>
      <c r="DU46" s="208" t="str">
        <f t="shared" si="23"/>
        <v/>
      </c>
      <c r="DV46" s="210">
        <f>IFERROR(__xludf.DUMMYFUNCTION("AVERAGE(ARRAYFORMULA(XLOOKUP(FILTER(INDIRECT(""'""&amp;DV$1&amp;""'!$C$4:$C$66""),INDIRECT(""'""&amp;DV$1&amp;""'!$D$4:$D$66"")=DV$2),$G$4:$BQ$4,$G46:$BQ46)))"),1.29166666625)</f>
        <v>1.291666666</v>
      </c>
      <c r="DW46" s="207">
        <f>IFERROR(__xludf.DUMMYFUNCTION("IF(OR(DV46&gt;$BS46+$BT46*$BT$2,DV46&lt;$BS46-$BT46*$BT$2),AVEDEV(ARRAYFORMULA(XLOOKUP(FILTER(INDIRECT(""'""&amp;DV$1&amp;""'!$C$4:$C$66""),INDIRECT(""'""&amp;DV$1&amp;""'!$D$4:$D$66"")=DV$2),$G$4:$BQ$4,$G46:$BQ46))),"""")"),1.1145833328125)</f>
        <v>1.114583333</v>
      </c>
      <c r="DX46" s="208">
        <f t="shared" si="24"/>
        <v>0.1095049109</v>
      </c>
      <c r="DY46" s="210">
        <f>IFERROR(__xludf.DUMMYFUNCTION("AVERAGE(ARRAYFORMULA(XLOOKUP(FILTER(INDIRECT(""'""&amp;DY$1&amp;""'!$C$4:$C$66""),INDIRECT(""'""&amp;DY$1&amp;""'!$D$4:$D$66"")=DY$2),$G$4:$BQ$4,$G46:$BQ46)))"),-0.07407406333333333)</f>
        <v>-0.07407406333</v>
      </c>
      <c r="DZ46" s="207" t="str">
        <f>IFERROR(__xludf.DUMMYFUNCTION("IF(OR(DY46&gt;$BS46+$BT46*$BT$2,DY46&lt;$BS46-$BT46*$BT$2),AVEDEV(ARRAYFORMULA(XLOOKUP(FILTER(INDIRECT(""'""&amp;DY$1&amp;""'!$C$4:$C$66""),INDIRECT(""'""&amp;DY$1&amp;""'!$D$4:$D$66"")=DY$2),$G$4:$BQ$4,$G46:$BQ46))),"""")"),"")</f>
        <v/>
      </c>
      <c r="EA46" s="208" t="str">
        <f t="shared" si="25"/>
        <v/>
      </c>
      <c r="EB46" s="191"/>
    </row>
    <row r="47" outlineLevel="1">
      <c r="A47" s="2"/>
      <c r="B47" s="204">
        <v>43.0</v>
      </c>
      <c r="C47" s="204" t="s">
        <v>482</v>
      </c>
      <c r="D47" s="204" t="s">
        <v>487</v>
      </c>
      <c r="E47" s="205" t="b">
        <f>VLOOKUP(D47,'Feature Set List'!A43:C246,2,0)</f>
        <v>1</v>
      </c>
      <c r="F47" s="205" t="b">
        <f>VLOOKUP(D47,'Feature Set List'!A43:C246,3,0)</f>
        <v>1</v>
      </c>
      <c r="G47" s="205">
        <v>0.04647436</v>
      </c>
      <c r="H47" s="205">
        <v>0.08733974</v>
      </c>
      <c r="I47" s="205">
        <v>1.01201923</v>
      </c>
      <c r="J47" s="205">
        <v>0.11298077</v>
      </c>
      <c r="K47" s="205">
        <v>1.02884615</v>
      </c>
      <c r="L47" s="205">
        <v>-0.8798077</v>
      </c>
      <c r="M47" s="205">
        <v>-0.2924679</v>
      </c>
      <c r="N47" s="205">
        <v>-0.275641</v>
      </c>
      <c r="O47" s="205">
        <v>-0.181891</v>
      </c>
      <c r="P47" s="205">
        <v>-0.1362179</v>
      </c>
      <c r="Q47" s="205">
        <v>-0.5144231</v>
      </c>
      <c r="R47" s="205">
        <v>-0.5496795</v>
      </c>
      <c r="S47" s="205">
        <v>-0.2299679</v>
      </c>
      <c r="T47" s="205">
        <v>-0.3846154</v>
      </c>
      <c r="U47" s="205">
        <v>0.39983974</v>
      </c>
      <c r="V47" s="205">
        <v>-0.7283654</v>
      </c>
      <c r="W47" s="205">
        <v>-0.3453526</v>
      </c>
      <c r="X47" s="205">
        <v>0.64342949</v>
      </c>
      <c r="Y47" s="205">
        <v>-0.443109</v>
      </c>
      <c r="Z47" s="205">
        <v>1.20192308</v>
      </c>
      <c r="AA47" s="205">
        <v>1.06490385</v>
      </c>
      <c r="AB47" s="205">
        <v>1.04967949</v>
      </c>
      <c r="AC47" s="205">
        <v>1.13621795</v>
      </c>
      <c r="AD47" s="205">
        <v>0.4150641</v>
      </c>
      <c r="AE47" s="205">
        <v>0.65705128</v>
      </c>
      <c r="AF47" s="205">
        <v>-0.6418269</v>
      </c>
      <c r="AG47" s="205">
        <v>0.39423077</v>
      </c>
      <c r="AH47" s="205">
        <v>1.40865385</v>
      </c>
      <c r="AI47" s="205">
        <v>-0.0785256</v>
      </c>
      <c r="AJ47" s="205">
        <v>1.07692308</v>
      </c>
      <c r="AK47" s="205">
        <v>-0.5849359</v>
      </c>
      <c r="AL47" s="205">
        <v>-0.2540064</v>
      </c>
      <c r="AM47" s="205">
        <v>0.48317308</v>
      </c>
      <c r="AN47" s="205">
        <v>0.75400641</v>
      </c>
      <c r="AO47" s="205">
        <v>-0.5649038</v>
      </c>
      <c r="AP47" s="205">
        <v>-0.6450321</v>
      </c>
      <c r="AQ47" s="205">
        <v>-0.0849359</v>
      </c>
      <c r="AR47" s="205">
        <v>-0.8862179</v>
      </c>
      <c r="AS47" s="205">
        <v>-0.3950321</v>
      </c>
      <c r="AT47" s="205">
        <v>0.32532051</v>
      </c>
      <c r="AU47" s="205">
        <v>-0.1338141</v>
      </c>
      <c r="AV47" s="205">
        <v>1.02083333</v>
      </c>
      <c r="AW47" s="205">
        <v>-0.3966346</v>
      </c>
      <c r="AX47" s="205">
        <v>-0.5849359</v>
      </c>
      <c r="AY47" s="205">
        <v>4.27884615</v>
      </c>
      <c r="AZ47" s="205">
        <v>0.32852564</v>
      </c>
      <c r="BA47" s="205">
        <v>-0.2572115</v>
      </c>
      <c r="BB47" s="205">
        <v>1.10016026</v>
      </c>
      <c r="BC47" s="205">
        <v>0.39022436</v>
      </c>
      <c r="BD47" s="205">
        <v>0.0</v>
      </c>
      <c r="BE47" s="205">
        <v>3.28766026</v>
      </c>
      <c r="BF47" s="205">
        <v>0.05128205</v>
      </c>
      <c r="BG47" s="205">
        <v>-0.4951923</v>
      </c>
      <c r="BH47" s="205">
        <v>0.56169872</v>
      </c>
      <c r="BI47" s="205">
        <v>-0.2996795</v>
      </c>
      <c r="BJ47" s="205">
        <v>0.56570513</v>
      </c>
      <c r="BK47" s="205">
        <v>-0.6963141</v>
      </c>
      <c r="BL47" s="205">
        <v>1.11378205</v>
      </c>
      <c r="BM47" s="205">
        <v>0.02724359</v>
      </c>
      <c r="BN47" s="205">
        <v>-0.3958333</v>
      </c>
      <c r="BO47" s="205">
        <v>0.39503205</v>
      </c>
      <c r="BP47" s="205">
        <v>-0.5024038</v>
      </c>
      <c r="BQ47" s="205">
        <v>-0.2916667</v>
      </c>
      <c r="BR47" s="206"/>
      <c r="BS47" s="207">
        <f t="shared" si="6"/>
        <v>0.2106099956</v>
      </c>
      <c r="BT47" s="207">
        <f t="shared" si="7"/>
        <v>0.6545361945</v>
      </c>
      <c r="BU47" s="206"/>
      <c r="BV47" s="207">
        <f>IFERROR(__xludf.DUMMYFUNCTION("AVERAGE(ARRAYFORMULA(XLOOKUP(FILTER(INDIRECT(""'""&amp;BV$1&amp;""'!$C$4:$C$66""),INDIRECT(""'""&amp;BV$1&amp;""'!$D$4:$D$66"")=BV$2),$G$4:$BQ$4,$G47:$BQ47)))"),1.4655448785714287)</f>
        <v>1.465544879</v>
      </c>
      <c r="BW47" s="207">
        <f>IFERROR(__xludf.DUMMYFUNCTION("IF(OR(BV47&gt;$BS47+$BT47*$BT$2,BV47&lt;$BS47-$BT47*$BT$2),AVEDEV(ARRAYFORMULA(XLOOKUP(FILTER(INDIRECT(""'""&amp;BV$1&amp;""'!$C$4:$C$66""),INDIRECT(""'""&amp;BV$1&amp;""'!$D$4:$D$66"")=BV$2),$G$4:$BQ$4,$G47:$BQ47))),"""")"),1.324404757959184)</f>
        <v>1.324404758</v>
      </c>
      <c r="BX47" s="208">
        <f t="shared" si="8"/>
        <v>0.6003986886</v>
      </c>
      <c r="BY47" s="207">
        <f>IFERROR(__xludf.DUMMYFUNCTION("AVERAGE(ARRAYFORMULA(XLOOKUP(FILTER(INDIRECT(""'""&amp;BY$1&amp;""'!$C$4:$C$66""),INDIRECT(""'""&amp;BY$1&amp;""'!$D$4:$D$66"")=BY$2),$G$4:$BQ$4,$G47:$BQ47)))"),0.1216613273809524)</f>
        <v>0.1216613274</v>
      </c>
      <c r="BZ47" s="207" t="str">
        <f>IFERROR(__xludf.DUMMYFUNCTION("IF(OR(BY47&gt;$BS47+$BT47*$BT$2,BY47&lt;$BS47-$BT47*$BT$2),AVEDEV(ARRAYFORMULA(XLOOKUP(FILTER(INDIRECT(""'""&amp;BY$1&amp;""'!$C$4:$C$66""),INDIRECT(""'""&amp;BY$1&amp;""'!$D$4:$D$66"")=BY$2),$G$4:$BQ$4,$G47:$BQ47))),"""")"),"")</f>
        <v/>
      </c>
      <c r="CA47" s="208" t="str">
        <f t="shared" si="9"/>
        <v/>
      </c>
      <c r="CB47" s="207">
        <f>IFERROR(__xludf.DUMMYFUNCTION("AVERAGE(ARRAYFORMULA(XLOOKUP(FILTER(INDIRECT(""'""&amp;CB$1&amp;""'!$C$4:$C$66""),INDIRECT(""'""&amp;CB$1&amp;""'!$D$4:$D$66"")=CB$2),$G$4:$BQ$4,$G47:$BQ47)))"),-0.2707604827272727)</f>
        <v>-0.2707604827</v>
      </c>
      <c r="CC47" s="207" t="str">
        <f>IFERROR(__xludf.DUMMYFUNCTION("IF(OR(CB47&gt;$BS47+$BT47*$BT$2,CB47&lt;$BS47-$BT47*$BT$2),AVEDEV(ARRAYFORMULA(XLOOKUP(FILTER(INDIRECT(""'""&amp;CB$1&amp;""'!$C$4:$C$66""),INDIRECT(""'""&amp;CB$1&amp;""'!$D$4:$D$66"")=CB$2),$G$4:$BQ$4,$G47:$BQ47))),"""")"),"")</f>
        <v/>
      </c>
      <c r="CD47" s="208" t="str">
        <f t="shared" si="10"/>
        <v/>
      </c>
      <c r="CE47" s="209" t="s">
        <v>444</v>
      </c>
      <c r="CF47" s="207">
        <f>IFERROR(__xludf.DUMMYFUNCTION("AVERAGE(ARRAYFORMULA(XLOOKUP(FILTER(INDIRECT(""'""&amp;CF$1&amp;""'!$C$4:$C$66""),INDIRECT(""'""&amp;CF$1&amp;""'!$D$4:$D$66"")=CF$2),$G$4:$BQ$4,$G47:$BQ47)))"),0.08518629812499999)</f>
        <v>0.08518629813</v>
      </c>
      <c r="CG47" s="207" t="str">
        <f>IFERROR(__xludf.DUMMYFUNCTION("IF(OR(CF47&gt;$BS47+$BT47*$BT$2,CF47&lt;$BS47-$BT47*$BT$2),AVEDEV(ARRAYFORMULA(XLOOKUP(FILTER(INDIRECT(""'""&amp;CF$1&amp;""'!$C$4:$C$66""),INDIRECT(""'""&amp;CF$1&amp;""'!$D$4:$D$66"")=CF$2),$G$4:$BQ$4,$G47:$BQ47))),"""")"),"")</f>
        <v/>
      </c>
      <c r="CH47" s="208" t="str">
        <f t="shared" si="11"/>
        <v/>
      </c>
      <c r="CI47" s="207">
        <f>IFERROR(__xludf.DUMMYFUNCTION("AVERAGE(ARRAYFORMULA(XLOOKUP(FILTER(INDIRECT(""'""&amp;CI$1&amp;""'!$C$4:$C$66""),INDIRECT(""'""&amp;CI$1&amp;""'!$D$4:$D$66"")=CI$2),$G$4:$BQ$4,$G47:$BQ47)))"),0.4034067445161292)</f>
        <v>0.4034067445</v>
      </c>
      <c r="CJ47" s="207" t="str">
        <f>IFERROR(__xludf.DUMMYFUNCTION("IF(OR(CI47&gt;$BS47+$BT47*$BT$2,CI47&lt;$BS47-$BT47*$BT$2),AVEDEV(ARRAYFORMULA(XLOOKUP(FILTER(INDIRECT(""'""&amp;CI$1&amp;""'!$C$4:$C$66""),INDIRECT(""'""&amp;CI$1&amp;""'!$D$4:$D$66"")=CI$2),$G$4:$BQ$4,$G47:$BQ47))),"""")"),"")</f>
        <v/>
      </c>
      <c r="CK47" s="208" t="str">
        <f t="shared" si="12"/>
        <v/>
      </c>
      <c r="CL47" s="207">
        <f>IFERROR(__xludf.DUMMYFUNCTION("AVERAGE(ARRAYFORMULA(XLOOKUP(FILTER(INDIRECT(""'""&amp;CL$1&amp;""'!$C$4:$C$66""),INDIRECT(""'""&amp;CL$1&amp;""'!$D$4:$D$66"")=CL$2),$G$4:$BQ$4,$G47:$BQ47)))"),-0.33365384)</f>
        <v>-0.33365384</v>
      </c>
      <c r="CM47" s="207" t="str">
        <f>IFERROR(__xludf.DUMMYFUNCTION("IF(OR(CL47&gt;$BS47+$BT47*$BT$2,CL47&lt;$BS47-$BT47*$BT$2),AVEDEV(ARRAYFORMULA(XLOOKUP(FILTER(INDIRECT(""'""&amp;CL$1&amp;""'!$C$4:$C$66""),INDIRECT(""'""&amp;CL$1&amp;""'!$D$4:$D$66"")=CL$2),$G$4:$BQ$4,$G47:$BQ47))),"""")"),"")</f>
        <v/>
      </c>
      <c r="CN47" s="208" t="str">
        <f t="shared" si="13"/>
        <v/>
      </c>
      <c r="CO47" s="209" t="s">
        <v>444</v>
      </c>
      <c r="CP47" s="210">
        <f>IFERROR(__xludf.DUMMYFUNCTION("AVERAGE(ARRAYFORMULA(XLOOKUP(FILTER(INDIRECT(""'""&amp;CP$1&amp;""'!$C$4:$C$66""),INDIRECT(""'""&amp;CP$1&amp;""'!$D$4:$D$66"")=CP$2),$G$4:$BQ$4,$G47:$BQ47)))"),0.7215277786666667)</f>
        <v>0.7215277787</v>
      </c>
      <c r="CQ47" s="207" t="str">
        <f>IFERROR(__xludf.DUMMYFUNCTION("IF(OR(CP47&gt;$BS47+$BT47*$BT$2,CP47&lt;$BS47-$BT47*$BT$2),AVEDEV(ARRAYFORMULA(XLOOKUP(FILTER(INDIRECT(""'""&amp;CP$1&amp;""'!$C$4:$C$66""),INDIRECT(""'""&amp;CP$1&amp;""'!$D$4:$D$66"")=CP$2),$G$4:$BQ$4,$G47:$BQ47))),"""")"),"")</f>
        <v/>
      </c>
      <c r="CR47" s="208" t="str">
        <f t="shared" si="14"/>
        <v/>
      </c>
      <c r="CS47" s="210">
        <f>IFERROR(__xludf.DUMMYFUNCTION("AVERAGE(ARRAYFORMULA(XLOOKUP(FILTER(INDIRECT(""'""&amp;CS$1&amp;""'!$C$4:$C$66""),INDIRECT(""'""&amp;CS$1&amp;""'!$D$4:$D$66"")=CS$2),$G$4:$BQ$4,$G47:$BQ47)))"),0.05440500153846161)</f>
        <v>0.05440500154</v>
      </c>
      <c r="CT47" s="207" t="str">
        <f>IFERROR(__xludf.DUMMYFUNCTION("IF(OR(CS47&gt;$BS47+$BT47*$BT$2,CS47&lt;$BS47-$BT47*$BT$2),AVEDEV(ARRAYFORMULA(XLOOKUP(FILTER(INDIRECT(""'""&amp;CS$1&amp;""'!$C$4:$C$66""),INDIRECT(""'""&amp;CS$1&amp;""'!$D$4:$D$66"")=CS$2),$G$4:$BQ$4,$G47:$BQ47))),"""")"),"")</f>
        <v/>
      </c>
      <c r="CU47" s="208" t="str">
        <f t="shared" si="15"/>
        <v/>
      </c>
      <c r="CV47" s="210">
        <f>IFERROR(__xludf.DUMMYFUNCTION("AVERAGE(ARRAYFORMULA(XLOOKUP(FILTER(INDIRECT(""'""&amp;CV$1&amp;""'!$C$4:$C$66""),INDIRECT(""'""&amp;CV$1&amp;""'!$D$4:$D$66"")=CV$2),$G$4:$BQ$4,$G47:$BQ47)))"),-0.33365384)</f>
        <v>-0.33365384</v>
      </c>
      <c r="CW47" s="207" t="str">
        <f>IFERROR(__xludf.DUMMYFUNCTION("IF(OR(CV47&gt;$BS47+$BT47*$BT$2,CV47&lt;$BS47-$BT47*$BT$2),AVEDEV(ARRAYFORMULA(XLOOKUP(FILTER(INDIRECT(""'""&amp;CV$1&amp;""'!$C$4:$C$66""),INDIRECT(""'""&amp;CV$1&amp;""'!$D$4:$D$66"")=CV$2),$G$4:$BQ$4,$G47:$BQ47))),"""")"),"")</f>
        <v/>
      </c>
      <c r="CX47" s="208" t="str">
        <f t="shared" si="16"/>
        <v/>
      </c>
      <c r="CY47" s="209" t="s">
        <v>444</v>
      </c>
      <c r="CZ47" s="210">
        <f>IFERROR(__xludf.DUMMYFUNCTION("AVERAGE(ARRAYFORMULA(XLOOKUP(FILTER(INDIRECT(""'""&amp;CZ$1&amp;""'!$C$4:$C$66""),INDIRECT(""'""&amp;CZ$1&amp;""'!$D$4:$D$66"")=CZ$2),$G$4:$BQ$4,$G47:$BQ47)))"),-0.17439331357142857)</f>
        <v>-0.1743933136</v>
      </c>
      <c r="DA47" s="207" t="str">
        <f>IFERROR(__xludf.DUMMYFUNCTION("IF(OR(CZ47&gt;$BS47+$BT47*$BT$2,CZ47&lt;$BS47-$BT47*$BT$2),AVEDEV(ARRAYFORMULA(XLOOKUP(FILTER(INDIRECT(""'""&amp;CZ$1&amp;""'!$C$4:$C$66""),INDIRECT(""'""&amp;CZ$1&amp;""'!$D$4:$D$66"")=CZ$2),$G$4:$BQ$4,$G47:$BQ47))),"""")"),"")</f>
        <v/>
      </c>
      <c r="DB47" s="208" t="str">
        <f t="shared" si="17"/>
        <v/>
      </c>
      <c r="DC47" s="210">
        <f>IFERROR(__xludf.DUMMYFUNCTION("AVERAGE(ARRAYFORMULA(XLOOKUP(FILTER(INDIRECT(""'""&amp;DC$1&amp;""'!$C$4:$C$66""),INDIRECT(""'""&amp;DC$1&amp;""'!$D$4:$D$66"")=DC$2),$G$4:$BQ$4,$G47:$BQ47)))"),-0.37045939333333333)</f>
        <v>-0.3704593933</v>
      </c>
      <c r="DD47" s="207" t="str">
        <f>IFERROR(__xludf.DUMMYFUNCTION("IF(OR(DC47&gt;$BS47+$BT47*$BT$2,DC47&lt;$BS47-$BT47*$BT$2),AVEDEV(ARRAYFORMULA(XLOOKUP(FILTER(INDIRECT(""'""&amp;DC$1&amp;""'!$C$4:$C$66""),INDIRECT(""'""&amp;DC$1&amp;""'!$D$4:$D$66"")=DC$2),$G$4:$BQ$4,$G47:$BQ47))),"""")"),"")</f>
        <v/>
      </c>
      <c r="DE47" s="208" t="str">
        <f t="shared" si="18"/>
        <v/>
      </c>
      <c r="DF47" s="210">
        <f>IFERROR(__xludf.DUMMYFUNCTION("AVERAGE(ARRAYFORMULA(XLOOKUP(FILTER(INDIRECT(""'""&amp;DF$1&amp;""'!$C$4:$C$66""),INDIRECT(""'""&amp;DF$1&amp;""'!$D$4:$D$66"")=DF$2),$G$4:$BQ$4,$G47:$BQ47)))"),0.5897435954545455)</f>
        <v>0.5897435955</v>
      </c>
      <c r="DG47" s="207" t="str">
        <f>IFERROR(__xludf.DUMMYFUNCTION("IF(OR(DF47&gt;$BS47+$BT47*$BT$2,DF47&lt;$BS47-$BT47*$BT$2),AVEDEV(ARRAYFORMULA(XLOOKUP(FILTER(INDIRECT(""'""&amp;DF$1&amp;""'!$C$4:$C$66""),INDIRECT(""'""&amp;DF$1&amp;""'!$D$4:$D$66"")=DF$2),$G$4:$BQ$4,$G47:$BQ47))),"""")"),"")</f>
        <v/>
      </c>
      <c r="DH47" s="208" t="str">
        <f t="shared" si="19"/>
        <v/>
      </c>
      <c r="DI47" s="210">
        <f>IFERROR(__xludf.DUMMYFUNCTION("AVERAGE(ARRAYFORMULA(XLOOKUP(FILTER(INDIRECT(""'""&amp;DI$1&amp;""'!$C$4:$C$66""),INDIRECT(""'""&amp;DI$1&amp;""'!$D$4:$D$66"")=DI$2),$G$4:$BQ$4,$G47:$BQ47)))"),0.48838141)</f>
        <v>0.48838141</v>
      </c>
      <c r="DJ47" s="207" t="str">
        <f>IFERROR(__xludf.DUMMYFUNCTION("IF(OR(DI47&gt;$BS47+$BT47*$BT$2,DI47&lt;$BS47-$BT47*$BT$2),AVEDEV(ARRAYFORMULA(XLOOKUP(FILTER(INDIRECT(""'""&amp;DI$1&amp;""'!$C$4:$C$66""),INDIRECT(""'""&amp;DI$1&amp;""'!$D$4:$D$66"")=DI$2),$G$4:$BQ$4,$G47:$BQ47))),"""")"),"")</f>
        <v/>
      </c>
      <c r="DK47" s="208" t="str">
        <f t="shared" si="20"/>
        <v/>
      </c>
      <c r="DL47" s="210">
        <f>IFERROR(__xludf.DUMMYFUNCTION("AVERAGE(ARRAYFORMULA(XLOOKUP(FILTER(INDIRECT(""'""&amp;DL$1&amp;""'!$C$4:$C$66""),INDIRECT(""'""&amp;DL$1&amp;""'!$D$4:$D$66"")=DL$2),$G$4:$BQ$4,$G47:$BQ47)))"),-0.01556776000000001)</f>
        <v>-0.01556776</v>
      </c>
      <c r="DM47" s="207" t="str">
        <f>IFERROR(__xludf.DUMMYFUNCTION("IF(OR(DL47&gt;$BS47+$BT47*$BT$2,DL47&lt;$BS47-$BT47*$BT$2),AVEDEV(ARRAYFORMULA(XLOOKUP(FILTER(INDIRECT(""'""&amp;DL$1&amp;""'!$C$4:$C$66""),INDIRECT(""'""&amp;DL$1&amp;""'!$D$4:$D$66"")=DL$2),$G$4:$BQ$4,$G47:$BQ47))),"""")"),"")</f>
        <v/>
      </c>
      <c r="DN47" s="208" t="str">
        <f t="shared" si="21"/>
        <v/>
      </c>
      <c r="DO47" s="209" t="s">
        <v>444</v>
      </c>
      <c r="DP47" s="210">
        <f>IFERROR(__xludf.DUMMYFUNCTION("AVERAGE(ARRAYFORMULA(XLOOKUP(FILTER(INDIRECT(""'""&amp;DP$1&amp;""'!$C$4:$C$66""),INDIRECT(""'""&amp;DP$1&amp;""'!$D$4:$D$66"")=DP$2),$G$4:$BQ$4,$G47:$BQ47)))"),0.25050747866666667)</f>
        <v>0.2505074787</v>
      </c>
      <c r="DQ47" s="207" t="str">
        <f>IFERROR(__xludf.DUMMYFUNCTION("IF(OR(DP47&gt;$BS47+$BT47*$BT$2,DP47&lt;$BS47-$BT47*$BT$2),AVEDEV(ARRAYFORMULA(XLOOKUP(FILTER(INDIRECT(""'""&amp;DP$1&amp;""'!$C$4:$C$66""),INDIRECT(""'""&amp;DP$1&amp;""'!$D$4:$D$66"")=DP$2),$G$4:$BQ$4,$G47:$BQ47))),"""")"),"")</f>
        <v/>
      </c>
      <c r="DR47" s="208" t="str">
        <f t="shared" si="22"/>
        <v/>
      </c>
      <c r="DS47" s="210">
        <f>IFERROR(__xludf.DUMMYFUNCTION("AVERAGE(ARRAYFORMULA(XLOOKUP(FILTER(INDIRECT(""'""&amp;DS$1&amp;""'!$C$4:$C$66""),INDIRECT(""'""&amp;DS$1&amp;""'!$D$4:$D$66"")=DS$2),$G$4:$BQ$4,$G47:$BQ47)))"),-0.1334579688888889)</f>
        <v>-0.1334579689</v>
      </c>
      <c r="DT47" s="207" t="str">
        <f>IFERROR(__xludf.DUMMYFUNCTION("IF(OR(DS47&gt;$BS47+$BT47*$BT$2,DS47&lt;$BS47-$BT47*$BT$2),AVEDEV(ARRAYFORMULA(XLOOKUP(FILTER(INDIRECT(""'""&amp;DS$1&amp;""'!$C$4:$C$66""),INDIRECT(""'""&amp;DS$1&amp;""'!$D$4:$D$66"")=DS$2),$G$4:$BQ$4,$G47:$BQ47))),"""")"),"")</f>
        <v/>
      </c>
      <c r="DU47" s="208" t="str">
        <f t="shared" si="23"/>
        <v/>
      </c>
      <c r="DV47" s="210">
        <f>IFERROR(__xludf.DUMMYFUNCTION("AVERAGE(ARRAYFORMULA(XLOOKUP(FILTER(INDIRECT(""'""&amp;DV$1&amp;""'!$C$4:$C$66""),INDIRECT(""'""&amp;DV$1&amp;""'!$D$4:$D$66"")=DV$2),$G$4:$BQ$4,$G47:$BQ47)))"),0.7734375075)</f>
        <v>0.7734375075</v>
      </c>
      <c r="DW47" s="207" t="str">
        <f>IFERROR(__xludf.DUMMYFUNCTION("IF(OR(DV47&gt;$BS47+$BT47*$BT$2,DV47&lt;$BS47-$BT47*$BT$2),AVEDEV(ARRAYFORMULA(XLOOKUP(FILTER(INDIRECT(""'""&amp;DV$1&amp;""'!$C$4:$C$66""),INDIRECT(""'""&amp;DV$1&amp;""'!$D$4:$D$66"")=DV$2),$G$4:$BQ$4,$G47:$BQ47))),"""")"),"")</f>
        <v/>
      </c>
      <c r="DX47" s="208" t="str">
        <f t="shared" si="24"/>
        <v/>
      </c>
      <c r="DY47" s="210">
        <f>IFERROR(__xludf.DUMMYFUNCTION("AVERAGE(ARRAYFORMULA(XLOOKUP(FILTER(INDIRECT(""'""&amp;DY$1&amp;""'!$C$4:$C$66""),INDIRECT(""'""&amp;DY$1&amp;""'!$D$4:$D$66"")=DY$2),$G$4:$BQ$4,$G47:$BQ47)))"),-0.0463853277777778)</f>
        <v>-0.04638532778</v>
      </c>
      <c r="DZ47" s="207" t="str">
        <f>IFERROR(__xludf.DUMMYFUNCTION("IF(OR(DY47&gt;$BS47+$BT47*$BT$2,DY47&lt;$BS47-$BT47*$BT$2),AVEDEV(ARRAYFORMULA(XLOOKUP(FILTER(INDIRECT(""'""&amp;DY$1&amp;""'!$C$4:$C$66""),INDIRECT(""'""&amp;DY$1&amp;""'!$D$4:$D$66"")=DY$2),$G$4:$BQ$4,$G47:$BQ47))),"""")"),"")</f>
        <v/>
      </c>
      <c r="EA47" s="208" t="str">
        <f t="shared" si="25"/>
        <v/>
      </c>
      <c r="EB47" s="191"/>
    </row>
    <row r="48" outlineLevel="1">
      <c r="A48" s="2"/>
      <c r="B48" s="204">
        <v>44.0</v>
      </c>
      <c r="C48" s="204" t="s">
        <v>482</v>
      </c>
      <c r="D48" s="204" t="s">
        <v>488</v>
      </c>
      <c r="E48" s="205" t="b">
        <f>VLOOKUP(D48,'Feature Set List'!A44:C246,2,0)</f>
        <v>1</v>
      </c>
      <c r="F48" s="205" t="b">
        <f>VLOOKUP(D48,'Feature Set List'!A44:C246,3,0)</f>
        <v>1</v>
      </c>
      <c r="G48" s="205">
        <v>0.86307448</v>
      </c>
      <c r="H48" s="205">
        <v>0.28240887</v>
      </c>
      <c r="I48" s="205">
        <v>-0.9318542</v>
      </c>
      <c r="J48" s="205">
        <v>-0.7350238</v>
      </c>
      <c r="K48" s="205">
        <v>-0.399683</v>
      </c>
      <c r="L48" s="205">
        <v>0.75530903</v>
      </c>
      <c r="M48" s="205">
        <v>0.55467512</v>
      </c>
      <c r="N48" s="205">
        <v>-0.1613312</v>
      </c>
      <c r="O48" s="205">
        <v>-0.0383518</v>
      </c>
      <c r="P48" s="205">
        <v>-0.6399366</v>
      </c>
      <c r="Q48" s="205">
        <v>0.6503962</v>
      </c>
      <c r="R48" s="205">
        <v>0.45388273</v>
      </c>
      <c r="S48" s="205">
        <v>0.06339144</v>
      </c>
      <c r="T48" s="205">
        <v>0.10998415</v>
      </c>
      <c r="U48" s="205">
        <v>0.68684628</v>
      </c>
      <c r="V48" s="205">
        <v>0.59175911</v>
      </c>
      <c r="W48" s="205">
        <v>0.0</v>
      </c>
      <c r="X48" s="205">
        <v>-0.3645008</v>
      </c>
      <c r="Y48" s="205">
        <v>0.8703645</v>
      </c>
      <c r="Z48" s="205">
        <v>-1.1515055</v>
      </c>
      <c r="AA48" s="205">
        <v>-0.6992076</v>
      </c>
      <c r="AB48" s="205">
        <v>-0.451981</v>
      </c>
      <c r="AC48" s="205">
        <v>-1.3011094</v>
      </c>
      <c r="AD48" s="205">
        <v>-0.3007924</v>
      </c>
      <c r="AE48" s="205">
        <v>-0.5524564</v>
      </c>
      <c r="AF48" s="205">
        <v>0.25103011</v>
      </c>
      <c r="AG48" s="205">
        <v>-0.6098257</v>
      </c>
      <c r="AH48" s="205">
        <v>-0.9438986</v>
      </c>
      <c r="AI48" s="205">
        <v>-0.4779715</v>
      </c>
      <c r="AJ48" s="205">
        <v>-0.5546751</v>
      </c>
      <c r="AK48" s="205">
        <v>0.30839937</v>
      </c>
      <c r="AL48" s="205">
        <v>-0.1797147</v>
      </c>
      <c r="AM48" s="205">
        <v>-0.4234548</v>
      </c>
      <c r="AN48" s="205">
        <v>-1.2231379</v>
      </c>
      <c r="AO48" s="205">
        <v>0.35721078</v>
      </c>
      <c r="AP48" s="205">
        <v>0.76259905</v>
      </c>
      <c r="AQ48" s="205">
        <v>0.19429477</v>
      </c>
      <c r="AR48" s="205">
        <v>0.67638669</v>
      </c>
      <c r="AS48" s="205">
        <v>0.22377179</v>
      </c>
      <c r="AT48" s="205">
        <v>-0.592393</v>
      </c>
      <c r="AU48" s="205">
        <v>-0.4700475</v>
      </c>
      <c r="AV48" s="205">
        <v>0.42282092</v>
      </c>
      <c r="AW48" s="205">
        <v>0.18351823</v>
      </c>
      <c r="AX48" s="205">
        <v>0.16513471</v>
      </c>
      <c r="AY48" s="205">
        <v>-2.1000951</v>
      </c>
      <c r="AZ48" s="205">
        <v>0.04310618</v>
      </c>
      <c r="BA48" s="205">
        <v>-0.3362916</v>
      </c>
      <c r="BB48" s="205">
        <v>-0.4323296</v>
      </c>
      <c r="BC48" s="205">
        <v>-0.8858954</v>
      </c>
      <c r="BD48" s="205">
        <v>0.43898574</v>
      </c>
      <c r="BE48" s="205">
        <v>-1.9518225</v>
      </c>
      <c r="BF48" s="205">
        <v>0.60412044</v>
      </c>
      <c r="BG48" s="205">
        <v>0.5163233</v>
      </c>
      <c r="BH48" s="205">
        <v>-0.3194929</v>
      </c>
      <c r="BI48" s="205">
        <v>0.80792393</v>
      </c>
      <c r="BJ48" s="205">
        <v>-0.844374</v>
      </c>
      <c r="BK48" s="205">
        <v>0.43391442</v>
      </c>
      <c r="BL48" s="205">
        <v>-0.5721078</v>
      </c>
      <c r="BM48" s="205">
        <v>0.78066561</v>
      </c>
      <c r="BN48" s="205">
        <v>0.56038035</v>
      </c>
      <c r="BO48" s="205">
        <v>0.21489699</v>
      </c>
      <c r="BP48" s="205">
        <v>0.82916006</v>
      </c>
      <c r="BQ48" s="205">
        <v>-0.1004754</v>
      </c>
      <c r="BR48" s="206"/>
      <c r="BS48" s="207">
        <f t="shared" si="6"/>
        <v>-0.09665081667</v>
      </c>
      <c r="BT48" s="207">
        <f t="shared" si="7"/>
        <v>0.5653289048</v>
      </c>
      <c r="BU48" s="206"/>
      <c r="BV48" s="207">
        <f>IFERROR(__xludf.DUMMYFUNCTION("AVERAGE(ARRAYFORMULA(XLOOKUP(FILTER(INDIRECT(""'""&amp;BV$1&amp;""'!$C$4:$C$66""),INDIRECT(""'""&amp;BV$1&amp;""'!$D$4:$D$66"")=BV$2),$G$4:$BQ$4,$G48:$BQ48)))"),-0.6252569628571428)</f>
        <v>-0.6252569629</v>
      </c>
      <c r="BW48" s="207" t="str">
        <f>IFERROR(__xludf.DUMMYFUNCTION("IF(OR(BV48&gt;$BS48+$BT48*$BT$2,BV48&lt;$BS48-$BT48*$BT$2),AVEDEV(ARRAYFORMULA(XLOOKUP(FILTER(INDIRECT(""'""&amp;BV$1&amp;""'!$C$4:$C$66""),INDIRECT(""'""&amp;BV$1&amp;""'!$D$4:$D$66"")=BV$2),$G$4:$BQ$4,$G48:$BQ48))),"""")"),"")</f>
        <v/>
      </c>
      <c r="BX48" s="208" t="str">
        <f t="shared" si="8"/>
        <v/>
      </c>
      <c r="BY48" s="207">
        <f>IFERROR(__xludf.DUMMYFUNCTION("AVERAGE(ARRAYFORMULA(XLOOKUP(FILTER(INDIRECT(""'""&amp;BY$1&amp;""'!$C$4:$C$66""),INDIRECT(""'""&amp;BY$1&amp;""'!$D$4:$D$66"")=BY$2),$G$4:$BQ$4,$G48:$BQ48)))"),-0.0952682792857143)</f>
        <v>-0.09526827929</v>
      </c>
      <c r="BZ48" s="207" t="str">
        <f>IFERROR(__xludf.DUMMYFUNCTION("IF(OR(BY48&gt;$BS48+$BT48*$BT$2,BY48&lt;$BS48-$BT48*$BT$2),AVEDEV(ARRAYFORMULA(XLOOKUP(FILTER(INDIRECT(""'""&amp;BY$1&amp;""'!$C$4:$C$66""),INDIRECT(""'""&amp;BY$1&amp;""'!$D$4:$D$66"")=BY$2),$G$4:$BQ$4,$G48:$BQ48))),"""")"),"")</f>
        <v/>
      </c>
      <c r="CA48" s="208" t="str">
        <f t="shared" si="9"/>
        <v/>
      </c>
      <c r="CB48" s="207">
        <f>IFERROR(__xludf.DUMMYFUNCTION("AVERAGE(ARRAYFORMULA(XLOOKUP(FILTER(INDIRECT(""'""&amp;CB$1&amp;""'!$C$4:$C$66""),INDIRECT(""'""&amp;CB$1&amp;""'!$D$4:$D$66"")=CB$2),$G$4:$BQ$4,$G48:$BQ48)))"),0.2956346345454545)</f>
        <v>0.2956346345</v>
      </c>
      <c r="CC48" s="207" t="str">
        <f>IFERROR(__xludf.DUMMYFUNCTION("IF(OR(CB48&gt;$BS48+$BT48*$BT$2,CB48&lt;$BS48-$BT48*$BT$2),AVEDEV(ARRAYFORMULA(XLOOKUP(FILTER(INDIRECT(""'""&amp;CB$1&amp;""'!$C$4:$C$66""),INDIRECT(""'""&amp;CB$1&amp;""'!$D$4:$D$66"")=CB$2),$G$4:$BQ$4,$G48:$BQ48))),"""")"),"")</f>
        <v/>
      </c>
      <c r="CD48" s="208" t="str">
        <f t="shared" si="10"/>
        <v/>
      </c>
      <c r="CE48" s="209" t="s">
        <v>444</v>
      </c>
      <c r="CF48" s="207">
        <f>IFERROR(__xludf.DUMMYFUNCTION("AVERAGE(ARRAYFORMULA(XLOOKUP(FILTER(INDIRECT(""'""&amp;CF$1&amp;""'!$C$4:$C$66""),INDIRECT(""'""&amp;CF$1&amp;""'!$D$4:$D$66"")=CF$2),$G$4:$BQ$4,$G48:$BQ48)))"),-0.021691755)</f>
        <v>-0.021691755</v>
      </c>
      <c r="CG48" s="207" t="str">
        <f>IFERROR(__xludf.DUMMYFUNCTION("IF(OR(CF48&gt;$BS48+$BT48*$BT$2,CF48&lt;$BS48-$BT48*$BT$2),AVEDEV(ARRAYFORMULA(XLOOKUP(FILTER(INDIRECT(""'""&amp;CF$1&amp;""'!$C$4:$C$66""),INDIRECT(""'""&amp;CF$1&amp;""'!$D$4:$D$66"")=CF$2),$G$4:$BQ$4,$G48:$BQ48))),"""")"),"")</f>
        <v/>
      </c>
      <c r="CH48" s="208" t="str">
        <f t="shared" si="11"/>
        <v/>
      </c>
      <c r="CI48" s="207">
        <f>IFERROR(__xludf.DUMMYFUNCTION("AVERAGE(ARRAYFORMULA(XLOOKUP(FILTER(INDIRECT(""'""&amp;CI$1&amp;""'!$C$4:$C$66""),INDIRECT(""'""&amp;CI$1&amp;""'!$D$4:$D$66"")=CI$2),$G$4:$BQ$4,$G48:$BQ48)))"),-0.2185041648387097)</f>
        <v>-0.2185041648</v>
      </c>
      <c r="CJ48" s="207" t="str">
        <f>IFERROR(__xludf.DUMMYFUNCTION("IF(OR(CI48&gt;$BS48+$BT48*$BT$2,CI48&lt;$BS48-$BT48*$BT$2),AVEDEV(ARRAYFORMULA(XLOOKUP(FILTER(INDIRECT(""'""&amp;CI$1&amp;""'!$C$4:$C$66""),INDIRECT(""'""&amp;CI$1&amp;""'!$D$4:$D$66"")=CI$2),$G$4:$BQ$4,$G48:$BQ48))),"""")"),"")</f>
        <v/>
      </c>
      <c r="CK48" s="208" t="str">
        <f t="shared" si="12"/>
        <v/>
      </c>
      <c r="CL48" s="207">
        <f>IFERROR(__xludf.DUMMYFUNCTION("AVERAGE(ARRAYFORMULA(XLOOKUP(FILTER(INDIRECT(""'""&amp;CL$1&amp;""'!$C$4:$C$66""),INDIRECT(""'""&amp;CL$1&amp;""'!$D$4:$D$66"")=CL$2),$G$4:$BQ$4,$G48:$BQ48)))"),-0.025229791999999973)</f>
        <v>-0.025229792</v>
      </c>
      <c r="CM48" s="207" t="str">
        <f>IFERROR(__xludf.DUMMYFUNCTION("IF(OR(CL48&gt;$BS48+$BT48*$BT$2,CL48&lt;$BS48-$BT48*$BT$2),AVEDEV(ARRAYFORMULA(XLOOKUP(FILTER(INDIRECT(""'""&amp;CL$1&amp;""'!$C$4:$C$66""),INDIRECT(""'""&amp;CL$1&amp;""'!$D$4:$D$66"")=CL$2),$G$4:$BQ$4,$G48:$BQ48))),"""")"),"")</f>
        <v/>
      </c>
      <c r="CN48" s="208" t="str">
        <f t="shared" si="13"/>
        <v/>
      </c>
      <c r="CO48" s="209" t="s">
        <v>444</v>
      </c>
      <c r="CP48" s="210">
        <f>IFERROR(__xludf.DUMMYFUNCTION("AVERAGE(ARRAYFORMULA(XLOOKUP(FILTER(INDIRECT(""'""&amp;CP$1&amp;""'!$C$4:$C$66""),INDIRECT(""'""&amp;CP$1&amp;""'!$D$4:$D$66"")=CP$2),$G$4:$BQ$4,$G48:$BQ48)))"),-0.2690121493333334)</f>
        <v>-0.2690121493</v>
      </c>
      <c r="CQ48" s="207" t="str">
        <f>IFERROR(__xludf.DUMMYFUNCTION("IF(OR(CP48&gt;$BS48+$BT48*$BT$2,CP48&lt;$BS48-$BT48*$BT$2),AVEDEV(ARRAYFORMULA(XLOOKUP(FILTER(INDIRECT(""'""&amp;CP$1&amp;""'!$C$4:$C$66""),INDIRECT(""'""&amp;CP$1&amp;""'!$D$4:$D$66"")=CP$2),$G$4:$BQ$4,$G48:$BQ48))),"""")"),"")</f>
        <v/>
      </c>
      <c r="CR48" s="208" t="str">
        <f t="shared" si="14"/>
        <v/>
      </c>
      <c r="CS48" s="210">
        <f>IFERROR(__xludf.DUMMYFUNCTION("AVERAGE(ARRAYFORMULA(XLOOKUP(FILTER(INDIRECT(""'""&amp;CS$1&amp;""'!$C$4:$C$66""),INDIRECT(""'""&amp;CS$1&amp;""'!$D$4:$D$66"")=CS$2),$G$4:$BQ$4,$G48:$BQ48)))"),-0.01006785871794874)</f>
        <v>-0.01006785872</v>
      </c>
      <c r="CT48" s="207" t="str">
        <f>IFERROR(__xludf.DUMMYFUNCTION("IF(OR(CS48&gt;$BS48+$BT48*$BT$2,CS48&lt;$BS48-$BT48*$BT$2),AVEDEV(ARRAYFORMULA(XLOOKUP(FILTER(INDIRECT(""'""&amp;CS$1&amp;""'!$C$4:$C$66""),INDIRECT(""'""&amp;CS$1&amp;""'!$D$4:$D$66"")=CS$2),$G$4:$BQ$4,$G48:$BQ48))),"""")"),"")</f>
        <v/>
      </c>
      <c r="CU48" s="208" t="str">
        <f t="shared" si="15"/>
        <v/>
      </c>
      <c r="CV48" s="210">
        <f>IFERROR(__xludf.DUMMYFUNCTION("AVERAGE(ARRAYFORMULA(XLOOKUP(FILTER(INDIRECT(""'""&amp;CV$1&amp;""'!$C$4:$C$66""),INDIRECT(""'""&amp;CV$1&amp;""'!$D$4:$D$66"")=CV$2),$G$4:$BQ$4,$G48:$BQ48)))"),-0.025229791999999973)</f>
        <v>-0.025229792</v>
      </c>
      <c r="CW48" s="207" t="str">
        <f>IFERROR(__xludf.DUMMYFUNCTION("IF(OR(CV48&gt;$BS48+$BT48*$BT$2,CV48&lt;$BS48-$BT48*$BT$2),AVEDEV(ARRAYFORMULA(XLOOKUP(FILTER(INDIRECT(""'""&amp;CV$1&amp;""'!$C$4:$C$66""),INDIRECT(""'""&amp;CV$1&amp;""'!$D$4:$D$66"")=CV$2),$G$4:$BQ$4,$G48:$BQ48))),"""")"),"")</f>
        <v/>
      </c>
      <c r="CX48" s="208" t="str">
        <f t="shared" si="16"/>
        <v/>
      </c>
      <c r="CY48" s="209" t="s">
        <v>444</v>
      </c>
      <c r="CZ48" s="210">
        <f>IFERROR(__xludf.DUMMYFUNCTION("AVERAGE(ARRAYFORMULA(XLOOKUP(FILTER(INDIRECT(""'""&amp;CZ$1&amp;""'!$C$4:$C$66""),INDIRECT(""'""&amp;CZ$1&amp;""'!$D$4:$D$66"")=CZ$2),$G$4:$BQ$4,$G48:$BQ48)))"),0.046049354285714286)</f>
        <v>0.04604935429</v>
      </c>
      <c r="DA48" s="207" t="str">
        <f>IFERROR(__xludf.DUMMYFUNCTION("IF(OR(CZ48&gt;$BS48+$BT48*$BT$2,CZ48&lt;$BS48-$BT48*$BT$2),AVEDEV(ARRAYFORMULA(XLOOKUP(FILTER(INDIRECT(""'""&amp;CZ$1&amp;""'!$C$4:$C$66""),INDIRECT(""'""&amp;CZ$1&amp;""'!$D$4:$D$66"")=CZ$2),$G$4:$BQ$4,$G48:$BQ48))),"""")"),"")</f>
        <v/>
      </c>
      <c r="DB48" s="208" t="str">
        <f t="shared" si="17"/>
        <v/>
      </c>
      <c r="DC48" s="210">
        <f>IFERROR(__xludf.DUMMYFUNCTION("AVERAGE(ARRAYFORMULA(XLOOKUP(FILTER(INDIRECT(""'""&amp;DC$1&amp;""'!$C$4:$C$66""),INDIRECT(""'""&amp;DC$1&amp;""'!$D$4:$D$66"")=DC$2),$G$4:$BQ$4,$G48:$BQ48)))"),0.2698010211111111)</f>
        <v>0.2698010211</v>
      </c>
      <c r="DD48" s="207" t="str">
        <f>IFERROR(__xludf.DUMMYFUNCTION("IF(OR(DC48&gt;$BS48+$BT48*$BT$2,DC48&lt;$BS48-$BT48*$BT$2),AVEDEV(ARRAYFORMULA(XLOOKUP(FILTER(INDIRECT(""'""&amp;DC$1&amp;""'!$C$4:$C$66""),INDIRECT(""'""&amp;DC$1&amp;""'!$D$4:$D$66"")=DC$2),$G$4:$BQ$4,$G48:$BQ48))),"""")"),"")</f>
        <v/>
      </c>
      <c r="DE48" s="208" t="str">
        <f t="shared" si="18"/>
        <v/>
      </c>
      <c r="DF48" s="210">
        <f>IFERROR(__xludf.DUMMYFUNCTION("AVERAGE(ARRAYFORMULA(XLOOKUP(FILTER(INDIRECT(""'""&amp;DF$1&amp;""'!$C$4:$C$66""),INDIRECT(""'""&amp;DF$1&amp;""'!$D$4:$D$66"")=DF$2),$G$4:$BQ$4,$G48:$BQ48)))"),-0.28650050636363633)</f>
        <v>-0.2865005064</v>
      </c>
      <c r="DG48" s="207" t="str">
        <f>IFERROR(__xludf.DUMMYFUNCTION("IF(OR(DF48&gt;$BS48+$BT48*$BT$2,DF48&lt;$BS48-$BT48*$BT$2),AVEDEV(ARRAYFORMULA(XLOOKUP(FILTER(INDIRECT(""'""&amp;DF$1&amp;""'!$C$4:$C$66""),INDIRECT(""'""&amp;DF$1&amp;""'!$D$4:$D$66"")=DF$2),$G$4:$BQ$4,$G48:$BQ48))),"""")"),"")</f>
        <v/>
      </c>
      <c r="DH48" s="208" t="str">
        <f t="shared" si="19"/>
        <v/>
      </c>
      <c r="DI48" s="210">
        <f>IFERROR(__xludf.DUMMYFUNCTION("AVERAGE(ARRAYFORMULA(XLOOKUP(FILTER(INDIRECT(""'""&amp;DI$1&amp;""'!$C$4:$C$66""),INDIRECT(""'""&amp;DI$1&amp;""'!$D$4:$D$66"")=DI$2),$G$4:$BQ$4,$G48:$BQ48)))"),-0.31014265)</f>
        <v>-0.31014265</v>
      </c>
      <c r="DJ48" s="207" t="str">
        <f>IFERROR(__xludf.DUMMYFUNCTION("IF(OR(DI48&gt;$BS48+$BT48*$BT$2,DI48&lt;$BS48-$BT48*$BT$2),AVEDEV(ARRAYFORMULA(XLOOKUP(FILTER(INDIRECT(""'""&amp;DI$1&amp;""'!$C$4:$C$66""),INDIRECT(""'""&amp;DI$1&amp;""'!$D$4:$D$66"")=DI$2),$G$4:$BQ$4,$G48:$BQ48))),"""")"),"")</f>
        <v/>
      </c>
      <c r="DK48" s="208" t="str">
        <f t="shared" si="20"/>
        <v/>
      </c>
      <c r="DL48" s="210">
        <f>IFERROR(__xludf.DUMMYFUNCTION("AVERAGE(ARRAYFORMULA(XLOOKUP(FILTER(INDIRECT(""'""&amp;DL$1&amp;""'!$C$4:$C$66""),INDIRECT(""'""&amp;DL$1&amp;""'!$D$4:$D$66"")=DL$2),$G$4:$BQ$4,$G48:$BQ48)))"),-0.0467964592857143)</f>
        <v>-0.04679645929</v>
      </c>
      <c r="DM48" s="207" t="str">
        <f>IFERROR(__xludf.DUMMYFUNCTION("IF(OR(DL48&gt;$BS48+$BT48*$BT$2,DL48&lt;$BS48-$BT48*$BT$2),AVEDEV(ARRAYFORMULA(XLOOKUP(FILTER(INDIRECT(""'""&amp;DL$1&amp;""'!$C$4:$C$66""),INDIRECT(""'""&amp;DL$1&amp;""'!$D$4:$D$66"")=DL$2),$G$4:$BQ$4,$G48:$BQ48))),"""")"),"")</f>
        <v/>
      </c>
      <c r="DN48" s="208" t="str">
        <f t="shared" si="21"/>
        <v/>
      </c>
      <c r="DO48" s="209" t="s">
        <v>444</v>
      </c>
      <c r="DP48" s="210">
        <f>IFERROR(__xludf.DUMMYFUNCTION("AVERAGE(ARRAYFORMULA(XLOOKUP(FILTER(INDIRECT(""'""&amp;DP$1&amp;""'!$C$4:$C$66""),INDIRECT(""'""&amp;DP$1&amp;""'!$D$4:$D$66"")=DP$2),$G$4:$BQ$4,$G48:$BQ48)))"),-0.2282831456666667)</f>
        <v>-0.2282831457</v>
      </c>
      <c r="DQ48" s="207" t="str">
        <f>IFERROR(__xludf.DUMMYFUNCTION("IF(OR(DP48&gt;$BS48+$BT48*$BT$2,DP48&lt;$BS48-$BT48*$BT$2),AVEDEV(ARRAYFORMULA(XLOOKUP(FILTER(INDIRECT(""'""&amp;DP$1&amp;""'!$C$4:$C$66""),INDIRECT(""'""&amp;DP$1&amp;""'!$D$4:$D$66"")=DP$2),$G$4:$BQ$4,$G48:$BQ48))),"""")"),"")</f>
        <v/>
      </c>
      <c r="DR48" s="208" t="str">
        <f t="shared" si="22"/>
        <v/>
      </c>
      <c r="DS48" s="210">
        <f>IFERROR(__xludf.DUMMYFUNCTION("AVERAGE(ARRAYFORMULA(XLOOKUP(FILTER(INDIRECT(""'""&amp;DS$1&amp;""'!$C$4:$C$66""),INDIRECT(""'""&amp;DS$1&amp;""'!$D$4:$D$66"")=DS$2),$G$4:$BQ$4,$G48:$BQ48)))"),0.27892234555555556)</f>
        <v>0.2789223456</v>
      </c>
      <c r="DT48" s="207" t="str">
        <f>IFERROR(__xludf.DUMMYFUNCTION("IF(OR(DS48&gt;$BS48+$BT48*$BT$2,DS48&lt;$BS48-$BT48*$BT$2),AVEDEV(ARRAYFORMULA(XLOOKUP(FILTER(INDIRECT(""'""&amp;DS$1&amp;""'!$C$4:$C$66""),INDIRECT(""'""&amp;DS$1&amp;""'!$D$4:$D$66"")=DS$2),$G$4:$BQ$4,$G48:$BQ48))),"""")"),"")</f>
        <v/>
      </c>
      <c r="DU48" s="208" t="str">
        <f t="shared" si="23"/>
        <v/>
      </c>
      <c r="DV48" s="210">
        <f>IFERROR(__xludf.DUMMYFUNCTION("AVERAGE(ARRAYFORMULA(XLOOKUP(FILTER(INDIRECT(""'""&amp;DV$1&amp;""'!$C$4:$C$66""),INDIRECT(""'""&amp;DV$1&amp;""'!$D$4:$D$66"")=DV$2),$G$4:$BQ$4,$G48:$BQ48)))"),-0.26813787125)</f>
        <v>-0.2681378713</v>
      </c>
      <c r="DW48" s="207" t="str">
        <f>IFERROR(__xludf.DUMMYFUNCTION("IF(OR(DV48&gt;$BS48+$BT48*$BT$2,DV48&lt;$BS48-$BT48*$BT$2),AVEDEV(ARRAYFORMULA(XLOOKUP(FILTER(INDIRECT(""'""&amp;DV$1&amp;""'!$C$4:$C$66""),INDIRECT(""'""&amp;DV$1&amp;""'!$D$4:$D$66"")=DV$2),$G$4:$BQ$4,$G48:$BQ48))),"""")"),"")</f>
        <v/>
      </c>
      <c r="DX48" s="208" t="str">
        <f t="shared" si="24"/>
        <v/>
      </c>
      <c r="DY48" s="210">
        <f>IFERROR(__xludf.DUMMYFUNCTION("AVERAGE(ARRAYFORMULA(XLOOKUP(FILTER(INDIRECT(""'""&amp;DY$1&amp;""'!$C$4:$C$66""),INDIRECT(""'""&amp;DY$1&amp;""'!$D$4:$D$66"")=DY$2),$G$4:$BQ$4,$G48:$BQ48)))"),0.1400246522222222)</f>
        <v>0.1400246522</v>
      </c>
      <c r="DZ48" s="207" t="str">
        <f>IFERROR(__xludf.DUMMYFUNCTION("IF(OR(DY48&gt;$BS48+$BT48*$BT$2,DY48&lt;$BS48-$BT48*$BT$2),AVEDEV(ARRAYFORMULA(XLOOKUP(FILTER(INDIRECT(""'""&amp;DY$1&amp;""'!$C$4:$C$66""),INDIRECT(""'""&amp;DY$1&amp;""'!$D$4:$D$66"")=DY$2),$G$4:$BQ$4,$G48:$BQ48))),"""")"),"")</f>
        <v/>
      </c>
      <c r="EA48" s="208" t="str">
        <f t="shared" si="25"/>
        <v/>
      </c>
      <c r="EB48" s="191"/>
    </row>
    <row r="49" outlineLevel="1">
      <c r="A49" s="2"/>
      <c r="B49" s="204">
        <v>45.0</v>
      </c>
      <c r="C49" s="204" t="s">
        <v>482</v>
      </c>
      <c r="D49" s="204" t="s">
        <v>489</v>
      </c>
      <c r="E49" s="205" t="b">
        <f>VLOOKUP(D49,'Feature Set List'!A45:C246,2,0)</f>
        <v>1</v>
      </c>
      <c r="F49" s="205" t="b">
        <f>VLOOKUP(D49,'Feature Set List'!A45:C246,3,0)</f>
        <v>1</v>
      </c>
      <c r="G49" s="205">
        <v>-0.2794872</v>
      </c>
      <c r="H49" s="205">
        <v>-0.2846154</v>
      </c>
      <c r="I49" s="205">
        <v>0.51880342</v>
      </c>
      <c r="J49" s="205">
        <v>0.72649573</v>
      </c>
      <c r="K49" s="205">
        <v>-2.4025641</v>
      </c>
      <c r="L49" s="205">
        <v>-0.1957265</v>
      </c>
      <c r="M49" s="205">
        <v>0.4008547</v>
      </c>
      <c r="N49" s="205">
        <v>-0.1786325</v>
      </c>
      <c r="O49" s="205">
        <v>0.67948718</v>
      </c>
      <c r="P49" s="205">
        <v>-0.0760684</v>
      </c>
      <c r="Q49" s="205">
        <v>-0.7247863</v>
      </c>
      <c r="R49" s="205">
        <v>0.0</v>
      </c>
      <c r="S49" s="205">
        <v>0.33076923</v>
      </c>
      <c r="T49" s="205">
        <v>-0.3333333</v>
      </c>
      <c r="U49" s="205">
        <v>-0.7991453</v>
      </c>
      <c r="V49" s="205">
        <v>-0.6974359</v>
      </c>
      <c r="W49" s="205">
        <v>0.31111111</v>
      </c>
      <c r="X49" s="205">
        <v>2.03589744</v>
      </c>
      <c r="Y49" s="205">
        <v>0.14273504</v>
      </c>
      <c r="Z49" s="205">
        <v>0.63760684</v>
      </c>
      <c r="AA49" s="205">
        <v>0.92905983</v>
      </c>
      <c r="AB49" s="205">
        <v>1.87948718</v>
      </c>
      <c r="AC49" s="205">
        <v>0.99316239</v>
      </c>
      <c r="AD49" s="205">
        <v>-0.9555556</v>
      </c>
      <c r="AE49" s="205">
        <v>-0.365812</v>
      </c>
      <c r="AF49" s="205">
        <v>-0.6179487</v>
      </c>
      <c r="AG49" s="205">
        <v>1.36239316</v>
      </c>
      <c r="AH49" s="205">
        <v>1.00683761</v>
      </c>
      <c r="AI49" s="205">
        <v>-0.1068376</v>
      </c>
      <c r="AJ49" s="205">
        <v>2.17863248</v>
      </c>
      <c r="AK49" s="205">
        <v>-0.3205128</v>
      </c>
      <c r="AL49" s="205">
        <v>0.05897436</v>
      </c>
      <c r="AM49" s="205">
        <v>-1.3307692</v>
      </c>
      <c r="AN49" s="205">
        <v>0.66324786</v>
      </c>
      <c r="AO49" s="205">
        <v>-0.7076923</v>
      </c>
      <c r="AP49" s="205">
        <v>-0.0495726</v>
      </c>
      <c r="AQ49" s="205">
        <v>0.27264957</v>
      </c>
      <c r="AR49" s="205">
        <v>-0.4717949</v>
      </c>
      <c r="AS49" s="205">
        <v>-0.1786325</v>
      </c>
      <c r="AT49" s="205">
        <v>0.1008547</v>
      </c>
      <c r="AU49" s="205">
        <v>-1.5153846</v>
      </c>
      <c r="AV49" s="205">
        <v>1.87606838</v>
      </c>
      <c r="AW49" s="205">
        <v>-1.3111111</v>
      </c>
      <c r="AX49" s="205">
        <v>-0.9529915</v>
      </c>
      <c r="AY49" s="205">
        <v>2.4025641</v>
      </c>
      <c r="AZ49" s="205">
        <v>0.37606838</v>
      </c>
      <c r="BA49" s="205">
        <v>0.76495726</v>
      </c>
      <c r="BB49" s="205">
        <v>0.36752137</v>
      </c>
      <c r="BC49" s="205">
        <v>0.00512821</v>
      </c>
      <c r="BD49" s="205">
        <v>-0.6452991</v>
      </c>
      <c r="BE49" s="205">
        <v>2.15555556</v>
      </c>
      <c r="BF49" s="205">
        <v>-0.2623932</v>
      </c>
      <c r="BG49" s="205">
        <v>-0.0128205</v>
      </c>
      <c r="BH49" s="205">
        <v>-1.0290598</v>
      </c>
      <c r="BI49" s="205">
        <v>-0.8854701</v>
      </c>
      <c r="BJ49" s="205">
        <v>-0.2803419</v>
      </c>
      <c r="BK49" s="205">
        <v>0.03418803</v>
      </c>
      <c r="BL49" s="205">
        <v>0.38205128</v>
      </c>
      <c r="BM49" s="205">
        <v>0.96666667</v>
      </c>
      <c r="BN49" s="205">
        <v>-0.2923077</v>
      </c>
      <c r="BO49" s="205">
        <v>0.88632479</v>
      </c>
      <c r="BP49" s="205">
        <v>-0.2564103</v>
      </c>
      <c r="BQ49" s="205">
        <v>0.12222222</v>
      </c>
      <c r="BR49" s="206"/>
      <c r="BS49" s="207">
        <f t="shared" si="6"/>
        <v>0.1118708441</v>
      </c>
      <c r="BT49" s="207">
        <f t="shared" si="7"/>
        <v>0.7094831107</v>
      </c>
      <c r="BU49" s="206"/>
      <c r="BV49" s="207">
        <f>IFERROR(__xludf.DUMMYFUNCTION("AVERAGE(ARRAYFORMULA(XLOOKUP(FILTER(INDIRECT(""'""&amp;BV$1&amp;""'!$C$4:$C$66""),INDIRECT(""'""&amp;BV$1&amp;""'!$D$4:$D$66"")=BV$2),$G$4:$BQ$4,$G49:$BQ49)))"),0.8338217357142857)</f>
        <v>0.8338217357</v>
      </c>
      <c r="BW49" s="207">
        <f>IFERROR(__xludf.DUMMYFUNCTION("IF(OR(BV49&gt;$BS49+$BT49*$BT$2,BV49&lt;$BS49-$BT49*$BT$2),AVEDEV(ARRAYFORMULA(XLOOKUP(FILTER(INDIRECT(""'""&amp;BV$1&amp;""'!$C$4:$C$66""),INDIRECT(""'""&amp;BV$1&amp;""'!$D$4:$D$66"")=BV$2),$G$4:$BQ$4,$G49:$BQ49))),"""")"),1.1693005408163266)</f>
        <v>1.169300541</v>
      </c>
      <c r="BX49" s="208">
        <f t="shared" si="8"/>
        <v>0.01246778084</v>
      </c>
      <c r="BY49" s="207">
        <f>IFERROR(__xludf.DUMMYFUNCTION("AVERAGE(ARRAYFORMULA(XLOOKUP(FILTER(INDIRECT(""'""&amp;BY$1&amp;""'!$C$4:$C$66""),INDIRECT(""'""&amp;BY$1&amp;""'!$D$4:$D$66"")=BY$2),$G$4:$BQ$4,$G49:$BQ49)))"),0.03317052976190477)</f>
        <v>0.03317052976</v>
      </c>
      <c r="BZ49" s="207" t="str">
        <f>IFERROR(__xludf.DUMMYFUNCTION("IF(OR(BY49&gt;$BS49+$BT49*$BT$2,BY49&lt;$BS49-$BT49*$BT$2),AVEDEV(ARRAYFORMULA(XLOOKUP(FILTER(INDIRECT(""'""&amp;BY$1&amp;""'!$C$4:$C$66""),INDIRECT(""'""&amp;BY$1&amp;""'!$D$4:$D$66"")=BY$2),$G$4:$BQ$4,$G49:$BQ49))),"""")"),"")</f>
        <v/>
      </c>
      <c r="CA49" s="208" t="str">
        <f t="shared" si="9"/>
        <v/>
      </c>
      <c r="CB49" s="207">
        <f>IFERROR(__xludf.DUMMYFUNCTION("AVERAGE(ARRAYFORMULA(XLOOKUP(FILTER(INDIRECT(""'""&amp;CB$1&amp;""'!$C$4:$C$66""),INDIRECT(""'""&amp;CB$1&amp;""'!$D$4:$D$66"")=CB$2),$G$4:$BQ$4,$G49:$BQ49)))"),0.13271173272727274)</f>
        <v>0.1327117327</v>
      </c>
      <c r="CC49" s="207" t="str">
        <f>IFERROR(__xludf.DUMMYFUNCTION("IF(OR(CB49&gt;$BS49+$BT49*$BT$2,CB49&lt;$BS49-$BT49*$BT$2),AVEDEV(ARRAYFORMULA(XLOOKUP(FILTER(INDIRECT(""'""&amp;CB$1&amp;""'!$C$4:$C$66""),INDIRECT(""'""&amp;CB$1&amp;""'!$D$4:$D$66"")=CB$2),$G$4:$BQ$4,$G49:$BQ49))),"""")"),"")</f>
        <v/>
      </c>
      <c r="CD49" s="208" t="str">
        <f t="shared" si="10"/>
        <v/>
      </c>
      <c r="CE49" s="209" t="s">
        <v>444</v>
      </c>
      <c r="CF49" s="207">
        <f>IFERROR(__xludf.DUMMYFUNCTION("AVERAGE(ARRAYFORMULA(XLOOKUP(FILTER(INDIRECT(""'""&amp;CF$1&amp;""'!$C$4:$C$66""),INDIRECT(""'""&amp;CF$1&amp;""'!$D$4:$D$66"")=CF$2),$G$4:$BQ$4,$G49:$BQ49)))"),-0.24679487312500004)</f>
        <v>-0.2467948731</v>
      </c>
      <c r="CG49" s="207" t="str">
        <f>IFERROR(__xludf.DUMMYFUNCTION("IF(OR(CF49&gt;$BS49+$BT49*$BT$2,CF49&lt;$BS49-$BT49*$BT$2),AVEDEV(ARRAYFORMULA(XLOOKUP(FILTER(INDIRECT(""'""&amp;CF$1&amp;""'!$C$4:$C$66""),INDIRECT(""'""&amp;CF$1&amp;""'!$D$4:$D$66"")=CF$2),$G$4:$BQ$4,$G49:$BQ49))),"""")"),"")</f>
        <v/>
      </c>
      <c r="CH49" s="208" t="str">
        <f t="shared" si="11"/>
        <v/>
      </c>
      <c r="CI49" s="207">
        <f>IFERROR(__xludf.DUMMYFUNCTION("AVERAGE(ARRAYFORMULA(XLOOKUP(FILTER(INDIRECT(""'""&amp;CI$1&amp;""'!$C$4:$C$66""),INDIRECT(""'""&amp;CI$1&amp;""'!$D$4:$D$66"")=CI$2),$G$4:$BQ$4,$G49:$BQ49)))"),0.34243176096774197)</f>
        <v>0.342431761</v>
      </c>
      <c r="CJ49" s="207" t="str">
        <f>IFERROR(__xludf.DUMMYFUNCTION("IF(OR(CI49&gt;$BS49+$BT49*$BT$2,CI49&lt;$BS49-$BT49*$BT$2),AVEDEV(ARRAYFORMULA(XLOOKUP(FILTER(INDIRECT(""'""&amp;CI$1&amp;""'!$C$4:$C$66""),INDIRECT(""'""&amp;CI$1&amp;""'!$D$4:$D$66"")=CI$2),$G$4:$BQ$4,$G49:$BQ49))),"""")"),"")</f>
        <v/>
      </c>
      <c r="CK49" s="208" t="str">
        <f t="shared" si="12"/>
        <v/>
      </c>
      <c r="CL49" s="207">
        <f>IFERROR(__xludf.DUMMYFUNCTION("AVERAGE(ARRAYFORMULA(XLOOKUP(FILTER(INDIRECT(""'""&amp;CL$1&amp;""'!$C$4:$C$66""),INDIRECT(""'""&amp;CL$1&amp;""'!$D$4:$D$66"")=CL$2),$G$4:$BQ$4,$G49:$BQ49)))"),0.03282051199999999)</f>
        <v>0.032820512</v>
      </c>
      <c r="CM49" s="207" t="str">
        <f>IFERROR(__xludf.DUMMYFUNCTION("IF(OR(CL49&gt;$BS49+$BT49*$BT$2,CL49&lt;$BS49-$BT49*$BT$2),AVEDEV(ARRAYFORMULA(XLOOKUP(FILTER(INDIRECT(""'""&amp;CL$1&amp;""'!$C$4:$C$66""),INDIRECT(""'""&amp;CL$1&amp;""'!$D$4:$D$66"")=CL$2),$G$4:$BQ$4,$G49:$BQ49))),"""")"),"")</f>
        <v/>
      </c>
      <c r="CN49" s="208" t="str">
        <f t="shared" si="13"/>
        <v/>
      </c>
      <c r="CO49" s="209" t="s">
        <v>444</v>
      </c>
      <c r="CP49" s="210">
        <f>IFERROR(__xludf.DUMMYFUNCTION("AVERAGE(ARRAYFORMULA(XLOOKUP(FILTER(INDIRECT(""'""&amp;CP$1&amp;""'!$C$4:$C$66""),INDIRECT(""'""&amp;CP$1&amp;""'!$D$4:$D$66"")=CP$2),$G$4:$BQ$4,$G49:$BQ49)))"),0.6560683719999999)</f>
        <v>0.656068372</v>
      </c>
      <c r="CQ49" s="207" t="str">
        <f>IFERROR(__xludf.DUMMYFUNCTION("IF(OR(CP49&gt;$BS49+$BT49*$BT$2,CP49&lt;$BS49-$BT49*$BT$2),AVEDEV(ARRAYFORMULA(XLOOKUP(FILTER(INDIRECT(""'""&amp;CP$1&amp;""'!$C$4:$C$66""),INDIRECT(""'""&amp;CP$1&amp;""'!$D$4:$D$66"")=CP$2),$G$4:$BQ$4,$G49:$BQ49))),"""")"),"")</f>
        <v/>
      </c>
      <c r="CR49" s="208" t="str">
        <f t="shared" si="14"/>
        <v/>
      </c>
      <c r="CS49" s="210">
        <f>IFERROR(__xludf.DUMMYFUNCTION("AVERAGE(ARRAYFORMULA(XLOOKUP(FILTER(INDIRECT(""'""&amp;CS$1&amp;""'!$C$4:$C$66""),INDIRECT(""'""&amp;CS$1&amp;""'!$D$4:$D$66"")=CS$2),$G$4:$BQ$4,$G49:$BQ49)))"),-0.04352399897435895)</f>
        <v>-0.04352399897</v>
      </c>
      <c r="CT49" s="207" t="str">
        <f>IFERROR(__xludf.DUMMYFUNCTION("IF(OR(CS49&gt;$BS49+$BT49*$BT$2,CS49&lt;$BS49-$BT49*$BT$2),AVEDEV(ARRAYFORMULA(XLOOKUP(FILTER(INDIRECT(""'""&amp;CS$1&amp;""'!$C$4:$C$66""),INDIRECT(""'""&amp;CS$1&amp;""'!$D$4:$D$66"")=CS$2),$G$4:$BQ$4,$G49:$BQ49))),"""")"),"")</f>
        <v/>
      </c>
      <c r="CU49" s="208" t="str">
        <f t="shared" si="15"/>
        <v/>
      </c>
      <c r="CV49" s="210">
        <f>IFERROR(__xludf.DUMMYFUNCTION("AVERAGE(ARRAYFORMULA(XLOOKUP(FILTER(INDIRECT(""'""&amp;CV$1&amp;""'!$C$4:$C$66""),INDIRECT(""'""&amp;CV$1&amp;""'!$D$4:$D$66"")=CV$2),$G$4:$BQ$4,$G49:$BQ49)))"),0.03282051199999999)</f>
        <v>0.032820512</v>
      </c>
      <c r="CW49" s="207" t="str">
        <f>IFERROR(__xludf.DUMMYFUNCTION("IF(OR(CV49&gt;$BS49+$BT49*$BT$2,CV49&lt;$BS49-$BT49*$BT$2),AVEDEV(ARRAYFORMULA(XLOOKUP(FILTER(INDIRECT(""'""&amp;CV$1&amp;""'!$C$4:$C$66""),INDIRECT(""'""&amp;CV$1&amp;""'!$D$4:$D$66"")=CV$2),$G$4:$BQ$4,$G49:$BQ49))),"""")"),"")</f>
        <v/>
      </c>
      <c r="CX49" s="208" t="str">
        <f t="shared" si="16"/>
        <v/>
      </c>
      <c r="CY49" s="209" t="s">
        <v>444</v>
      </c>
      <c r="CZ49" s="210">
        <f>IFERROR(__xludf.DUMMYFUNCTION("AVERAGE(ARRAYFORMULA(XLOOKUP(FILTER(INDIRECT(""'""&amp;CZ$1&amp;""'!$C$4:$C$66""),INDIRECT(""'""&amp;CZ$1&amp;""'!$D$4:$D$66"")=CZ$2),$G$4:$BQ$4,$G49:$BQ49)))"),-0.08015873214285715)</f>
        <v>-0.08015873214</v>
      </c>
      <c r="DA49" s="207" t="str">
        <f>IFERROR(__xludf.DUMMYFUNCTION("IF(OR(CZ49&gt;$BS49+$BT49*$BT$2,CZ49&lt;$BS49-$BT49*$BT$2),AVEDEV(ARRAYFORMULA(XLOOKUP(FILTER(INDIRECT(""'""&amp;CZ$1&amp;""'!$C$4:$C$66""),INDIRECT(""'""&amp;CZ$1&amp;""'!$D$4:$D$66"")=CZ$2),$G$4:$BQ$4,$G49:$BQ49))),"""")"),"")</f>
        <v/>
      </c>
      <c r="DB49" s="208" t="str">
        <f t="shared" si="17"/>
        <v/>
      </c>
      <c r="DC49" s="210">
        <f>IFERROR(__xludf.DUMMYFUNCTION("AVERAGE(ARRAYFORMULA(XLOOKUP(FILTER(INDIRECT(""'""&amp;DC$1&amp;""'!$C$4:$C$66""),INDIRECT(""'""&amp;DC$1&amp;""'!$D$4:$D$66"")=DC$2),$G$4:$BQ$4,$G49:$BQ49)))"),0.013010445555555562)</f>
        <v>0.01301044556</v>
      </c>
      <c r="DD49" s="207" t="str">
        <f>IFERROR(__xludf.DUMMYFUNCTION("IF(OR(DC49&gt;$BS49+$BT49*$BT$2,DC49&lt;$BS49-$BT49*$BT$2),AVEDEV(ARRAYFORMULA(XLOOKUP(FILTER(INDIRECT(""'""&amp;DC$1&amp;""'!$C$4:$C$66""),INDIRECT(""'""&amp;DC$1&amp;""'!$D$4:$D$66"")=DC$2),$G$4:$BQ$4,$G49:$BQ49))),"""")"),"")</f>
        <v/>
      </c>
      <c r="DE49" s="208" t="str">
        <f t="shared" si="18"/>
        <v/>
      </c>
      <c r="DF49" s="210">
        <f>IFERROR(__xludf.DUMMYFUNCTION("AVERAGE(ARRAYFORMULA(XLOOKUP(FILTER(INDIRECT(""'""&amp;DF$1&amp;""'!$C$4:$C$66""),INDIRECT(""'""&amp;DF$1&amp;""'!$D$4:$D$66"")=DF$2),$G$4:$BQ$4,$G49:$BQ49)))"),0.6395493445454545)</f>
        <v>0.6395493445</v>
      </c>
      <c r="DG49" s="207" t="str">
        <f>IFERROR(__xludf.DUMMYFUNCTION("IF(OR(DF49&gt;$BS49+$BT49*$BT$2,DF49&lt;$BS49-$BT49*$BT$2),AVEDEV(ARRAYFORMULA(XLOOKUP(FILTER(INDIRECT(""'""&amp;DF$1&amp;""'!$C$4:$C$66""),INDIRECT(""'""&amp;DF$1&amp;""'!$D$4:$D$66"")=DF$2),$G$4:$BQ$4,$G49:$BQ49))),"""")"),"")</f>
        <v/>
      </c>
      <c r="DH49" s="208" t="str">
        <f t="shared" si="19"/>
        <v/>
      </c>
      <c r="DI49" s="210">
        <f>IFERROR(__xludf.DUMMYFUNCTION("AVERAGE(ARRAYFORMULA(XLOOKUP(FILTER(INDIRECT(""'""&amp;DI$1&amp;""'!$C$4:$C$66""),INDIRECT(""'""&amp;DI$1&amp;""'!$D$4:$D$66"")=DI$2),$G$4:$BQ$4,$G49:$BQ49)))"),-0.9923077)</f>
        <v>-0.9923077</v>
      </c>
      <c r="DJ49" s="207">
        <f>IFERROR(__xludf.DUMMYFUNCTION("IF(OR(DI49&gt;$BS49+$BT49*$BT$2,DI49&lt;$BS49-$BT49*$BT$2),AVEDEV(ARRAYFORMULA(XLOOKUP(FILTER(INDIRECT(""'""&amp;DI$1&amp;""'!$C$4:$C$66""),INDIRECT(""'""&amp;DI$1&amp;""'!$D$4:$D$66"")=DI$2),$G$4:$BQ$4,$G49:$BQ49))),"""")"),0.03675210000000001)</f>
        <v>0.0367521</v>
      </c>
      <c r="DK49" s="208">
        <f t="shared" si="20"/>
        <v>-0.3946954334</v>
      </c>
      <c r="DL49" s="210">
        <f>IFERROR(__xludf.DUMMYFUNCTION("AVERAGE(ARRAYFORMULA(XLOOKUP(FILTER(INDIRECT(""'""&amp;DL$1&amp;""'!$C$4:$C$66""),INDIRECT(""'""&amp;DL$1&amp;""'!$D$4:$D$66"")=DL$2),$G$4:$BQ$4,$G49:$BQ49)))"),0.03015872071428573)</f>
        <v>0.03015872071</v>
      </c>
      <c r="DM49" s="207" t="str">
        <f>IFERROR(__xludf.DUMMYFUNCTION("IF(OR(DL49&gt;$BS49+$BT49*$BT$2,DL49&lt;$BS49-$BT49*$BT$2),AVEDEV(ARRAYFORMULA(XLOOKUP(FILTER(INDIRECT(""'""&amp;DL$1&amp;""'!$C$4:$C$66""),INDIRECT(""'""&amp;DL$1&amp;""'!$D$4:$D$66"")=DL$2),$G$4:$BQ$4,$G49:$BQ49))),"""")"),"")</f>
        <v/>
      </c>
      <c r="DN49" s="208" t="str">
        <f t="shared" si="21"/>
        <v/>
      </c>
      <c r="DO49" s="209" t="s">
        <v>444</v>
      </c>
      <c r="DP49" s="210">
        <f>IFERROR(__xludf.DUMMYFUNCTION("AVERAGE(ARRAYFORMULA(XLOOKUP(FILTER(INDIRECT(""'""&amp;DP$1&amp;""'!$C$4:$C$66""),INDIRECT(""'""&amp;DP$1&amp;""'!$D$4:$D$66"")=DP$2),$G$4:$BQ$4,$G49:$BQ49)))"),0.086837603)</f>
        <v>0.086837603</v>
      </c>
      <c r="DQ49" s="207" t="str">
        <f>IFERROR(__xludf.DUMMYFUNCTION("IF(OR(DP49&gt;$BS49+$BT49*$BT$2,DP49&lt;$BS49-$BT49*$BT$2),AVEDEV(ARRAYFORMULA(XLOOKUP(FILTER(INDIRECT(""'""&amp;DP$1&amp;""'!$C$4:$C$66""),INDIRECT(""'""&amp;DP$1&amp;""'!$D$4:$D$66"")=DP$2),$G$4:$BQ$4,$G49:$BQ49))),"""")"),"")</f>
        <v/>
      </c>
      <c r="DR49" s="208" t="str">
        <f t="shared" si="22"/>
        <v/>
      </c>
      <c r="DS49" s="210">
        <f>IFERROR(__xludf.DUMMYFUNCTION("AVERAGE(ARRAYFORMULA(XLOOKUP(FILTER(INDIRECT(""'""&amp;DS$1&amp;""'!$C$4:$C$66""),INDIRECT(""'""&amp;DS$1&amp;""'!$D$4:$D$66"")=DS$2),$G$4:$BQ$4,$G49:$BQ49)))"),0.3816714133333333)</f>
        <v>0.3816714133</v>
      </c>
      <c r="DT49" s="207" t="str">
        <f>IFERROR(__xludf.DUMMYFUNCTION("IF(OR(DS49&gt;$BS49+$BT49*$BT$2,DS49&lt;$BS49-$BT49*$BT$2),AVEDEV(ARRAYFORMULA(XLOOKUP(FILTER(INDIRECT(""'""&amp;DS$1&amp;""'!$C$4:$C$66""),INDIRECT(""'""&amp;DS$1&amp;""'!$D$4:$D$66"")=DS$2),$G$4:$BQ$4,$G49:$BQ49))),"""")"),"")</f>
        <v/>
      </c>
      <c r="DU49" s="208" t="str">
        <f t="shared" si="23"/>
        <v/>
      </c>
      <c r="DV49" s="210">
        <f>IFERROR(__xludf.DUMMYFUNCTION("AVERAGE(ARRAYFORMULA(XLOOKUP(FILTER(INDIRECT(""'""&amp;DV$1&amp;""'!$C$4:$C$66""),INDIRECT(""'""&amp;DV$1&amp;""'!$D$4:$D$66"")=DV$2),$G$4:$BQ$4,$G49:$BQ49)))"),0.7621794875000001)</f>
        <v>0.7621794875</v>
      </c>
      <c r="DW49" s="207" t="str">
        <f>IFERROR(__xludf.DUMMYFUNCTION("IF(OR(DV49&gt;$BS49+$BT49*$BT$2,DV49&lt;$BS49-$BT49*$BT$2),AVEDEV(ARRAYFORMULA(XLOOKUP(FILTER(INDIRECT(""'""&amp;DV$1&amp;""'!$C$4:$C$66""),INDIRECT(""'""&amp;DV$1&amp;""'!$D$4:$D$66"")=DV$2),$G$4:$BQ$4,$G49:$BQ49))),"""")"),"")</f>
        <v/>
      </c>
      <c r="DX49" s="208" t="str">
        <f t="shared" si="24"/>
        <v/>
      </c>
      <c r="DY49" s="210">
        <f>IFERROR(__xludf.DUMMYFUNCTION("AVERAGE(ARRAYFORMULA(XLOOKUP(FILTER(INDIRECT(""'""&amp;DY$1&amp;""'!$C$4:$C$66""),INDIRECT(""'""&amp;DY$1&amp;""'!$D$4:$D$66"")=DY$2),$G$4:$BQ$4,$G49:$BQ49)))"),-0.5207027522222222)</f>
        <v>-0.5207027522</v>
      </c>
      <c r="DZ49" s="207" t="str">
        <f>IFERROR(__xludf.DUMMYFUNCTION("IF(OR(DY49&gt;$BS49+$BT49*$BT$2,DY49&lt;$BS49-$BT49*$BT$2),AVEDEV(ARRAYFORMULA(XLOOKUP(FILTER(INDIRECT(""'""&amp;DY$1&amp;""'!$C$4:$C$66""),INDIRECT(""'""&amp;DY$1&amp;""'!$D$4:$D$66"")=DY$2),$G$4:$BQ$4,$G49:$BQ49))),"""")"),"")</f>
        <v/>
      </c>
      <c r="EA49" s="208" t="str">
        <f t="shared" si="25"/>
        <v/>
      </c>
      <c r="EB49" s="191"/>
    </row>
    <row r="50" outlineLevel="1">
      <c r="A50" s="2"/>
      <c r="B50" s="204">
        <v>46.0</v>
      </c>
      <c r="C50" s="204" t="s">
        <v>482</v>
      </c>
      <c r="D50" s="204" t="s">
        <v>490</v>
      </c>
      <c r="E50" s="205" t="b">
        <f>VLOOKUP(D50,'Feature Set List'!A46:C246,2,0)</f>
        <v>1</v>
      </c>
      <c r="F50" s="205" t="b">
        <f>VLOOKUP(D50,'Feature Set List'!A46:C246,3,0)</f>
        <v>1</v>
      </c>
      <c r="G50" s="205">
        <v>0.32186837</v>
      </c>
      <c r="H50" s="205">
        <v>0.36518047</v>
      </c>
      <c r="I50" s="205">
        <v>1.34522293</v>
      </c>
      <c r="J50" s="205">
        <v>0.39235669</v>
      </c>
      <c r="K50" s="205">
        <v>-0.9078556</v>
      </c>
      <c r="L50" s="205">
        <v>-0.6598726</v>
      </c>
      <c r="M50" s="205">
        <v>-0.0373673</v>
      </c>
      <c r="N50" s="205">
        <v>-0.0195329</v>
      </c>
      <c r="O50" s="205">
        <v>0.07983015</v>
      </c>
      <c r="P50" s="205">
        <v>0.12823779</v>
      </c>
      <c r="Q50" s="205">
        <v>-0.7464968</v>
      </c>
      <c r="R50" s="205">
        <v>-0.3099788</v>
      </c>
      <c r="S50" s="205">
        <v>0.02887473</v>
      </c>
      <c r="T50" s="205">
        <v>-0.1350318</v>
      </c>
      <c r="U50" s="205">
        <v>0.53503185</v>
      </c>
      <c r="V50" s="205">
        <v>-0.6157113</v>
      </c>
      <c r="W50" s="205">
        <v>-0.0934183</v>
      </c>
      <c r="X50" s="205">
        <v>0.95456476</v>
      </c>
      <c r="Y50" s="205">
        <v>-0.3566879</v>
      </c>
      <c r="Z50" s="205">
        <v>1.54649682</v>
      </c>
      <c r="AA50" s="205">
        <v>1.40127389</v>
      </c>
      <c r="AB50" s="205">
        <v>1.385138</v>
      </c>
      <c r="AC50" s="205">
        <v>1.47685775</v>
      </c>
      <c r="AD50" s="205">
        <v>-0.1995754</v>
      </c>
      <c r="AE50" s="205">
        <v>0.96900212</v>
      </c>
      <c r="AF50" s="205">
        <v>-0.6717622</v>
      </c>
      <c r="AG50" s="205">
        <v>0.69044586</v>
      </c>
      <c r="AH50" s="205">
        <v>1.7656051</v>
      </c>
      <c r="AI50" s="205">
        <v>0.18938429</v>
      </c>
      <c r="AJ50" s="205">
        <v>-0.0135881</v>
      </c>
      <c r="AK50" s="205">
        <v>-0.8144374</v>
      </c>
      <c r="AL50" s="205">
        <v>0.00339703</v>
      </c>
      <c r="AM50" s="205">
        <v>-0.2666667</v>
      </c>
      <c r="AN50" s="205">
        <v>1.07176221</v>
      </c>
      <c r="AO50" s="205">
        <v>-1.1480255</v>
      </c>
      <c r="AP50" s="205">
        <v>-0.9836093</v>
      </c>
      <c r="AQ50" s="205">
        <v>0.18259023</v>
      </c>
      <c r="AR50" s="205">
        <v>-1.1242463</v>
      </c>
      <c r="AS50" s="205">
        <v>-0.1460722</v>
      </c>
      <c r="AT50" s="205">
        <v>0.61740977</v>
      </c>
      <c r="AU50" s="205">
        <v>-0.6590234</v>
      </c>
      <c r="AV50" s="205">
        <v>0.89511677</v>
      </c>
      <c r="AW50" s="205">
        <v>-1.597707</v>
      </c>
      <c r="AX50" s="205">
        <v>-0.8480679</v>
      </c>
      <c r="AY50" s="205">
        <v>4.80764331</v>
      </c>
      <c r="AZ50" s="205">
        <v>-0.0059448</v>
      </c>
      <c r="BA50" s="205">
        <v>0.0</v>
      </c>
      <c r="BB50" s="205">
        <v>1.43864119</v>
      </c>
      <c r="BC50" s="205">
        <v>0.68619958</v>
      </c>
      <c r="BD50" s="205">
        <v>-0.0144374</v>
      </c>
      <c r="BE50" s="205">
        <v>3.75711253</v>
      </c>
      <c r="BF50" s="205">
        <v>0.13757962</v>
      </c>
      <c r="BG50" s="205">
        <v>-0.2522293</v>
      </c>
      <c r="BH50" s="205">
        <v>-0.118896</v>
      </c>
      <c r="BI50" s="205">
        <v>-0.0934183</v>
      </c>
      <c r="BJ50" s="205">
        <v>0.87218684</v>
      </c>
      <c r="BK50" s="205">
        <v>-0.6462845</v>
      </c>
      <c r="BL50" s="205">
        <v>1.45307856</v>
      </c>
      <c r="BM50" s="205">
        <v>0.3014862</v>
      </c>
      <c r="BN50" s="205">
        <v>-0.3133758</v>
      </c>
      <c r="BO50" s="205">
        <v>0.17494692</v>
      </c>
      <c r="BP50" s="205">
        <v>-0.2921444</v>
      </c>
      <c r="BQ50" s="205">
        <v>-0.5605096</v>
      </c>
      <c r="BR50" s="206"/>
      <c r="BS50" s="207">
        <f t="shared" si="6"/>
        <v>0.2432150402</v>
      </c>
      <c r="BT50" s="207">
        <f t="shared" si="7"/>
        <v>0.7446265285</v>
      </c>
      <c r="BU50" s="206"/>
      <c r="BV50" s="207">
        <f>IFERROR(__xludf.DUMMYFUNCTION("AVERAGE(ARRAYFORMULA(XLOOKUP(FILTER(INDIRECT(""'""&amp;BV$1&amp;""'!$C$4:$C$66""),INDIRECT(""'""&amp;BV$1&amp;""'!$D$4:$D$66"")=BV$2),$G$4:$BQ$4,$G50:$BQ50)))"),1.6854352428571429)</f>
        <v>1.685435243</v>
      </c>
      <c r="BW50" s="207">
        <f>IFERROR(__xludf.DUMMYFUNCTION("IF(OR(BV50&gt;$BS50+$BT50*$BT$2,BV50&lt;$BS50-$BT50*$BT$2),AVEDEV(ARRAYFORMULA(XLOOKUP(FILTER(INDIRECT(""'""&amp;BV$1&amp;""'!$C$4:$C$66""),INDIRECT(""'""&amp;BV$1&amp;""'!$D$4:$D$66"")=BV$2),$G$4:$BQ$4,$G50:$BQ50))),"""")"),1.4839672440816325)</f>
        <v>1.483967244</v>
      </c>
      <c r="BX50" s="208">
        <f t="shared" si="8"/>
        <v>0.6975936742</v>
      </c>
      <c r="BY50" s="207">
        <f>IFERROR(__xludf.DUMMYFUNCTION("AVERAGE(ARRAYFORMULA(XLOOKUP(FILTER(INDIRECT(""'""&amp;BY$1&amp;""'!$C$4:$C$66""),INDIRECT(""'""&amp;BY$1&amp;""'!$D$4:$D$66"")=BY$2),$G$4:$BQ$4,$G50:$BQ50)))"),0.09669598190476189)</f>
        <v>0.0966959819</v>
      </c>
      <c r="BZ50" s="207" t="str">
        <f>IFERROR(__xludf.DUMMYFUNCTION("IF(OR(BY50&gt;$BS50+$BT50*$BT$2,BY50&lt;$BS50-$BT50*$BT$2),AVEDEV(ARRAYFORMULA(XLOOKUP(FILTER(INDIRECT(""'""&amp;BY$1&amp;""'!$C$4:$C$66""),INDIRECT(""'""&amp;BY$1&amp;""'!$D$4:$D$66"")=BY$2),$G$4:$BQ$4,$G50:$BQ50))),"""")"),"")</f>
        <v/>
      </c>
      <c r="CA50" s="208" t="str">
        <f t="shared" si="9"/>
        <v/>
      </c>
      <c r="CB50" s="207">
        <f>IFERROR(__xludf.DUMMYFUNCTION("AVERAGE(ARRAYFORMULA(XLOOKUP(FILTER(INDIRECT(""'""&amp;CB$1&amp;""'!$C$4:$C$66""),INDIRECT(""'""&amp;CB$1&amp;""'!$D$4:$D$66"")=CB$2),$G$4:$BQ$4,$G50:$BQ50)))"),-0.10986295818181818)</f>
        <v>-0.1098629582</v>
      </c>
      <c r="CC50" s="207" t="str">
        <f>IFERROR(__xludf.DUMMYFUNCTION("IF(OR(CB50&gt;$BS50+$BT50*$BT$2,CB50&lt;$BS50-$BT50*$BT$2),AVEDEV(ARRAYFORMULA(XLOOKUP(FILTER(INDIRECT(""'""&amp;CB$1&amp;""'!$C$4:$C$66""),INDIRECT(""'""&amp;CB$1&amp;""'!$D$4:$D$66"")=CB$2),$G$4:$BQ$4,$G50:$BQ50))),"""")"),"")</f>
        <v/>
      </c>
      <c r="CD50" s="208" t="str">
        <f t="shared" si="10"/>
        <v/>
      </c>
      <c r="CE50" s="209" t="s">
        <v>444</v>
      </c>
      <c r="CF50" s="207">
        <f>IFERROR(__xludf.DUMMYFUNCTION("AVERAGE(ARRAYFORMULA(XLOOKUP(FILTER(INDIRECT(""'""&amp;CF$1&amp;""'!$C$4:$C$66""),INDIRECT(""'""&amp;CF$1&amp;""'!$D$4:$D$66"")=CF$2),$G$4:$BQ$4,$G50:$BQ50)))"),0.036173036874999995)</f>
        <v>0.03617303688</v>
      </c>
      <c r="CG50" s="207" t="str">
        <f>IFERROR(__xludf.DUMMYFUNCTION("IF(OR(CF50&gt;$BS50+$BT50*$BT$2,CF50&lt;$BS50-$BT50*$BT$2),AVEDEV(ARRAYFORMULA(XLOOKUP(FILTER(INDIRECT(""'""&amp;CF$1&amp;""'!$C$4:$C$66""),INDIRECT(""'""&amp;CF$1&amp;""'!$D$4:$D$66"")=CF$2),$G$4:$BQ$4,$G50:$BQ50))),"""")"),"")</f>
        <v/>
      </c>
      <c r="CH50" s="208" t="str">
        <f t="shared" si="11"/>
        <v/>
      </c>
      <c r="CI50" s="207">
        <f>IFERROR(__xludf.DUMMYFUNCTION("AVERAGE(ARRAYFORMULA(XLOOKUP(FILTER(INDIRECT(""'""&amp;CI$1&amp;""'!$C$4:$C$66""),INDIRECT(""'""&amp;CI$1&amp;""'!$D$4:$D$66"")=CI$2),$G$4:$BQ$4,$G50:$BQ50)))"),0.4642421680645162)</f>
        <v>0.4642421681</v>
      </c>
      <c r="CJ50" s="207" t="str">
        <f>IFERROR(__xludf.DUMMYFUNCTION("IF(OR(CI50&gt;$BS50+$BT50*$BT$2,CI50&lt;$BS50-$BT50*$BT$2),AVEDEV(ARRAYFORMULA(XLOOKUP(FILTER(INDIRECT(""'""&amp;CI$1&amp;""'!$C$4:$C$66""),INDIRECT(""'""&amp;CI$1&amp;""'!$D$4:$D$66"")=CI$2),$G$4:$BQ$4,$G50:$BQ50))),"""")"),"")</f>
        <v/>
      </c>
      <c r="CK50" s="208" t="str">
        <f t="shared" si="12"/>
        <v/>
      </c>
      <c r="CL50" s="207">
        <f>IFERROR(__xludf.DUMMYFUNCTION("AVERAGE(ARRAYFORMULA(XLOOKUP(FILTER(INDIRECT(""'""&amp;CL$1&amp;""'!$C$4:$C$66""),INDIRECT(""'""&amp;CL$1&amp;""'!$D$4:$D$66"")=CL$2),$G$4:$BQ$4,$G50:$BQ50)))"),-0.081019102)</f>
        <v>-0.081019102</v>
      </c>
      <c r="CM50" s="207" t="str">
        <f>IFERROR(__xludf.DUMMYFUNCTION("IF(OR(CL50&gt;$BS50+$BT50*$BT$2,CL50&lt;$BS50-$BT50*$BT$2),AVEDEV(ARRAYFORMULA(XLOOKUP(FILTER(INDIRECT(""'""&amp;CL$1&amp;""'!$C$4:$C$66""),INDIRECT(""'""&amp;CL$1&amp;""'!$D$4:$D$66"")=CL$2),$G$4:$BQ$4,$G50:$BQ50))),"""")"),"")</f>
        <v/>
      </c>
      <c r="CN50" s="208" t="str">
        <f t="shared" si="13"/>
        <v/>
      </c>
      <c r="CO50" s="209" t="s">
        <v>444</v>
      </c>
      <c r="CP50" s="210">
        <f>IFERROR(__xludf.DUMMYFUNCTION("AVERAGE(ARRAYFORMULA(XLOOKUP(FILTER(INDIRECT(""'""&amp;CP$1&amp;""'!$C$4:$C$66""),INDIRECT(""'""&amp;CP$1&amp;""'!$D$4:$D$66"")=CP$2),$G$4:$BQ$4,$G50:$BQ50)))"),0.98151451)</f>
        <v>0.98151451</v>
      </c>
      <c r="CQ50" s="207" t="str">
        <f>IFERROR(__xludf.DUMMYFUNCTION("IF(OR(CP50&gt;$BS50+$BT50*$BT$2,CP50&lt;$BS50-$BT50*$BT$2),AVEDEV(ARRAYFORMULA(XLOOKUP(FILTER(INDIRECT(""'""&amp;CP$1&amp;""'!$C$4:$C$66""),INDIRECT(""'""&amp;CP$1&amp;""'!$D$4:$D$66"")=CP$2),$G$4:$BQ$4,$G50:$BQ50))),"""")"),"")</f>
        <v/>
      </c>
      <c r="CR50" s="208" t="str">
        <f t="shared" si="14"/>
        <v/>
      </c>
      <c r="CS50" s="210">
        <f>IFERROR(__xludf.DUMMYFUNCTION("AVERAGE(ARRAYFORMULA(XLOOKUP(FILTER(INDIRECT(""'""&amp;CS$1&amp;""'!$C$4:$C$66""),INDIRECT(""'""&amp;CS$1&amp;""'!$D$4:$D$66"")=CS$2),$G$4:$BQ$4,$G50:$BQ50)))"),-0.028715776923076922)</f>
        <v>-0.02871577692</v>
      </c>
      <c r="CT50" s="207" t="str">
        <f>IFERROR(__xludf.DUMMYFUNCTION("IF(OR(CS50&gt;$BS50+$BT50*$BT$2,CS50&lt;$BS50-$BT50*$BT$2),AVEDEV(ARRAYFORMULA(XLOOKUP(FILTER(INDIRECT(""'""&amp;CS$1&amp;""'!$C$4:$C$66""),INDIRECT(""'""&amp;CS$1&amp;""'!$D$4:$D$66"")=CS$2),$G$4:$BQ$4,$G50:$BQ50))),"""")"),"")</f>
        <v/>
      </c>
      <c r="CU50" s="208" t="str">
        <f t="shared" si="15"/>
        <v/>
      </c>
      <c r="CV50" s="210">
        <f>IFERROR(__xludf.DUMMYFUNCTION("AVERAGE(ARRAYFORMULA(XLOOKUP(FILTER(INDIRECT(""'""&amp;CV$1&amp;""'!$C$4:$C$66""),INDIRECT(""'""&amp;CV$1&amp;""'!$D$4:$D$66"")=CV$2),$G$4:$BQ$4,$G50:$BQ50)))"),-0.081019102)</f>
        <v>-0.081019102</v>
      </c>
      <c r="CW50" s="207" t="str">
        <f>IFERROR(__xludf.DUMMYFUNCTION("IF(OR(CV50&gt;$BS50+$BT50*$BT$2,CV50&lt;$BS50-$BT50*$BT$2),AVEDEV(ARRAYFORMULA(XLOOKUP(FILTER(INDIRECT(""'""&amp;CV$1&amp;""'!$C$4:$C$66""),INDIRECT(""'""&amp;CV$1&amp;""'!$D$4:$D$66"")=CV$2),$G$4:$BQ$4,$G50:$BQ50))),"""")"),"")</f>
        <v/>
      </c>
      <c r="CX50" s="208" t="str">
        <f t="shared" si="16"/>
        <v/>
      </c>
      <c r="CY50" s="209" t="s">
        <v>444</v>
      </c>
      <c r="CZ50" s="210">
        <f>IFERROR(__xludf.DUMMYFUNCTION("AVERAGE(ARRAYFORMULA(XLOOKUP(FILTER(INDIRECT(""'""&amp;CZ$1&amp;""'!$C$4:$C$66""),INDIRECT(""'""&amp;CZ$1&amp;""'!$D$4:$D$66"")=CZ$2),$G$4:$BQ$4,$G50:$BQ50)))"),-0.12481043500000004)</f>
        <v>-0.124810435</v>
      </c>
      <c r="DA50" s="207" t="str">
        <f>IFERROR(__xludf.DUMMYFUNCTION("IF(OR(CZ50&gt;$BS50+$BT50*$BT$2,CZ50&lt;$BS50-$BT50*$BT$2),AVEDEV(ARRAYFORMULA(XLOOKUP(FILTER(INDIRECT(""'""&amp;CZ$1&amp;""'!$C$4:$C$66""),INDIRECT(""'""&amp;CZ$1&amp;""'!$D$4:$D$66"")=CZ$2),$G$4:$BQ$4,$G50:$BQ50))),"""")"),"")</f>
        <v/>
      </c>
      <c r="DB50" s="208" t="str">
        <f t="shared" si="17"/>
        <v/>
      </c>
      <c r="DC50" s="210">
        <f>IFERROR(__xludf.DUMMYFUNCTION("AVERAGE(ARRAYFORMULA(XLOOKUP(FILTER(INDIRECT(""'""&amp;DC$1&amp;""'!$C$4:$C$66""),INDIRECT(""'""&amp;DC$1&amp;""'!$D$4:$D$66"")=DC$2),$G$4:$BQ$4,$G50:$BQ50)))"),-0.16711488222222223)</f>
        <v>-0.1671148822</v>
      </c>
      <c r="DD50" s="207" t="str">
        <f>IFERROR(__xludf.DUMMYFUNCTION("IF(OR(DC50&gt;$BS50+$BT50*$BT$2,DC50&lt;$BS50-$BT50*$BT$2),AVEDEV(ARRAYFORMULA(XLOOKUP(FILTER(INDIRECT(""'""&amp;DC$1&amp;""'!$C$4:$C$66""),INDIRECT(""'""&amp;DC$1&amp;""'!$D$4:$D$66"")=DC$2),$G$4:$BQ$4,$G50:$BQ50))),"""")"),"")</f>
        <v/>
      </c>
      <c r="DE50" s="208" t="str">
        <f t="shared" si="18"/>
        <v/>
      </c>
      <c r="DF50" s="210">
        <f>IFERROR(__xludf.DUMMYFUNCTION("AVERAGE(ARRAYFORMULA(XLOOKUP(FILTER(INDIRECT(""'""&amp;DF$1&amp;""'!$C$4:$C$66""),INDIRECT(""'""&amp;DF$1&amp;""'!$D$4:$D$66"")=DF$2),$G$4:$BQ$4,$G50:$BQ50)))"),0.6563983754545454)</f>
        <v>0.6563983755</v>
      </c>
      <c r="DG50" s="207" t="str">
        <f>IFERROR(__xludf.DUMMYFUNCTION("IF(OR(DF50&gt;$BS50+$BT50*$BT$2,DF50&lt;$BS50-$BT50*$BT$2),AVEDEV(ARRAYFORMULA(XLOOKUP(FILTER(INDIRECT(""'""&amp;DF$1&amp;""'!$C$4:$C$66""),INDIRECT(""'""&amp;DF$1&amp;""'!$D$4:$D$66"")=DF$2),$G$4:$BQ$4,$G50:$BQ50))),"""")"),"")</f>
        <v/>
      </c>
      <c r="DH50" s="208" t="str">
        <f t="shared" si="19"/>
        <v/>
      </c>
      <c r="DI50" s="210">
        <f>IFERROR(__xludf.DUMMYFUNCTION("AVERAGE(ARRAYFORMULA(XLOOKUP(FILTER(INDIRECT(""'""&amp;DI$1&amp;""'!$C$4:$C$66""),INDIRECT(""'""&amp;DI$1&amp;""'!$D$4:$D$66"")=DI$2),$G$4:$BQ$4,$G50:$BQ50)))"),-0.15923569999999998)</f>
        <v>-0.1592357</v>
      </c>
      <c r="DJ50" s="207" t="str">
        <f>IFERROR(__xludf.DUMMYFUNCTION("IF(OR(DI50&gt;$BS50+$BT50*$BT$2,DI50&lt;$BS50-$BT50*$BT$2),AVEDEV(ARRAYFORMULA(XLOOKUP(FILTER(INDIRECT(""'""&amp;DI$1&amp;""'!$C$4:$C$66""),INDIRECT(""'""&amp;DI$1&amp;""'!$D$4:$D$66"")=DI$2),$G$4:$BQ$4,$G50:$BQ50))),"""")"),"")</f>
        <v/>
      </c>
      <c r="DK50" s="208" t="str">
        <f t="shared" si="20"/>
        <v/>
      </c>
      <c r="DL50" s="210">
        <f>IFERROR(__xludf.DUMMYFUNCTION("AVERAGE(ARRAYFORMULA(XLOOKUP(FILTER(INDIRECT(""'""&amp;DL$1&amp;""'!$C$4:$C$66""),INDIRECT(""'""&amp;DL$1&amp;""'!$D$4:$D$66"")=DL$2),$G$4:$BQ$4,$G50:$BQ50)))"),-0.0032393142857142744)</f>
        <v>-0.003239314286</v>
      </c>
      <c r="DM50" s="207" t="str">
        <f>IFERROR(__xludf.DUMMYFUNCTION("IF(OR(DL50&gt;$BS50+$BT50*$BT$2,DL50&lt;$BS50-$BT50*$BT$2),AVEDEV(ARRAYFORMULA(XLOOKUP(FILTER(INDIRECT(""'""&amp;DL$1&amp;""'!$C$4:$C$66""),INDIRECT(""'""&amp;DL$1&amp;""'!$D$4:$D$66"")=DL$2),$G$4:$BQ$4,$G50:$BQ50))),"""")"),"")</f>
        <v/>
      </c>
      <c r="DN50" s="208" t="str">
        <f t="shared" si="21"/>
        <v/>
      </c>
      <c r="DO50" s="209" t="s">
        <v>444</v>
      </c>
      <c r="DP50" s="210">
        <f>IFERROR(__xludf.DUMMYFUNCTION("AVERAGE(ARRAYFORMULA(XLOOKUP(FILTER(INDIRECT(""'""&amp;DP$1&amp;""'!$C$4:$C$66""),INDIRECT(""'""&amp;DP$1&amp;""'!$D$4:$D$66"")=DP$2),$G$4:$BQ$4,$G50:$BQ50)))"),0.3589016266666667)</f>
        <v>0.3589016267</v>
      </c>
      <c r="DQ50" s="207" t="str">
        <f>IFERROR(__xludf.DUMMYFUNCTION("IF(OR(DP50&gt;$BS50+$BT50*$BT$2,DP50&lt;$BS50-$BT50*$BT$2),AVEDEV(ARRAYFORMULA(XLOOKUP(FILTER(INDIRECT(""'""&amp;DP$1&amp;""'!$C$4:$C$66""),INDIRECT(""'""&amp;DP$1&amp;""'!$D$4:$D$66"")=DP$2),$G$4:$BQ$4,$G50:$BQ50))),"""")"),"")</f>
        <v/>
      </c>
      <c r="DR50" s="208" t="str">
        <f t="shared" si="22"/>
        <v/>
      </c>
      <c r="DS50" s="210">
        <f>IFERROR(__xludf.DUMMYFUNCTION("AVERAGE(ARRAYFORMULA(XLOOKUP(FILTER(INDIRECT(""'""&amp;DS$1&amp;""'!$C$4:$C$66""),INDIRECT(""'""&amp;DS$1&amp;""'!$D$4:$D$66"")=DS$2),$G$4:$BQ$4,$G50:$BQ50)))"),0.08011323666666664)</f>
        <v>0.08011323667</v>
      </c>
      <c r="DT50" s="207" t="str">
        <f>IFERROR(__xludf.DUMMYFUNCTION("IF(OR(DS50&gt;$BS50+$BT50*$BT$2,DS50&lt;$BS50-$BT50*$BT$2),AVEDEV(ARRAYFORMULA(XLOOKUP(FILTER(INDIRECT(""'""&amp;DS$1&amp;""'!$C$4:$C$66""),INDIRECT(""'""&amp;DS$1&amp;""'!$D$4:$D$66"")=DS$2),$G$4:$BQ$4,$G50:$BQ50))),"""")"),"")</f>
        <v/>
      </c>
      <c r="DU50" s="208" t="str">
        <f t="shared" si="23"/>
        <v/>
      </c>
      <c r="DV50" s="210">
        <f>IFERROR(__xludf.DUMMYFUNCTION("AVERAGE(ARRAYFORMULA(XLOOKUP(FILTER(INDIRECT(""'""&amp;DV$1&amp;""'!$C$4:$C$66""),INDIRECT(""'""&amp;DV$1&amp;""'!$D$4:$D$66"")=DV$2),$G$4:$BQ$4,$G50:$BQ50)))"),0.8153927787499999)</f>
        <v>0.8153927788</v>
      </c>
      <c r="DW50" s="207" t="str">
        <f>IFERROR(__xludf.DUMMYFUNCTION("IF(OR(DV50&gt;$BS50+$BT50*$BT$2,DV50&lt;$BS50-$BT50*$BT$2),AVEDEV(ARRAYFORMULA(XLOOKUP(FILTER(INDIRECT(""'""&amp;DV$1&amp;""'!$C$4:$C$66""),INDIRECT(""'""&amp;DV$1&amp;""'!$D$4:$D$66"")=DV$2),$G$4:$BQ$4,$G50:$BQ50))),"""")"),"")</f>
        <v/>
      </c>
      <c r="DX50" s="208" t="str">
        <f t="shared" si="24"/>
        <v/>
      </c>
      <c r="DY50" s="210">
        <f>IFERROR(__xludf.DUMMYFUNCTION("AVERAGE(ARRAYFORMULA(XLOOKUP(FILTER(INDIRECT(""'""&amp;DY$1&amp;""'!$C$4:$C$66""),INDIRECT(""'""&amp;DY$1&amp;""'!$D$4:$D$66"")=DY$2),$G$4:$BQ$4,$G50:$BQ50)))"),-0.3884218088888889)</f>
        <v>-0.3884218089</v>
      </c>
      <c r="DZ50" s="207" t="str">
        <f>IFERROR(__xludf.DUMMYFUNCTION("IF(OR(DY50&gt;$BS50+$BT50*$BT$2,DY50&lt;$BS50-$BT50*$BT$2),AVEDEV(ARRAYFORMULA(XLOOKUP(FILTER(INDIRECT(""'""&amp;DY$1&amp;""'!$C$4:$C$66""),INDIRECT(""'""&amp;DY$1&amp;""'!$D$4:$D$66"")=DY$2),$G$4:$BQ$4,$G50:$BQ50))),"""")"),"")</f>
        <v/>
      </c>
      <c r="EA50" s="208" t="str">
        <f t="shared" si="25"/>
        <v/>
      </c>
      <c r="EB50" s="191"/>
    </row>
    <row r="51" outlineLevel="1">
      <c r="A51" s="2"/>
      <c r="B51" s="204">
        <v>47.0</v>
      </c>
      <c r="C51" s="204" t="s">
        <v>482</v>
      </c>
      <c r="D51" s="204" t="s">
        <v>491</v>
      </c>
      <c r="E51" s="205" t="b">
        <f>VLOOKUP(D51,'Feature Set List'!A47:C246,2,0)</f>
        <v>1</v>
      </c>
      <c r="F51" s="205" t="b">
        <f>VLOOKUP(D51,'Feature Set List'!A47:C246,3,0)</f>
        <v>1</v>
      </c>
      <c r="G51" s="205">
        <v>-0.4100355</v>
      </c>
      <c r="H51" s="205">
        <v>0.50413921</v>
      </c>
      <c r="I51" s="205">
        <v>0.39483021</v>
      </c>
      <c r="J51" s="205">
        <v>0.04696739</v>
      </c>
      <c r="K51" s="205">
        <v>2.34904545</v>
      </c>
      <c r="L51" s="205">
        <v>0.0993411</v>
      </c>
      <c r="M51" s="205">
        <v>-0.7962494</v>
      </c>
      <c r="N51" s="205">
        <v>0.12654165</v>
      </c>
      <c r="O51" s="205">
        <v>-1.0236526</v>
      </c>
      <c r="P51" s="205">
        <v>-0.2169285</v>
      </c>
      <c r="Q51" s="205">
        <v>1.36746072</v>
      </c>
      <c r="R51" s="205">
        <v>0.24548066</v>
      </c>
      <c r="S51" s="205">
        <v>-0.6019598</v>
      </c>
      <c r="T51" s="205">
        <v>0.53454976</v>
      </c>
      <c r="U51" s="205">
        <v>0.11691164</v>
      </c>
      <c r="V51" s="205">
        <v>0.86061835</v>
      </c>
      <c r="W51" s="205">
        <v>-0.3492144</v>
      </c>
      <c r="X51" s="205">
        <v>-0.871431</v>
      </c>
      <c r="Y51" s="205">
        <v>-0.6639635</v>
      </c>
      <c r="Z51" s="205">
        <v>1.03294475</v>
      </c>
      <c r="AA51" s="205">
        <v>-0.7366109</v>
      </c>
      <c r="AB51" s="205">
        <v>-0.7788478</v>
      </c>
      <c r="AC51" s="205">
        <v>-0.2691333</v>
      </c>
      <c r="AD51" s="205">
        <v>0.49907079</v>
      </c>
      <c r="AE51" s="205">
        <v>1.62932928</v>
      </c>
      <c r="AF51" s="205">
        <v>0.72714986</v>
      </c>
      <c r="AG51" s="205">
        <v>0.11792533</v>
      </c>
      <c r="AH51" s="205">
        <v>-0.6729177</v>
      </c>
      <c r="AI51" s="205">
        <v>-0.3091738</v>
      </c>
      <c r="AJ51" s="205">
        <v>-0.8045278</v>
      </c>
      <c r="AK51" s="205">
        <v>-0.1353269</v>
      </c>
      <c r="AL51" s="205">
        <v>0.16117587</v>
      </c>
      <c r="AM51" s="205">
        <v>1.63270823</v>
      </c>
      <c r="AN51" s="205">
        <v>-0.6416624</v>
      </c>
      <c r="AO51" s="205">
        <v>1.01605001</v>
      </c>
      <c r="AP51" s="205">
        <v>-0.4075013</v>
      </c>
      <c r="AQ51" s="205">
        <v>1.66311877</v>
      </c>
      <c r="AR51" s="205">
        <v>-0.620713</v>
      </c>
      <c r="AS51" s="205">
        <v>0.38249704</v>
      </c>
      <c r="AT51" s="205">
        <v>0.3524244</v>
      </c>
      <c r="AU51" s="205">
        <v>-0.7499578</v>
      </c>
      <c r="AV51" s="205">
        <v>-0.7514783</v>
      </c>
      <c r="AW51" s="205">
        <v>0.26203751</v>
      </c>
      <c r="AX51" s="205">
        <v>0.15526271</v>
      </c>
      <c r="AY51" s="205">
        <v>-1.0718027</v>
      </c>
      <c r="AZ51" s="205">
        <v>-0.4362223</v>
      </c>
      <c r="BA51" s="205">
        <v>-0.5475587</v>
      </c>
      <c r="BB51" s="205">
        <v>-0.0466295</v>
      </c>
      <c r="BC51" s="205">
        <v>-0.0799121</v>
      </c>
      <c r="BD51" s="205">
        <v>0.3684744</v>
      </c>
      <c r="BE51" s="205">
        <v>-0.1557696</v>
      </c>
      <c r="BF51" s="205">
        <v>0.32961649</v>
      </c>
      <c r="BG51" s="205">
        <v>0.17671904</v>
      </c>
      <c r="BH51" s="205">
        <v>0.66970772</v>
      </c>
      <c r="BI51" s="205">
        <v>0.67984457</v>
      </c>
      <c r="BJ51" s="205">
        <v>-0.3654334</v>
      </c>
      <c r="BK51" s="205">
        <v>0.21557696</v>
      </c>
      <c r="BL51" s="205">
        <v>-0.3039365</v>
      </c>
      <c r="BM51" s="205">
        <v>-1.0155432</v>
      </c>
      <c r="BN51" s="205">
        <v>0.71870248</v>
      </c>
      <c r="BO51" s="205">
        <v>-0.7580672</v>
      </c>
      <c r="BP51" s="205">
        <v>0.0</v>
      </c>
      <c r="BQ51" s="205">
        <v>-0.8291941</v>
      </c>
      <c r="BR51" s="206"/>
      <c r="BS51" s="207">
        <f t="shared" si="6"/>
        <v>0.03198202143</v>
      </c>
      <c r="BT51" s="207">
        <f t="shared" si="7"/>
        <v>0.5855485615</v>
      </c>
      <c r="BU51" s="206"/>
      <c r="BV51" s="207">
        <f>IFERROR(__xludf.DUMMYFUNCTION("AVERAGE(ARRAYFORMULA(XLOOKUP(FILTER(INDIRECT(""'""&amp;BV$1&amp;""'!$C$4:$C$66""),INDIRECT(""'""&amp;BV$1&amp;""'!$D$4:$D$66"")=BV$2),$G$4:$BQ$4,$G51:$BQ51)))"),-0.18808680714285714)</f>
        <v>-0.1880868071</v>
      </c>
      <c r="BW51" s="207" t="str">
        <f>IFERROR(__xludf.DUMMYFUNCTION("IF(OR(BV51&gt;$BS51+$BT51*$BT$2,BV51&lt;$BS51-$BT51*$BT$2),AVEDEV(ARRAYFORMULA(XLOOKUP(FILTER(INDIRECT(""'""&amp;BV$1&amp;""'!$C$4:$C$66""),INDIRECT(""'""&amp;BV$1&amp;""'!$D$4:$D$66"")=BV$2),$G$4:$BQ$4,$G51:$BQ51))),"""")"),"")</f>
        <v/>
      </c>
      <c r="BX51" s="208" t="str">
        <f t="shared" si="8"/>
        <v/>
      </c>
      <c r="BY51" s="207">
        <f>IFERROR(__xludf.DUMMYFUNCTION("AVERAGE(ARRAYFORMULA(XLOOKUP(FILTER(INDIRECT(""'""&amp;BY$1&amp;""'!$C$4:$C$66""),INDIRECT(""'""&amp;BY$1&amp;""'!$D$4:$D$66"")=BY$2),$G$4:$BQ$4,$G51:$BQ51)))"),0.15220959452380955)</f>
        <v>0.1522095945</v>
      </c>
      <c r="BZ51" s="207" t="str">
        <f>IFERROR(__xludf.DUMMYFUNCTION("IF(OR(BY51&gt;$BS51+$BT51*$BT$2,BY51&lt;$BS51-$BT51*$BT$2),AVEDEV(ARRAYFORMULA(XLOOKUP(FILTER(INDIRECT(""'""&amp;BY$1&amp;""'!$C$4:$C$66""),INDIRECT(""'""&amp;BY$1&amp;""'!$D$4:$D$66"")=BY$2),$G$4:$BQ$4,$G51:$BQ51))),"""")"),"")</f>
        <v/>
      </c>
      <c r="CA51" s="208" t="str">
        <f t="shared" si="9"/>
        <v/>
      </c>
      <c r="CB51" s="207">
        <f>IFERROR(__xludf.DUMMYFUNCTION("AVERAGE(ARRAYFORMULA(XLOOKUP(FILTER(INDIRECT(""'""&amp;CB$1&amp;""'!$C$4:$C$66""),INDIRECT(""'""&amp;CB$1&amp;""'!$D$4:$D$66"")=CB$2),$G$4:$BQ$4,$G51:$BQ51)))"),-0.2795158890909091)</f>
        <v>-0.2795158891</v>
      </c>
      <c r="CC51" s="207" t="str">
        <f>IFERROR(__xludf.DUMMYFUNCTION("IF(OR(CB51&gt;$BS51+$BT51*$BT$2,CB51&lt;$BS51-$BT51*$BT$2),AVEDEV(ARRAYFORMULA(XLOOKUP(FILTER(INDIRECT(""'""&amp;CB$1&amp;""'!$C$4:$C$66""),INDIRECT(""'""&amp;CB$1&amp;""'!$D$4:$D$66"")=CB$2),$G$4:$BQ$4,$G51:$BQ51))),"""")"),"")</f>
        <v/>
      </c>
      <c r="CD51" s="208" t="str">
        <f t="shared" si="10"/>
        <v/>
      </c>
      <c r="CE51" s="209" t="s">
        <v>444</v>
      </c>
      <c r="CF51" s="207">
        <f>IFERROR(__xludf.DUMMYFUNCTION("AVERAGE(ARRAYFORMULA(XLOOKUP(FILTER(INDIRECT(""'""&amp;CF$1&amp;""'!$C$4:$C$66""),INDIRECT(""'""&amp;CF$1&amp;""'!$D$4:$D$66"")=CF$2),$G$4:$BQ$4,$G51:$BQ51)))"),0.46625274812500006)</f>
        <v>0.4662527481</v>
      </c>
      <c r="CG51" s="207" t="str">
        <f>IFERROR(__xludf.DUMMYFUNCTION("IF(OR(CF51&gt;$BS51+$BT51*$BT$2,CF51&lt;$BS51-$BT51*$BT$2),AVEDEV(ARRAYFORMULA(XLOOKUP(FILTER(INDIRECT(""'""&amp;CF$1&amp;""'!$C$4:$C$66""),INDIRECT(""'""&amp;CF$1&amp;""'!$D$4:$D$66"")=CF$2),$G$4:$BQ$4,$G51:$BQ51))),"""")"),"")</f>
        <v/>
      </c>
      <c r="CH51" s="208" t="str">
        <f t="shared" si="11"/>
        <v/>
      </c>
      <c r="CI51" s="207">
        <f>IFERROR(__xludf.DUMMYFUNCTION("AVERAGE(ARRAYFORMULA(XLOOKUP(FILTER(INDIRECT(""'""&amp;CI$1&amp;""'!$C$4:$C$66""),INDIRECT(""'""&amp;CI$1&amp;""'!$D$4:$D$66"")=CI$2),$G$4:$BQ$4,$G51:$BQ51)))"),-0.09610930290322577)</f>
        <v>-0.0961093029</v>
      </c>
      <c r="CJ51" s="207" t="str">
        <f>IFERROR(__xludf.DUMMYFUNCTION("IF(OR(CI51&gt;$BS51+$BT51*$BT$2,CI51&lt;$BS51-$BT51*$BT$2),AVEDEV(ARRAYFORMULA(XLOOKUP(FILTER(INDIRECT(""'""&amp;CI$1&amp;""'!$C$4:$C$66""),INDIRECT(""'""&amp;CI$1&amp;""'!$D$4:$D$66"")=CI$2),$G$4:$BQ$4,$G51:$BQ51))),"""")"),"")</f>
        <v/>
      </c>
      <c r="CK51" s="208" t="str">
        <f t="shared" si="12"/>
        <v/>
      </c>
      <c r="CL51" s="207">
        <f>IFERROR(__xludf.DUMMYFUNCTION("AVERAGE(ARRAYFORMULA(XLOOKUP(FILTER(INDIRECT(""'""&amp;CL$1&amp;""'!$C$4:$C$66""),INDIRECT(""'""&amp;CL$1&amp;""'!$D$4:$D$66"")=CL$2),$G$4:$BQ$4,$G51:$BQ51)))"),0.06585572800000002)</f>
        <v>0.065855728</v>
      </c>
      <c r="CM51" s="207" t="str">
        <f>IFERROR(__xludf.DUMMYFUNCTION("IF(OR(CL51&gt;$BS51+$BT51*$BT$2,CL51&lt;$BS51-$BT51*$BT$2),AVEDEV(ARRAYFORMULA(XLOOKUP(FILTER(INDIRECT(""'""&amp;CL$1&amp;""'!$C$4:$C$66""),INDIRECT(""'""&amp;CL$1&amp;""'!$D$4:$D$66"")=CL$2),$G$4:$BQ$4,$G51:$BQ51))),"""")"),"")</f>
        <v/>
      </c>
      <c r="CN51" s="208" t="str">
        <f t="shared" si="13"/>
        <v/>
      </c>
      <c r="CO51" s="209" t="s">
        <v>444</v>
      </c>
      <c r="CP51" s="210">
        <f>IFERROR(__xludf.DUMMYFUNCTION("AVERAGE(ARRAYFORMULA(XLOOKUP(FILTER(INDIRECT(""'""&amp;CP$1&amp;""'!$C$4:$C$66""),INDIRECT(""'""&amp;CP$1&amp;""'!$D$4:$D$66"")=CP$2),$G$4:$BQ$4,$G51:$BQ51)))"),-0.27691614866666664)</f>
        <v>-0.2769161487</v>
      </c>
      <c r="CQ51" s="207" t="str">
        <f>IFERROR(__xludf.DUMMYFUNCTION("IF(OR(CP51&gt;$BS51+$BT51*$BT$2,CP51&lt;$BS51-$BT51*$BT$2),AVEDEV(ARRAYFORMULA(XLOOKUP(FILTER(INDIRECT(""'""&amp;CP$1&amp;""'!$C$4:$C$66""),INDIRECT(""'""&amp;CP$1&amp;""'!$D$4:$D$66"")=CP$2),$G$4:$BQ$4,$G51:$BQ51))),"""")"),"")</f>
        <v/>
      </c>
      <c r="CR51" s="208" t="str">
        <f t="shared" si="14"/>
        <v/>
      </c>
      <c r="CS51" s="210">
        <f>IFERROR(__xludf.DUMMYFUNCTION("AVERAGE(ARRAYFORMULA(XLOOKUP(FILTER(INDIRECT(""'""&amp;CS$1&amp;""'!$C$4:$C$66""),INDIRECT(""'""&amp;CS$1&amp;""'!$D$4:$D$66"")=CS$2),$G$4:$BQ$4,$G51:$BQ51)))"),0.15717745205128208)</f>
        <v>0.1571774521</v>
      </c>
      <c r="CT51" s="207" t="str">
        <f>IFERROR(__xludf.DUMMYFUNCTION("IF(OR(CS51&gt;$BS51+$BT51*$BT$2,CS51&lt;$BS51-$BT51*$BT$2),AVEDEV(ARRAYFORMULA(XLOOKUP(FILTER(INDIRECT(""'""&amp;CS$1&amp;""'!$C$4:$C$66""),INDIRECT(""'""&amp;CS$1&amp;""'!$D$4:$D$66"")=CS$2),$G$4:$BQ$4,$G51:$BQ51))),"""")"),"")</f>
        <v/>
      </c>
      <c r="CU51" s="208" t="str">
        <f t="shared" si="15"/>
        <v/>
      </c>
      <c r="CV51" s="210">
        <f>IFERROR(__xludf.DUMMYFUNCTION("AVERAGE(ARRAYFORMULA(XLOOKUP(FILTER(INDIRECT(""'""&amp;CV$1&amp;""'!$C$4:$C$66""),INDIRECT(""'""&amp;CV$1&amp;""'!$D$4:$D$66"")=CV$2),$G$4:$BQ$4,$G51:$BQ51)))"),0.06585572800000002)</f>
        <v>0.065855728</v>
      </c>
      <c r="CW51" s="207" t="str">
        <f>IFERROR(__xludf.DUMMYFUNCTION("IF(OR(CV51&gt;$BS51+$BT51*$BT$2,CV51&lt;$BS51-$BT51*$BT$2),AVEDEV(ARRAYFORMULA(XLOOKUP(FILTER(INDIRECT(""'""&amp;CV$1&amp;""'!$C$4:$C$66""),INDIRECT(""'""&amp;CV$1&amp;""'!$D$4:$D$66"")=CV$2),$G$4:$BQ$4,$G51:$BQ51))),"""")"),"")</f>
        <v/>
      </c>
      <c r="CX51" s="208" t="str">
        <f t="shared" si="16"/>
        <v/>
      </c>
      <c r="CY51" s="209" t="s">
        <v>444</v>
      </c>
      <c r="CZ51" s="210">
        <f>IFERROR(__xludf.DUMMYFUNCTION("AVERAGE(ARRAYFORMULA(XLOOKUP(FILTER(INDIRECT(""'""&amp;CZ$1&amp;""'!$C$4:$C$66""),INDIRECT(""'""&amp;CZ$1&amp;""'!$D$4:$D$66"")=CZ$2),$G$4:$BQ$4,$G51:$BQ51)))"),0.361788915)</f>
        <v>0.361788915</v>
      </c>
      <c r="DA51" s="207" t="str">
        <f>IFERROR(__xludf.DUMMYFUNCTION("IF(OR(CZ51&gt;$BS51+$BT51*$BT$2,CZ51&lt;$BS51-$BT51*$BT$2),AVEDEV(ARRAYFORMULA(XLOOKUP(FILTER(INDIRECT(""'""&amp;CZ$1&amp;""'!$C$4:$C$66""),INDIRECT(""'""&amp;CZ$1&amp;""'!$D$4:$D$66"")=CZ$2),$G$4:$BQ$4,$G51:$BQ51))),"""")"),"")</f>
        <v/>
      </c>
      <c r="DB51" s="208" t="str">
        <f t="shared" si="17"/>
        <v/>
      </c>
      <c r="DC51" s="210">
        <f>IFERROR(__xludf.DUMMYFUNCTION("AVERAGE(ARRAYFORMULA(XLOOKUP(FILTER(INDIRECT(""'""&amp;DC$1&amp;""'!$C$4:$C$66""),INDIRECT(""'""&amp;DC$1&amp;""'!$D$4:$D$66"")=DC$2),$G$4:$BQ$4,$G51:$BQ51)))"),-0.18032325333333332)</f>
        <v>-0.1803232533</v>
      </c>
      <c r="DD51" s="207" t="str">
        <f>IFERROR(__xludf.DUMMYFUNCTION("IF(OR(DC51&gt;$BS51+$BT51*$BT$2,DC51&lt;$BS51-$BT51*$BT$2),AVEDEV(ARRAYFORMULA(XLOOKUP(FILTER(INDIRECT(""'""&amp;DC$1&amp;""'!$C$4:$C$66""),INDIRECT(""'""&amp;DC$1&amp;""'!$D$4:$D$66"")=DC$2),$G$4:$BQ$4,$G51:$BQ51))),"""")"),"")</f>
        <v/>
      </c>
      <c r="DE51" s="208" t="str">
        <f t="shared" si="18"/>
        <v/>
      </c>
      <c r="DF51" s="210">
        <f>IFERROR(__xludf.DUMMYFUNCTION("AVERAGE(ARRAYFORMULA(XLOOKUP(FILTER(INDIRECT(""'""&amp;DF$1&amp;""'!$C$4:$C$66""),INDIRECT(""'""&amp;DF$1&amp;""'!$D$4:$D$66"")=DF$2),$G$4:$BQ$4,$G51:$BQ51)))"),-0.2584896027272727)</f>
        <v>-0.2584896027</v>
      </c>
      <c r="DG51" s="207" t="str">
        <f>IFERROR(__xludf.DUMMYFUNCTION("IF(OR(DF51&gt;$BS51+$BT51*$BT$2,DF51&lt;$BS51-$BT51*$BT$2),AVEDEV(ARRAYFORMULA(XLOOKUP(FILTER(INDIRECT(""'""&amp;DF$1&amp;""'!$C$4:$C$66""),INDIRECT(""'""&amp;DF$1&amp;""'!$D$4:$D$66"")=DF$2),$G$4:$BQ$4,$G51:$BQ51))),"""")"),"")</f>
        <v/>
      </c>
      <c r="DH51" s="208" t="str">
        <f t="shared" si="19"/>
        <v/>
      </c>
      <c r="DI51" s="210">
        <f>IFERROR(__xludf.DUMMYFUNCTION("AVERAGE(ARRAYFORMULA(XLOOKUP(FILTER(INDIRECT(""'""&amp;DI$1&amp;""'!$C$4:$C$66""),INDIRECT(""'""&amp;DI$1&amp;""'!$D$4:$D$66"")=DI$2),$G$4:$BQ$4,$G51:$BQ51)))"),0.584389255)</f>
        <v>0.584389255</v>
      </c>
      <c r="DJ51" s="207" t="str">
        <f>IFERROR(__xludf.DUMMYFUNCTION("IF(OR(DI51&gt;$BS51+$BT51*$BT$2,DI51&lt;$BS51-$BT51*$BT$2),AVEDEV(ARRAYFORMULA(XLOOKUP(FILTER(INDIRECT(""'""&amp;DI$1&amp;""'!$C$4:$C$66""),INDIRECT(""'""&amp;DI$1&amp;""'!$D$4:$D$66"")=DI$2),$G$4:$BQ$4,$G51:$BQ51))),"""")"),"")</f>
        <v/>
      </c>
      <c r="DK51" s="208" t="str">
        <f t="shared" si="20"/>
        <v/>
      </c>
      <c r="DL51" s="210">
        <f>IFERROR(__xludf.DUMMYFUNCTION("AVERAGE(ARRAYFORMULA(XLOOKUP(FILTER(INDIRECT(""'""&amp;DL$1&amp;""'!$C$4:$C$66""),INDIRECT(""'""&amp;DL$1&amp;""'!$D$4:$D$66"")=DL$2),$G$4:$BQ$4,$G51:$BQ51)))"),-0.011814250714285704)</f>
        <v>-0.01181425071</v>
      </c>
      <c r="DM51" s="207" t="str">
        <f>IFERROR(__xludf.DUMMYFUNCTION("IF(OR(DL51&gt;$BS51+$BT51*$BT$2,DL51&lt;$BS51-$BT51*$BT$2),AVEDEV(ARRAYFORMULA(XLOOKUP(FILTER(INDIRECT(""'""&amp;DL$1&amp;""'!$C$4:$C$66""),INDIRECT(""'""&amp;DL$1&amp;""'!$D$4:$D$66"")=DL$2),$G$4:$BQ$4,$G51:$BQ51))),"""")"),"")</f>
        <v/>
      </c>
      <c r="DN51" s="208" t="str">
        <f t="shared" si="21"/>
        <v/>
      </c>
      <c r="DO51" s="209" t="s">
        <v>444</v>
      </c>
      <c r="DP51" s="210">
        <f>IFERROR(__xludf.DUMMYFUNCTION("AVERAGE(ARRAYFORMULA(XLOOKUP(FILTER(INDIRECT(""'""&amp;DP$1&amp;""'!$C$4:$C$66""),INDIRECT(""'""&amp;DP$1&amp;""'!$D$4:$D$66"")=DP$2),$G$4:$BQ$4,$G51:$BQ51)))"),0.23590696800000005)</f>
        <v>0.235906968</v>
      </c>
      <c r="DQ51" s="207" t="str">
        <f>IFERROR(__xludf.DUMMYFUNCTION("IF(OR(DP51&gt;$BS51+$BT51*$BT$2,DP51&lt;$BS51-$BT51*$BT$2),AVEDEV(ARRAYFORMULA(XLOOKUP(FILTER(INDIRECT(""'""&amp;DP$1&amp;""'!$C$4:$C$66""),INDIRECT(""'""&amp;DP$1&amp;""'!$D$4:$D$66"")=DP$2),$G$4:$BQ$4,$G51:$BQ51))),"""")"),"")</f>
        <v/>
      </c>
      <c r="DR51" s="208" t="str">
        <f t="shared" si="22"/>
        <v/>
      </c>
      <c r="DS51" s="210">
        <f>IFERROR(__xludf.DUMMYFUNCTION("AVERAGE(ARRAYFORMULA(XLOOKUP(FILTER(INDIRECT(""'""&amp;DS$1&amp;""'!$C$4:$C$66""),INDIRECT(""'""&amp;DS$1&amp;""'!$D$4:$D$66"")=DS$2),$G$4:$BQ$4,$G51:$BQ51)))"),-0.3836796822222222)</f>
        <v>-0.3836796822</v>
      </c>
      <c r="DT51" s="207" t="str">
        <f>IFERROR(__xludf.DUMMYFUNCTION("IF(OR(DS51&gt;$BS51+$BT51*$BT$2,DS51&lt;$BS51-$BT51*$BT$2),AVEDEV(ARRAYFORMULA(XLOOKUP(FILTER(INDIRECT(""'""&amp;DS$1&amp;""'!$C$4:$C$66""),INDIRECT(""'""&amp;DS$1&amp;""'!$D$4:$D$66"")=DS$2),$G$4:$BQ$4,$G51:$BQ51))),"""")"),"")</f>
        <v/>
      </c>
      <c r="DU51" s="208" t="str">
        <f t="shared" si="23"/>
        <v/>
      </c>
      <c r="DV51" s="210">
        <f>IFERROR(__xludf.DUMMYFUNCTION("AVERAGE(ARRAYFORMULA(XLOOKUP(FILTER(INDIRECT(""'""&amp;DV$1&amp;""'!$C$4:$C$66""),INDIRECT(""'""&amp;DV$1&amp;""'!$D$4:$D$66"")=DV$2),$G$4:$BQ$4,$G51:$BQ51)))"),-0.539047975)</f>
        <v>-0.539047975</v>
      </c>
      <c r="DW51" s="207" t="str">
        <f>IFERROR(__xludf.DUMMYFUNCTION("IF(OR(DV51&gt;$BS51+$BT51*$BT$2,DV51&lt;$BS51-$BT51*$BT$2),AVEDEV(ARRAYFORMULA(XLOOKUP(FILTER(INDIRECT(""'""&amp;DV$1&amp;""'!$C$4:$C$66""),INDIRECT(""'""&amp;DV$1&amp;""'!$D$4:$D$66"")=DV$2),$G$4:$BQ$4,$G51:$BQ51))),"""")"),"")</f>
        <v/>
      </c>
      <c r="DX51" s="208" t="str">
        <f t="shared" si="24"/>
        <v/>
      </c>
      <c r="DY51" s="210">
        <f>IFERROR(__xludf.DUMMYFUNCTION("AVERAGE(ARRAYFORMULA(XLOOKUP(FILTER(INDIRECT(""'""&amp;DY$1&amp;""'!$C$4:$C$66""),INDIRECT(""'""&amp;DY$1&amp;""'!$D$4:$D$66"")=DY$2),$G$4:$BQ$4,$G51:$BQ51)))"),0.38553810333333327)</f>
        <v>0.3855381033</v>
      </c>
      <c r="DZ51" s="207" t="str">
        <f>IFERROR(__xludf.DUMMYFUNCTION("IF(OR(DY51&gt;$BS51+$BT51*$BT$2,DY51&lt;$BS51-$BT51*$BT$2),AVEDEV(ARRAYFORMULA(XLOOKUP(FILTER(INDIRECT(""'""&amp;DY$1&amp;""'!$C$4:$C$66""),INDIRECT(""'""&amp;DY$1&amp;""'!$D$4:$D$66"")=DY$2),$G$4:$BQ$4,$G51:$BQ51))),"""")"),"")</f>
        <v/>
      </c>
      <c r="EA51" s="208" t="str">
        <f t="shared" si="25"/>
        <v/>
      </c>
      <c r="EB51" s="191"/>
    </row>
    <row r="52" outlineLevel="1">
      <c r="A52" s="2"/>
      <c r="B52" s="204">
        <v>48.0</v>
      </c>
      <c r="C52" s="204" t="s">
        <v>482</v>
      </c>
      <c r="D52" s="204" t="s">
        <v>492</v>
      </c>
      <c r="E52" s="205" t="b">
        <f>VLOOKUP(D52,'Feature Set List'!A48:C246,2,0)</f>
        <v>1</v>
      </c>
      <c r="F52" s="205" t="b">
        <f>VLOOKUP(D52,'Feature Set List'!A48:C246,3,0)</f>
        <v>1</v>
      </c>
      <c r="G52" s="205">
        <v>0.51554404</v>
      </c>
      <c r="H52" s="205">
        <v>0.64162349</v>
      </c>
      <c r="I52" s="205">
        <v>0.10276339</v>
      </c>
      <c r="J52" s="205">
        <v>-0.2504318</v>
      </c>
      <c r="K52" s="205">
        <v>3.00777202</v>
      </c>
      <c r="L52" s="205">
        <v>-0.2469775</v>
      </c>
      <c r="M52" s="205">
        <v>-1.052677</v>
      </c>
      <c r="N52" s="205">
        <v>-0.2962003</v>
      </c>
      <c r="O52" s="205">
        <v>-1.182038</v>
      </c>
      <c r="P52" s="205">
        <v>-0.4602763</v>
      </c>
      <c r="Q52" s="205">
        <v>0.4507772</v>
      </c>
      <c r="R52" s="205">
        <v>-0.552677</v>
      </c>
      <c r="S52" s="205">
        <v>-0.4974093</v>
      </c>
      <c r="T52" s="205">
        <v>0.16234888</v>
      </c>
      <c r="U52" s="205">
        <v>1.18998273</v>
      </c>
      <c r="V52" s="205">
        <v>0.35405872</v>
      </c>
      <c r="W52" s="205">
        <v>-0.8048359</v>
      </c>
      <c r="X52" s="205">
        <v>-1.2417098</v>
      </c>
      <c r="Y52" s="205">
        <v>-0.3290155</v>
      </c>
      <c r="Z52" s="205">
        <v>0.29533679</v>
      </c>
      <c r="AA52" s="205">
        <v>-0.119171</v>
      </c>
      <c r="AB52" s="205">
        <v>-1.1018998</v>
      </c>
      <c r="AC52" s="205">
        <v>-0.619171</v>
      </c>
      <c r="AD52" s="205">
        <v>1.4015544</v>
      </c>
      <c r="AE52" s="205">
        <v>0.99050086</v>
      </c>
      <c r="AF52" s="205">
        <v>0.3791019</v>
      </c>
      <c r="AG52" s="205">
        <v>-0.9188256</v>
      </c>
      <c r="AH52" s="205">
        <v>-0.9041451</v>
      </c>
      <c r="AI52" s="205">
        <v>-0.4231434</v>
      </c>
      <c r="AJ52" s="205">
        <v>-1.4104491</v>
      </c>
      <c r="AK52" s="205">
        <v>0.0</v>
      </c>
      <c r="AL52" s="205">
        <v>-0.3411054</v>
      </c>
      <c r="AM52" s="205">
        <v>2.05440415</v>
      </c>
      <c r="AN52" s="205">
        <v>-0.7020725</v>
      </c>
      <c r="AO52" s="205">
        <v>0.07944732</v>
      </c>
      <c r="AP52" s="205">
        <v>-0.2037997</v>
      </c>
      <c r="AQ52" s="205">
        <v>0.51468048</v>
      </c>
      <c r="AR52" s="205">
        <v>-0.6476684</v>
      </c>
      <c r="AS52" s="205">
        <v>0.13212435</v>
      </c>
      <c r="AT52" s="205">
        <v>0.12176166</v>
      </c>
      <c r="AU52" s="205">
        <v>-0.7322971</v>
      </c>
      <c r="AV52" s="205">
        <v>-0.9058722</v>
      </c>
      <c r="AW52" s="205">
        <v>0.01468048</v>
      </c>
      <c r="AX52" s="205">
        <v>0.14766839</v>
      </c>
      <c r="AY52" s="205">
        <v>-1.4978411</v>
      </c>
      <c r="AZ52" s="205">
        <v>-0.4611399</v>
      </c>
      <c r="BA52" s="205">
        <v>-0.6614853</v>
      </c>
      <c r="BB52" s="205">
        <v>0.52072539</v>
      </c>
      <c r="BC52" s="205">
        <v>-0.2858377</v>
      </c>
      <c r="BD52" s="205">
        <v>0.88773748</v>
      </c>
      <c r="BE52" s="205">
        <v>-0.8618307</v>
      </c>
      <c r="BF52" s="205">
        <v>0.92314335</v>
      </c>
      <c r="BG52" s="205">
        <v>0.07772021</v>
      </c>
      <c r="BH52" s="205">
        <v>1.64594128</v>
      </c>
      <c r="BI52" s="205">
        <v>0.72366149</v>
      </c>
      <c r="BJ52" s="205">
        <v>-0.3151986</v>
      </c>
      <c r="BK52" s="205">
        <v>0.05872193</v>
      </c>
      <c r="BL52" s="205">
        <v>0.25647668</v>
      </c>
      <c r="BM52" s="205">
        <v>0.13298791</v>
      </c>
      <c r="BN52" s="205">
        <v>0.63989637</v>
      </c>
      <c r="BO52" s="205">
        <v>0.11830743</v>
      </c>
      <c r="BP52" s="205">
        <v>0.15803109</v>
      </c>
      <c r="BQ52" s="205">
        <v>-1.1850604</v>
      </c>
      <c r="BR52" s="206"/>
      <c r="BS52" s="207">
        <f t="shared" si="6"/>
        <v>-0.0398854054</v>
      </c>
      <c r="BT52" s="207">
        <f t="shared" si="7"/>
        <v>0.6341528518</v>
      </c>
      <c r="BU52" s="206"/>
      <c r="BV52" s="207">
        <f>IFERROR(__xludf.DUMMYFUNCTION("AVERAGE(ARRAYFORMULA(XLOOKUP(FILTER(INDIRECT(""'""&amp;BV$1&amp;""'!$C$4:$C$66""),INDIRECT(""'""&amp;BV$1&amp;""'!$D$4:$D$66"")=BV$2),$G$4:$BQ$4,$G52:$BQ52)))"),-0.22210706857142856)</f>
        <v>-0.2221070686</v>
      </c>
      <c r="BW52" s="207" t="str">
        <f>IFERROR(__xludf.DUMMYFUNCTION("IF(OR(BV52&gt;$BS52+$BT52*$BT$2,BV52&lt;$BS52-$BT52*$BT$2),AVEDEV(ARRAYFORMULA(XLOOKUP(FILTER(INDIRECT(""'""&amp;BV$1&amp;""'!$C$4:$C$66""),INDIRECT(""'""&amp;BV$1&amp;""'!$D$4:$D$66"")=BV$2),$G$4:$BQ$4,$G52:$BQ52))),"""")"),"")</f>
        <v/>
      </c>
      <c r="BX52" s="208" t="str">
        <f t="shared" si="8"/>
        <v/>
      </c>
      <c r="BY52" s="207">
        <f>IFERROR(__xludf.DUMMYFUNCTION("AVERAGE(ARRAYFORMULA(XLOOKUP(FILTER(INDIRECT(""'""&amp;BY$1&amp;""'!$C$4:$C$66""),INDIRECT(""'""&amp;BY$1&amp;""'!$D$4:$D$66"")=BY$2),$G$4:$BQ$4,$G52:$BQ52)))"),0.03833785333333334)</f>
        <v>0.03833785333</v>
      </c>
      <c r="BZ52" s="207" t="str">
        <f>IFERROR(__xludf.DUMMYFUNCTION("IF(OR(BY52&gt;$BS52+$BT52*$BT$2,BY52&lt;$BS52-$BT52*$BT$2),AVEDEV(ARRAYFORMULA(XLOOKUP(FILTER(INDIRECT(""'""&amp;BY$1&amp;""'!$C$4:$C$66""),INDIRECT(""'""&amp;BY$1&amp;""'!$D$4:$D$66"")=BY$2),$G$4:$BQ$4,$G52:$BQ52))),"""")"),"")</f>
        <v/>
      </c>
      <c r="CA52" s="208" t="str">
        <f t="shared" si="9"/>
        <v/>
      </c>
      <c r="CB52" s="207">
        <f>IFERROR(__xludf.DUMMYFUNCTION("AVERAGE(ARRAYFORMULA(XLOOKUP(FILTER(INDIRECT(""'""&amp;CB$1&amp;""'!$C$4:$C$66""),INDIRECT(""'""&amp;CB$1&amp;""'!$D$4:$D$66"")=CB$2),$G$4:$BQ$4,$G52:$BQ52)))"),-0.2569476972727273)</f>
        <v>-0.2569476973</v>
      </c>
      <c r="CC52" s="207" t="str">
        <f>IFERROR(__xludf.DUMMYFUNCTION("IF(OR(CB52&gt;$BS52+$BT52*$BT$2,CB52&lt;$BS52-$BT52*$BT$2),AVEDEV(ARRAYFORMULA(XLOOKUP(FILTER(INDIRECT(""'""&amp;CB$1&amp;""'!$C$4:$C$66""),INDIRECT(""'""&amp;CB$1&amp;""'!$D$4:$D$66"")=CB$2),$G$4:$BQ$4,$G52:$BQ52))),"""")"),"")</f>
        <v/>
      </c>
      <c r="CD52" s="208" t="str">
        <f t="shared" si="10"/>
        <v/>
      </c>
      <c r="CE52" s="209" t="s">
        <v>444</v>
      </c>
      <c r="CF52" s="207">
        <f>IFERROR(__xludf.DUMMYFUNCTION("AVERAGE(ARRAYFORMULA(XLOOKUP(FILTER(INDIRECT(""'""&amp;CF$1&amp;""'!$C$4:$C$66""),INDIRECT(""'""&amp;CF$1&amp;""'!$D$4:$D$66"")=CF$2),$G$4:$BQ$4,$G52:$BQ52)))"),0.38665802375)</f>
        <v>0.3866580238</v>
      </c>
      <c r="CG52" s="207" t="str">
        <f>IFERROR(__xludf.DUMMYFUNCTION("IF(OR(CF52&gt;$BS52+$BT52*$BT$2,CF52&lt;$BS52-$BT52*$BT$2),AVEDEV(ARRAYFORMULA(XLOOKUP(FILTER(INDIRECT(""'""&amp;CF$1&amp;""'!$C$4:$C$66""),INDIRECT(""'""&amp;CF$1&amp;""'!$D$4:$D$66"")=CF$2),$G$4:$BQ$4,$G52:$BQ52))),"""")"),"")</f>
        <v/>
      </c>
      <c r="CH52" s="208" t="str">
        <f t="shared" si="11"/>
        <v/>
      </c>
      <c r="CI52" s="207">
        <f>IFERROR(__xludf.DUMMYFUNCTION("AVERAGE(ARRAYFORMULA(XLOOKUP(FILTER(INDIRECT(""'""&amp;CI$1&amp;""'!$C$4:$C$66""),INDIRECT(""'""&amp;CI$1&amp;""'!$D$4:$D$66"")=CI$2),$G$4:$BQ$4,$G52:$BQ52)))"),-0.24416122903225815)</f>
        <v>-0.244161229</v>
      </c>
      <c r="CJ52" s="207" t="str">
        <f>IFERROR(__xludf.DUMMYFUNCTION("IF(OR(CI52&gt;$BS52+$BT52*$BT$2,CI52&lt;$BS52-$BT52*$BT$2),AVEDEV(ARRAYFORMULA(XLOOKUP(FILTER(INDIRECT(""'""&amp;CI$1&amp;""'!$C$4:$C$66""),INDIRECT(""'""&amp;CI$1&amp;""'!$D$4:$D$66"")=CI$2),$G$4:$BQ$4,$G52:$BQ52))),"""")"),"")</f>
        <v/>
      </c>
      <c r="CK52" s="208" t="str">
        <f t="shared" si="12"/>
        <v/>
      </c>
      <c r="CL52" s="207">
        <f>IFERROR(__xludf.DUMMYFUNCTION("AVERAGE(ARRAYFORMULA(XLOOKUP(FILTER(INDIRECT(""'""&amp;CL$1&amp;""'!$C$4:$C$66""),INDIRECT(""'""&amp;CL$1&amp;""'!$D$4:$D$66"")=CL$2),$G$4:$BQ$4,$G52:$BQ52)))"),-0.14991363200000002)</f>
        <v>-0.149913632</v>
      </c>
      <c r="CM52" s="207" t="str">
        <f>IFERROR(__xludf.DUMMYFUNCTION("IF(OR(CL52&gt;$BS52+$BT52*$BT$2,CL52&lt;$BS52-$BT52*$BT$2),AVEDEV(ARRAYFORMULA(XLOOKUP(FILTER(INDIRECT(""'""&amp;CL$1&amp;""'!$C$4:$C$66""),INDIRECT(""'""&amp;CL$1&amp;""'!$D$4:$D$66"")=CL$2),$G$4:$BQ$4,$G52:$BQ52))),"""")"),"")</f>
        <v/>
      </c>
      <c r="CN52" s="208" t="str">
        <f t="shared" si="13"/>
        <v/>
      </c>
      <c r="CO52" s="209" t="s">
        <v>444</v>
      </c>
      <c r="CP52" s="210">
        <f>IFERROR(__xludf.DUMMYFUNCTION("AVERAGE(ARRAYFORMULA(XLOOKUP(FILTER(INDIRECT(""'""&amp;CP$1&amp;""'!$C$4:$C$66""),INDIRECT(""'""&amp;CP$1&amp;""'!$D$4:$D$66"")=CP$2),$G$4:$BQ$4,$G52:$BQ52)))"),-0.12555554533333332)</f>
        <v>-0.1255555453</v>
      </c>
      <c r="CQ52" s="207" t="str">
        <f>IFERROR(__xludf.DUMMYFUNCTION("IF(OR(CP52&gt;$BS52+$BT52*$BT$2,CP52&lt;$BS52-$BT52*$BT$2),AVEDEV(ARRAYFORMULA(XLOOKUP(FILTER(INDIRECT(""'""&amp;CP$1&amp;""'!$C$4:$C$66""),INDIRECT(""'""&amp;CP$1&amp;""'!$D$4:$D$66"")=CP$2),$G$4:$BQ$4,$G52:$BQ52))),"""")"),"")</f>
        <v/>
      </c>
      <c r="CR52" s="208" t="str">
        <f t="shared" si="14"/>
        <v/>
      </c>
      <c r="CS52" s="210">
        <f>IFERROR(__xludf.DUMMYFUNCTION("AVERAGE(ARRAYFORMULA(XLOOKUP(FILTER(INDIRECT(""'""&amp;CS$1&amp;""'!$C$4:$C$66""),INDIRECT(""'""&amp;CS$1&amp;""'!$D$4:$D$66"")=CS$2),$G$4:$BQ$4,$G52:$BQ52)))"),-0.010116914102564113)</f>
        <v>-0.0101169141</v>
      </c>
      <c r="CT52" s="207" t="str">
        <f>IFERROR(__xludf.DUMMYFUNCTION("IF(OR(CS52&gt;$BS52+$BT52*$BT$2,CS52&lt;$BS52-$BT52*$BT$2),AVEDEV(ARRAYFORMULA(XLOOKUP(FILTER(INDIRECT(""'""&amp;CS$1&amp;""'!$C$4:$C$66""),INDIRECT(""'""&amp;CS$1&amp;""'!$D$4:$D$66"")=CS$2),$G$4:$BQ$4,$G52:$BQ52))),"""")"),"")</f>
        <v/>
      </c>
      <c r="CU52" s="208" t="str">
        <f t="shared" si="15"/>
        <v/>
      </c>
      <c r="CV52" s="210">
        <f>IFERROR(__xludf.DUMMYFUNCTION("AVERAGE(ARRAYFORMULA(XLOOKUP(FILTER(INDIRECT(""'""&amp;CV$1&amp;""'!$C$4:$C$66""),INDIRECT(""'""&amp;CV$1&amp;""'!$D$4:$D$66"")=CV$2),$G$4:$BQ$4,$G52:$BQ52)))"),-0.14991363200000002)</f>
        <v>-0.149913632</v>
      </c>
      <c r="CW52" s="207" t="str">
        <f>IFERROR(__xludf.DUMMYFUNCTION("IF(OR(CV52&gt;$BS52+$BT52*$BT$2,CV52&lt;$BS52-$BT52*$BT$2),AVEDEV(ARRAYFORMULA(XLOOKUP(FILTER(INDIRECT(""'""&amp;CV$1&amp;""'!$C$4:$C$66""),INDIRECT(""'""&amp;CV$1&amp;""'!$D$4:$D$66"")=CV$2),$G$4:$BQ$4,$G52:$BQ52))),"""")"),"")</f>
        <v/>
      </c>
      <c r="CX52" s="208" t="str">
        <f t="shared" si="16"/>
        <v/>
      </c>
      <c r="CY52" s="209" t="s">
        <v>444</v>
      </c>
      <c r="CZ52" s="210">
        <f>IFERROR(__xludf.DUMMYFUNCTION("AVERAGE(ARRAYFORMULA(XLOOKUP(FILTER(INDIRECT(""'""&amp;CZ$1&amp;""'!$C$4:$C$66""),INDIRECT(""'""&amp;CZ$1&amp;""'!$D$4:$D$66"")=CZ$2),$G$4:$BQ$4,$G52:$BQ52)))"),0.07599307928571429)</f>
        <v>0.07599307929</v>
      </c>
      <c r="DA52" s="207" t="str">
        <f>IFERROR(__xludf.DUMMYFUNCTION("IF(OR(CZ52&gt;$BS52+$BT52*$BT$2,CZ52&lt;$BS52-$BT52*$BT$2),AVEDEV(ARRAYFORMULA(XLOOKUP(FILTER(INDIRECT(""'""&amp;CZ$1&amp;""'!$C$4:$C$66""),INDIRECT(""'""&amp;CZ$1&amp;""'!$D$4:$D$66"")=CZ$2),$G$4:$BQ$4,$G52:$BQ52))),"""")"),"")</f>
        <v/>
      </c>
      <c r="DB52" s="208" t="str">
        <f t="shared" si="17"/>
        <v/>
      </c>
      <c r="DC52" s="210">
        <f>IFERROR(__xludf.DUMMYFUNCTION("AVERAGE(ARRAYFORMULA(XLOOKUP(FILTER(INDIRECT(""'""&amp;DC$1&amp;""'!$C$4:$C$66""),INDIRECT(""'""&amp;DC$1&amp;""'!$D$4:$D$66"")=DC$2),$G$4:$BQ$4,$G52:$BQ52)))"),-0.27758585333333335)</f>
        <v>-0.2775858533</v>
      </c>
      <c r="DD52" s="207" t="str">
        <f>IFERROR(__xludf.DUMMYFUNCTION("IF(OR(DC52&gt;$BS52+$BT52*$BT$2,DC52&lt;$BS52-$BT52*$BT$2),AVEDEV(ARRAYFORMULA(XLOOKUP(FILTER(INDIRECT(""'""&amp;DC$1&amp;""'!$C$4:$C$66""),INDIRECT(""'""&amp;DC$1&amp;""'!$D$4:$D$66"")=DC$2),$G$4:$BQ$4,$G52:$BQ52))),"""")"),"")</f>
        <v/>
      </c>
      <c r="DE52" s="208" t="str">
        <f t="shared" si="18"/>
        <v/>
      </c>
      <c r="DF52" s="210">
        <f>IFERROR(__xludf.DUMMYFUNCTION("AVERAGE(ARRAYFORMULA(XLOOKUP(FILTER(INDIRECT(""'""&amp;DF$1&amp;""'!$C$4:$C$66""),INDIRECT(""'""&amp;DF$1&amp;""'!$D$4:$D$66"")=DF$2),$G$4:$BQ$4,$G52:$BQ52)))"),-0.2033286227272728)</f>
        <v>-0.2033286227</v>
      </c>
      <c r="DG52" s="207" t="str">
        <f>IFERROR(__xludf.DUMMYFUNCTION("IF(OR(DF52&gt;$BS52+$BT52*$BT$2,DF52&lt;$BS52-$BT52*$BT$2),AVEDEV(ARRAYFORMULA(XLOOKUP(FILTER(INDIRECT(""'""&amp;DF$1&amp;""'!$C$4:$C$66""),INDIRECT(""'""&amp;DF$1&amp;""'!$D$4:$D$66"")=DF$2),$G$4:$BQ$4,$G52:$BQ52))),"""")"),"")</f>
        <v/>
      </c>
      <c r="DH52" s="208" t="str">
        <f t="shared" si="19"/>
        <v/>
      </c>
      <c r="DI52" s="210">
        <f>IFERROR(__xludf.DUMMYFUNCTION("AVERAGE(ARRAYFORMULA(XLOOKUP(FILTER(INDIRECT(""'""&amp;DI$1&amp;""'!$C$4:$C$66""),INDIRECT(""'""&amp;DI$1&amp;""'!$D$4:$D$66"")=DI$2),$G$4:$BQ$4,$G52:$BQ52)))"),1.52374784)</f>
        <v>1.52374784</v>
      </c>
      <c r="DJ52" s="207">
        <f>IFERROR(__xludf.DUMMYFUNCTION("IF(OR(DI52&gt;$BS52+$BT52*$BT$2,DI52&lt;$BS52-$BT52*$BT$2),AVEDEV(ARRAYFORMULA(XLOOKUP(FILTER(INDIRECT(""'""&amp;DI$1&amp;""'!$C$4:$C$66""),INDIRECT(""'""&amp;DI$1&amp;""'!$D$4:$D$66"")=DI$2),$G$4:$BQ$4,$G52:$BQ52))),"""")"),0.12219343999999999)</f>
        <v>0.12219344</v>
      </c>
      <c r="DK52" s="208">
        <f t="shared" si="20"/>
        <v>0.9294803936</v>
      </c>
      <c r="DL52" s="210">
        <f>IFERROR(__xludf.DUMMYFUNCTION("AVERAGE(ARRAYFORMULA(XLOOKUP(FILTER(INDIRECT(""'""&amp;DL$1&amp;""'!$C$4:$C$66""),INDIRECT(""'""&amp;DL$1&amp;""'!$D$4:$D$66"")=DL$2),$G$4:$BQ$4,$G52:$BQ52)))"),-0.276116455)</f>
        <v>-0.276116455</v>
      </c>
      <c r="DM52" s="207" t="str">
        <f>IFERROR(__xludf.DUMMYFUNCTION("IF(OR(DL52&gt;$BS52+$BT52*$BT$2,DL52&lt;$BS52-$BT52*$BT$2),AVEDEV(ARRAYFORMULA(XLOOKUP(FILTER(INDIRECT(""'""&amp;DL$1&amp;""'!$C$4:$C$66""),INDIRECT(""'""&amp;DL$1&amp;""'!$D$4:$D$66"")=DL$2),$G$4:$BQ$4,$G52:$BQ52))),"""")"),"")</f>
        <v/>
      </c>
      <c r="DN52" s="208" t="str">
        <f t="shared" si="21"/>
        <v/>
      </c>
      <c r="DO52" s="209" t="s">
        <v>444</v>
      </c>
      <c r="DP52" s="210">
        <f>IFERROR(__xludf.DUMMYFUNCTION("AVERAGE(ARRAYFORMULA(XLOOKUP(FILTER(INDIRECT(""'""&amp;DP$1&amp;""'!$C$4:$C$66""),INDIRECT(""'""&amp;DP$1&amp;""'!$D$4:$D$66"")=DP$2),$G$4:$BQ$4,$G52:$BQ52)))"),0.019248702333333357)</f>
        <v>0.01924870233</v>
      </c>
      <c r="DQ52" s="207" t="str">
        <f>IFERROR(__xludf.DUMMYFUNCTION("IF(OR(DP52&gt;$BS52+$BT52*$BT$2,DP52&lt;$BS52-$BT52*$BT$2),AVEDEV(ARRAYFORMULA(XLOOKUP(FILTER(INDIRECT(""'""&amp;DP$1&amp;""'!$C$4:$C$66""),INDIRECT(""'""&amp;DP$1&amp;""'!$D$4:$D$66"")=DP$2),$G$4:$BQ$4,$G52:$BQ52))),"""")"),"")</f>
        <v/>
      </c>
      <c r="DR52" s="208" t="str">
        <f t="shared" si="22"/>
        <v/>
      </c>
      <c r="DS52" s="210">
        <f>IFERROR(__xludf.DUMMYFUNCTION("AVERAGE(ARRAYFORMULA(XLOOKUP(FILTER(INDIRECT(""'""&amp;DS$1&amp;""'!$C$4:$C$66""),INDIRECT(""'""&amp;DS$1&amp;""'!$D$4:$D$66"")=DS$2),$G$4:$BQ$4,$G52:$BQ52)))"),-0.3690270411111112)</f>
        <v>-0.3690270411</v>
      </c>
      <c r="DT52" s="207" t="str">
        <f>IFERROR(__xludf.DUMMYFUNCTION("IF(OR(DS52&gt;$BS52+$BT52*$BT$2,DS52&lt;$BS52-$BT52*$BT$2),AVEDEV(ARRAYFORMULA(XLOOKUP(FILTER(INDIRECT(""'""&amp;DS$1&amp;""'!$C$4:$C$66""),INDIRECT(""'""&amp;DS$1&amp;""'!$D$4:$D$66"")=DS$2),$G$4:$BQ$4,$G52:$BQ52))),"""")"),"")</f>
        <v/>
      </c>
      <c r="DU52" s="208" t="str">
        <f t="shared" si="23"/>
        <v/>
      </c>
      <c r="DV52" s="210">
        <f>IFERROR(__xludf.DUMMYFUNCTION("AVERAGE(ARRAYFORMULA(XLOOKUP(FILTER(INDIRECT(""'""&amp;DV$1&amp;""'!$C$4:$C$66""),INDIRECT(""'""&amp;DV$1&amp;""'!$D$4:$D$66"")=DV$2),$G$4:$BQ$4,$G52:$BQ52)))"),-0.56634283375)</f>
        <v>-0.5663428338</v>
      </c>
      <c r="DW52" s="207" t="str">
        <f>IFERROR(__xludf.DUMMYFUNCTION("IF(OR(DV52&gt;$BS52+$BT52*$BT$2,DV52&lt;$BS52-$BT52*$BT$2),AVEDEV(ARRAYFORMULA(XLOOKUP(FILTER(INDIRECT(""'""&amp;DV$1&amp;""'!$C$4:$C$66""),INDIRECT(""'""&amp;DV$1&amp;""'!$D$4:$D$66"")=DV$2),$G$4:$BQ$4,$G52:$BQ52))),"""")"),"")</f>
        <v/>
      </c>
      <c r="DX52" s="208" t="str">
        <f t="shared" si="24"/>
        <v/>
      </c>
      <c r="DY52" s="210">
        <f>IFERROR(__xludf.DUMMYFUNCTION("AVERAGE(ARRAYFORMULA(XLOOKUP(FILTER(INDIRECT(""'""&amp;DY$1&amp;""'!$C$4:$C$66""),INDIRECT(""'""&amp;DY$1&amp;""'!$D$4:$D$66"")=DY$2),$G$4:$BQ$4,$G52:$BQ52)))"),0.6729994288888889)</f>
        <v>0.6729994289</v>
      </c>
      <c r="DZ52" s="207">
        <f>IFERROR(__xludf.DUMMYFUNCTION("IF(OR(DY52&gt;$BS52+$BT52*$BT$2,DY52&lt;$BS52-$BT52*$BT$2),AVEDEV(ARRAYFORMULA(XLOOKUP(FILTER(INDIRECT(""'""&amp;DY$1&amp;""'!$C$4:$C$66""),INDIRECT(""'""&amp;DY$1&amp;""'!$D$4:$D$66"")=DY$2),$G$4:$BQ$4,$G52:$BQ52))),"""")"),0.6850892318518519)</f>
        <v>0.6850892319</v>
      </c>
      <c r="EA52" s="208">
        <f t="shared" si="25"/>
        <v>0.07873198245</v>
      </c>
      <c r="EB52" s="191"/>
    </row>
    <row r="53" outlineLevel="1">
      <c r="A53" s="2"/>
      <c r="B53" s="204">
        <v>49.0</v>
      </c>
      <c r="C53" s="204" t="s">
        <v>482</v>
      </c>
      <c r="D53" s="204" t="s">
        <v>493</v>
      </c>
      <c r="E53" s="205" t="b">
        <f>VLOOKUP(D53,'Feature Set List'!A49:C246,2,0)</f>
        <v>1</v>
      </c>
      <c r="F53" s="205" t="b">
        <f>VLOOKUP(D53,'Feature Set List'!A49:C246,3,0)</f>
        <v>1</v>
      </c>
      <c r="G53" s="205">
        <v>0.26633137</v>
      </c>
      <c r="H53" s="205">
        <v>0.01485969</v>
      </c>
      <c r="I53" s="205">
        <v>0.19317597</v>
      </c>
      <c r="J53" s="205">
        <v>0.46750872</v>
      </c>
      <c r="K53" s="205">
        <v>-0.6804595</v>
      </c>
      <c r="L53" s="205">
        <v>0.22975367</v>
      </c>
      <c r="M53" s="205">
        <v>0.52351832</v>
      </c>
      <c r="N53" s="205">
        <v>-0.0777276</v>
      </c>
      <c r="O53" s="205">
        <v>-0.0560096</v>
      </c>
      <c r="P53" s="205">
        <v>-0.1840315</v>
      </c>
      <c r="Q53" s="205">
        <v>0.09030119</v>
      </c>
      <c r="R53" s="205">
        <v>-0.1303081</v>
      </c>
      <c r="S53" s="205">
        <v>-0.2766188</v>
      </c>
      <c r="T53" s="205">
        <v>0.14973996</v>
      </c>
      <c r="U53" s="205">
        <v>-0.7720181</v>
      </c>
      <c r="V53" s="205">
        <v>-0.0045722</v>
      </c>
      <c r="W53" s="205">
        <v>0.07086929</v>
      </c>
      <c r="X53" s="205">
        <v>-0.7204664</v>
      </c>
      <c r="Y53" s="205">
        <v>1.80259473</v>
      </c>
      <c r="Z53" s="205">
        <v>-0.761502</v>
      </c>
      <c r="AA53" s="205">
        <v>0.51551695</v>
      </c>
      <c r="AB53" s="205">
        <v>-0.779105</v>
      </c>
      <c r="AC53" s="205">
        <v>-0.2731897</v>
      </c>
      <c r="AD53" s="205">
        <v>-0.7900783</v>
      </c>
      <c r="AE53" s="205">
        <v>-0.7025204</v>
      </c>
      <c r="AF53" s="205">
        <v>0.18174544</v>
      </c>
      <c r="AG53" s="205">
        <v>1.67457278</v>
      </c>
      <c r="AH53" s="205">
        <v>-0.6949763</v>
      </c>
      <c r="AI53" s="205">
        <v>0.41149911</v>
      </c>
      <c r="AJ53" s="205">
        <v>0.70526376</v>
      </c>
      <c r="AK53" s="205">
        <v>0.42750186</v>
      </c>
      <c r="AL53" s="205">
        <v>0.93273133</v>
      </c>
      <c r="AM53" s="205">
        <v>0.0</v>
      </c>
      <c r="AN53" s="205">
        <v>0.17717323</v>
      </c>
      <c r="AO53" s="205">
        <v>1.13390867</v>
      </c>
      <c r="AP53" s="205">
        <v>1.01274504</v>
      </c>
      <c r="AQ53" s="205">
        <v>-0.1806024</v>
      </c>
      <c r="AR53" s="205">
        <v>-0.0342916</v>
      </c>
      <c r="AS53" s="205">
        <v>0.06401097</v>
      </c>
      <c r="AT53" s="205">
        <v>-0.2514717</v>
      </c>
      <c r="AU53" s="205">
        <v>-0.5276333</v>
      </c>
      <c r="AV53" s="205">
        <v>-1.1368806</v>
      </c>
      <c r="AW53" s="205">
        <v>1.09961708</v>
      </c>
      <c r="AX53" s="205">
        <v>-0.0480082</v>
      </c>
      <c r="AY53" s="205">
        <v>-1.2479854</v>
      </c>
      <c r="AZ53" s="205">
        <v>-0.856604</v>
      </c>
      <c r="BA53" s="205">
        <v>0.53837801</v>
      </c>
      <c r="BB53" s="205">
        <v>-0.0068583</v>
      </c>
      <c r="BC53" s="205">
        <v>-0.6459393</v>
      </c>
      <c r="BD53" s="205">
        <v>0.15202606</v>
      </c>
      <c r="BE53" s="205">
        <v>-1.1029319</v>
      </c>
      <c r="BF53" s="205">
        <v>0.20346345</v>
      </c>
      <c r="BG53" s="205">
        <v>0.8504315</v>
      </c>
      <c r="BH53" s="205">
        <v>-0.7800194</v>
      </c>
      <c r="BI53" s="205">
        <v>-0.7736183</v>
      </c>
      <c r="BJ53" s="205">
        <v>-0.5052295</v>
      </c>
      <c r="BK53" s="205">
        <v>0.41492827</v>
      </c>
      <c r="BL53" s="205">
        <v>-1.1567697</v>
      </c>
      <c r="BM53" s="205">
        <v>0.10058867</v>
      </c>
      <c r="BN53" s="205">
        <v>-0.1234497</v>
      </c>
      <c r="BO53" s="205">
        <v>2.63588044</v>
      </c>
      <c r="BP53" s="205">
        <v>0.32577013</v>
      </c>
      <c r="BQ53" s="205">
        <v>0.77384695</v>
      </c>
      <c r="BR53" s="206"/>
      <c r="BS53" s="207">
        <f t="shared" si="6"/>
        <v>0.02949802873</v>
      </c>
      <c r="BT53" s="207">
        <f t="shared" si="7"/>
        <v>0.5473159384</v>
      </c>
      <c r="BU53" s="206"/>
      <c r="BV53" s="207">
        <f>IFERROR(__xludf.DUMMYFUNCTION("AVERAGE(ARRAYFORMULA(XLOOKUP(FILTER(INDIRECT(""'""&amp;BV$1&amp;""'!$C$4:$C$66""),INDIRECT(""'""&amp;BV$1&amp;""'!$D$4:$D$66"")=BV$2),$G$4:$BQ$4,$G53:$BQ53)))"),-0.5533030185714286)</f>
        <v>-0.5533030186</v>
      </c>
      <c r="BW53" s="207">
        <f>IFERROR(__xludf.DUMMYFUNCTION("IF(OR(BV53&gt;$BS53+$BT53*$BT$2,BV53&lt;$BS53-$BT53*$BT$2),AVEDEV(ARRAYFORMULA(XLOOKUP(FILTER(INDIRECT(""'""&amp;BV$1&amp;""'!$C$4:$C$66""),INDIRECT(""'""&amp;BV$1&amp;""'!$D$4:$D$66"")=BV$2),$G$4:$BQ$4,$G53:$BQ53))),"""")"),0.6381875448979591)</f>
        <v>0.6381875449</v>
      </c>
      <c r="BX53" s="208">
        <f t="shared" si="8"/>
        <v>-0.03548510895</v>
      </c>
      <c r="BY53" s="207">
        <f>IFERROR(__xludf.DUMMYFUNCTION("AVERAGE(ARRAYFORMULA(XLOOKUP(FILTER(INDIRECT(""'""&amp;BY$1&amp;""'!$C$4:$C$66""),INDIRECT(""'""&amp;BY$1&amp;""'!$D$4:$D$66"")=BY$2),$G$4:$BQ$4,$G53:$BQ53)))"),0.07359629166666667)</f>
        <v>0.07359629167</v>
      </c>
      <c r="BZ53" s="207" t="str">
        <f>IFERROR(__xludf.DUMMYFUNCTION("IF(OR(BY53&gt;$BS53+$BT53*$BT$2,BY53&lt;$BS53-$BT53*$BT$2),AVEDEV(ARRAYFORMULA(XLOOKUP(FILTER(INDIRECT(""'""&amp;BY$1&amp;""'!$C$4:$C$66""),INDIRECT(""'""&amp;BY$1&amp;""'!$D$4:$D$66"")=BY$2),$G$4:$BQ$4,$G53:$BQ53))),"""")"),"")</f>
        <v/>
      </c>
      <c r="CA53" s="208" t="str">
        <f t="shared" si="9"/>
        <v/>
      </c>
      <c r="CB53" s="207">
        <f>IFERROR(__xludf.DUMMYFUNCTION("AVERAGE(ARRAYFORMULA(XLOOKUP(FILTER(INDIRECT(""'""&amp;CB$1&amp;""'!$C$4:$C$66""),INDIRECT(""'""&amp;CB$1&amp;""'!$D$4:$D$66"")=CB$2),$G$4:$BQ$4,$G53:$BQ53)))"),0.2566258145454545)</f>
        <v>0.2566258145</v>
      </c>
      <c r="CC53" s="207" t="str">
        <f>IFERROR(__xludf.DUMMYFUNCTION("IF(OR(CB53&gt;$BS53+$BT53*$BT$2,CB53&lt;$BS53-$BT53*$BT$2),AVEDEV(ARRAYFORMULA(XLOOKUP(FILTER(INDIRECT(""'""&amp;CB$1&amp;""'!$C$4:$C$66""),INDIRECT(""'""&amp;CB$1&amp;""'!$D$4:$D$66"")=CB$2),$G$4:$BQ$4,$G53:$BQ53))),"""")"),"")</f>
        <v/>
      </c>
      <c r="CD53" s="208" t="str">
        <f t="shared" si="10"/>
        <v/>
      </c>
      <c r="CE53" s="209" t="s">
        <v>444</v>
      </c>
      <c r="CF53" s="207">
        <f>IFERROR(__xludf.DUMMYFUNCTION("AVERAGE(ARRAYFORMULA(XLOOKUP(FILTER(INDIRECT(""'""&amp;CF$1&amp;""'!$C$4:$C$66""),INDIRECT(""'""&amp;CF$1&amp;""'!$D$4:$D$66"")=CF$2),$G$4:$BQ$4,$G53:$BQ53)))"),0.16472109562500004)</f>
        <v>0.1647210956</v>
      </c>
      <c r="CG53" s="207" t="str">
        <f>IFERROR(__xludf.DUMMYFUNCTION("IF(OR(CF53&gt;$BS53+$BT53*$BT$2,CF53&lt;$BS53-$BT53*$BT$2),AVEDEV(ARRAYFORMULA(XLOOKUP(FILTER(INDIRECT(""'""&amp;CF$1&amp;""'!$C$4:$C$66""),INDIRECT(""'""&amp;CF$1&amp;""'!$D$4:$D$66"")=CF$2),$G$4:$BQ$4,$G53:$BQ53))),"""")"),"")</f>
        <v/>
      </c>
      <c r="CH53" s="208" t="str">
        <f t="shared" si="11"/>
        <v/>
      </c>
      <c r="CI53" s="207">
        <f>IFERROR(__xludf.DUMMYFUNCTION("AVERAGE(ARRAYFORMULA(XLOOKUP(FILTER(INDIRECT(""'""&amp;CI$1&amp;""'!$C$4:$C$66""),INDIRECT(""'""&amp;CI$1&amp;""'!$D$4:$D$66"")=CI$2),$G$4:$BQ$4,$G53:$BQ53)))"),-0.1351752464516129)</f>
        <v>-0.1351752465</v>
      </c>
      <c r="CJ53" s="207" t="str">
        <f>IFERROR(__xludf.DUMMYFUNCTION("IF(OR(CI53&gt;$BS53+$BT53*$BT$2,CI53&lt;$BS53-$BT53*$BT$2),AVEDEV(ARRAYFORMULA(XLOOKUP(FILTER(INDIRECT(""'""&amp;CI$1&amp;""'!$C$4:$C$66""),INDIRECT(""'""&amp;CI$1&amp;""'!$D$4:$D$66"")=CI$2),$G$4:$BQ$4,$G53:$BQ53))),"""")"),"")</f>
        <v/>
      </c>
      <c r="CK53" s="208" t="str">
        <f t="shared" si="12"/>
        <v/>
      </c>
      <c r="CL53" s="207">
        <f>IFERROR(__xludf.DUMMYFUNCTION("AVERAGE(ARRAYFORMULA(XLOOKUP(FILTER(INDIRECT(""'""&amp;CL$1&amp;""'!$C$4:$C$66""),INDIRECT(""'""&amp;CL$1&amp;""'!$D$4:$D$66"")=CL$2),$G$4:$BQ$4,$G53:$BQ53)))"),0.28370578799999996)</f>
        <v>0.283705788</v>
      </c>
      <c r="CM53" s="207" t="str">
        <f>IFERROR(__xludf.DUMMYFUNCTION("IF(OR(CL53&gt;$BS53+$BT53*$BT$2,CL53&lt;$BS53-$BT53*$BT$2),AVEDEV(ARRAYFORMULA(XLOOKUP(FILTER(INDIRECT(""'""&amp;CL$1&amp;""'!$C$4:$C$66""),INDIRECT(""'""&amp;CL$1&amp;""'!$D$4:$D$66"")=CL$2),$G$4:$BQ$4,$G53:$BQ53))),"""")"),"")</f>
        <v/>
      </c>
      <c r="CN53" s="208" t="str">
        <f t="shared" si="13"/>
        <v/>
      </c>
      <c r="CO53" s="209" t="s">
        <v>444</v>
      </c>
      <c r="CP53" s="210">
        <f>IFERROR(__xludf.DUMMYFUNCTION("AVERAGE(ARRAYFORMULA(XLOOKUP(FILTER(INDIRECT(""'""&amp;CP$1&amp;""'!$C$4:$C$66""),INDIRECT(""'""&amp;CP$1&amp;""'!$D$4:$D$66"")=CP$2),$G$4:$BQ$4,$G53:$BQ53)))"),-0.004023549333333332)</f>
        <v>-0.004023549333</v>
      </c>
      <c r="CQ53" s="207" t="str">
        <f>IFERROR(__xludf.DUMMYFUNCTION("IF(OR(CP53&gt;$BS53+$BT53*$BT$2,CP53&lt;$BS53-$BT53*$BT$2),AVEDEV(ARRAYFORMULA(XLOOKUP(FILTER(INDIRECT(""'""&amp;CP$1&amp;""'!$C$4:$C$66""),INDIRECT(""'""&amp;CP$1&amp;""'!$D$4:$D$66"")=CP$2),$G$4:$BQ$4,$G53:$BQ53))),"""")"),"")</f>
        <v/>
      </c>
      <c r="CR53" s="208" t="str">
        <f t="shared" si="14"/>
        <v/>
      </c>
      <c r="CS53" s="210">
        <f>IFERROR(__xludf.DUMMYFUNCTION("AVERAGE(ARRAYFORMULA(XLOOKUP(FILTER(INDIRECT(""'""&amp;CS$1&amp;""'!$C$4:$C$66""),INDIRECT(""'""&amp;CS$1&amp;""'!$D$4:$D$66"")=CS$2),$G$4:$BQ$4,$G53:$BQ53)))"),0.04716413025641023)</f>
        <v>0.04716413026</v>
      </c>
      <c r="CT53" s="207" t="str">
        <f>IFERROR(__xludf.DUMMYFUNCTION("IF(OR(CS53&gt;$BS53+$BT53*$BT$2,CS53&lt;$BS53-$BT53*$BT$2),AVEDEV(ARRAYFORMULA(XLOOKUP(FILTER(INDIRECT(""'""&amp;CS$1&amp;""'!$C$4:$C$66""),INDIRECT(""'""&amp;CS$1&amp;""'!$D$4:$D$66"")=CS$2),$G$4:$BQ$4,$G53:$BQ53))),"""")"),"")</f>
        <v/>
      </c>
      <c r="CU53" s="208" t="str">
        <f t="shared" si="15"/>
        <v/>
      </c>
      <c r="CV53" s="211">
        <f>IFERROR(__xludf.DUMMYFUNCTION("AVERAGE(ARRAYFORMULA(XLOOKUP(FILTER(INDIRECT(""'""&amp;CV$1&amp;""'!$C$4:$C$66""),INDIRECT(""'""&amp;CV$1&amp;""'!$D$4:$D$66"")=CV$2),$G$4:$BQ$4,$G53:$BQ53)))"),0.28370578799999996)</f>
        <v>0.283705788</v>
      </c>
      <c r="CW53" s="207" t="str">
        <f>IFERROR(__xludf.DUMMYFUNCTION("IF(OR(CV53&gt;$BS53+$BT53*$BT$2,CV53&lt;$BS53-$BT53*$BT$2),AVEDEV(ARRAYFORMULA(XLOOKUP(FILTER(INDIRECT(""'""&amp;CV$1&amp;""'!$C$4:$C$66""),INDIRECT(""'""&amp;CV$1&amp;""'!$D$4:$D$66"")=CV$2),$G$4:$BQ$4,$G53:$BQ53))),"""")"),"")</f>
        <v/>
      </c>
      <c r="CX53" s="208" t="str">
        <f t="shared" si="16"/>
        <v/>
      </c>
      <c r="CY53" s="209" t="s">
        <v>444</v>
      </c>
      <c r="CZ53" s="210">
        <f>IFERROR(__xludf.DUMMYFUNCTION("AVERAGE(ARRAYFORMULA(XLOOKUP(FILTER(INDIRECT(""'""&amp;CZ$1&amp;""'!$C$4:$C$66""),INDIRECT(""'""&amp;CZ$1&amp;""'!$D$4:$D$66"")=CZ$2),$G$4:$BQ$4,$G53:$BQ53)))"),0.4067146235714286)</f>
        <v>0.4067146236</v>
      </c>
      <c r="DA53" s="207" t="str">
        <f>IFERROR(__xludf.DUMMYFUNCTION("IF(OR(CZ53&gt;$BS53+$BT53*$BT$2,CZ53&lt;$BS53-$BT53*$BT$2),AVEDEV(ARRAYFORMULA(XLOOKUP(FILTER(INDIRECT(""'""&amp;CZ$1&amp;""'!$C$4:$C$66""),INDIRECT(""'""&amp;CZ$1&amp;""'!$D$4:$D$66"")=CZ$2),$G$4:$BQ$4,$G53:$BQ53))),"""")"),"")</f>
        <v/>
      </c>
      <c r="DB53" s="208" t="str">
        <f t="shared" si="17"/>
        <v/>
      </c>
      <c r="DC53" s="210">
        <f>IFERROR(__xludf.DUMMYFUNCTION("AVERAGE(ARRAYFORMULA(XLOOKUP(FILTER(INDIRECT(""'""&amp;DC$1&amp;""'!$C$4:$C$66""),INDIRECT(""'""&amp;DC$1&amp;""'!$D$4:$D$66"")=DC$2),$G$4:$BQ$4,$G53:$BQ53)))"),0.3976554766666667)</f>
        <v>0.3976554767</v>
      </c>
      <c r="DD53" s="207" t="str">
        <f>IFERROR(__xludf.DUMMYFUNCTION("IF(OR(DC53&gt;$BS53+$BT53*$BT$2,DC53&lt;$BS53-$BT53*$BT$2),AVEDEV(ARRAYFORMULA(XLOOKUP(FILTER(INDIRECT(""'""&amp;DC$1&amp;""'!$C$4:$C$66""),INDIRECT(""'""&amp;DC$1&amp;""'!$D$4:$D$66"")=DC$2),$G$4:$BQ$4,$G53:$BQ53))),"""")"),"")</f>
        <v/>
      </c>
      <c r="DE53" s="208" t="str">
        <f t="shared" si="18"/>
        <v/>
      </c>
      <c r="DF53" s="210">
        <f>IFERROR(__xludf.DUMMYFUNCTION("AVERAGE(ARRAYFORMULA(XLOOKUP(FILTER(INDIRECT(""'""&amp;DF$1&amp;""'!$C$4:$C$66""),INDIRECT(""'""&amp;DF$1&amp;""'!$D$4:$D$66"")=DF$2),$G$4:$BQ$4,$G53:$BQ53)))"),-0.024274291818181828)</f>
        <v>-0.02427429182</v>
      </c>
      <c r="DG53" s="207" t="str">
        <f>IFERROR(__xludf.DUMMYFUNCTION("IF(OR(DF53&gt;$BS53+$BT53*$BT$2,DF53&lt;$BS53-$BT53*$BT$2),AVEDEV(ARRAYFORMULA(XLOOKUP(FILTER(INDIRECT(""'""&amp;DF$1&amp;""'!$C$4:$C$66""),INDIRECT(""'""&amp;DF$1&amp;""'!$D$4:$D$66"")=DF$2),$G$4:$BQ$4,$G53:$BQ53))),"""")"),"")</f>
        <v/>
      </c>
      <c r="DH53" s="208" t="str">
        <f t="shared" si="19"/>
        <v/>
      </c>
      <c r="DI53" s="210">
        <f>IFERROR(__xludf.DUMMYFUNCTION("AVERAGE(ARRAYFORMULA(XLOOKUP(FILTER(INDIRECT(""'""&amp;DI$1&amp;""'!$C$4:$C$66""),INDIRECT(""'""&amp;DI$1&amp;""'!$D$4:$D$66"")=DI$2),$G$4:$BQ$4,$G53:$BQ53)))"),-0.78504885)</f>
        <v>-0.78504885</v>
      </c>
      <c r="DJ53" s="207">
        <f>IFERROR(__xludf.DUMMYFUNCTION("IF(OR(DI53&gt;$BS53+$BT53*$BT$2,DI53&lt;$BS53-$BT53*$BT$2),AVEDEV(ARRAYFORMULA(XLOOKUP(FILTER(INDIRECT(""'""&amp;DI$1&amp;""'!$C$4:$C$66""),INDIRECT(""'""&amp;DI$1&amp;""'!$D$4:$D$66"")=DI$2),$G$4:$BQ$4,$G53:$BQ53))),"""")"),0.005029449999999991)</f>
        <v>0.00502945</v>
      </c>
      <c r="DK53" s="208">
        <f t="shared" si="20"/>
        <v>-0.2672309404</v>
      </c>
      <c r="DL53" s="211">
        <f>IFERROR(__xludf.DUMMYFUNCTION("AVERAGE(ARRAYFORMULA(XLOOKUP(FILTER(INDIRECT(""'""&amp;DL$1&amp;""'!$C$4:$C$66""),INDIRECT(""'""&amp;DL$1&amp;""'!$D$4:$D$66"")=DL$2),$G$4:$BQ$4,$G53:$BQ53)))"),-0.07185721714285717)</f>
        <v>-0.07185721714</v>
      </c>
      <c r="DM53" s="207" t="str">
        <f>IFERROR(__xludf.DUMMYFUNCTION("IF(OR(DL53&gt;$BS53+$BT53*$BT$2,DL53&lt;$BS53-$BT53*$BT$2),AVEDEV(ARRAYFORMULA(XLOOKUP(FILTER(INDIRECT(""'""&amp;DL$1&amp;""'!$C$4:$C$66""),INDIRECT(""'""&amp;DL$1&amp;""'!$D$4:$D$66"")=DL$2),$G$4:$BQ$4,$G53:$BQ53))),"""")"),"")</f>
        <v/>
      </c>
      <c r="DN53" s="208" t="str">
        <f t="shared" si="21"/>
        <v/>
      </c>
      <c r="DO53" s="209" t="s">
        <v>444</v>
      </c>
      <c r="DP53" s="210">
        <f>IFERROR(__xludf.DUMMYFUNCTION("AVERAGE(ARRAYFORMULA(XLOOKUP(FILTER(INDIRECT(""'""&amp;DP$1&amp;""'!$C$4:$C$66""),INDIRECT(""'""&amp;DP$1&amp;""'!$D$4:$D$66"")=DP$2),$G$4:$BQ$4,$G53:$BQ53)))"),0.009620698333333347)</f>
        <v>0.009620698333</v>
      </c>
      <c r="DQ53" s="207" t="str">
        <f>IFERROR(__xludf.DUMMYFUNCTION("IF(OR(DP53&gt;$BS53+$BT53*$BT$2,DP53&lt;$BS53-$BT53*$BT$2),AVEDEV(ARRAYFORMULA(XLOOKUP(FILTER(INDIRECT(""'""&amp;DP$1&amp;""'!$C$4:$C$66""),INDIRECT(""'""&amp;DP$1&amp;""'!$D$4:$D$66"")=DP$2),$G$4:$BQ$4,$G53:$BQ53))),"""")"),"")</f>
        <v/>
      </c>
      <c r="DR53" s="208" t="str">
        <f t="shared" si="22"/>
        <v/>
      </c>
      <c r="DS53" s="210">
        <f>IFERROR(__xludf.DUMMYFUNCTION("AVERAGE(ARRAYFORMULA(XLOOKUP(FILTER(INDIRECT(""'""&amp;DS$1&amp;""'!$C$4:$C$66""),INDIRECT(""'""&amp;DS$1&amp;""'!$D$4:$D$66"")=DS$2),$G$4:$BQ$4,$G53:$BQ53)))"),0.06202968777777781)</f>
        <v>0.06202968778</v>
      </c>
      <c r="DT53" s="207" t="str">
        <f>IFERROR(__xludf.DUMMYFUNCTION("IF(OR(DS53&gt;$BS53+$BT53*$BT$2,DS53&lt;$BS53-$BT53*$BT$2),AVEDEV(ARRAYFORMULA(XLOOKUP(FILTER(INDIRECT(""'""&amp;DS$1&amp;""'!$C$4:$C$66""),INDIRECT(""'""&amp;DS$1&amp;""'!$D$4:$D$66"")=DS$2),$G$4:$BQ$4,$G53:$BQ53))),"""")"),"")</f>
        <v/>
      </c>
      <c r="DU53" s="208" t="str">
        <f t="shared" si="23"/>
        <v/>
      </c>
      <c r="DV53" s="210">
        <f>IFERROR(__xludf.DUMMYFUNCTION("AVERAGE(ARRAYFORMULA(XLOOKUP(FILTER(INDIRECT(""'""&amp;DV$1&amp;""'!$C$4:$C$66""),INDIRECT(""'""&amp;DV$1&amp;""'!$D$4:$D$66"")=DV$2),$G$4:$BQ$4,$G53:$BQ53)))"),-0.26484541124999994)</f>
        <v>-0.2648454113</v>
      </c>
      <c r="DW53" s="207" t="str">
        <f>IFERROR(__xludf.DUMMYFUNCTION("IF(OR(DV53&gt;$BS53+$BT53*$BT$2,DV53&lt;$BS53-$BT53*$BT$2),AVEDEV(ARRAYFORMULA(XLOOKUP(FILTER(INDIRECT(""'""&amp;DV$1&amp;""'!$C$4:$C$66""),INDIRECT(""'""&amp;DV$1&amp;""'!$D$4:$D$66"")=DV$2),$G$4:$BQ$4,$G53:$BQ53))),"""")"),"")</f>
        <v/>
      </c>
      <c r="DX53" s="208" t="str">
        <f t="shared" si="24"/>
        <v/>
      </c>
      <c r="DY53" s="210">
        <f>IFERROR(__xludf.DUMMYFUNCTION("AVERAGE(ARRAYFORMULA(XLOOKUP(FILTER(INDIRECT(""'""&amp;DY$1&amp;""'!$C$4:$C$66""),INDIRECT(""'""&amp;DY$1&amp;""'!$D$4:$D$66"")=DY$2),$G$4:$BQ$4,$G53:$BQ53)))"),0.4544779177777778)</f>
        <v>0.4544779178</v>
      </c>
      <c r="DZ53" s="207" t="str">
        <f>IFERROR(__xludf.DUMMYFUNCTION("IF(OR(DY53&gt;$BS53+$BT53*$BT$2,DY53&lt;$BS53-$BT53*$BT$2),AVEDEV(ARRAYFORMULA(XLOOKUP(FILTER(INDIRECT(""'""&amp;DY$1&amp;""'!$C$4:$C$66""),INDIRECT(""'""&amp;DY$1&amp;""'!$D$4:$D$66"")=DY$2),$G$4:$BQ$4,$G53:$BQ53))),"""")"),"")</f>
        <v/>
      </c>
      <c r="EA53" s="208" t="str">
        <f t="shared" si="25"/>
        <v/>
      </c>
      <c r="EB53" s="191"/>
    </row>
    <row r="54" outlineLevel="1">
      <c r="A54" s="2"/>
      <c r="B54" s="204">
        <v>50.0</v>
      </c>
      <c r="C54" s="204" t="s">
        <v>482</v>
      </c>
      <c r="D54" s="204" t="s">
        <v>494</v>
      </c>
      <c r="E54" s="205" t="b">
        <f>VLOOKUP(D54,'Feature Set List'!A50:C246,2,0)</f>
        <v>1</v>
      </c>
      <c r="F54" s="205" t="b">
        <f>VLOOKUP(D54,'Feature Set List'!A50:C246,3,0)</f>
        <v>1</v>
      </c>
      <c r="G54" s="205">
        <v>0.64708025</v>
      </c>
      <c r="H54" s="205">
        <v>-0.6902999</v>
      </c>
      <c r="I54" s="205">
        <v>-0.3914046</v>
      </c>
      <c r="J54" s="205">
        <v>-0.6390676</v>
      </c>
      <c r="K54" s="205">
        <v>0.1561248</v>
      </c>
      <c r="L54" s="205">
        <v>0.3969892</v>
      </c>
      <c r="M54" s="205">
        <v>2.00922666</v>
      </c>
      <c r="N54" s="205">
        <v>0.97244142</v>
      </c>
      <c r="O54" s="205">
        <v>1.35850431</v>
      </c>
      <c r="P54" s="205">
        <v>-0.8313706</v>
      </c>
      <c r="Q54" s="205">
        <v>1.85383028</v>
      </c>
      <c r="R54" s="205">
        <v>1.18853952</v>
      </c>
      <c r="S54" s="205">
        <v>0.47954352</v>
      </c>
      <c r="T54" s="205">
        <v>0.0</v>
      </c>
      <c r="U54" s="205">
        <v>-0.1575816</v>
      </c>
      <c r="V54" s="205">
        <v>-0.3052082</v>
      </c>
      <c r="W54" s="205">
        <v>1.06470802</v>
      </c>
      <c r="X54" s="205">
        <v>-1.1176399</v>
      </c>
      <c r="Y54" s="205">
        <v>2.06992837</v>
      </c>
      <c r="Z54" s="205">
        <v>-0.3583829</v>
      </c>
      <c r="AA54" s="205">
        <v>0.59123467</v>
      </c>
      <c r="AB54" s="205">
        <v>0.17797742</v>
      </c>
      <c r="AC54" s="205">
        <v>0.55481365</v>
      </c>
      <c r="AD54" s="205">
        <v>-0.2415928</v>
      </c>
      <c r="AE54" s="205">
        <v>-1.1865971</v>
      </c>
      <c r="AF54" s="205">
        <v>0.18283356</v>
      </c>
      <c r="AG54" s="205">
        <v>0.39213306</v>
      </c>
      <c r="AH54" s="205">
        <v>1.9218162</v>
      </c>
      <c r="AI54" s="205">
        <v>0.05268909</v>
      </c>
      <c r="AJ54" s="205">
        <v>0.50382421</v>
      </c>
      <c r="AK54" s="205">
        <v>0.91902392</v>
      </c>
      <c r="AL54" s="205">
        <v>0.85589414</v>
      </c>
      <c r="AM54" s="205">
        <v>-0.1978876</v>
      </c>
      <c r="AN54" s="205">
        <v>-0.0949375</v>
      </c>
      <c r="AO54" s="205">
        <v>-0.0895957</v>
      </c>
      <c r="AP54" s="205">
        <v>1.2978026</v>
      </c>
      <c r="AQ54" s="205">
        <v>-0.505281</v>
      </c>
      <c r="AR54" s="205">
        <v>-0.0162681</v>
      </c>
      <c r="AS54" s="205">
        <v>-0.5285905</v>
      </c>
      <c r="AT54" s="205">
        <v>-0.2384363</v>
      </c>
      <c r="AU54" s="205">
        <v>3.0071628</v>
      </c>
      <c r="AV54" s="205">
        <v>-0.6303266</v>
      </c>
      <c r="AW54" s="205">
        <v>2.21075634</v>
      </c>
      <c r="AX54" s="205">
        <v>0.74420299</v>
      </c>
      <c r="AY54" s="205">
        <v>-2.0285541</v>
      </c>
      <c r="AZ54" s="205">
        <v>-0.1743353</v>
      </c>
      <c r="BA54" s="205">
        <v>0.32657521</v>
      </c>
      <c r="BB54" s="205">
        <v>0.21488406</v>
      </c>
      <c r="BC54" s="205">
        <v>0.35085589</v>
      </c>
      <c r="BD54" s="205">
        <v>-0.3940755</v>
      </c>
      <c r="BE54" s="205">
        <v>-1.937113</v>
      </c>
      <c r="BF54" s="205">
        <v>-0.0725992</v>
      </c>
      <c r="BG54" s="205">
        <v>0.21488406</v>
      </c>
      <c r="BH54" s="205">
        <v>-0.3518271</v>
      </c>
      <c r="BI54" s="205">
        <v>-0.504067</v>
      </c>
      <c r="BJ54" s="205">
        <v>-0.3537696</v>
      </c>
      <c r="BK54" s="205">
        <v>0.35328396</v>
      </c>
      <c r="BL54" s="205">
        <v>-1.5066165</v>
      </c>
      <c r="BM54" s="205">
        <v>-0.9654</v>
      </c>
      <c r="BN54" s="205">
        <v>-0.3151633</v>
      </c>
      <c r="BO54" s="205">
        <v>-0.4547772</v>
      </c>
      <c r="BP54" s="205">
        <v>-0.3702804</v>
      </c>
      <c r="BQ54" s="205">
        <v>2.52883331</v>
      </c>
      <c r="BR54" s="206"/>
      <c r="BS54" s="207">
        <f t="shared" si="6"/>
        <v>0.1896722348</v>
      </c>
      <c r="BT54" s="207">
        <f t="shared" si="7"/>
        <v>0.7589721359</v>
      </c>
      <c r="BU54" s="206"/>
      <c r="BV54" s="207">
        <f>IFERROR(__xludf.DUMMYFUNCTION("AVERAGE(ARRAYFORMULA(XLOOKUP(FILTER(INDIRECT(""'""&amp;BV$1&amp;""'!$C$4:$C$66""),INDIRECT(""'""&amp;BV$1&amp;""'!$D$4:$D$66"")=BV$2),$G$4:$BQ$4,$G54:$BQ54)))"),-0.9460309628571429)</f>
        <v>-0.9460309629</v>
      </c>
      <c r="BW54" s="207">
        <f>IFERROR(__xludf.DUMMYFUNCTION("IF(OR(BV54&gt;$BS54+$BT54*$BT$2,BV54&lt;$BS54-$BT54*$BT$2),AVEDEV(ARRAYFORMULA(XLOOKUP(FILTER(INDIRECT(""'""&amp;BV$1&amp;""'!$C$4:$C$66""),INDIRECT(""'""&amp;BV$1&amp;""'!$D$4:$D$66"")=BV$2),$G$4:$BQ$4,$G54:$BQ54))),"""")"),0.8016570424489796)</f>
        <v>0.8016570424</v>
      </c>
      <c r="BX54" s="208">
        <f t="shared" si="8"/>
        <v>-0.3767310617</v>
      </c>
      <c r="BY54" s="207">
        <f>IFERROR(__xludf.DUMMYFUNCTION("AVERAGE(ARRAYFORMULA(XLOOKUP(FILTER(INDIRECT(""'""&amp;BY$1&amp;""'!$C$4:$C$66""),INDIRECT(""'""&amp;BY$1&amp;""'!$D$4:$D$66"")=BY$2),$G$4:$BQ$4,$G54:$BQ54)))"),0.27675355857142864)</f>
        <v>0.2767535586</v>
      </c>
      <c r="BZ54" s="207" t="str">
        <f>IFERROR(__xludf.DUMMYFUNCTION("IF(OR(BY54&gt;$BS54+$BT54*$BT$2,BY54&lt;$BS54-$BT54*$BT$2),AVEDEV(ARRAYFORMULA(XLOOKUP(FILTER(INDIRECT(""'""&amp;BY$1&amp;""'!$C$4:$C$66""),INDIRECT(""'""&amp;BY$1&amp;""'!$D$4:$D$66"")=BY$2),$G$4:$BQ$4,$G54:$BQ54))),"""")"),"")</f>
        <v/>
      </c>
      <c r="CA54" s="208" t="str">
        <f t="shared" si="9"/>
        <v/>
      </c>
      <c r="CB54" s="207">
        <f>IFERROR(__xludf.DUMMYFUNCTION("AVERAGE(ARRAYFORMULA(XLOOKUP(FILTER(INDIRECT(""'""&amp;CB$1&amp;""'!$C$4:$C$66""),INDIRECT(""'""&amp;CB$1&amp;""'!$D$4:$D$66"")=CB$2),$G$4:$BQ$4,$G54:$BQ54)))"),0.42965776090909086)</f>
        <v>0.4296577609</v>
      </c>
      <c r="CC54" s="207" t="str">
        <f>IFERROR(__xludf.DUMMYFUNCTION("IF(OR(CB54&gt;$BS54+$BT54*$BT$2,CB54&lt;$BS54-$BT54*$BT$2),AVEDEV(ARRAYFORMULA(XLOOKUP(FILTER(INDIRECT(""'""&amp;CB$1&amp;""'!$C$4:$C$66""),INDIRECT(""'""&amp;CB$1&amp;""'!$D$4:$D$66"")=CB$2),$G$4:$BQ$4,$G54:$BQ54))),"""")"),"")</f>
        <v/>
      </c>
      <c r="CD54" s="208" t="str">
        <f t="shared" si="10"/>
        <v/>
      </c>
      <c r="CE54" s="209" t="s">
        <v>444</v>
      </c>
      <c r="CF54" s="207">
        <f>IFERROR(__xludf.DUMMYFUNCTION("AVERAGE(ARRAYFORMULA(XLOOKUP(FILTER(INDIRECT(""'""&amp;CF$1&amp;""'!$C$4:$C$66""),INDIRECT(""'""&amp;CF$1&amp;""'!$D$4:$D$66"")=CF$2),$G$4:$BQ$4,$G54:$BQ54)))"),0.15129902437500004)</f>
        <v>0.1512990244</v>
      </c>
      <c r="CG54" s="207" t="str">
        <f>IFERROR(__xludf.DUMMYFUNCTION("IF(OR(CF54&gt;$BS54+$BT54*$BT$2,CF54&lt;$BS54-$BT54*$BT$2),AVEDEV(ARRAYFORMULA(XLOOKUP(FILTER(INDIRECT(""'""&amp;CF$1&amp;""'!$C$4:$C$66""),INDIRECT(""'""&amp;CF$1&amp;""'!$D$4:$D$66"")=CF$2),$G$4:$BQ$4,$G54:$BQ54))),"""")"),"")</f>
        <v/>
      </c>
      <c r="CH54" s="208" t="str">
        <f t="shared" si="11"/>
        <v/>
      </c>
      <c r="CI54" s="207">
        <f>IFERROR(__xludf.DUMMYFUNCTION("AVERAGE(ARRAYFORMULA(XLOOKUP(FILTER(INDIRECT(""'""&amp;CI$1&amp;""'!$C$4:$C$66""),INDIRECT(""'""&amp;CI$1&amp;""'!$D$4:$D$66"")=CI$2),$G$4:$BQ$4,$G54:$BQ54)))"),0.35110966741935484)</f>
        <v>0.3511096674</v>
      </c>
      <c r="CJ54" s="207" t="str">
        <f>IFERROR(__xludf.DUMMYFUNCTION("IF(OR(CI54&gt;$BS54+$BT54*$BT$2,CI54&lt;$BS54-$BT54*$BT$2),AVEDEV(ARRAYFORMULA(XLOOKUP(FILTER(INDIRECT(""'""&amp;CI$1&amp;""'!$C$4:$C$66""),INDIRECT(""'""&amp;CI$1&amp;""'!$D$4:$D$66"")=CI$2),$G$4:$BQ$4,$G54:$BQ54))),"""")"),"")</f>
        <v/>
      </c>
      <c r="CK54" s="208" t="str">
        <f t="shared" si="12"/>
        <v/>
      </c>
      <c r="CL54" s="207">
        <f>IFERROR(__xludf.DUMMYFUNCTION("AVERAGE(ARRAYFORMULA(XLOOKUP(FILTER(INDIRECT(""'""&amp;CL$1&amp;""'!$C$4:$C$66""),INDIRECT(""'""&amp;CL$1&amp;""'!$D$4:$D$66"")=CL$2),$G$4:$BQ$4,$G54:$BQ54)))"),-0.16370036599999999)</f>
        <v>-0.163700366</v>
      </c>
      <c r="CM54" s="207" t="str">
        <f>IFERROR(__xludf.DUMMYFUNCTION("IF(OR(CL54&gt;$BS54+$BT54*$BT$2,CL54&lt;$BS54-$BT54*$BT$2),AVEDEV(ARRAYFORMULA(XLOOKUP(FILTER(INDIRECT(""'""&amp;CL$1&amp;""'!$C$4:$C$66""),INDIRECT(""'""&amp;CL$1&amp;""'!$D$4:$D$66"")=CL$2),$G$4:$BQ$4,$G54:$BQ54))),"""")"),"")</f>
        <v/>
      </c>
      <c r="CN54" s="208" t="str">
        <f t="shared" si="13"/>
        <v/>
      </c>
      <c r="CO54" s="209" t="s">
        <v>444</v>
      </c>
      <c r="CP54" s="210">
        <f>IFERROR(__xludf.DUMMYFUNCTION("AVERAGE(ARRAYFORMULA(XLOOKUP(FILTER(INDIRECT(""'""&amp;CP$1&amp;""'!$C$4:$C$66""),INDIRECT(""'""&amp;CP$1&amp;""'!$D$4:$D$66"")=CP$2),$G$4:$BQ$4,$G54:$BQ54)))"),0.07284206266666665)</f>
        <v>0.07284206267</v>
      </c>
      <c r="CQ54" s="207" t="str">
        <f>IFERROR(__xludf.DUMMYFUNCTION("IF(OR(CP54&gt;$BS54+$BT54*$BT$2,CP54&lt;$BS54-$BT54*$BT$2),AVEDEV(ARRAYFORMULA(XLOOKUP(FILTER(INDIRECT(""'""&amp;CP$1&amp;""'!$C$4:$C$66""),INDIRECT(""'""&amp;CP$1&amp;""'!$D$4:$D$66"")=CP$2),$G$4:$BQ$4,$G54:$BQ54))),"""")"),"")</f>
        <v/>
      </c>
      <c r="CR54" s="208" t="str">
        <f t="shared" si="14"/>
        <v/>
      </c>
      <c r="CS54" s="210">
        <f>IFERROR(__xludf.DUMMYFUNCTION("AVERAGE(ARRAYFORMULA(XLOOKUP(FILTER(INDIRECT(""'""&amp;CS$1&amp;""'!$C$4:$C$66""),INDIRECT(""'""&amp;CS$1&amp;""'!$D$4:$D$66"")=CS$2),$G$4:$BQ$4,$G54:$BQ54)))"),0.28102962769230766)</f>
        <v>0.2810296277</v>
      </c>
      <c r="CT54" s="207" t="str">
        <f>IFERROR(__xludf.DUMMYFUNCTION("IF(OR(CS54&gt;$BS54+$BT54*$BT$2,CS54&lt;$BS54-$BT54*$BT$2),AVEDEV(ARRAYFORMULA(XLOOKUP(FILTER(INDIRECT(""'""&amp;CS$1&amp;""'!$C$4:$C$66""),INDIRECT(""'""&amp;CS$1&amp;""'!$D$4:$D$66"")=CS$2),$G$4:$BQ$4,$G54:$BQ54))),"""")"),"")</f>
        <v/>
      </c>
      <c r="CU54" s="208" t="str">
        <f t="shared" si="15"/>
        <v/>
      </c>
      <c r="CV54" s="210">
        <f>IFERROR(__xludf.DUMMYFUNCTION("AVERAGE(ARRAYFORMULA(XLOOKUP(FILTER(INDIRECT(""'""&amp;CV$1&amp;""'!$C$4:$C$66""),INDIRECT(""'""&amp;CV$1&amp;""'!$D$4:$D$66"")=CV$2),$G$4:$BQ$4,$G54:$BQ54)))"),-0.16370036599999999)</f>
        <v>-0.163700366</v>
      </c>
      <c r="CW54" s="207" t="str">
        <f>IFERROR(__xludf.DUMMYFUNCTION("IF(OR(CV54&gt;$BS54+$BT54*$BT$2,CV54&lt;$BS54-$BT54*$BT$2),AVEDEV(ARRAYFORMULA(XLOOKUP(FILTER(INDIRECT(""'""&amp;CV$1&amp;""'!$C$4:$C$66""),INDIRECT(""'""&amp;CV$1&amp;""'!$D$4:$D$66"")=CV$2),$G$4:$BQ$4,$G54:$BQ54))),"""")"),"")</f>
        <v/>
      </c>
      <c r="CX54" s="208" t="str">
        <f t="shared" si="16"/>
        <v/>
      </c>
      <c r="CY54" s="209" t="s">
        <v>444</v>
      </c>
      <c r="CZ54" s="210">
        <f>IFERROR(__xludf.DUMMYFUNCTION("AVERAGE(ARRAYFORMULA(XLOOKUP(FILTER(INDIRECT(""'""&amp;CZ$1&amp;""'!$C$4:$C$66""),INDIRECT(""'""&amp;CZ$1&amp;""'!$D$4:$D$66"")=CZ$2),$G$4:$BQ$4,$G54:$BQ54)))"),0.2610693950000001)</f>
        <v>0.261069395</v>
      </c>
      <c r="DA54" s="207" t="str">
        <f>IFERROR(__xludf.DUMMYFUNCTION("IF(OR(CZ54&gt;$BS54+$BT54*$BT$2,CZ54&lt;$BS54-$BT54*$BT$2),AVEDEV(ARRAYFORMULA(XLOOKUP(FILTER(INDIRECT(""'""&amp;CZ$1&amp;""'!$C$4:$C$66""),INDIRECT(""'""&amp;CZ$1&amp;""'!$D$4:$D$66"")=CZ$2),$G$4:$BQ$4,$G54:$BQ54))),"""")"),"")</f>
        <v/>
      </c>
      <c r="DB54" s="208" t="str">
        <f t="shared" si="17"/>
        <v/>
      </c>
      <c r="DC54" s="210">
        <f>IFERROR(__xludf.DUMMYFUNCTION("AVERAGE(ARRAYFORMULA(XLOOKUP(FILTER(INDIRECT(""'""&amp;DC$1&amp;""'!$C$4:$C$66""),INDIRECT(""'""&amp;DC$1&amp;""'!$D$4:$D$66"")=DC$2),$G$4:$BQ$4,$G54:$BQ54)))"),0.6517745188888889)</f>
        <v>0.6517745189</v>
      </c>
      <c r="DD54" s="207" t="str">
        <f>IFERROR(__xludf.DUMMYFUNCTION("IF(OR(DC54&gt;$BS54+$BT54*$BT$2,DC54&lt;$BS54-$BT54*$BT$2),AVEDEV(ARRAYFORMULA(XLOOKUP(FILTER(INDIRECT(""'""&amp;DC$1&amp;""'!$C$4:$C$66""),INDIRECT(""'""&amp;DC$1&amp;""'!$D$4:$D$66"")=DC$2),$G$4:$BQ$4,$G54:$BQ54))),"""")"),"")</f>
        <v/>
      </c>
      <c r="DE54" s="208" t="str">
        <f t="shared" si="18"/>
        <v/>
      </c>
      <c r="DF54" s="210">
        <f>IFERROR(__xludf.DUMMYFUNCTION("AVERAGE(ARRAYFORMULA(XLOOKUP(FILTER(INDIRECT(""'""&amp;DF$1&amp;""'!$C$4:$C$66""),INDIRECT(""'""&amp;DF$1&amp;""'!$D$4:$D$66"")=DF$2),$G$4:$BQ$4,$G54:$BQ54)))"),0.20404604727272727)</f>
        <v>0.2040460473</v>
      </c>
      <c r="DG54" s="207" t="str">
        <f>IFERROR(__xludf.DUMMYFUNCTION("IF(OR(DF54&gt;$BS54+$BT54*$BT$2,DF54&lt;$BS54-$BT54*$BT$2),AVEDEV(ARRAYFORMULA(XLOOKUP(FILTER(INDIRECT(""'""&amp;DF$1&amp;""'!$C$4:$C$66""),INDIRECT(""'""&amp;DF$1&amp;""'!$D$4:$D$66"")=DF$2),$G$4:$BQ$4,$G54:$BQ54))),"""")"),"")</f>
        <v/>
      </c>
      <c r="DH54" s="208" t="str">
        <f t="shared" si="19"/>
        <v/>
      </c>
      <c r="DI54" s="210">
        <f>IFERROR(__xludf.DUMMYFUNCTION("AVERAGE(ARRAYFORMULA(XLOOKUP(FILTER(INDIRECT(""'""&amp;DI$1&amp;""'!$C$4:$C$66""),INDIRECT(""'""&amp;DI$1&amp;""'!$D$4:$D$66"")=DI$2),$G$4:$BQ$4,$G54:$BQ54)))"),-0.29670995)</f>
        <v>-0.29670995</v>
      </c>
      <c r="DJ54" s="207" t="str">
        <f>IFERROR(__xludf.DUMMYFUNCTION("IF(OR(DI54&gt;$BS54+$BT54*$BT$2,DI54&lt;$BS54-$BT54*$BT$2),AVEDEV(ARRAYFORMULA(XLOOKUP(FILTER(INDIRECT(""'""&amp;DI$1&amp;""'!$C$4:$C$66""),INDIRECT(""'""&amp;DI$1&amp;""'!$D$4:$D$66"")=DI$2),$G$4:$BQ$4,$G54:$BQ54))),"""")"),"")</f>
        <v/>
      </c>
      <c r="DK54" s="208" t="str">
        <f t="shared" si="20"/>
        <v/>
      </c>
      <c r="DL54" s="210">
        <f>IFERROR(__xludf.DUMMYFUNCTION("AVERAGE(ARRAYFORMULA(XLOOKUP(FILTER(INDIRECT(""'""&amp;DL$1&amp;""'!$C$4:$C$66""),INDIRECT(""'""&amp;DL$1&amp;""'!$D$4:$D$66"")=DL$2),$G$4:$BQ$4,$G54:$BQ54)))"),0.4654086935714286)</f>
        <v>0.4654086936</v>
      </c>
      <c r="DM54" s="207" t="str">
        <f>IFERROR(__xludf.DUMMYFUNCTION("IF(OR(DL54&gt;$BS54+$BT54*$BT$2,DL54&lt;$BS54-$BT54*$BT$2),AVEDEV(ARRAYFORMULA(XLOOKUP(FILTER(INDIRECT(""'""&amp;DL$1&amp;""'!$C$4:$C$66""),INDIRECT(""'""&amp;DL$1&amp;""'!$D$4:$D$66"")=DL$2),$G$4:$BQ$4,$G54:$BQ54))),"""")"),"")</f>
        <v/>
      </c>
      <c r="DN54" s="208" t="str">
        <f t="shared" si="21"/>
        <v/>
      </c>
      <c r="DO54" s="209" t="s">
        <v>444</v>
      </c>
      <c r="DP54" s="210">
        <f>IFERROR(__xludf.DUMMYFUNCTION("AVERAGE(ARRAYFORMULA(XLOOKUP(FILTER(INDIRECT(""'""&amp;DP$1&amp;""'!$C$4:$C$66""),INDIRECT(""'""&amp;DP$1&amp;""'!$D$4:$D$66"")=DP$2),$G$4:$BQ$4,$G54:$BQ54)))"),0.210181705)</f>
        <v>0.210181705</v>
      </c>
      <c r="DQ54" s="207" t="str">
        <f>IFERROR(__xludf.DUMMYFUNCTION("IF(OR(DP54&gt;$BS54+$BT54*$BT$2,DP54&lt;$BS54-$BT54*$BT$2),AVEDEV(ARRAYFORMULA(XLOOKUP(FILTER(INDIRECT(""'""&amp;DP$1&amp;""'!$C$4:$C$66""),INDIRECT(""'""&amp;DP$1&amp;""'!$D$4:$D$66"")=DP$2),$G$4:$BQ$4,$G54:$BQ54))),"""")"),"")</f>
        <v/>
      </c>
      <c r="DR54" s="208" t="str">
        <f t="shared" si="22"/>
        <v/>
      </c>
      <c r="DS54" s="210">
        <f>IFERROR(__xludf.DUMMYFUNCTION("AVERAGE(ARRAYFORMULA(XLOOKUP(FILTER(INDIRECT(""'""&amp;DS$1&amp;""'!$C$4:$C$66""),INDIRECT(""'""&amp;DS$1&amp;""'!$D$4:$D$66"")=DS$2),$G$4:$BQ$4,$G54:$BQ54)))"),0.22416468222222224)</f>
        <v>0.2241646822</v>
      </c>
      <c r="DT54" s="207" t="str">
        <f>IFERROR(__xludf.DUMMYFUNCTION("IF(OR(DS54&gt;$BS54+$BT54*$BT$2,DS54&lt;$BS54-$BT54*$BT$2),AVEDEV(ARRAYFORMULA(XLOOKUP(FILTER(INDIRECT(""'""&amp;DS$1&amp;""'!$C$4:$C$66""),INDIRECT(""'""&amp;DS$1&amp;""'!$D$4:$D$66"")=DS$2),$G$4:$BQ$4,$G54:$BQ54))),"""")"),"")</f>
        <v/>
      </c>
      <c r="DU54" s="208" t="str">
        <f t="shared" si="23"/>
        <v/>
      </c>
      <c r="DV54" s="210">
        <f>IFERROR(__xludf.DUMMYFUNCTION("AVERAGE(ARRAYFORMULA(XLOOKUP(FILTER(INDIRECT(""'""&amp;DV$1&amp;""'!$C$4:$C$66""),INDIRECT(""'""&amp;DV$1&amp;""'!$D$4:$D$66"")=DV$2),$G$4:$BQ$4,$G54:$BQ54)))"),0.22014690374999996)</f>
        <v>0.2201469038</v>
      </c>
      <c r="DW54" s="207" t="str">
        <f>IFERROR(__xludf.DUMMYFUNCTION("IF(OR(DV54&gt;$BS54+$BT54*$BT$2,DV54&lt;$BS54-$BT54*$BT$2),AVEDEV(ARRAYFORMULA(XLOOKUP(FILTER(INDIRECT(""'""&amp;DV$1&amp;""'!$C$4:$C$66""),INDIRECT(""'""&amp;DV$1&amp;""'!$D$4:$D$66"")=DV$2),$G$4:$BQ$4,$G54:$BQ54))),"""")"),"")</f>
        <v/>
      </c>
      <c r="DX54" s="208" t="str">
        <f t="shared" si="24"/>
        <v/>
      </c>
      <c r="DY54" s="210">
        <f>IFERROR(__xludf.DUMMYFUNCTION("AVERAGE(ARRAYFORMULA(XLOOKUP(FILTER(INDIRECT(""'""&amp;DY$1&amp;""'!$C$4:$C$66""),INDIRECT(""'""&amp;DY$1&amp;""'!$D$4:$D$66"")=DY$2),$G$4:$BQ$4,$G54:$BQ54)))"),0.26374219666666665)</f>
        <v>0.2637421967</v>
      </c>
      <c r="DZ54" s="207" t="str">
        <f>IFERROR(__xludf.DUMMYFUNCTION("IF(OR(DY54&gt;$BS54+$BT54*$BT$2,DY54&lt;$BS54-$BT54*$BT$2),AVEDEV(ARRAYFORMULA(XLOOKUP(FILTER(INDIRECT(""'""&amp;DY$1&amp;""'!$C$4:$C$66""),INDIRECT(""'""&amp;DY$1&amp;""'!$D$4:$D$66"")=DY$2),$G$4:$BQ$4,$G54:$BQ54))),"""")"),"")</f>
        <v/>
      </c>
      <c r="EA54" s="208" t="str">
        <f t="shared" si="25"/>
        <v/>
      </c>
      <c r="EB54" s="191"/>
    </row>
    <row r="55" outlineLevel="1">
      <c r="A55" s="2"/>
      <c r="B55" s="204">
        <v>51.0</v>
      </c>
      <c r="C55" s="204" t="s">
        <v>482</v>
      </c>
      <c r="D55" s="204" t="s">
        <v>495</v>
      </c>
      <c r="E55" s="205" t="b">
        <f>VLOOKUP(D55,'Feature Set List'!A51:C246,2,0)</f>
        <v>1</v>
      </c>
      <c r="F55" s="205" t="b">
        <f>VLOOKUP(D55,'Feature Set List'!A51:C246,3,0)</f>
        <v>1</v>
      </c>
      <c r="G55" s="205">
        <v>-0.0686617</v>
      </c>
      <c r="H55" s="205">
        <v>-0.0124368</v>
      </c>
      <c r="I55" s="205">
        <v>-0.7928488</v>
      </c>
      <c r="J55" s="205">
        <v>1.37323487</v>
      </c>
      <c r="K55" s="205">
        <v>0.47260008</v>
      </c>
      <c r="L55" s="205">
        <v>0.9586734</v>
      </c>
      <c r="M55" s="205">
        <v>-0.3329447</v>
      </c>
      <c r="N55" s="205">
        <v>3.42790517</v>
      </c>
      <c r="O55" s="205">
        <v>-0.1007903</v>
      </c>
      <c r="P55" s="205">
        <v>0.03925379</v>
      </c>
      <c r="Q55" s="205">
        <v>-0.030833</v>
      </c>
      <c r="R55" s="205">
        <v>1.76188625</v>
      </c>
      <c r="S55" s="205">
        <v>-0.1393963</v>
      </c>
      <c r="T55" s="205">
        <v>1.05972276</v>
      </c>
      <c r="U55" s="205">
        <v>2.09483094</v>
      </c>
      <c r="V55" s="205">
        <v>0.155331</v>
      </c>
      <c r="W55" s="205">
        <v>-0.3858013</v>
      </c>
      <c r="X55" s="205">
        <v>-0.5661355</v>
      </c>
      <c r="Y55" s="205">
        <v>0.16167897</v>
      </c>
      <c r="Z55" s="205">
        <v>-0.5472211</v>
      </c>
      <c r="AA55" s="205">
        <v>-0.7928488</v>
      </c>
      <c r="AB55" s="205">
        <v>0.03264672</v>
      </c>
      <c r="AC55" s="205">
        <v>-0.3873559</v>
      </c>
      <c r="AD55" s="205">
        <v>1.43023708</v>
      </c>
      <c r="AE55" s="205">
        <v>-0.0010364</v>
      </c>
      <c r="AF55" s="205">
        <v>0.35742972</v>
      </c>
      <c r="AG55" s="205">
        <v>2.63376085</v>
      </c>
      <c r="AH55" s="205">
        <v>-0.0721596</v>
      </c>
      <c r="AI55" s="205">
        <v>0.5907501</v>
      </c>
      <c r="AJ55" s="205">
        <v>-0.4358077</v>
      </c>
      <c r="AK55" s="205">
        <v>0.11154295</v>
      </c>
      <c r="AL55" s="205">
        <v>2.112968</v>
      </c>
      <c r="AM55" s="205">
        <v>-0.5638036</v>
      </c>
      <c r="AN55" s="205">
        <v>-0.1563674</v>
      </c>
      <c r="AO55" s="205">
        <v>0.40121777</v>
      </c>
      <c r="AP55" s="205">
        <v>-0.1536468</v>
      </c>
      <c r="AQ55" s="205">
        <v>0.24731183</v>
      </c>
      <c r="AR55" s="205">
        <v>0.0</v>
      </c>
      <c r="AS55" s="205">
        <v>1.47817075</v>
      </c>
      <c r="AT55" s="205">
        <v>1.63622231</v>
      </c>
      <c r="AU55" s="205">
        <v>1.46651121</v>
      </c>
      <c r="AV55" s="205">
        <v>-0.5452779</v>
      </c>
      <c r="AW55" s="205">
        <v>-0.7928488</v>
      </c>
      <c r="AX55" s="205">
        <v>0.05531805</v>
      </c>
      <c r="AY55" s="205">
        <v>-0.7928488</v>
      </c>
      <c r="AZ55" s="205">
        <v>-0.4903485</v>
      </c>
      <c r="BA55" s="205">
        <v>1.34214276</v>
      </c>
      <c r="BB55" s="205">
        <v>0.21621972</v>
      </c>
      <c r="BC55" s="205">
        <v>-0.2363</v>
      </c>
      <c r="BD55" s="205">
        <v>0.56743101</v>
      </c>
      <c r="BE55" s="205">
        <v>-0.1983418</v>
      </c>
      <c r="BF55" s="205">
        <v>1.59347066</v>
      </c>
      <c r="BG55" s="205">
        <v>2.78274388</v>
      </c>
      <c r="BH55" s="205">
        <v>0.55058945</v>
      </c>
      <c r="BI55" s="205">
        <v>-0.4982511</v>
      </c>
      <c r="BJ55" s="205">
        <v>-0.1029926</v>
      </c>
      <c r="BK55" s="205">
        <v>-0.4473377</v>
      </c>
      <c r="BL55" s="205">
        <v>-0.7928488</v>
      </c>
      <c r="BM55" s="205">
        <v>-0.5457961</v>
      </c>
      <c r="BN55" s="205">
        <v>0.29356134</v>
      </c>
      <c r="BO55" s="205">
        <v>-0.7538671</v>
      </c>
      <c r="BP55" s="205">
        <v>-0.1365462</v>
      </c>
      <c r="BQ55" s="205">
        <v>0.63609276</v>
      </c>
      <c r="BR55" s="206"/>
      <c r="BS55" s="207">
        <f t="shared" si="6"/>
        <v>0.320123096</v>
      </c>
      <c r="BT55" s="207">
        <f t="shared" si="7"/>
        <v>0.7519328148</v>
      </c>
      <c r="BU55" s="206"/>
      <c r="BV55" s="207">
        <f>IFERROR(__xludf.DUMMYFUNCTION("AVERAGE(ARRAYFORMULA(XLOOKUP(FILTER(INDIRECT(""'""&amp;BV$1&amp;""'!$C$4:$C$66""),INDIRECT(""'""&amp;BV$1&amp;""'!$D$4:$D$66"")=BV$2),$G$4:$BQ$4,$G55:$BQ55)))"),0.051727647142857124)</f>
        <v>0.05172764714</v>
      </c>
      <c r="BW55" s="207" t="str">
        <f>IFERROR(__xludf.DUMMYFUNCTION("IF(OR(BV55&gt;$BS55+$BT55*$BT$2,BV55&lt;$BS55-$BT55*$BT$2),AVEDEV(ARRAYFORMULA(XLOOKUP(FILTER(INDIRECT(""'""&amp;BV$1&amp;""'!$C$4:$C$66""),INDIRECT(""'""&amp;BV$1&amp;""'!$D$4:$D$66"")=BV$2),$G$4:$BQ$4,$G55:$BQ55))),"""")"),"")</f>
        <v/>
      </c>
      <c r="BX55" s="208" t="str">
        <f t="shared" si="8"/>
        <v/>
      </c>
      <c r="BY55" s="207">
        <f>IFERROR(__xludf.DUMMYFUNCTION("AVERAGE(ARRAYFORMULA(XLOOKUP(FILTER(INDIRECT(""'""&amp;BY$1&amp;""'!$C$4:$C$66""),INDIRECT(""'""&amp;BY$1&amp;""'!$D$4:$D$66"")=BY$2),$G$4:$BQ$4,$G55:$BQ55)))"),0.3921242619047619)</f>
        <v>0.3921242619</v>
      </c>
      <c r="BZ55" s="207" t="str">
        <f>IFERROR(__xludf.DUMMYFUNCTION("IF(OR(BY55&gt;$BS55+$BT55*$BT$2,BY55&lt;$BS55-$BT55*$BT$2),AVEDEV(ARRAYFORMULA(XLOOKUP(FILTER(INDIRECT(""'""&amp;BY$1&amp;""'!$C$4:$C$66""),INDIRECT(""'""&amp;BY$1&amp;""'!$D$4:$D$66"")=BY$2),$G$4:$BQ$4,$G55:$BQ55))),"""")"),"")</f>
        <v/>
      </c>
      <c r="CA55" s="208" t="str">
        <f t="shared" si="9"/>
        <v/>
      </c>
      <c r="CB55" s="207">
        <f>IFERROR(__xludf.DUMMYFUNCTION("AVERAGE(ARRAYFORMULA(XLOOKUP(FILTER(INDIRECT(""'""&amp;CB$1&amp;""'!$C$4:$C$66""),INDIRECT(""'""&amp;CB$1&amp;""'!$D$4:$D$66"")=CB$2),$G$4:$BQ$4,$G55:$BQ55)))"),0.1904862818181818)</f>
        <v>0.1904862818</v>
      </c>
      <c r="CC55" s="207" t="str">
        <f>IFERROR(__xludf.DUMMYFUNCTION("IF(OR(CB55&gt;$BS55+$BT55*$BT$2,CB55&lt;$BS55-$BT55*$BT$2),AVEDEV(ARRAYFORMULA(XLOOKUP(FILTER(INDIRECT(""'""&amp;CB$1&amp;""'!$C$4:$C$66""),INDIRECT(""'""&amp;CB$1&amp;""'!$D$4:$D$66"")=CB$2),$G$4:$BQ$4,$G55:$BQ55))),"""")"),"")</f>
        <v/>
      </c>
      <c r="CD55" s="208" t="str">
        <f t="shared" si="10"/>
        <v/>
      </c>
      <c r="CE55" s="209" t="s">
        <v>444</v>
      </c>
      <c r="CF55" s="207">
        <f>IFERROR(__xludf.DUMMYFUNCTION("AVERAGE(ARRAYFORMULA(XLOOKUP(FILTER(INDIRECT(""'""&amp;CF$1&amp;""'!$C$4:$C$66""),INDIRECT(""'""&amp;CF$1&amp;""'!$D$4:$D$66"")=CF$2),$G$4:$BQ$4,$G55:$BQ55)))"),0.8495757299999999)</f>
        <v>0.84957573</v>
      </c>
      <c r="CG55" s="207" t="str">
        <f>IFERROR(__xludf.DUMMYFUNCTION("IF(OR(CF55&gt;$BS55+$BT55*$BT$2,CF55&lt;$BS55-$BT55*$BT$2),AVEDEV(ARRAYFORMULA(XLOOKUP(FILTER(INDIRECT(""'""&amp;CF$1&amp;""'!$C$4:$C$66""),INDIRECT(""'""&amp;CF$1&amp;""'!$D$4:$D$66"")=CF$2),$G$4:$BQ$4,$G55:$BQ55))),"""")"),"")</f>
        <v/>
      </c>
      <c r="CH55" s="208" t="str">
        <f t="shared" si="11"/>
        <v/>
      </c>
      <c r="CI55" s="207">
        <f>IFERROR(__xludf.DUMMYFUNCTION("AVERAGE(ARRAYFORMULA(XLOOKUP(FILTER(INDIRECT(""'""&amp;CI$1&amp;""'!$C$4:$C$66""),INDIRECT(""'""&amp;CI$1&amp;""'!$D$4:$D$66"")=CI$2),$G$4:$BQ$4,$G55:$BQ55)))"),0.029102883548387103)</f>
        <v>0.02910288355</v>
      </c>
      <c r="CJ55" s="207" t="str">
        <f>IFERROR(__xludf.DUMMYFUNCTION("IF(OR(CI55&gt;$BS55+$BT55*$BT$2,CI55&lt;$BS55-$BT55*$BT$2),AVEDEV(ARRAYFORMULA(XLOOKUP(FILTER(INDIRECT(""'""&amp;CI$1&amp;""'!$C$4:$C$66""),INDIRECT(""'""&amp;CI$1&amp;""'!$D$4:$D$66"")=CI$2),$G$4:$BQ$4,$G55:$BQ55))),"""")"),"")</f>
        <v/>
      </c>
      <c r="CK55" s="208" t="str">
        <f t="shared" si="12"/>
        <v/>
      </c>
      <c r="CL55" s="207">
        <f>IFERROR(__xludf.DUMMYFUNCTION("AVERAGE(ARRAYFORMULA(XLOOKUP(FILTER(INDIRECT(""'""&amp;CL$1&amp;""'!$C$4:$C$66""),INDIRECT(""'""&amp;CL$1&amp;""'!$D$4:$D$66"")=CL$2),$G$4:$BQ$4,$G55:$BQ55)))"),1.340406788)</f>
        <v>1.340406788</v>
      </c>
      <c r="CM55" s="207">
        <f>IFERROR(__xludf.DUMMYFUNCTION("IF(OR(CL55&gt;$BS55+$BT55*$BT$2,CL55&lt;$BS55-$BT55*$BT$2),AVEDEV(ARRAYFORMULA(XLOOKUP(FILTER(INDIRECT(""'""&amp;CL$1&amp;""'!$C$4:$C$66""),INDIRECT(""'""&amp;CL$1&amp;""'!$D$4:$D$66"")=CL$2),$G$4:$BQ$4,$G55:$BQ55))),"""")"),0.6327348104)</f>
        <v>0.6327348104</v>
      </c>
      <c r="CN55" s="208">
        <f t="shared" si="13"/>
        <v>0.2683508771</v>
      </c>
      <c r="CO55" s="209" t="s">
        <v>444</v>
      </c>
      <c r="CP55" s="210">
        <f>IFERROR(__xludf.DUMMYFUNCTION("AVERAGE(ARRAYFORMULA(XLOOKUP(FILTER(INDIRECT(""'""&amp;CP$1&amp;""'!$C$4:$C$66""),INDIRECT(""'""&amp;CP$1&amp;""'!$D$4:$D$66"")=CP$2),$G$4:$BQ$4,$G55:$BQ55)))"),0.27888672866666664)</f>
        <v>0.2788867287</v>
      </c>
      <c r="CQ55" s="207" t="str">
        <f>IFERROR(__xludf.DUMMYFUNCTION("IF(OR(CP55&gt;$BS55+$BT55*$BT$2,CP55&lt;$BS55-$BT55*$BT$2),AVEDEV(ARRAYFORMULA(XLOOKUP(FILTER(INDIRECT(""'""&amp;CP$1&amp;""'!$C$4:$C$66""),INDIRECT(""'""&amp;CP$1&amp;""'!$D$4:$D$66"")=CP$2),$G$4:$BQ$4,$G55:$BQ55))),"""")"),"")</f>
        <v/>
      </c>
      <c r="CR55" s="208" t="str">
        <f t="shared" si="14"/>
        <v/>
      </c>
      <c r="CS55" s="210">
        <f>IFERROR(__xludf.DUMMYFUNCTION("AVERAGE(ARRAYFORMULA(XLOOKUP(FILTER(INDIRECT(""'""&amp;CS$1&amp;""'!$C$4:$C$66""),INDIRECT(""'""&amp;CS$1&amp;""'!$D$4:$D$66"")=CS$2),$G$4:$BQ$4,$G55:$BQ55)))"),0.2265173220512821)</f>
        <v>0.2265173221</v>
      </c>
      <c r="CT55" s="207" t="str">
        <f>IFERROR(__xludf.DUMMYFUNCTION("IF(OR(CS55&gt;$BS55+$BT55*$BT$2,CS55&lt;$BS55-$BT55*$BT$2),AVEDEV(ARRAYFORMULA(XLOOKUP(FILTER(INDIRECT(""'""&amp;CS$1&amp;""'!$C$4:$C$66""),INDIRECT(""'""&amp;CS$1&amp;""'!$D$4:$D$66"")=CS$2),$G$4:$BQ$4,$G55:$BQ55))),"""")"),"")</f>
        <v/>
      </c>
      <c r="CU55" s="208" t="str">
        <f t="shared" si="15"/>
        <v/>
      </c>
      <c r="CV55" s="211">
        <f>IFERROR(__xludf.DUMMYFUNCTION("AVERAGE(ARRAYFORMULA(XLOOKUP(FILTER(INDIRECT(""'""&amp;CV$1&amp;""'!$C$4:$C$66""),INDIRECT(""'""&amp;CV$1&amp;""'!$D$4:$D$66"")=CV$2),$G$4:$BQ$4,$G55:$BQ55)))"),1.340406788)</f>
        <v>1.340406788</v>
      </c>
      <c r="CW55" s="207">
        <f>IFERROR(__xludf.DUMMYFUNCTION("IF(OR(CV55&gt;$BS55+$BT55*$BT$2,CV55&lt;$BS55-$BT55*$BT$2),AVEDEV(ARRAYFORMULA(XLOOKUP(FILTER(INDIRECT(""'""&amp;CV$1&amp;""'!$C$4:$C$66""),INDIRECT(""'""&amp;CV$1&amp;""'!$D$4:$D$66"")=CV$2),$G$4:$BQ$4,$G55:$BQ55))),"""")"),0.6327348104)</f>
        <v>0.6327348104</v>
      </c>
      <c r="CX55" s="208">
        <f t="shared" si="16"/>
        <v>0.2683508771</v>
      </c>
      <c r="CY55" s="209" t="s">
        <v>444</v>
      </c>
      <c r="CZ55" s="210">
        <f>IFERROR(__xludf.DUMMYFUNCTION("AVERAGE(ARRAYFORMULA(XLOOKUP(FILTER(INDIRECT(""'""&amp;CZ$1&amp;""'!$C$4:$C$66""),INDIRECT(""'""&amp;CZ$1&amp;""'!$D$4:$D$66"")=CZ$2),$G$4:$BQ$4,$G55:$BQ55)))"),0.7742120664285714)</f>
        <v>0.7742120664</v>
      </c>
      <c r="DA55" s="207" t="str">
        <f>IFERROR(__xludf.DUMMYFUNCTION("IF(OR(CZ55&gt;$BS55+$BT55*$BT$2,CZ55&lt;$BS55-$BT55*$BT$2),AVEDEV(ARRAYFORMULA(XLOOKUP(FILTER(INDIRECT(""'""&amp;CZ$1&amp;""'!$C$4:$C$66""),INDIRECT(""'""&amp;CZ$1&amp;""'!$D$4:$D$66"")=CZ$2),$G$4:$BQ$4,$G55:$BQ55))),"""")"),"")</f>
        <v/>
      </c>
      <c r="DB55" s="208" t="str">
        <f t="shared" si="17"/>
        <v/>
      </c>
      <c r="DC55" s="210">
        <f>IFERROR(__xludf.DUMMYFUNCTION("AVERAGE(ARRAYFORMULA(XLOOKUP(FILTER(INDIRECT(""'""&amp;DC$1&amp;""'!$C$4:$C$66""),INDIRECT(""'""&amp;DC$1&amp;""'!$D$4:$D$66"")=DC$2),$G$4:$BQ$4,$G55:$BQ55)))"),0.3479437444444445)</f>
        <v>0.3479437444</v>
      </c>
      <c r="DD55" s="207" t="str">
        <f>IFERROR(__xludf.DUMMYFUNCTION("IF(OR(DC55&gt;$BS55+$BT55*$BT$2,DC55&lt;$BS55-$BT55*$BT$2),AVEDEV(ARRAYFORMULA(XLOOKUP(FILTER(INDIRECT(""'""&amp;DC$1&amp;""'!$C$4:$C$66""),INDIRECT(""'""&amp;DC$1&amp;""'!$D$4:$D$66"")=DC$2),$G$4:$BQ$4,$G55:$BQ55))),"""")"),"")</f>
        <v/>
      </c>
      <c r="DE55" s="208" t="str">
        <f t="shared" si="18"/>
        <v/>
      </c>
      <c r="DF55" s="210">
        <f>IFERROR(__xludf.DUMMYFUNCTION("AVERAGE(ARRAYFORMULA(XLOOKUP(FILTER(INDIRECT(""'""&amp;DF$1&amp;""'!$C$4:$C$66""),INDIRECT(""'""&amp;DF$1&amp;""'!$D$4:$D$66"")=DF$2),$G$4:$BQ$4,$G55:$BQ55)))"),0.06423229181818176)</f>
        <v>0.06423229182</v>
      </c>
      <c r="DG55" s="207" t="str">
        <f>IFERROR(__xludf.DUMMYFUNCTION("IF(OR(DF55&gt;$BS55+$BT55*$BT$2,DF55&lt;$BS55-$BT55*$BT$2),AVEDEV(ARRAYFORMULA(XLOOKUP(FILTER(INDIRECT(""'""&amp;DF$1&amp;""'!$C$4:$C$66""),INDIRECT(""'""&amp;DF$1&amp;""'!$D$4:$D$66"")=DF$2),$G$4:$BQ$4,$G55:$BQ55))),"""")"),"")</f>
        <v/>
      </c>
      <c r="DH55" s="208" t="str">
        <f t="shared" si="19"/>
        <v/>
      </c>
      <c r="DI55" s="210">
        <f>IFERROR(__xludf.DUMMYFUNCTION("AVERAGE(ARRAYFORMULA(XLOOKUP(FILTER(INDIRECT(""'""&amp;DI$1&amp;""'!$C$4:$C$66""),INDIRECT(""'""&amp;DI$1&amp;""'!$D$4:$D$66"")=DI$2),$G$4:$BQ$4,$G55:$BQ55)))"),0.9904132649999999)</f>
        <v>0.990413265</v>
      </c>
      <c r="DJ55" s="207" t="str">
        <f>IFERROR(__xludf.DUMMYFUNCTION("IF(OR(DI55&gt;$BS55+$BT55*$BT$2,DI55&lt;$BS55-$BT55*$BT$2),AVEDEV(ARRAYFORMULA(XLOOKUP(FILTER(INDIRECT(""'""&amp;DI$1&amp;""'!$C$4:$C$66""),INDIRECT(""'""&amp;DI$1&amp;""'!$D$4:$D$66"")=DI$2),$G$4:$BQ$4,$G55:$BQ55))),"""")"),"")</f>
        <v/>
      </c>
      <c r="DK55" s="208" t="str">
        <f t="shared" si="20"/>
        <v/>
      </c>
      <c r="DL55" s="211">
        <f>IFERROR(__xludf.DUMMYFUNCTION("AVERAGE(ARRAYFORMULA(XLOOKUP(FILTER(INDIRECT(""'""&amp;DL$1&amp;""'!$C$4:$C$66""),INDIRECT(""'""&amp;DL$1&amp;""'!$D$4:$D$66"")=DL$2),$G$4:$BQ$4,$G55:$BQ55)))"),0.03583921428571429)</f>
        <v>0.03583921429</v>
      </c>
      <c r="DM55" s="207" t="str">
        <f>IFERROR(__xludf.DUMMYFUNCTION("IF(OR(DL55&gt;$BS55+$BT55*$BT$2,DL55&lt;$BS55-$BT55*$BT$2),AVEDEV(ARRAYFORMULA(XLOOKUP(FILTER(INDIRECT(""'""&amp;DL$1&amp;""'!$C$4:$C$66""),INDIRECT(""'""&amp;DL$1&amp;""'!$D$4:$D$66"")=DL$2),$G$4:$BQ$4,$G55:$BQ55))),"""")"),"")</f>
        <v/>
      </c>
      <c r="DN55" s="208" t="str">
        <f t="shared" si="21"/>
        <v/>
      </c>
      <c r="DO55" s="209" t="s">
        <v>444</v>
      </c>
      <c r="DP55" s="210">
        <f>IFERROR(__xludf.DUMMYFUNCTION("AVERAGE(ARRAYFORMULA(XLOOKUP(FILTER(INDIRECT(""'""&amp;DP$1&amp;""'!$C$4:$C$66""),INDIRECT(""'""&amp;DP$1&amp;""'!$D$4:$D$66"")=DP$2),$G$4:$BQ$4,$G55:$BQ55)))"),0.503243085)</f>
        <v>0.503243085</v>
      </c>
      <c r="DQ55" s="207" t="str">
        <f>IFERROR(__xludf.DUMMYFUNCTION("IF(OR(DP55&gt;$BS55+$BT55*$BT$2,DP55&lt;$BS55-$BT55*$BT$2),AVEDEV(ARRAYFORMULA(XLOOKUP(FILTER(INDIRECT(""'""&amp;DP$1&amp;""'!$C$4:$C$66""),INDIRECT(""'""&amp;DP$1&amp;""'!$D$4:$D$66"")=DP$2),$G$4:$BQ$4,$G55:$BQ55))),"""")"),"")</f>
        <v/>
      </c>
      <c r="DR55" s="208" t="str">
        <f t="shared" si="22"/>
        <v/>
      </c>
      <c r="DS55" s="210">
        <f>IFERROR(__xludf.DUMMYFUNCTION("AVERAGE(ARRAYFORMULA(XLOOKUP(FILTER(INDIRECT(""'""&amp;DS$1&amp;""'!$C$4:$C$66""),INDIRECT(""'""&amp;DS$1&amp;""'!$D$4:$D$66"")=DS$2),$G$4:$BQ$4,$G55:$BQ55)))"),0.1690345566666667)</f>
        <v>0.1690345567</v>
      </c>
      <c r="DT55" s="207" t="str">
        <f>IFERROR(__xludf.DUMMYFUNCTION("IF(OR(DS55&gt;$BS55+$BT55*$BT$2,DS55&lt;$BS55-$BT55*$BT$2),AVEDEV(ARRAYFORMULA(XLOOKUP(FILTER(INDIRECT(""'""&amp;DS$1&amp;""'!$C$4:$C$66""),INDIRECT(""'""&amp;DS$1&amp;""'!$D$4:$D$66"")=DS$2),$G$4:$BQ$4,$G55:$BQ55))),"""")"),"")</f>
        <v/>
      </c>
      <c r="DU55" s="208" t="str">
        <f t="shared" si="23"/>
        <v/>
      </c>
      <c r="DV55" s="210">
        <f>IFERROR(__xludf.DUMMYFUNCTION("AVERAGE(ARRAYFORMULA(XLOOKUP(FILTER(INDIRECT(""'""&amp;DV$1&amp;""'!$C$4:$C$66""),INDIRECT(""'""&amp;DV$1&amp;""'!$D$4:$D$66"")=DV$2),$G$4:$BQ$4,$G55:$BQ55)))"),0.13808459875000006)</f>
        <v>0.1380845988</v>
      </c>
      <c r="DW55" s="207" t="str">
        <f>IFERROR(__xludf.DUMMYFUNCTION("IF(OR(DV55&gt;$BS55+$BT55*$BT$2,DV55&lt;$BS55-$BT55*$BT$2),AVEDEV(ARRAYFORMULA(XLOOKUP(FILTER(INDIRECT(""'""&amp;DV$1&amp;""'!$C$4:$C$66""),INDIRECT(""'""&amp;DV$1&amp;""'!$D$4:$D$66"")=DV$2),$G$4:$BQ$4,$G55:$BQ55))),"""")"),"")</f>
        <v/>
      </c>
      <c r="DX55" s="208" t="str">
        <f t="shared" si="24"/>
        <v/>
      </c>
      <c r="DY55" s="210">
        <f>IFERROR(__xludf.DUMMYFUNCTION("AVERAGE(ARRAYFORMULA(XLOOKUP(FILTER(INDIRECT(""'""&amp;DY$1&amp;""'!$C$4:$C$66""),INDIRECT(""'""&amp;DY$1&amp;""'!$D$4:$D$66"")=DY$2),$G$4:$BQ$4,$G55:$BQ55)))"),0.24012753444444446)</f>
        <v>0.2401275344</v>
      </c>
      <c r="DZ55" s="207" t="str">
        <f>IFERROR(__xludf.DUMMYFUNCTION("IF(OR(DY55&gt;$BS55+$BT55*$BT$2,DY55&lt;$BS55-$BT55*$BT$2),AVEDEV(ARRAYFORMULA(XLOOKUP(FILTER(INDIRECT(""'""&amp;DY$1&amp;""'!$C$4:$C$66""),INDIRECT(""'""&amp;DY$1&amp;""'!$D$4:$D$66"")=DY$2),$G$4:$BQ$4,$G55:$BQ55))),"""")"),"")</f>
        <v/>
      </c>
      <c r="EA55" s="208" t="str">
        <f t="shared" si="25"/>
        <v/>
      </c>
      <c r="EB55" s="191"/>
    </row>
    <row r="56" outlineLevel="1">
      <c r="A56" s="2"/>
      <c r="B56" s="204">
        <v>52.0</v>
      </c>
      <c r="C56" s="204" t="s">
        <v>482</v>
      </c>
      <c r="D56" s="204" t="s">
        <v>496</v>
      </c>
      <c r="E56" s="205" t="b">
        <f>VLOOKUP(D56,'Feature Set List'!A52:C246,2,0)</f>
        <v>1</v>
      </c>
      <c r="F56" s="205" t="b">
        <f>VLOOKUP(D56,'Feature Set List'!A52:C246,3,0)</f>
        <v>1</v>
      </c>
      <c r="G56" s="205">
        <v>-0.5845354</v>
      </c>
      <c r="H56" s="205">
        <v>-0.1565382</v>
      </c>
      <c r="I56" s="205">
        <v>-0.8524474</v>
      </c>
      <c r="J56" s="205">
        <v>-0.4904233</v>
      </c>
      <c r="K56" s="205">
        <v>-0.6025065</v>
      </c>
      <c r="L56" s="205">
        <v>0.49822653</v>
      </c>
      <c r="M56" s="205">
        <v>1.7299598</v>
      </c>
      <c r="N56" s="205">
        <v>-0.2414282</v>
      </c>
      <c r="O56" s="205">
        <v>0.35634902</v>
      </c>
      <c r="P56" s="205">
        <v>-0.5124143</v>
      </c>
      <c r="Q56" s="205">
        <v>0.82667297</v>
      </c>
      <c r="R56" s="205">
        <v>0.16244975</v>
      </c>
      <c r="S56" s="205">
        <v>0.03854339</v>
      </c>
      <c r="T56" s="205">
        <v>0.07826909</v>
      </c>
      <c r="U56" s="205">
        <v>-0.1215417</v>
      </c>
      <c r="V56" s="205">
        <v>0.08867345</v>
      </c>
      <c r="W56" s="205">
        <v>0.69094349</v>
      </c>
      <c r="X56" s="205">
        <v>2.79404114</v>
      </c>
      <c r="Y56" s="205">
        <v>-0.4462048</v>
      </c>
      <c r="Z56" s="205">
        <v>-0.2071412</v>
      </c>
      <c r="AA56" s="205">
        <v>-0.4802554</v>
      </c>
      <c r="AB56" s="205">
        <v>3.27642469</v>
      </c>
      <c r="AC56" s="205">
        <v>0.58950106</v>
      </c>
      <c r="AD56" s="205">
        <v>0.72972334</v>
      </c>
      <c r="AE56" s="205">
        <v>-0.7169544</v>
      </c>
      <c r="AF56" s="205">
        <v>0.18633247</v>
      </c>
      <c r="AG56" s="205">
        <v>-1.0165524</v>
      </c>
      <c r="AH56" s="205">
        <v>0.82667297</v>
      </c>
      <c r="AI56" s="205">
        <v>-0.3901632</v>
      </c>
      <c r="AJ56" s="205">
        <v>-1.242847</v>
      </c>
      <c r="AK56" s="205">
        <v>0.91652873</v>
      </c>
      <c r="AL56" s="205">
        <v>-0.0508394</v>
      </c>
      <c r="AM56" s="205">
        <v>-0.8727832</v>
      </c>
      <c r="AN56" s="205">
        <v>-0.299598</v>
      </c>
      <c r="AO56" s="205">
        <v>-0.2979428</v>
      </c>
      <c r="AP56" s="205">
        <v>0.34145188</v>
      </c>
      <c r="AQ56" s="205">
        <v>2.39678411</v>
      </c>
      <c r="AR56" s="205">
        <v>0.67344526</v>
      </c>
      <c r="AS56" s="205">
        <v>0.63040908</v>
      </c>
      <c r="AT56" s="205">
        <v>0.07566801</v>
      </c>
      <c r="AU56" s="205">
        <v>-1.2296051</v>
      </c>
      <c r="AV56" s="205">
        <v>-0.8061007</v>
      </c>
      <c r="AW56" s="205">
        <v>0.0</v>
      </c>
      <c r="AX56" s="205">
        <v>0.56396311</v>
      </c>
      <c r="AY56" s="205">
        <v>-1.3504375</v>
      </c>
      <c r="AZ56" s="205">
        <v>4.80870182</v>
      </c>
      <c r="BA56" s="205">
        <v>0.20690471</v>
      </c>
      <c r="BB56" s="205">
        <v>-0.7493497</v>
      </c>
      <c r="BC56" s="205">
        <v>0.00354694</v>
      </c>
      <c r="BD56" s="205">
        <v>-0.400331</v>
      </c>
      <c r="BE56" s="205">
        <v>-1.1537006</v>
      </c>
      <c r="BF56" s="205">
        <v>-0.5580515</v>
      </c>
      <c r="BG56" s="205">
        <v>0.49893592</v>
      </c>
      <c r="BH56" s="205">
        <v>0.29581461</v>
      </c>
      <c r="BI56" s="205">
        <v>-0.1631591</v>
      </c>
      <c r="BJ56" s="205">
        <v>-0.8110664</v>
      </c>
      <c r="BK56" s="205">
        <v>0.22865926</v>
      </c>
      <c r="BL56" s="205">
        <v>0.01489714</v>
      </c>
      <c r="BM56" s="205">
        <v>3.12272405</v>
      </c>
      <c r="BN56" s="205">
        <v>-0.3861433</v>
      </c>
      <c r="BO56" s="205">
        <v>-0.9945614</v>
      </c>
      <c r="BP56" s="205">
        <v>-0.3542209</v>
      </c>
      <c r="BQ56" s="205">
        <v>0.36675337</v>
      </c>
      <c r="BR56" s="206"/>
      <c r="BS56" s="207">
        <f t="shared" si="6"/>
        <v>0.1504464629</v>
      </c>
      <c r="BT56" s="207">
        <f t="shared" si="7"/>
        <v>0.760546399</v>
      </c>
      <c r="BU56" s="206"/>
      <c r="BV56" s="207">
        <f>IFERROR(__xludf.DUMMYFUNCTION("AVERAGE(ARRAYFORMULA(XLOOKUP(FILTER(INDIRECT(""'""&amp;BV$1&amp;""'!$C$4:$C$66""),INDIRECT(""'""&amp;BV$1&amp;""'!$D$4:$D$66"")=BV$2),$G$4:$BQ$4,$G56:$BQ56)))"),-0.12343343142857144)</f>
        <v>-0.1234334314</v>
      </c>
      <c r="BW56" s="207" t="str">
        <f>IFERROR(__xludf.DUMMYFUNCTION("IF(OR(BV56&gt;$BS56+$BT56*$BT$2,BV56&lt;$BS56-$BT56*$BT$2),AVEDEV(ARRAYFORMULA(XLOOKUP(FILTER(INDIRECT(""'""&amp;BV$1&amp;""'!$C$4:$C$66""),INDIRECT(""'""&amp;BV$1&amp;""'!$D$4:$D$66"")=BV$2),$G$4:$BQ$4,$G56:$BQ56))),"""")"),"")</f>
        <v/>
      </c>
      <c r="BX56" s="208" t="str">
        <f t="shared" si="8"/>
        <v/>
      </c>
      <c r="BY56" s="207">
        <f>IFERROR(__xludf.DUMMYFUNCTION("AVERAGE(ARRAYFORMULA(XLOOKUP(FILTER(INDIRECT(""'""&amp;BY$1&amp;""'!$C$4:$C$66""),INDIRECT(""'""&amp;BY$1&amp;""'!$D$4:$D$66"")=BY$2),$G$4:$BQ$4,$G56:$BQ56)))"),0.07251517190476184)</f>
        <v>0.0725151719</v>
      </c>
      <c r="BZ56" s="207" t="str">
        <f>IFERROR(__xludf.DUMMYFUNCTION("IF(OR(BY56&gt;$BS56+$BT56*$BT$2,BY56&lt;$BS56-$BT56*$BT$2),AVEDEV(ARRAYFORMULA(XLOOKUP(FILTER(INDIRECT(""'""&amp;BY$1&amp;""'!$C$4:$C$66""),INDIRECT(""'""&amp;BY$1&amp;""'!$D$4:$D$66"")=BY$2),$G$4:$BQ$4,$G56:$BQ56))),"""")"),"")</f>
        <v/>
      </c>
      <c r="CA56" s="208" t="str">
        <f t="shared" si="9"/>
        <v/>
      </c>
      <c r="CB56" s="207">
        <f>IFERROR(__xludf.DUMMYFUNCTION("AVERAGE(ARRAYFORMULA(XLOOKUP(FILTER(INDIRECT(""'""&amp;CB$1&amp;""'!$C$4:$C$66""),INDIRECT(""'""&amp;CB$1&amp;""'!$D$4:$D$66"")=CB$2),$G$4:$BQ$4,$G56:$BQ56)))"),0.8889915872727272)</f>
        <v>0.8889915873</v>
      </c>
      <c r="CC56" s="207" t="str">
        <f>IFERROR(__xludf.DUMMYFUNCTION("IF(OR(CB56&gt;$BS56+$BT56*$BT$2,CB56&lt;$BS56-$BT56*$BT$2),AVEDEV(ARRAYFORMULA(XLOOKUP(FILTER(INDIRECT(""'""&amp;CB$1&amp;""'!$C$4:$C$66""),INDIRECT(""'""&amp;CB$1&amp;""'!$D$4:$D$66"")=CB$2),$G$4:$BQ$4,$G56:$BQ56))),"""")"),"")</f>
        <v/>
      </c>
      <c r="CD56" s="208" t="str">
        <f t="shared" si="10"/>
        <v/>
      </c>
      <c r="CE56" s="209" t="s">
        <v>444</v>
      </c>
      <c r="CF56" s="207">
        <f>IFERROR(__xludf.DUMMYFUNCTION("AVERAGE(ARRAYFORMULA(XLOOKUP(FILTER(INDIRECT(""'""&amp;CF$1&amp;""'!$C$4:$C$66""),INDIRECT(""'""&amp;CF$1&amp;""'!$D$4:$D$66"")=CF$2),$G$4:$BQ$4,$G56:$BQ56)))"),-0.07652518250000001)</f>
        <v>-0.0765251825</v>
      </c>
      <c r="CG56" s="207" t="str">
        <f>IFERROR(__xludf.DUMMYFUNCTION("IF(OR(CF56&gt;$BS56+$BT56*$BT$2,CF56&lt;$BS56-$BT56*$BT$2),AVEDEV(ARRAYFORMULA(XLOOKUP(FILTER(INDIRECT(""'""&amp;CF$1&amp;""'!$C$4:$C$66""),INDIRECT(""'""&amp;CF$1&amp;""'!$D$4:$D$66"")=CF$2),$G$4:$BQ$4,$G56:$BQ56))),"""")"),"")</f>
        <v/>
      </c>
      <c r="CH56" s="208" t="str">
        <f t="shared" si="11"/>
        <v/>
      </c>
      <c r="CI56" s="207">
        <f>IFERROR(__xludf.DUMMYFUNCTION("AVERAGE(ARRAYFORMULA(XLOOKUP(FILTER(INDIRECT(""'""&amp;CI$1&amp;""'!$C$4:$C$66""),INDIRECT(""'""&amp;CI$1&amp;""'!$D$4:$D$66"")=CI$2),$G$4:$BQ$4,$G56:$BQ56)))"),0.22550896709677418)</f>
        <v>0.2255089671</v>
      </c>
      <c r="CJ56" s="207" t="str">
        <f>IFERROR(__xludf.DUMMYFUNCTION("IF(OR(CI56&gt;$BS56+$BT56*$BT$2,CI56&lt;$BS56-$BT56*$BT$2),AVEDEV(ARRAYFORMULA(XLOOKUP(FILTER(INDIRECT(""'""&amp;CI$1&amp;""'!$C$4:$C$66""),INDIRECT(""'""&amp;CI$1&amp;""'!$D$4:$D$66"")=CI$2),$G$4:$BQ$4,$G56:$BQ56))),"""")"),"")</f>
        <v/>
      </c>
      <c r="CK56" s="208" t="str">
        <f t="shared" si="12"/>
        <v/>
      </c>
      <c r="CL56" s="207">
        <f>IFERROR(__xludf.DUMMYFUNCTION("AVERAGE(ARRAYFORMULA(XLOOKUP(FILTER(INDIRECT(""'""&amp;CL$1&amp;""'!$C$4:$C$66""),INDIRECT(""'""&amp;CL$1&amp;""'!$D$4:$D$66"")=CL$2),$G$4:$BQ$4,$G56:$BQ56)))"),0.18042089999999997)</f>
        <v>0.1804209</v>
      </c>
      <c r="CM56" s="207" t="str">
        <f>IFERROR(__xludf.DUMMYFUNCTION("IF(OR(CL56&gt;$BS56+$BT56*$BT$2,CL56&lt;$BS56-$BT56*$BT$2),AVEDEV(ARRAYFORMULA(XLOOKUP(FILTER(INDIRECT(""'""&amp;CL$1&amp;""'!$C$4:$C$66""),INDIRECT(""'""&amp;CL$1&amp;""'!$D$4:$D$66"")=CL$2),$G$4:$BQ$4,$G56:$BQ56))),"""")"),"")</f>
        <v/>
      </c>
      <c r="CN56" s="208" t="str">
        <f t="shared" si="13"/>
        <v/>
      </c>
      <c r="CO56" s="209" t="s">
        <v>444</v>
      </c>
      <c r="CP56" s="210">
        <f>IFERROR(__xludf.DUMMYFUNCTION("AVERAGE(ARRAYFORMULA(XLOOKUP(FILTER(INDIRECT(""'""&amp;CP$1&amp;""'!$C$4:$C$66""),INDIRECT(""'""&amp;CP$1&amp;""'!$D$4:$D$66"")=CP$2),$G$4:$BQ$4,$G56:$BQ56)))"),0.34643335466666664)</f>
        <v>0.3464333547</v>
      </c>
      <c r="CQ56" s="207" t="str">
        <f>IFERROR(__xludf.DUMMYFUNCTION("IF(OR(CP56&gt;$BS56+$BT56*$BT$2,CP56&lt;$BS56-$BT56*$BT$2),AVEDEV(ARRAYFORMULA(XLOOKUP(FILTER(INDIRECT(""'""&amp;CP$1&amp;""'!$C$4:$C$66""),INDIRECT(""'""&amp;CP$1&amp;""'!$D$4:$D$66"")=CP$2),$G$4:$BQ$4,$G56:$BQ56))),"""")"),"")</f>
        <v/>
      </c>
      <c r="CR56" s="208" t="str">
        <f t="shared" si="14"/>
        <v/>
      </c>
      <c r="CS56" s="210">
        <f>IFERROR(__xludf.DUMMYFUNCTION("AVERAGE(ARRAYFORMULA(XLOOKUP(FILTER(INDIRECT(""'""&amp;CS$1&amp;""'!$C$4:$C$66""),INDIRECT(""'""&amp;CS$1&amp;""'!$D$4:$D$66"")=CS$2),$G$4:$BQ$4,$G56:$BQ56)))"),0.14992330000000004)</f>
        <v>0.1499233</v>
      </c>
      <c r="CT56" s="207" t="str">
        <f>IFERROR(__xludf.DUMMYFUNCTION("IF(OR(CS56&gt;$BS56+$BT56*$BT$2,CS56&lt;$BS56-$BT56*$BT$2),AVEDEV(ARRAYFORMULA(XLOOKUP(FILTER(INDIRECT(""'""&amp;CS$1&amp;""'!$C$4:$C$66""),INDIRECT(""'""&amp;CS$1&amp;""'!$D$4:$D$66"")=CS$2),$G$4:$BQ$4,$G56:$BQ56))),"""")"),"")</f>
        <v/>
      </c>
      <c r="CU56" s="208" t="str">
        <f t="shared" si="15"/>
        <v/>
      </c>
      <c r="CV56" s="210">
        <f>IFERROR(__xludf.DUMMYFUNCTION("AVERAGE(ARRAYFORMULA(XLOOKUP(FILTER(INDIRECT(""'""&amp;CV$1&amp;""'!$C$4:$C$66""),INDIRECT(""'""&amp;CV$1&amp;""'!$D$4:$D$66"")=CV$2),$G$4:$BQ$4,$G56:$BQ56)))"),0.18042089999999997)</f>
        <v>0.1804209</v>
      </c>
      <c r="CW56" s="207" t="str">
        <f>IFERROR(__xludf.DUMMYFUNCTION("IF(OR(CV56&gt;$BS56+$BT56*$BT$2,CV56&lt;$BS56-$BT56*$BT$2),AVEDEV(ARRAYFORMULA(XLOOKUP(FILTER(INDIRECT(""'""&amp;CV$1&amp;""'!$C$4:$C$66""),INDIRECT(""'""&amp;CV$1&amp;""'!$D$4:$D$66"")=CV$2),$G$4:$BQ$4,$G56:$BQ56))),"""")"),"")</f>
        <v/>
      </c>
      <c r="CX56" s="208" t="str">
        <f t="shared" si="16"/>
        <v/>
      </c>
      <c r="CY56" s="209" t="s">
        <v>444</v>
      </c>
      <c r="CZ56" s="210">
        <f>IFERROR(__xludf.DUMMYFUNCTION("AVERAGE(ARRAYFORMULA(XLOOKUP(FILTER(INDIRECT(""'""&amp;CZ$1&amp;""'!$C$4:$C$66""),INDIRECT(""'""&amp;CZ$1&amp;""'!$D$4:$D$66"")=CZ$2),$G$4:$BQ$4,$G56:$BQ56)))"),0.025081916428571407)</f>
        <v>0.02508191643</v>
      </c>
      <c r="DA56" s="207" t="str">
        <f>IFERROR(__xludf.DUMMYFUNCTION("IF(OR(CZ56&gt;$BS56+$BT56*$BT$2,CZ56&lt;$BS56-$BT56*$BT$2),AVEDEV(ARRAYFORMULA(XLOOKUP(FILTER(INDIRECT(""'""&amp;CZ$1&amp;""'!$C$4:$C$66""),INDIRECT(""'""&amp;CZ$1&amp;""'!$D$4:$D$66"")=CZ$2),$G$4:$BQ$4,$G56:$BQ56))),"""")"),"")</f>
        <v/>
      </c>
      <c r="DB56" s="208" t="str">
        <f t="shared" si="17"/>
        <v/>
      </c>
      <c r="DC56" s="210">
        <f>IFERROR(__xludf.DUMMYFUNCTION("AVERAGE(ARRAYFORMULA(XLOOKUP(FILTER(INDIRECT(""'""&amp;DC$1&amp;""'!$C$4:$C$66""),INDIRECT(""'""&amp;DC$1&amp;""'!$D$4:$D$66"")=DC$2),$G$4:$BQ$4,$G56:$BQ56)))"),0.2052757322222222)</f>
        <v>0.2052757322</v>
      </c>
      <c r="DD56" s="207" t="str">
        <f>IFERROR(__xludf.DUMMYFUNCTION("IF(OR(DC56&gt;$BS56+$BT56*$BT$2,DC56&lt;$BS56-$BT56*$BT$2),AVEDEV(ARRAYFORMULA(XLOOKUP(FILTER(INDIRECT(""'""&amp;DC$1&amp;""'!$C$4:$C$66""),INDIRECT(""'""&amp;DC$1&amp;""'!$D$4:$D$66"")=DC$2),$G$4:$BQ$4,$G56:$BQ56))),"""")"),"")</f>
        <v/>
      </c>
      <c r="DE56" s="208" t="str">
        <f t="shared" si="18"/>
        <v/>
      </c>
      <c r="DF56" s="210">
        <f>IFERROR(__xludf.DUMMYFUNCTION("AVERAGE(ARRAYFORMULA(XLOOKUP(FILTER(INDIRECT(""'""&amp;DF$1&amp;""'!$C$4:$C$66""),INDIRECT(""'""&amp;DF$1&amp;""'!$D$4:$D$66"")=DF$2),$G$4:$BQ$4,$G56:$BQ56)))"),0.6327951963636363)</f>
        <v>0.6327951964</v>
      </c>
      <c r="DG56" s="207" t="str">
        <f>IFERROR(__xludf.DUMMYFUNCTION("IF(OR(DF56&gt;$BS56+$BT56*$BT$2,DF56&lt;$BS56-$BT56*$BT$2),AVEDEV(ARRAYFORMULA(XLOOKUP(FILTER(INDIRECT(""'""&amp;DF$1&amp;""'!$C$4:$C$66""),INDIRECT(""'""&amp;DF$1&amp;""'!$D$4:$D$66"")=DF$2),$G$4:$BQ$4,$G56:$BQ56))),"""")"),"")</f>
        <v/>
      </c>
      <c r="DH56" s="208" t="str">
        <f t="shared" si="19"/>
        <v/>
      </c>
      <c r="DI56" s="210">
        <f>IFERROR(__xludf.DUMMYFUNCTION("AVERAGE(ARRAYFORMULA(XLOOKUP(FILTER(INDIRECT(""'""&amp;DI$1&amp;""'!$C$4:$C$66""),INDIRECT(""'""&amp;DI$1&amp;""'!$D$4:$D$66"")=DI$2),$G$4:$BQ$4,$G56:$BQ56)))"),0.512768975)</f>
        <v>0.512768975</v>
      </c>
      <c r="DJ56" s="207" t="str">
        <f>IFERROR(__xludf.DUMMYFUNCTION("IF(OR(DI56&gt;$BS56+$BT56*$BT$2,DI56&lt;$BS56-$BT56*$BT$2),AVEDEV(ARRAYFORMULA(XLOOKUP(FILTER(INDIRECT(""'""&amp;DI$1&amp;""'!$C$4:$C$66""),INDIRECT(""'""&amp;DI$1&amp;""'!$D$4:$D$66"")=DI$2),$G$4:$BQ$4,$G56:$BQ56))),"""")"),"")</f>
        <v/>
      </c>
      <c r="DK56" s="208" t="str">
        <f t="shared" si="20"/>
        <v/>
      </c>
      <c r="DL56" s="210">
        <f>IFERROR(__xludf.DUMMYFUNCTION("AVERAGE(ARRAYFORMULA(XLOOKUP(FILTER(INDIRECT(""'""&amp;DL$1&amp;""'!$C$4:$C$66""),INDIRECT(""'""&amp;DL$1&amp;""'!$D$4:$D$66"")=DL$2),$G$4:$BQ$4,$G56:$BQ56)))"),-0.03649967714285714)</f>
        <v>-0.03649967714</v>
      </c>
      <c r="DM56" s="207" t="str">
        <f>IFERROR(__xludf.DUMMYFUNCTION("IF(OR(DL56&gt;$BS56+$BT56*$BT$2,DL56&lt;$BS56-$BT56*$BT$2),AVEDEV(ARRAYFORMULA(XLOOKUP(FILTER(INDIRECT(""'""&amp;DL$1&amp;""'!$C$4:$C$66""),INDIRECT(""'""&amp;DL$1&amp;""'!$D$4:$D$66"")=DL$2),$G$4:$BQ$4,$G56:$BQ56))),"""")"),"")</f>
        <v/>
      </c>
      <c r="DN56" s="208" t="str">
        <f t="shared" si="21"/>
        <v/>
      </c>
      <c r="DO56" s="209" t="s">
        <v>444</v>
      </c>
      <c r="DP56" s="210">
        <f>IFERROR(__xludf.DUMMYFUNCTION("AVERAGE(ARRAYFORMULA(XLOOKUP(FILTER(INDIRECT(""'""&amp;DP$1&amp;""'!$C$4:$C$66""),INDIRECT(""'""&amp;DP$1&amp;""'!$D$4:$D$66"")=DP$2),$G$4:$BQ$4,$G56:$BQ56)))"),0.10128478233333335)</f>
        <v>0.1012847823</v>
      </c>
      <c r="DQ56" s="207" t="str">
        <f>IFERROR(__xludf.DUMMYFUNCTION("IF(OR(DP56&gt;$BS56+$BT56*$BT$2,DP56&lt;$BS56-$BT56*$BT$2),AVEDEV(ARRAYFORMULA(XLOOKUP(FILTER(INDIRECT(""'""&amp;DP$1&amp;""'!$C$4:$C$66""),INDIRECT(""'""&amp;DP$1&amp;""'!$D$4:$D$66"")=DP$2),$G$4:$BQ$4,$G56:$BQ56))),"""")"),"")</f>
        <v/>
      </c>
      <c r="DR56" s="208" t="str">
        <f t="shared" si="22"/>
        <v/>
      </c>
      <c r="DS56" s="210">
        <f>IFERROR(__xludf.DUMMYFUNCTION("AVERAGE(ARRAYFORMULA(XLOOKUP(FILTER(INDIRECT(""'""&amp;DS$1&amp;""'!$C$4:$C$66""),INDIRECT(""'""&amp;DS$1&amp;""'!$D$4:$D$66"")=DS$2),$G$4:$BQ$4,$G56:$BQ56)))"),0.4915530300000001)</f>
        <v>0.49155303</v>
      </c>
      <c r="DT56" s="207" t="str">
        <f>IFERROR(__xludf.DUMMYFUNCTION("IF(OR(DS56&gt;$BS56+$BT56*$BT$2,DS56&lt;$BS56-$BT56*$BT$2),AVEDEV(ARRAYFORMULA(XLOOKUP(FILTER(INDIRECT(""'""&amp;DS$1&amp;""'!$C$4:$C$66""),INDIRECT(""'""&amp;DS$1&amp;""'!$D$4:$D$66"")=DS$2),$G$4:$BQ$4,$G56:$BQ56))),"""")"),"")</f>
        <v/>
      </c>
      <c r="DU56" s="208" t="str">
        <f t="shared" si="23"/>
        <v/>
      </c>
      <c r="DV56" s="210">
        <f>IFERROR(__xludf.DUMMYFUNCTION("AVERAGE(ARRAYFORMULA(XLOOKUP(FILTER(INDIRECT(""'""&amp;DV$1&amp;""'!$C$4:$C$66""),INDIRECT(""'""&amp;DV$1&amp;""'!$D$4:$D$66"")=DV$2),$G$4:$BQ$4,$G56:$BQ56)))"),0.27137029749999997)</f>
        <v>0.2713702975</v>
      </c>
      <c r="DW56" s="207" t="str">
        <f>IFERROR(__xludf.DUMMYFUNCTION("IF(OR(DV56&gt;$BS56+$BT56*$BT$2,DV56&lt;$BS56-$BT56*$BT$2),AVEDEV(ARRAYFORMULA(XLOOKUP(FILTER(INDIRECT(""'""&amp;DV$1&amp;""'!$C$4:$C$66""),INDIRECT(""'""&amp;DV$1&amp;""'!$D$4:$D$66"")=DV$2),$G$4:$BQ$4,$G56:$BQ56))),"""")"),"")</f>
        <v/>
      </c>
      <c r="DX56" s="208" t="str">
        <f t="shared" si="24"/>
        <v/>
      </c>
      <c r="DY56" s="210">
        <f>IFERROR(__xludf.DUMMYFUNCTION("AVERAGE(ARRAYFORMULA(XLOOKUP(FILTER(INDIRECT(""'""&amp;DY$1&amp;""'!$C$4:$C$66""),INDIRECT(""'""&amp;DY$1&amp;""'!$D$4:$D$66"")=DY$2),$G$4:$BQ$4,$G56:$BQ56)))"),-0.09526813333333334)</f>
        <v>-0.09526813333</v>
      </c>
      <c r="DZ56" s="207" t="str">
        <f>IFERROR(__xludf.DUMMYFUNCTION("IF(OR(DY56&gt;$BS56+$BT56*$BT$2,DY56&lt;$BS56-$BT56*$BT$2),AVEDEV(ARRAYFORMULA(XLOOKUP(FILTER(INDIRECT(""'""&amp;DY$1&amp;""'!$C$4:$C$66""),INDIRECT(""'""&amp;DY$1&amp;""'!$D$4:$D$66"")=DY$2),$G$4:$BQ$4,$G56:$BQ56))),"""")"),"")</f>
        <v/>
      </c>
      <c r="EA56" s="208" t="str">
        <f t="shared" si="25"/>
        <v/>
      </c>
      <c r="EB56" s="191"/>
    </row>
    <row r="57" outlineLevel="1">
      <c r="A57" s="2"/>
      <c r="B57" s="204">
        <v>53.0</v>
      </c>
      <c r="C57" s="204" t="s">
        <v>482</v>
      </c>
      <c r="D57" s="204" t="s">
        <v>497</v>
      </c>
      <c r="E57" s="205" t="b">
        <f>VLOOKUP(D57,'Feature Set List'!A53:C246,2,0)</f>
        <v>1</v>
      </c>
      <c r="F57" s="205" t="b">
        <f>VLOOKUP(D57,'Feature Set List'!A53:C246,3,0)</f>
        <v>1</v>
      </c>
      <c r="G57" s="205">
        <v>0.28702602</v>
      </c>
      <c r="H57" s="205">
        <v>-0.7196055</v>
      </c>
      <c r="I57" s="205">
        <v>0.73354872</v>
      </c>
      <c r="J57" s="205">
        <v>-0.1258289</v>
      </c>
      <c r="K57" s="205">
        <v>-0.4424418</v>
      </c>
      <c r="L57" s="205">
        <v>1.13756164</v>
      </c>
      <c r="M57" s="205">
        <v>2.13093011</v>
      </c>
      <c r="N57" s="205">
        <v>-0.5573882</v>
      </c>
      <c r="O57" s="205">
        <v>0.41047441</v>
      </c>
      <c r="P57" s="205">
        <v>-0.3611631</v>
      </c>
      <c r="Q57" s="205">
        <v>-0.3805475</v>
      </c>
      <c r="R57" s="205">
        <v>0.7665363</v>
      </c>
      <c r="S57" s="205">
        <v>-0.4125149</v>
      </c>
      <c r="T57" s="205">
        <v>0.22105084</v>
      </c>
      <c r="U57" s="205">
        <v>0.19656521</v>
      </c>
      <c r="V57" s="205">
        <v>0.19962591</v>
      </c>
      <c r="W57" s="205">
        <v>2.00170039</v>
      </c>
      <c r="X57" s="205">
        <v>0.49345349</v>
      </c>
      <c r="Y57" s="205">
        <v>0.0</v>
      </c>
      <c r="Z57" s="205">
        <v>-0.8141473</v>
      </c>
      <c r="AA57" s="205">
        <v>-1.1465397</v>
      </c>
      <c r="AB57" s="205">
        <v>-0.8178881</v>
      </c>
      <c r="AC57" s="205">
        <v>-0.2363544</v>
      </c>
      <c r="AD57" s="205">
        <v>0.02448563</v>
      </c>
      <c r="AE57" s="205">
        <v>0.04353001</v>
      </c>
      <c r="AF57" s="205">
        <v>0.36864479</v>
      </c>
      <c r="AG57" s="205">
        <v>-0.3751063</v>
      </c>
      <c r="AH57" s="205">
        <v>-0.930454</v>
      </c>
      <c r="AI57" s="205">
        <v>0.24383608</v>
      </c>
      <c r="AJ57" s="205">
        <v>-1.2581194</v>
      </c>
      <c r="AK57" s="205">
        <v>0.86379867</v>
      </c>
      <c r="AL57" s="205">
        <v>1.21986057</v>
      </c>
      <c r="AM57" s="205">
        <v>0.16663833</v>
      </c>
      <c r="AN57" s="205">
        <v>0.59853766</v>
      </c>
      <c r="AO57" s="205">
        <v>1.07906819</v>
      </c>
      <c r="AP57" s="205">
        <v>0.08535963</v>
      </c>
      <c r="AQ57" s="205">
        <v>0.15779629</v>
      </c>
      <c r="AR57" s="205">
        <v>-0.6481891</v>
      </c>
      <c r="AS57" s="205">
        <v>-0.0673355</v>
      </c>
      <c r="AT57" s="205">
        <v>0.29246727</v>
      </c>
      <c r="AU57" s="205">
        <v>-0.4920932</v>
      </c>
      <c r="AV57" s="205">
        <v>-0.8634586</v>
      </c>
      <c r="AW57" s="205">
        <v>-0.9273933</v>
      </c>
      <c r="AX57" s="205">
        <v>0.63424588</v>
      </c>
      <c r="AY57" s="205">
        <v>-1.3235164</v>
      </c>
      <c r="AZ57" s="205">
        <v>1.61673185</v>
      </c>
      <c r="BA57" s="205">
        <v>0.95051862</v>
      </c>
      <c r="BB57" s="205">
        <v>-1.1140962</v>
      </c>
      <c r="BC57" s="205">
        <v>-0.7502125</v>
      </c>
      <c r="BD57" s="205">
        <v>1.42764836</v>
      </c>
      <c r="BE57" s="205">
        <v>-0.5665703</v>
      </c>
      <c r="BF57" s="205">
        <v>-0.504336</v>
      </c>
      <c r="BG57" s="205">
        <v>0.43427988</v>
      </c>
      <c r="BH57" s="205">
        <v>-0.1754804</v>
      </c>
      <c r="BI57" s="205">
        <v>-0.0887604</v>
      </c>
      <c r="BJ57" s="205">
        <v>-0.5148784</v>
      </c>
      <c r="BK57" s="205">
        <v>-0.6342459</v>
      </c>
      <c r="BL57" s="205">
        <v>2.04250978</v>
      </c>
      <c r="BM57" s="205">
        <v>-0.2700221</v>
      </c>
      <c r="BN57" s="205">
        <v>-0.4111546</v>
      </c>
      <c r="BO57" s="205">
        <v>-0.7849005</v>
      </c>
      <c r="BP57" s="205">
        <v>0.22071076</v>
      </c>
      <c r="BQ57" s="205">
        <v>1.02635606</v>
      </c>
      <c r="BR57" s="206"/>
      <c r="BS57" s="207">
        <f t="shared" si="6"/>
        <v>0.05334531508</v>
      </c>
      <c r="BT57" s="207">
        <f t="shared" si="7"/>
        <v>0.6495386531</v>
      </c>
      <c r="BU57" s="206"/>
      <c r="BV57" s="207">
        <f>IFERROR(__xludf.DUMMYFUNCTION("AVERAGE(ARRAYFORMULA(XLOOKUP(FILTER(INDIRECT(""'""&amp;BV$1&amp;""'!$C$4:$C$66""),INDIRECT(""'""&amp;BV$1&amp;""'!$D$4:$D$66"")=BV$2),$G$4:$BQ$4,$G57:$BQ57)))"),0.11534482428571434)</f>
        <v>0.1153448243</v>
      </c>
      <c r="BW57" s="207" t="str">
        <f>IFERROR(__xludf.DUMMYFUNCTION("IF(OR(BV57&gt;$BS57+$BT57*$BT$2,BV57&lt;$BS57-$BT57*$BT$2),AVEDEV(ARRAYFORMULA(XLOOKUP(FILTER(INDIRECT(""'""&amp;BV$1&amp;""'!$C$4:$C$66""),INDIRECT(""'""&amp;BV$1&amp;""'!$D$4:$D$66"")=BV$2),$G$4:$BQ$4,$G57:$BQ57))),"""")"),"")</f>
        <v/>
      </c>
      <c r="BX57" s="208" t="str">
        <f t="shared" si="8"/>
        <v/>
      </c>
      <c r="BY57" s="207">
        <f>IFERROR(__xludf.DUMMYFUNCTION("AVERAGE(ARRAYFORMULA(XLOOKUP(FILTER(INDIRECT(""'""&amp;BY$1&amp;""'!$C$4:$C$66""),INDIRECT(""'""&amp;BY$1&amp;""'!$D$4:$D$66"")=BY$2),$G$4:$BQ$4,$G57:$BQ57)))"),-0.17139861571428572)</f>
        <v>-0.1713986157</v>
      </c>
      <c r="BZ57" s="207" t="str">
        <f>IFERROR(__xludf.DUMMYFUNCTION("IF(OR(BY57&gt;$BS57+$BT57*$BT$2,BY57&lt;$BS57-$BT57*$BT$2),AVEDEV(ARRAYFORMULA(XLOOKUP(FILTER(INDIRECT(""'""&amp;BY$1&amp;""'!$C$4:$C$66""),INDIRECT(""'""&amp;BY$1&amp;""'!$D$4:$D$66"")=BY$2),$G$4:$BQ$4,$G57:$BQ57))),"""")"),"")</f>
        <v/>
      </c>
      <c r="CA57" s="208" t="str">
        <f t="shared" si="9"/>
        <v/>
      </c>
      <c r="CB57" s="207">
        <f>IFERROR(__xludf.DUMMYFUNCTION("AVERAGE(ARRAYFORMULA(XLOOKUP(FILTER(INDIRECT(""'""&amp;CB$1&amp;""'!$C$4:$C$66""),INDIRECT(""'""&amp;CB$1&amp;""'!$D$4:$D$66"")=CB$2),$G$4:$BQ$4,$G57:$BQ57)))"),0.7348162781818182)</f>
        <v>0.7348162782</v>
      </c>
      <c r="CC57" s="207">
        <f>IFERROR(__xludf.DUMMYFUNCTION("IF(OR(CB57&gt;$BS57+$BT57*$BT$2,CB57&lt;$BS57-$BT57*$BT$2),AVEDEV(ARRAYFORMULA(XLOOKUP(FILTER(INDIRECT(""'""&amp;CB$1&amp;""'!$C$4:$C$66""),INDIRECT(""'""&amp;CB$1&amp;""'!$D$4:$D$66"")=CB$2),$G$4:$BQ$4,$G57:$BQ57))),"""")"),0.756974767107438)</f>
        <v>0.7569747671</v>
      </c>
      <c r="CD57" s="208">
        <f t="shared" si="10"/>
        <v>0.03193231</v>
      </c>
      <c r="CE57" s="209" t="s">
        <v>444</v>
      </c>
      <c r="CF57" s="207">
        <f>IFERROR(__xludf.DUMMYFUNCTION("AVERAGE(ARRAYFORMULA(XLOOKUP(FILTER(INDIRECT(""'""&amp;CF$1&amp;""'!$C$4:$C$66""),INDIRECT(""'""&amp;CF$1&amp;""'!$D$4:$D$66"")=CF$2),$G$4:$BQ$4,$G57:$BQ57)))"),-0.16770107062500003)</f>
        <v>-0.1677010706</v>
      </c>
      <c r="CG57" s="207" t="str">
        <f>IFERROR(__xludf.DUMMYFUNCTION("IF(OR(CF57&gt;$BS57+$BT57*$BT$2,CF57&lt;$BS57-$BT57*$BT$2),AVEDEV(ARRAYFORMULA(XLOOKUP(FILTER(INDIRECT(""'""&amp;CF$1&amp;""'!$C$4:$C$66""),INDIRECT(""'""&amp;CF$1&amp;""'!$D$4:$D$66"")=CF$2),$G$4:$BQ$4,$G57:$BQ57))),"""")"),"")</f>
        <v/>
      </c>
      <c r="CH57" s="208" t="str">
        <f t="shared" si="11"/>
        <v/>
      </c>
      <c r="CI57" s="207">
        <f>IFERROR(__xludf.DUMMYFUNCTION("AVERAGE(ARRAYFORMULA(XLOOKUP(FILTER(INDIRECT(""'""&amp;CI$1&amp;""'!$C$4:$C$66""),INDIRECT(""'""&amp;CI$1&amp;""'!$D$4:$D$66"")=CI$2),$G$4:$BQ$4,$G57:$BQ57)))"),0.011752441935483892)</f>
        <v>0.01175244194</v>
      </c>
      <c r="CJ57" s="207" t="str">
        <f>IFERROR(__xludf.DUMMYFUNCTION("IF(OR(CI57&gt;$BS57+$BT57*$BT$2,CI57&lt;$BS57-$BT57*$BT$2),AVEDEV(ARRAYFORMULA(XLOOKUP(FILTER(INDIRECT(""'""&amp;CI$1&amp;""'!$C$4:$C$66""),INDIRECT(""'""&amp;CI$1&amp;""'!$D$4:$D$66"")=CI$2),$G$4:$BQ$4,$G57:$BQ57))),"""")"),"")</f>
        <v/>
      </c>
      <c r="CK57" s="208" t="str">
        <f t="shared" si="12"/>
        <v/>
      </c>
      <c r="CL57" s="207">
        <f>IFERROR(__xludf.DUMMYFUNCTION("AVERAGE(ARRAYFORMULA(XLOOKUP(FILTER(INDIRECT(""'""&amp;CL$1&amp;""'!$C$4:$C$66""),INDIRECT(""'""&amp;CL$1&amp;""'!$D$4:$D$66"")=CL$2),$G$4:$BQ$4,$G57:$BQ57)))"),0.23547014800000002)</f>
        <v>0.235470148</v>
      </c>
      <c r="CM57" s="207" t="str">
        <f>IFERROR(__xludf.DUMMYFUNCTION("IF(OR(CL57&gt;$BS57+$BT57*$BT$2,CL57&lt;$BS57-$BT57*$BT$2),AVEDEV(ARRAYFORMULA(XLOOKUP(FILTER(INDIRECT(""'""&amp;CL$1&amp;""'!$C$4:$C$66""),INDIRECT(""'""&amp;CL$1&amp;""'!$D$4:$D$66"")=CL$2),$G$4:$BQ$4,$G57:$BQ57))),"""")"),"")</f>
        <v/>
      </c>
      <c r="CN57" s="208" t="str">
        <f t="shared" si="13"/>
        <v/>
      </c>
      <c r="CO57" s="209" t="s">
        <v>444</v>
      </c>
      <c r="CP57" s="210">
        <f>IFERROR(__xludf.DUMMYFUNCTION("AVERAGE(ARRAYFORMULA(XLOOKUP(FILTER(INDIRECT(""'""&amp;CP$1&amp;""'!$C$4:$C$66""),INDIRECT(""'""&amp;CP$1&amp;""'!$D$4:$D$66"")=CP$2),$G$4:$BQ$4,$G57:$BQ57)))"),-0.3407447666666667)</f>
        <v>-0.3407447667</v>
      </c>
      <c r="CQ57" s="207" t="str">
        <f>IFERROR(__xludf.DUMMYFUNCTION("IF(OR(CP57&gt;$BS57+$BT57*$BT$2,CP57&lt;$BS57-$BT57*$BT$2),AVEDEV(ARRAYFORMULA(XLOOKUP(FILTER(INDIRECT(""'""&amp;CP$1&amp;""'!$C$4:$C$66""),INDIRECT(""'""&amp;CP$1&amp;""'!$D$4:$D$66"")=CP$2),$G$4:$BQ$4,$G57:$BQ57))),"""")"),"")</f>
        <v/>
      </c>
      <c r="CR57" s="208" t="str">
        <f t="shared" si="14"/>
        <v/>
      </c>
      <c r="CS57" s="210">
        <f>IFERROR(__xludf.DUMMYFUNCTION("AVERAGE(ARRAYFORMULA(XLOOKUP(FILTER(INDIRECT(""'""&amp;CS$1&amp;""'!$C$4:$C$66""),INDIRECT(""'""&amp;CS$1&amp;""'!$D$4:$D$66"")=CS$2),$G$4:$BQ$4,$G57:$BQ57)))"),0.0918708192307692)</f>
        <v>0.09187081923</v>
      </c>
      <c r="CT57" s="207" t="str">
        <f>IFERROR(__xludf.DUMMYFUNCTION("IF(OR(CS57&gt;$BS57+$BT57*$BT$2,CS57&lt;$BS57-$BT57*$BT$2),AVEDEV(ARRAYFORMULA(XLOOKUP(FILTER(INDIRECT(""'""&amp;CS$1&amp;""'!$C$4:$C$66""),INDIRECT(""'""&amp;CS$1&amp;""'!$D$4:$D$66"")=CS$2),$G$4:$BQ$4,$G57:$BQ57))),"""")"),"")</f>
        <v/>
      </c>
      <c r="CU57" s="208" t="str">
        <f t="shared" si="15"/>
        <v/>
      </c>
      <c r="CV57" s="210">
        <f>IFERROR(__xludf.DUMMYFUNCTION("AVERAGE(ARRAYFORMULA(XLOOKUP(FILTER(INDIRECT(""'""&amp;CV$1&amp;""'!$C$4:$C$66""),INDIRECT(""'""&amp;CV$1&amp;""'!$D$4:$D$66"")=CV$2),$G$4:$BQ$4,$G57:$BQ57)))"),0.23547014800000002)</f>
        <v>0.235470148</v>
      </c>
      <c r="CW57" s="207" t="str">
        <f>IFERROR(__xludf.DUMMYFUNCTION("IF(OR(CV57&gt;$BS57+$BT57*$BT$2,CV57&lt;$BS57-$BT57*$BT$2),AVEDEV(ARRAYFORMULA(XLOOKUP(FILTER(INDIRECT(""'""&amp;CV$1&amp;""'!$C$4:$C$66""),INDIRECT(""'""&amp;CV$1&amp;""'!$D$4:$D$66"")=CV$2),$G$4:$BQ$4,$G57:$BQ57))),"""")"),"")</f>
        <v/>
      </c>
      <c r="CX57" s="208" t="str">
        <f t="shared" si="16"/>
        <v/>
      </c>
      <c r="CY57" s="209" t="s">
        <v>444</v>
      </c>
      <c r="CZ57" s="210">
        <f>IFERROR(__xludf.DUMMYFUNCTION("AVERAGE(ARRAYFORMULA(XLOOKUP(FILTER(INDIRECT(""'""&amp;CZ$1&amp;""'!$C$4:$C$66""),INDIRECT(""'""&amp;CZ$1&amp;""'!$D$4:$D$66"")=CZ$2),$G$4:$BQ$4,$G57:$BQ57)))"),-0.07357835285714287)</f>
        <v>-0.07357835286</v>
      </c>
      <c r="DA57" s="207" t="str">
        <f>IFERROR(__xludf.DUMMYFUNCTION("IF(OR(CZ57&gt;$BS57+$BT57*$BT$2,CZ57&lt;$BS57-$BT57*$BT$2),AVEDEV(ARRAYFORMULA(XLOOKUP(FILTER(INDIRECT(""'""&amp;CZ$1&amp;""'!$C$4:$C$66""),INDIRECT(""'""&amp;CZ$1&amp;""'!$D$4:$D$66"")=CZ$2),$G$4:$BQ$4,$G57:$BQ57))),"""")"),"")</f>
        <v/>
      </c>
      <c r="DB57" s="208" t="str">
        <f t="shared" si="17"/>
        <v/>
      </c>
      <c r="DC57" s="210">
        <f>IFERROR(__xludf.DUMMYFUNCTION("AVERAGE(ARRAYFORMULA(XLOOKUP(FILTER(INDIRECT(""'""&amp;DC$1&amp;""'!$C$4:$C$66""),INDIRECT(""'""&amp;DC$1&amp;""'!$D$4:$D$66"")=DC$2),$G$4:$BQ$4,$G57:$BQ57)))"),0.7484743677777778)</f>
        <v>0.7484743678</v>
      </c>
      <c r="DD57" s="207">
        <f>IFERROR(__xludf.DUMMYFUNCTION("IF(OR(DC57&gt;$BS57+$BT57*$BT$2,DC57&lt;$BS57-$BT57*$BT$2),AVEDEV(ARRAYFORMULA(XLOOKUP(FILTER(INDIRECT(""'""&amp;DC$1&amp;""'!$C$4:$C$66""),INDIRECT(""'""&amp;DC$1&amp;""'!$D$4:$D$66"")=DC$2),$G$4:$BQ$4,$G57:$BQ57))),"""")"),0.7170696197530864)</f>
        <v>0.7170696198</v>
      </c>
      <c r="DE57" s="208">
        <f t="shared" si="18"/>
        <v>0.0455903996</v>
      </c>
      <c r="DF57" s="210">
        <f>IFERROR(__xludf.DUMMYFUNCTION("AVERAGE(ARRAYFORMULA(XLOOKUP(FILTER(INDIRECT(""'""&amp;DF$1&amp;""'!$C$4:$C$66""),INDIRECT(""'""&amp;DF$1&amp;""'!$D$4:$D$66"")=DF$2),$G$4:$BQ$4,$G57:$BQ57)))"),-0.24381753363636366)</f>
        <v>-0.2438175336</v>
      </c>
      <c r="DG57" s="207" t="str">
        <f>IFERROR(__xludf.DUMMYFUNCTION("IF(OR(DF57&gt;$BS57+$BT57*$BT$2,DF57&lt;$BS57-$BT57*$BT$2),AVEDEV(ARRAYFORMULA(XLOOKUP(FILTER(INDIRECT(""'""&amp;DF$1&amp;""'!$C$4:$C$66""),INDIRECT(""'""&amp;DF$1&amp;""'!$D$4:$D$66"")=DF$2),$G$4:$BQ$4,$G57:$BQ57))),"""")"),"")</f>
        <v/>
      </c>
      <c r="DH57" s="208" t="str">
        <f t="shared" si="19"/>
        <v/>
      </c>
      <c r="DI57" s="210">
        <f>IFERROR(__xludf.DUMMYFUNCTION("AVERAGE(ARRAYFORMULA(XLOOKUP(FILTER(INDIRECT(""'""&amp;DI$1&amp;""'!$C$4:$C$66""),INDIRECT(""'""&amp;DI$1&amp;""'!$D$4:$D$66"")=DI$2),$G$4:$BQ$4,$G57:$BQ57)))"),-0.075497385)</f>
        <v>-0.075497385</v>
      </c>
      <c r="DJ57" s="207" t="str">
        <f>IFERROR(__xludf.DUMMYFUNCTION("IF(OR(DI57&gt;$BS57+$BT57*$BT$2,DI57&lt;$BS57-$BT57*$BT$2),AVEDEV(ARRAYFORMULA(XLOOKUP(FILTER(INDIRECT(""'""&amp;DI$1&amp;""'!$C$4:$C$66""),INDIRECT(""'""&amp;DI$1&amp;""'!$D$4:$D$66"")=DI$2),$G$4:$BQ$4,$G57:$BQ57))),"""")"),"")</f>
        <v/>
      </c>
      <c r="DK57" s="208" t="str">
        <f t="shared" si="20"/>
        <v/>
      </c>
      <c r="DL57" s="210">
        <f>IFERROR(__xludf.DUMMYFUNCTION("AVERAGE(ARRAYFORMULA(XLOOKUP(FILTER(INDIRECT(""'""&amp;DL$1&amp;""'!$C$4:$C$66""),INDIRECT(""'""&amp;DL$1&amp;""'!$D$4:$D$66"")=DL$2),$G$4:$BQ$4,$G57:$BQ57)))"),-0.08636772357142856)</f>
        <v>-0.08636772357</v>
      </c>
      <c r="DM57" s="207" t="str">
        <f>IFERROR(__xludf.DUMMYFUNCTION("IF(OR(DL57&gt;$BS57+$BT57*$BT$2,DL57&lt;$BS57-$BT57*$BT$2),AVEDEV(ARRAYFORMULA(XLOOKUP(FILTER(INDIRECT(""'""&amp;DL$1&amp;""'!$C$4:$C$66""),INDIRECT(""'""&amp;DL$1&amp;""'!$D$4:$D$66"")=DL$2),$G$4:$BQ$4,$G57:$BQ57))),"""")"),"")</f>
        <v/>
      </c>
      <c r="DN57" s="208" t="str">
        <f t="shared" si="21"/>
        <v/>
      </c>
      <c r="DO57" s="209" t="s">
        <v>444</v>
      </c>
      <c r="DP57" s="210">
        <f>IFERROR(__xludf.DUMMYFUNCTION("AVERAGE(ARRAYFORMULA(XLOOKUP(FILTER(INDIRECT(""'""&amp;DP$1&amp;""'!$C$4:$C$66""),INDIRECT(""'""&amp;DP$1&amp;""'!$D$4:$D$66"")=DP$2),$G$4:$BQ$4,$G57:$BQ57)))"),-0.11841523433333334)</f>
        <v>-0.1184152343</v>
      </c>
      <c r="DQ57" s="207" t="str">
        <f>IFERROR(__xludf.DUMMYFUNCTION("IF(OR(DP57&gt;$BS57+$BT57*$BT$2,DP57&lt;$BS57-$BT57*$BT$2),AVEDEV(ARRAYFORMULA(XLOOKUP(FILTER(INDIRECT(""'""&amp;DP$1&amp;""'!$C$4:$C$66""),INDIRECT(""'""&amp;DP$1&amp;""'!$D$4:$D$66"")=DP$2),$G$4:$BQ$4,$G57:$BQ57))),"""")"),"")</f>
        <v/>
      </c>
      <c r="DR57" s="208" t="str">
        <f t="shared" si="22"/>
        <v/>
      </c>
      <c r="DS57" s="210">
        <f>IFERROR(__xludf.DUMMYFUNCTION("AVERAGE(ARRAYFORMULA(XLOOKUP(FILTER(INDIRECT(""'""&amp;DS$1&amp;""'!$C$4:$C$66""),INDIRECT(""'""&amp;DS$1&amp;""'!$D$4:$D$66"")=DS$2),$G$4:$BQ$4,$G57:$BQ57)))"),0.5815715355555556)</f>
        <v>0.5815715356</v>
      </c>
      <c r="DT57" s="207" t="str">
        <f>IFERROR(__xludf.DUMMYFUNCTION("IF(OR(DS57&gt;$BS57+$BT57*$BT$2,DS57&lt;$BS57-$BT57*$BT$2),AVEDEV(ARRAYFORMULA(XLOOKUP(FILTER(INDIRECT(""'""&amp;DS$1&amp;""'!$C$4:$C$66""),INDIRECT(""'""&amp;DS$1&amp;""'!$D$4:$D$66"")=DS$2),$G$4:$BQ$4,$G57:$BQ57))),"""")"),"")</f>
        <v/>
      </c>
      <c r="DU57" s="208" t="str">
        <f t="shared" si="23"/>
        <v/>
      </c>
      <c r="DV57" s="210">
        <f>IFERROR(__xludf.DUMMYFUNCTION("AVERAGE(ARRAYFORMULA(XLOOKUP(FILTER(INDIRECT(""'""&amp;DV$1&amp;""'!$C$4:$C$66""),INDIRECT(""'""&amp;DV$1&amp;""'!$D$4:$D$66"")=DV$2),$G$4:$BQ$4,$G57:$BQ57)))"),-0.14379782874999997)</f>
        <v>-0.1437978288</v>
      </c>
      <c r="DW57" s="207" t="str">
        <f>IFERROR(__xludf.DUMMYFUNCTION("IF(OR(DV57&gt;$BS57+$BT57*$BT$2,DV57&lt;$BS57-$BT57*$BT$2),AVEDEV(ARRAYFORMULA(XLOOKUP(FILTER(INDIRECT(""'""&amp;DV$1&amp;""'!$C$4:$C$66""),INDIRECT(""'""&amp;DV$1&amp;""'!$D$4:$D$66"")=DV$2),$G$4:$BQ$4,$G57:$BQ57))),"""")"),"")</f>
        <v/>
      </c>
      <c r="DX57" s="208" t="str">
        <f t="shared" si="24"/>
        <v/>
      </c>
      <c r="DY57" s="210">
        <f>IFERROR(__xludf.DUMMYFUNCTION("AVERAGE(ARRAYFORMULA(XLOOKUP(FILTER(INDIRECT(""'""&amp;DY$1&amp;""'!$C$4:$C$66""),INDIRECT(""'""&amp;DY$1&amp;""'!$D$4:$D$66"")=DY$2),$G$4:$BQ$4,$G57:$BQ57)))"),-0.20072172777777778)</f>
        <v>-0.2007217278</v>
      </c>
      <c r="DZ57" s="207" t="str">
        <f>IFERROR(__xludf.DUMMYFUNCTION("IF(OR(DY57&gt;$BS57+$BT57*$BT$2,DY57&lt;$BS57-$BT57*$BT$2),AVEDEV(ARRAYFORMULA(XLOOKUP(FILTER(INDIRECT(""'""&amp;DY$1&amp;""'!$C$4:$C$66""),INDIRECT(""'""&amp;DY$1&amp;""'!$D$4:$D$66"")=DY$2),$G$4:$BQ$4,$G57:$BQ57))),"""")"),"")</f>
        <v/>
      </c>
      <c r="EA57" s="208" t="str">
        <f t="shared" si="25"/>
        <v/>
      </c>
      <c r="EB57" s="191"/>
    </row>
    <row r="58" outlineLevel="1">
      <c r="A58" s="2"/>
      <c r="B58" s="204">
        <v>54.0</v>
      </c>
      <c r="C58" s="204" t="s">
        <v>482</v>
      </c>
      <c r="D58" s="204" t="s">
        <v>498</v>
      </c>
      <c r="E58" s="205" t="b">
        <f>VLOOKUP(D58,'Feature Set List'!A54:C246,2,0)</f>
        <v>1</v>
      </c>
      <c r="F58" s="205" t="b">
        <f>VLOOKUP(D58,'Feature Set List'!A54:C246,3,0)</f>
        <v>1</v>
      </c>
      <c r="G58" s="205">
        <v>1.23630548</v>
      </c>
      <c r="H58" s="205">
        <v>-0.0663735</v>
      </c>
      <c r="I58" s="205">
        <v>-0.4454218</v>
      </c>
      <c r="J58" s="205">
        <v>0.42622951</v>
      </c>
      <c r="K58" s="205">
        <v>0.07996801</v>
      </c>
      <c r="L58" s="205">
        <v>-0.6869252</v>
      </c>
      <c r="M58" s="205">
        <v>-1.3672131</v>
      </c>
      <c r="N58" s="205">
        <v>-0.1983207</v>
      </c>
      <c r="O58" s="205">
        <v>0.45901639</v>
      </c>
      <c r="P58" s="205">
        <v>0.41023591</v>
      </c>
      <c r="Q58" s="205">
        <v>0.8892443</v>
      </c>
      <c r="R58" s="205">
        <v>0.55097961</v>
      </c>
      <c r="S58" s="205">
        <v>0.10635746</v>
      </c>
      <c r="T58" s="205">
        <v>0.0</v>
      </c>
      <c r="U58" s="205">
        <v>1.13714514</v>
      </c>
      <c r="V58" s="205">
        <v>0.02958816</v>
      </c>
      <c r="W58" s="205">
        <v>1.03318673</v>
      </c>
      <c r="X58" s="205">
        <v>0.79888045</v>
      </c>
      <c r="Y58" s="205">
        <v>-0.0271891</v>
      </c>
      <c r="Z58" s="205">
        <v>0.23990404</v>
      </c>
      <c r="AA58" s="205">
        <v>-0.6429428</v>
      </c>
      <c r="AB58" s="205">
        <v>-0.9507397</v>
      </c>
      <c r="AC58" s="205">
        <v>-0.6757297</v>
      </c>
      <c r="AD58" s="205">
        <v>0.08156737</v>
      </c>
      <c r="AE58" s="205">
        <v>-0.8307077</v>
      </c>
      <c r="AF58" s="205">
        <v>-0.1303479</v>
      </c>
      <c r="AG58" s="205">
        <v>-0.0823671</v>
      </c>
      <c r="AH58" s="205">
        <v>-0.8118353</v>
      </c>
      <c r="AI58" s="205">
        <v>-0.335066</v>
      </c>
      <c r="AJ58" s="205">
        <v>-0.9741703</v>
      </c>
      <c r="AK58" s="205">
        <v>1.35065974</v>
      </c>
      <c r="AL58" s="205">
        <v>0.32147141</v>
      </c>
      <c r="AM58" s="205">
        <v>-1.1277089</v>
      </c>
      <c r="AN58" s="205">
        <v>-0.3142743</v>
      </c>
      <c r="AO58" s="205">
        <v>0.01679328</v>
      </c>
      <c r="AP58" s="205">
        <v>0.12954818</v>
      </c>
      <c r="AQ58" s="205">
        <v>-0.4422231</v>
      </c>
      <c r="AR58" s="205">
        <v>0.47501</v>
      </c>
      <c r="AS58" s="205">
        <v>0.49660136</v>
      </c>
      <c r="AT58" s="205">
        <v>0.48140744</v>
      </c>
      <c r="AU58" s="205">
        <v>0.27988804</v>
      </c>
      <c r="AV58" s="205">
        <v>-0.4854058</v>
      </c>
      <c r="AW58" s="205">
        <v>0.41503399</v>
      </c>
      <c r="AX58" s="205">
        <v>0.64454218</v>
      </c>
      <c r="AY58" s="205">
        <v>-1.1489004</v>
      </c>
      <c r="AZ58" s="205">
        <v>-0.7213115</v>
      </c>
      <c r="BA58" s="205">
        <v>0.54138345</v>
      </c>
      <c r="BB58" s="205">
        <v>-0.0951619</v>
      </c>
      <c r="BC58" s="205">
        <v>0.0</v>
      </c>
      <c r="BD58" s="205">
        <v>-0.3806477</v>
      </c>
      <c r="BE58" s="205">
        <v>1.11955218</v>
      </c>
      <c r="BF58" s="205">
        <v>0.74930028</v>
      </c>
      <c r="BG58" s="205">
        <v>-0.6085566</v>
      </c>
      <c r="BH58" s="205">
        <v>-0.0871651</v>
      </c>
      <c r="BI58" s="205">
        <v>-0.2159136</v>
      </c>
      <c r="BJ58" s="205">
        <v>-0.5581767</v>
      </c>
      <c r="BK58" s="205">
        <v>1.97361056</v>
      </c>
      <c r="BL58" s="205">
        <v>2.97241104</v>
      </c>
      <c r="BM58" s="205">
        <v>-0.2079168</v>
      </c>
      <c r="BN58" s="205">
        <v>1.66093563</v>
      </c>
      <c r="BO58" s="205">
        <v>-0.9544982</v>
      </c>
      <c r="BP58" s="205">
        <v>-0.6685326</v>
      </c>
      <c r="BQ58" s="205">
        <v>-0.5901639</v>
      </c>
      <c r="BR58" s="206"/>
      <c r="BS58" s="207">
        <f t="shared" si="6"/>
        <v>0.06785476698</v>
      </c>
      <c r="BT58" s="207">
        <f t="shared" si="7"/>
        <v>0.6082680128</v>
      </c>
      <c r="BU58" s="206"/>
      <c r="BV58" s="207">
        <f>IFERROR(__xludf.DUMMYFUNCTION("AVERAGE(ARRAYFORMULA(XLOOKUP(FILTER(INDIRECT(""'""&amp;BV$1&amp;""'!$C$4:$C$66""),INDIRECT(""'""&amp;BV$1&amp;""'!$D$4:$D$66"")=BV$2),$G$4:$BQ$4,$G58:$BQ58)))"),0.685817112857143)</f>
        <v>0.6858171129</v>
      </c>
      <c r="BW58" s="207">
        <f>IFERROR(__xludf.DUMMYFUNCTION("IF(OR(BV58&gt;$BS58+$BT58*$BT$2,BV58&lt;$BS58-$BT58*$BT$2),AVEDEV(ARRAYFORMULA(XLOOKUP(FILTER(INDIRECT(""'""&amp;BV$1&amp;""'!$C$4:$C$66""),INDIRECT(""'""&amp;BV$1&amp;""'!$D$4:$D$66"")=BV$2),$G$4:$BQ$4,$G58:$BQ58))),"""")"),0.9384915310204082)</f>
        <v>0.938491531</v>
      </c>
      <c r="BX58" s="208">
        <f t="shared" si="8"/>
        <v>0.009694333034</v>
      </c>
      <c r="BY58" s="207">
        <f>IFERROR(__xludf.DUMMYFUNCTION("AVERAGE(ARRAYFORMULA(XLOOKUP(FILTER(INDIRECT(""'""&amp;BY$1&amp;""'!$C$4:$C$66""),INDIRECT(""'""&amp;BY$1&amp;""'!$D$4:$D$66"")=BY$2),$G$4:$BQ$4,$G58:$BQ58)))"),-0.0014260947619047662)</f>
        <v>-0.001426094762</v>
      </c>
      <c r="BZ58" s="207" t="str">
        <f>IFERROR(__xludf.DUMMYFUNCTION("IF(OR(BY58&gt;$BS58+$BT58*$BT$2,BY58&lt;$BS58-$BT58*$BT$2),AVEDEV(ARRAYFORMULA(XLOOKUP(FILTER(INDIRECT(""'""&amp;BY$1&amp;""'!$C$4:$C$66""),INDIRECT(""'""&amp;BY$1&amp;""'!$D$4:$D$66"")=BY$2),$G$4:$BQ$4,$G58:$BQ58))),"""")"),"")</f>
        <v/>
      </c>
      <c r="CA58" s="208" t="str">
        <f t="shared" si="9"/>
        <v/>
      </c>
      <c r="CB58" s="207">
        <f>IFERROR(__xludf.DUMMYFUNCTION("AVERAGE(ARRAYFORMULA(XLOOKUP(FILTER(INDIRECT(""'""&amp;CB$1&amp;""'!$C$4:$C$66""),INDIRECT(""'""&amp;CB$1&amp;""'!$D$4:$D$66"")=CB$2),$G$4:$BQ$4,$G58:$BQ58)))"),0.007291633636363575)</f>
        <v>0.007291633636</v>
      </c>
      <c r="CC58" s="207" t="str">
        <f>IFERROR(__xludf.DUMMYFUNCTION("IF(OR(CB58&gt;$BS58+$BT58*$BT$2,CB58&lt;$BS58-$BT58*$BT$2),AVEDEV(ARRAYFORMULA(XLOOKUP(FILTER(INDIRECT(""'""&amp;CB$1&amp;""'!$C$4:$C$66""),INDIRECT(""'""&amp;CB$1&amp;""'!$D$4:$D$66"")=CB$2),$G$4:$BQ$4,$G58:$BQ58))),"""")"),"")</f>
        <v/>
      </c>
      <c r="CD58" s="208" t="str">
        <f t="shared" si="10"/>
        <v/>
      </c>
      <c r="CE58" s="209" t="s">
        <v>444</v>
      </c>
      <c r="CF58" s="207">
        <f>IFERROR(__xludf.DUMMYFUNCTION("AVERAGE(ARRAYFORMULA(XLOOKUP(FILTER(INDIRECT(""'""&amp;CF$1&amp;""'!$C$4:$C$66""),INDIRECT(""'""&amp;CF$1&amp;""'!$D$4:$D$66"")=CF$2),$G$4:$BQ$4,$G58:$BQ58)))"),0.171791278125)</f>
        <v>0.1717912781</v>
      </c>
      <c r="CG58" s="207" t="str">
        <f>IFERROR(__xludf.DUMMYFUNCTION("IF(OR(CF58&gt;$BS58+$BT58*$BT$2,CF58&lt;$BS58-$BT58*$BT$2),AVEDEV(ARRAYFORMULA(XLOOKUP(FILTER(INDIRECT(""'""&amp;CF$1&amp;""'!$C$4:$C$66""),INDIRECT(""'""&amp;CF$1&amp;""'!$D$4:$D$66"")=CF$2),$G$4:$BQ$4,$G58:$BQ58))),"""")"),"")</f>
        <v/>
      </c>
      <c r="CH58" s="208" t="str">
        <f t="shared" si="11"/>
        <v/>
      </c>
      <c r="CI58" s="207">
        <f>IFERROR(__xludf.DUMMYFUNCTION("AVERAGE(ARRAYFORMULA(XLOOKUP(FILTER(INDIRECT(""'""&amp;CI$1&amp;""'!$C$4:$C$66""),INDIRECT(""'""&amp;CI$1&amp;""'!$D$4:$D$66"")=CI$2),$G$4:$BQ$4,$G58:$BQ58)))"),-0.12092968451612902)</f>
        <v>-0.1209296845</v>
      </c>
      <c r="CJ58" s="207" t="str">
        <f>IFERROR(__xludf.DUMMYFUNCTION("IF(OR(CI58&gt;$BS58+$BT58*$BT$2,CI58&lt;$BS58-$BT58*$BT$2),AVEDEV(ARRAYFORMULA(XLOOKUP(FILTER(INDIRECT(""'""&amp;CI$1&amp;""'!$C$4:$C$66""),INDIRECT(""'""&amp;CI$1&amp;""'!$D$4:$D$66"")=CI$2),$G$4:$BQ$4,$G58:$BQ58))),"""")"),"")</f>
        <v/>
      </c>
      <c r="CK58" s="208" t="str">
        <f t="shared" si="12"/>
        <v/>
      </c>
      <c r="CL58" s="207">
        <f>IFERROR(__xludf.DUMMYFUNCTION("AVERAGE(ARRAYFORMULA(XLOOKUP(FILTER(INDIRECT(""'""&amp;CL$1&amp;""'!$C$4:$C$66""),INDIRECT(""'""&amp;CL$1&amp;""'!$D$4:$D$66"")=CL$2),$G$4:$BQ$4,$G58:$BQ58)))"),0.16793282400000004)</f>
        <v>0.167932824</v>
      </c>
      <c r="CM58" s="207" t="str">
        <f>IFERROR(__xludf.DUMMYFUNCTION("IF(OR(CL58&gt;$BS58+$BT58*$BT$2,CL58&lt;$BS58-$BT58*$BT$2),AVEDEV(ARRAYFORMULA(XLOOKUP(FILTER(INDIRECT(""'""&amp;CL$1&amp;""'!$C$4:$C$66""),INDIRECT(""'""&amp;CL$1&amp;""'!$D$4:$D$66"")=CL$2),$G$4:$BQ$4,$G58:$BQ58))),"""")"),"")</f>
        <v/>
      </c>
      <c r="CN58" s="208" t="str">
        <f t="shared" si="13"/>
        <v/>
      </c>
      <c r="CO58" s="209" t="s">
        <v>444</v>
      </c>
      <c r="CP58" s="210">
        <f>IFERROR(__xludf.DUMMYFUNCTION("AVERAGE(ARRAYFORMULA(XLOOKUP(FILTER(INDIRECT(""'""&amp;CP$1&amp;""'!$C$4:$C$66""),INDIRECT(""'""&amp;CP$1&amp;""'!$D$4:$D$66"")=CP$2),$G$4:$BQ$4,$G58:$BQ58)))"),-0.04145008066666667)</f>
        <v>-0.04145008067</v>
      </c>
      <c r="CQ58" s="207" t="str">
        <f>IFERROR(__xludf.DUMMYFUNCTION("IF(OR(CP58&gt;$BS58+$BT58*$BT$2,CP58&lt;$BS58-$BT58*$BT$2),AVEDEV(ARRAYFORMULA(XLOOKUP(FILTER(INDIRECT(""'""&amp;CP$1&amp;""'!$C$4:$C$66""),INDIRECT(""'""&amp;CP$1&amp;""'!$D$4:$D$66"")=CP$2),$G$4:$BQ$4,$G58:$BQ58))),"""")"),"")</f>
        <v/>
      </c>
      <c r="CR58" s="208" t="str">
        <f t="shared" si="14"/>
        <v/>
      </c>
      <c r="CS58" s="210">
        <f>IFERROR(__xludf.DUMMYFUNCTION("AVERAGE(ARRAYFORMULA(XLOOKUP(FILTER(INDIRECT(""'""&amp;CS$1&amp;""'!$C$4:$C$66""),INDIRECT(""'""&amp;CS$1&amp;""'!$D$4:$D$66"")=CS$2),$G$4:$BQ$4,$G58:$BQ58)))"),0.041813021282051284)</f>
        <v>0.04181302128</v>
      </c>
      <c r="CT58" s="207" t="str">
        <f>IFERROR(__xludf.DUMMYFUNCTION("IF(OR(CS58&gt;$BS58+$BT58*$BT$2,CS58&lt;$BS58-$BT58*$BT$2),AVEDEV(ARRAYFORMULA(XLOOKUP(FILTER(INDIRECT(""'""&amp;CS$1&amp;""'!$C$4:$C$66""),INDIRECT(""'""&amp;CS$1&amp;""'!$D$4:$D$66"")=CS$2),$G$4:$BQ$4,$G58:$BQ58))),"""")"),"")</f>
        <v/>
      </c>
      <c r="CU58" s="208" t="str">
        <f t="shared" si="15"/>
        <v/>
      </c>
      <c r="CV58" s="210">
        <f>IFERROR(__xludf.DUMMYFUNCTION("AVERAGE(ARRAYFORMULA(XLOOKUP(FILTER(INDIRECT(""'""&amp;CV$1&amp;""'!$C$4:$C$66""),INDIRECT(""'""&amp;CV$1&amp;""'!$D$4:$D$66"")=CV$2),$G$4:$BQ$4,$G58:$BQ58)))"),0.16793282400000004)</f>
        <v>0.167932824</v>
      </c>
      <c r="CW58" s="207" t="str">
        <f>IFERROR(__xludf.DUMMYFUNCTION("IF(OR(CV58&gt;$BS58+$BT58*$BT$2,CV58&lt;$BS58-$BT58*$BT$2),AVEDEV(ARRAYFORMULA(XLOOKUP(FILTER(INDIRECT(""'""&amp;CV$1&amp;""'!$C$4:$C$66""),INDIRECT(""'""&amp;CV$1&amp;""'!$D$4:$D$66"")=CV$2),$G$4:$BQ$4,$G58:$BQ58))),"""")"),"")</f>
        <v/>
      </c>
      <c r="CX58" s="208" t="str">
        <f t="shared" si="16"/>
        <v/>
      </c>
      <c r="CY58" s="209" t="s">
        <v>444</v>
      </c>
      <c r="CZ58" s="210">
        <f>IFERROR(__xludf.DUMMYFUNCTION("AVERAGE(ARRAYFORMULA(XLOOKUP(FILTER(INDIRECT(""'""&amp;CZ$1&amp;""'!$C$4:$C$66""),INDIRECT(""'""&amp;CZ$1&amp;""'!$D$4:$D$66"")=CZ$2),$G$4:$BQ$4,$G58:$BQ58)))"),0.245741695)</f>
        <v>0.245741695</v>
      </c>
      <c r="DA58" s="207" t="str">
        <f>IFERROR(__xludf.DUMMYFUNCTION("IF(OR(CZ58&gt;$BS58+$BT58*$BT$2,CZ58&lt;$BS58-$BT58*$BT$2),AVEDEV(ARRAYFORMULA(XLOOKUP(FILTER(INDIRECT(""'""&amp;CZ$1&amp;""'!$C$4:$C$66""),INDIRECT(""'""&amp;CZ$1&amp;""'!$D$4:$D$66"")=CZ$2),$G$4:$BQ$4,$G58:$BQ58))),"""")"),"")</f>
        <v/>
      </c>
      <c r="DB58" s="208" t="str">
        <f t="shared" si="17"/>
        <v/>
      </c>
      <c r="DC58" s="210">
        <f>IFERROR(__xludf.DUMMYFUNCTION("AVERAGE(ARRAYFORMULA(XLOOKUP(FILTER(INDIRECT(""'""&amp;DC$1&amp;""'!$C$4:$C$66""),INDIRECT(""'""&amp;DC$1&amp;""'!$D$4:$D$66"")=DC$2),$G$4:$BQ$4,$G58:$BQ58)))"),0.11215958555555552)</f>
        <v>0.1121595856</v>
      </c>
      <c r="DD58" s="207" t="str">
        <f>IFERROR(__xludf.DUMMYFUNCTION("IF(OR(DC58&gt;$BS58+$BT58*$BT$2,DC58&lt;$BS58-$BT58*$BT$2),AVEDEV(ARRAYFORMULA(XLOOKUP(FILTER(INDIRECT(""'""&amp;DC$1&amp;""'!$C$4:$C$66""),INDIRECT(""'""&amp;DC$1&amp;""'!$D$4:$D$66"")=DC$2),$G$4:$BQ$4,$G58:$BQ58))),"""")"),"")</f>
        <v/>
      </c>
      <c r="DE58" s="208" t="str">
        <f t="shared" si="18"/>
        <v/>
      </c>
      <c r="DF58" s="210">
        <f>IFERROR(__xludf.DUMMYFUNCTION("AVERAGE(ARRAYFORMULA(XLOOKUP(FILTER(INDIRECT(""'""&amp;DF$1&amp;""'!$C$4:$C$66""),INDIRECT(""'""&amp;DF$1&amp;""'!$D$4:$D$66"")=DF$2),$G$4:$BQ$4,$G58:$BQ58)))"),-0.5809966909090909)</f>
        <v>-0.5809966909</v>
      </c>
      <c r="DG58" s="207">
        <f>IFERROR(__xludf.DUMMYFUNCTION("IF(OR(DF58&gt;$BS58+$BT58*$BT$2,DF58&lt;$BS58-$BT58*$BT$2),AVEDEV(ARRAYFORMULA(XLOOKUP(FILTER(INDIRECT(""'""&amp;DF$1&amp;""'!$C$4:$C$66""),INDIRECT(""'""&amp;DF$1&amp;""'!$D$4:$D$66"")=DF$2),$G$4:$BQ$4,$G58:$BQ58))),"""")"),0.3355180314049587)</f>
        <v>0.3355180314</v>
      </c>
      <c r="DH58" s="208">
        <f t="shared" si="19"/>
        <v>-0.04058344505</v>
      </c>
      <c r="DI58" s="210">
        <f>IFERROR(__xludf.DUMMYFUNCTION("AVERAGE(ARRAYFORMULA(XLOOKUP(FILTER(INDIRECT(""'""&amp;DI$1&amp;""'!$C$4:$C$66""),INDIRECT(""'""&amp;DI$1&amp;""'!$D$4:$D$66"")=DI$2),$G$4:$BQ$4,$G58:$BQ58)))"),-0.0027988649999999976)</f>
        <v>-0.002798865</v>
      </c>
      <c r="DJ58" s="207" t="str">
        <f>IFERROR(__xludf.DUMMYFUNCTION("IF(OR(DI58&gt;$BS58+$BT58*$BT$2,DI58&lt;$BS58-$BT58*$BT$2),AVEDEV(ARRAYFORMULA(XLOOKUP(FILTER(INDIRECT(""'""&amp;DI$1&amp;""'!$C$4:$C$66""),INDIRECT(""'""&amp;DI$1&amp;""'!$D$4:$D$66"")=DI$2),$G$4:$BQ$4,$G58:$BQ58))),"""")"),"")</f>
        <v/>
      </c>
      <c r="DK58" s="208" t="str">
        <f t="shared" si="20"/>
        <v/>
      </c>
      <c r="DL58" s="210">
        <f>IFERROR(__xludf.DUMMYFUNCTION("AVERAGE(ARRAYFORMULA(XLOOKUP(FILTER(INDIRECT(""'""&amp;DL$1&amp;""'!$C$4:$C$66""),INDIRECT(""'""&amp;DL$1&amp;""'!$D$4:$D$66"")=DL$2),$G$4:$BQ$4,$G58:$BQ58)))"),0.11417148214285712)</f>
        <v>0.1141714821</v>
      </c>
      <c r="DM58" s="207" t="str">
        <f>IFERROR(__xludf.DUMMYFUNCTION("IF(OR(DL58&gt;$BS58+$BT58*$BT$2,DL58&lt;$BS58-$BT58*$BT$2),AVEDEV(ARRAYFORMULA(XLOOKUP(FILTER(INDIRECT(""'""&amp;DL$1&amp;""'!$C$4:$C$66""),INDIRECT(""'""&amp;DL$1&amp;""'!$D$4:$D$66"")=DL$2),$G$4:$BQ$4,$G58:$BQ58))),"""")"),"")</f>
        <v/>
      </c>
      <c r="DN58" s="208" t="str">
        <f t="shared" si="21"/>
        <v/>
      </c>
      <c r="DO58" s="209" t="s">
        <v>444</v>
      </c>
      <c r="DP58" s="210">
        <f>IFERROR(__xludf.DUMMYFUNCTION("AVERAGE(ARRAYFORMULA(XLOOKUP(FILTER(INDIRECT(""'""&amp;DP$1&amp;""'!$C$4:$C$66""),INDIRECT(""'""&amp;DP$1&amp;""'!$D$4:$D$66"")=DP$2),$G$4:$BQ$4,$G58:$BQ58)))"),0.033029453)</f>
        <v>0.033029453</v>
      </c>
      <c r="DQ58" s="207" t="str">
        <f>IFERROR(__xludf.DUMMYFUNCTION("IF(OR(DP58&gt;$BS58+$BT58*$BT$2,DP58&lt;$BS58-$BT58*$BT$2),AVEDEV(ARRAYFORMULA(XLOOKUP(FILTER(INDIRECT(""'""&amp;DP$1&amp;""'!$C$4:$C$66""),INDIRECT(""'""&amp;DP$1&amp;""'!$D$4:$D$66"")=DP$2),$G$4:$BQ$4,$G58:$BQ58))),"""")"),"")</f>
        <v/>
      </c>
      <c r="DR58" s="208" t="str">
        <f t="shared" si="22"/>
        <v/>
      </c>
      <c r="DS58" s="210">
        <f>IFERROR(__xludf.DUMMYFUNCTION("AVERAGE(ARRAYFORMULA(XLOOKUP(FILTER(INDIRECT(""'""&amp;DS$1&amp;""'!$C$4:$C$66""),INDIRECT(""'""&amp;DS$1&amp;""'!$D$4:$D$66"")=DS$2),$G$4:$BQ$4,$G58:$BQ58)))"),0.05262785222222219)</f>
        <v>0.05262785222</v>
      </c>
      <c r="DT58" s="207" t="str">
        <f>IFERROR(__xludf.DUMMYFUNCTION("IF(OR(DS58&gt;$BS58+$BT58*$BT$2,DS58&lt;$BS58-$BT58*$BT$2),AVEDEV(ARRAYFORMULA(XLOOKUP(FILTER(INDIRECT(""'""&amp;DS$1&amp;""'!$C$4:$C$66""),INDIRECT(""'""&amp;DS$1&amp;""'!$D$4:$D$66"")=DS$2),$G$4:$BQ$4,$G58:$BQ58))),"""")"),"")</f>
        <v/>
      </c>
      <c r="DU58" s="208" t="str">
        <f t="shared" si="23"/>
        <v/>
      </c>
      <c r="DV58" s="210">
        <f>IFERROR(__xludf.DUMMYFUNCTION("AVERAGE(ARRAYFORMULA(XLOOKUP(FILTER(INDIRECT(""'""&amp;DV$1&amp;""'!$C$4:$C$66""),INDIRECT(""'""&amp;DV$1&amp;""'!$D$4:$D$66"")=DV$2),$G$4:$BQ$4,$G58:$BQ58)))"),-0.1542283)</f>
        <v>-0.1542283</v>
      </c>
      <c r="DW58" s="207" t="str">
        <f>IFERROR(__xludf.DUMMYFUNCTION("IF(OR(DV58&gt;$BS58+$BT58*$BT$2,DV58&lt;$BS58-$BT58*$BT$2),AVEDEV(ARRAYFORMULA(XLOOKUP(FILTER(INDIRECT(""'""&amp;DV$1&amp;""'!$C$4:$C$66""),INDIRECT(""'""&amp;DV$1&amp;""'!$D$4:$D$66"")=DV$2),$G$4:$BQ$4,$G58:$BQ58))),"""")"),"")</f>
        <v/>
      </c>
      <c r="DX58" s="208" t="str">
        <f t="shared" si="24"/>
        <v/>
      </c>
      <c r="DY58" s="210">
        <f>IFERROR(__xludf.DUMMYFUNCTION("AVERAGE(ARRAYFORMULA(XLOOKUP(FILTER(INDIRECT(""'""&amp;DY$1&amp;""'!$C$4:$C$66""),INDIRECT(""'""&amp;DY$1&amp;""'!$D$4:$D$66"")=DY$2),$G$4:$BQ$4,$G58:$BQ58)))"),0.03635879444444442)</f>
        <v>0.03635879444</v>
      </c>
      <c r="DZ58" s="207" t="str">
        <f>IFERROR(__xludf.DUMMYFUNCTION("IF(OR(DY58&gt;$BS58+$BT58*$BT$2,DY58&lt;$BS58-$BT58*$BT$2),AVEDEV(ARRAYFORMULA(XLOOKUP(FILTER(INDIRECT(""'""&amp;DY$1&amp;""'!$C$4:$C$66""),INDIRECT(""'""&amp;DY$1&amp;""'!$D$4:$D$66"")=DY$2),$G$4:$BQ$4,$G58:$BQ58))),"""")"),"")</f>
        <v/>
      </c>
      <c r="EA58" s="208" t="str">
        <f t="shared" si="25"/>
        <v/>
      </c>
      <c r="EB58" s="191"/>
    </row>
    <row r="59" outlineLevel="1">
      <c r="A59" s="2"/>
      <c r="B59" s="204">
        <v>55.0</v>
      </c>
      <c r="C59" s="204" t="s">
        <v>482</v>
      </c>
      <c r="D59" s="204" t="s">
        <v>499</v>
      </c>
      <c r="E59" s="205" t="b">
        <f>VLOOKUP(D59,'Feature Set List'!A55:C246,2,0)</f>
        <v>1</v>
      </c>
      <c r="F59" s="205" t="b">
        <f>VLOOKUP(D59,'Feature Set List'!A55:C246,3,0)</f>
        <v>1</v>
      </c>
      <c r="G59" s="205">
        <v>-0.5636245</v>
      </c>
      <c r="H59" s="205">
        <v>-0.3178894</v>
      </c>
      <c r="I59" s="205">
        <v>-0.3682297</v>
      </c>
      <c r="J59" s="205">
        <v>0.72788291</v>
      </c>
      <c r="K59" s="205">
        <v>-0.7092384</v>
      </c>
      <c r="L59" s="205">
        <v>1.00177123</v>
      </c>
      <c r="M59" s="205">
        <v>-0.3141605</v>
      </c>
      <c r="N59" s="205">
        <v>0.66001678</v>
      </c>
      <c r="O59" s="205">
        <v>1.1453342</v>
      </c>
      <c r="P59" s="205">
        <v>0.79929151</v>
      </c>
      <c r="Q59" s="205">
        <v>-0.2192598</v>
      </c>
      <c r="R59" s="205">
        <v>0.59233709</v>
      </c>
      <c r="S59" s="205">
        <v>1.82772443</v>
      </c>
      <c r="T59" s="205">
        <v>0.0283397</v>
      </c>
      <c r="U59" s="205">
        <v>-0.7825301</v>
      </c>
      <c r="V59" s="205">
        <v>0.49035145</v>
      </c>
      <c r="W59" s="205">
        <v>0.38780647</v>
      </c>
      <c r="X59" s="205">
        <v>1.93399832</v>
      </c>
      <c r="Y59" s="205">
        <v>-0.4976228</v>
      </c>
      <c r="Z59" s="205">
        <v>-0.6885429</v>
      </c>
      <c r="AA59" s="205">
        <v>-0.3395171</v>
      </c>
      <c r="AB59" s="205">
        <v>1.03906032</v>
      </c>
      <c r="AC59" s="205">
        <v>0.02778037</v>
      </c>
      <c r="AD59" s="205">
        <v>-0.4375874</v>
      </c>
      <c r="AE59" s="205">
        <v>-0.1086977</v>
      </c>
      <c r="AF59" s="205">
        <v>0.42677356</v>
      </c>
      <c r="AG59" s="205">
        <v>0.59159131</v>
      </c>
      <c r="AH59" s="205">
        <v>-0.0922905</v>
      </c>
      <c r="AI59" s="205">
        <v>-0.1551226</v>
      </c>
      <c r="AJ59" s="205">
        <v>5.86799664</v>
      </c>
      <c r="AK59" s="205">
        <v>0.1629533</v>
      </c>
      <c r="AL59" s="205">
        <v>-0.4493335</v>
      </c>
      <c r="AM59" s="205">
        <v>-0.5904726</v>
      </c>
      <c r="AN59" s="205">
        <v>-0.2166496</v>
      </c>
      <c r="AO59" s="205">
        <v>0.15735993</v>
      </c>
      <c r="AP59" s="205">
        <v>0.69637364</v>
      </c>
      <c r="AQ59" s="205">
        <v>-0.4832665</v>
      </c>
      <c r="AR59" s="205">
        <v>1.3000839</v>
      </c>
      <c r="AS59" s="205">
        <v>0.00894938</v>
      </c>
      <c r="AT59" s="205">
        <v>-0.0093223</v>
      </c>
      <c r="AU59" s="205">
        <v>0.77468071</v>
      </c>
      <c r="AV59" s="205">
        <v>5.73748485</v>
      </c>
      <c r="AW59" s="205">
        <v>-0.3865014</v>
      </c>
      <c r="AX59" s="205">
        <v>-0.0594761</v>
      </c>
      <c r="AY59" s="205">
        <v>-0.9380815</v>
      </c>
      <c r="AZ59" s="205">
        <v>-0.4372145</v>
      </c>
      <c r="BA59" s="205">
        <v>1.31127063</v>
      </c>
      <c r="BB59" s="205">
        <v>-0.6691526</v>
      </c>
      <c r="BC59" s="205">
        <v>0.2175818</v>
      </c>
      <c r="BD59" s="205">
        <v>-0.2183276</v>
      </c>
      <c r="BE59" s="205">
        <v>-0.0246108</v>
      </c>
      <c r="BF59" s="205">
        <v>0.0467978</v>
      </c>
      <c r="BG59" s="205">
        <v>-0.2597185</v>
      </c>
      <c r="BH59" s="205">
        <v>-0.3794164</v>
      </c>
      <c r="BI59" s="205">
        <v>0.32292346</v>
      </c>
      <c r="BJ59" s="205">
        <v>0.0</v>
      </c>
      <c r="BK59" s="205">
        <v>0.94583761</v>
      </c>
      <c r="BL59" s="205">
        <v>-0.1430036</v>
      </c>
      <c r="BM59" s="205">
        <v>-0.3907896</v>
      </c>
      <c r="BN59" s="205">
        <v>0.9035145</v>
      </c>
      <c r="BO59" s="205">
        <v>-0.7800876</v>
      </c>
      <c r="BP59" s="205">
        <v>0.5045213</v>
      </c>
      <c r="BQ59" s="205">
        <v>0.54833597</v>
      </c>
      <c r="BR59" s="206"/>
      <c r="BS59" s="207">
        <f t="shared" si="6"/>
        <v>0.3040791583</v>
      </c>
      <c r="BT59" s="207">
        <f t="shared" si="7"/>
        <v>0.7377480315</v>
      </c>
      <c r="BU59" s="206"/>
      <c r="BV59" s="207">
        <f>IFERROR(__xludf.DUMMYFUNCTION("AVERAGE(ARRAYFORMULA(XLOOKUP(FILTER(INDIRECT(""'""&amp;BV$1&amp;""'!$C$4:$C$66""),INDIRECT(""'""&amp;BV$1&amp;""'!$D$4:$D$66"")=BV$2),$G$4:$BQ$4,$G59:$BQ59)))"),-0.06657433571428574)</f>
        <v>-0.06657433571</v>
      </c>
      <c r="BW59" s="207" t="str">
        <f>IFERROR(__xludf.DUMMYFUNCTION("IF(OR(BV59&gt;$BS59+$BT59*$BT$2,BV59&lt;$BS59-$BT59*$BT$2),AVEDEV(ARRAYFORMULA(XLOOKUP(FILTER(INDIRECT(""'""&amp;BV$1&amp;""'!$C$4:$C$66""),INDIRECT(""'""&amp;BV$1&amp;""'!$D$4:$D$66"")=BV$2),$G$4:$BQ$4,$G59:$BQ59))),"""")"),"")</f>
        <v/>
      </c>
      <c r="BX59" s="208" t="str">
        <f t="shared" si="8"/>
        <v/>
      </c>
      <c r="BY59" s="207">
        <f>IFERROR(__xludf.DUMMYFUNCTION("AVERAGE(ARRAYFORMULA(XLOOKUP(FILTER(INDIRECT(""'""&amp;BY$1&amp;""'!$C$4:$C$66""),INDIRECT(""'""&amp;BY$1&amp;""'!$D$4:$D$66"")=BY$2),$G$4:$BQ$4,$G59:$BQ59)))"),0.4210248264285714)</f>
        <v>0.4210248264</v>
      </c>
      <c r="BZ59" s="207" t="str">
        <f>IFERROR(__xludf.DUMMYFUNCTION("IF(OR(BY59&gt;$BS59+$BT59*$BT$2,BY59&lt;$BS59-$BT59*$BT$2),AVEDEV(ARRAYFORMULA(XLOOKUP(FILTER(INDIRECT(""'""&amp;BY$1&amp;""'!$C$4:$C$66""),INDIRECT(""'""&amp;BY$1&amp;""'!$D$4:$D$66"")=BY$2),$G$4:$BQ$4,$G59:$BQ59))),"""")"),"")</f>
        <v/>
      </c>
      <c r="CA59" s="208" t="str">
        <f t="shared" si="9"/>
        <v/>
      </c>
      <c r="CB59" s="207">
        <f>IFERROR(__xludf.DUMMYFUNCTION("AVERAGE(ARRAYFORMULA(XLOOKUP(FILTER(INDIRECT(""'""&amp;CB$1&amp;""'!$C$4:$C$66""),INDIRECT(""'""&amp;CB$1&amp;""'!$D$4:$D$66"")=CB$2),$G$4:$BQ$4,$G59:$BQ59)))"),0.15925829090909088)</f>
        <v>0.1592582909</v>
      </c>
      <c r="CC59" s="207" t="str">
        <f>IFERROR(__xludf.DUMMYFUNCTION("IF(OR(CB59&gt;$BS59+$BT59*$BT$2,CB59&lt;$BS59-$BT59*$BT$2),AVEDEV(ARRAYFORMULA(XLOOKUP(FILTER(INDIRECT(""'""&amp;CB$1&amp;""'!$C$4:$C$66""),INDIRECT(""'""&amp;CB$1&amp;""'!$D$4:$D$66"")=CB$2),$G$4:$BQ$4,$G59:$BQ59))),"""")"),"")</f>
        <v/>
      </c>
      <c r="CD59" s="208" t="str">
        <f t="shared" si="10"/>
        <v/>
      </c>
      <c r="CE59" s="209" t="s">
        <v>444</v>
      </c>
      <c r="CF59" s="207">
        <f>IFERROR(__xludf.DUMMYFUNCTION("AVERAGE(ARRAYFORMULA(XLOOKUP(FILTER(INDIRECT(""'""&amp;CF$1&amp;""'!$C$4:$C$66""),INDIRECT(""'""&amp;CF$1&amp;""'!$D$4:$D$66"")=CF$2),$G$4:$BQ$4,$G59:$BQ59)))"),-0.015359613125000005)</f>
        <v>-0.01535961313</v>
      </c>
      <c r="CG59" s="207" t="str">
        <f>IFERROR(__xludf.DUMMYFUNCTION("IF(OR(CF59&gt;$BS59+$BT59*$BT$2,CF59&lt;$BS59-$BT59*$BT$2),AVEDEV(ARRAYFORMULA(XLOOKUP(FILTER(INDIRECT(""'""&amp;CF$1&amp;""'!$C$4:$C$66""),INDIRECT(""'""&amp;CF$1&amp;""'!$D$4:$D$66"")=CF$2),$G$4:$BQ$4,$G59:$BQ59))),"""")"),"")</f>
        <v/>
      </c>
      <c r="CH59" s="208" t="str">
        <f t="shared" si="11"/>
        <v/>
      </c>
      <c r="CI59" s="207">
        <f>IFERROR(__xludf.DUMMYFUNCTION("AVERAGE(ARRAYFORMULA(XLOOKUP(FILTER(INDIRECT(""'""&amp;CI$1&amp;""'!$C$4:$C$66""),INDIRECT(""'""&amp;CI$1&amp;""'!$D$4:$D$66"")=CI$2),$G$4:$BQ$4,$G59:$BQ59)))"),0.5120007709677419)</f>
        <v>0.512000771</v>
      </c>
      <c r="CJ59" s="207" t="str">
        <f>IFERROR(__xludf.DUMMYFUNCTION("IF(OR(CI59&gt;$BS59+$BT59*$BT$2,CI59&lt;$BS59-$BT59*$BT$2),AVEDEV(ARRAYFORMULA(XLOOKUP(FILTER(INDIRECT(""'""&amp;CI$1&amp;""'!$C$4:$C$66""),INDIRECT(""'""&amp;CI$1&amp;""'!$D$4:$D$66"")=CI$2),$G$4:$BQ$4,$G59:$BQ59))),"""")"),"")</f>
        <v/>
      </c>
      <c r="CK59" s="208" t="str">
        <f t="shared" si="12"/>
        <v/>
      </c>
      <c r="CL59" s="207">
        <f>IFERROR(__xludf.DUMMYFUNCTION("AVERAGE(ARRAYFORMULA(XLOOKUP(FILTER(INDIRECT(""'""&amp;CL$1&amp;""'!$C$4:$C$66""),INDIRECT(""'""&amp;CL$1&amp;""'!$D$4:$D$66"")=CL$2),$G$4:$BQ$4,$G59:$BQ59)))"),0.37762654399999995)</f>
        <v>0.377626544</v>
      </c>
      <c r="CM59" s="207" t="str">
        <f>IFERROR(__xludf.DUMMYFUNCTION("IF(OR(CL59&gt;$BS59+$BT59*$BT$2,CL59&lt;$BS59-$BT59*$BT$2),AVEDEV(ARRAYFORMULA(XLOOKUP(FILTER(INDIRECT(""'""&amp;CL$1&amp;""'!$C$4:$C$66""),INDIRECT(""'""&amp;CL$1&amp;""'!$D$4:$D$66"")=CL$2),$G$4:$BQ$4,$G59:$BQ59))),"""")"),"")</f>
        <v/>
      </c>
      <c r="CN59" s="208" t="str">
        <f t="shared" si="13"/>
        <v/>
      </c>
      <c r="CO59" s="209" t="s">
        <v>444</v>
      </c>
      <c r="CP59" s="210">
        <f>IFERROR(__xludf.DUMMYFUNCTION("AVERAGE(ARRAYFORMULA(XLOOKUP(FILTER(INDIRECT(""'""&amp;CP$1&amp;""'!$C$4:$C$66""),INDIRECT(""'""&amp;CP$1&amp;""'!$D$4:$D$66"")=CP$2),$G$4:$BQ$4,$G59:$BQ59)))"),-0.03982598733333334)</f>
        <v>-0.03982598733</v>
      </c>
      <c r="CQ59" s="207" t="str">
        <f>IFERROR(__xludf.DUMMYFUNCTION("IF(OR(CP59&gt;$BS59+$BT59*$BT$2,CP59&lt;$BS59-$BT59*$BT$2),AVEDEV(ARRAYFORMULA(XLOOKUP(FILTER(INDIRECT(""'""&amp;CP$1&amp;""'!$C$4:$C$66""),INDIRECT(""'""&amp;CP$1&amp;""'!$D$4:$D$66"")=CP$2),$G$4:$BQ$4,$G59:$BQ59))),"""")"),"")</f>
        <v/>
      </c>
      <c r="CR59" s="208" t="str">
        <f t="shared" si="14"/>
        <v/>
      </c>
      <c r="CS59" s="210">
        <f>IFERROR(__xludf.DUMMYFUNCTION("AVERAGE(ARRAYFORMULA(XLOOKUP(FILTER(INDIRECT(""'""&amp;CS$1&amp;""'!$C$4:$C$66""),INDIRECT(""'""&amp;CS$1&amp;""'!$D$4:$D$66"")=CS$2),$G$4:$BQ$4,$G59:$BQ59)))"),0.456951903846154)</f>
        <v>0.4569519038</v>
      </c>
      <c r="CT59" s="207" t="str">
        <f>IFERROR(__xludf.DUMMYFUNCTION("IF(OR(CS59&gt;$BS59+$BT59*$BT$2,CS59&lt;$BS59-$BT59*$BT$2),AVEDEV(ARRAYFORMULA(XLOOKUP(FILTER(INDIRECT(""'""&amp;CS$1&amp;""'!$C$4:$C$66""),INDIRECT(""'""&amp;CS$1&amp;""'!$D$4:$D$66"")=CS$2),$G$4:$BQ$4,$G59:$BQ59))),"""")"),"")</f>
        <v/>
      </c>
      <c r="CU59" s="208" t="str">
        <f t="shared" si="15"/>
        <v/>
      </c>
      <c r="CV59" s="210">
        <f>IFERROR(__xludf.DUMMYFUNCTION("AVERAGE(ARRAYFORMULA(XLOOKUP(FILTER(INDIRECT(""'""&amp;CV$1&amp;""'!$C$4:$C$66""),INDIRECT(""'""&amp;CV$1&amp;""'!$D$4:$D$66"")=CV$2),$G$4:$BQ$4,$G59:$BQ59)))"),0.37762654399999995)</f>
        <v>0.377626544</v>
      </c>
      <c r="CW59" s="207" t="str">
        <f>IFERROR(__xludf.DUMMYFUNCTION("IF(OR(CV59&gt;$BS59+$BT59*$BT$2,CV59&lt;$BS59-$BT59*$BT$2),AVEDEV(ARRAYFORMULA(XLOOKUP(FILTER(INDIRECT(""'""&amp;CV$1&amp;""'!$C$4:$C$66""),INDIRECT(""'""&amp;CV$1&amp;""'!$D$4:$D$66"")=CV$2),$G$4:$BQ$4,$G59:$BQ59))),"""")"),"")</f>
        <v/>
      </c>
      <c r="CX59" s="208" t="str">
        <f t="shared" si="16"/>
        <v/>
      </c>
      <c r="CY59" s="209" t="s">
        <v>444</v>
      </c>
      <c r="CZ59" s="210">
        <f>IFERROR(__xludf.DUMMYFUNCTION("AVERAGE(ARRAYFORMULA(XLOOKUP(FILTER(INDIRECT(""'""&amp;CZ$1&amp;""'!$C$4:$C$66""),INDIRECT(""'""&amp;CZ$1&amp;""'!$D$4:$D$66"")=CZ$2),$G$4:$BQ$4,$G59:$BQ59)))"),0.17292812142857145)</f>
        <v>0.1729281214</v>
      </c>
      <c r="DA59" s="207" t="str">
        <f>IFERROR(__xludf.DUMMYFUNCTION("IF(OR(CZ59&gt;$BS59+$BT59*$BT$2,CZ59&lt;$BS59-$BT59*$BT$2),AVEDEV(ARRAYFORMULA(XLOOKUP(FILTER(INDIRECT(""'""&amp;CZ$1&amp;""'!$C$4:$C$66""),INDIRECT(""'""&amp;CZ$1&amp;""'!$D$4:$D$66"")=CZ$2),$G$4:$BQ$4,$G59:$BQ59))),"""")"),"")</f>
        <v/>
      </c>
      <c r="DB59" s="208" t="str">
        <f t="shared" si="17"/>
        <v/>
      </c>
      <c r="DC59" s="210">
        <f>IFERROR(__xludf.DUMMYFUNCTION("AVERAGE(ARRAYFORMULA(XLOOKUP(FILTER(INDIRECT(""'""&amp;DC$1&amp;""'!$C$4:$C$66""),INDIRECT(""'""&amp;DC$1&amp;""'!$D$4:$D$66"")=DC$2),$G$4:$BQ$4,$G59:$BQ59)))"),0.28664947777777783)</f>
        <v>0.2866494778</v>
      </c>
      <c r="DD59" s="207" t="str">
        <f>IFERROR(__xludf.DUMMYFUNCTION("IF(OR(DC59&gt;$BS59+$BT59*$BT$2,DC59&lt;$BS59-$BT59*$BT$2),AVEDEV(ARRAYFORMULA(XLOOKUP(FILTER(INDIRECT(""'""&amp;DC$1&amp;""'!$C$4:$C$66""),INDIRECT(""'""&amp;DC$1&amp;""'!$D$4:$D$66"")=DC$2),$G$4:$BQ$4,$G59:$BQ59))),"""")"),"")</f>
        <v/>
      </c>
      <c r="DE59" s="208" t="str">
        <f t="shared" si="18"/>
        <v/>
      </c>
      <c r="DF59" s="210">
        <f>IFERROR(__xludf.DUMMYFUNCTION("AVERAGE(ARRAYFORMULA(XLOOKUP(FILTER(INDIRECT(""'""&amp;DF$1&amp;""'!$C$4:$C$66""),INDIRECT(""'""&amp;DF$1&amp;""'!$D$4:$D$66"")=DF$2),$G$4:$BQ$4,$G59:$BQ59)))"),0.5566751700000001)</f>
        <v>0.55667517</v>
      </c>
      <c r="DG59" s="207" t="str">
        <f>IFERROR(__xludf.DUMMYFUNCTION("IF(OR(DF59&gt;$BS59+$BT59*$BT$2,DF59&lt;$BS59-$BT59*$BT$2),AVEDEV(ARRAYFORMULA(XLOOKUP(FILTER(INDIRECT(""'""&amp;DF$1&amp;""'!$C$4:$C$66""),INDIRECT(""'""&amp;DF$1&amp;""'!$D$4:$D$66"")=DF$2),$G$4:$BQ$4,$G59:$BQ59))),"""")"),"")</f>
        <v/>
      </c>
      <c r="DH59" s="208" t="str">
        <f t="shared" si="19"/>
        <v/>
      </c>
      <c r="DI59" s="210">
        <f>IFERROR(__xludf.DUMMYFUNCTION("AVERAGE(ARRAYFORMULA(XLOOKUP(FILTER(INDIRECT(""'""&amp;DI$1&amp;""'!$C$4:$C$66""),INDIRECT(""'""&amp;DI$1&amp;""'!$D$4:$D$66"")=DI$2),$G$4:$BQ$4,$G59:$BQ59)))"),-0.4085019)</f>
        <v>-0.4085019</v>
      </c>
      <c r="DJ59" s="207" t="str">
        <f>IFERROR(__xludf.DUMMYFUNCTION("IF(OR(DI59&gt;$BS59+$BT59*$BT$2,DI59&lt;$BS59-$BT59*$BT$2),AVEDEV(ARRAYFORMULA(XLOOKUP(FILTER(INDIRECT(""'""&amp;DI$1&amp;""'!$C$4:$C$66""),INDIRECT(""'""&amp;DI$1&amp;""'!$D$4:$D$66"")=DI$2),$G$4:$BQ$4,$G59:$BQ59))),"""")"),"")</f>
        <v/>
      </c>
      <c r="DK59" s="208" t="str">
        <f t="shared" si="20"/>
        <v/>
      </c>
      <c r="DL59" s="210">
        <f>IFERROR(__xludf.DUMMYFUNCTION("AVERAGE(ARRAYFORMULA(XLOOKUP(FILTER(INDIRECT(""'""&amp;DL$1&amp;""'!$C$4:$C$66""),INDIRECT(""'""&amp;DL$1&amp;""'!$D$4:$D$66"")=DL$2),$G$4:$BQ$4,$G59:$BQ59)))"),0.7299071757142858)</f>
        <v>0.7299071757</v>
      </c>
      <c r="DM59" s="207" t="str">
        <f>IFERROR(__xludf.DUMMYFUNCTION("IF(OR(DL59&gt;$BS59+$BT59*$BT$2,DL59&lt;$BS59-$BT59*$BT$2),AVEDEV(ARRAYFORMULA(XLOOKUP(FILTER(INDIRECT(""'""&amp;DL$1&amp;""'!$C$4:$C$66""),INDIRECT(""'""&amp;DL$1&amp;""'!$D$4:$D$66"")=DL$2),$G$4:$BQ$4,$G59:$BQ59))),"""")"),"")</f>
        <v/>
      </c>
      <c r="DN59" s="208" t="str">
        <f t="shared" si="21"/>
        <v/>
      </c>
      <c r="DO59" s="209" t="s">
        <v>444</v>
      </c>
      <c r="DP59" s="210">
        <f>IFERROR(__xludf.DUMMYFUNCTION("AVERAGE(ARRAYFORMULA(XLOOKUP(FILTER(INDIRECT(""'""&amp;DP$1&amp;""'!$C$4:$C$66""),INDIRECT(""'""&amp;DP$1&amp;""'!$D$4:$D$66"")=DP$2),$G$4:$BQ$4,$G59:$BQ59)))"),0.08398122733333334)</f>
        <v>0.08398122733</v>
      </c>
      <c r="DQ59" s="207" t="str">
        <f>IFERROR(__xludf.DUMMYFUNCTION("IF(OR(DP59&gt;$BS59+$BT59*$BT$2,DP59&lt;$BS59-$BT59*$BT$2),AVEDEV(ARRAYFORMULA(XLOOKUP(FILTER(INDIRECT(""'""&amp;DP$1&amp;""'!$C$4:$C$66""),INDIRECT(""'""&amp;DP$1&amp;""'!$D$4:$D$66"")=DP$2),$G$4:$BQ$4,$G59:$BQ59))),"""")"),"")</f>
        <v/>
      </c>
      <c r="DR59" s="208" t="str">
        <f t="shared" si="22"/>
        <v/>
      </c>
      <c r="DS59" s="210">
        <f>IFERROR(__xludf.DUMMYFUNCTION("AVERAGE(ARRAYFORMULA(XLOOKUP(FILTER(INDIRECT(""'""&amp;DS$1&amp;""'!$C$4:$C$66""),INDIRECT(""'""&amp;DS$1&amp;""'!$D$4:$D$66"")=DS$2),$G$4:$BQ$4,$G59:$BQ59)))"),0.8885988655555557)</f>
        <v>0.8885988656</v>
      </c>
      <c r="DT59" s="207" t="str">
        <f>IFERROR(__xludf.DUMMYFUNCTION("IF(OR(DS59&gt;$BS59+$BT59*$BT$2,DS59&lt;$BS59-$BT59*$BT$2),AVEDEV(ARRAYFORMULA(XLOOKUP(FILTER(INDIRECT(""'""&amp;DS$1&amp;""'!$C$4:$C$66""),INDIRECT(""'""&amp;DS$1&amp;""'!$D$4:$D$66"")=DS$2),$G$4:$BQ$4,$G59:$BQ59))),"""")"),"")</f>
        <v/>
      </c>
      <c r="DU59" s="208" t="str">
        <f t="shared" si="23"/>
        <v/>
      </c>
      <c r="DV59" s="210">
        <f>IFERROR(__xludf.DUMMYFUNCTION("AVERAGE(ARRAYFORMULA(XLOOKUP(FILTER(INDIRECT(""'""&amp;DV$1&amp;""'!$C$4:$C$66""),INDIRECT(""'""&amp;DV$1&amp;""'!$D$4:$D$66"")=DV$2),$G$4:$BQ$4,$G59:$BQ59)))"),0.8670061450000001)</f>
        <v>0.867006145</v>
      </c>
      <c r="DW59" s="207" t="str">
        <f>IFERROR(__xludf.DUMMYFUNCTION("IF(OR(DV59&gt;$BS59+$BT59*$BT$2,DV59&lt;$BS59-$BT59*$BT$2),AVEDEV(ARRAYFORMULA(XLOOKUP(FILTER(INDIRECT(""'""&amp;DV$1&amp;""'!$C$4:$C$66""),INDIRECT(""'""&amp;DV$1&amp;""'!$D$4:$D$66"")=DV$2),$G$4:$BQ$4,$G59:$BQ59))),"""")"),"")</f>
        <v/>
      </c>
      <c r="DX59" s="208" t="str">
        <f t="shared" si="24"/>
        <v/>
      </c>
      <c r="DY59" s="210">
        <f>IFERROR(__xludf.DUMMYFUNCTION("AVERAGE(ARRAYFORMULA(XLOOKUP(FILTER(INDIRECT(""'""&amp;DY$1&amp;""'!$C$4:$C$66""),INDIRECT(""'""&amp;DY$1&amp;""'!$D$4:$D$66"")=DY$2),$G$4:$BQ$4,$G59:$BQ59)))"),-0.19249452888888888)</f>
        <v>-0.1924945289</v>
      </c>
      <c r="DZ59" s="207" t="str">
        <f>IFERROR(__xludf.DUMMYFUNCTION("IF(OR(DY59&gt;$BS59+$BT59*$BT$2,DY59&lt;$BS59-$BT59*$BT$2),AVEDEV(ARRAYFORMULA(XLOOKUP(FILTER(INDIRECT(""'""&amp;DY$1&amp;""'!$C$4:$C$66""),INDIRECT(""'""&amp;DY$1&amp;""'!$D$4:$D$66"")=DY$2),$G$4:$BQ$4,$G59:$BQ59))),"""")"),"")</f>
        <v/>
      </c>
      <c r="EA59" s="208" t="str">
        <f t="shared" si="25"/>
        <v/>
      </c>
      <c r="EB59" s="191"/>
    </row>
    <row r="60" outlineLevel="1">
      <c r="A60" s="2"/>
      <c r="B60" s="204">
        <v>56.0</v>
      </c>
      <c r="C60" s="204" t="s">
        <v>482</v>
      </c>
      <c r="D60" s="204" t="s">
        <v>500</v>
      </c>
      <c r="E60" s="205" t="b">
        <f>VLOOKUP(D60,'Feature Set List'!A56:C246,2,0)</f>
        <v>1</v>
      </c>
      <c r="F60" s="205" t="b">
        <f>VLOOKUP(D60,'Feature Set List'!A56:C246,3,0)</f>
        <v>1</v>
      </c>
      <c r="G60" s="205">
        <v>-0.5199368</v>
      </c>
      <c r="H60" s="205">
        <v>0.31688038</v>
      </c>
      <c r="I60" s="205">
        <v>-0.6291937</v>
      </c>
      <c r="J60" s="205">
        <v>0.10679782</v>
      </c>
      <c r="K60" s="205">
        <v>-0.5266116</v>
      </c>
      <c r="L60" s="205">
        <v>0.40236548</v>
      </c>
      <c r="M60" s="205">
        <v>-0.3514257</v>
      </c>
      <c r="N60" s="205">
        <v>0.49136366</v>
      </c>
      <c r="O60" s="205">
        <v>0.63657123</v>
      </c>
      <c r="P60" s="205">
        <v>1.68698402</v>
      </c>
      <c r="Q60" s="205">
        <v>0.0</v>
      </c>
      <c r="R60" s="205">
        <v>0.61783477</v>
      </c>
      <c r="S60" s="205">
        <v>0.49721881</v>
      </c>
      <c r="T60" s="205">
        <v>0.42227297</v>
      </c>
      <c r="U60" s="205">
        <v>-0.519117</v>
      </c>
      <c r="V60" s="205">
        <v>0.91996019</v>
      </c>
      <c r="W60" s="205">
        <v>0.07834182</v>
      </c>
      <c r="X60" s="205">
        <v>-0.3524797</v>
      </c>
      <c r="Y60" s="205">
        <v>-0.5479244</v>
      </c>
      <c r="Z60" s="205">
        <v>0.08665613</v>
      </c>
      <c r="AA60" s="205">
        <v>-0.7356403</v>
      </c>
      <c r="AB60" s="205">
        <v>-0.72393</v>
      </c>
      <c r="AC60" s="205">
        <v>-0.4419462</v>
      </c>
      <c r="AD60" s="205">
        <v>-0.0981322</v>
      </c>
      <c r="AE60" s="205">
        <v>-0.0203759</v>
      </c>
      <c r="AF60" s="205">
        <v>0.47379823</v>
      </c>
      <c r="AG60" s="205">
        <v>-0.7384507</v>
      </c>
      <c r="AH60" s="205">
        <v>-0.4923005</v>
      </c>
      <c r="AI60" s="205">
        <v>0.90473681</v>
      </c>
      <c r="AJ60" s="205">
        <v>-0.6505065</v>
      </c>
      <c r="AK60" s="205">
        <v>0.01721412</v>
      </c>
      <c r="AL60" s="205">
        <v>-0.4241466</v>
      </c>
      <c r="AM60" s="205">
        <v>-0.5234499</v>
      </c>
      <c r="AN60" s="205">
        <v>0.31453832</v>
      </c>
      <c r="AO60" s="205">
        <v>0.83213303</v>
      </c>
      <c r="AP60" s="205">
        <v>0.16593477</v>
      </c>
      <c r="AQ60" s="205">
        <v>-0.5793079</v>
      </c>
      <c r="AR60" s="205">
        <v>2.31231337</v>
      </c>
      <c r="AS60" s="205">
        <v>0.54757304</v>
      </c>
      <c r="AT60" s="205">
        <v>-0.1580889</v>
      </c>
      <c r="AU60" s="205">
        <v>1.9469524</v>
      </c>
      <c r="AV60" s="205">
        <v>-0.4874993</v>
      </c>
      <c r="AW60" s="205">
        <v>1.40008197</v>
      </c>
      <c r="AX60" s="205">
        <v>0.93635459</v>
      </c>
      <c r="AY60" s="205">
        <v>0.44920663</v>
      </c>
      <c r="AZ60" s="205">
        <v>-0.0813865</v>
      </c>
      <c r="BA60" s="205">
        <v>-0.4287136</v>
      </c>
      <c r="BB60" s="205">
        <v>-0.7794367</v>
      </c>
      <c r="BC60" s="205">
        <v>0.91293401</v>
      </c>
      <c r="BD60" s="205">
        <v>-0.4646642</v>
      </c>
      <c r="BE60" s="205">
        <v>-0.4752035</v>
      </c>
      <c r="BF60" s="205">
        <v>-0.6116283</v>
      </c>
      <c r="BG60" s="205">
        <v>-0.2920546</v>
      </c>
      <c r="BH60" s="205">
        <v>-0.1474325</v>
      </c>
      <c r="BI60" s="205">
        <v>1.00427425</v>
      </c>
      <c r="BJ60" s="205">
        <v>1.41881843</v>
      </c>
      <c r="BK60" s="205">
        <v>0.31570935</v>
      </c>
      <c r="BL60" s="205">
        <v>-0.5878564</v>
      </c>
      <c r="BM60" s="205">
        <v>-0.5255577</v>
      </c>
      <c r="BN60" s="205">
        <v>0.17565431</v>
      </c>
      <c r="BO60" s="205">
        <v>-0.5849289</v>
      </c>
      <c r="BP60" s="205">
        <v>0.76304233</v>
      </c>
      <c r="BQ60" s="205">
        <v>0.3543533</v>
      </c>
      <c r="BR60" s="206"/>
      <c r="BS60" s="207">
        <f t="shared" si="6"/>
        <v>0.1112626006</v>
      </c>
      <c r="BT60" s="207">
        <f t="shared" si="7"/>
        <v>0.5782784264</v>
      </c>
      <c r="BU60" s="206"/>
      <c r="BV60" s="207">
        <f>IFERROR(__xludf.DUMMYFUNCTION("AVERAGE(ARRAYFORMULA(XLOOKUP(FILTER(INDIRECT(""'""&amp;BV$1&amp;""'!$C$4:$C$66""),INDIRECT(""'""&amp;BV$1&amp;""'!$D$4:$D$66"")=BV$2),$G$4:$BQ$4,$G60:$BQ60)))"),-0.20467909142857144)</f>
        <v>-0.2046790914</v>
      </c>
      <c r="BW60" s="207" t="str">
        <f>IFERROR(__xludf.DUMMYFUNCTION("IF(OR(BV60&gt;$BS60+$BT60*$BT$2,BV60&lt;$BS60-$BT60*$BT$2),AVEDEV(ARRAYFORMULA(XLOOKUP(FILTER(INDIRECT(""'""&amp;BV$1&amp;""'!$C$4:$C$66""),INDIRECT(""'""&amp;BV$1&amp;""'!$D$4:$D$66"")=BV$2),$G$4:$BQ$4,$G60:$BQ60))),"""")"),"")</f>
        <v/>
      </c>
      <c r="BX60" s="208" t="str">
        <f t="shared" si="8"/>
        <v/>
      </c>
      <c r="BY60" s="207">
        <f>IFERROR(__xludf.DUMMYFUNCTION("AVERAGE(ARRAYFORMULA(XLOOKUP(FILTER(INDIRECT(""'""&amp;BY$1&amp;""'!$C$4:$C$66""),INDIRECT(""'""&amp;BY$1&amp;""'!$D$4:$D$66"")=BY$2),$G$4:$BQ$4,$G60:$BQ60)))"),0.16619964666666662)</f>
        <v>0.1661996467</v>
      </c>
      <c r="BZ60" s="207" t="str">
        <f>IFERROR(__xludf.DUMMYFUNCTION("IF(OR(BY60&gt;$BS60+$BT60*$BT$2,BY60&lt;$BS60-$BT60*$BT$2),AVEDEV(ARRAYFORMULA(XLOOKUP(FILTER(INDIRECT(""'""&amp;BY$1&amp;""'!$C$4:$C$66""),INDIRECT(""'""&amp;BY$1&amp;""'!$D$4:$D$66"")=BY$2),$G$4:$BQ$4,$G60:$BQ60))),"""")"),"")</f>
        <v/>
      </c>
      <c r="CA60" s="208" t="str">
        <f t="shared" si="9"/>
        <v/>
      </c>
      <c r="CB60" s="207">
        <f>IFERROR(__xludf.DUMMYFUNCTION("AVERAGE(ARRAYFORMULA(XLOOKUP(FILTER(INDIRECT(""'""&amp;CB$1&amp;""'!$C$4:$C$66""),INDIRECT(""'""&amp;CB$1&amp;""'!$D$4:$D$66"")=CB$2),$G$4:$BQ$4,$G60:$BQ60)))"),0.05534707454545454)</f>
        <v>0.05534707455</v>
      </c>
      <c r="CC60" s="207" t="str">
        <f>IFERROR(__xludf.DUMMYFUNCTION("IF(OR(CB60&gt;$BS60+$BT60*$BT$2,CB60&lt;$BS60-$BT60*$BT$2),AVEDEV(ARRAYFORMULA(XLOOKUP(FILTER(INDIRECT(""'""&amp;CB$1&amp;""'!$C$4:$C$66""),INDIRECT(""'""&amp;CB$1&amp;""'!$D$4:$D$66"")=CB$2),$G$4:$BQ$4,$G60:$BQ60))),"""")"),"")</f>
        <v/>
      </c>
      <c r="CD60" s="208" t="str">
        <f t="shared" si="10"/>
        <v/>
      </c>
      <c r="CE60" s="209" t="s">
        <v>444</v>
      </c>
      <c r="CF60" s="207">
        <f>IFERROR(__xludf.DUMMYFUNCTION("AVERAGE(ARRAYFORMULA(XLOOKUP(FILTER(INDIRECT(""'""&amp;CF$1&amp;""'!$C$4:$C$66""),INDIRECT(""'""&amp;CF$1&amp;""'!$D$4:$D$66"")=CF$2),$G$4:$BQ$4,$G60:$BQ60)))"),0.02437204499999998)</f>
        <v>0.024372045</v>
      </c>
      <c r="CG60" s="207" t="str">
        <f>IFERROR(__xludf.DUMMYFUNCTION("IF(OR(CF60&gt;$BS60+$BT60*$BT$2,CF60&lt;$BS60-$BT60*$BT$2),AVEDEV(ARRAYFORMULA(XLOOKUP(FILTER(INDIRECT(""'""&amp;CF$1&amp;""'!$C$4:$C$66""),INDIRECT(""'""&amp;CF$1&amp;""'!$D$4:$D$66"")=CF$2),$G$4:$BQ$4,$G60:$BQ60))),"""")"),"")</f>
        <v/>
      </c>
      <c r="CH60" s="208" t="str">
        <f t="shared" si="11"/>
        <v/>
      </c>
      <c r="CI60" s="207">
        <f>IFERROR(__xludf.DUMMYFUNCTION("AVERAGE(ARRAYFORMULA(XLOOKUP(FILTER(INDIRECT(""'""&amp;CI$1&amp;""'!$C$4:$C$66""),INDIRECT(""'""&amp;CI$1&amp;""'!$D$4:$D$66"")=CI$2),$G$4:$BQ$4,$G60:$BQ60)))"),0.07485139677419356)</f>
        <v>0.07485139677</v>
      </c>
      <c r="CJ60" s="207" t="str">
        <f>IFERROR(__xludf.DUMMYFUNCTION("IF(OR(CI60&gt;$BS60+$BT60*$BT$2,CI60&lt;$BS60-$BT60*$BT$2),AVEDEV(ARRAYFORMULA(XLOOKUP(FILTER(INDIRECT(""'""&amp;CI$1&amp;""'!$C$4:$C$66""),INDIRECT(""'""&amp;CI$1&amp;""'!$D$4:$D$66"")=CI$2),$G$4:$BQ$4,$G60:$BQ60))),"""")"),"")</f>
        <v/>
      </c>
      <c r="CK60" s="208" t="str">
        <f t="shared" si="12"/>
        <v/>
      </c>
      <c r="CL60" s="207">
        <f>IFERROR(__xludf.DUMMYFUNCTION("AVERAGE(ARRAYFORMULA(XLOOKUP(FILTER(INDIRECT(""'""&amp;CL$1&amp;""'!$C$4:$C$66""),INDIRECT(""'""&amp;CL$1&amp;""'!$D$4:$D$66"")=CL$2),$G$4:$BQ$4,$G60:$BQ60)))"),0.3872123659999999)</f>
        <v>0.387212366</v>
      </c>
      <c r="CM60" s="207" t="str">
        <f>IFERROR(__xludf.DUMMYFUNCTION("IF(OR(CL60&gt;$BS60+$BT60*$BT$2,CL60&lt;$BS60-$BT60*$BT$2),AVEDEV(ARRAYFORMULA(XLOOKUP(FILTER(INDIRECT(""'""&amp;CL$1&amp;""'!$C$4:$C$66""),INDIRECT(""'""&amp;CL$1&amp;""'!$D$4:$D$66"")=CL$2),$G$4:$BQ$4,$G60:$BQ60))),"""")"),"")</f>
        <v/>
      </c>
      <c r="CN60" s="208" t="str">
        <f t="shared" si="13"/>
        <v/>
      </c>
      <c r="CO60" s="209" t="s">
        <v>444</v>
      </c>
      <c r="CP60" s="210">
        <f>IFERROR(__xludf.DUMMYFUNCTION("AVERAGE(ARRAYFORMULA(XLOOKUP(FILTER(INDIRECT(""'""&amp;CP$1&amp;""'!$C$4:$C$66""),INDIRECT(""'""&amp;CP$1&amp;""'!$D$4:$D$66"")=CP$2),$G$4:$BQ$4,$G60:$BQ60)))"),-0.42570018933333337)</f>
        <v>-0.4257001893</v>
      </c>
      <c r="CQ60" s="207" t="str">
        <f>IFERROR(__xludf.DUMMYFUNCTION("IF(OR(CP60&gt;$BS60+$BT60*$BT$2,CP60&lt;$BS60-$BT60*$BT$2),AVEDEV(ARRAYFORMULA(XLOOKUP(FILTER(INDIRECT(""'""&amp;CP$1&amp;""'!$C$4:$C$66""),INDIRECT(""'""&amp;CP$1&amp;""'!$D$4:$D$66"")=CP$2),$G$4:$BQ$4,$G60:$BQ60))),"""")"),"")</f>
        <v/>
      </c>
      <c r="CR60" s="208" t="str">
        <f t="shared" si="14"/>
        <v/>
      </c>
      <c r="CS60" s="210">
        <f>IFERROR(__xludf.DUMMYFUNCTION("AVERAGE(ARRAYFORMULA(XLOOKUP(FILTER(INDIRECT(""'""&amp;CS$1&amp;""'!$C$4:$C$66""),INDIRECT(""'""&amp;CS$1&amp;""'!$D$4:$D$66"")=CS$2),$G$4:$BQ$4,$G60:$BQ60)))"),0.28701914743589746)</f>
        <v>0.2870191474</v>
      </c>
      <c r="CT60" s="207" t="str">
        <f>IFERROR(__xludf.DUMMYFUNCTION("IF(OR(CS60&gt;$BS60+$BT60*$BT$2,CS60&lt;$BS60-$BT60*$BT$2),AVEDEV(ARRAYFORMULA(XLOOKUP(FILTER(INDIRECT(""'""&amp;CS$1&amp;""'!$C$4:$C$66""),INDIRECT(""'""&amp;CS$1&amp;""'!$D$4:$D$66"")=CS$2),$G$4:$BQ$4,$G60:$BQ60))),"""")"),"")</f>
        <v/>
      </c>
      <c r="CU60" s="208" t="str">
        <f t="shared" si="15"/>
        <v/>
      </c>
      <c r="CV60" s="210">
        <f>IFERROR(__xludf.DUMMYFUNCTION("AVERAGE(ARRAYFORMULA(XLOOKUP(FILTER(INDIRECT(""'""&amp;CV$1&amp;""'!$C$4:$C$66""),INDIRECT(""'""&amp;CV$1&amp;""'!$D$4:$D$66"")=CV$2),$G$4:$BQ$4,$G60:$BQ60)))"),0.3872123659999999)</f>
        <v>0.387212366</v>
      </c>
      <c r="CW60" s="207" t="str">
        <f>IFERROR(__xludf.DUMMYFUNCTION("IF(OR(CV60&gt;$BS60+$BT60*$BT$2,CV60&lt;$BS60-$BT60*$BT$2),AVEDEV(ARRAYFORMULA(XLOOKUP(FILTER(INDIRECT(""'""&amp;CV$1&amp;""'!$C$4:$C$66""),INDIRECT(""'""&amp;CV$1&amp;""'!$D$4:$D$66"")=CV$2),$G$4:$BQ$4,$G60:$BQ60))),"""")"),"")</f>
        <v/>
      </c>
      <c r="CX60" s="208" t="str">
        <f t="shared" si="16"/>
        <v/>
      </c>
      <c r="CY60" s="209" t="s">
        <v>444</v>
      </c>
      <c r="CZ60" s="210">
        <f>IFERROR(__xludf.DUMMYFUNCTION("AVERAGE(ARRAYFORMULA(XLOOKUP(FILTER(INDIRECT(""'""&amp;CZ$1&amp;""'!$C$4:$C$66""),INDIRECT(""'""&amp;CZ$1&amp;""'!$D$4:$D$66"")=CZ$2),$G$4:$BQ$4,$G60:$BQ60)))"),0.1617692621428572)</f>
        <v>0.1617692621</v>
      </c>
      <c r="DA60" s="207" t="str">
        <f>IFERROR(__xludf.DUMMYFUNCTION("IF(OR(CZ60&gt;$BS60+$BT60*$BT$2,CZ60&lt;$BS60-$BT60*$BT$2),AVEDEV(ARRAYFORMULA(XLOOKUP(FILTER(INDIRECT(""'""&amp;CZ$1&amp;""'!$C$4:$C$66""),INDIRECT(""'""&amp;CZ$1&amp;""'!$D$4:$D$66"")=CZ$2),$G$4:$BQ$4,$G60:$BQ60))),"""")"),"")</f>
        <v/>
      </c>
      <c r="DB60" s="208" t="str">
        <f t="shared" si="17"/>
        <v/>
      </c>
      <c r="DC60" s="210">
        <f>IFERROR(__xludf.DUMMYFUNCTION("AVERAGE(ARRAYFORMULA(XLOOKUP(FILTER(INDIRECT(""'""&amp;DC$1&amp;""'!$C$4:$C$66""),INDIRECT(""'""&amp;DC$1&amp;""'!$D$4:$D$66"")=DC$2),$G$4:$BQ$4,$G60:$BQ60)))"),0.13508466888888884)</f>
        <v>0.1350846689</v>
      </c>
      <c r="DD60" s="207" t="str">
        <f>IFERROR(__xludf.DUMMYFUNCTION("IF(OR(DC60&gt;$BS60+$BT60*$BT$2,DC60&lt;$BS60-$BT60*$BT$2),AVEDEV(ARRAYFORMULA(XLOOKUP(FILTER(INDIRECT(""'""&amp;DC$1&amp;""'!$C$4:$C$66""),INDIRECT(""'""&amp;DC$1&amp;""'!$D$4:$D$66"")=DC$2),$G$4:$BQ$4,$G60:$BQ60))),"""")"),"")</f>
        <v/>
      </c>
      <c r="DE60" s="208" t="str">
        <f t="shared" si="18"/>
        <v/>
      </c>
      <c r="DF60" s="210">
        <f>IFERROR(__xludf.DUMMYFUNCTION("AVERAGE(ARRAYFORMULA(XLOOKUP(FILTER(INDIRECT(""'""&amp;DF$1&amp;""'!$C$4:$C$66""),INDIRECT(""'""&amp;DF$1&amp;""'!$D$4:$D$66"")=DF$2),$G$4:$BQ$4,$G60:$BQ60)))"),-0.3658187536363636)</f>
        <v>-0.3658187536</v>
      </c>
      <c r="DG60" s="207" t="str">
        <f>IFERROR(__xludf.DUMMYFUNCTION("IF(OR(DF60&gt;$BS60+$BT60*$BT$2,DF60&lt;$BS60-$BT60*$BT$2),AVEDEV(ARRAYFORMULA(XLOOKUP(FILTER(INDIRECT(""'""&amp;DF$1&amp;""'!$C$4:$C$66""),INDIRECT(""'""&amp;DF$1&amp;""'!$D$4:$D$66"")=DF$2),$G$4:$BQ$4,$G60:$BQ60))),"""")"),"")</f>
        <v/>
      </c>
      <c r="DH60" s="208" t="str">
        <f t="shared" si="19"/>
        <v/>
      </c>
      <c r="DI60" s="210">
        <f>IFERROR(__xludf.DUMMYFUNCTION("AVERAGE(ARRAYFORMULA(XLOOKUP(FILTER(INDIRECT(""'""&amp;DI$1&amp;""'!$C$4:$C$66""),INDIRECT(""'""&amp;DI$1&amp;""'!$D$4:$D$66"")=DI$2),$G$4:$BQ$4,$G60:$BQ60)))"),-0.12278235)</f>
        <v>-0.12278235</v>
      </c>
      <c r="DJ60" s="207" t="str">
        <f>IFERROR(__xludf.DUMMYFUNCTION("IF(OR(DI60&gt;$BS60+$BT60*$BT$2,DI60&lt;$BS60-$BT60*$BT$2),AVEDEV(ARRAYFORMULA(XLOOKUP(FILTER(INDIRECT(""'""&amp;DI$1&amp;""'!$C$4:$C$66""),INDIRECT(""'""&amp;DI$1&amp;""'!$D$4:$D$66"")=DI$2),$G$4:$BQ$4,$G60:$BQ60))),"""")"),"")</f>
        <v/>
      </c>
      <c r="DK60" s="208" t="str">
        <f t="shared" si="20"/>
        <v/>
      </c>
      <c r="DL60" s="210">
        <f>IFERROR(__xludf.DUMMYFUNCTION("AVERAGE(ARRAYFORMULA(XLOOKUP(FILTER(INDIRECT(""'""&amp;DL$1&amp;""'!$C$4:$C$66""),INDIRECT(""'""&amp;DL$1&amp;""'!$D$4:$D$66"")=DL$2),$G$4:$BQ$4,$G60:$BQ60)))"),0.6344884671428571)</f>
        <v>0.6344884671</v>
      </c>
      <c r="DM60" s="207" t="str">
        <f>IFERROR(__xludf.DUMMYFUNCTION("IF(OR(DL60&gt;$BS60+$BT60*$BT$2,DL60&lt;$BS60-$BT60*$BT$2),AVEDEV(ARRAYFORMULA(XLOOKUP(FILTER(INDIRECT(""'""&amp;DL$1&amp;""'!$C$4:$C$66""),INDIRECT(""'""&amp;DL$1&amp;""'!$D$4:$D$66"")=DL$2),$G$4:$BQ$4,$G60:$BQ60))),"""")"),"")</f>
        <v/>
      </c>
      <c r="DN60" s="208" t="str">
        <f t="shared" si="21"/>
        <v/>
      </c>
      <c r="DO60" s="209" t="s">
        <v>444</v>
      </c>
      <c r="DP60" s="210">
        <f>IFERROR(__xludf.DUMMYFUNCTION("AVERAGE(ARRAYFORMULA(XLOOKUP(FILTER(INDIRECT(""'""&amp;DP$1&amp;""'!$C$4:$C$66""),INDIRECT(""'""&amp;DP$1&amp;""'!$D$4:$D$66"")=DP$2),$G$4:$BQ$4,$G60:$BQ60)))"),0.09220290199999999)</f>
        <v>0.092202902</v>
      </c>
      <c r="DQ60" s="207" t="str">
        <f>IFERROR(__xludf.DUMMYFUNCTION("IF(OR(DP60&gt;$BS60+$BT60*$BT$2,DP60&lt;$BS60-$BT60*$BT$2),AVEDEV(ARRAYFORMULA(XLOOKUP(FILTER(INDIRECT(""'""&amp;DP$1&amp;""'!$C$4:$C$66""),INDIRECT(""'""&amp;DP$1&amp;""'!$D$4:$D$66"")=DP$2),$G$4:$BQ$4,$G60:$BQ60))),"""")"),"")</f>
        <v/>
      </c>
      <c r="DR60" s="208" t="str">
        <f t="shared" si="22"/>
        <v/>
      </c>
      <c r="DS60" s="210">
        <f>IFERROR(__xludf.DUMMYFUNCTION("AVERAGE(ARRAYFORMULA(XLOOKUP(FILTER(INDIRECT(""'""&amp;DS$1&amp;""'!$C$4:$C$66""),INDIRECT(""'""&amp;DS$1&amp;""'!$D$4:$D$66"")=DS$2),$G$4:$BQ$4,$G60:$BQ60)))"),0.0307590211111111)</f>
        <v>0.03075902111</v>
      </c>
      <c r="DT60" s="207" t="str">
        <f>IFERROR(__xludf.DUMMYFUNCTION("IF(OR(DS60&gt;$BS60+$BT60*$BT$2,DS60&lt;$BS60-$BT60*$BT$2),AVEDEV(ARRAYFORMULA(XLOOKUP(FILTER(INDIRECT(""'""&amp;DS$1&amp;""'!$C$4:$C$66""),INDIRECT(""'""&amp;DS$1&amp;""'!$D$4:$D$66"")=DS$2),$G$4:$BQ$4,$G60:$BQ60))),"""")"),"")</f>
        <v/>
      </c>
      <c r="DU60" s="208" t="str">
        <f t="shared" si="23"/>
        <v/>
      </c>
      <c r="DV60" s="210">
        <f>IFERROR(__xludf.DUMMYFUNCTION("AVERAGE(ARRAYFORMULA(XLOOKUP(FILTER(INDIRECT(""'""&amp;DV$1&amp;""'!$C$4:$C$66""),INDIRECT(""'""&amp;DV$1&amp;""'!$D$4:$D$66"")=DV$2),$G$4:$BQ$4,$G60:$BQ60)))"),0.026772642499999985)</f>
        <v>0.0267726425</v>
      </c>
      <c r="DW60" s="207" t="str">
        <f>IFERROR(__xludf.DUMMYFUNCTION("IF(OR(DV60&gt;$BS60+$BT60*$BT$2,DV60&lt;$BS60-$BT60*$BT$2),AVEDEV(ARRAYFORMULA(XLOOKUP(FILTER(INDIRECT(""'""&amp;DV$1&amp;""'!$C$4:$C$66""),INDIRECT(""'""&amp;DV$1&amp;""'!$D$4:$D$66"")=DV$2),$G$4:$BQ$4,$G60:$BQ60))),"""")"),"")</f>
        <v/>
      </c>
      <c r="DX60" s="208" t="str">
        <f t="shared" si="24"/>
        <v/>
      </c>
      <c r="DY60" s="210">
        <f>IFERROR(__xludf.DUMMYFUNCTION("AVERAGE(ARRAYFORMULA(XLOOKUP(FILTER(INDIRECT(""'""&amp;DY$1&amp;""'!$C$4:$C$66""),INDIRECT(""'""&amp;DY$1&amp;""'!$D$4:$D$66"")=DY$2),$G$4:$BQ$4,$G60:$BQ60)))"),0.07724885000000005)</f>
        <v>0.07724885</v>
      </c>
      <c r="DZ60" s="207" t="str">
        <f>IFERROR(__xludf.DUMMYFUNCTION("IF(OR(DY60&gt;$BS60+$BT60*$BT$2,DY60&lt;$BS60-$BT60*$BT$2),AVEDEV(ARRAYFORMULA(XLOOKUP(FILTER(INDIRECT(""'""&amp;DY$1&amp;""'!$C$4:$C$66""),INDIRECT(""'""&amp;DY$1&amp;""'!$D$4:$D$66"")=DY$2),$G$4:$BQ$4,$G60:$BQ60))),"""")"),"")</f>
        <v/>
      </c>
      <c r="EA60" s="208" t="str">
        <f t="shared" si="25"/>
        <v/>
      </c>
      <c r="EB60" s="191"/>
    </row>
    <row r="61" outlineLevel="1">
      <c r="A61" s="2"/>
      <c r="B61" s="204">
        <v>57.0</v>
      </c>
      <c r="C61" s="204" t="s">
        <v>482</v>
      </c>
      <c r="D61" s="204" t="s">
        <v>501</v>
      </c>
      <c r="E61" s="205" t="b">
        <f>VLOOKUP(D61,'Feature Set List'!A57:C246,2,0)</f>
        <v>1</v>
      </c>
      <c r="F61" s="205" t="b">
        <f>VLOOKUP(D61,'Feature Set List'!A57:C246,3,0)</f>
        <v>1</v>
      </c>
      <c r="G61" s="205">
        <v>4.84342608</v>
      </c>
      <c r="H61" s="205">
        <v>0.14729951</v>
      </c>
      <c r="I61" s="205">
        <v>13.6584834</v>
      </c>
      <c r="J61" s="205">
        <v>-0.3295145</v>
      </c>
      <c r="K61" s="205">
        <v>0.10692853</v>
      </c>
      <c r="L61" s="205">
        <v>-0.3066012</v>
      </c>
      <c r="M61" s="205">
        <v>-1.1546099</v>
      </c>
      <c r="N61" s="205">
        <v>-0.4693944</v>
      </c>
      <c r="O61" s="205">
        <v>0.29350791</v>
      </c>
      <c r="P61" s="205">
        <v>-0.4721222</v>
      </c>
      <c r="Q61" s="205">
        <v>-0.557665</v>
      </c>
      <c r="R61" s="205">
        <v>-1.1686852</v>
      </c>
      <c r="S61" s="205">
        <v>0.66448445</v>
      </c>
      <c r="T61" s="205">
        <v>0.00872886</v>
      </c>
      <c r="U61" s="205">
        <v>8.3938898</v>
      </c>
      <c r="V61" s="205">
        <v>0.03164212</v>
      </c>
      <c r="W61" s="205">
        <v>-0.5087834</v>
      </c>
      <c r="X61" s="205">
        <v>1.69776323</v>
      </c>
      <c r="Y61" s="205">
        <v>-0.7312602</v>
      </c>
      <c r="Z61" s="205">
        <v>0.08510638</v>
      </c>
      <c r="AA61" s="205">
        <v>-0.0196399</v>
      </c>
      <c r="AB61" s="205">
        <v>-0.4277141</v>
      </c>
      <c r="AC61" s="205">
        <v>-0.1265685</v>
      </c>
      <c r="AD61" s="205">
        <v>1.96181124</v>
      </c>
      <c r="AE61" s="205">
        <v>-0.1080196</v>
      </c>
      <c r="AF61" s="205">
        <v>-0.4535734</v>
      </c>
      <c r="AG61" s="205">
        <v>-0.4178942</v>
      </c>
      <c r="AH61" s="205">
        <v>0.40698309</v>
      </c>
      <c r="AI61" s="205">
        <v>0.93180578</v>
      </c>
      <c r="AJ61" s="205">
        <v>-0.3076923</v>
      </c>
      <c r="AK61" s="205">
        <v>0.0</v>
      </c>
      <c r="AL61" s="205">
        <v>-0.00982</v>
      </c>
      <c r="AM61" s="205">
        <v>-0.162575</v>
      </c>
      <c r="AN61" s="205">
        <v>-0.4080742</v>
      </c>
      <c r="AO61" s="205">
        <v>0.59138025</v>
      </c>
      <c r="AP61" s="205">
        <v>0.1462084</v>
      </c>
      <c r="AQ61" s="205">
        <v>0.3502455</v>
      </c>
      <c r="AR61" s="205">
        <v>-0.7595199</v>
      </c>
      <c r="AS61" s="205">
        <v>-0.2989634</v>
      </c>
      <c r="AT61" s="205">
        <v>-0.0752864</v>
      </c>
      <c r="AU61" s="205">
        <v>-0.3022368</v>
      </c>
      <c r="AV61" s="205">
        <v>0.56301146</v>
      </c>
      <c r="AW61" s="205">
        <v>-0.754719</v>
      </c>
      <c r="AX61" s="205">
        <v>-0.5809056</v>
      </c>
      <c r="AY61" s="205">
        <v>-1.1502455</v>
      </c>
      <c r="AZ61" s="205">
        <v>0.71903983</v>
      </c>
      <c r="BA61" s="205">
        <v>-0.1593017</v>
      </c>
      <c r="BB61" s="205">
        <v>10.5270049</v>
      </c>
      <c r="BC61" s="205">
        <v>0.41680306</v>
      </c>
      <c r="BD61" s="205">
        <v>0.22149482</v>
      </c>
      <c r="BE61" s="205">
        <v>5.45335516</v>
      </c>
      <c r="BF61" s="205">
        <v>0.18112384</v>
      </c>
      <c r="BG61" s="205">
        <v>-0.488707</v>
      </c>
      <c r="BH61" s="205">
        <v>2.12875068</v>
      </c>
      <c r="BI61" s="205">
        <v>0.67648663</v>
      </c>
      <c r="BJ61" s="205">
        <v>-0.4837971</v>
      </c>
      <c r="BK61" s="205">
        <v>0.12765957</v>
      </c>
      <c r="BL61" s="205">
        <v>13.745772</v>
      </c>
      <c r="BM61" s="205">
        <v>5.89634479</v>
      </c>
      <c r="BN61" s="205">
        <v>-0.212766</v>
      </c>
      <c r="BO61" s="205">
        <v>1.71631206</v>
      </c>
      <c r="BP61" s="205">
        <v>0.22695035</v>
      </c>
      <c r="BQ61" s="205">
        <v>-0.8855428</v>
      </c>
      <c r="BR61" s="206"/>
      <c r="BS61" s="207">
        <f t="shared" si="6"/>
        <v>0.9940889727</v>
      </c>
      <c r="BT61" s="207">
        <f t="shared" si="7"/>
        <v>1.875807449</v>
      </c>
      <c r="BU61" s="206"/>
      <c r="BV61" s="207">
        <f>IFERROR(__xludf.DUMMYFUNCTION("AVERAGE(ARRAYFORMULA(XLOOKUP(FILTER(INDIRECT(""'""&amp;BV$1&amp;""'!$C$4:$C$66""),INDIRECT(""'""&amp;BV$1&amp;""'!$D$4:$D$66"")=BV$2),$G$4:$BQ$4,$G61:$BQ61)))"),5.60841712)</f>
        <v>5.60841712</v>
      </c>
      <c r="BW61" s="207">
        <f>IFERROR(__xludf.DUMMYFUNCTION("IF(OR(BV61&gt;$BS61+$BT61*$BT$2,BV61&lt;$BS61-$BT61*$BT$2),AVEDEV(ARRAYFORMULA(XLOOKUP(FILTER(INDIRECT(""'""&amp;BV$1&amp;""'!$C$4:$C$66""),INDIRECT(""'""&amp;BV$1&amp;""'!$D$4:$D$66"")=BV$2),$G$4:$BQ$4,$G61:$BQ61))),"""")"),4.526118668571429)</f>
        <v>4.526118669</v>
      </c>
      <c r="BX61" s="208" t="str">
        <f t="shared" si="8"/>
        <v/>
      </c>
      <c r="BY61" s="207">
        <f>IFERROR(__xludf.DUMMYFUNCTION("AVERAGE(ARRAYFORMULA(XLOOKUP(FILTER(INDIRECT(""'""&amp;BY$1&amp;""'!$C$4:$C$66""),INDIRECT(""'""&amp;BY$1&amp;""'!$D$4:$D$66"")=BY$2),$G$4:$BQ$4,$G61:$BQ61)))"),0.050229915714285735)</f>
        <v>0.05022991571</v>
      </c>
      <c r="BZ61" s="207" t="str">
        <f>IFERROR(__xludf.DUMMYFUNCTION("IF(OR(BY61&gt;$BS61+$BT61*$BT$2,BY61&lt;$BS61-$BT61*$BT$2),AVEDEV(ARRAYFORMULA(XLOOKUP(FILTER(INDIRECT(""'""&amp;BY$1&amp;""'!$C$4:$C$66""),INDIRECT(""'""&amp;BY$1&amp;""'!$D$4:$D$66"")=BY$2),$G$4:$BQ$4,$G61:$BQ61))),"""")"),"")</f>
        <v/>
      </c>
      <c r="CA61" s="208" t="str">
        <f t="shared" si="9"/>
        <v/>
      </c>
      <c r="CB61" s="207">
        <f>IFERROR(__xludf.DUMMYFUNCTION("AVERAGE(ARRAYFORMULA(XLOOKUP(FILTER(INDIRECT(""'""&amp;CB$1&amp;""'!$C$4:$C$66""),INDIRECT(""'""&amp;CB$1&amp;""'!$D$4:$D$66"")=CB$2),$G$4:$BQ$4,$G61:$BQ61)))"),0.698298869090909)</f>
        <v>0.6982988691</v>
      </c>
      <c r="CC61" s="207" t="str">
        <f>IFERROR(__xludf.DUMMYFUNCTION("IF(OR(CB61&gt;$BS61+$BT61*$BT$2,CB61&lt;$BS61-$BT61*$BT$2),AVEDEV(ARRAYFORMULA(XLOOKUP(FILTER(INDIRECT(""'""&amp;CB$1&amp;""'!$C$4:$C$66""),INDIRECT(""'""&amp;CB$1&amp;""'!$D$4:$D$66"")=CB$2),$G$4:$BQ$4,$G61:$BQ61))),"""")"),"")</f>
        <v/>
      </c>
      <c r="CD61" s="208" t="str">
        <f t="shared" si="10"/>
        <v/>
      </c>
      <c r="CE61" s="209" t="s">
        <v>444</v>
      </c>
      <c r="CF61" s="207">
        <f>IFERROR(__xludf.DUMMYFUNCTION("AVERAGE(ARRAYFORMULA(XLOOKUP(FILTER(INDIRECT(""'""&amp;CF$1&amp;""'!$C$4:$C$66""),INDIRECT(""'""&amp;CF$1&amp;""'!$D$4:$D$66"")=CF$2),$G$4:$BQ$4,$G61:$BQ61)))"),1.1663325175000003)</f>
        <v>1.166332518</v>
      </c>
      <c r="CG61" s="207" t="str">
        <f>IFERROR(__xludf.DUMMYFUNCTION("IF(OR(CF61&gt;$BS61+$BT61*$BT$2,CF61&lt;$BS61-$BT61*$BT$2),AVEDEV(ARRAYFORMULA(XLOOKUP(FILTER(INDIRECT(""'""&amp;CF$1&amp;""'!$C$4:$C$66""),INDIRECT(""'""&amp;CF$1&amp;""'!$D$4:$D$66"")=CF$2),$G$4:$BQ$4,$G61:$BQ61))),"""")"),"")</f>
        <v/>
      </c>
      <c r="CH61" s="208" t="str">
        <f t="shared" si="11"/>
        <v/>
      </c>
      <c r="CI61" s="207">
        <f>IFERROR(__xludf.DUMMYFUNCTION("AVERAGE(ARRAYFORMULA(XLOOKUP(FILTER(INDIRECT(""'""&amp;CI$1&amp;""'!$C$4:$C$66""),INDIRECT(""'""&amp;CI$1&amp;""'!$D$4:$D$66"")=CI$2),$G$4:$BQ$4,$G61:$BQ61)))"),0.14994632612903225)</f>
        <v>0.1499463261</v>
      </c>
      <c r="CJ61" s="207" t="str">
        <f>IFERROR(__xludf.DUMMYFUNCTION("IF(OR(CI61&gt;$BS61+$BT61*$BT$2,CI61&lt;$BS61-$BT61*$BT$2),AVEDEV(ARRAYFORMULA(XLOOKUP(FILTER(INDIRECT(""'""&amp;CI$1&amp;""'!$C$4:$C$66""),INDIRECT(""'""&amp;CI$1&amp;""'!$D$4:$D$66"")=CI$2),$G$4:$BQ$4,$G61:$BQ61))),"""")"),"")</f>
        <v/>
      </c>
      <c r="CK61" s="208" t="str">
        <f t="shared" si="12"/>
        <v/>
      </c>
      <c r="CL61" s="207">
        <f>IFERROR(__xludf.DUMMYFUNCTION("AVERAGE(ARRAYFORMULA(XLOOKUP(FILTER(INDIRECT(""'""&amp;CL$1&amp;""'!$C$4:$C$66""),INDIRECT(""'""&amp;CL$1&amp;""'!$D$4:$D$66"")=CL$2),$G$4:$BQ$4,$G61:$BQ61)))"),-0.282073088)</f>
        <v>-0.282073088</v>
      </c>
      <c r="CM61" s="207" t="str">
        <f>IFERROR(__xludf.DUMMYFUNCTION("IF(OR(CL61&gt;$BS61+$BT61*$BT$2,CL61&lt;$BS61-$BT61*$BT$2),AVEDEV(ARRAYFORMULA(XLOOKUP(FILTER(INDIRECT(""'""&amp;CL$1&amp;""'!$C$4:$C$66""),INDIRECT(""'""&amp;CL$1&amp;""'!$D$4:$D$66"")=CL$2),$G$4:$BQ$4,$G61:$BQ61))),"""")"),"")</f>
        <v/>
      </c>
      <c r="CN61" s="208" t="str">
        <f t="shared" si="13"/>
        <v/>
      </c>
      <c r="CO61" s="209" t="s">
        <v>444</v>
      </c>
      <c r="CP61" s="210">
        <f>IFERROR(__xludf.DUMMYFUNCTION("AVERAGE(ARRAYFORMULA(XLOOKUP(FILTER(INDIRECT(""'""&amp;CP$1&amp;""'!$C$4:$C$66""),INDIRECT(""'""&amp;CP$1&amp;""'!$D$4:$D$66"")=CP$2),$G$4:$BQ$4,$G61:$BQ61)))"),2.465146400666667)</f>
        <v>2.465146401</v>
      </c>
      <c r="CQ61" s="207" t="str">
        <f>IFERROR(__xludf.DUMMYFUNCTION("IF(OR(CP61&gt;$BS61+$BT61*$BT$2,CP61&lt;$BS61-$BT61*$BT$2),AVEDEV(ARRAYFORMULA(XLOOKUP(FILTER(INDIRECT(""'""&amp;CP$1&amp;""'!$C$4:$C$66""),INDIRECT(""'""&amp;CP$1&amp;""'!$D$4:$D$66"")=CP$2),$G$4:$BQ$4,$G61:$BQ61))),"""")"),"")</f>
        <v/>
      </c>
      <c r="CR61" s="208" t="str">
        <f t="shared" si="14"/>
        <v/>
      </c>
      <c r="CS61" s="210">
        <f>IFERROR(__xludf.DUMMYFUNCTION("AVERAGE(ARRAYFORMULA(XLOOKUP(FILTER(INDIRECT(""'""&amp;CS$1&amp;""'!$C$4:$C$66""),INDIRECT(""'""&amp;CS$1&amp;""'!$D$4:$D$66"")=CS$2),$G$4:$BQ$4,$G61:$BQ61)))"),-0.00673689000000002)</f>
        <v>-0.00673689</v>
      </c>
      <c r="CT61" s="207" t="str">
        <f>IFERROR(__xludf.DUMMYFUNCTION("IF(OR(CS61&gt;$BS61+$BT61*$BT$2,CS61&lt;$BS61-$BT61*$BT$2),AVEDEV(ARRAYFORMULA(XLOOKUP(FILTER(INDIRECT(""'""&amp;CS$1&amp;""'!$C$4:$C$66""),INDIRECT(""'""&amp;CS$1&amp;""'!$D$4:$D$66"")=CS$2),$G$4:$BQ$4,$G61:$BQ61))),"""")"),"")</f>
        <v/>
      </c>
      <c r="CU61" s="208" t="str">
        <f t="shared" si="15"/>
        <v/>
      </c>
      <c r="CV61" s="210">
        <f>IFERROR(__xludf.DUMMYFUNCTION("AVERAGE(ARRAYFORMULA(XLOOKUP(FILTER(INDIRECT(""'""&amp;CV$1&amp;""'!$C$4:$C$66""),INDIRECT(""'""&amp;CV$1&amp;""'!$D$4:$D$66"")=CV$2),$G$4:$BQ$4,$G61:$BQ61)))"),-0.282073088)</f>
        <v>-0.282073088</v>
      </c>
      <c r="CW61" s="207" t="str">
        <f>IFERROR(__xludf.DUMMYFUNCTION("IF(OR(CV61&gt;$BS61+$BT61*$BT$2,CV61&lt;$BS61-$BT61*$BT$2),AVEDEV(ARRAYFORMULA(XLOOKUP(FILTER(INDIRECT(""'""&amp;CV$1&amp;""'!$C$4:$C$66""),INDIRECT(""'""&amp;CV$1&amp;""'!$D$4:$D$66"")=CV$2),$G$4:$BQ$4,$G61:$BQ61))),"""")"),"")</f>
        <v/>
      </c>
      <c r="CX61" s="208" t="str">
        <f t="shared" si="16"/>
        <v/>
      </c>
      <c r="CY61" s="209" t="s">
        <v>444</v>
      </c>
      <c r="CZ61" s="210">
        <f>IFERROR(__xludf.DUMMYFUNCTION("AVERAGE(ARRAYFORMULA(XLOOKUP(FILTER(INDIRECT(""'""&amp;CZ$1&amp;""'!$C$4:$C$66""),INDIRECT(""'""&amp;CZ$1&amp;""'!$D$4:$D$66"")=CZ$2),$G$4:$BQ$4,$G61:$BQ61)))"),-0.012384069999999988)</f>
        <v>-0.01238407</v>
      </c>
      <c r="DA61" s="207" t="str">
        <f>IFERROR(__xludf.DUMMYFUNCTION("IF(OR(CZ61&gt;$BS61+$BT61*$BT$2,CZ61&lt;$BS61-$BT61*$BT$2),AVEDEV(ARRAYFORMULA(XLOOKUP(FILTER(INDIRECT(""'""&amp;CZ$1&amp;""'!$C$4:$C$66""),INDIRECT(""'""&amp;CZ$1&amp;""'!$D$4:$D$66"")=CZ$2),$G$4:$BQ$4,$G61:$BQ61))),"""")"),"")</f>
        <v/>
      </c>
      <c r="DB61" s="208" t="str">
        <f t="shared" si="17"/>
        <v/>
      </c>
      <c r="DC61" s="210">
        <f>IFERROR(__xludf.DUMMYFUNCTION("AVERAGE(ARRAYFORMULA(XLOOKUP(FILTER(INDIRECT(""'""&amp;DC$1&amp;""'!$C$4:$C$66""),INDIRECT(""'""&amp;DC$1&amp;""'!$D$4:$D$66"")=DC$2),$G$4:$BQ$4,$G61:$BQ61)))"),0.11843366000000005)</f>
        <v>0.11843366</v>
      </c>
      <c r="DD61" s="207" t="str">
        <f>IFERROR(__xludf.DUMMYFUNCTION("IF(OR(DC61&gt;$BS61+$BT61*$BT$2,DC61&lt;$BS61-$BT61*$BT$2),AVEDEV(ARRAYFORMULA(XLOOKUP(FILTER(INDIRECT(""'""&amp;DC$1&amp;""'!$C$4:$C$66""),INDIRECT(""'""&amp;DC$1&amp;""'!$D$4:$D$66"")=DC$2),$G$4:$BQ$4,$G61:$BQ61))),"""")"),"")</f>
        <v/>
      </c>
      <c r="DE61" s="208" t="str">
        <f t="shared" si="18"/>
        <v/>
      </c>
      <c r="DF61" s="210">
        <f>IFERROR(__xludf.DUMMYFUNCTION("AVERAGE(ARRAYFORMULA(XLOOKUP(FILTER(INDIRECT(""'""&amp;DF$1&amp;""'!$C$4:$C$66""),INDIRECT(""'""&amp;DF$1&amp;""'!$D$4:$D$66"")=DF$2),$G$4:$BQ$4,$G61:$BQ61)))"),0.2517581809090909)</f>
        <v>0.2517581809</v>
      </c>
      <c r="DG61" s="207" t="str">
        <f>IFERROR(__xludf.DUMMYFUNCTION("IF(OR(DF61&gt;$BS61+$BT61*$BT$2,DF61&lt;$BS61-$BT61*$BT$2),AVEDEV(ARRAYFORMULA(XLOOKUP(FILTER(INDIRECT(""'""&amp;DF$1&amp;""'!$C$4:$C$66""),INDIRECT(""'""&amp;DF$1&amp;""'!$D$4:$D$66"")=DF$2),$G$4:$BQ$4,$G61:$BQ61))),"""")"),"")</f>
        <v/>
      </c>
      <c r="DH61" s="208" t="str">
        <f t="shared" si="19"/>
        <v/>
      </c>
      <c r="DI61" s="210">
        <f>IFERROR(__xludf.DUMMYFUNCTION("AVERAGE(ARRAYFORMULA(XLOOKUP(FILTER(INDIRECT(""'""&amp;DI$1&amp;""'!$C$4:$C$66""),INDIRECT(""'""&amp;DI$1&amp;""'!$D$4:$D$66"")=DI$2),$G$4:$BQ$4,$G61:$BQ61)))"),2.04528096)</f>
        <v>2.04528096</v>
      </c>
      <c r="DJ61" s="207" t="str">
        <f>IFERROR(__xludf.DUMMYFUNCTION("IF(OR(DI61&gt;$BS61+$BT61*$BT$2,DI61&lt;$BS61-$BT61*$BT$2),AVEDEV(ARRAYFORMULA(XLOOKUP(FILTER(INDIRECT(""'""&amp;DI$1&amp;""'!$C$4:$C$66""),INDIRECT(""'""&amp;DI$1&amp;""'!$D$4:$D$66"")=DI$2),$G$4:$BQ$4,$G61:$BQ61))),"""")"),"")</f>
        <v/>
      </c>
      <c r="DK61" s="208" t="str">
        <f t="shared" si="20"/>
        <v/>
      </c>
      <c r="DL61" s="210">
        <f>IFERROR(__xludf.DUMMYFUNCTION("AVERAGE(ARRAYFORMULA(XLOOKUP(FILTER(INDIRECT(""'""&amp;DL$1&amp;""'!$C$4:$C$66""),INDIRECT(""'""&amp;DL$1&amp;""'!$D$4:$D$66"")=DL$2),$G$4:$BQ$4,$G61:$BQ61)))"),-0.26184241214285714)</f>
        <v>-0.2618424121</v>
      </c>
      <c r="DM61" s="207" t="str">
        <f>IFERROR(__xludf.DUMMYFUNCTION("IF(OR(DL61&gt;$BS61+$BT61*$BT$2,DL61&lt;$BS61-$BT61*$BT$2),AVEDEV(ARRAYFORMULA(XLOOKUP(FILTER(INDIRECT(""'""&amp;DL$1&amp;""'!$C$4:$C$66""),INDIRECT(""'""&amp;DL$1&amp;""'!$D$4:$D$66"")=DL$2),$G$4:$BQ$4,$G61:$BQ61))),"""")"),"")</f>
        <v/>
      </c>
      <c r="DN61" s="208" t="str">
        <f t="shared" si="21"/>
        <v/>
      </c>
      <c r="DO61" s="209" t="s">
        <v>444</v>
      </c>
      <c r="DP61" s="210">
        <f>IFERROR(__xludf.DUMMYFUNCTION("AVERAGE(ARRAYFORMULA(XLOOKUP(FILTER(INDIRECT(""'""&amp;DP$1&amp;""'!$C$4:$C$66""),INDIRECT(""'""&amp;DP$1&amp;""'!$D$4:$D$66"")=DP$2),$G$4:$BQ$4,$G61:$BQ61)))"),0.4815566473333333)</f>
        <v>0.4815566473</v>
      </c>
      <c r="DQ61" s="207" t="str">
        <f>IFERROR(__xludf.DUMMYFUNCTION("IF(OR(DP61&gt;$BS61+$BT61*$BT$2,DP61&lt;$BS61-$BT61*$BT$2),AVEDEV(ARRAYFORMULA(XLOOKUP(FILTER(INDIRECT(""'""&amp;DP$1&amp;""'!$C$4:$C$66""),INDIRECT(""'""&amp;DP$1&amp;""'!$D$4:$D$66"")=DP$2),$G$4:$BQ$4,$G61:$BQ61))),"""")"),"")</f>
        <v/>
      </c>
      <c r="DR61" s="208" t="str">
        <f t="shared" si="22"/>
        <v/>
      </c>
      <c r="DS61" s="210">
        <f>IFERROR(__xludf.DUMMYFUNCTION("AVERAGE(ARRAYFORMULA(XLOOKUP(FILTER(INDIRECT(""'""&amp;DS$1&amp;""'!$C$4:$C$66""),INDIRECT(""'""&amp;DS$1&amp;""'!$D$4:$D$66"")=DS$2),$G$4:$BQ$4,$G61:$BQ61)))"),0.9677880877777777)</f>
        <v>0.9677880878</v>
      </c>
      <c r="DT61" s="207" t="str">
        <f>IFERROR(__xludf.DUMMYFUNCTION("IF(OR(DS61&gt;$BS61+$BT61*$BT$2,DS61&lt;$BS61-$BT61*$BT$2),AVEDEV(ARRAYFORMULA(XLOOKUP(FILTER(INDIRECT(""'""&amp;DS$1&amp;""'!$C$4:$C$66""),INDIRECT(""'""&amp;DS$1&amp;""'!$D$4:$D$66"")=DS$2),$G$4:$BQ$4,$G61:$BQ61))),"""")"),"")</f>
        <v/>
      </c>
      <c r="DU61" s="208" t="str">
        <f t="shared" si="23"/>
        <v/>
      </c>
      <c r="DV61" s="210">
        <f>IFERROR(__xludf.DUMMYFUNCTION("AVERAGE(ARRAYFORMULA(XLOOKUP(FILTER(INDIRECT(""'""&amp;DV$1&amp;""'!$C$4:$C$66""),INDIRECT(""'""&amp;DV$1&amp;""'!$D$4:$D$66"")=DV$2),$G$4:$BQ$4,$G61:$BQ61)))"),0.92808238625)</f>
        <v>0.9280823863</v>
      </c>
      <c r="DW61" s="207" t="str">
        <f>IFERROR(__xludf.DUMMYFUNCTION("IF(OR(DV61&gt;$BS61+$BT61*$BT$2,DV61&lt;$BS61-$BT61*$BT$2),AVEDEV(ARRAYFORMULA(XLOOKUP(FILTER(INDIRECT(""'""&amp;DV$1&amp;""'!$C$4:$C$66""),INDIRECT(""'""&amp;DV$1&amp;""'!$D$4:$D$66"")=DV$2),$G$4:$BQ$4,$G61:$BQ61))),"""")"),"")</f>
        <v/>
      </c>
      <c r="DX61" s="208" t="str">
        <f t="shared" si="24"/>
        <v/>
      </c>
      <c r="DY61" s="210">
        <f>IFERROR(__xludf.DUMMYFUNCTION("AVERAGE(ARRAYFORMULA(XLOOKUP(FILTER(INDIRECT(""'""&amp;DY$1&amp;""'!$C$4:$C$66""),INDIRECT(""'""&amp;DY$1&amp;""'!$D$4:$D$66"")=DY$2),$G$4:$BQ$4,$G61:$BQ61)))"),0.3547796644444444)</f>
        <v>0.3547796644</v>
      </c>
      <c r="DZ61" s="207" t="str">
        <f>IFERROR(__xludf.DUMMYFUNCTION("IF(OR(DY61&gt;$BS61+$BT61*$BT$2,DY61&lt;$BS61-$BT61*$BT$2),AVEDEV(ARRAYFORMULA(XLOOKUP(FILTER(INDIRECT(""'""&amp;DY$1&amp;""'!$C$4:$C$66""),INDIRECT(""'""&amp;DY$1&amp;""'!$D$4:$D$66"")=DY$2),$G$4:$BQ$4,$G61:$BQ61))),"""")"),"")</f>
        <v/>
      </c>
      <c r="EA61" s="208" t="str">
        <f t="shared" si="25"/>
        <v/>
      </c>
      <c r="EB61" s="191"/>
    </row>
    <row r="62" outlineLevel="1">
      <c r="A62" s="2"/>
      <c r="B62" s="204">
        <v>58.0</v>
      </c>
      <c r="C62" s="204" t="s">
        <v>482</v>
      </c>
      <c r="D62" s="204" t="s">
        <v>502</v>
      </c>
      <c r="E62" s="205" t="b">
        <f>VLOOKUP(D62,'Feature Set List'!A58:C246,2,0)</f>
        <v>1</v>
      </c>
      <c r="F62" s="205" t="b">
        <f>VLOOKUP(D62,'Feature Set List'!A58:C246,3,0)</f>
        <v>1</v>
      </c>
      <c r="G62" s="205">
        <v>-0.112396</v>
      </c>
      <c r="H62" s="205">
        <v>0.0</v>
      </c>
      <c r="I62" s="205">
        <v>-0.1168919</v>
      </c>
      <c r="J62" s="205">
        <v>-0.197867</v>
      </c>
      <c r="K62" s="205">
        <v>-0.0599446</v>
      </c>
      <c r="L62" s="205">
        <v>-0.1044034</v>
      </c>
      <c r="M62" s="205">
        <v>-0.2028124</v>
      </c>
      <c r="N62" s="205">
        <v>2.39678298</v>
      </c>
      <c r="O62" s="205">
        <v>-0.1873267</v>
      </c>
      <c r="P62" s="205">
        <v>0.10440343</v>
      </c>
      <c r="Q62" s="205">
        <v>1.50161101</v>
      </c>
      <c r="R62" s="205">
        <v>1.79933561</v>
      </c>
      <c r="S62" s="205">
        <v>0.57646677</v>
      </c>
      <c r="T62" s="205">
        <v>0.28123985</v>
      </c>
      <c r="U62" s="205">
        <v>-0.3359892</v>
      </c>
      <c r="V62" s="205">
        <v>-0.2462722</v>
      </c>
      <c r="W62" s="205">
        <v>-0.1389715</v>
      </c>
      <c r="X62" s="205">
        <v>-0.2644554</v>
      </c>
      <c r="Y62" s="205">
        <v>0.19032395</v>
      </c>
      <c r="Z62" s="205">
        <v>-0.1609511</v>
      </c>
      <c r="AA62" s="205">
        <v>-0.5021355</v>
      </c>
      <c r="AB62" s="205">
        <v>-0.5585833</v>
      </c>
      <c r="AC62" s="205">
        <v>0.02197967</v>
      </c>
      <c r="AD62" s="205">
        <v>-0.2525164</v>
      </c>
      <c r="AE62" s="205">
        <v>-0.0094912</v>
      </c>
      <c r="AF62" s="205">
        <v>0.56447786</v>
      </c>
      <c r="AG62" s="205">
        <v>-0.51887</v>
      </c>
      <c r="AH62" s="205">
        <v>-0.456228</v>
      </c>
      <c r="AI62" s="205">
        <v>1.79983515</v>
      </c>
      <c r="AJ62" s="205">
        <v>-0.6221046</v>
      </c>
      <c r="AK62" s="205">
        <v>0.57646677</v>
      </c>
      <c r="AL62" s="205">
        <v>1.52758698</v>
      </c>
      <c r="AM62" s="205">
        <v>-0.1397208</v>
      </c>
      <c r="AN62" s="205">
        <v>-0.1074007</v>
      </c>
      <c r="AO62" s="205">
        <v>-0.5171217</v>
      </c>
      <c r="AP62" s="205">
        <v>1.10747559</v>
      </c>
      <c r="AQ62" s="205">
        <v>0.36266454</v>
      </c>
      <c r="AR62" s="205">
        <v>1.88026076</v>
      </c>
      <c r="AS62" s="205">
        <v>0.94212853</v>
      </c>
      <c r="AT62" s="205">
        <v>0.3661613</v>
      </c>
      <c r="AU62" s="205">
        <v>2.43075155</v>
      </c>
      <c r="AV62" s="205">
        <v>0.46706796</v>
      </c>
      <c r="AW62" s="205">
        <v>0.99757724</v>
      </c>
      <c r="AX62" s="205">
        <v>-0.2643055</v>
      </c>
      <c r="AY62" s="205">
        <v>-0.6339136</v>
      </c>
      <c r="AZ62" s="205">
        <v>0.98159203</v>
      </c>
      <c r="BA62" s="205">
        <v>0.53850189</v>
      </c>
      <c r="BB62" s="205">
        <v>-0.6191673</v>
      </c>
      <c r="BC62" s="205">
        <v>1.24984389</v>
      </c>
      <c r="BD62" s="205">
        <v>2.16849414</v>
      </c>
      <c r="BE62" s="205">
        <v>-0.5917776</v>
      </c>
      <c r="BF62" s="205">
        <v>-0.4293528</v>
      </c>
      <c r="BG62" s="205">
        <v>0.30671629</v>
      </c>
      <c r="BH62" s="205">
        <v>-0.2156505</v>
      </c>
      <c r="BI62" s="205">
        <v>0.48255364</v>
      </c>
      <c r="BJ62" s="205">
        <v>-0.0044958</v>
      </c>
      <c r="BK62" s="205">
        <v>1.42618078</v>
      </c>
      <c r="BL62" s="205">
        <v>-0.3950346</v>
      </c>
      <c r="BM62" s="205">
        <v>0.07193346</v>
      </c>
      <c r="BN62" s="205">
        <v>0.79726253</v>
      </c>
      <c r="BO62" s="205">
        <v>-0.0839224</v>
      </c>
      <c r="BP62" s="205">
        <v>1.83330419</v>
      </c>
      <c r="BQ62" s="205">
        <v>0.74081475</v>
      </c>
      <c r="BR62" s="206"/>
      <c r="BS62" s="207">
        <f t="shared" si="6"/>
        <v>0.340344784</v>
      </c>
      <c r="BT62" s="207">
        <f t="shared" si="7"/>
        <v>0.6668755188</v>
      </c>
      <c r="BU62" s="206"/>
      <c r="BV62" s="207">
        <f>IFERROR(__xludf.DUMMYFUNCTION("AVERAGE(ARRAYFORMULA(XLOOKUP(FILTER(INDIRECT(""'""&amp;BV$1&amp;""'!$C$4:$C$66""),INDIRECT(""'""&amp;BV$1&amp;""'!$D$4:$D$66"")=BV$2),$G$4:$BQ$4,$G62:$BQ62)))"),-0.47963705714285715)</f>
        <v>-0.4796370571</v>
      </c>
      <c r="BW62" s="207">
        <f>IFERROR(__xludf.DUMMYFUNCTION("IF(OR(BV62&gt;$BS62+$BT62*$BT$2,BV62&lt;$BS62-$BT62*$BT$2),AVEDEV(ARRAYFORMULA(XLOOKUP(FILTER(INDIRECT(""'""&amp;BV$1&amp;""'!$C$4:$C$66""),INDIRECT(""'""&amp;BV$1&amp;""'!$D$4:$D$66"")=BV$2),$G$4:$BQ$4,$G62:$BQ62))),"""")"),0.12669484897959182)</f>
        <v>0.126694849</v>
      </c>
      <c r="BX62" s="208">
        <f t="shared" si="8"/>
        <v>-0.1531063224</v>
      </c>
      <c r="BY62" s="207">
        <f>IFERROR(__xludf.DUMMYFUNCTION("AVERAGE(ARRAYFORMULA(XLOOKUP(FILTER(INDIRECT(""'""&amp;BY$1&amp;""'!$C$4:$C$66""),INDIRECT(""'""&amp;BY$1&amp;""'!$D$4:$D$66"")=BY$2),$G$4:$BQ$4,$G62:$BQ62)))"),0.43197471023809525)</f>
        <v>0.4319747102</v>
      </c>
      <c r="BZ62" s="207" t="str">
        <f>IFERROR(__xludf.DUMMYFUNCTION("IF(OR(BY62&gt;$BS62+$BT62*$BT$2,BY62&lt;$BS62-$BT62*$BT$2),AVEDEV(ARRAYFORMULA(XLOOKUP(FILTER(INDIRECT(""'""&amp;BY$1&amp;""'!$C$4:$C$66""),INDIRECT(""'""&amp;BY$1&amp;""'!$D$4:$D$66"")=BY$2),$G$4:$BQ$4,$G62:$BQ62))),"""")"),"")</f>
        <v/>
      </c>
      <c r="CA62" s="208" t="str">
        <f t="shared" si="9"/>
        <v/>
      </c>
      <c r="CB62" s="207">
        <f>IFERROR(__xludf.DUMMYFUNCTION("AVERAGE(ARRAYFORMULA(XLOOKUP(FILTER(INDIRECT(""'""&amp;CB$1&amp;""'!$C$4:$C$66""),INDIRECT(""'""&amp;CB$1&amp;""'!$D$4:$D$66"")=CB$2),$G$4:$BQ$4,$G62:$BQ62)))"),0.19762628818181815)</f>
        <v>0.1976262882</v>
      </c>
      <c r="CC62" s="207" t="str">
        <f>IFERROR(__xludf.DUMMYFUNCTION("IF(OR(CB62&gt;$BS62+$BT62*$BT$2,CB62&lt;$BS62-$BT62*$BT$2),AVEDEV(ARRAYFORMULA(XLOOKUP(FILTER(INDIRECT(""'""&amp;CB$1&amp;""'!$C$4:$C$66""),INDIRECT(""'""&amp;CB$1&amp;""'!$D$4:$D$66"")=CB$2),$G$4:$BQ$4,$G62:$BQ62))),"""")"),"")</f>
        <v/>
      </c>
      <c r="CD62" s="208" t="str">
        <f t="shared" si="10"/>
        <v/>
      </c>
      <c r="CE62" s="209" t="s">
        <v>444</v>
      </c>
      <c r="CF62" s="207">
        <f>IFERROR(__xludf.DUMMYFUNCTION("AVERAGE(ARRAYFORMULA(XLOOKUP(FILTER(INDIRECT(""'""&amp;CF$1&amp;""'!$C$4:$C$66""),INDIRECT(""'""&amp;CF$1&amp;""'!$D$4:$D$66"")=CF$2),$G$4:$BQ$4,$G62:$BQ62)))"),0.32437557937499994)</f>
        <v>0.3243755794</v>
      </c>
      <c r="CG62" s="207" t="str">
        <f>IFERROR(__xludf.DUMMYFUNCTION("IF(OR(CF62&gt;$BS62+$BT62*$BT$2,CF62&lt;$BS62-$BT62*$BT$2),AVEDEV(ARRAYFORMULA(XLOOKUP(FILTER(INDIRECT(""'""&amp;CF$1&amp;""'!$C$4:$C$66""),INDIRECT(""'""&amp;CF$1&amp;""'!$D$4:$D$66"")=CF$2),$G$4:$BQ$4,$G62:$BQ62))),"""")"),"")</f>
        <v/>
      </c>
      <c r="CH62" s="208" t="str">
        <f t="shared" si="11"/>
        <v/>
      </c>
      <c r="CI62" s="207">
        <f>IFERROR(__xludf.DUMMYFUNCTION("AVERAGE(ARRAYFORMULA(XLOOKUP(FILTER(INDIRECT(""'""&amp;CI$1&amp;""'!$C$4:$C$66""),INDIRECT(""'""&amp;CI$1&amp;""'!$D$4:$D$66"")=CI$2),$G$4:$BQ$4,$G62:$BQ62)))"),0.2994003135483872)</f>
        <v>0.2994003135</v>
      </c>
      <c r="CJ62" s="207" t="str">
        <f>IFERROR(__xludf.DUMMYFUNCTION("IF(OR(CI62&gt;$BS62+$BT62*$BT$2,CI62&lt;$BS62-$BT62*$BT$2),AVEDEV(ARRAYFORMULA(XLOOKUP(FILTER(INDIRECT(""'""&amp;CI$1&amp;""'!$C$4:$C$66""),INDIRECT(""'""&amp;CI$1&amp;""'!$D$4:$D$66"")=CI$2),$G$4:$BQ$4,$G62:$BQ62))),"""")"),"")</f>
        <v/>
      </c>
      <c r="CK62" s="208" t="str">
        <f t="shared" si="12"/>
        <v/>
      </c>
      <c r="CL62" s="207">
        <f>IFERROR(__xludf.DUMMYFUNCTION("AVERAGE(ARRAYFORMULA(XLOOKUP(FILTER(INDIRECT(""'""&amp;CL$1&amp;""'!$C$4:$C$66""),INDIRECT(""'""&amp;CL$1&amp;""'!$D$4:$D$66"")=CL$2),$G$4:$BQ$4,$G62:$BQ62)))"),0.43459799799999993)</f>
        <v>0.434597998</v>
      </c>
      <c r="CM62" s="207" t="str">
        <f>IFERROR(__xludf.DUMMYFUNCTION("IF(OR(CL62&gt;$BS62+$BT62*$BT$2,CL62&lt;$BS62-$BT62*$BT$2),AVEDEV(ARRAYFORMULA(XLOOKUP(FILTER(INDIRECT(""'""&amp;CL$1&amp;""'!$C$4:$C$66""),INDIRECT(""'""&amp;CL$1&amp;""'!$D$4:$D$66"")=CL$2),$G$4:$BQ$4,$G62:$BQ62))),"""")"),"")</f>
        <v/>
      </c>
      <c r="CN62" s="208" t="str">
        <f t="shared" si="13"/>
        <v/>
      </c>
      <c r="CO62" s="209" t="s">
        <v>444</v>
      </c>
      <c r="CP62" s="210">
        <f>IFERROR(__xludf.DUMMYFUNCTION("AVERAGE(ARRAYFORMULA(XLOOKUP(FILTER(INDIRECT(""'""&amp;CP$1&amp;""'!$C$4:$C$66""),INDIRECT(""'""&amp;CP$1&amp;""'!$D$4:$D$66"")=CP$2),$G$4:$BQ$4,$G62:$BQ62)))"),-0.03246430266666668)</f>
        <v>-0.03246430267</v>
      </c>
      <c r="CQ62" s="207" t="str">
        <f>IFERROR(__xludf.DUMMYFUNCTION("IF(OR(CP62&gt;$BS62+$BT62*$BT$2,CP62&lt;$BS62-$BT62*$BT$2),AVEDEV(ARRAYFORMULA(XLOOKUP(FILTER(INDIRECT(""'""&amp;CP$1&amp;""'!$C$4:$C$66""),INDIRECT(""'""&amp;CP$1&amp;""'!$D$4:$D$66"")=CP$2),$G$4:$BQ$4,$G62:$BQ62))),"""")"),"")</f>
        <v/>
      </c>
      <c r="CR62" s="208" t="str">
        <f t="shared" si="14"/>
        <v/>
      </c>
      <c r="CS62" s="210">
        <f>IFERROR(__xludf.DUMMYFUNCTION("AVERAGE(ARRAYFORMULA(XLOOKUP(FILTER(INDIRECT(""'""&amp;CS$1&amp;""'!$C$4:$C$66""),INDIRECT(""'""&amp;CS$1&amp;""'!$D$4:$D$66"")=CS$2),$G$4:$BQ$4,$G62:$BQ62)))"),0.4017532499999999)</f>
        <v>0.40175325</v>
      </c>
      <c r="CT62" s="207" t="str">
        <f>IFERROR(__xludf.DUMMYFUNCTION("IF(OR(CS62&gt;$BS62+$BT62*$BT$2,CS62&lt;$BS62-$BT62*$BT$2),AVEDEV(ARRAYFORMULA(XLOOKUP(FILTER(INDIRECT(""'""&amp;CS$1&amp;""'!$C$4:$C$66""),INDIRECT(""'""&amp;CS$1&amp;""'!$D$4:$D$66"")=CS$2),$G$4:$BQ$4,$G62:$BQ62))),"""")"),"")</f>
        <v/>
      </c>
      <c r="CU62" s="208" t="str">
        <f t="shared" si="15"/>
        <v/>
      </c>
      <c r="CV62" s="210">
        <f>IFERROR(__xludf.DUMMYFUNCTION("AVERAGE(ARRAYFORMULA(XLOOKUP(FILTER(INDIRECT(""'""&amp;CV$1&amp;""'!$C$4:$C$66""),INDIRECT(""'""&amp;CV$1&amp;""'!$D$4:$D$66"")=CV$2),$G$4:$BQ$4,$G62:$BQ62)))"),0.43459799799999993)</f>
        <v>0.434597998</v>
      </c>
      <c r="CW62" s="207" t="str">
        <f>IFERROR(__xludf.DUMMYFUNCTION("IF(OR(CV62&gt;$BS62+$BT62*$BT$2,CV62&lt;$BS62-$BT62*$BT$2),AVEDEV(ARRAYFORMULA(XLOOKUP(FILTER(INDIRECT(""'""&amp;CV$1&amp;""'!$C$4:$C$66""),INDIRECT(""'""&amp;CV$1&amp;""'!$D$4:$D$66"")=CV$2),$G$4:$BQ$4,$G62:$BQ62))),"""")"),"")</f>
        <v/>
      </c>
      <c r="CX62" s="208" t="str">
        <f t="shared" si="16"/>
        <v/>
      </c>
      <c r="CY62" s="209" t="s">
        <v>444</v>
      </c>
      <c r="CZ62" s="210">
        <f>IFERROR(__xludf.DUMMYFUNCTION("AVERAGE(ARRAYFORMULA(XLOOKUP(FILTER(INDIRECT(""'""&amp;CZ$1&amp;""'!$C$4:$C$66""),INDIRECT(""'""&amp;CZ$1&amp;""'!$D$4:$D$66"")=CZ$2),$G$4:$BQ$4,$G62:$BQ62)))"),0.6280512021428571)</f>
        <v>0.6280512021</v>
      </c>
      <c r="DA62" s="207" t="str">
        <f>IFERROR(__xludf.DUMMYFUNCTION("IF(OR(CZ62&gt;$BS62+$BT62*$BT$2,CZ62&lt;$BS62-$BT62*$BT$2),AVEDEV(ARRAYFORMULA(XLOOKUP(FILTER(INDIRECT(""'""&amp;CZ$1&amp;""'!$C$4:$C$66""),INDIRECT(""'""&amp;CZ$1&amp;""'!$D$4:$D$66"")=CZ$2),$G$4:$BQ$4,$G62:$BQ62))),"""")"),"")</f>
        <v/>
      </c>
      <c r="DB62" s="208" t="str">
        <f t="shared" si="17"/>
        <v/>
      </c>
      <c r="DC62" s="210">
        <f>IFERROR(__xludf.DUMMYFUNCTION("AVERAGE(ARRAYFORMULA(XLOOKUP(FILTER(INDIRECT(""'""&amp;DC$1&amp;""'!$C$4:$C$66""),INDIRECT(""'""&amp;DC$1&amp;""'!$D$4:$D$66"")=DC$2),$G$4:$BQ$4,$G62:$BQ62)))"),0.12448485333333334)</f>
        <v>0.1244848533</v>
      </c>
      <c r="DD62" s="207" t="str">
        <f>IFERROR(__xludf.DUMMYFUNCTION("IF(OR(DC62&gt;$BS62+$BT62*$BT$2,DC62&lt;$BS62-$BT62*$BT$2),AVEDEV(ARRAYFORMULA(XLOOKUP(FILTER(INDIRECT(""'""&amp;DC$1&amp;""'!$C$4:$C$66""),INDIRECT(""'""&amp;DC$1&amp;""'!$D$4:$D$66"")=DC$2),$G$4:$BQ$4,$G62:$BQ62))),"""")"),"")</f>
        <v/>
      </c>
      <c r="DE62" s="208" t="str">
        <f t="shared" si="18"/>
        <v/>
      </c>
      <c r="DF62" s="210">
        <f>IFERROR(__xludf.DUMMYFUNCTION("AVERAGE(ARRAYFORMULA(XLOOKUP(FILTER(INDIRECT(""'""&amp;DF$1&amp;""'!$C$4:$C$66""),INDIRECT(""'""&amp;DF$1&amp;""'!$D$4:$D$66"")=DF$2),$G$4:$BQ$4,$G62:$BQ62)))"),0.08903582)</f>
        <v>0.08903582</v>
      </c>
      <c r="DG62" s="207" t="str">
        <f>IFERROR(__xludf.DUMMYFUNCTION("IF(OR(DF62&gt;$BS62+$BT62*$BT$2,DF62&lt;$BS62-$BT62*$BT$2),AVEDEV(ARRAYFORMULA(XLOOKUP(FILTER(INDIRECT(""'""&amp;DF$1&amp;""'!$C$4:$C$66""),INDIRECT(""'""&amp;DF$1&amp;""'!$D$4:$D$66"")=DF$2),$G$4:$BQ$4,$G62:$BQ62))),"""")"),"")</f>
        <v/>
      </c>
      <c r="DH62" s="208" t="str">
        <f t="shared" si="19"/>
        <v/>
      </c>
      <c r="DI62" s="210">
        <f>IFERROR(__xludf.DUMMYFUNCTION("AVERAGE(ARRAYFORMULA(XLOOKUP(FILTER(INDIRECT(""'""&amp;DI$1&amp;""'!$C$4:$C$66""),INDIRECT(""'""&amp;DI$1&amp;""'!$D$4:$D$66"")=DI$2),$G$4:$BQ$4,$G62:$BQ62)))"),-0.23408344999999997)</f>
        <v>-0.23408345</v>
      </c>
      <c r="DJ62" s="207" t="str">
        <f>IFERROR(__xludf.DUMMYFUNCTION("IF(OR(DI62&gt;$BS62+$BT62*$BT$2,DI62&lt;$BS62-$BT62*$BT$2),AVEDEV(ARRAYFORMULA(XLOOKUP(FILTER(INDIRECT(""'""&amp;DI$1&amp;""'!$C$4:$C$66""),INDIRECT(""'""&amp;DI$1&amp;""'!$D$4:$D$66"")=DI$2),$G$4:$BQ$4,$G62:$BQ62))),"""")"),"")</f>
        <v/>
      </c>
      <c r="DK62" s="208" t="str">
        <f t="shared" si="20"/>
        <v/>
      </c>
      <c r="DL62" s="210">
        <f>IFERROR(__xludf.DUMMYFUNCTION("AVERAGE(ARRAYFORMULA(XLOOKUP(FILTER(INDIRECT(""'""&amp;DL$1&amp;""'!$C$4:$C$66""),INDIRECT(""'""&amp;DL$1&amp;""'!$D$4:$D$66"")=DL$2),$G$4:$BQ$4,$G62:$BQ62)))"),0.6384572842857145)</f>
        <v>0.6384572843</v>
      </c>
      <c r="DM62" s="207" t="str">
        <f>IFERROR(__xludf.DUMMYFUNCTION("IF(OR(DL62&gt;$BS62+$BT62*$BT$2,DL62&lt;$BS62-$BT62*$BT$2),AVEDEV(ARRAYFORMULA(XLOOKUP(FILTER(INDIRECT(""'""&amp;DL$1&amp;""'!$C$4:$C$66""),INDIRECT(""'""&amp;DL$1&amp;""'!$D$4:$D$66"")=DL$2),$G$4:$BQ$4,$G62:$BQ62))),"""")"),"")</f>
        <v/>
      </c>
      <c r="DN62" s="208" t="str">
        <f t="shared" si="21"/>
        <v/>
      </c>
      <c r="DO62" s="209" t="s">
        <v>444</v>
      </c>
      <c r="DP62" s="210">
        <f>IFERROR(__xludf.DUMMYFUNCTION("AVERAGE(ARRAYFORMULA(XLOOKUP(FILTER(INDIRECT(""'""&amp;DP$1&amp;""'!$C$4:$C$66""),INDIRECT(""'""&amp;DP$1&amp;""'!$D$4:$D$66"")=DP$2),$G$4:$BQ$4,$G62:$BQ62)))"),0.3825090143333333)</f>
        <v>0.3825090143</v>
      </c>
      <c r="DQ62" s="207" t="str">
        <f>IFERROR(__xludf.DUMMYFUNCTION("IF(OR(DP62&gt;$BS62+$BT62*$BT$2,DP62&lt;$BS62-$BT62*$BT$2),AVEDEV(ARRAYFORMULA(XLOOKUP(FILTER(INDIRECT(""'""&amp;DP$1&amp;""'!$C$4:$C$66""),INDIRECT(""'""&amp;DP$1&amp;""'!$D$4:$D$66"")=DP$2),$G$4:$BQ$4,$G62:$BQ62))),"""")"),"")</f>
        <v/>
      </c>
      <c r="DR62" s="208" t="str">
        <f t="shared" si="22"/>
        <v/>
      </c>
      <c r="DS62" s="210">
        <f>IFERROR(__xludf.DUMMYFUNCTION("AVERAGE(ARRAYFORMULA(XLOOKUP(FILTER(INDIRECT(""'""&amp;DS$1&amp;""'!$C$4:$C$66""),INDIRECT(""'""&amp;DS$1&amp;""'!$D$4:$D$66"")=DS$2),$G$4:$BQ$4,$G62:$BQ62)))"),0.10050703222222222)</f>
        <v>0.1005070322</v>
      </c>
      <c r="DT62" s="207" t="str">
        <f>IFERROR(__xludf.DUMMYFUNCTION("IF(OR(DS62&gt;$BS62+$BT62*$BT$2,DS62&lt;$BS62-$BT62*$BT$2),AVEDEV(ARRAYFORMULA(XLOOKUP(FILTER(INDIRECT(""'""&amp;DS$1&amp;""'!$C$4:$C$66""),INDIRECT(""'""&amp;DS$1&amp;""'!$D$4:$D$66"")=DS$2),$G$4:$BQ$4,$G62:$BQ62))),"""")"),"")</f>
        <v/>
      </c>
      <c r="DU62" s="208" t="str">
        <f t="shared" si="23"/>
        <v/>
      </c>
      <c r="DV62" s="210">
        <f>IFERROR(__xludf.DUMMYFUNCTION("AVERAGE(ARRAYFORMULA(XLOOKUP(FILTER(INDIRECT(""'""&amp;DV$1&amp;""'!$C$4:$C$66""),INDIRECT(""'""&amp;DV$1&amp;""'!$D$4:$D$66"")=DV$2),$G$4:$BQ$4,$G62:$BQ62)))"),0.13449060125)</f>
        <v>0.1344906013</v>
      </c>
      <c r="DW62" s="207" t="str">
        <f>IFERROR(__xludf.DUMMYFUNCTION("IF(OR(DV62&gt;$BS62+$BT62*$BT$2,DV62&lt;$BS62-$BT62*$BT$2),AVEDEV(ARRAYFORMULA(XLOOKUP(FILTER(INDIRECT(""'""&amp;DV$1&amp;""'!$C$4:$C$66""),INDIRECT(""'""&amp;DV$1&amp;""'!$D$4:$D$66"")=DV$2),$G$4:$BQ$4,$G62:$BQ62))),"""")"),"")</f>
        <v/>
      </c>
      <c r="DX62" s="208" t="str">
        <f t="shared" si="24"/>
        <v/>
      </c>
      <c r="DY62" s="210">
        <f>IFERROR(__xludf.DUMMYFUNCTION("AVERAGE(ARRAYFORMULA(XLOOKUP(FILTER(INDIRECT(""'""&amp;DY$1&amp;""'!$C$4:$C$66""),INDIRECT(""'""&amp;DY$1&amp;""'!$D$4:$D$66"")=DY$2),$G$4:$BQ$4,$G62:$BQ62)))"),0.31110666777777773)</f>
        <v>0.3111066678</v>
      </c>
      <c r="DZ62" s="207" t="str">
        <f>IFERROR(__xludf.DUMMYFUNCTION("IF(OR(DY62&gt;$BS62+$BT62*$BT$2,DY62&lt;$BS62-$BT62*$BT$2),AVEDEV(ARRAYFORMULA(XLOOKUP(FILTER(INDIRECT(""'""&amp;DY$1&amp;""'!$C$4:$C$66""),INDIRECT(""'""&amp;DY$1&amp;""'!$D$4:$D$66"")=DY$2),$G$4:$BQ$4,$G62:$BQ62))),"""")"),"")</f>
        <v/>
      </c>
      <c r="EA62" s="208" t="str">
        <f t="shared" si="25"/>
        <v/>
      </c>
      <c r="EB62" s="191"/>
    </row>
    <row r="63" outlineLevel="1">
      <c r="A63" s="2"/>
      <c r="B63" s="204">
        <v>59.0</v>
      </c>
      <c r="C63" s="204" t="s">
        <v>482</v>
      </c>
      <c r="D63" s="204" t="s">
        <v>503</v>
      </c>
      <c r="E63" s="205" t="b">
        <f>VLOOKUP(D63,'Feature Set List'!A59:C246,2,0)</f>
        <v>1</v>
      </c>
      <c r="F63" s="205" t="b">
        <f>VLOOKUP(D63,'Feature Set List'!A59:C246,3,0)</f>
        <v>1</v>
      </c>
      <c r="G63" s="205">
        <v>-1.4800995</v>
      </c>
      <c r="H63" s="205">
        <v>-0.4676617</v>
      </c>
      <c r="I63" s="205">
        <v>-0.8768657</v>
      </c>
      <c r="J63" s="205">
        <v>-0.5099502</v>
      </c>
      <c r="K63" s="205">
        <v>0.1119403</v>
      </c>
      <c r="L63" s="205">
        <v>-0.641791</v>
      </c>
      <c r="M63" s="205">
        <v>-0.8308458</v>
      </c>
      <c r="N63" s="205">
        <v>0.88059701</v>
      </c>
      <c r="O63" s="205">
        <v>0.42661692</v>
      </c>
      <c r="P63" s="205">
        <v>-0.6803483</v>
      </c>
      <c r="Q63" s="205">
        <v>-0.0945274</v>
      </c>
      <c r="R63" s="205">
        <v>-2.6766169</v>
      </c>
      <c r="S63" s="205">
        <v>0.48134328</v>
      </c>
      <c r="T63" s="205">
        <v>0.51492537</v>
      </c>
      <c r="U63" s="205">
        <v>0.6119403</v>
      </c>
      <c r="V63" s="205">
        <v>1.32089552</v>
      </c>
      <c r="W63" s="205">
        <v>0.20273632</v>
      </c>
      <c r="X63" s="205">
        <v>1.91044776</v>
      </c>
      <c r="Y63" s="205">
        <v>0.16169154</v>
      </c>
      <c r="Z63" s="205">
        <v>0.3619403</v>
      </c>
      <c r="AA63" s="205">
        <v>-1.028607</v>
      </c>
      <c r="AB63" s="205">
        <v>-1.5771144</v>
      </c>
      <c r="AC63" s="205">
        <v>-0.130597</v>
      </c>
      <c r="AD63" s="205">
        <v>0.12437811</v>
      </c>
      <c r="AE63" s="205">
        <v>0.29850746</v>
      </c>
      <c r="AF63" s="205">
        <v>0.20273632</v>
      </c>
      <c r="AG63" s="205">
        <v>-1.7263682</v>
      </c>
      <c r="AH63" s="205">
        <v>-0.1343284</v>
      </c>
      <c r="AI63" s="205">
        <v>0.05845771</v>
      </c>
      <c r="AJ63" s="205">
        <v>0.0</v>
      </c>
      <c r="AK63" s="205">
        <v>0.85074627</v>
      </c>
      <c r="AL63" s="205">
        <v>0.15671642</v>
      </c>
      <c r="AM63" s="205">
        <v>-0.3109453</v>
      </c>
      <c r="AN63" s="205">
        <v>-0.2475124</v>
      </c>
      <c r="AO63" s="205">
        <v>0.32462687</v>
      </c>
      <c r="AP63" s="205">
        <v>0.72885572</v>
      </c>
      <c r="AQ63" s="205">
        <v>0.88557214</v>
      </c>
      <c r="AR63" s="205">
        <v>-1.3171642</v>
      </c>
      <c r="AS63" s="205">
        <v>-0.1728856</v>
      </c>
      <c r="AT63" s="205">
        <v>-0.4614428</v>
      </c>
      <c r="AU63" s="205">
        <v>-3.10199</v>
      </c>
      <c r="AV63" s="205">
        <v>0.22885572</v>
      </c>
      <c r="AW63" s="205">
        <v>0.10820896</v>
      </c>
      <c r="AX63" s="205">
        <v>0.90671642</v>
      </c>
      <c r="AY63" s="205">
        <v>0.21268657</v>
      </c>
      <c r="AZ63" s="205">
        <v>-3.2699005</v>
      </c>
      <c r="BA63" s="205">
        <v>-0.0870647</v>
      </c>
      <c r="BB63" s="205">
        <v>-0.7512438</v>
      </c>
      <c r="BC63" s="205">
        <v>0.59328358</v>
      </c>
      <c r="BD63" s="205">
        <v>-0.1691542</v>
      </c>
      <c r="BE63" s="205">
        <v>-0.420398</v>
      </c>
      <c r="BF63" s="205">
        <v>0.08955224</v>
      </c>
      <c r="BG63" s="205">
        <v>0.60199005</v>
      </c>
      <c r="BH63" s="205">
        <v>-0.3507463</v>
      </c>
      <c r="BI63" s="205">
        <v>-1.8781095</v>
      </c>
      <c r="BJ63" s="205">
        <v>-2.699005</v>
      </c>
      <c r="BK63" s="205">
        <v>0.3221393</v>
      </c>
      <c r="BL63" s="205">
        <v>-1.2437811</v>
      </c>
      <c r="BM63" s="205">
        <v>0.1579602</v>
      </c>
      <c r="BN63" s="205">
        <v>-0.2935323</v>
      </c>
      <c r="BO63" s="205">
        <v>-0.9452736</v>
      </c>
      <c r="BP63" s="205">
        <v>0.35323383</v>
      </c>
      <c r="BQ63" s="205">
        <v>0.55721393</v>
      </c>
      <c r="BR63" s="206"/>
      <c r="BS63" s="207">
        <f t="shared" si="6"/>
        <v>-0.2512437835</v>
      </c>
      <c r="BT63" s="207">
        <f t="shared" si="7"/>
        <v>0.7463476285</v>
      </c>
      <c r="BU63" s="206"/>
      <c r="BV63" s="207">
        <f>IFERROR(__xludf.DUMMYFUNCTION("AVERAGE(ARRAYFORMULA(XLOOKUP(FILTER(INDIRECT(""'""&amp;BV$1&amp;""'!$C$4:$C$66""),INDIRECT(""'""&amp;BV$1&amp;""'!$D$4:$D$66"")=BV$2),$G$4:$BQ$4,$G63:$BQ63)))"),0.09203979999999998)</f>
        <v>0.0920398</v>
      </c>
      <c r="BW63" s="207" t="str">
        <f>IFERROR(__xludf.DUMMYFUNCTION("IF(OR(BV63&gt;$BS63+$BT63*$BT$2,BV63&lt;$BS63-$BT63*$BT$2),AVEDEV(ARRAYFORMULA(XLOOKUP(FILTER(INDIRECT(""'""&amp;BV$1&amp;""'!$C$4:$C$66""),INDIRECT(""'""&amp;BV$1&amp;""'!$D$4:$D$66"")=BV$2),$G$4:$BQ$4,$G63:$BQ63))),"""")"),"")</f>
        <v/>
      </c>
      <c r="BX63" s="208" t="str">
        <f t="shared" si="8"/>
        <v/>
      </c>
      <c r="BY63" s="207">
        <f>IFERROR(__xludf.DUMMYFUNCTION("AVERAGE(ARRAYFORMULA(XLOOKUP(FILTER(INDIRECT(""'""&amp;BY$1&amp;""'!$C$4:$C$66""),INDIRECT(""'""&amp;BY$1&amp;""'!$D$4:$D$66"")=BY$2),$G$4:$BQ$4,$G63:$BQ63)))"),-0.15653873833333337)</f>
        <v>-0.1565387383</v>
      </c>
      <c r="BZ63" s="207" t="str">
        <f>IFERROR(__xludf.DUMMYFUNCTION("IF(OR(BY63&gt;$BS63+$BT63*$BT$2,BY63&lt;$BS63-$BT63*$BT$2),AVEDEV(ARRAYFORMULA(XLOOKUP(FILTER(INDIRECT(""'""&amp;BY$1&amp;""'!$C$4:$C$66""),INDIRECT(""'""&amp;BY$1&amp;""'!$D$4:$D$66"")=BY$2),$G$4:$BQ$4,$G63:$BQ63))),"""")"),"")</f>
        <v/>
      </c>
      <c r="CA63" s="208" t="str">
        <f t="shared" si="9"/>
        <v/>
      </c>
      <c r="CB63" s="207">
        <f>IFERROR(__xludf.DUMMYFUNCTION("AVERAGE(ARRAYFORMULA(XLOOKUP(FILTER(INDIRECT(""'""&amp;CB$1&amp;""'!$C$4:$C$66""),INDIRECT(""'""&amp;CB$1&amp;""'!$D$4:$D$66"")=CB$2),$G$4:$BQ$4,$G63:$BQ63)))"),-0.5227272772727273)</f>
        <v>-0.5227272773</v>
      </c>
      <c r="CC63" s="207" t="str">
        <f>IFERROR(__xludf.DUMMYFUNCTION("IF(OR(CB63&gt;$BS63+$BT63*$BT$2,CB63&lt;$BS63-$BT63*$BT$2),AVEDEV(ARRAYFORMULA(XLOOKUP(FILTER(INDIRECT(""'""&amp;CB$1&amp;""'!$C$4:$C$66""),INDIRECT(""'""&amp;CB$1&amp;""'!$D$4:$D$66"")=CB$2),$G$4:$BQ$4,$G63:$BQ63))),"""")"),"")</f>
        <v/>
      </c>
      <c r="CD63" s="208" t="str">
        <f t="shared" si="10"/>
        <v/>
      </c>
      <c r="CE63" s="209" t="s">
        <v>444</v>
      </c>
      <c r="CF63" s="207">
        <f>IFERROR(__xludf.DUMMYFUNCTION("AVERAGE(ARRAYFORMULA(XLOOKUP(FILTER(INDIRECT(""'""&amp;CF$1&amp;""'!$C$4:$C$66""),INDIRECT(""'""&amp;CF$1&amp;""'!$D$4:$D$66"")=CF$2),$G$4:$BQ$4,$G63:$BQ63)))"),0.126787933125)</f>
        <v>0.1267879331</v>
      </c>
      <c r="CG63" s="207" t="str">
        <f>IFERROR(__xludf.DUMMYFUNCTION("IF(OR(CF63&gt;$BS63+$BT63*$BT$2,CF63&lt;$BS63-$BT63*$BT$2),AVEDEV(ARRAYFORMULA(XLOOKUP(FILTER(INDIRECT(""'""&amp;CF$1&amp;""'!$C$4:$C$66""),INDIRECT(""'""&amp;CF$1&amp;""'!$D$4:$D$66"")=CF$2),$G$4:$BQ$4,$G63:$BQ63))),"""")"),"")</f>
        <v/>
      </c>
      <c r="CH63" s="208" t="str">
        <f t="shared" si="11"/>
        <v/>
      </c>
      <c r="CI63" s="207">
        <f>IFERROR(__xludf.DUMMYFUNCTION("AVERAGE(ARRAYFORMULA(XLOOKUP(FILTER(INDIRECT(""'""&amp;CI$1&amp;""'!$C$4:$C$66""),INDIRECT(""'""&amp;CI$1&amp;""'!$D$4:$D$66"")=CI$2),$G$4:$BQ$4,$G63:$BQ63)))"),-0.3935162922580646)</f>
        <v>-0.3935162923</v>
      </c>
      <c r="CJ63" s="207" t="str">
        <f>IFERROR(__xludf.DUMMYFUNCTION("IF(OR(CI63&gt;$BS63+$BT63*$BT$2,CI63&lt;$BS63-$BT63*$BT$2),AVEDEV(ARRAYFORMULA(XLOOKUP(FILTER(INDIRECT(""'""&amp;CI$1&amp;""'!$C$4:$C$66""),INDIRECT(""'""&amp;CI$1&amp;""'!$D$4:$D$66"")=CI$2),$G$4:$BQ$4,$G63:$BQ63))),"""")"),"")</f>
        <v/>
      </c>
      <c r="CK63" s="208" t="str">
        <f t="shared" si="12"/>
        <v/>
      </c>
      <c r="CL63" s="207">
        <f>IFERROR(__xludf.DUMMYFUNCTION("AVERAGE(ARRAYFORMULA(XLOOKUP(FILTER(INDIRECT(""'""&amp;CL$1&amp;""'!$C$4:$C$66""),INDIRECT(""'""&amp;CL$1&amp;""'!$D$4:$D$66"")=CL$2),$G$4:$BQ$4,$G63:$BQ63)))"),0.035323364000000024)</f>
        <v>0.035323364</v>
      </c>
      <c r="CM63" s="207" t="str">
        <f>IFERROR(__xludf.DUMMYFUNCTION("IF(OR(CL63&gt;$BS63+$BT63*$BT$2,CL63&lt;$BS63-$BT63*$BT$2),AVEDEV(ARRAYFORMULA(XLOOKUP(FILTER(INDIRECT(""'""&amp;CL$1&amp;""'!$C$4:$C$66""),INDIRECT(""'""&amp;CL$1&amp;""'!$D$4:$D$66"")=CL$2),$G$4:$BQ$4,$G63:$BQ63))),"""")"),"")</f>
        <v/>
      </c>
      <c r="CN63" s="208" t="str">
        <f t="shared" si="13"/>
        <v/>
      </c>
      <c r="CO63" s="209" t="s">
        <v>444</v>
      </c>
      <c r="CP63" s="210">
        <f>IFERROR(__xludf.DUMMYFUNCTION("AVERAGE(ARRAYFORMULA(XLOOKUP(FILTER(INDIRECT(""'""&amp;CP$1&amp;""'!$C$4:$C$66""),INDIRECT(""'""&amp;CP$1&amp;""'!$D$4:$D$66"")=CP$2),$G$4:$BQ$4,$G63:$BQ63)))"),-0.19386401533333333)</f>
        <v>-0.1938640153</v>
      </c>
      <c r="CQ63" s="207" t="str">
        <f>IFERROR(__xludf.DUMMYFUNCTION("IF(OR(CP63&gt;$BS63+$BT63*$BT$2,CP63&lt;$BS63-$BT63*$BT$2),AVEDEV(ARRAYFORMULA(XLOOKUP(FILTER(INDIRECT(""'""&amp;CP$1&amp;""'!$C$4:$C$66""),INDIRECT(""'""&amp;CP$1&amp;""'!$D$4:$D$66"")=CP$2),$G$4:$BQ$4,$G63:$BQ63))),"""")"),"")</f>
        <v/>
      </c>
      <c r="CR63" s="208" t="str">
        <f t="shared" si="14"/>
        <v/>
      </c>
      <c r="CS63" s="210">
        <f>IFERROR(__xludf.DUMMYFUNCTION("AVERAGE(ARRAYFORMULA(XLOOKUP(FILTER(INDIRECT(""'""&amp;CS$1&amp;""'!$C$4:$C$66""),INDIRECT(""'""&amp;CS$1&amp;""'!$D$4:$D$66"")=CS$2),$G$4:$BQ$4,$G63:$BQ63)))"),-0.19756984487179485)</f>
        <v>-0.1975698449</v>
      </c>
      <c r="CT63" s="207" t="str">
        <f>IFERROR(__xludf.DUMMYFUNCTION("IF(OR(CS63&gt;$BS63+$BT63*$BT$2,CS63&lt;$BS63-$BT63*$BT$2),AVEDEV(ARRAYFORMULA(XLOOKUP(FILTER(INDIRECT(""'""&amp;CS$1&amp;""'!$C$4:$C$66""),INDIRECT(""'""&amp;CS$1&amp;""'!$D$4:$D$66"")=CS$2),$G$4:$BQ$4,$G63:$BQ63))),"""")"),"")</f>
        <v/>
      </c>
      <c r="CU63" s="208" t="str">
        <f t="shared" si="15"/>
        <v/>
      </c>
      <c r="CV63" s="210">
        <f>IFERROR(__xludf.DUMMYFUNCTION("AVERAGE(ARRAYFORMULA(XLOOKUP(FILTER(INDIRECT(""'""&amp;CV$1&amp;""'!$C$4:$C$66""),INDIRECT(""'""&amp;CV$1&amp;""'!$D$4:$D$66"")=CV$2),$G$4:$BQ$4,$G63:$BQ63)))"),0.035323364000000024)</f>
        <v>0.035323364</v>
      </c>
      <c r="CW63" s="207" t="str">
        <f>IFERROR(__xludf.DUMMYFUNCTION("IF(OR(CV63&gt;$BS63+$BT63*$BT$2,CV63&lt;$BS63-$BT63*$BT$2),AVEDEV(ARRAYFORMULA(XLOOKUP(FILTER(INDIRECT(""'""&amp;CV$1&amp;""'!$C$4:$C$66""),INDIRECT(""'""&amp;CV$1&amp;""'!$D$4:$D$66"")=CV$2),$G$4:$BQ$4,$G63:$BQ63))),"""")"),"")</f>
        <v/>
      </c>
      <c r="CX63" s="208" t="str">
        <f t="shared" si="16"/>
        <v/>
      </c>
      <c r="CY63" s="209" t="s">
        <v>444</v>
      </c>
      <c r="CZ63" s="210">
        <f>IFERROR(__xludf.DUMMYFUNCTION("AVERAGE(ARRAYFORMULA(XLOOKUP(FILTER(INDIRECT(""'""&amp;CZ$1&amp;""'!$C$4:$C$66""),INDIRECT(""'""&amp;CZ$1&amp;""'!$D$4:$D$66"")=CZ$2),$G$4:$BQ$4,$G63:$BQ63)))"),0.21401918928571417)</f>
        <v>0.2140191893</v>
      </c>
      <c r="DA63" s="207" t="str">
        <f>IFERROR(__xludf.DUMMYFUNCTION("IF(OR(CZ63&gt;$BS63+$BT63*$BT$2,CZ63&lt;$BS63-$BT63*$BT$2),AVEDEV(ARRAYFORMULA(XLOOKUP(FILTER(INDIRECT(""'""&amp;CZ$1&amp;""'!$C$4:$C$66""),INDIRECT(""'""&amp;CZ$1&amp;""'!$D$4:$D$66"")=CZ$2),$G$4:$BQ$4,$G63:$BQ63))),"""")"),"")</f>
        <v/>
      </c>
      <c r="DB63" s="208" t="str">
        <f t="shared" si="17"/>
        <v/>
      </c>
      <c r="DC63" s="210">
        <f>IFERROR(__xludf.DUMMYFUNCTION("AVERAGE(ARRAYFORMULA(XLOOKUP(FILTER(INDIRECT(""'""&amp;DC$1&amp;""'!$C$4:$C$66""),INDIRECT(""'""&amp;DC$1&amp;""'!$D$4:$D$66"")=DC$2),$G$4:$BQ$4,$G63:$BQ63)))"),-0.29311774999999995)</f>
        <v>-0.29311775</v>
      </c>
      <c r="DD63" s="207" t="str">
        <f>IFERROR(__xludf.DUMMYFUNCTION("IF(OR(DC63&gt;$BS63+$BT63*$BT$2,DC63&lt;$BS63-$BT63*$BT$2),AVEDEV(ARRAYFORMULA(XLOOKUP(FILTER(INDIRECT(""'""&amp;DC$1&amp;""'!$C$4:$C$66""),INDIRECT(""'""&amp;DC$1&amp;""'!$D$4:$D$66"")=DC$2),$G$4:$BQ$4,$G63:$BQ63))),"""")"),"")</f>
        <v/>
      </c>
      <c r="DE63" s="208" t="str">
        <f t="shared" si="18"/>
        <v/>
      </c>
      <c r="DF63" s="210">
        <f>IFERROR(__xludf.DUMMYFUNCTION("AVERAGE(ARRAYFORMULA(XLOOKUP(FILTER(INDIRECT(""'""&amp;DF$1&amp;""'!$C$4:$C$66""),INDIRECT(""'""&amp;DF$1&amp;""'!$D$4:$D$66"")=DF$2),$G$4:$BQ$4,$G63:$BQ63)))"),-0.5950927227272728)</f>
        <v>-0.5950927227</v>
      </c>
      <c r="DG63" s="207" t="str">
        <f>IFERROR(__xludf.DUMMYFUNCTION("IF(OR(DF63&gt;$BS63+$BT63*$BT$2,DF63&lt;$BS63-$BT63*$BT$2),AVEDEV(ARRAYFORMULA(XLOOKUP(FILTER(INDIRECT(""'""&amp;DF$1&amp;""'!$C$4:$C$66""),INDIRECT(""'""&amp;DF$1&amp;""'!$D$4:$D$66"")=DF$2),$G$4:$BQ$4,$G63:$BQ63))),"""")"),"")</f>
        <v/>
      </c>
      <c r="DH63" s="208" t="str">
        <f t="shared" si="19"/>
        <v/>
      </c>
      <c r="DI63" s="210">
        <f>IFERROR(__xludf.DUMMYFUNCTION("AVERAGE(ARRAYFORMULA(XLOOKUP(FILTER(INDIRECT(""'""&amp;DI$1&amp;""'!$C$4:$C$66""),INDIRECT(""'""&amp;DI$1&amp;""'!$D$4:$D$66"")=DI$2),$G$4:$BQ$4,$G63:$BQ63)))"),-0.11318409500000001)</f>
        <v>-0.113184095</v>
      </c>
      <c r="DJ63" s="207" t="str">
        <f>IFERROR(__xludf.DUMMYFUNCTION("IF(OR(DI63&gt;$BS63+$BT63*$BT$2,DI63&lt;$BS63-$BT63*$BT$2),AVEDEV(ARRAYFORMULA(XLOOKUP(FILTER(INDIRECT(""'""&amp;DI$1&amp;""'!$C$4:$C$66""),INDIRECT(""'""&amp;DI$1&amp;""'!$D$4:$D$66"")=DI$2),$G$4:$BQ$4,$G63:$BQ63))),"""")"),"")</f>
        <v/>
      </c>
      <c r="DK63" s="208" t="str">
        <f t="shared" si="20"/>
        <v/>
      </c>
      <c r="DL63" s="210">
        <f>IFERROR(__xludf.DUMMYFUNCTION("AVERAGE(ARRAYFORMULA(XLOOKUP(FILTER(INDIRECT(""'""&amp;DL$1&amp;""'!$C$4:$C$66""),INDIRECT(""'""&amp;DL$1&amp;""'!$D$4:$D$66"")=DL$2),$G$4:$BQ$4,$G63:$BQ63)))"),-0.42910447999999995)</f>
        <v>-0.42910448</v>
      </c>
      <c r="DM63" s="207" t="str">
        <f>IFERROR(__xludf.DUMMYFUNCTION("IF(OR(DL63&gt;$BS63+$BT63*$BT$2,DL63&lt;$BS63-$BT63*$BT$2),AVEDEV(ARRAYFORMULA(XLOOKUP(FILTER(INDIRECT(""'""&amp;DL$1&amp;""'!$C$4:$C$66""),INDIRECT(""'""&amp;DL$1&amp;""'!$D$4:$D$66"")=DL$2),$G$4:$BQ$4,$G63:$BQ63))),"""")"),"")</f>
        <v/>
      </c>
      <c r="DN63" s="208" t="str">
        <f t="shared" si="21"/>
        <v/>
      </c>
      <c r="DO63" s="209" t="s">
        <v>444</v>
      </c>
      <c r="DP63" s="210">
        <f>IFERROR(__xludf.DUMMYFUNCTION("AVERAGE(ARRAYFORMULA(XLOOKUP(FILTER(INDIRECT(""'""&amp;DP$1&amp;""'!$C$4:$C$66""),INDIRECT(""'""&amp;DP$1&amp;""'!$D$4:$D$66"")=DP$2),$G$4:$BQ$4,$G63:$BQ63)))"),-0.06733001999999999)</f>
        <v>-0.06733002</v>
      </c>
      <c r="DQ63" s="207" t="str">
        <f>IFERROR(__xludf.DUMMYFUNCTION("IF(OR(DP63&gt;$BS63+$BT63*$BT$2,DP63&lt;$BS63-$BT63*$BT$2),AVEDEV(ARRAYFORMULA(XLOOKUP(FILTER(INDIRECT(""'""&amp;DP$1&amp;""'!$C$4:$C$66""),INDIRECT(""'""&amp;DP$1&amp;""'!$D$4:$D$66"")=DP$2),$G$4:$BQ$4,$G63:$BQ63))),"""")"),"")</f>
        <v/>
      </c>
      <c r="DR63" s="208" t="str">
        <f t="shared" si="22"/>
        <v/>
      </c>
      <c r="DS63" s="210">
        <f>IFERROR(__xludf.DUMMYFUNCTION("AVERAGE(ARRAYFORMULA(XLOOKUP(FILTER(INDIRECT(""'""&amp;DS$1&amp;""'!$C$4:$C$66""),INDIRECT(""'""&amp;DS$1&amp;""'!$D$4:$D$66"")=DS$2),$G$4:$BQ$4,$G63:$BQ63)))"),-0.29063018777777777)</f>
        <v>-0.2906301878</v>
      </c>
      <c r="DT63" s="207" t="str">
        <f>IFERROR(__xludf.DUMMYFUNCTION("IF(OR(DS63&gt;$BS63+$BT63*$BT$2,DS63&lt;$BS63-$BT63*$BT$2),AVEDEV(ARRAYFORMULA(XLOOKUP(FILTER(INDIRECT(""'""&amp;DS$1&amp;""'!$C$4:$C$66""),INDIRECT(""'""&amp;DS$1&amp;""'!$D$4:$D$66"")=DS$2),$G$4:$BQ$4,$G63:$BQ63))),"""")"),"")</f>
        <v/>
      </c>
      <c r="DU63" s="208" t="str">
        <f t="shared" si="23"/>
        <v/>
      </c>
      <c r="DV63" s="210">
        <f>IFERROR(__xludf.DUMMYFUNCTION("AVERAGE(ARRAYFORMULA(XLOOKUP(FILTER(INDIRECT(""'""&amp;DV$1&amp;""'!$C$4:$C$66""),INDIRECT(""'""&amp;DV$1&amp;""'!$D$4:$D$66"")=DV$2),$G$4:$BQ$4,$G63:$BQ63)))"),-0.65531716625)</f>
        <v>-0.6553171663</v>
      </c>
      <c r="DW63" s="207" t="str">
        <f>IFERROR(__xludf.DUMMYFUNCTION("IF(OR(DV63&gt;$BS63+$BT63*$BT$2,DV63&lt;$BS63-$BT63*$BT$2),AVEDEV(ARRAYFORMULA(XLOOKUP(FILTER(INDIRECT(""'""&amp;DV$1&amp;""'!$C$4:$C$66""),INDIRECT(""'""&amp;DV$1&amp;""'!$D$4:$D$66"")=DV$2),$G$4:$BQ$4,$G63:$BQ63))),"""")"),"")</f>
        <v/>
      </c>
      <c r="DX63" s="208" t="str">
        <f t="shared" si="24"/>
        <v/>
      </c>
      <c r="DY63" s="210">
        <f>IFERROR(__xludf.DUMMYFUNCTION("AVERAGE(ARRAYFORMULA(XLOOKUP(FILTER(INDIRECT(""'""&amp;DY$1&amp;""'!$C$4:$C$66""),INDIRECT(""'""&amp;DY$1&amp;""'!$D$4:$D$66"")=DY$2),$G$4:$BQ$4,$G63:$BQ63)))"),-0.1640409077777778)</f>
        <v>-0.1640409078</v>
      </c>
      <c r="DZ63" s="207" t="str">
        <f>IFERROR(__xludf.DUMMYFUNCTION("IF(OR(DY63&gt;$BS63+$BT63*$BT$2,DY63&lt;$BS63-$BT63*$BT$2),AVEDEV(ARRAYFORMULA(XLOOKUP(FILTER(INDIRECT(""'""&amp;DY$1&amp;""'!$C$4:$C$66""),INDIRECT(""'""&amp;DY$1&amp;""'!$D$4:$D$66"")=DY$2),$G$4:$BQ$4,$G63:$BQ63))),"""")"),"")</f>
        <v/>
      </c>
      <c r="EA63" s="208" t="str">
        <f t="shared" si="25"/>
        <v/>
      </c>
      <c r="EB63" s="191"/>
    </row>
    <row r="64" outlineLevel="1">
      <c r="A64" s="2"/>
      <c r="B64" s="204">
        <v>60.0</v>
      </c>
      <c r="C64" s="204" t="s">
        <v>482</v>
      </c>
      <c r="D64" s="204" t="s">
        <v>504</v>
      </c>
      <c r="E64" s="205" t="b">
        <f>VLOOKUP(D64,'Feature Set List'!A60:C246,2,0)</f>
        <v>1</v>
      </c>
      <c r="F64" s="205" t="b">
        <f>VLOOKUP(D64,'Feature Set List'!A60:C246,3,0)</f>
        <v>1</v>
      </c>
      <c r="G64" s="205">
        <v>0.25844595</v>
      </c>
      <c r="H64" s="205">
        <v>0.55405405</v>
      </c>
      <c r="I64" s="205">
        <v>0.07263514</v>
      </c>
      <c r="J64" s="205">
        <v>0.31081081</v>
      </c>
      <c r="K64" s="205">
        <v>0.21621622</v>
      </c>
      <c r="L64" s="205">
        <v>-0.4290541</v>
      </c>
      <c r="M64" s="205">
        <v>-0.0219595</v>
      </c>
      <c r="N64" s="205">
        <v>0.14189189</v>
      </c>
      <c r="O64" s="205">
        <v>0.23986486</v>
      </c>
      <c r="P64" s="205">
        <v>-0.5067568</v>
      </c>
      <c r="Q64" s="205">
        <v>0.62162162</v>
      </c>
      <c r="R64" s="205">
        <v>0.25506757</v>
      </c>
      <c r="S64" s="205">
        <v>-0.0793919</v>
      </c>
      <c r="T64" s="205">
        <v>-0.3581081</v>
      </c>
      <c r="U64" s="205">
        <v>-0.7719595</v>
      </c>
      <c r="V64" s="205">
        <v>-0.0456081</v>
      </c>
      <c r="W64" s="205">
        <v>-0.6081081</v>
      </c>
      <c r="X64" s="205">
        <v>3.75337838</v>
      </c>
      <c r="Y64" s="205">
        <v>-0.8614865</v>
      </c>
      <c r="Z64" s="205">
        <v>0.58952703</v>
      </c>
      <c r="AA64" s="205">
        <v>1.28378378</v>
      </c>
      <c r="AB64" s="205">
        <v>-0.6283784</v>
      </c>
      <c r="AC64" s="205">
        <v>-0.6351351</v>
      </c>
      <c r="AD64" s="205">
        <v>0.45101351</v>
      </c>
      <c r="AE64" s="205">
        <v>0.0</v>
      </c>
      <c r="AF64" s="205">
        <v>-0.3445946</v>
      </c>
      <c r="AG64" s="205">
        <v>0.6875</v>
      </c>
      <c r="AH64" s="205">
        <v>-0.7128378</v>
      </c>
      <c r="AI64" s="205">
        <v>-0.5388514</v>
      </c>
      <c r="AJ64" s="205">
        <v>-0.6739865</v>
      </c>
      <c r="AK64" s="205">
        <v>0.55912162</v>
      </c>
      <c r="AL64" s="205">
        <v>-0.4831081</v>
      </c>
      <c r="AM64" s="205">
        <v>2.23310811</v>
      </c>
      <c r="AN64" s="205">
        <v>-0.5135135</v>
      </c>
      <c r="AO64" s="205">
        <v>0.01858108</v>
      </c>
      <c r="AP64" s="205">
        <v>-0.1317568</v>
      </c>
      <c r="AQ64" s="205">
        <v>0.96959459</v>
      </c>
      <c r="AR64" s="205">
        <v>0.82432432</v>
      </c>
      <c r="AS64" s="205">
        <v>-0.3597973</v>
      </c>
      <c r="AT64" s="205">
        <v>0.00675676</v>
      </c>
      <c r="AU64" s="205">
        <v>1.14358108</v>
      </c>
      <c r="AV64" s="205">
        <v>-1.1756757</v>
      </c>
      <c r="AW64" s="205">
        <v>0.52871622</v>
      </c>
      <c r="AX64" s="205">
        <v>0.52702703</v>
      </c>
      <c r="AY64" s="205">
        <v>1.72466216</v>
      </c>
      <c r="AZ64" s="205">
        <v>3.3902027</v>
      </c>
      <c r="BA64" s="205">
        <v>-0.5608108</v>
      </c>
      <c r="BB64" s="205">
        <v>-0.5084459</v>
      </c>
      <c r="BC64" s="205">
        <v>0.0777027</v>
      </c>
      <c r="BD64" s="205">
        <v>-0.5388514</v>
      </c>
      <c r="BE64" s="205">
        <v>0.08277027</v>
      </c>
      <c r="BF64" s="205">
        <v>-0.4662162</v>
      </c>
      <c r="BG64" s="205">
        <v>-0.6435811</v>
      </c>
      <c r="BH64" s="205">
        <v>0.25337838</v>
      </c>
      <c r="BI64" s="205">
        <v>0.43412162</v>
      </c>
      <c r="BJ64" s="205">
        <v>0.83952703</v>
      </c>
      <c r="BK64" s="205">
        <v>-0.125</v>
      </c>
      <c r="BL64" s="205">
        <v>-0.6638514</v>
      </c>
      <c r="BM64" s="205">
        <v>-0.8800676</v>
      </c>
      <c r="BN64" s="205">
        <v>-0.222973</v>
      </c>
      <c r="BO64" s="205">
        <v>0.26351351</v>
      </c>
      <c r="BP64" s="205">
        <v>-0.5337838</v>
      </c>
      <c r="BQ64" s="205">
        <v>-0.4915541</v>
      </c>
      <c r="BR64" s="206"/>
      <c r="BS64" s="207">
        <f t="shared" si="6"/>
        <v>0.1237666173</v>
      </c>
      <c r="BT64" s="207">
        <f t="shared" si="7"/>
        <v>0.6297181584</v>
      </c>
      <c r="BU64" s="206"/>
      <c r="BV64" s="207">
        <f>IFERROR(__xludf.DUMMYFUNCTION("AVERAGE(ARRAYFORMULA(XLOOKUP(FILTER(INDIRECT(""'""&amp;BV$1&amp;""'!$C$4:$C$66""),INDIRECT(""'""&amp;BV$1&amp;""'!$D$4:$D$66"")=BV$2),$G$4:$BQ$4,$G64:$BQ64)))"),0.5193050128571428)</f>
        <v>0.5193050129</v>
      </c>
      <c r="BW64" s="207" t="str">
        <f>IFERROR(__xludf.DUMMYFUNCTION("IF(OR(BV64&gt;$BS64+$BT64*$BT$2,BV64&lt;$BS64-$BT64*$BT$2),AVEDEV(ARRAYFORMULA(XLOOKUP(FILTER(INDIRECT(""'""&amp;BV$1&amp;""'!$C$4:$C$66""),INDIRECT(""'""&amp;BV$1&amp;""'!$D$4:$D$66"")=BV$2),$G$4:$BQ$4,$G64:$BQ64))),"""")"),"")</f>
        <v/>
      </c>
      <c r="BX64" s="208" t="str">
        <f t="shared" si="8"/>
        <v/>
      </c>
      <c r="BY64" s="207">
        <f>IFERROR(__xludf.DUMMYFUNCTION("AVERAGE(ARRAYFORMULA(XLOOKUP(FILTER(INDIRECT(""'""&amp;BY$1&amp;""'!$C$4:$C$66""),INDIRECT(""'""&amp;BY$1&amp;""'!$D$4:$D$66"")=BY$2),$G$4:$BQ$4,$G64:$BQ64)))"),0.10493081976190476)</f>
        <v>0.1049308198</v>
      </c>
      <c r="BZ64" s="207" t="str">
        <f>IFERROR(__xludf.DUMMYFUNCTION("IF(OR(BY64&gt;$BS64+$BT64*$BT$2,BY64&lt;$BS64-$BT64*$BT$2),AVEDEV(ARRAYFORMULA(XLOOKUP(FILTER(INDIRECT(""'""&amp;BY$1&amp;""'!$C$4:$C$66""),INDIRECT(""'""&amp;BY$1&amp;""'!$D$4:$D$66"")=BY$2),$G$4:$BQ$4,$G64:$BQ64))),"""")"),"")</f>
        <v/>
      </c>
      <c r="CA64" s="208" t="str">
        <f t="shared" si="9"/>
        <v/>
      </c>
      <c r="CB64" s="207">
        <f>IFERROR(__xludf.DUMMYFUNCTION("AVERAGE(ARRAYFORMULA(XLOOKUP(FILTER(INDIRECT(""'""&amp;CB$1&amp;""'!$C$4:$C$66""),INDIRECT(""'""&amp;CB$1&amp;""'!$D$4:$D$66"")=CB$2),$G$4:$BQ$4,$G64:$BQ64)))"),-0.08384522272727273)</f>
        <v>-0.08384522273</v>
      </c>
      <c r="CC64" s="207" t="str">
        <f>IFERROR(__xludf.DUMMYFUNCTION("IF(OR(CB64&gt;$BS64+$BT64*$BT$2,CB64&lt;$BS64-$BT64*$BT$2),AVEDEV(ARRAYFORMULA(XLOOKUP(FILTER(INDIRECT(""'""&amp;CB$1&amp;""'!$C$4:$C$66""),INDIRECT(""'""&amp;CB$1&amp;""'!$D$4:$D$66"")=CB$2),$G$4:$BQ$4,$G64:$BQ64))),"""")"),"")</f>
        <v/>
      </c>
      <c r="CD64" s="208" t="str">
        <f t="shared" si="10"/>
        <v/>
      </c>
      <c r="CE64" s="209" t="s">
        <v>444</v>
      </c>
      <c r="CF64" s="207">
        <f>IFERROR(__xludf.DUMMYFUNCTION("AVERAGE(ARRAYFORMULA(XLOOKUP(FILTER(INDIRECT(""'""&amp;CF$1&amp;""'!$C$4:$C$66""),INDIRECT(""'""&amp;CF$1&amp;""'!$D$4:$D$66"")=CF$2),$G$4:$BQ$4,$G64:$BQ64)))"),0.09448901624999999)</f>
        <v>0.09448901625</v>
      </c>
      <c r="CG64" s="207" t="str">
        <f>IFERROR(__xludf.DUMMYFUNCTION("IF(OR(CF64&gt;$BS64+$BT64*$BT$2,CF64&lt;$BS64-$BT64*$BT$2),AVEDEV(ARRAYFORMULA(XLOOKUP(FILTER(INDIRECT(""'""&amp;CF$1&amp;""'!$C$4:$C$66""),INDIRECT(""'""&amp;CF$1&amp;""'!$D$4:$D$66"")=CF$2),$G$4:$BQ$4,$G64:$BQ64))),"""")"),"")</f>
        <v/>
      </c>
      <c r="CH64" s="208" t="str">
        <f t="shared" si="11"/>
        <v/>
      </c>
      <c r="CI64" s="207">
        <f>IFERROR(__xludf.DUMMYFUNCTION("AVERAGE(ARRAYFORMULA(XLOOKUP(FILTER(INDIRECT(""'""&amp;CI$1&amp;""'!$C$4:$C$66""),INDIRECT(""'""&amp;CI$1&amp;""'!$D$4:$D$66"")=CI$2),$G$4:$BQ$4,$G64:$BQ64)))"),0.1269616335483871)</f>
        <v>0.1269616335</v>
      </c>
      <c r="CJ64" s="207" t="str">
        <f>IFERROR(__xludf.DUMMYFUNCTION("IF(OR(CI64&gt;$BS64+$BT64*$BT$2,CI64&lt;$BS64-$BT64*$BT$2),AVEDEV(ARRAYFORMULA(XLOOKUP(FILTER(INDIRECT(""'""&amp;CI$1&amp;""'!$C$4:$C$66""),INDIRECT(""'""&amp;CI$1&amp;""'!$D$4:$D$66"")=CI$2),$G$4:$BQ$4,$G64:$BQ64))),"""")"),"")</f>
        <v/>
      </c>
      <c r="CK64" s="208" t="str">
        <f t="shared" si="12"/>
        <v/>
      </c>
      <c r="CL64" s="207">
        <f>IFERROR(__xludf.DUMMYFUNCTION("AVERAGE(ARRAYFORMULA(XLOOKUP(FILTER(INDIRECT(""'""&amp;CL$1&amp;""'!$C$4:$C$66""),INDIRECT(""'""&amp;CL$1&amp;""'!$D$4:$D$66"")=CL$2),$G$4:$BQ$4,$G64:$BQ64)))"),-0.48581082000000003)</f>
        <v>-0.48581082</v>
      </c>
      <c r="CM64" s="207" t="str">
        <f>IFERROR(__xludf.DUMMYFUNCTION("IF(OR(CL64&gt;$BS64+$BT64*$BT$2,CL64&lt;$BS64-$BT64*$BT$2),AVEDEV(ARRAYFORMULA(XLOOKUP(FILTER(INDIRECT(""'""&amp;CL$1&amp;""'!$C$4:$C$66""),INDIRECT(""'""&amp;CL$1&amp;""'!$D$4:$D$66"")=CL$2),$G$4:$BQ$4,$G64:$BQ64))),"""")"),"")</f>
        <v/>
      </c>
      <c r="CN64" s="208" t="str">
        <f t="shared" si="13"/>
        <v/>
      </c>
      <c r="CO64" s="209" t="s">
        <v>444</v>
      </c>
      <c r="CP64" s="210">
        <f>IFERROR(__xludf.DUMMYFUNCTION("AVERAGE(ARRAYFORMULA(XLOOKUP(FILTER(INDIRECT(""'""&amp;CP$1&amp;""'!$C$4:$C$66""),INDIRECT(""'""&amp;CP$1&amp;""'!$D$4:$D$66"")=CP$2),$G$4:$BQ$4,$G64:$BQ64)))"),0.052815316000000015)</f>
        <v>0.052815316</v>
      </c>
      <c r="CQ64" s="207" t="str">
        <f>IFERROR(__xludf.DUMMYFUNCTION("IF(OR(CP64&gt;$BS64+$BT64*$BT$2,CP64&lt;$BS64-$BT64*$BT$2),AVEDEV(ARRAYFORMULA(XLOOKUP(FILTER(INDIRECT(""'""&amp;CP$1&amp;""'!$C$4:$C$66""),INDIRECT(""'""&amp;CP$1&amp;""'!$D$4:$D$66"")=CP$2),$G$4:$BQ$4,$G64:$BQ64))),"""")"),"")</f>
        <v/>
      </c>
      <c r="CR64" s="208" t="str">
        <f t="shared" si="14"/>
        <v/>
      </c>
      <c r="CS64" s="210">
        <f>IFERROR(__xludf.DUMMYFUNCTION("AVERAGE(ARRAYFORMULA(XLOOKUP(FILTER(INDIRECT(""'""&amp;CS$1&amp;""'!$C$4:$C$66""),INDIRECT(""'""&amp;CS$1&amp;""'!$D$4:$D$66"")=CS$2),$G$4:$BQ$4,$G64:$BQ64)))"),0.241554046923077)</f>
        <v>0.2415540469</v>
      </c>
      <c r="CT64" s="207" t="str">
        <f>IFERROR(__xludf.DUMMYFUNCTION("IF(OR(CS64&gt;$BS64+$BT64*$BT$2,CS64&lt;$BS64-$BT64*$BT$2),AVEDEV(ARRAYFORMULA(XLOOKUP(FILTER(INDIRECT(""'""&amp;CS$1&amp;""'!$C$4:$C$66""),INDIRECT(""'""&amp;CS$1&amp;""'!$D$4:$D$66"")=CS$2),$G$4:$BQ$4,$G64:$BQ64))),"""")"),"")</f>
        <v/>
      </c>
      <c r="CU64" s="208" t="str">
        <f t="shared" si="15"/>
        <v/>
      </c>
      <c r="CV64" s="210">
        <f>IFERROR(__xludf.DUMMYFUNCTION("AVERAGE(ARRAYFORMULA(XLOOKUP(FILTER(INDIRECT(""'""&amp;CV$1&amp;""'!$C$4:$C$66""),INDIRECT(""'""&amp;CV$1&amp;""'!$D$4:$D$66"")=CV$2),$G$4:$BQ$4,$G64:$BQ64)))"),-0.48581082000000003)</f>
        <v>-0.48581082</v>
      </c>
      <c r="CW64" s="207" t="str">
        <f>IFERROR(__xludf.DUMMYFUNCTION("IF(OR(CV64&gt;$BS64+$BT64*$BT$2,CV64&lt;$BS64-$BT64*$BT$2),AVEDEV(ARRAYFORMULA(XLOOKUP(FILTER(INDIRECT(""'""&amp;CV$1&amp;""'!$C$4:$C$66""),INDIRECT(""'""&amp;CV$1&amp;""'!$D$4:$D$66"")=CV$2),$G$4:$BQ$4,$G64:$BQ64))),"""")"),"")</f>
        <v/>
      </c>
      <c r="CX64" s="208" t="str">
        <f t="shared" si="16"/>
        <v/>
      </c>
      <c r="CY64" s="209" t="s">
        <v>444</v>
      </c>
      <c r="CZ64" s="210">
        <f>IFERROR(__xludf.DUMMYFUNCTION("AVERAGE(ARRAYFORMULA(XLOOKUP(FILTER(INDIRECT(""'""&amp;CZ$1&amp;""'!$C$4:$C$66""),INDIRECT(""'""&amp;CZ$1&amp;""'!$D$4:$D$66"")=CZ$2),$G$4:$BQ$4,$G64:$BQ64)))"),0.14008204142857142)</f>
        <v>0.1400820414</v>
      </c>
      <c r="DA64" s="207" t="str">
        <f>IFERROR(__xludf.DUMMYFUNCTION("IF(OR(CZ64&gt;$BS64+$BT64*$BT$2,CZ64&lt;$BS64-$BT64*$BT$2),AVEDEV(ARRAYFORMULA(XLOOKUP(FILTER(INDIRECT(""'""&amp;CZ$1&amp;""'!$C$4:$C$66""),INDIRECT(""'""&amp;CZ$1&amp;""'!$D$4:$D$66"")=CZ$2),$G$4:$BQ$4,$G64:$BQ64))),"""")"),"")</f>
        <v/>
      </c>
      <c r="DB64" s="208" t="str">
        <f t="shared" si="17"/>
        <v/>
      </c>
      <c r="DC64" s="210">
        <f>IFERROR(__xludf.DUMMYFUNCTION("AVERAGE(ARRAYFORMULA(XLOOKUP(FILTER(INDIRECT(""'""&amp;DC$1&amp;""'!$C$4:$C$66""),INDIRECT(""'""&amp;DC$1&amp;""'!$D$4:$D$66"")=DC$2),$G$4:$BQ$4,$G64:$BQ64)))"),-0.3813813944444444)</f>
        <v>-0.3813813944</v>
      </c>
      <c r="DD64" s="207" t="str">
        <f>IFERROR(__xludf.DUMMYFUNCTION("IF(OR(DC64&gt;$BS64+$BT64*$BT$2,DC64&lt;$BS64-$BT64*$BT$2),AVEDEV(ARRAYFORMULA(XLOOKUP(FILTER(INDIRECT(""'""&amp;DC$1&amp;""'!$C$4:$C$66""),INDIRECT(""'""&amp;DC$1&amp;""'!$D$4:$D$66"")=DC$2),$G$4:$BQ$4,$G64:$BQ64))),"""")"),"")</f>
        <v/>
      </c>
      <c r="DE64" s="208" t="str">
        <f t="shared" si="18"/>
        <v/>
      </c>
      <c r="DF64" s="210">
        <f>IFERROR(__xludf.DUMMYFUNCTION("AVERAGE(ARRAYFORMULA(XLOOKUP(FILTER(INDIRECT(""'""&amp;DF$1&amp;""'!$C$4:$C$66""),INDIRECT(""'""&amp;DF$1&amp;""'!$D$4:$D$66"")=DF$2),$G$4:$BQ$4,$G64:$BQ64)))"),0.30021498727272733)</f>
        <v>0.3002149873</v>
      </c>
      <c r="DG64" s="207" t="str">
        <f>IFERROR(__xludf.DUMMYFUNCTION("IF(OR(DF64&gt;$BS64+$BT64*$BT$2,DF64&lt;$BS64-$BT64*$BT$2),AVEDEV(ARRAYFORMULA(XLOOKUP(FILTER(INDIRECT(""'""&amp;DF$1&amp;""'!$C$4:$C$66""),INDIRECT(""'""&amp;DF$1&amp;""'!$D$4:$D$66"")=DF$2),$G$4:$BQ$4,$G64:$BQ64))),"""")"),"")</f>
        <v/>
      </c>
      <c r="DH64" s="208" t="str">
        <f t="shared" si="19"/>
        <v/>
      </c>
      <c r="DI64" s="210">
        <f>IFERROR(__xludf.DUMMYFUNCTION("AVERAGE(ARRAYFORMULA(XLOOKUP(FILTER(INDIRECT(""'""&amp;DI$1&amp;""'!$C$4:$C$66""),INDIRECT(""'""&amp;DI$1&amp;""'!$D$4:$D$66"")=DI$2),$G$4:$BQ$4,$G64:$BQ64)))"),0.352195945)</f>
        <v>0.352195945</v>
      </c>
      <c r="DJ64" s="207" t="str">
        <f>IFERROR(__xludf.DUMMYFUNCTION("IF(OR(DI64&gt;$BS64+$BT64*$BT$2,DI64&lt;$BS64-$BT64*$BT$2),AVEDEV(ARRAYFORMULA(XLOOKUP(FILTER(INDIRECT(""'""&amp;DI$1&amp;""'!$C$4:$C$66""),INDIRECT(""'""&amp;DI$1&amp;""'!$D$4:$D$66"")=DI$2),$G$4:$BQ$4,$G64:$BQ64))),"""")"),"")</f>
        <v/>
      </c>
      <c r="DK64" s="208" t="str">
        <f t="shared" si="20"/>
        <v/>
      </c>
      <c r="DL64" s="210">
        <f>IFERROR(__xludf.DUMMYFUNCTION("AVERAGE(ARRAYFORMULA(XLOOKUP(FILTER(INDIRECT(""'""&amp;DL$1&amp;""'!$C$4:$C$66""),INDIRECT(""'""&amp;DL$1&amp;""'!$D$4:$D$66"")=DL$2),$G$4:$BQ$4,$G64:$BQ64)))"),0.14092663428571423)</f>
        <v>0.1409266343</v>
      </c>
      <c r="DM64" s="207" t="str">
        <f>IFERROR(__xludf.DUMMYFUNCTION("IF(OR(DL64&gt;$BS64+$BT64*$BT$2,DL64&lt;$BS64-$BT64*$BT$2),AVEDEV(ARRAYFORMULA(XLOOKUP(FILTER(INDIRECT(""'""&amp;DL$1&amp;""'!$C$4:$C$66""),INDIRECT(""'""&amp;DL$1&amp;""'!$D$4:$D$66"")=DL$2),$G$4:$BQ$4,$G64:$BQ64))),"""")"),"")</f>
        <v/>
      </c>
      <c r="DN64" s="208" t="str">
        <f t="shared" si="21"/>
        <v/>
      </c>
      <c r="DO64" s="209" t="s">
        <v>444</v>
      </c>
      <c r="DP64" s="210">
        <f>IFERROR(__xludf.DUMMYFUNCTION("AVERAGE(ARRAYFORMULA(XLOOKUP(FILTER(INDIRECT(""'""&amp;DP$1&amp;""'!$C$4:$C$66""),INDIRECT(""'""&amp;DP$1&amp;""'!$D$4:$D$66"")=DP$2),$G$4:$BQ$4,$G64:$BQ64)))"),0.005349098000000002)</f>
        <v>0.005349098</v>
      </c>
      <c r="DQ64" s="207" t="str">
        <f>IFERROR(__xludf.DUMMYFUNCTION("IF(OR(DP64&gt;$BS64+$BT64*$BT$2,DP64&lt;$BS64-$BT64*$BT$2),AVEDEV(ARRAYFORMULA(XLOOKUP(FILTER(INDIRECT(""'""&amp;DP$1&amp;""'!$C$4:$C$66""),INDIRECT(""'""&amp;DP$1&amp;""'!$D$4:$D$66"")=DP$2),$G$4:$BQ$4,$G64:$BQ64))),"""")"),"")</f>
        <v/>
      </c>
      <c r="DR64" s="208" t="str">
        <f t="shared" si="22"/>
        <v/>
      </c>
      <c r="DS64" s="210">
        <f>IFERROR(__xludf.DUMMYFUNCTION("AVERAGE(ARRAYFORMULA(XLOOKUP(FILTER(INDIRECT(""'""&amp;DS$1&amp;""'!$C$4:$C$66""),INDIRECT(""'""&amp;DS$1&amp;""'!$D$4:$D$66"")=DS$2),$G$4:$BQ$4,$G64:$BQ64)))"),-0.4757883055555555)</f>
        <v>-0.4757883056</v>
      </c>
      <c r="DT64" s="207" t="str">
        <f>IFERROR(__xludf.DUMMYFUNCTION("IF(OR(DS64&gt;$BS64+$BT64*$BT$2,DS64&lt;$BS64-$BT64*$BT$2),AVEDEV(ARRAYFORMULA(XLOOKUP(FILTER(INDIRECT(""'""&amp;DS$1&amp;""'!$C$4:$C$66""),INDIRECT(""'""&amp;DS$1&amp;""'!$D$4:$D$66"")=DS$2),$G$4:$BQ$4,$G64:$BQ64))),"""")"),"")</f>
        <v/>
      </c>
      <c r="DU64" s="208" t="str">
        <f t="shared" si="23"/>
        <v/>
      </c>
      <c r="DV64" s="210">
        <f>IFERROR(__xludf.DUMMYFUNCTION("AVERAGE(ARRAYFORMULA(XLOOKUP(FILTER(INDIRECT(""'""&amp;DV$1&amp;""'!$C$4:$C$66""),INDIRECT(""'""&amp;DV$1&amp;""'!$D$4:$D$66"")=DV$2),$G$4:$BQ$4,$G64:$BQ64)))"),0.67103039625)</f>
        <v>0.6710303963</v>
      </c>
      <c r="DW64" s="207" t="str">
        <f>IFERROR(__xludf.DUMMYFUNCTION("IF(OR(DV64&gt;$BS64+$BT64*$BT$2,DV64&lt;$BS64-$BT64*$BT$2),AVEDEV(ARRAYFORMULA(XLOOKUP(FILTER(INDIRECT(""'""&amp;DV$1&amp;""'!$C$4:$C$66""),INDIRECT(""'""&amp;DV$1&amp;""'!$D$4:$D$66"")=DV$2),$G$4:$BQ$4,$G64:$BQ64))),"""")"),"")</f>
        <v/>
      </c>
      <c r="DX64" s="208" t="str">
        <f t="shared" si="24"/>
        <v/>
      </c>
      <c r="DY64" s="210">
        <f>IFERROR(__xludf.DUMMYFUNCTION("AVERAGE(ARRAYFORMULA(XLOOKUP(FILTER(INDIRECT(""'""&amp;DY$1&amp;""'!$C$4:$C$66""),INDIRECT(""'""&amp;DY$1&amp;""'!$D$4:$D$66"")=DY$2),$G$4:$BQ$4,$G64:$BQ64)))"),0.21565314777777778)</f>
        <v>0.2156531478</v>
      </c>
      <c r="DZ64" s="207" t="str">
        <f>IFERROR(__xludf.DUMMYFUNCTION("IF(OR(DY64&gt;$BS64+$BT64*$BT$2,DY64&lt;$BS64-$BT64*$BT$2),AVEDEV(ARRAYFORMULA(XLOOKUP(FILTER(INDIRECT(""'""&amp;DY$1&amp;""'!$C$4:$C$66""),INDIRECT(""'""&amp;DY$1&amp;""'!$D$4:$D$66"")=DY$2),$G$4:$BQ$4,$G64:$BQ64))),"""")"),"")</f>
        <v/>
      </c>
      <c r="EA64" s="208" t="str">
        <f t="shared" si="25"/>
        <v/>
      </c>
      <c r="EB64" s="191"/>
    </row>
    <row r="65" outlineLevel="1">
      <c r="A65" s="2"/>
      <c r="B65" s="204">
        <v>61.0</v>
      </c>
      <c r="C65" s="204" t="s">
        <v>482</v>
      </c>
      <c r="D65" s="204" t="s">
        <v>505</v>
      </c>
      <c r="E65" s="205" t="b">
        <f>VLOOKUP(D65,'Feature Set List'!A61:C246,2,0)</f>
        <v>1</v>
      </c>
      <c r="F65" s="205" t="b">
        <f>VLOOKUP(D65,'Feature Set List'!A61:C246,3,0)</f>
        <v>1</v>
      </c>
      <c r="G65" s="205">
        <v>-0.7959572</v>
      </c>
      <c r="H65" s="205">
        <v>0.22116528</v>
      </c>
      <c r="I65" s="205">
        <v>-1.4387634</v>
      </c>
      <c r="J65" s="205">
        <v>0.41854935</v>
      </c>
      <c r="K65" s="205">
        <v>-1.2235434</v>
      </c>
      <c r="L65" s="205">
        <v>0.0</v>
      </c>
      <c r="M65" s="205">
        <v>0.00475624</v>
      </c>
      <c r="N65" s="205">
        <v>0.56123662</v>
      </c>
      <c r="O65" s="205">
        <v>1.09393579</v>
      </c>
      <c r="P65" s="205">
        <v>1.34601665</v>
      </c>
      <c r="Q65" s="205">
        <v>0.0665874</v>
      </c>
      <c r="R65" s="205">
        <v>0.80856124</v>
      </c>
      <c r="S65" s="205">
        <v>0.74435196</v>
      </c>
      <c r="T65" s="205">
        <v>0.0451843</v>
      </c>
      <c r="U65" s="205">
        <v>-1.4311534</v>
      </c>
      <c r="V65" s="205">
        <v>0.79429251</v>
      </c>
      <c r="W65" s="205">
        <v>-0.2306778</v>
      </c>
      <c r="X65" s="205">
        <v>4.31629013</v>
      </c>
      <c r="Y65" s="205">
        <v>-1.1959572</v>
      </c>
      <c r="Z65" s="205">
        <v>0.14982164</v>
      </c>
      <c r="AA65" s="205">
        <v>-0.059453</v>
      </c>
      <c r="AB65" s="205">
        <v>-0.4589774</v>
      </c>
      <c r="AC65" s="205">
        <v>-0.6461356</v>
      </c>
      <c r="AD65" s="205">
        <v>-0.2116528</v>
      </c>
      <c r="AE65" s="205">
        <v>-0.2734839</v>
      </c>
      <c r="AF65" s="205">
        <v>0.15219976</v>
      </c>
      <c r="AG65" s="205">
        <v>-0.0118906</v>
      </c>
      <c r="AH65" s="205">
        <v>-0.7543401</v>
      </c>
      <c r="AI65" s="205">
        <v>0.32104637</v>
      </c>
      <c r="AJ65" s="205">
        <v>0.11890606</v>
      </c>
      <c r="AK65" s="205">
        <v>0.40665874</v>
      </c>
      <c r="AL65" s="205">
        <v>-0.6760999</v>
      </c>
      <c r="AM65" s="205">
        <v>0.07134364</v>
      </c>
      <c r="AN65" s="205">
        <v>-0.0642093</v>
      </c>
      <c r="AO65" s="205">
        <v>0.5136742</v>
      </c>
      <c r="AP65" s="205">
        <v>-0.0903686</v>
      </c>
      <c r="AQ65" s="205">
        <v>-0.0689655</v>
      </c>
      <c r="AR65" s="205">
        <v>3.3412604</v>
      </c>
      <c r="AS65" s="205">
        <v>0.16409037</v>
      </c>
      <c r="AT65" s="205">
        <v>-0.0998811</v>
      </c>
      <c r="AU65" s="205">
        <v>3.38644471</v>
      </c>
      <c r="AV65" s="205">
        <v>-0.1117717</v>
      </c>
      <c r="AW65" s="205">
        <v>1.60047562</v>
      </c>
      <c r="AX65" s="205">
        <v>1.11058264</v>
      </c>
      <c r="AY65" s="205">
        <v>7.07491082</v>
      </c>
      <c r="AZ65" s="205">
        <v>1.17241379</v>
      </c>
      <c r="BA65" s="205">
        <v>-0.4042806</v>
      </c>
      <c r="BB65" s="205">
        <v>-1.4033294</v>
      </c>
      <c r="BC65" s="205">
        <v>0.90130797</v>
      </c>
      <c r="BD65" s="205">
        <v>-0.9426873</v>
      </c>
      <c r="BE65" s="205">
        <v>0.43995244</v>
      </c>
      <c r="BF65" s="205">
        <v>-1.0763377</v>
      </c>
      <c r="BG65" s="205">
        <v>-0.8806183</v>
      </c>
      <c r="BH65" s="205">
        <v>-0.4661118</v>
      </c>
      <c r="BI65" s="205">
        <v>1.38644471</v>
      </c>
      <c r="BJ65" s="205">
        <v>3.10820452</v>
      </c>
      <c r="BK65" s="205">
        <v>0.12366231</v>
      </c>
      <c r="BL65" s="205">
        <v>-0.7828775</v>
      </c>
      <c r="BM65" s="205">
        <v>-1.1117717</v>
      </c>
      <c r="BN65" s="205">
        <v>-0.1950059</v>
      </c>
      <c r="BO65" s="205">
        <v>-0.8901308</v>
      </c>
      <c r="BP65" s="205">
        <v>-0.0047562</v>
      </c>
      <c r="BQ65" s="205">
        <v>-0.0142687</v>
      </c>
      <c r="BR65" s="206"/>
      <c r="BS65" s="207">
        <f t="shared" si="6"/>
        <v>0.2849027044</v>
      </c>
      <c r="BT65" s="207">
        <f t="shared" si="7"/>
        <v>0.9163064885</v>
      </c>
      <c r="BU65" s="206"/>
      <c r="BV65" s="207">
        <f>IFERROR(__xludf.DUMMYFUNCTION("AVERAGE(ARRAYFORMULA(XLOOKUP(FILTER(INDIRECT(""'""&amp;BV$1&amp;""'!$C$4:$C$66""),INDIRECT(""'""&amp;BV$1&amp;""'!$D$4:$D$66"")=BV$2),$G$4:$BQ$4,$G65:$BQ65)))"),1.2467810414285714)</f>
        <v>1.246781041</v>
      </c>
      <c r="BW65" s="207">
        <f>IFERROR(__xludf.DUMMYFUNCTION("IF(OR(BV65&gt;$BS65+$BT65*$BT$2,BV65&lt;$BS65-$BT65*$BT$2),AVEDEV(ARRAYFORMULA(XLOOKUP(FILTER(INDIRECT(""'""&amp;BV$1&amp;""'!$C$4:$C$66""),INDIRECT(""'""&amp;BV$1&amp;""'!$D$4:$D$66"")=BV$2),$G$4:$BQ$4,$G65:$BQ65))),"""")"),2.5421825334693877)</f>
        <v>2.542182533</v>
      </c>
      <c r="BX65" s="208" t="str">
        <f t="shared" si="8"/>
        <v/>
      </c>
      <c r="BY65" s="207">
        <f>IFERROR(__xludf.DUMMYFUNCTION("AVERAGE(ARRAYFORMULA(XLOOKUP(FILTER(INDIRECT(""'""&amp;BY$1&amp;""'!$C$4:$C$66""),INDIRECT(""'""&amp;BY$1&amp;""'!$D$4:$D$66"")=BY$2),$G$4:$BQ$4,$G65:$BQ65)))"),0.21986863904761905)</f>
        <v>0.219868639</v>
      </c>
      <c r="BZ65" s="207" t="str">
        <f>IFERROR(__xludf.DUMMYFUNCTION("IF(OR(BY65&gt;$BS65+$BT65*$BT$2,BY65&lt;$BS65-$BT65*$BT$2),AVEDEV(ARRAYFORMULA(XLOOKUP(FILTER(INDIRECT(""'""&amp;BY$1&amp;""'!$C$4:$C$66""),INDIRECT(""'""&amp;BY$1&amp;""'!$D$4:$D$66"")=BY$2),$G$4:$BQ$4,$G65:$BQ65))),"""")"),"")</f>
        <v/>
      </c>
      <c r="CA65" s="208" t="str">
        <f t="shared" si="9"/>
        <v/>
      </c>
      <c r="CB65" s="207">
        <f>IFERROR(__xludf.DUMMYFUNCTION("AVERAGE(ARRAYFORMULA(XLOOKUP(FILTER(INDIRECT(""'""&amp;CB$1&amp;""'!$C$4:$C$66""),INDIRECT(""'""&amp;CB$1&amp;""'!$D$4:$D$66"")=CB$2),$G$4:$BQ$4,$G65:$BQ65)))"),-0.09255216000000002)</f>
        <v>-0.09255216</v>
      </c>
      <c r="CC65" s="207" t="str">
        <f>IFERROR(__xludf.DUMMYFUNCTION("IF(OR(CB65&gt;$BS65+$BT65*$BT$2,CB65&lt;$BS65-$BT65*$BT$2),AVEDEV(ARRAYFORMULA(XLOOKUP(FILTER(INDIRECT(""'""&amp;CB$1&amp;""'!$C$4:$C$66""),INDIRECT(""'""&amp;CB$1&amp;""'!$D$4:$D$66"")=CB$2),$G$4:$BQ$4,$G65:$BQ65))),"""")"),"")</f>
        <v/>
      </c>
      <c r="CD65" s="208" t="str">
        <f t="shared" si="10"/>
        <v/>
      </c>
      <c r="CE65" s="209" t="s">
        <v>444</v>
      </c>
      <c r="CF65" s="207">
        <f>IFERROR(__xludf.DUMMYFUNCTION("AVERAGE(ARRAYFORMULA(XLOOKUP(FILTER(INDIRECT(""'""&amp;CF$1&amp;""'!$C$4:$C$66""),INDIRECT(""'""&amp;CF$1&amp;""'!$D$4:$D$66"")=CF$2),$G$4:$BQ$4,$G65:$BQ65)))"),-0.084720569375)</f>
        <v>-0.08472056938</v>
      </c>
      <c r="CG65" s="207" t="str">
        <f>IFERROR(__xludf.DUMMYFUNCTION("IF(OR(CF65&gt;$BS65+$BT65*$BT$2,CF65&lt;$BS65-$BT65*$BT$2),AVEDEV(ARRAYFORMULA(XLOOKUP(FILTER(INDIRECT(""'""&amp;CF$1&amp;""'!$C$4:$C$66""),INDIRECT(""'""&amp;CF$1&amp;""'!$D$4:$D$66"")=CF$2),$G$4:$BQ$4,$G65:$BQ65))),"""")"),"")</f>
        <v/>
      </c>
      <c r="CH65" s="208" t="str">
        <f t="shared" si="11"/>
        <v/>
      </c>
      <c r="CI65" s="207">
        <f>IFERROR(__xludf.DUMMYFUNCTION("AVERAGE(ARRAYFORMULA(XLOOKUP(FILTER(INDIRECT(""'""&amp;CI$1&amp;""'!$C$4:$C$66""),INDIRECT(""'""&amp;CI$1&amp;""'!$D$4:$D$66"")=CI$2),$G$4:$BQ$4,$G65:$BQ65)))"),0.39767557709677415)</f>
        <v>0.3976755771</v>
      </c>
      <c r="CJ65" s="207" t="str">
        <f>IFERROR(__xludf.DUMMYFUNCTION("IF(OR(CI65&gt;$BS65+$BT65*$BT$2,CI65&lt;$BS65-$BT65*$BT$2),AVEDEV(ARRAYFORMULA(XLOOKUP(FILTER(INDIRECT(""'""&amp;CI$1&amp;""'!$C$4:$C$66""),INDIRECT(""'""&amp;CI$1&amp;""'!$D$4:$D$66"")=CI$2),$G$4:$BQ$4,$G65:$BQ65))),"""")"),"")</f>
        <v/>
      </c>
      <c r="CK65" s="208" t="str">
        <f t="shared" si="12"/>
        <v/>
      </c>
      <c r="CL65" s="207">
        <f>IFERROR(__xludf.DUMMYFUNCTION("AVERAGE(ARRAYFORMULA(XLOOKUP(FILTER(INDIRECT(""'""&amp;CL$1&amp;""'!$C$4:$C$66""),INDIRECT(""'""&amp;CL$1&amp;""'!$D$4:$D$66"")=CL$2),$G$4:$BQ$4,$G65:$BQ65)))"),0.054078483999999996)</f>
        <v>0.054078484</v>
      </c>
      <c r="CM65" s="207" t="str">
        <f>IFERROR(__xludf.DUMMYFUNCTION("IF(OR(CL65&gt;$BS65+$BT65*$BT$2,CL65&lt;$BS65-$BT65*$BT$2),AVEDEV(ARRAYFORMULA(XLOOKUP(FILTER(INDIRECT(""'""&amp;CL$1&amp;""'!$C$4:$C$66""),INDIRECT(""'""&amp;CL$1&amp;""'!$D$4:$D$66"")=CL$2),$G$4:$BQ$4,$G65:$BQ65))),"""")"),"")</f>
        <v/>
      </c>
      <c r="CN65" s="208" t="str">
        <f t="shared" si="13"/>
        <v/>
      </c>
      <c r="CO65" s="209" t="s">
        <v>444</v>
      </c>
      <c r="CP65" s="210">
        <f>IFERROR(__xludf.DUMMYFUNCTION("AVERAGE(ARRAYFORMULA(XLOOKUP(FILTER(INDIRECT(""'""&amp;CP$1&amp;""'!$C$4:$C$66""),INDIRECT(""'""&amp;CP$1&amp;""'!$D$4:$D$66"")=CP$2),$G$4:$BQ$4,$G65:$BQ65)))"),-0.2535394406666668)</f>
        <v>-0.2535394407</v>
      </c>
      <c r="CQ65" s="207" t="str">
        <f>IFERROR(__xludf.DUMMYFUNCTION("IF(OR(CP65&gt;$BS65+$BT65*$BT$2,CP65&lt;$BS65-$BT65*$BT$2),AVEDEV(ARRAYFORMULA(XLOOKUP(FILTER(INDIRECT(""'""&amp;CP$1&amp;""'!$C$4:$C$66""),INDIRECT(""'""&amp;CP$1&amp;""'!$D$4:$D$66"")=CP$2),$G$4:$BQ$4,$G65:$BQ65))),"""")"),"")</f>
        <v/>
      </c>
      <c r="CR65" s="208" t="str">
        <f t="shared" si="14"/>
        <v/>
      </c>
      <c r="CS65" s="210">
        <f>IFERROR(__xludf.DUMMYFUNCTION("AVERAGE(ARRAYFORMULA(XLOOKUP(FILTER(INDIRECT(""'""&amp;CS$1&amp;""'!$C$4:$C$66""),INDIRECT(""'""&amp;CS$1&amp;""'!$D$4:$D$66"")=CS$2),$G$4:$BQ$4,$G65:$BQ65)))"),0.5451141810256409)</f>
        <v>0.545114181</v>
      </c>
      <c r="CT65" s="207" t="str">
        <f>IFERROR(__xludf.DUMMYFUNCTION("IF(OR(CS65&gt;$BS65+$BT65*$BT$2,CS65&lt;$BS65-$BT65*$BT$2),AVEDEV(ARRAYFORMULA(XLOOKUP(FILTER(INDIRECT(""'""&amp;CS$1&amp;""'!$C$4:$C$66""),INDIRECT(""'""&amp;CS$1&amp;""'!$D$4:$D$66"")=CS$2),$G$4:$BQ$4,$G65:$BQ65))),"""")"),"")</f>
        <v/>
      </c>
      <c r="CU65" s="208" t="str">
        <f t="shared" si="15"/>
        <v/>
      </c>
      <c r="CV65" s="210">
        <f>IFERROR(__xludf.DUMMYFUNCTION("AVERAGE(ARRAYFORMULA(XLOOKUP(FILTER(INDIRECT(""'""&amp;CV$1&amp;""'!$C$4:$C$66""),INDIRECT(""'""&amp;CV$1&amp;""'!$D$4:$D$66"")=CV$2),$G$4:$BQ$4,$G65:$BQ65)))"),0.054078483999999996)</f>
        <v>0.054078484</v>
      </c>
      <c r="CW65" s="207" t="str">
        <f>IFERROR(__xludf.DUMMYFUNCTION("IF(OR(CV65&gt;$BS65+$BT65*$BT$2,CV65&lt;$BS65-$BT65*$BT$2),AVEDEV(ARRAYFORMULA(XLOOKUP(FILTER(INDIRECT(""'""&amp;CV$1&amp;""'!$C$4:$C$66""),INDIRECT(""'""&amp;CV$1&amp;""'!$D$4:$D$66"")=CV$2),$G$4:$BQ$4,$G65:$BQ65))),"""")"),"")</f>
        <v/>
      </c>
      <c r="CX65" s="208" t="str">
        <f t="shared" si="16"/>
        <v/>
      </c>
      <c r="CY65" s="209" t="s">
        <v>444</v>
      </c>
      <c r="CZ65" s="210">
        <f>IFERROR(__xludf.DUMMYFUNCTION("AVERAGE(ARRAYFORMULA(XLOOKUP(FILTER(INDIRECT(""'""&amp;CZ$1&amp;""'!$C$4:$C$66""),INDIRECT(""'""&amp;CZ$1&amp;""'!$D$4:$D$66"")=CZ$2),$G$4:$BQ$4,$G65:$BQ65)))"),0.16071004285714288)</f>
        <v>0.1607100429</v>
      </c>
      <c r="DA65" s="207" t="str">
        <f>IFERROR(__xludf.DUMMYFUNCTION("IF(OR(CZ65&gt;$BS65+$BT65*$BT$2,CZ65&lt;$BS65-$BT65*$BT$2),AVEDEV(ARRAYFORMULA(XLOOKUP(FILTER(INDIRECT(""'""&amp;CZ$1&amp;""'!$C$4:$C$66""),INDIRECT(""'""&amp;CZ$1&amp;""'!$D$4:$D$66"")=CZ$2),$G$4:$BQ$4,$G65:$BQ65))),"""")"),"")</f>
        <v/>
      </c>
      <c r="DB65" s="208" t="str">
        <f t="shared" si="17"/>
        <v/>
      </c>
      <c r="DC65" s="210">
        <f>IFERROR(__xludf.DUMMYFUNCTION("AVERAGE(ARRAYFORMULA(XLOOKUP(FILTER(INDIRECT(""'""&amp;DC$1&amp;""'!$C$4:$C$66""),INDIRECT(""'""&amp;DC$1&amp;""'!$D$4:$D$66"")=DC$2),$G$4:$BQ$4,$G65:$BQ65)))"),-0.1198573166666667)</f>
        <v>-0.1198573167</v>
      </c>
      <c r="DD65" s="207" t="str">
        <f>IFERROR(__xludf.DUMMYFUNCTION("IF(OR(DC65&gt;$BS65+$BT65*$BT$2,DC65&lt;$BS65-$BT65*$BT$2),AVEDEV(ARRAYFORMULA(XLOOKUP(FILTER(INDIRECT(""'""&amp;DC$1&amp;""'!$C$4:$C$66""),INDIRECT(""'""&amp;DC$1&amp;""'!$D$4:$D$66"")=DC$2),$G$4:$BQ$4,$G65:$BQ65))),"""")"),"")</f>
        <v/>
      </c>
      <c r="DE65" s="208" t="str">
        <f t="shared" si="18"/>
        <v/>
      </c>
      <c r="DF65" s="210">
        <f>IFERROR(__xludf.DUMMYFUNCTION("AVERAGE(ARRAYFORMULA(XLOOKUP(FILTER(INDIRECT(""'""&amp;DF$1&amp;""'!$C$4:$C$66""),INDIRECT(""'""&amp;DF$1&amp;""'!$D$4:$D$66"")=DF$2),$G$4:$BQ$4,$G65:$BQ65)))"),-0.17392714636363635)</f>
        <v>-0.1739271464</v>
      </c>
      <c r="DG65" s="207" t="str">
        <f>IFERROR(__xludf.DUMMYFUNCTION("IF(OR(DF65&gt;$BS65+$BT65*$BT$2,DF65&lt;$BS65-$BT65*$BT$2),AVEDEV(ARRAYFORMULA(XLOOKUP(FILTER(INDIRECT(""'""&amp;DF$1&amp;""'!$C$4:$C$66""),INDIRECT(""'""&amp;DF$1&amp;""'!$D$4:$D$66"")=DF$2),$G$4:$BQ$4,$G65:$BQ65))),"""")"),"")</f>
        <v/>
      </c>
      <c r="DH65" s="208" t="str">
        <f t="shared" si="19"/>
        <v/>
      </c>
      <c r="DI65" s="210">
        <f>IFERROR(__xludf.DUMMYFUNCTION("AVERAGE(ARRAYFORMULA(XLOOKUP(FILTER(INDIRECT(""'""&amp;DI$1&amp;""'!$C$4:$C$66""),INDIRECT(""'""&amp;DI$1&amp;""'!$D$4:$D$66"")=DI$2),$G$4:$BQ$4,$G65:$BQ65)))"),-0.3388823)</f>
        <v>-0.3388823</v>
      </c>
      <c r="DJ65" s="207" t="str">
        <f>IFERROR(__xludf.DUMMYFUNCTION("IF(OR(DI65&gt;$BS65+$BT65*$BT$2,DI65&lt;$BS65-$BT65*$BT$2),AVEDEV(ARRAYFORMULA(XLOOKUP(FILTER(INDIRECT(""'""&amp;DI$1&amp;""'!$C$4:$C$66""),INDIRECT(""'""&amp;DI$1&amp;""'!$D$4:$D$66"")=DI$2),$G$4:$BQ$4,$G65:$BQ65))),"""")"),"")</f>
        <v/>
      </c>
      <c r="DK65" s="208" t="str">
        <f t="shared" si="20"/>
        <v/>
      </c>
      <c r="DL65" s="210">
        <f>IFERROR(__xludf.DUMMYFUNCTION("AVERAGE(ARRAYFORMULA(XLOOKUP(FILTER(INDIRECT(""'""&amp;DL$1&amp;""'!$C$4:$C$66""),INDIRECT(""'""&amp;DL$1&amp;""'!$D$4:$D$66"")=DL$2),$G$4:$BQ$4,$G65:$BQ65)))"),0.8433837335714286)</f>
        <v>0.8433837336</v>
      </c>
      <c r="DM65" s="207" t="str">
        <f>IFERROR(__xludf.DUMMYFUNCTION("IF(OR(DL65&gt;$BS65+$BT65*$BT$2,DL65&lt;$BS65-$BT65*$BT$2),AVEDEV(ARRAYFORMULA(XLOOKUP(FILTER(INDIRECT(""'""&amp;DL$1&amp;""'!$C$4:$C$66""),INDIRECT(""'""&amp;DL$1&amp;""'!$D$4:$D$66"")=DL$2),$G$4:$BQ$4,$G65:$BQ65))),"""")"),"")</f>
        <v/>
      </c>
      <c r="DN65" s="208" t="str">
        <f t="shared" si="21"/>
        <v/>
      </c>
      <c r="DO65" s="209" t="s">
        <v>444</v>
      </c>
      <c r="DP65" s="210">
        <f>IFERROR(__xludf.DUMMYFUNCTION("AVERAGE(ARRAYFORMULA(XLOOKUP(FILTER(INDIRECT(""'""&amp;DP$1&amp;""'!$C$4:$C$66""),INDIRECT(""'""&amp;DP$1&amp;""'!$D$4:$D$66"")=DP$2),$G$4:$BQ$4,$G65:$BQ65)))"),0.07541022666666665)</f>
        <v>0.07541022667</v>
      </c>
      <c r="DQ65" s="207" t="str">
        <f>IFERROR(__xludf.DUMMYFUNCTION("IF(OR(DP65&gt;$BS65+$BT65*$BT$2,DP65&lt;$BS65-$BT65*$BT$2),AVEDEV(ARRAYFORMULA(XLOOKUP(FILTER(INDIRECT(""'""&amp;DP$1&amp;""'!$C$4:$C$66""),INDIRECT(""'""&amp;DP$1&amp;""'!$D$4:$D$66"")=DP$2),$G$4:$BQ$4,$G65:$BQ65))),"""")"),"")</f>
        <v/>
      </c>
      <c r="DR65" s="208" t="str">
        <f t="shared" si="22"/>
        <v/>
      </c>
      <c r="DS65" s="210">
        <f>IFERROR(__xludf.DUMMYFUNCTION("AVERAGE(ARRAYFORMULA(XLOOKUP(FILTER(INDIRECT(""'""&amp;DS$1&amp;""'!$C$4:$C$66""),INDIRECT(""'""&amp;DS$1&amp;""'!$D$4:$D$66"")=DS$2),$G$4:$BQ$4,$G65:$BQ65)))"),-0.13983353444444446)</f>
        <v>-0.1398335344</v>
      </c>
      <c r="DT65" s="207" t="str">
        <f>IFERROR(__xludf.DUMMYFUNCTION("IF(OR(DS65&gt;$BS65+$BT65*$BT$2,DS65&lt;$BS65-$BT65*$BT$2),AVEDEV(ARRAYFORMULA(XLOOKUP(FILTER(INDIRECT(""'""&amp;DS$1&amp;""'!$C$4:$C$66""),INDIRECT(""'""&amp;DS$1&amp;""'!$D$4:$D$66"")=DS$2),$G$4:$BQ$4,$G65:$BQ65))),"""")"),"")</f>
        <v/>
      </c>
      <c r="DU65" s="208" t="str">
        <f t="shared" si="23"/>
        <v/>
      </c>
      <c r="DV65" s="210">
        <f>IFERROR(__xludf.DUMMYFUNCTION("AVERAGE(ARRAYFORMULA(XLOOKUP(FILTER(INDIRECT(""'""&amp;DV$1&amp;""'!$C$4:$C$66""),INDIRECT(""'""&amp;DV$1&amp;""'!$D$4:$D$66"")=DV$2),$G$4:$BQ$4,$G65:$BQ65)))"),1.1903091575000002)</f>
        <v>1.190309158</v>
      </c>
      <c r="DW65" s="207" t="str">
        <f>IFERROR(__xludf.DUMMYFUNCTION("IF(OR(DV65&gt;$BS65+$BT65*$BT$2,DV65&lt;$BS65-$BT65*$BT$2),AVEDEV(ARRAYFORMULA(XLOOKUP(FILTER(INDIRECT(""'""&amp;DV$1&amp;""'!$C$4:$C$66""),INDIRECT(""'""&amp;DV$1&amp;""'!$D$4:$D$66"")=DV$2),$G$4:$BQ$4,$G65:$BQ65))),"""")"),"")</f>
        <v/>
      </c>
      <c r="DX65" s="208" t="str">
        <f t="shared" si="24"/>
        <v/>
      </c>
      <c r="DY65" s="210">
        <f>IFERROR(__xludf.DUMMYFUNCTION("AVERAGE(ARRAYFORMULA(XLOOKUP(FILTER(INDIRECT(""'""&amp;DY$1&amp;""'!$C$4:$C$66""),INDIRECT(""'""&amp;DY$1&amp;""'!$D$4:$D$66"")=DY$2),$G$4:$BQ$4,$G65:$BQ65)))"),-0.10786101222222222)</f>
        <v>-0.1078610122</v>
      </c>
      <c r="DZ65" s="207" t="str">
        <f>IFERROR(__xludf.DUMMYFUNCTION("IF(OR(DY65&gt;$BS65+$BT65*$BT$2,DY65&lt;$BS65-$BT65*$BT$2),AVEDEV(ARRAYFORMULA(XLOOKUP(FILTER(INDIRECT(""'""&amp;DY$1&amp;""'!$C$4:$C$66""),INDIRECT(""'""&amp;DY$1&amp;""'!$D$4:$D$66"")=DY$2),$G$4:$BQ$4,$G65:$BQ65))),"""")"),"")</f>
        <v/>
      </c>
      <c r="EA65" s="208" t="str">
        <f t="shared" si="25"/>
        <v/>
      </c>
      <c r="EB65" s="191"/>
    </row>
    <row r="66" outlineLevel="1">
      <c r="A66" s="2"/>
      <c r="B66" s="204">
        <v>62.0</v>
      </c>
      <c r="C66" s="204" t="s">
        <v>482</v>
      </c>
      <c r="D66" s="204" t="s">
        <v>506</v>
      </c>
      <c r="E66" s="205" t="b">
        <f>VLOOKUP(D66,'Feature Set List'!A62:C246,2,0)</f>
        <v>1</v>
      </c>
      <c r="F66" s="205" t="b">
        <f>VLOOKUP(D66,'Feature Set List'!A62:C246,3,0)</f>
        <v>1</v>
      </c>
      <c r="G66" s="205">
        <v>-0.2017336</v>
      </c>
      <c r="H66" s="205">
        <v>-0.4034673</v>
      </c>
      <c r="I66" s="205">
        <v>-0.5279748</v>
      </c>
      <c r="J66" s="205">
        <v>-0.4869976</v>
      </c>
      <c r="K66" s="205">
        <v>0.7178881</v>
      </c>
      <c r="L66" s="205">
        <v>0.73364854</v>
      </c>
      <c r="M66" s="205">
        <v>0.50197006</v>
      </c>
      <c r="N66" s="205">
        <v>-0.6753349</v>
      </c>
      <c r="O66" s="205">
        <v>0.06461781</v>
      </c>
      <c r="P66" s="205">
        <v>0.25925926</v>
      </c>
      <c r="Q66" s="205">
        <v>0.54215918</v>
      </c>
      <c r="R66" s="205">
        <v>0.43892829</v>
      </c>
      <c r="S66" s="205">
        <v>-0.7777778</v>
      </c>
      <c r="T66" s="205">
        <v>0.67297084</v>
      </c>
      <c r="U66" s="205">
        <v>0.15839243</v>
      </c>
      <c r="V66" s="205">
        <v>-0.0583136</v>
      </c>
      <c r="W66" s="205">
        <v>0.07171001</v>
      </c>
      <c r="X66" s="205">
        <v>-1.2947203</v>
      </c>
      <c r="Y66" s="205">
        <v>0.32072498</v>
      </c>
      <c r="Z66" s="205">
        <v>-0.6107171</v>
      </c>
      <c r="AA66" s="205">
        <v>-0.285264</v>
      </c>
      <c r="AB66" s="205">
        <v>-0.8022065</v>
      </c>
      <c r="AC66" s="205">
        <v>-0.3995272</v>
      </c>
      <c r="AD66" s="205">
        <v>-0.0803783</v>
      </c>
      <c r="AE66" s="205">
        <v>-0.8037825</v>
      </c>
      <c r="AF66" s="205">
        <v>0.96532703</v>
      </c>
      <c r="AG66" s="205">
        <v>-1.0086682</v>
      </c>
      <c r="AH66" s="205">
        <v>-0.5382191</v>
      </c>
      <c r="AI66" s="205">
        <v>0.29787234</v>
      </c>
      <c r="AJ66" s="205">
        <v>0.03546099</v>
      </c>
      <c r="AK66" s="205">
        <v>0.85815603</v>
      </c>
      <c r="AL66" s="205">
        <v>-0.0031521</v>
      </c>
      <c r="AM66" s="205">
        <v>1.71946414</v>
      </c>
      <c r="AN66" s="205">
        <v>-0.0141844</v>
      </c>
      <c r="AO66" s="205">
        <v>0.41292356</v>
      </c>
      <c r="AP66" s="205">
        <v>0.72734437</v>
      </c>
      <c r="AQ66" s="205">
        <v>-0.5382191</v>
      </c>
      <c r="AR66" s="205">
        <v>0.49487786</v>
      </c>
      <c r="AS66" s="205">
        <v>0.0</v>
      </c>
      <c r="AT66" s="205">
        <v>-0.5634358</v>
      </c>
      <c r="AU66" s="205">
        <v>0.22379827</v>
      </c>
      <c r="AV66" s="205">
        <v>-0.7628054</v>
      </c>
      <c r="AW66" s="205">
        <v>1.54609929</v>
      </c>
      <c r="AX66" s="205">
        <v>0.17257683</v>
      </c>
      <c r="AY66" s="205">
        <v>-1.2616233</v>
      </c>
      <c r="AZ66" s="205">
        <v>-0.6264775</v>
      </c>
      <c r="BA66" s="205">
        <v>0.0748621</v>
      </c>
      <c r="BB66" s="205">
        <v>-0.6501182</v>
      </c>
      <c r="BC66" s="205">
        <v>-0.2624113</v>
      </c>
      <c r="BD66" s="205">
        <v>0.01812451</v>
      </c>
      <c r="BE66" s="205">
        <v>-1.1977935</v>
      </c>
      <c r="BF66" s="205">
        <v>-0.0425532</v>
      </c>
      <c r="BG66" s="205">
        <v>-0.5232467</v>
      </c>
      <c r="BH66" s="205">
        <v>0.01103231</v>
      </c>
      <c r="BI66" s="205">
        <v>0.34042553</v>
      </c>
      <c r="BJ66" s="205">
        <v>-0.9669031</v>
      </c>
      <c r="BK66" s="205">
        <v>0.8999212</v>
      </c>
      <c r="BL66" s="205">
        <v>-0.3530339</v>
      </c>
      <c r="BM66" s="205">
        <v>-0.0417652</v>
      </c>
      <c r="BN66" s="205">
        <v>0.73364854</v>
      </c>
      <c r="BO66" s="205">
        <v>0.6178093</v>
      </c>
      <c r="BP66" s="205">
        <v>0.91016548</v>
      </c>
      <c r="BQ66" s="205">
        <v>0.69503546</v>
      </c>
      <c r="BR66" s="206"/>
      <c r="BS66" s="207">
        <f t="shared" si="6"/>
        <v>-0.008343029524</v>
      </c>
      <c r="BT66" s="207">
        <f t="shared" si="7"/>
        <v>0.5241067465</v>
      </c>
      <c r="BU66" s="206"/>
      <c r="BV66" s="207">
        <f>IFERROR(__xludf.DUMMYFUNCTION("AVERAGE(ARRAYFORMULA(XLOOKUP(FILTER(INDIRECT(""'""&amp;BV$1&amp;""'!$C$4:$C$66""),INDIRECT(""'""&amp;BV$1&amp;""'!$D$4:$D$66"")=BV$2),$G$4:$BQ$4,$G66:$BQ66)))"),-0.5979961728571429)</f>
        <v>-0.5979961729</v>
      </c>
      <c r="BW66" s="207">
        <f>IFERROR(__xludf.DUMMYFUNCTION("IF(OR(BV66&gt;$BS66+$BT66*$BT$2,BV66&lt;$BS66-$BT66*$BT$2),AVEDEV(ARRAYFORMULA(XLOOKUP(FILTER(INDIRECT(""'""&amp;BV$1&amp;""'!$C$4:$C$66""),INDIRECT(""'""&amp;BV$1&amp;""'!$D$4:$D$66"")=BV$2),$G$4:$BQ$4,$G66:$BQ66))),"""")"),0.5749344595918366)</f>
        <v>0.5749344596</v>
      </c>
      <c r="BX66" s="208">
        <f t="shared" si="8"/>
        <v>-0.06554639685</v>
      </c>
      <c r="BY66" s="207">
        <f>IFERROR(__xludf.DUMMYFUNCTION("AVERAGE(ARRAYFORMULA(XLOOKUP(FILTER(INDIRECT(""'""&amp;BY$1&amp;""'!$C$4:$C$66""),INDIRECT(""'""&amp;BY$1&amp;""'!$D$4:$D$66"")=BY$2),$G$4:$BQ$4,$G66:$BQ66)))"),0.028950425000000002)</f>
        <v>0.028950425</v>
      </c>
      <c r="BZ66" s="207" t="str">
        <f>IFERROR(__xludf.DUMMYFUNCTION("IF(OR(BY66&gt;$BS66+$BT66*$BT$2,BY66&lt;$BS66-$BT66*$BT$2),AVEDEV(ARRAYFORMULA(XLOOKUP(FILTER(INDIRECT(""'""&amp;BY$1&amp;""'!$C$4:$C$66""),INDIRECT(""'""&amp;BY$1&amp;""'!$D$4:$D$66"")=BY$2),$G$4:$BQ$4,$G66:$BQ66))),"""")"),"")</f>
        <v/>
      </c>
      <c r="CA66" s="208" t="str">
        <f t="shared" si="9"/>
        <v/>
      </c>
      <c r="CB66" s="207">
        <f>IFERROR(__xludf.DUMMYFUNCTION("AVERAGE(ARRAYFORMULA(XLOOKUP(FILTER(INDIRECT(""'""&amp;CB$1&amp;""'!$C$4:$C$66""),INDIRECT(""'""&amp;CB$1&amp;""'!$D$4:$D$66"")=CB$2),$G$4:$BQ$4,$G66:$BQ66)))"),0.24822695636363637)</f>
        <v>0.2482269564</v>
      </c>
      <c r="CC66" s="207" t="str">
        <f>IFERROR(__xludf.DUMMYFUNCTION("IF(OR(CB66&gt;$BS66+$BT66*$BT$2,CB66&lt;$BS66-$BT66*$BT$2),AVEDEV(ARRAYFORMULA(XLOOKUP(FILTER(INDIRECT(""'""&amp;CB$1&amp;""'!$C$4:$C$66""),INDIRECT(""'""&amp;CB$1&amp;""'!$D$4:$D$66"")=CB$2),$G$4:$BQ$4,$G66:$BQ66))),"""")"),"")</f>
        <v/>
      </c>
      <c r="CD66" s="208" t="str">
        <f t="shared" si="10"/>
        <v/>
      </c>
      <c r="CE66" s="209" t="s">
        <v>444</v>
      </c>
      <c r="CF66" s="207">
        <f>IFERROR(__xludf.DUMMYFUNCTION("AVERAGE(ARRAYFORMULA(XLOOKUP(FILTER(INDIRECT(""'""&amp;CF$1&amp;""'!$C$4:$C$66""),INDIRECT(""'""&amp;CF$1&amp;""'!$D$4:$D$66"")=CF$2),$G$4:$BQ$4,$G66:$BQ66)))"),-0.05782111499999999)</f>
        <v>-0.057821115</v>
      </c>
      <c r="CG66" s="207" t="str">
        <f>IFERROR(__xludf.DUMMYFUNCTION("IF(OR(CF66&gt;$BS66+$BT66*$BT$2,CF66&lt;$BS66-$BT66*$BT$2),AVEDEV(ARRAYFORMULA(XLOOKUP(FILTER(INDIRECT(""'""&amp;CF$1&amp;""'!$C$4:$C$66""),INDIRECT(""'""&amp;CF$1&amp;""'!$D$4:$D$66"")=CF$2),$G$4:$BQ$4,$G66:$BQ66))),"""")"),"")</f>
        <v/>
      </c>
      <c r="CH66" s="208" t="str">
        <f t="shared" si="11"/>
        <v/>
      </c>
      <c r="CI66" s="207">
        <f>IFERROR(__xludf.DUMMYFUNCTION("AVERAGE(ARRAYFORMULA(XLOOKUP(FILTER(INDIRECT(""'""&amp;CI$1&amp;""'!$C$4:$C$66""),INDIRECT(""'""&amp;CI$1&amp;""'!$D$4:$D$66"")=CI$2),$G$4:$BQ$4,$G66:$BQ66)))"),0.012735449999999988)</f>
        <v>0.01273545</v>
      </c>
      <c r="CJ66" s="207" t="str">
        <f>IFERROR(__xludf.DUMMYFUNCTION("IF(OR(CI66&gt;$BS66+$BT66*$BT$2,CI66&lt;$BS66-$BT66*$BT$2),AVEDEV(ARRAYFORMULA(XLOOKUP(FILTER(INDIRECT(""'""&amp;CI$1&amp;""'!$C$4:$C$66""),INDIRECT(""'""&amp;CI$1&amp;""'!$D$4:$D$66"")=CI$2),$G$4:$BQ$4,$G66:$BQ66))),"""")"),"")</f>
        <v/>
      </c>
      <c r="CK66" s="208" t="str">
        <f t="shared" si="12"/>
        <v/>
      </c>
      <c r="CL66" s="207">
        <f>IFERROR(__xludf.DUMMYFUNCTION("AVERAGE(ARRAYFORMULA(XLOOKUP(FILTER(INDIRECT(""'""&amp;CL$1&amp;""'!$C$4:$C$66""),INDIRECT(""'""&amp;CL$1&amp;""'!$D$4:$D$66"")=CL$2),$G$4:$BQ$4,$G66:$BQ66)))"),0.09676910000000001)</f>
        <v>0.0967691</v>
      </c>
      <c r="CM66" s="207" t="str">
        <f>IFERROR(__xludf.DUMMYFUNCTION("IF(OR(CL66&gt;$BS66+$BT66*$BT$2,CL66&lt;$BS66-$BT66*$BT$2),AVEDEV(ARRAYFORMULA(XLOOKUP(FILTER(INDIRECT(""'""&amp;CL$1&amp;""'!$C$4:$C$66""),INDIRECT(""'""&amp;CL$1&amp;""'!$D$4:$D$66"")=CL$2),$G$4:$BQ$4,$G66:$BQ66))),"""")"),"")</f>
        <v/>
      </c>
      <c r="CN66" s="208" t="str">
        <f t="shared" si="13"/>
        <v/>
      </c>
      <c r="CO66" s="209" t="s">
        <v>444</v>
      </c>
      <c r="CP66" s="210">
        <f>IFERROR(__xludf.DUMMYFUNCTION("AVERAGE(ARRAYFORMULA(XLOOKUP(FILTER(INDIRECT(""'""&amp;CP$1&amp;""'!$C$4:$C$66""),INDIRECT(""'""&amp;CP$1&amp;""'!$D$4:$D$66"")=CP$2),$G$4:$BQ$4,$G66:$BQ66)))"),-0.42379827266666664)</f>
        <v>-0.4237982727</v>
      </c>
      <c r="CQ66" s="207" t="str">
        <f>IFERROR(__xludf.DUMMYFUNCTION("IF(OR(CP66&gt;$BS66+$BT66*$BT$2,CP66&lt;$BS66-$BT66*$BT$2),AVEDEV(ARRAYFORMULA(XLOOKUP(FILTER(INDIRECT(""'""&amp;CP$1&amp;""'!$C$4:$C$66""),INDIRECT(""'""&amp;CP$1&amp;""'!$D$4:$D$66"")=CP$2),$G$4:$BQ$4,$G66:$BQ66))),"""")"),"")</f>
        <v/>
      </c>
      <c r="CR66" s="208" t="str">
        <f t="shared" si="14"/>
        <v/>
      </c>
      <c r="CS66" s="210">
        <f>IFERROR(__xludf.DUMMYFUNCTION("AVERAGE(ARRAYFORMULA(XLOOKUP(FILTER(INDIRECT(""'""&amp;CS$1&amp;""'!$C$4:$C$66""),INDIRECT(""'""&amp;CS$1&amp;""'!$D$4:$D$66"")=CS$2),$G$4:$BQ$4,$G66:$BQ66)))"),0.15350265769230764)</f>
        <v>0.1535026577</v>
      </c>
      <c r="CT66" s="207" t="str">
        <f>IFERROR(__xludf.DUMMYFUNCTION("IF(OR(CS66&gt;$BS66+$BT66*$BT$2,CS66&lt;$BS66-$BT66*$BT$2),AVEDEV(ARRAYFORMULA(XLOOKUP(FILTER(INDIRECT(""'""&amp;CS$1&amp;""'!$C$4:$C$66""),INDIRECT(""'""&amp;CS$1&amp;""'!$D$4:$D$66"")=CS$2),$G$4:$BQ$4,$G66:$BQ66))),"""")"),"")</f>
        <v/>
      </c>
      <c r="CU66" s="208" t="str">
        <f t="shared" si="15"/>
        <v/>
      </c>
      <c r="CV66" s="212">
        <f>IFERROR(__xludf.DUMMYFUNCTION("AVERAGE(ARRAYFORMULA(XLOOKUP(FILTER(INDIRECT(""'""&amp;CV$1&amp;""'!$C$4:$C$66""),INDIRECT(""'""&amp;CV$1&amp;""'!$D$4:$D$66"")=CV$2),$G$4:$BQ$4,$G66:$BQ66)))"),0.09676910000000001)</f>
        <v>0.0967691</v>
      </c>
      <c r="CW66" s="207" t="str">
        <f>IFERROR(__xludf.DUMMYFUNCTION("IF(OR(CV66&gt;$BS66+$BT66*$BT$2,CV66&lt;$BS66-$BT66*$BT$2),AVEDEV(ARRAYFORMULA(XLOOKUP(FILTER(INDIRECT(""'""&amp;CV$1&amp;""'!$C$4:$C$66""),INDIRECT(""'""&amp;CV$1&amp;""'!$D$4:$D$66"")=CV$2),$G$4:$BQ$4,$G66:$BQ66))),"""")"),"")</f>
        <v/>
      </c>
      <c r="CX66" s="208" t="str">
        <f t="shared" si="16"/>
        <v/>
      </c>
      <c r="CY66" s="209" t="s">
        <v>444</v>
      </c>
      <c r="CZ66" s="210">
        <f>IFERROR(__xludf.DUMMYFUNCTION("AVERAGE(ARRAYFORMULA(XLOOKUP(FILTER(INDIRECT(""'""&amp;CZ$1&amp;""'!$C$4:$C$66""),INDIRECT(""'""&amp;CZ$1&amp;""'!$D$4:$D$66"")=CZ$2),$G$4:$BQ$4,$G66:$BQ66)))"),0.022064623571428583)</f>
        <v>0.02206462357</v>
      </c>
      <c r="DA66" s="207" t="str">
        <f>IFERROR(__xludf.DUMMYFUNCTION("IF(OR(CZ66&gt;$BS66+$BT66*$BT$2,CZ66&lt;$BS66-$BT66*$BT$2),AVEDEV(ARRAYFORMULA(XLOOKUP(FILTER(INDIRECT(""'""&amp;CZ$1&amp;""'!$C$4:$C$66""),INDIRECT(""'""&amp;CZ$1&amp;""'!$D$4:$D$66"")=CZ$2),$G$4:$BQ$4,$G66:$BQ66))),"""")"),"")</f>
        <v/>
      </c>
      <c r="DB66" s="208" t="str">
        <f t="shared" si="17"/>
        <v/>
      </c>
      <c r="DC66" s="210">
        <f>IFERROR(__xludf.DUMMYFUNCTION("AVERAGE(ARRAYFORMULA(XLOOKUP(FILTER(INDIRECT(""'""&amp;DC$1&amp;""'!$C$4:$C$66""),INDIRECT(""'""&amp;DC$1&amp;""'!$D$4:$D$66"")=DC$2),$G$4:$BQ$4,$G66:$BQ66)))"),0.3776376911111112)</f>
        <v>0.3776376911</v>
      </c>
      <c r="DD66" s="207" t="str">
        <f>IFERROR(__xludf.DUMMYFUNCTION("IF(OR(DC66&gt;$BS66+$BT66*$BT$2,DC66&lt;$BS66-$BT66*$BT$2),AVEDEV(ARRAYFORMULA(XLOOKUP(FILTER(INDIRECT(""'""&amp;DC$1&amp;""'!$C$4:$C$66""),INDIRECT(""'""&amp;DC$1&amp;""'!$D$4:$D$66"")=DC$2),$G$4:$BQ$4,$G66:$BQ66))),"""")"),"")</f>
        <v/>
      </c>
      <c r="DE66" s="208" t="str">
        <f t="shared" si="18"/>
        <v/>
      </c>
      <c r="DF66" s="210">
        <f>IFERROR(__xludf.DUMMYFUNCTION("AVERAGE(ARRAYFORMULA(XLOOKUP(FILTER(INDIRECT(""'""&amp;DF$1&amp;""'!$C$4:$C$66""),INDIRECT(""'""&amp;DF$1&amp;""'!$D$4:$D$66"")=DF$2),$G$4:$BQ$4,$G66:$BQ66)))"),-0.26742605090909083)</f>
        <v>-0.2674260509</v>
      </c>
      <c r="DG66" s="207" t="str">
        <f>IFERROR(__xludf.DUMMYFUNCTION("IF(OR(DF66&gt;$BS66+$BT66*$BT$2,DF66&lt;$BS66-$BT66*$BT$2),AVEDEV(ARRAYFORMULA(XLOOKUP(FILTER(INDIRECT(""'""&amp;DF$1&amp;""'!$C$4:$C$66""),INDIRECT(""'""&amp;DF$1&amp;""'!$D$4:$D$66"")=DF$2),$G$4:$BQ$4,$G66:$BQ66))),"""")"),"")</f>
        <v/>
      </c>
      <c r="DH66" s="208" t="str">
        <f t="shared" si="19"/>
        <v/>
      </c>
      <c r="DI66" s="210">
        <f>IFERROR(__xludf.DUMMYFUNCTION("AVERAGE(ARRAYFORMULA(XLOOKUP(FILTER(INDIRECT(""'""&amp;DI$1&amp;""'!$C$4:$C$66""),INDIRECT(""'""&amp;DI$1&amp;""'!$D$4:$D$66"")=DI$2),$G$4:$BQ$4,$G66:$BQ66)))"),-0.034672995)</f>
        <v>-0.034672995</v>
      </c>
      <c r="DJ66" s="207" t="str">
        <f>IFERROR(__xludf.DUMMYFUNCTION("IF(OR(DI66&gt;$BS66+$BT66*$BT$2,DI66&lt;$BS66-$BT66*$BT$2),AVEDEV(ARRAYFORMULA(XLOOKUP(FILTER(INDIRECT(""'""&amp;DI$1&amp;""'!$C$4:$C$66""),INDIRECT(""'""&amp;DI$1&amp;""'!$D$4:$D$66"")=DI$2),$G$4:$BQ$4,$G66:$BQ66))),"""")"),"")</f>
        <v/>
      </c>
      <c r="DK66" s="208" t="str">
        <f t="shared" si="20"/>
        <v/>
      </c>
      <c r="DL66" s="212">
        <f>IFERROR(__xludf.DUMMYFUNCTION("AVERAGE(ARRAYFORMULA(XLOOKUP(FILTER(INDIRECT(""'""&amp;DL$1&amp;""'!$C$4:$C$66""),INDIRECT(""'""&amp;DL$1&amp;""'!$D$4:$D$66"")=DL$2),$G$4:$BQ$4,$G66:$BQ66)))"),0.18383429071428567)</f>
        <v>0.1838342907</v>
      </c>
      <c r="DM66" s="207" t="str">
        <f>IFERROR(__xludf.DUMMYFUNCTION("IF(OR(DL66&gt;$BS66+$BT66*$BT$2,DL66&lt;$BS66-$BT66*$BT$2),AVEDEV(ARRAYFORMULA(XLOOKUP(FILTER(INDIRECT(""'""&amp;DL$1&amp;""'!$C$4:$C$66""),INDIRECT(""'""&amp;DL$1&amp;""'!$D$4:$D$66"")=DL$2),$G$4:$BQ$4,$G66:$BQ66))),"""")"),"")</f>
        <v/>
      </c>
      <c r="DN66" s="208" t="str">
        <f t="shared" si="21"/>
        <v/>
      </c>
      <c r="DO66" s="209" t="s">
        <v>444</v>
      </c>
      <c r="DP66" s="210">
        <f>IFERROR(__xludf.DUMMYFUNCTION("AVERAGE(ARRAYFORMULA(XLOOKUP(FILTER(INDIRECT(""'""&amp;DP$1&amp;""'!$C$4:$C$66""),INDIRECT(""'""&amp;DP$1&amp;""'!$D$4:$D$66"")=DP$2),$G$4:$BQ$4,$G66:$BQ66)))"),-0.146256896)</f>
        <v>-0.146256896</v>
      </c>
      <c r="DQ66" s="207" t="str">
        <f>IFERROR(__xludf.DUMMYFUNCTION("IF(OR(DP66&gt;$BS66+$BT66*$BT$2,DP66&lt;$BS66-$BT66*$BT$2),AVEDEV(ARRAYFORMULA(XLOOKUP(FILTER(INDIRECT(""'""&amp;DP$1&amp;""'!$C$4:$C$66""),INDIRECT(""'""&amp;DP$1&amp;""'!$D$4:$D$66"")=DP$2),$G$4:$BQ$4,$G66:$BQ66))),"""")"),"")</f>
        <v/>
      </c>
      <c r="DR66" s="208" t="str">
        <f t="shared" si="22"/>
        <v/>
      </c>
      <c r="DS66" s="210">
        <f>IFERROR(__xludf.DUMMYFUNCTION("AVERAGE(ARRAYFORMULA(XLOOKUP(FILTER(INDIRECT(""'""&amp;DS$1&amp;""'!$C$4:$C$66""),INDIRECT(""'""&amp;DS$1&amp;""'!$D$4:$D$66"")=DS$2),$G$4:$BQ$4,$G66:$BQ66)))"),0.14534629000000004)</f>
        <v>0.14534629</v>
      </c>
      <c r="DT66" s="207" t="str">
        <f>IFERROR(__xludf.DUMMYFUNCTION("IF(OR(DS66&gt;$BS66+$BT66*$BT$2,DS66&lt;$BS66-$BT66*$BT$2),AVEDEV(ARRAYFORMULA(XLOOKUP(FILTER(INDIRECT(""'""&amp;DS$1&amp;""'!$C$4:$C$66""),INDIRECT(""'""&amp;DS$1&amp;""'!$D$4:$D$66"")=DS$2),$G$4:$BQ$4,$G66:$BQ66))),"""")"),"")</f>
        <v/>
      </c>
      <c r="DU66" s="208" t="str">
        <f t="shared" si="23"/>
        <v/>
      </c>
      <c r="DV66" s="210">
        <f>IFERROR(__xludf.DUMMYFUNCTION("AVERAGE(ARRAYFORMULA(XLOOKUP(FILTER(INDIRECT(""'""&amp;DV$1&amp;""'!$C$4:$C$66""),INDIRECT(""'""&amp;DV$1&amp;""'!$D$4:$D$66"")=DV$2),$G$4:$BQ$4,$G66:$BQ66)))"),-0.281717885)</f>
        <v>-0.281717885</v>
      </c>
      <c r="DW66" s="207" t="str">
        <f>IFERROR(__xludf.DUMMYFUNCTION("IF(OR(DV66&gt;$BS66+$BT66*$BT$2,DV66&lt;$BS66-$BT66*$BT$2),AVEDEV(ARRAYFORMULA(XLOOKUP(FILTER(INDIRECT(""'""&amp;DV$1&amp;""'!$C$4:$C$66""),INDIRECT(""'""&amp;DV$1&amp;""'!$D$4:$D$66"")=DV$2),$G$4:$BQ$4,$G66:$BQ66))),"""")"),"")</f>
        <v/>
      </c>
      <c r="DX66" s="208" t="str">
        <f t="shared" si="24"/>
        <v/>
      </c>
      <c r="DY66" s="210">
        <f>IFERROR(__xludf.DUMMYFUNCTION("AVERAGE(ARRAYFORMULA(XLOOKUP(FILTER(INDIRECT(""'""&amp;DY$1&amp;""'!$C$4:$C$66""),INDIRECT(""'""&amp;DY$1&amp;""'!$D$4:$D$66"")=DY$2),$G$4:$BQ$4,$G66:$BQ66)))"),0.6481919211111111)</f>
        <v>0.6481919211</v>
      </c>
      <c r="DZ66" s="207">
        <f>IFERROR(__xludf.DUMMYFUNCTION("IF(OR(DY66&gt;$BS66+$BT66*$BT$2,DY66&lt;$BS66-$BT66*$BT$2),AVEDEV(ARRAYFORMULA(XLOOKUP(FILTER(INDIRECT(""'""&amp;DY$1&amp;""'!$C$4:$C$66""),INDIRECT(""'""&amp;DY$1&amp;""'!$D$4:$D$66"")=DY$2),$G$4:$BQ$4,$G66:$BQ66))),"""")"),0.527060292345679)</f>
        <v>0.5270602923</v>
      </c>
      <c r="EA66" s="208">
        <f t="shared" si="25"/>
        <v>0.1324282041</v>
      </c>
      <c r="EB66" s="191"/>
    </row>
    <row r="67" outlineLevel="1">
      <c r="A67" s="2"/>
      <c r="B67" s="204">
        <v>63.0</v>
      </c>
      <c r="C67" s="204" t="s">
        <v>507</v>
      </c>
      <c r="D67" s="204" t="s">
        <v>508</v>
      </c>
      <c r="E67" s="205" t="b">
        <f>VLOOKUP(D67,'Feature Set List'!A63:C246,2,0)</f>
        <v>1</v>
      </c>
      <c r="F67" s="205" t="b">
        <f>VLOOKUP(D67,'Feature Set List'!A63:C246,3,0)</f>
        <v>1</v>
      </c>
      <c r="G67" s="205">
        <v>0.8814078</v>
      </c>
      <c r="H67" s="205">
        <v>0.25401683</v>
      </c>
      <c r="I67" s="205">
        <v>-0.8247896</v>
      </c>
      <c r="J67" s="205">
        <v>-0.1162969</v>
      </c>
      <c r="K67" s="205">
        <v>0.63504208</v>
      </c>
      <c r="L67" s="205">
        <v>-0.1224178</v>
      </c>
      <c r="M67" s="205">
        <v>-0.0061209</v>
      </c>
      <c r="N67" s="205">
        <v>-1.0130069</v>
      </c>
      <c r="O67" s="205">
        <v>0.64728386</v>
      </c>
      <c r="P67" s="205">
        <v>-1.1338944</v>
      </c>
      <c r="Q67" s="205">
        <v>0.30298393</v>
      </c>
      <c r="R67" s="205">
        <v>-0.123948</v>
      </c>
      <c r="S67" s="205">
        <v>0.14078041</v>
      </c>
      <c r="T67" s="205">
        <v>-0.2417751</v>
      </c>
      <c r="U67" s="205">
        <v>-2.0321347</v>
      </c>
      <c r="V67" s="205">
        <v>0.14384086</v>
      </c>
      <c r="W67" s="205">
        <v>-0.165264</v>
      </c>
      <c r="X67" s="205">
        <v>-1.1920428</v>
      </c>
      <c r="Y67" s="205">
        <v>0.80183627</v>
      </c>
      <c r="Z67" s="205">
        <v>-0.0382555</v>
      </c>
      <c r="AA67" s="205">
        <v>-0.6870696</v>
      </c>
      <c r="AB67" s="205">
        <v>-0.7146136</v>
      </c>
      <c r="AC67" s="205">
        <v>0.19739862</v>
      </c>
      <c r="AD67" s="205">
        <v>0.55700077</v>
      </c>
      <c r="AE67" s="205">
        <v>-0.5692425</v>
      </c>
      <c r="AF67" s="205">
        <v>0.48661056</v>
      </c>
      <c r="AG67" s="205">
        <v>-0.503443</v>
      </c>
      <c r="AH67" s="205">
        <v>-0.5218057</v>
      </c>
      <c r="AI67" s="205">
        <v>-0.0015302</v>
      </c>
      <c r="AJ67" s="205">
        <v>0.0</v>
      </c>
      <c r="AK67" s="205">
        <v>-0.0856924</v>
      </c>
      <c r="AL67" s="205">
        <v>0.42234124</v>
      </c>
      <c r="AM67" s="205">
        <v>0.2096404</v>
      </c>
      <c r="AN67" s="205">
        <v>0.67482785</v>
      </c>
      <c r="AO67" s="205">
        <v>-1.7827085</v>
      </c>
      <c r="AP67" s="205">
        <v>-0.9120122</v>
      </c>
      <c r="AQ67" s="205">
        <v>0.70696251</v>
      </c>
      <c r="AR67" s="205">
        <v>0.85692425</v>
      </c>
      <c r="AS67" s="205">
        <v>0.08875287</v>
      </c>
      <c r="AT67" s="205">
        <v>-0.0030604</v>
      </c>
      <c r="AU67" s="205">
        <v>-0.4560061</v>
      </c>
      <c r="AV67" s="205">
        <v>0.90436113</v>
      </c>
      <c r="AW67" s="205">
        <v>-0.3672533</v>
      </c>
      <c r="AX67" s="205">
        <v>0.0627391</v>
      </c>
      <c r="AY67" s="205">
        <v>-0.096404</v>
      </c>
      <c r="AZ67" s="205">
        <v>0.24330528</v>
      </c>
      <c r="BA67" s="205">
        <v>-0.7498087</v>
      </c>
      <c r="BB67" s="205">
        <v>-1.8301454</v>
      </c>
      <c r="BC67" s="205">
        <v>1.27467483</v>
      </c>
      <c r="BD67" s="205">
        <v>0.27390972</v>
      </c>
      <c r="BE67" s="205">
        <v>-1.6419281</v>
      </c>
      <c r="BF67" s="205">
        <v>0.33358837</v>
      </c>
      <c r="BG67" s="205">
        <v>-0.6993114</v>
      </c>
      <c r="BH67" s="205">
        <v>0.63351186</v>
      </c>
      <c r="BI67" s="205">
        <v>0.07345065</v>
      </c>
      <c r="BJ67" s="205">
        <v>0.81713849</v>
      </c>
      <c r="BK67" s="205">
        <v>0.32593726</v>
      </c>
      <c r="BL67" s="205">
        <v>-2.0994644</v>
      </c>
      <c r="BM67" s="205">
        <v>-1.2838562</v>
      </c>
      <c r="BN67" s="205">
        <v>0.53710788</v>
      </c>
      <c r="BO67" s="205">
        <v>1.65570008</v>
      </c>
      <c r="BP67" s="205">
        <v>0.11323642</v>
      </c>
      <c r="BQ67" s="205">
        <v>0.86763581</v>
      </c>
      <c r="BR67" s="206"/>
      <c r="BS67" s="207">
        <f t="shared" si="6"/>
        <v>-0.09351356048</v>
      </c>
      <c r="BT67" s="207">
        <f t="shared" si="7"/>
        <v>0.6174377882</v>
      </c>
      <c r="BU67" s="206"/>
      <c r="BV67" s="207">
        <f>IFERROR(__xludf.DUMMYFUNCTION("AVERAGE(ARRAYFORMULA(XLOOKUP(FILTER(INDIRECT(""'""&amp;BV$1&amp;""'!$C$4:$C$66""),INDIRECT(""'""&amp;BV$1&amp;""'!$D$4:$D$66"")=BV$2),$G$4:$BQ$4,$G67:$BQ67)))"),-1.5249754142857141)</f>
        <v>-1.524975414</v>
      </c>
      <c r="BW67" s="207">
        <f>IFERROR(__xludf.DUMMYFUNCTION("IF(OR(BV67&gt;$BS67+$BT67*$BT$2,BV67&lt;$BS67-$BT67*$BT$2),AVEDEV(ARRAYFORMULA(XLOOKUP(FILTER(INDIRECT(""'""&amp;BV$1&amp;""'!$C$4:$C$66""),INDIRECT(""'""&amp;BV$1&amp;""'!$D$4:$D$66"")=BV$2),$G$4:$BQ$4,$G67:$BQ67))),"""")"),0.5032868653061225)</f>
        <v>0.5032868653</v>
      </c>
      <c r="BX67" s="208">
        <f t="shared" si="8"/>
        <v>-0.8140240656</v>
      </c>
      <c r="BY67" s="207">
        <f>IFERROR(__xludf.DUMMYFUNCTION("AVERAGE(ARRAYFORMULA(XLOOKUP(FILTER(INDIRECT(""'""&amp;BY$1&amp;""'!$C$4:$C$66""),INDIRECT(""'""&amp;BY$1&amp;""'!$D$4:$D$66"")=BY$2),$G$4:$BQ$4,$G67:$BQ67)))"),0.16857944666666666)</f>
        <v>0.1685794467</v>
      </c>
      <c r="BZ67" s="207" t="str">
        <f>IFERROR(__xludf.DUMMYFUNCTION("IF(OR(BY67&gt;$BS67+$BT67*$BT$2,BY67&lt;$BS67-$BT67*$BT$2),AVEDEV(ARRAYFORMULA(XLOOKUP(FILTER(INDIRECT(""'""&amp;BY$1&amp;""'!$C$4:$C$66""),INDIRECT(""'""&amp;BY$1&amp;""'!$D$4:$D$66"")=BY$2),$G$4:$BQ$4,$G67:$BQ67))),"""")"),"")</f>
        <v/>
      </c>
      <c r="CA67" s="208" t="str">
        <f t="shared" si="9"/>
        <v/>
      </c>
      <c r="CB67" s="207">
        <f>IFERROR(__xludf.DUMMYFUNCTION("AVERAGE(ARRAYFORMULA(XLOOKUP(FILTER(INDIRECT(""'""&amp;CB$1&amp;""'!$C$4:$C$66""),INDIRECT(""'""&amp;CB$1&amp;""'!$D$4:$D$66"")=CB$2),$G$4:$BQ$4,$G67:$BQ67)))"),-0.11727065363636364)</f>
        <v>-0.1172706536</v>
      </c>
      <c r="CC67" s="207" t="str">
        <f>IFERROR(__xludf.DUMMYFUNCTION("IF(OR(CB67&gt;$BS67+$BT67*$BT$2,CB67&lt;$BS67-$BT67*$BT$2),AVEDEV(ARRAYFORMULA(XLOOKUP(FILTER(INDIRECT(""'""&amp;CB$1&amp;""'!$C$4:$C$66""),INDIRECT(""'""&amp;CB$1&amp;""'!$D$4:$D$66"")=CB$2),$G$4:$BQ$4,$G67:$BQ67))),"""")"),"")</f>
        <v/>
      </c>
      <c r="CD67" s="208" t="str">
        <f t="shared" si="10"/>
        <v/>
      </c>
      <c r="CE67" s="209" t="s">
        <v>444</v>
      </c>
      <c r="CF67" s="207">
        <f>IFERROR(__xludf.DUMMYFUNCTION("AVERAGE(ARRAYFORMULA(XLOOKUP(FILTER(INDIRECT(""'""&amp;CF$1&amp;""'!$C$4:$C$66""),INDIRECT(""'""&amp;CF$1&amp;""'!$D$4:$D$66"")=CF$2),$G$4:$BQ$4,$G67:$BQ67)))"),-0.33502295312499997)</f>
        <v>-0.3350229531</v>
      </c>
      <c r="CG67" s="207" t="str">
        <f>IFERROR(__xludf.DUMMYFUNCTION("IF(OR(CF67&gt;$BS67+$BT67*$BT$2,CF67&lt;$BS67-$BT67*$BT$2),AVEDEV(ARRAYFORMULA(XLOOKUP(FILTER(INDIRECT(""'""&amp;CF$1&amp;""'!$C$4:$C$66""),INDIRECT(""'""&amp;CF$1&amp;""'!$D$4:$D$66"")=CF$2),$G$4:$BQ$4,$G67:$BQ67))),"""")"),"")</f>
        <v/>
      </c>
      <c r="CH67" s="208" t="str">
        <f t="shared" si="11"/>
        <v/>
      </c>
      <c r="CI67" s="207">
        <f>IFERROR(__xludf.DUMMYFUNCTION("AVERAGE(ARRAYFORMULA(XLOOKUP(FILTER(INDIRECT(""'""&amp;CI$1&amp;""'!$C$4:$C$66""),INDIRECT(""'""&amp;CI$1&amp;""'!$D$4:$D$66"")=CI$2),$G$4:$BQ$4,$G67:$BQ67)))"),0.1972011716129032)</f>
        <v>0.1972011716</v>
      </c>
      <c r="CJ67" s="207" t="str">
        <f>IFERROR(__xludf.DUMMYFUNCTION("IF(OR(CI67&gt;$BS67+$BT67*$BT$2,CI67&lt;$BS67-$BT67*$BT$2),AVEDEV(ARRAYFORMULA(XLOOKUP(FILTER(INDIRECT(""'""&amp;CI$1&amp;""'!$C$4:$C$66""),INDIRECT(""'""&amp;CI$1&amp;""'!$D$4:$D$66"")=CI$2),$G$4:$BQ$4,$G67:$BQ67))),"""")"),"")</f>
        <v/>
      </c>
      <c r="CK67" s="208" t="str">
        <f t="shared" si="12"/>
        <v/>
      </c>
      <c r="CL67" s="207">
        <f>IFERROR(__xludf.DUMMYFUNCTION("AVERAGE(ARRAYFORMULA(XLOOKUP(FILTER(INDIRECT(""'""&amp;CL$1&amp;""'!$C$4:$C$66""),INDIRECT(""'""&amp;CL$1&amp;""'!$D$4:$D$66"")=CL$2),$G$4:$BQ$4,$G67:$BQ67)))"),-0.547207346)</f>
        <v>-0.547207346</v>
      </c>
      <c r="CM67" s="207" t="str">
        <f>IFERROR(__xludf.DUMMYFUNCTION("IF(OR(CL67&gt;$BS67+$BT67*$BT$2,CL67&lt;$BS67-$BT67*$BT$2),AVEDEV(ARRAYFORMULA(XLOOKUP(FILTER(INDIRECT(""'""&amp;CL$1&amp;""'!$C$4:$C$66""),INDIRECT(""'""&amp;CL$1&amp;""'!$D$4:$D$66"")=CL$2),$G$4:$BQ$4,$G67:$BQ67))),"""")"),"")</f>
        <v/>
      </c>
      <c r="CN67" s="208" t="str">
        <f t="shared" si="13"/>
        <v/>
      </c>
      <c r="CO67" s="209" t="s">
        <v>444</v>
      </c>
      <c r="CP67" s="210">
        <f>IFERROR(__xludf.DUMMYFUNCTION("AVERAGE(ARRAYFORMULA(XLOOKUP(FILTER(INDIRECT(""'""&amp;CP$1&amp;""'!$C$4:$C$66""),INDIRECT(""'""&amp;CP$1&amp;""'!$D$4:$D$66"")=CP$2),$G$4:$BQ$4,$G67:$BQ67)))"),-0.5301708753333332)</f>
        <v>-0.5301708753</v>
      </c>
      <c r="CQ67" s="207" t="str">
        <f>IFERROR(__xludf.DUMMYFUNCTION("IF(OR(CP67&gt;$BS67+$BT67*$BT$2,CP67&lt;$BS67-$BT67*$BT$2),AVEDEV(ARRAYFORMULA(XLOOKUP(FILTER(INDIRECT(""'""&amp;CP$1&amp;""'!$C$4:$C$66""),INDIRECT(""'""&amp;CP$1&amp;""'!$D$4:$D$66"")=CP$2),$G$4:$BQ$4,$G67:$BQ67))),"""")"),"")</f>
        <v/>
      </c>
      <c r="CR67" s="208" t="str">
        <f t="shared" si="14"/>
        <v/>
      </c>
      <c r="CS67" s="210">
        <f>IFERROR(__xludf.DUMMYFUNCTION("AVERAGE(ARRAYFORMULA(XLOOKUP(FILTER(INDIRECT(""'""&amp;CS$1&amp;""'!$C$4:$C$66""),INDIRECT(""'""&amp;CS$1&amp;""'!$D$4:$D$66"")=CS$2),$G$4:$BQ$4,$G67:$BQ67)))"),0.20265630589743588)</f>
        <v>0.2026563059</v>
      </c>
      <c r="CT67" s="207" t="str">
        <f>IFERROR(__xludf.DUMMYFUNCTION("IF(OR(CS67&gt;$BS67+$BT67*$BT$2,CS67&lt;$BS67-$BT67*$BT$2),AVEDEV(ARRAYFORMULA(XLOOKUP(FILTER(INDIRECT(""'""&amp;CS$1&amp;""'!$C$4:$C$66""),INDIRECT(""'""&amp;CS$1&amp;""'!$D$4:$D$66"")=CS$2),$G$4:$BQ$4,$G67:$BQ67))),"""")"),"")</f>
        <v/>
      </c>
      <c r="CU67" s="208" t="str">
        <f t="shared" si="15"/>
        <v/>
      </c>
      <c r="CV67" s="210">
        <f>IFERROR(__xludf.DUMMYFUNCTION("AVERAGE(ARRAYFORMULA(XLOOKUP(FILTER(INDIRECT(""'""&amp;CV$1&amp;""'!$C$4:$C$66""),INDIRECT(""'""&amp;CV$1&amp;""'!$D$4:$D$66"")=CV$2),$G$4:$BQ$4,$G67:$BQ67)))"),-0.547207346)</f>
        <v>-0.547207346</v>
      </c>
      <c r="CW67" s="207" t="str">
        <f>IFERROR(__xludf.DUMMYFUNCTION("IF(OR(CV67&gt;$BS67+$BT67*$BT$2,CV67&lt;$BS67-$BT67*$BT$2),AVEDEV(ARRAYFORMULA(XLOOKUP(FILTER(INDIRECT(""'""&amp;CV$1&amp;""'!$C$4:$C$66""),INDIRECT(""'""&amp;CV$1&amp;""'!$D$4:$D$66"")=CV$2),$G$4:$BQ$4,$G67:$BQ67))),"""")"),"")</f>
        <v/>
      </c>
      <c r="CX67" s="208" t="str">
        <f t="shared" si="16"/>
        <v/>
      </c>
      <c r="CY67" s="209" t="s">
        <v>444</v>
      </c>
      <c r="CZ67" s="210">
        <f>IFERROR(__xludf.DUMMYFUNCTION("AVERAGE(ARRAYFORMULA(XLOOKUP(FILTER(INDIRECT(""'""&amp;CZ$1&amp;""'!$C$4:$C$66""),INDIRECT(""'""&amp;CZ$1&amp;""'!$D$4:$D$66"")=CZ$2),$G$4:$BQ$4,$G67:$BQ67)))"),-0.09869930928571428)</f>
        <v>-0.09869930929</v>
      </c>
      <c r="DA67" s="207" t="str">
        <f>IFERROR(__xludf.DUMMYFUNCTION("IF(OR(CZ67&gt;$BS67+$BT67*$BT$2,CZ67&lt;$BS67-$BT67*$BT$2),AVEDEV(ARRAYFORMULA(XLOOKUP(FILTER(INDIRECT(""'""&amp;CZ$1&amp;""'!$C$4:$C$66""),INDIRECT(""'""&amp;CZ$1&amp;""'!$D$4:$D$66"")=CZ$2),$G$4:$BQ$4,$G67:$BQ67))),"""")"),"")</f>
        <v/>
      </c>
      <c r="DB67" s="208" t="str">
        <f t="shared" si="17"/>
        <v/>
      </c>
      <c r="DC67" s="210">
        <f>IFERROR(__xludf.DUMMYFUNCTION("AVERAGE(ARRAYFORMULA(XLOOKUP(FILTER(INDIRECT(""'""&amp;DC$1&amp;""'!$C$4:$C$66""),INDIRECT(""'""&amp;DC$1&amp;""'!$D$4:$D$66"")=DC$2),$G$4:$BQ$4,$G67:$BQ67)))"),-0.027714030000000018)</f>
        <v>-0.02771403</v>
      </c>
      <c r="DD67" s="207" t="str">
        <f>IFERROR(__xludf.DUMMYFUNCTION("IF(OR(DC67&gt;$BS67+$BT67*$BT$2,DC67&lt;$BS67-$BT67*$BT$2),AVEDEV(ARRAYFORMULA(XLOOKUP(FILTER(INDIRECT(""'""&amp;DC$1&amp;""'!$C$4:$C$66""),INDIRECT(""'""&amp;DC$1&amp;""'!$D$4:$D$66"")=DC$2),$G$4:$BQ$4,$G67:$BQ67))),"""")"),"")</f>
        <v/>
      </c>
      <c r="DE67" s="208" t="str">
        <f t="shared" si="18"/>
        <v/>
      </c>
      <c r="DF67" s="210">
        <f>IFERROR(__xludf.DUMMYFUNCTION("AVERAGE(ARRAYFORMULA(XLOOKUP(FILTER(INDIRECT(""'""&amp;DF$1&amp;""'!$C$4:$C$66""),INDIRECT(""'""&amp;DF$1&amp;""'!$D$4:$D$66"")=DF$2),$G$4:$BQ$4,$G67:$BQ67)))"),0.06593865636363637)</f>
        <v>0.06593865636</v>
      </c>
      <c r="DG67" s="207" t="str">
        <f>IFERROR(__xludf.DUMMYFUNCTION("IF(OR(DF67&gt;$BS67+$BT67*$BT$2,DF67&lt;$BS67-$BT67*$BT$2),AVEDEV(ARRAYFORMULA(XLOOKUP(FILTER(INDIRECT(""'""&amp;DF$1&amp;""'!$C$4:$C$66""),INDIRECT(""'""&amp;DF$1&amp;""'!$D$4:$D$66"")=DF$2),$G$4:$BQ$4,$G67:$BQ67))),"""")"),"")</f>
        <v/>
      </c>
      <c r="DH67" s="208" t="str">
        <f t="shared" si="19"/>
        <v/>
      </c>
      <c r="DI67" s="210">
        <f>IFERROR(__xludf.DUMMYFUNCTION("AVERAGE(ARRAYFORMULA(XLOOKUP(FILTER(INDIRECT(""'""&amp;DI$1&amp;""'!$C$4:$C$66""),INDIRECT(""'""&amp;DI$1&amp;""'!$D$4:$D$66"")=DI$2),$G$4:$BQ$4,$G67:$BQ67)))"),0.5952563150000001)</f>
        <v>0.595256315</v>
      </c>
      <c r="DJ67" s="207">
        <f>IFERROR(__xludf.DUMMYFUNCTION("IF(OR(DI67&gt;$BS67+$BT67*$BT$2,DI67&lt;$BS67-$BT67*$BT$2),AVEDEV(ARRAYFORMULA(XLOOKUP(FILTER(INDIRECT(""'""&amp;DI$1&amp;""'!$C$4:$C$66""),INDIRECT(""'""&amp;DI$1&amp;""'!$D$4:$D$66"")=DI$2),$G$4:$BQ$4,$G67:$BQ67))),"""")"),0.038255545)</f>
        <v>0.038255545</v>
      </c>
      <c r="DK67" s="208">
        <f t="shared" si="20"/>
        <v>0.0713320873</v>
      </c>
      <c r="DL67" s="210">
        <f>IFERROR(__xludf.DUMMYFUNCTION("AVERAGE(ARRAYFORMULA(XLOOKUP(FILTER(INDIRECT(""'""&amp;DL$1&amp;""'!$C$4:$C$66""),INDIRECT(""'""&amp;DL$1&amp;""'!$D$4:$D$66"")=DL$2),$G$4:$BQ$4,$G67:$BQ67)))"),0.4332713978571428)</f>
        <v>0.4332713979</v>
      </c>
      <c r="DM67" s="207" t="str">
        <f>IFERROR(__xludf.DUMMYFUNCTION("IF(OR(DL67&gt;$BS67+$BT67*$BT$2,DL67&lt;$BS67-$BT67*$BT$2),AVEDEV(ARRAYFORMULA(XLOOKUP(FILTER(INDIRECT(""'""&amp;DL$1&amp;""'!$C$4:$C$66""),INDIRECT(""'""&amp;DL$1&amp;""'!$D$4:$D$66"")=DL$2),$G$4:$BQ$4,$G67:$BQ67))),"""")"),"")</f>
        <v/>
      </c>
      <c r="DN67" s="208" t="str">
        <f t="shared" si="21"/>
        <v/>
      </c>
      <c r="DO67" s="209" t="s">
        <v>444</v>
      </c>
      <c r="DP67" s="210">
        <f>IFERROR(__xludf.DUMMYFUNCTION("AVERAGE(ARRAYFORMULA(XLOOKUP(FILTER(INDIRECT(""'""&amp;DP$1&amp;""'!$C$4:$C$66""),INDIRECT(""'""&amp;DP$1&amp;""'!$D$4:$D$66"")=DP$2),$G$4:$BQ$4,$G67:$BQ67)))"),-0.04815097833333333)</f>
        <v>-0.04815097833</v>
      </c>
      <c r="DQ67" s="207" t="str">
        <f>IFERROR(__xludf.DUMMYFUNCTION("IF(OR(DP67&gt;$BS67+$BT67*$BT$2,DP67&lt;$BS67-$BT67*$BT$2),AVEDEV(ARRAYFORMULA(XLOOKUP(FILTER(INDIRECT(""'""&amp;DP$1&amp;""'!$C$4:$C$66""),INDIRECT(""'""&amp;DP$1&amp;""'!$D$4:$D$66"")=DP$2),$G$4:$BQ$4,$G67:$BQ67))),"""")"),"")</f>
        <v/>
      </c>
      <c r="DR67" s="208" t="str">
        <f t="shared" si="22"/>
        <v/>
      </c>
      <c r="DS67" s="210">
        <f>IFERROR(__xludf.DUMMYFUNCTION("AVERAGE(ARRAYFORMULA(XLOOKUP(FILTER(INDIRECT(""'""&amp;DS$1&amp;""'!$C$4:$C$66""),INDIRECT(""'""&amp;DS$1&amp;""'!$D$4:$D$66"")=DS$2),$G$4:$BQ$4,$G67:$BQ67)))"),-0.2130409077777778)</f>
        <v>-0.2130409078</v>
      </c>
      <c r="DT67" s="207" t="str">
        <f>IFERROR(__xludf.DUMMYFUNCTION("IF(OR(DS67&gt;$BS67+$BT67*$BT$2,DS67&lt;$BS67-$BT67*$BT$2),AVEDEV(ARRAYFORMULA(XLOOKUP(FILTER(INDIRECT(""'""&amp;DS$1&amp;""'!$C$4:$C$66""),INDIRECT(""'""&amp;DS$1&amp;""'!$D$4:$D$66"")=DS$2),$G$4:$BQ$4,$G67:$BQ67))),"""")"),"")</f>
        <v/>
      </c>
      <c r="DU67" s="208" t="str">
        <f t="shared" si="23"/>
        <v/>
      </c>
      <c r="DV67" s="210">
        <f>IFERROR(__xludf.DUMMYFUNCTION("AVERAGE(ARRAYFORMULA(XLOOKUP(FILTER(INDIRECT(""'""&amp;DV$1&amp;""'!$C$4:$C$66""),INDIRECT(""'""&amp;DV$1&amp;""'!$D$4:$D$66"")=DV$2),$G$4:$BQ$4,$G67:$BQ67)))"),-0.23852334374999992)</f>
        <v>-0.2385233438</v>
      </c>
      <c r="DW67" s="207" t="str">
        <f>IFERROR(__xludf.DUMMYFUNCTION("IF(OR(DV67&gt;$BS67+$BT67*$BT$2,DV67&lt;$BS67-$BT67*$BT$2),AVEDEV(ARRAYFORMULA(XLOOKUP(FILTER(INDIRECT(""'""&amp;DV$1&amp;""'!$C$4:$C$66""),INDIRECT(""'""&amp;DV$1&amp;""'!$D$4:$D$66"")=DV$2),$G$4:$BQ$4,$G67:$BQ67))),"""")"),"")</f>
        <v/>
      </c>
      <c r="DX67" s="208" t="str">
        <f t="shared" si="24"/>
        <v/>
      </c>
      <c r="DY67" s="210">
        <f>IFERROR(__xludf.DUMMYFUNCTION("AVERAGE(ARRAYFORMULA(XLOOKUP(FILTER(INDIRECT(""'""&amp;DY$1&amp;""'!$C$4:$C$66""),INDIRECT(""'""&amp;DY$1&amp;""'!$D$4:$D$66"")=DY$2),$G$4:$BQ$4,$G67:$BQ67)))"),0.5114341544444445)</f>
        <v>0.5114341544</v>
      </c>
      <c r="DZ67" s="207" t="str">
        <f>IFERROR(__xludf.DUMMYFUNCTION("IF(OR(DY67&gt;$BS67+$BT67*$BT$2,DY67&lt;$BS67-$BT67*$BT$2),AVEDEV(ARRAYFORMULA(XLOOKUP(FILTER(INDIRECT(""'""&amp;DY$1&amp;""'!$C$4:$C$66""),INDIRECT(""'""&amp;DY$1&amp;""'!$D$4:$D$66"")=DY$2),$G$4:$BQ$4,$G67:$BQ67))),"""")"),"")</f>
        <v/>
      </c>
      <c r="EA67" s="208" t="str">
        <f t="shared" si="25"/>
        <v/>
      </c>
      <c r="EB67" s="191"/>
    </row>
    <row r="68" outlineLevel="1">
      <c r="A68" s="2"/>
      <c r="B68" s="204">
        <v>64.0</v>
      </c>
      <c r="C68" s="204" t="s">
        <v>507</v>
      </c>
      <c r="D68" s="204" t="s">
        <v>509</v>
      </c>
      <c r="E68" s="205" t="b">
        <f>VLOOKUP(D68,'Feature Set List'!A64:C246,2,0)</f>
        <v>1</v>
      </c>
      <c r="F68" s="205" t="b">
        <f>VLOOKUP(D68,'Feature Set List'!A64:C246,3,0)</f>
        <v>1</v>
      </c>
      <c r="G68" s="205">
        <v>0.47234416</v>
      </c>
      <c r="H68" s="205">
        <v>0.71817384</v>
      </c>
      <c r="I68" s="205">
        <v>7.06877378</v>
      </c>
      <c r="J68" s="205">
        <v>2.06438396</v>
      </c>
      <c r="K68" s="205">
        <v>-0.3769388</v>
      </c>
      <c r="L68" s="205">
        <v>-0.2124671</v>
      </c>
      <c r="M68" s="205">
        <v>0.01112087</v>
      </c>
      <c r="N68" s="205">
        <v>0.48405034</v>
      </c>
      <c r="O68" s="205">
        <v>1.30933567</v>
      </c>
      <c r="P68" s="205">
        <v>1.52004682</v>
      </c>
      <c r="Q68" s="205">
        <v>-0.8124085</v>
      </c>
      <c r="R68" s="205">
        <v>-0.3623061</v>
      </c>
      <c r="S68" s="205">
        <v>0.40210711</v>
      </c>
      <c r="T68" s="205">
        <v>0.07023705</v>
      </c>
      <c r="U68" s="205">
        <v>-1.36494</v>
      </c>
      <c r="V68" s="205">
        <v>0.30845771</v>
      </c>
      <c r="W68" s="205">
        <v>0.46649107</v>
      </c>
      <c r="X68" s="205">
        <v>-1.253146</v>
      </c>
      <c r="Y68" s="205">
        <v>-0.2183202</v>
      </c>
      <c r="Z68" s="205">
        <v>-1.0061457</v>
      </c>
      <c r="AA68" s="205">
        <v>-1.0927714</v>
      </c>
      <c r="AB68" s="205">
        <v>-0.2879719</v>
      </c>
      <c r="AC68" s="205">
        <v>0.24407375</v>
      </c>
      <c r="AD68" s="205">
        <v>-1.9268364</v>
      </c>
      <c r="AE68" s="205">
        <v>0.34942932</v>
      </c>
      <c r="AF68" s="205">
        <v>0.27333919</v>
      </c>
      <c r="AG68" s="205">
        <v>1.84196664</v>
      </c>
      <c r="AH68" s="205">
        <v>0.3143108</v>
      </c>
      <c r="AI68" s="205">
        <v>1.99414691</v>
      </c>
      <c r="AJ68" s="205">
        <v>-2.6707638</v>
      </c>
      <c r="AK68" s="205">
        <v>-0.191396</v>
      </c>
      <c r="AL68" s="205">
        <v>-0.0456541</v>
      </c>
      <c r="AM68" s="205">
        <v>0.4547849</v>
      </c>
      <c r="AN68" s="205">
        <v>-1.3110916</v>
      </c>
      <c r="AO68" s="205">
        <v>-0.3763535</v>
      </c>
      <c r="AP68" s="205">
        <v>-0.2089552</v>
      </c>
      <c r="AQ68" s="205">
        <v>1.52589991</v>
      </c>
      <c r="AR68" s="205">
        <v>-2.1369622</v>
      </c>
      <c r="AS68" s="205">
        <v>1.78343576</v>
      </c>
      <c r="AT68" s="205">
        <v>2.13462101</v>
      </c>
      <c r="AU68" s="205">
        <v>-1.5557507</v>
      </c>
      <c r="AV68" s="205">
        <v>0.11823237</v>
      </c>
      <c r="AW68" s="205">
        <v>-0.0813579</v>
      </c>
      <c r="AX68" s="205">
        <v>-1.975417</v>
      </c>
      <c r="AY68" s="205">
        <v>-1.1460345</v>
      </c>
      <c r="AZ68" s="205">
        <v>0.0</v>
      </c>
      <c r="BA68" s="205">
        <v>2.83699151</v>
      </c>
      <c r="BB68" s="205">
        <v>-0.6532046</v>
      </c>
      <c r="BC68" s="205">
        <v>-0.3172373</v>
      </c>
      <c r="BD68" s="205">
        <v>-0.3646474</v>
      </c>
      <c r="BE68" s="205">
        <v>0.10242903</v>
      </c>
      <c r="BF68" s="205">
        <v>1.80684811</v>
      </c>
      <c r="BG68" s="205">
        <v>2.59701493</v>
      </c>
      <c r="BH68" s="205">
        <v>-1.4328358</v>
      </c>
      <c r="BI68" s="205">
        <v>-0.4395669</v>
      </c>
      <c r="BJ68" s="205">
        <v>1.11618379</v>
      </c>
      <c r="BK68" s="205">
        <v>1.50834065</v>
      </c>
      <c r="BL68" s="205">
        <v>-0.5923325</v>
      </c>
      <c r="BM68" s="205">
        <v>-1.2958736</v>
      </c>
      <c r="BN68" s="205">
        <v>-0.0269242</v>
      </c>
      <c r="BO68" s="205">
        <v>0.26163301</v>
      </c>
      <c r="BP68" s="205">
        <v>0.48405034</v>
      </c>
      <c r="BQ68" s="205">
        <v>-0.3822066</v>
      </c>
      <c r="BR68" s="206"/>
      <c r="BS68" s="207">
        <f t="shared" si="6"/>
        <v>0.1670545525</v>
      </c>
      <c r="BT68" s="207">
        <f t="shared" si="7"/>
        <v>1.010500383</v>
      </c>
      <c r="BU68" s="206"/>
      <c r="BV68" s="207">
        <f>IFERROR(__xludf.DUMMYFUNCTION("AVERAGE(ARRAYFORMULA(XLOOKUP(FILTER(INDIRECT(""'""&amp;BV$1&amp;""'!$C$4:$C$66""),INDIRECT(""'""&amp;BV$1&amp;""'!$D$4:$D$66"")=BV$2),$G$4:$BQ$4,$G68:$BQ68)))"),-0.7547974385714287)</f>
        <v>-0.7547974386</v>
      </c>
      <c r="BW68" s="207" t="str">
        <f>IFERROR(__xludf.DUMMYFUNCTION("IF(OR(BV68&gt;$BS68+$BT68*$BT$2,BV68&lt;$BS68-$BT68*$BT$2),AVEDEV(ARRAYFORMULA(XLOOKUP(FILTER(INDIRECT(""'""&amp;BV$1&amp;""'!$C$4:$C$66""),INDIRECT(""'""&amp;BV$1&amp;""'!$D$4:$D$66"")=BV$2),$G$4:$BQ$4,$G68:$BQ68))),"""")"),"")</f>
        <v/>
      </c>
      <c r="BX68" s="208" t="str">
        <f t="shared" si="8"/>
        <v/>
      </c>
      <c r="BY68" s="207">
        <f>IFERROR(__xludf.DUMMYFUNCTION("AVERAGE(ARRAYFORMULA(XLOOKUP(FILTER(INDIRECT(""'""&amp;BY$1&amp;""'!$C$4:$C$66""),INDIRECT(""'""&amp;BY$1&amp;""'!$D$4:$D$66"")=BY$2),$G$4:$BQ$4,$G68:$BQ68)))"),0.16037460547619056)</f>
        <v>0.1603746055</v>
      </c>
      <c r="BZ68" s="207" t="str">
        <f>IFERROR(__xludf.DUMMYFUNCTION("IF(OR(BY68&gt;$BS68+$BT68*$BT$2,BY68&lt;$BS68-$BT68*$BT$2),AVEDEV(ARRAYFORMULA(XLOOKUP(FILTER(INDIRECT(""'""&amp;BY$1&amp;""'!$C$4:$C$66""),INDIRECT(""'""&amp;BY$1&amp;""'!$D$4:$D$66"")=BY$2),$G$4:$BQ$4,$G68:$BQ68))),"""")"),"")</f>
        <v/>
      </c>
      <c r="CA68" s="208" t="str">
        <f t="shared" si="9"/>
        <v/>
      </c>
      <c r="CB68" s="207">
        <f>IFERROR(__xludf.DUMMYFUNCTION("AVERAGE(ARRAYFORMULA(XLOOKUP(FILTER(INDIRECT(""'""&amp;CB$1&amp;""'!$C$4:$C$66""),INDIRECT(""'""&amp;CB$1&amp;""'!$D$4:$D$66"")=CB$2),$G$4:$BQ$4,$G68:$BQ68)))"),0.35671906999999997)</f>
        <v>0.35671907</v>
      </c>
      <c r="CC68" s="207" t="str">
        <f>IFERROR(__xludf.DUMMYFUNCTION("IF(OR(CB68&gt;$BS68+$BT68*$BT$2,CB68&lt;$BS68-$BT68*$BT$2),AVEDEV(ARRAYFORMULA(XLOOKUP(FILTER(INDIRECT(""'""&amp;CB$1&amp;""'!$C$4:$C$66""),INDIRECT(""'""&amp;CB$1&amp;""'!$D$4:$D$66"")=CB$2),$G$4:$BQ$4,$G68:$BQ68))),"""")"),"")</f>
        <v/>
      </c>
      <c r="CD68" s="208" t="str">
        <f t="shared" si="10"/>
        <v/>
      </c>
      <c r="CE68" s="209" t="s">
        <v>444</v>
      </c>
      <c r="CF68" s="207">
        <f>IFERROR(__xludf.DUMMYFUNCTION("AVERAGE(ARRAYFORMULA(XLOOKUP(FILTER(INDIRECT(""'""&amp;CF$1&amp;""'!$C$4:$C$66""),INDIRECT(""'""&amp;CF$1&amp;""'!$D$4:$D$66"")=CF$2),$G$4:$BQ$4,$G68:$BQ68)))"),0.646949078125)</f>
        <v>0.6469490781</v>
      </c>
      <c r="CG68" s="207" t="str">
        <f>IFERROR(__xludf.DUMMYFUNCTION("IF(OR(CF68&gt;$BS68+$BT68*$BT$2,CF68&lt;$BS68-$BT68*$BT$2),AVEDEV(ARRAYFORMULA(XLOOKUP(FILTER(INDIRECT(""'""&amp;CF$1&amp;""'!$C$4:$C$66""),INDIRECT(""'""&amp;CF$1&amp;""'!$D$4:$D$66"")=CF$2),$G$4:$BQ$4,$G68:$BQ68))),"""")"),"")</f>
        <v/>
      </c>
      <c r="CH68" s="208" t="str">
        <f t="shared" si="11"/>
        <v/>
      </c>
      <c r="CI68" s="207">
        <f>IFERROR(__xludf.DUMMYFUNCTION("AVERAGE(ARRAYFORMULA(XLOOKUP(FILTER(INDIRECT(""'""&amp;CI$1&amp;""'!$C$4:$C$66""),INDIRECT(""'""&amp;CI$1&amp;""'!$D$4:$D$66"")=CI$2),$G$4:$BQ$4,$G68:$BQ68)))"),-0.22215298580645162)</f>
        <v>-0.2221529858</v>
      </c>
      <c r="CJ68" s="207" t="str">
        <f>IFERROR(__xludf.DUMMYFUNCTION("IF(OR(CI68&gt;$BS68+$BT68*$BT$2,CI68&lt;$BS68-$BT68*$BT$2),AVEDEV(ARRAYFORMULA(XLOOKUP(FILTER(INDIRECT(""'""&amp;CI$1&amp;""'!$C$4:$C$66""),INDIRECT(""'""&amp;CI$1&amp;""'!$D$4:$D$66"")=CI$2),$G$4:$BQ$4,$G68:$BQ68))),"""")"),"")</f>
        <v/>
      </c>
      <c r="CK68" s="208" t="str">
        <f t="shared" si="12"/>
        <v/>
      </c>
      <c r="CL68" s="207">
        <f>IFERROR(__xludf.DUMMYFUNCTION("AVERAGE(ARRAYFORMULA(XLOOKUP(FILTER(INDIRECT(""'""&amp;CL$1&amp;""'!$C$4:$C$66""),INDIRECT(""'""&amp;CL$1&amp;""'!$D$4:$D$66"")=CL$2),$G$4:$BQ$4,$G68:$BQ68)))"),1.7615452139999999)</f>
        <v>1.761545214</v>
      </c>
      <c r="CM68" s="207">
        <f>IFERROR(__xludf.DUMMYFUNCTION("IF(OR(CL68&gt;$BS68+$BT68*$BT$2,CL68&lt;$BS68-$BT68*$BT$2),AVEDEV(ARRAYFORMULA(XLOOKUP(FILTER(INDIRECT(""'""&amp;CL$1&amp;""'!$C$4:$C$66""),INDIRECT(""'""&amp;CL$1&amp;""'!$D$4:$D$66"")=CL$2),$G$4:$BQ$4,$G68:$BQ68))),"""")"),0.7731226232)</f>
        <v>0.7731226232</v>
      </c>
      <c r="CN68" s="208">
        <f t="shared" si="13"/>
        <v>0.5839902782</v>
      </c>
      <c r="CO68" s="209" t="s">
        <v>444</v>
      </c>
      <c r="CP68" s="210">
        <f>IFERROR(__xludf.DUMMYFUNCTION("AVERAGE(ARRAYFORMULA(XLOOKUP(FILTER(INDIRECT(""'""&amp;CP$1&amp;""'!$C$4:$C$66""),INDIRECT(""'""&amp;CP$1&amp;""'!$D$4:$D$66"")=CP$2),$G$4:$BQ$4,$G68:$BQ68)))"),-0.12022241866666665)</f>
        <v>-0.1202224187</v>
      </c>
      <c r="CQ68" s="207" t="str">
        <f>IFERROR(__xludf.DUMMYFUNCTION("IF(OR(CP68&gt;$BS68+$BT68*$BT$2,CP68&lt;$BS68-$BT68*$BT$2),AVEDEV(ARRAYFORMULA(XLOOKUP(FILTER(INDIRECT(""'""&amp;CP$1&amp;""'!$C$4:$C$66""),INDIRECT(""'""&amp;CP$1&amp;""'!$D$4:$D$66"")=CP$2),$G$4:$BQ$4,$G68:$BQ68))),"""")"),"")</f>
        <v/>
      </c>
      <c r="CR68" s="208" t="str">
        <f t="shared" si="14"/>
        <v/>
      </c>
      <c r="CS68" s="210">
        <f>IFERROR(__xludf.DUMMYFUNCTION("AVERAGE(ARRAYFORMULA(XLOOKUP(FILTER(INDIRECT(""'""&amp;CS$1&amp;""'!$C$4:$C$66""),INDIRECT(""'""&amp;CS$1&amp;""'!$D$4:$D$66"")=CS$2),$G$4:$BQ$4,$G68:$BQ68)))"),-0.026564004102564133)</f>
        <v>-0.0265640041</v>
      </c>
      <c r="CT68" s="207" t="str">
        <f>IFERROR(__xludf.DUMMYFUNCTION("IF(OR(CS68&gt;$BS68+$BT68*$BT$2,CS68&lt;$BS68-$BT68*$BT$2),AVEDEV(ARRAYFORMULA(XLOOKUP(FILTER(INDIRECT(""'""&amp;CS$1&amp;""'!$C$4:$C$66""),INDIRECT(""'""&amp;CS$1&amp;""'!$D$4:$D$66"")=CS$2),$G$4:$BQ$4,$G68:$BQ68))),"""")"),"")</f>
        <v/>
      </c>
      <c r="CU68" s="208" t="str">
        <f t="shared" si="15"/>
        <v/>
      </c>
      <c r="CV68" s="210">
        <f>IFERROR(__xludf.DUMMYFUNCTION("AVERAGE(ARRAYFORMULA(XLOOKUP(FILTER(INDIRECT(""'""&amp;CV$1&amp;""'!$C$4:$C$66""),INDIRECT(""'""&amp;CV$1&amp;""'!$D$4:$D$66"")=CV$2),$G$4:$BQ$4,$G68:$BQ68)))"),1.7615452139999999)</f>
        <v>1.761545214</v>
      </c>
      <c r="CW68" s="207">
        <f>IFERROR(__xludf.DUMMYFUNCTION("IF(OR(CV68&gt;$BS68+$BT68*$BT$2,CV68&lt;$BS68-$BT68*$BT$2),AVEDEV(ARRAYFORMULA(XLOOKUP(FILTER(INDIRECT(""'""&amp;CV$1&amp;""'!$C$4:$C$66""),INDIRECT(""'""&amp;CV$1&amp;""'!$D$4:$D$66"")=CV$2),$G$4:$BQ$4,$G68:$BQ68))),"""")"),0.7731226232)</f>
        <v>0.7731226232</v>
      </c>
      <c r="CX68" s="208">
        <f t="shared" si="16"/>
        <v>0.5839902782</v>
      </c>
      <c r="CY68" s="209" t="s">
        <v>444</v>
      </c>
      <c r="CZ68" s="210">
        <f>IFERROR(__xludf.DUMMYFUNCTION("AVERAGE(ARRAYFORMULA(XLOOKUP(FILTER(INDIRECT(""'""&amp;CZ$1&amp;""'!$C$4:$C$66""),INDIRECT(""'""&amp;CZ$1&amp;""'!$D$4:$D$66"")=CZ$2),$G$4:$BQ$4,$G68:$BQ68)))"),0.8624524421428571)</f>
        <v>0.8624524421</v>
      </c>
      <c r="DA68" s="207" t="str">
        <f>IFERROR(__xludf.DUMMYFUNCTION("IF(OR(CZ68&gt;$BS68+$BT68*$BT$2,CZ68&lt;$BS68-$BT68*$BT$2),AVEDEV(ARRAYFORMULA(XLOOKUP(FILTER(INDIRECT(""'""&amp;CZ$1&amp;""'!$C$4:$C$66""),INDIRECT(""'""&amp;CZ$1&amp;""'!$D$4:$D$66"")=CZ$2),$G$4:$BQ$4,$G68:$BQ68))),"""")"),"")</f>
        <v/>
      </c>
      <c r="DB68" s="208" t="str">
        <f t="shared" si="17"/>
        <v/>
      </c>
      <c r="DC68" s="210">
        <f>IFERROR(__xludf.DUMMYFUNCTION("AVERAGE(ARRAYFORMULA(XLOOKUP(FILTER(INDIRECT(""'""&amp;DC$1&amp;""'!$C$4:$C$66""),INDIRECT(""'""&amp;DC$1&amp;""'!$D$4:$D$66"")=DC$2),$G$4:$BQ$4,$G68:$BQ68)))"),0.57997593)</f>
        <v>0.57997593</v>
      </c>
      <c r="DD68" s="207" t="str">
        <f>IFERROR(__xludf.DUMMYFUNCTION("IF(OR(DC68&gt;$BS68+$BT68*$BT$2,DC68&lt;$BS68-$BT68*$BT$2),AVEDEV(ARRAYFORMULA(XLOOKUP(FILTER(INDIRECT(""'""&amp;DC$1&amp;""'!$C$4:$C$66""),INDIRECT(""'""&amp;DC$1&amp;""'!$D$4:$D$66"")=DC$2),$G$4:$BQ$4,$G68:$BQ68))),"""")"),"")</f>
        <v/>
      </c>
      <c r="DE68" s="208" t="str">
        <f t="shared" si="18"/>
        <v/>
      </c>
      <c r="DF68" s="210">
        <f>IFERROR(__xludf.DUMMYFUNCTION("AVERAGE(ARRAYFORMULA(XLOOKUP(FILTER(INDIRECT(""'""&amp;DF$1&amp;""'!$C$4:$C$66""),INDIRECT(""'""&amp;DF$1&amp;""'!$D$4:$D$66"")=DF$2),$G$4:$BQ$4,$G68:$BQ68)))"),0.4678213254545454)</f>
        <v>0.4678213255</v>
      </c>
      <c r="DG68" s="207" t="str">
        <f>IFERROR(__xludf.DUMMYFUNCTION("IF(OR(DF68&gt;$BS68+$BT68*$BT$2,DF68&lt;$BS68-$BT68*$BT$2),AVEDEV(ARRAYFORMULA(XLOOKUP(FILTER(INDIRECT(""'""&amp;DF$1&amp;""'!$C$4:$C$66""),INDIRECT(""'""&amp;DF$1&amp;""'!$D$4:$D$66"")=DF$2),$G$4:$BQ$4,$G68:$BQ68))),"""")"),"")</f>
        <v/>
      </c>
      <c r="DH68" s="208" t="str">
        <f t="shared" si="19"/>
        <v/>
      </c>
      <c r="DI68" s="210">
        <f>IFERROR(__xludf.DUMMYFUNCTION("AVERAGE(ARRAYFORMULA(XLOOKUP(FILTER(INDIRECT(""'""&amp;DI$1&amp;""'!$C$4:$C$66""),INDIRECT(""'""&amp;DI$1&amp;""'!$D$4:$D$66"")=DI$2),$G$4:$BQ$4,$G68:$BQ68)))"),-1.6798361000000002)</f>
        <v>-1.6798361</v>
      </c>
      <c r="DJ68" s="207">
        <f>IFERROR(__xludf.DUMMYFUNCTION("IF(OR(DI68&gt;$BS68+$BT68*$BT$2,DI68&lt;$BS68-$BT68*$BT$2),AVEDEV(ARRAYFORMULA(XLOOKUP(FILTER(INDIRECT(""'""&amp;DI$1&amp;""'!$C$4:$C$66""),INDIRECT(""'""&amp;DI$1&amp;""'!$D$4:$D$66"")=DI$2),$G$4:$BQ$4,$G68:$BQ68))),"""")"),0.24700029999999995)</f>
        <v>0.2470003</v>
      </c>
      <c r="DK68" s="208">
        <f t="shared" si="20"/>
        <v>-0.8363902693</v>
      </c>
      <c r="DL68" s="210">
        <f>IFERROR(__xludf.DUMMYFUNCTION("AVERAGE(ARRAYFORMULA(XLOOKUP(FILTER(INDIRECT(""'""&amp;DL$1&amp;""'!$C$4:$C$66""),INDIRECT(""'""&amp;DL$1&amp;""'!$D$4:$D$66"")=DL$2),$G$4:$BQ$4,$G68:$BQ68)))"),-0.6093900071428572)</f>
        <v>-0.6093900071</v>
      </c>
      <c r="DM68" s="207" t="str">
        <f>IFERROR(__xludf.DUMMYFUNCTION("IF(OR(DL68&gt;$BS68+$BT68*$BT$2,DL68&lt;$BS68-$BT68*$BT$2),AVEDEV(ARRAYFORMULA(XLOOKUP(FILTER(INDIRECT(""'""&amp;DL$1&amp;""'!$C$4:$C$66""),INDIRECT(""'""&amp;DL$1&amp;""'!$D$4:$D$66"")=DL$2),$G$4:$BQ$4,$G68:$BQ68))),"""")"),"")</f>
        <v/>
      </c>
      <c r="DN68" s="208" t="str">
        <f t="shared" si="21"/>
        <v/>
      </c>
      <c r="DO68" s="209" t="s">
        <v>444</v>
      </c>
      <c r="DP68" s="210">
        <f>IFERROR(__xludf.DUMMYFUNCTION("AVERAGE(ARRAYFORMULA(XLOOKUP(FILTER(INDIRECT(""'""&amp;DP$1&amp;""'!$C$4:$C$66""),INDIRECT(""'""&amp;DP$1&amp;""'!$D$4:$D$66"")=DP$2),$G$4:$BQ$4,$G68:$BQ68)))"),0.3862062280000001)</f>
        <v>0.386206228</v>
      </c>
      <c r="DQ68" s="207" t="str">
        <f>IFERROR(__xludf.DUMMYFUNCTION("IF(OR(DP68&gt;$BS68+$BT68*$BT$2,DP68&lt;$BS68-$BT68*$BT$2),AVEDEV(ARRAYFORMULA(XLOOKUP(FILTER(INDIRECT(""'""&amp;DP$1&amp;""'!$C$4:$C$66""),INDIRECT(""'""&amp;DP$1&amp;""'!$D$4:$D$66"")=DP$2),$G$4:$BQ$4,$G68:$BQ68))),"""")"),"")</f>
        <v/>
      </c>
      <c r="DR68" s="208" t="str">
        <f t="shared" si="22"/>
        <v/>
      </c>
      <c r="DS68" s="210">
        <f>IFERROR(__xludf.DUMMYFUNCTION("AVERAGE(ARRAYFORMULA(XLOOKUP(FILTER(INDIRECT(""'""&amp;DS$1&amp;""'!$C$4:$C$66""),INDIRECT(""'""&amp;DS$1&amp;""'!$D$4:$D$66"")=DS$2),$G$4:$BQ$4,$G68:$BQ68)))"),0.4430136833333333)</f>
        <v>0.4430136833</v>
      </c>
      <c r="DT68" s="207" t="str">
        <f>IFERROR(__xludf.DUMMYFUNCTION("IF(OR(DS68&gt;$BS68+$BT68*$BT$2,DS68&lt;$BS68-$BT68*$BT$2),AVEDEV(ARRAYFORMULA(XLOOKUP(FILTER(INDIRECT(""'""&amp;DS$1&amp;""'!$C$4:$C$66""),INDIRECT(""'""&amp;DS$1&amp;""'!$D$4:$D$66"")=DS$2),$G$4:$BQ$4,$G68:$BQ68))),"""")"),"")</f>
        <v/>
      </c>
      <c r="DU68" s="208" t="str">
        <f t="shared" si="23"/>
        <v/>
      </c>
      <c r="DV68" s="210">
        <f>IFERROR(__xludf.DUMMYFUNCTION("AVERAGE(ARRAYFORMULA(XLOOKUP(FILTER(INDIRECT(""'""&amp;DV$1&amp;""'!$C$4:$C$66""),INDIRECT(""'""&amp;DV$1&amp;""'!$D$4:$D$66"")=DV$2),$G$4:$BQ$4,$G68:$BQ68)))"),-0.6156716275)</f>
        <v>-0.6156716275</v>
      </c>
      <c r="DW68" s="207" t="str">
        <f>IFERROR(__xludf.DUMMYFUNCTION("IF(OR(DV68&gt;$BS68+$BT68*$BT$2,DV68&lt;$BS68-$BT68*$BT$2),AVEDEV(ARRAYFORMULA(XLOOKUP(FILTER(INDIRECT(""'""&amp;DV$1&amp;""'!$C$4:$C$66""),INDIRECT(""'""&amp;DV$1&amp;""'!$D$4:$D$66"")=DV$2),$G$4:$BQ$4,$G68:$BQ68))),"""")"),"")</f>
        <v/>
      </c>
      <c r="DX68" s="208" t="str">
        <f t="shared" si="24"/>
        <v/>
      </c>
      <c r="DY68" s="210">
        <f>IFERROR(__xludf.DUMMYFUNCTION("AVERAGE(ARRAYFORMULA(XLOOKUP(FILTER(INDIRECT(""'""&amp;DY$1&amp;""'!$C$4:$C$66""),INDIRECT(""'""&amp;DY$1&amp;""'!$D$4:$D$66"")=DY$2),$G$4:$BQ$4,$G68:$BQ68)))"),-0.1014535155555556)</f>
        <v>-0.1014535156</v>
      </c>
      <c r="DZ68" s="207" t="str">
        <f>IFERROR(__xludf.DUMMYFUNCTION("IF(OR(DY68&gt;$BS68+$BT68*$BT$2,DY68&lt;$BS68-$BT68*$BT$2),AVEDEV(ARRAYFORMULA(XLOOKUP(FILTER(INDIRECT(""'""&amp;DY$1&amp;""'!$C$4:$C$66""),INDIRECT(""'""&amp;DY$1&amp;""'!$D$4:$D$66"")=DY$2),$G$4:$BQ$4,$G68:$BQ68))),"""")"),"")</f>
        <v/>
      </c>
      <c r="EA68" s="208" t="str">
        <f t="shared" si="25"/>
        <v/>
      </c>
      <c r="EB68" s="191"/>
    </row>
    <row r="69" outlineLevel="1">
      <c r="A69" s="2"/>
      <c r="B69" s="204">
        <v>65.0</v>
      </c>
      <c r="C69" s="204" t="s">
        <v>507</v>
      </c>
      <c r="D69" s="204" t="s">
        <v>510</v>
      </c>
      <c r="E69" s="205" t="b">
        <f>VLOOKUP(D69,'Feature Set List'!A65:C246,2,0)</f>
        <v>1</v>
      </c>
      <c r="F69" s="205" t="b">
        <f>VLOOKUP(D69,'Feature Set List'!A65:C246,3,0)</f>
        <v>1</v>
      </c>
      <c r="G69" s="205">
        <v>0.57940992</v>
      </c>
      <c r="H69" s="205">
        <v>0.52291274</v>
      </c>
      <c r="I69" s="205">
        <v>-0.9127433</v>
      </c>
      <c r="J69" s="205">
        <v>-0.2868801</v>
      </c>
      <c r="K69" s="205">
        <v>0.85185185</v>
      </c>
      <c r="L69" s="205">
        <v>0.01192718</v>
      </c>
      <c r="M69" s="205">
        <v>-0.386064</v>
      </c>
      <c r="N69" s="205">
        <v>-0.393597</v>
      </c>
      <c r="O69" s="205">
        <v>0.46704331</v>
      </c>
      <c r="P69" s="205">
        <v>-1.0721908</v>
      </c>
      <c r="Q69" s="205">
        <v>0.22912743</v>
      </c>
      <c r="R69" s="205">
        <v>-0.0213434</v>
      </c>
      <c r="S69" s="205">
        <v>0.84243566</v>
      </c>
      <c r="T69" s="205">
        <v>-0.2780917</v>
      </c>
      <c r="U69" s="205">
        <v>-1.4883867</v>
      </c>
      <c r="V69" s="205">
        <v>-0.13371</v>
      </c>
      <c r="W69" s="205">
        <v>-0.2040176</v>
      </c>
      <c r="X69" s="205">
        <v>-0.6603892</v>
      </c>
      <c r="Y69" s="205">
        <v>1.10483365</v>
      </c>
      <c r="Z69" s="205">
        <v>-0.002511</v>
      </c>
      <c r="AA69" s="205">
        <v>-0.180791</v>
      </c>
      <c r="AB69" s="205">
        <v>-0.7457627</v>
      </c>
      <c r="AC69" s="205">
        <v>0.24482109</v>
      </c>
      <c r="AD69" s="205">
        <v>-0.1111111</v>
      </c>
      <c r="AE69" s="205">
        <v>0.24293785</v>
      </c>
      <c r="AF69" s="205">
        <v>0.43565599</v>
      </c>
      <c r="AG69" s="205">
        <v>-0.8311362</v>
      </c>
      <c r="AH69" s="205">
        <v>-0.2881356</v>
      </c>
      <c r="AI69" s="205">
        <v>0.0</v>
      </c>
      <c r="AJ69" s="205">
        <v>-0.826742</v>
      </c>
      <c r="AK69" s="205">
        <v>-0.5605775</v>
      </c>
      <c r="AL69" s="205">
        <v>0.22912743</v>
      </c>
      <c r="AM69" s="205">
        <v>0.36032643</v>
      </c>
      <c r="AN69" s="205">
        <v>0.61770245</v>
      </c>
      <c r="AO69" s="205">
        <v>-1.6371626</v>
      </c>
      <c r="AP69" s="205">
        <v>-0.7809165</v>
      </c>
      <c r="AQ69" s="205">
        <v>0.2529818</v>
      </c>
      <c r="AR69" s="205">
        <v>1.71563089</v>
      </c>
      <c r="AS69" s="205">
        <v>0.13182674</v>
      </c>
      <c r="AT69" s="205">
        <v>0.38669178</v>
      </c>
      <c r="AU69" s="205">
        <v>-1.0558694</v>
      </c>
      <c r="AV69" s="205">
        <v>1.30131827</v>
      </c>
      <c r="AW69" s="205">
        <v>0.01506591</v>
      </c>
      <c r="AX69" s="205">
        <v>0.38794727</v>
      </c>
      <c r="AY69" s="205">
        <v>-0.4921532</v>
      </c>
      <c r="AZ69" s="205">
        <v>0.48022599</v>
      </c>
      <c r="BA69" s="205">
        <v>-0.6377903</v>
      </c>
      <c r="BB69" s="205">
        <v>-1.2109228</v>
      </c>
      <c r="BC69" s="205">
        <v>0.96170747</v>
      </c>
      <c r="BD69" s="205">
        <v>-0.0062775</v>
      </c>
      <c r="BE69" s="205">
        <v>-1.3176397</v>
      </c>
      <c r="BF69" s="205">
        <v>0.25800377</v>
      </c>
      <c r="BG69" s="205">
        <v>-0.4664156</v>
      </c>
      <c r="BH69" s="205">
        <v>-0.0847458</v>
      </c>
      <c r="BI69" s="205">
        <v>0.82360326</v>
      </c>
      <c r="BJ69" s="205">
        <v>0.96233522</v>
      </c>
      <c r="BK69" s="205">
        <v>0.54613936</v>
      </c>
      <c r="BL69" s="205">
        <v>-1.6007533</v>
      </c>
      <c r="BM69" s="205">
        <v>-1.1217828</v>
      </c>
      <c r="BN69" s="205">
        <v>1.89014438</v>
      </c>
      <c r="BO69" s="205">
        <v>0.98807282</v>
      </c>
      <c r="BP69" s="205">
        <v>0.35655995</v>
      </c>
      <c r="BQ69" s="205">
        <v>1.30257376</v>
      </c>
      <c r="BR69" s="206"/>
      <c r="BS69" s="207">
        <f t="shared" si="6"/>
        <v>-0.004693155238</v>
      </c>
      <c r="BT69" s="207">
        <f t="shared" si="7"/>
        <v>0.6239144363</v>
      </c>
      <c r="BU69" s="206"/>
      <c r="BV69" s="207">
        <f>IFERROR(__xludf.DUMMYFUNCTION("AVERAGE(ARRAYFORMULA(XLOOKUP(FILTER(INDIRECT(""'""&amp;BV$1&amp;""'!$C$4:$C$66""),INDIRECT(""'""&amp;BV$1&amp;""'!$D$4:$D$66"")=BV$2),$G$4:$BQ$4,$G69:$BQ69)))"),-1.201058214285714)</f>
        <v>-1.201058214</v>
      </c>
      <c r="BW69" s="207">
        <f>IFERROR(__xludf.DUMMYFUNCTION("IF(OR(BV69&gt;$BS69+$BT69*$BT$2,BV69&lt;$BS69-$BT69*$BT$2),AVEDEV(ARRAYFORMULA(XLOOKUP(FILTER(INDIRECT(""'""&amp;BV$1&amp;""'!$C$4:$C$66""),INDIRECT(""'""&amp;BV$1&amp;""'!$D$4:$D$66"")=BV$2),$G$4:$BQ$4,$G69:$BQ69))),"""")"),0.35702115102040827)</f>
        <v>0.357021151</v>
      </c>
      <c r="BX69" s="208">
        <f t="shared" si="8"/>
        <v>-0.5724506228</v>
      </c>
      <c r="BY69" s="207">
        <f>IFERROR(__xludf.DUMMYFUNCTION("AVERAGE(ARRAYFORMULA(XLOOKUP(FILTER(INDIRECT(""'""&amp;BY$1&amp;""'!$C$4:$C$66""),INDIRECT(""'""&amp;BY$1&amp;""'!$D$4:$D$66"")=BY$2),$G$4:$BQ$4,$G69:$BQ69)))"),0.26605984261904775)</f>
        <v>0.2660598426</v>
      </c>
      <c r="BZ69" s="207" t="str">
        <f>IFERROR(__xludf.DUMMYFUNCTION("IF(OR(BY69&gt;$BS69+$BT69*$BT$2,BY69&lt;$BS69-$BT69*$BT$2),AVEDEV(ARRAYFORMULA(XLOOKUP(FILTER(INDIRECT(""'""&amp;BY$1&amp;""'!$C$4:$C$66""),INDIRECT(""'""&amp;BY$1&amp;""'!$D$4:$D$66"")=BY$2),$G$4:$BQ$4,$G69:$BQ69))),"""")"),"")</f>
        <v/>
      </c>
      <c r="CA69" s="208" t="str">
        <f t="shared" si="9"/>
        <v/>
      </c>
      <c r="CB69" s="207">
        <f>IFERROR(__xludf.DUMMYFUNCTION("AVERAGE(ARRAYFORMULA(XLOOKUP(FILTER(INDIRECT(""'""&amp;CB$1&amp;""'!$C$4:$C$66""),INDIRECT(""'""&amp;CB$1&amp;""'!$D$4:$D$66"")=CB$2),$G$4:$BQ$4,$G69:$BQ69)))"),-0.09889858818181821)</f>
        <v>-0.09889858818</v>
      </c>
      <c r="CC69" s="207" t="str">
        <f>IFERROR(__xludf.DUMMYFUNCTION("IF(OR(CB69&gt;$BS69+$BT69*$BT$2,CB69&lt;$BS69-$BT69*$BT$2),AVEDEV(ARRAYFORMULA(XLOOKUP(FILTER(INDIRECT(""'""&amp;CB$1&amp;""'!$C$4:$C$66""),INDIRECT(""'""&amp;CB$1&amp;""'!$D$4:$D$66"")=CB$2),$G$4:$BQ$4,$G69:$BQ69))),"""")"),"")</f>
        <v/>
      </c>
      <c r="CD69" s="208" t="str">
        <f t="shared" si="10"/>
        <v/>
      </c>
      <c r="CE69" s="209" t="s">
        <v>444</v>
      </c>
      <c r="CF69" s="207">
        <f>IFERROR(__xludf.DUMMYFUNCTION("AVERAGE(ARRAYFORMULA(XLOOKUP(FILTER(INDIRECT(""'""&amp;CF$1&amp;""'!$C$4:$C$66""),INDIRECT(""'""&amp;CF$1&amp;""'!$D$4:$D$66"")=CF$2),$G$4:$BQ$4,$G69:$BQ69)))"),-0.19723006875000004)</f>
        <v>-0.1972300688</v>
      </c>
      <c r="CG69" s="207" t="str">
        <f>IFERROR(__xludf.DUMMYFUNCTION("IF(OR(CF69&gt;$BS69+$BT69*$BT$2,CF69&lt;$BS69-$BT69*$BT$2),AVEDEV(ARRAYFORMULA(XLOOKUP(FILTER(INDIRECT(""'""&amp;CF$1&amp;""'!$C$4:$C$66""),INDIRECT(""'""&amp;CF$1&amp;""'!$D$4:$D$66"")=CF$2),$G$4:$BQ$4,$G69:$BQ69))),"""")"),"")</f>
        <v/>
      </c>
      <c r="CH69" s="208" t="str">
        <f t="shared" si="11"/>
        <v/>
      </c>
      <c r="CI69" s="207">
        <f>IFERROR(__xludf.DUMMYFUNCTION("AVERAGE(ARRAYFORMULA(XLOOKUP(FILTER(INDIRECT(""'""&amp;CI$1&amp;""'!$C$4:$C$66""),INDIRECT(""'""&amp;CI$1&amp;""'!$D$4:$D$66"")=CI$2),$G$4:$BQ$4,$G69:$BQ69)))"),0.27440616709677423)</f>
        <v>0.2744061671</v>
      </c>
      <c r="CJ69" s="207" t="str">
        <f>IFERROR(__xludf.DUMMYFUNCTION("IF(OR(CI69&gt;$BS69+$BT69*$BT$2,CI69&lt;$BS69-$BT69*$BT$2),AVEDEV(ARRAYFORMULA(XLOOKUP(FILTER(INDIRECT(""'""&amp;CI$1&amp;""'!$C$4:$C$66""),INDIRECT(""'""&amp;CI$1&amp;""'!$D$4:$D$66"")=CI$2),$G$4:$BQ$4,$G69:$BQ69))),"""")"),"")</f>
        <v/>
      </c>
      <c r="CK69" s="208" t="str">
        <f t="shared" si="12"/>
        <v/>
      </c>
      <c r="CL69" s="207">
        <f>IFERROR(__xludf.DUMMYFUNCTION("AVERAGE(ARRAYFORMULA(XLOOKUP(FILTER(INDIRECT(""'""&amp;CL$1&amp;""'!$C$4:$C$66""),INDIRECT(""'""&amp;CL$1&amp;""'!$D$4:$D$66"")=CL$2),$G$4:$BQ$4,$G69:$BQ69)))"),-0.464532332)</f>
        <v>-0.464532332</v>
      </c>
      <c r="CM69" s="207" t="str">
        <f>IFERROR(__xludf.DUMMYFUNCTION("IF(OR(CL69&gt;$BS69+$BT69*$BT$2,CL69&lt;$BS69-$BT69*$BT$2),AVEDEV(ARRAYFORMULA(XLOOKUP(FILTER(INDIRECT(""'""&amp;CL$1&amp;""'!$C$4:$C$66""),INDIRECT(""'""&amp;CL$1&amp;""'!$D$4:$D$66"")=CL$2),$G$4:$BQ$4,$G69:$BQ69))),"""")"),"")</f>
        <v/>
      </c>
      <c r="CN69" s="208" t="str">
        <f t="shared" si="13"/>
        <v/>
      </c>
      <c r="CO69" s="209" t="s">
        <v>444</v>
      </c>
      <c r="CP69" s="210">
        <f>IFERROR(__xludf.DUMMYFUNCTION("AVERAGE(ARRAYFORMULA(XLOOKUP(FILTER(INDIRECT(""'""&amp;CP$1&amp;""'!$C$4:$C$66""),INDIRECT(""'""&amp;CP$1&amp;""'!$D$4:$D$66"")=CP$2),$G$4:$BQ$4,$G69:$BQ69)))"),-0.2573760260000001)</f>
        <v>-0.257376026</v>
      </c>
      <c r="CQ69" s="207" t="str">
        <f>IFERROR(__xludf.DUMMYFUNCTION("IF(OR(CP69&gt;$BS69+$BT69*$BT$2,CP69&lt;$BS69-$BT69*$BT$2),AVEDEV(ARRAYFORMULA(XLOOKUP(FILTER(INDIRECT(""'""&amp;CP$1&amp;""'!$C$4:$C$66""),INDIRECT(""'""&amp;CP$1&amp;""'!$D$4:$D$66"")=CP$2),$G$4:$BQ$4,$G69:$BQ69))),"""")"),"")</f>
        <v/>
      </c>
      <c r="CR69" s="208" t="str">
        <f t="shared" si="14"/>
        <v/>
      </c>
      <c r="CS69" s="210">
        <f>IFERROR(__xludf.DUMMYFUNCTION("AVERAGE(ARRAYFORMULA(XLOOKUP(FILTER(INDIRECT(""'""&amp;CS$1&amp;""'!$C$4:$C$66""),INDIRECT(""'""&amp;CS$1&amp;""'!$D$4:$D$66"")=CS$2),$G$4:$BQ$4,$G69:$BQ69)))"),0.24264812230769237)</f>
        <v>0.2426481223</v>
      </c>
      <c r="CT69" s="207" t="str">
        <f>IFERROR(__xludf.DUMMYFUNCTION("IF(OR(CS69&gt;$BS69+$BT69*$BT$2,CS69&lt;$BS69-$BT69*$BT$2),AVEDEV(ARRAYFORMULA(XLOOKUP(FILTER(INDIRECT(""'""&amp;CS$1&amp;""'!$C$4:$C$66""),INDIRECT(""'""&amp;CS$1&amp;""'!$D$4:$D$66"")=CS$2),$G$4:$BQ$4,$G69:$BQ69))),"""")"),"")</f>
        <v/>
      </c>
      <c r="CU69" s="208" t="str">
        <f t="shared" si="15"/>
        <v/>
      </c>
      <c r="CV69" s="211">
        <f>IFERROR(__xludf.DUMMYFUNCTION("AVERAGE(ARRAYFORMULA(XLOOKUP(FILTER(INDIRECT(""'""&amp;CV$1&amp;""'!$C$4:$C$66""),INDIRECT(""'""&amp;CV$1&amp;""'!$D$4:$D$66"")=CV$2),$G$4:$BQ$4,$G69:$BQ69)))"),-0.464532332)</f>
        <v>-0.464532332</v>
      </c>
      <c r="CW69" s="207" t="str">
        <f>IFERROR(__xludf.DUMMYFUNCTION("IF(OR(CV69&gt;$BS69+$BT69*$BT$2,CV69&lt;$BS69-$BT69*$BT$2),AVEDEV(ARRAYFORMULA(XLOOKUP(FILTER(INDIRECT(""'""&amp;CV$1&amp;""'!$C$4:$C$66""),INDIRECT(""'""&amp;CV$1&amp;""'!$D$4:$D$66"")=CV$2),$G$4:$BQ$4,$G69:$BQ69))),"""")"),"")</f>
        <v/>
      </c>
      <c r="CX69" s="208" t="str">
        <f t="shared" si="16"/>
        <v/>
      </c>
      <c r="CY69" s="209" t="s">
        <v>444</v>
      </c>
      <c r="CZ69" s="210">
        <f>IFERROR(__xludf.DUMMYFUNCTION("AVERAGE(ARRAYFORMULA(XLOOKUP(FILTER(INDIRECT(""'""&amp;CZ$1&amp;""'!$C$4:$C$66""),INDIRECT(""'""&amp;CZ$1&amp;""'!$D$4:$D$66"")=CZ$2),$G$4:$BQ$4,$G69:$BQ69)))"),-0.06568917428571429)</f>
        <v>-0.06568917429</v>
      </c>
      <c r="DA69" s="207" t="str">
        <f>IFERROR(__xludf.DUMMYFUNCTION("IF(OR(CZ69&gt;$BS69+$BT69*$BT$2,CZ69&lt;$BS69-$BT69*$BT$2),AVEDEV(ARRAYFORMULA(XLOOKUP(FILTER(INDIRECT(""'""&amp;CZ$1&amp;""'!$C$4:$C$66""),INDIRECT(""'""&amp;CZ$1&amp;""'!$D$4:$D$66"")=CZ$2),$G$4:$BQ$4,$G69:$BQ69))),"""")"),"")</f>
        <v/>
      </c>
      <c r="DB69" s="208" t="str">
        <f t="shared" si="17"/>
        <v/>
      </c>
      <c r="DC69" s="210">
        <f>IFERROR(__xludf.DUMMYFUNCTION("AVERAGE(ARRAYFORMULA(XLOOKUP(FILTER(INDIRECT(""'""&amp;DC$1&amp;""'!$C$4:$C$66""),INDIRECT(""'""&amp;DC$1&amp;""'!$D$4:$D$66"")=DC$2),$G$4:$BQ$4,$G69:$BQ69)))"),-0.04959196222222224)</f>
        <v>-0.04959196222</v>
      </c>
      <c r="DD69" s="207" t="str">
        <f>IFERROR(__xludf.DUMMYFUNCTION("IF(OR(DC69&gt;$BS69+$BT69*$BT$2,DC69&lt;$BS69-$BT69*$BT$2),AVEDEV(ARRAYFORMULA(XLOOKUP(FILTER(INDIRECT(""'""&amp;DC$1&amp;""'!$C$4:$C$66""),INDIRECT(""'""&amp;DC$1&amp;""'!$D$4:$D$66"")=DC$2),$G$4:$BQ$4,$G69:$BQ69))),"""")"),"")</f>
        <v/>
      </c>
      <c r="DE69" s="208" t="str">
        <f t="shared" si="18"/>
        <v/>
      </c>
      <c r="DF69" s="210">
        <f>IFERROR(__xludf.DUMMYFUNCTION("AVERAGE(ARRAYFORMULA(XLOOKUP(FILTER(INDIRECT(""'""&amp;DF$1&amp;""'!$C$4:$C$66""),INDIRECT(""'""&amp;DF$1&amp;""'!$D$4:$D$66"")=DF$2),$G$4:$BQ$4,$G69:$BQ69)))"),0.26570792181818187)</f>
        <v>0.2657079218</v>
      </c>
      <c r="DG69" s="207" t="str">
        <f>IFERROR(__xludf.DUMMYFUNCTION("IF(OR(DF69&gt;$BS69+$BT69*$BT$2,DF69&lt;$BS69-$BT69*$BT$2),AVEDEV(ARRAYFORMULA(XLOOKUP(FILTER(INDIRECT(""'""&amp;DF$1&amp;""'!$C$4:$C$66""),INDIRECT(""'""&amp;DF$1&amp;""'!$D$4:$D$66"")=DF$2),$G$4:$BQ$4,$G69:$BQ69))),"""")"),"")</f>
        <v/>
      </c>
      <c r="DH69" s="208" t="str">
        <f t="shared" si="19"/>
        <v/>
      </c>
      <c r="DI69" s="210">
        <f>IFERROR(__xludf.DUMMYFUNCTION("AVERAGE(ARRAYFORMULA(XLOOKUP(FILTER(INDIRECT(""'""&amp;DI$1&amp;""'!$C$4:$C$66""),INDIRECT(""'""&amp;DI$1&amp;""'!$D$4:$D$66"")=DI$2),$G$4:$BQ$4,$G69:$BQ69)))"),-0.09792845)</f>
        <v>-0.09792845</v>
      </c>
      <c r="DJ69" s="207" t="str">
        <f>IFERROR(__xludf.DUMMYFUNCTION("IF(OR(DI69&gt;$BS69+$BT69*$BT$2,DI69&lt;$BS69-$BT69*$BT$2),AVEDEV(ARRAYFORMULA(XLOOKUP(FILTER(INDIRECT(""'""&amp;DI$1&amp;""'!$C$4:$C$66""),INDIRECT(""'""&amp;DI$1&amp;""'!$D$4:$D$66"")=DI$2),$G$4:$BQ$4,$G69:$BQ69))),"""")"),"")</f>
        <v/>
      </c>
      <c r="DK69" s="208" t="str">
        <f t="shared" si="20"/>
        <v/>
      </c>
      <c r="DL69" s="211">
        <f>IFERROR(__xludf.DUMMYFUNCTION("AVERAGE(ARRAYFORMULA(XLOOKUP(FILTER(INDIRECT(""'""&amp;DL$1&amp;""'!$C$4:$C$66""),INDIRECT(""'""&amp;DL$1&amp;""'!$D$4:$D$66"")=DL$2),$G$4:$BQ$4,$G69:$BQ69)))"),0.6331270707142858)</f>
        <v>0.6331270707</v>
      </c>
      <c r="DM69" s="207">
        <f>IFERROR(__xludf.DUMMYFUNCTION("IF(OR(DL69&gt;$BS69+$BT69*$BT$2,DL69&lt;$BS69-$BT69*$BT$2),AVEDEV(ARRAYFORMULA(XLOOKUP(FILTER(INDIRECT(""'""&amp;DL$1&amp;""'!$C$4:$C$66""),INDIRECT(""'""&amp;DL$1&amp;""'!$D$4:$D$66"")=DL$2),$G$4:$BQ$4,$G69:$BQ69))),"""")"),0.551033222244898)</f>
        <v>0.5510332222</v>
      </c>
      <c r="DN69" s="208">
        <f t="shared" si="21"/>
        <v>0.01390578967</v>
      </c>
      <c r="DO69" s="209" t="s">
        <v>444</v>
      </c>
      <c r="DP69" s="210">
        <f>IFERROR(__xludf.DUMMYFUNCTION("AVERAGE(ARRAYFORMULA(XLOOKUP(FILTER(INDIRECT(""'""&amp;DP$1&amp;""'!$C$4:$C$66""),INDIRECT(""'""&amp;DP$1&amp;""'!$D$4:$D$66"")=DP$2),$G$4:$BQ$4,$G69:$BQ69)))"),0.07196065933333333)</f>
        <v>0.07196065933</v>
      </c>
      <c r="DQ69" s="207" t="str">
        <f>IFERROR(__xludf.DUMMYFUNCTION("IF(OR(DP69&gt;$BS69+$BT69*$BT$2,DP69&lt;$BS69-$BT69*$BT$2),AVEDEV(ARRAYFORMULA(XLOOKUP(FILTER(INDIRECT(""'""&amp;DP$1&amp;""'!$C$4:$C$66""),INDIRECT(""'""&amp;DP$1&amp;""'!$D$4:$D$66"")=DP$2),$G$4:$BQ$4,$G69:$BQ69))),"""")"),"")</f>
        <v/>
      </c>
      <c r="DR69" s="208" t="str">
        <f t="shared" si="22"/>
        <v/>
      </c>
      <c r="DS69" s="210">
        <f>IFERROR(__xludf.DUMMYFUNCTION("AVERAGE(ARRAYFORMULA(XLOOKUP(FILTER(INDIRECT(""'""&amp;DS$1&amp;""'!$C$4:$C$66""),INDIRECT(""'""&amp;DS$1&amp;""'!$D$4:$D$66"")=DS$2),$G$4:$BQ$4,$G69:$BQ69)))"),-0.2008090922222222)</f>
        <v>-0.2008090922</v>
      </c>
      <c r="DT69" s="207" t="str">
        <f>IFERROR(__xludf.DUMMYFUNCTION("IF(OR(DS69&gt;$BS69+$BT69*$BT$2,DS69&lt;$BS69-$BT69*$BT$2),AVEDEV(ARRAYFORMULA(XLOOKUP(FILTER(INDIRECT(""'""&amp;DS$1&amp;""'!$C$4:$C$66""),INDIRECT(""'""&amp;DS$1&amp;""'!$D$4:$D$66"")=DS$2),$G$4:$BQ$4,$G69:$BQ69))),"""")"),"")</f>
        <v/>
      </c>
      <c r="DU69" s="208" t="str">
        <f t="shared" si="23"/>
        <v/>
      </c>
      <c r="DV69" s="210">
        <f>IFERROR(__xludf.DUMMYFUNCTION("AVERAGE(ARRAYFORMULA(XLOOKUP(FILTER(INDIRECT(""'""&amp;DV$1&amp;""'!$C$4:$C$66""),INDIRECT(""'""&amp;DV$1&amp;""'!$D$4:$D$66"")=DV$2),$G$4:$BQ$4,$G69:$BQ69)))"),-0.1524639175)</f>
        <v>-0.1524639175</v>
      </c>
      <c r="DW69" s="207" t="str">
        <f>IFERROR(__xludf.DUMMYFUNCTION("IF(OR(DV69&gt;$BS69+$BT69*$BT$2,DV69&lt;$BS69-$BT69*$BT$2),AVEDEV(ARRAYFORMULA(XLOOKUP(FILTER(INDIRECT(""'""&amp;DV$1&amp;""'!$C$4:$C$66""),INDIRECT(""'""&amp;DV$1&amp;""'!$D$4:$D$66"")=DV$2),$G$4:$BQ$4,$G69:$BQ69))),"""")"),"")</f>
        <v/>
      </c>
      <c r="DX69" s="208" t="str">
        <f t="shared" si="24"/>
        <v/>
      </c>
      <c r="DY69" s="210">
        <f>IFERROR(__xludf.DUMMYFUNCTION("AVERAGE(ARRAYFORMULA(XLOOKUP(FILTER(INDIRECT(""'""&amp;DY$1&amp;""'!$C$4:$C$66""),INDIRECT(""'""&amp;DY$1&amp;""'!$D$4:$D$66"")=DY$2),$G$4:$BQ$4,$G69:$BQ69)))"),0.5255632244444445)</f>
        <v>0.5255632244</v>
      </c>
      <c r="DZ69" s="207" t="str">
        <f>IFERROR(__xludf.DUMMYFUNCTION("IF(OR(DY69&gt;$BS69+$BT69*$BT$2,DY69&lt;$BS69-$BT69*$BT$2),AVEDEV(ARRAYFORMULA(XLOOKUP(FILTER(INDIRECT(""'""&amp;DY$1&amp;""'!$C$4:$C$66""),INDIRECT(""'""&amp;DY$1&amp;""'!$D$4:$D$66"")=DY$2),$G$4:$BQ$4,$G69:$BQ69))),"""")"),"")</f>
        <v/>
      </c>
      <c r="EA69" s="208" t="str">
        <f t="shared" si="25"/>
        <v/>
      </c>
      <c r="EB69" s="191"/>
    </row>
    <row r="70" outlineLevel="1">
      <c r="A70" s="2"/>
      <c r="B70" s="204">
        <v>66.0</v>
      </c>
      <c r="C70" s="204" t="s">
        <v>507</v>
      </c>
      <c r="D70" s="204" t="s">
        <v>511</v>
      </c>
      <c r="E70" s="205" t="b">
        <f>VLOOKUP(D70,'Feature Set List'!A66:C246,2,0)</f>
        <v>1</v>
      </c>
      <c r="F70" s="205" t="b">
        <f>VLOOKUP(D70,'Feature Set List'!A66:C246,3,0)</f>
        <v>1</v>
      </c>
      <c r="G70" s="205">
        <v>-0.2868069</v>
      </c>
      <c r="H70" s="205">
        <v>0.49075844</v>
      </c>
      <c r="I70" s="205">
        <v>1.9987253</v>
      </c>
      <c r="J70" s="205">
        <v>0.03951562</v>
      </c>
      <c r="K70" s="205">
        <v>0.43339707</v>
      </c>
      <c r="L70" s="205">
        <v>-0.2498407</v>
      </c>
      <c r="M70" s="205">
        <v>-0.4244742</v>
      </c>
      <c r="N70" s="205">
        <v>0.43212237</v>
      </c>
      <c r="O70" s="205">
        <v>0.43849586</v>
      </c>
      <c r="P70" s="205">
        <v>0.22689611</v>
      </c>
      <c r="Q70" s="205">
        <v>-0.5481198</v>
      </c>
      <c r="R70" s="205">
        <v>-0.6156788</v>
      </c>
      <c r="S70" s="205">
        <v>0.65391969</v>
      </c>
      <c r="T70" s="205">
        <v>0.57361377</v>
      </c>
      <c r="U70" s="205">
        <v>-0.8413002</v>
      </c>
      <c r="V70" s="205">
        <v>-0.3556405</v>
      </c>
      <c r="W70" s="205">
        <v>0.25876354</v>
      </c>
      <c r="X70" s="205">
        <v>-0.724028</v>
      </c>
      <c r="Y70" s="205">
        <v>-0.4244742</v>
      </c>
      <c r="Z70" s="205">
        <v>-0.4601657</v>
      </c>
      <c r="AA70" s="205">
        <v>-0.0191205</v>
      </c>
      <c r="AB70" s="205">
        <v>0.0012747</v>
      </c>
      <c r="AC70" s="205">
        <v>-0.0994264</v>
      </c>
      <c r="AD70" s="205">
        <v>-0.8132569</v>
      </c>
      <c r="AE70" s="205">
        <v>0.68578713</v>
      </c>
      <c r="AF70" s="205">
        <v>0.03569152</v>
      </c>
      <c r="AG70" s="205">
        <v>0.0</v>
      </c>
      <c r="AH70" s="205">
        <v>0.22052263</v>
      </c>
      <c r="AI70" s="205">
        <v>0.68833652</v>
      </c>
      <c r="AJ70" s="205">
        <v>-1.098789</v>
      </c>
      <c r="AK70" s="205">
        <v>-0.2128744</v>
      </c>
      <c r="AL70" s="205">
        <v>0.02294455</v>
      </c>
      <c r="AM70" s="205">
        <v>-0.0879541</v>
      </c>
      <c r="AN70" s="205">
        <v>-0.6297004</v>
      </c>
      <c r="AO70" s="205">
        <v>-0.5863607</v>
      </c>
      <c r="AP70" s="205">
        <v>0.08922881</v>
      </c>
      <c r="AQ70" s="205">
        <v>0.27533461</v>
      </c>
      <c r="AR70" s="205">
        <v>-0.846399</v>
      </c>
      <c r="AS70" s="205">
        <v>0.87826641</v>
      </c>
      <c r="AT70" s="205">
        <v>1.27469726</v>
      </c>
      <c r="AU70" s="205">
        <v>-1.2882091</v>
      </c>
      <c r="AV70" s="205">
        <v>0.6054812</v>
      </c>
      <c r="AW70" s="205">
        <v>0.03569152</v>
      </c>
      <c r="AX70" s="205">
        <v>-0.5608668</v>
      </c>
      <c r="AY70" s="205">
        <v>-1.0172084</v>
      </c>
      <c r="AZ70" s="205">
        <v>-0.307202</v>
      </c>
      <c r="BA70" s="205">
        <v>0.96494583</v>
      </c>
      <c r="BB70" s="205">
        <v>-0.5634162</v>
      </c>
      <c r="BC70" s="205">
        <v>-0.3811345</v>
      </c>
      <c r="BD70" s="205">
        <v>-0.345443</v>
      </c>
      <c r="BE70" s="205">
        <v>-0.2676864</v>
      </c>
      <c r="BF70" s="205">
        <v>0.64754621</v>
      </c>
      <c r="BG70" s="205">
        <v>0.44996813</v>
      </c>
      <c r="BH70" s="205">
        <v>-0.7214786</v>
      </c>
      <c r="BI70" s="205">
        <v>0.78648821</v>
      </c>
      <c r="BJ70" s="205">
        <v>0.98789038</v>
      </c>
      <c r="BK70" s="205">
        <v>0.79796048</v>
      </c>
      <c r="BL70" s="205">
        <v>-0.8999363</v>
      </c>
      <c r="BM70" s="205">
        <v>-0.8221797</v>
      </c>
      <c r="BN70" s="205">
        <v>0.81580625</v>
      </c>
      <c r="BO70" s="205">
        <v>-0.5111536</v>
      </c>
      <c r="BP70" s="205">
        <v>0.73295092</v>
      </c>
      <c r="BQ70" s="205">
        <v>0.03314213</v>
      </c>
      <c r="BR70" s="206"/>
      <c r="BS70" s="207">
        <f t="shared" si="6"/>
        <v>-0.006891457619</v>
      </c>
      <c r="BT70" s="207">
        <f t="shared" si="7"/>
        <v>0.5332282481</v>
      </c>
      <c r="BU70" s="206"/>
      <c r="BV70" s="207">
        <f>IFERROR(__xludf.DUMMYFUNCTION("AVERAGE(ARRAYFORMULA(XLOOKUP(FILTER(INDIRECT(""'""&amp;BV$1&amp;""'!$C$4:$C$66""),INDIRECT(""'""&amp;BV$1&amp;""'!$D$4:$D$66"")=BV$2),$G$4:$BQ$4,$G70:$BQ70)))"),-0.6999908857142857)</f>
        <v>-0.6999908857</v>
      </c>
      <c r="BW70" s="207">
        <f>IFERROR(__xludf.DUMMYFUNCTION("IF(OR(BV70&gt;$BS70+$BT70*$BT$2,BV70&lt;$BS70-$BT70*$BT$2),AVEDEV(ARRAYFORMULA(XLOOKUP(FILTER(INDIRECT(""'""&amp;BV$1&amp;""'!$C$4:$C$66""),INDIRECT(""'""&amp;BV$1&amp;""'!$D$4:$D$66"")=BV$2),$G$4:$BQ$4,$G70:$BQ70))),"""")"),0.19500267346938777)</f>
        <v>0.1950026735</v>
      </c>
      <c r="BX70" s="208">
        <f t="shared" si="8"/>
        <v>-0.15987118</v>
      </c>
      <c r="BY70" s="207">
        <f>IFERROR(__xludf.DUMMYFUNCTION("AVERAGE(ARRAYFORMULA(XLOOKUP(FILTER(INDIRECT(""'""&amp;BY$1&amp;""'!$C$4:$C$66""),INDIRECT(""'""&amp;BY$1&amp;""'!$D$4:$D$66"")=BY$2),$G$4:$BQ$4,$G70:$BQ70)))"),0.10847066904761908)</f>
        <v>0.108470669</v>
      </c>
      <c r="BZ70" s="207" t="str">
        <f>IFERROR(__xludf.DUMMYFUNCTION("IF(OR(BY70&gt;$BS70+$BT70*$BT$2,BY70&lt;$BS70-$BT70*$BT$2),AVEDEV(ARRAYFORMULA(XLOOKUP(FILTER(INDIRECT(""'""&amp;BY$1&amp;""'!$C$4:$C$66""),INDIRECT(""'""&amp;BY$1&amp;""'!$D$4:$D$66"")=BY$2),$G$4:$BQ$4,$G70:$BQ70))),"""")"),"")</f>
        <v/>
      </c>
      <c r="CA70" s="208" t="str">
        <f t="shared" si="9"/>
        <v/>
      </c>
      <c r="CB70" s="207">
        <f>IFERROR(__xludf.DUMMYFUNCTION("AVERAGE(ARRAYFORMULA(XLOOKUP(FILTER(INDIRECT(""'""&amp;CB$1&amp;""'!$C$4:$C$66""),INDIRECT(""'""&amp;CB$1&amp;""'!$D$4:$D$66"")=CB$2),$G$4:$BQ$4,$G70:$BQ70)))"),-0.041369720909090905)</f>
        <v>-0.04136972091</v>
      </c>
      <c r="CC70" s="207" t="str">
        <f>IFERROR(__xludf.DUMMYFUNCTION("IF(OR(CB70&gt;$BS70+$BT70*$BT$2,CB70&lt;$BS70-$BT70*$BT$2),AVEDEV(ARRAYFORMULA(XLOOKUP(FILTER(INDIRECT(""'""&amp;CB$1&amp;""'!$C$4:$C$66""),INDIRECT(""'""&amp;CB$1&amp;""'!$D$4:$D$66"")=CB$2),$G$4:$BQ$4,$G70:$BQ70))),"""")"),"")</f>
        <v/>
      </c>
      <c r="CD70" s="208" t="str">
        <f t="shared" si="10"/>
        <v/>
      </c>
      <c r="CE70" s="209" t="s">
        <v>444</v>
      </c>
      <c r="CF70" s="207">
        <f>IFERROR(__xludf.DUMMYFUNCTION("AVERAGE(ARRAYFORMULA(XLOOKUP(FILTER(INDIRECT(""'""&amp;CF$1&amp;""'!$C$4:$C$66""),INDIRECT(""'""&amp;CF$1&amp;""'!$D$4:$D$66"")=CF$2),$G$4:$BQ$4,$G70:$BQ70)))"),0.19494901624999997)</f>
        <v>0.1949490163</v>
      </c>
      <c r="CG70" s="207" t="str">
        <f>IFERROR(__xludf.DUMMYFUNCTION("IF(OR(CF70&gt;$BS70+$BT70*$BT$2,CF70&lt;$BS70-$BT70*$BT$2),AVEDEV(ARRAYFORMULA(XLOOKUP(FILTER(INDIRECT(""'""&amp;CF$1&amp;""'!$C$4:$C$66""),INDIRECT(""'""&amp;CF$1&amp;""'!$D$4:$D$66"")=CF$2),$G$4:$BQ$4,$G70:$BQ70))),"""")"),"")</f>
        <v/>
      </c>
      <c r="CH70" s="208" t="str">
        <f t="shared" si="11"/>
        <v/>
      </c>
      <c r="CI70" s="207">
        <f>IFERROR(__xludf.DUMMYFUNCTION("AVERAGE(ARRAYFORMULA(XLOOKUP(FILTER(INDIRECT(""'""&amp;CI$1&amp;""'!$C$4:$C$66""),INDIRECT(""'""&amp;CI$1&amp;""'!$D$4:$D$66"")=CI$2),$G$4:$BQ$4,$G70:$BQ70)))"),-0.057238017419354865)</f>
        <v>-0.05723801742</v>
      </c>
      <c r="CJ70" s="207" t="str">
        <f>IFERROR(__xludf.DUMMYFUNCTION("IF(OR(CI70&gt;$BS70+$BT70*$BT$2,CI70&lt;$BS70-$BT70*$BT$2),AVEDEV(ARRAYFORMULA(XLOOKUP(FILTER(INDIRECT(""'""&amp;CI$1&amp;""'!$C$4:$C$66""),INDIRECT(""'""&amp;CI$1&amp;""'!$D$4:$D$66"")=CI$2),$G$4:$BQ$4,$G70:$BQ70))),"""")"),"")</f>
        <v/>
      </c>
      <c r="CK70" s="208" t="str">
        <f t="shared" si="12"/>
        <v/>
      </c>
      <c r="CL70" s="207">
        <f>IFERROR(__xludf.DUMMYFUNCTION("AVERAGE(ARRAYFORMULA(XLOOKUP(FILTER(INDIRECT(""'""&amp;CL$1&amp;""'!$C$4:$C$66""),INDIRECT(""'""&amp;CL$1&amp;""'!$D$4:$D$66"")=CL$2),$G$4:$BQ$4,$G70:$BQ70)))"),0.6187380499999999)</f>
        <v>0.61873805</v>
      </c>
      <c r="CM70" s="207">
        <f>IFERROR(__xludf.DUMMYFUNCTION("IF(OR(CL70&gt;$BS70+$BT70*$BT$2,CL70&lt;$BS70-$BT70*$BT$2),AVEDEV(ARRAYFORMULA(XLOOKUP(FILTER(INDIRECT(""'""&amp;CL$1&amp;""'!$C$4:$C$66""),INDIRECT(""'""&amp;CL$1&amp;""'!$D$4:$D$66"")=CL$2),$G$4:$BQ$4,$G70:$BQ70))),"""")"),0.242294456)</f>
        <v>0.242294456</v>
      </c>
      <c r="CN70" s="208">
        <f t="shared" si="13"/>
        <v>0.09240125956</v>
      </c>
      <c r="CO70" s="209" t="s">
        <v>444</v>
      </c>
      <c r="CP70" s="210">
        <f>IFERROR(__xludf.DUMMYFUNCTION("AVERAGE(ARRAYFORMULA(XLOOKUP(FILTER(INDIRECT(""'""&amp;CP$1&amp;""'!$C$4:$C$66""),INDIRECT(""'""&amp;CP$1&amp;""'!$D$4:$D$66"")=CP$2),$G$4:$BQ$4,$G70:$BQ70)))"),-0.1296792006666667)</f>
        <v>-0.1296792007</v>
      </c>
      <c r="CQ70" s="207" t="str">
        <f>IFERROR(__xludf.DUMMYFUNCTION("IF(OR(CP70&gt;$BS70+$BT70*$BT$2,CP70&lt;$BS70-$BT70*$BT$2),AVEDEV(ARRAYFORMULA(XLOOKUP(FILTER(INDIRECT(""'""&amp;CP$1&amp;""'!$C$4:$C$66""),INDIRECT(""'""&amp;CP$1&amp;""'!$D$4:$D$66"")=CP$2),$G$4:$BQ$4,$G70:$BQ70))),"""")"),"")</f>
        <v/>
      </c>
      <c r="CR70" s="208" t="str">
        <f t="shared" si="14"/>
        <v/>
      </c>
      <c r="CS70" s="210">
        <f>IFERROR(__xludf.DUMMYFUNCTION("AVERAGE(ARRAYFORMULA(XLOOKUP(FILTER(INDIRECT(""'""&amp;CS$1&amp;""'!$C$4:$C$66""),INDIRECT(""'""&amp;CS$1&amp;""'!$D$4:$D$66"")=CS$2),$G$4:$BQ$4,$G70:$BQ70)))"),-0.026866691538461527)</f>
        <v>-0.02686669154</v>
      </c>
      <c r="CT70" s="207" t="str">
        <f>IFERROR(__xludf.DUMMYFUNCTION("IF(OR(CS70&gt;$BS70+$BT70*$BT$2,CS70&lt;$BS70-$BT70*$BT$2),AVEDEV(ARRAYFORMULA(XLOOKUP(FILTER(INDIRECT(""'""&amp;CS$1&amp;""'!$C$4:$C$66""),INDIRECT(""'""&amp;CS$1&amp;""'!$D$4:$D$66"")=CS$2),$G$4:$BQ$4,$G70:$BQ70))),"""")"),"")</f>
        <v/>
      </c>
      <c r="CU70" s="208" t="str">
        <f t="shared" si="15"/>
        <v/>
      </c>
      <c r="CV70" s="210">
        <f>IFERROR(__xludf.DUMMYFUNCTION("AVERAGE(ARRAYFORMULA(XLOOKUP(FILTER(INDIRECT(""'""&amp;CV$1&amp;""'!$C$4:$C$66""),INDIRECT(""'""&amp;CV$1&amp;""'!$D$4:$D$66"")=CV$2),$G$4:$BQ$4,$G70:$BQ70)))"),0.6187380499999999)</f>
        <v>0.61873805</v>
      </c>
      <c r="CW70" s="207">
        <f>IFERROR(__xludf.DUMMYFUNCTION("IF(OR(CV70&gt;$BS70+$BT70*$BT$2,CV70&lt;$BS70-$BT70*$BT$2),AVEDEV(ARRAYFORMULA(XLOOKUP(FILTER(INDIRECT(""'""&amp;CV$1&amp;""'!$C$4:$C$66""),INDIRECT(""'""&amp;CV$1&amp;""'!$D$4:$D$66"")=CV$2),$G$4:$BQ$4,$G70:$BQ70))),"""")"),0.242294456)</f>
        <v>0.242294456</v>
      </c>
      <c r="CX70" s="208">
        <f t="shared" si="16"/>
        <v>0.09240125956</v>
      </c>
      <c r="CY70" s="209" t="s">
        <v>444</v>
      </c>
      <c r="CZ70" s="210">
        <f>IFERROR(__xludf.DUMMYFUNCTION("AVERAGE(ARRAYFORMULA(XLOOKUP(FILTER(INDIRECT(""'""&amp;CZ$1&amp;""'!$C$4:$C$66""),INDIRECT(""'""&amp;CZ$1&amp;""'!$D$4:$D$66"")=CZ$2),$G$4:$BQ$4,$G70:$BQ70)))"),0.25976509714285717)</f>
        <v>0.2597650971</v>
      </c>
      <c r="DA70" s="207" t="str">
        <f>IFERROR(__xludf.DUMMYFUNCTION("IF(OR(CZ70&gt;$BS70+$BT70*$BT$2,CZ70&lt;$BS70-$BT70*$BT$2),AVEDEV(ARRAYFORMULA(XLOOKUP(FILTER(INDIRECT(""'""&amp;CZ$1&amp;""'!$C$4:$C$66""),INDIRECT(""'""&amp;CZ$1&amp;""'!$D$4:$D$66"")=CZ$2),$G$4:$BQ$4,$G70:$BQ70))),"""")"),"")</f>
        <v/>
      </c>
      <c r="DB70" s="208" t="str">
        <f t="shared" si="17"/>
        <v/>
      </c>
      <c r="DC70" s="210">
        <f>IFERROR(__xludf.DUMMYFUNCTION("AVERAGE(ARRAYFORMULA(XLOOKUP(FILTER(INDIRECT(""'""&amp;DC$1&amp;""'!$C$4:$C$66""),INDIRECT(""'""&amp;DC$1&amp;""'!$D$4:$D$66"")=DC$2),$G$4:$BQ$4,$G70:$BQ70)))"),0.07492386333333333)</f>
        <v>0.07492386333</v>
      </c>
      <c r="DD70" s="207" t="str">
        <f>IFERROR(__xludf.DUMMYFUNCTION("IF(OR(DC70&gt;$BS70+$BT70*$BT$2,DC70&lt;$BS70-$BT70*$BT$2),AVEDEV(ARRAYFORMULA(XLOOKUP(FILTER(INDIRECT(""'""&amp;DC$1&amp;""'!$C$4:$C$66""),INDIRECT(""'""&amp;DC$1&amp;""'!$D$4:$D$66"")=DC$2),$G$4:$BQ$4,$G70:$BQ70))),"""")"),"")</f>
        <v/>
      </c>
      <c r="DE70" s="208" t="str">
        <f t="shared" si="18"/>
        <v/>
      </c>
      <c r="DF70" s="210">
        <f>IFERROR(__xludf.DUMMYFUNCTION("AVERAGE(ARRAYFORMULA(XLOOKUP(FILTER(INDIRECT(""'""&amp;DF$1&amp;""'!$C$4:$C$66""),INDIRECT(""'""&amp;DF$1&amp;""'!$D$4:$D$66"")=DF$2),$G$4:$BQ$4,$G70:$BQ70)))"),0.19827336454545452)</f>
        <v>0.1982733645</v>
      </c>
      <c r="DG70" s="207" t="str">
        <f>IFERROR(__xludf.DUMMYFUNCTION("IF(OR(DF70&gt;$BS70+$BT70*$BT$2,DF70&lt;$BS70-$BT70*$BT$2),AVEDEV(ARRAYFORMULA(XLOOKUP(FILTER(INDIRECT(""'""&amp;DF$1&amp;""'!$C$4:$C$66""),INDIRECT(""'""&amp;DF$1&amp;""'!$D$4:$D$66"")=DF$2),$G$4:$BQ$4,$G70:$BQ70))),"""")"),"")</f>
        <v/>
      </c>
      <c r="DH70" s="208" t="str">
        <f t="shared" si="19"/>
        <v/>
      </c>
      <c r="DI70" s="210">
        <f>IFERROR(__xludf.DUMMYFUNCTION("AVERAGE(ARRAYFORMULA(XLOOKUP(FILTER(INDIRECT(""'""&amp;DI$1&amp;""'!$C$4:$C$66""),INDIRECT(""'""&amp;DI$1&amp;""'!$D$4:$D$66"")=DI$2),$G$4:$BQ$4,$G70:$BQ70)))"),-0.76736775)</f>
        <v>-0.76736775</v>
      </c>
      <c r="DJ70" s="207">
        <f>IFERROR(__xludf.DUMMYFUNCTION("IF(OR(DI70&gt;$BS70+$BT70*$BT$2,DI70&lt;$BS70-$BT70*$BT$2),AVEDEV(ARRAYFORMULA(XLOOKUP(FILTER(INDIRECT(""'""&amp;DI$1&amp;""'!$C$4:$C$66""),INDIRECT(""'""&amp;DI$1&amp;""'!$D$4:$D$66"")=DI$2),$G$4:$BQ$4,$G70:$BQ70))),"""")"),0.04588914999999999)</f>
        <v>0.04588915</v>
      </c>
      <c r="DK70" s="208">
        <f t="shared" si="20"/>
        <v>-0.2272480443</v>
      </c>
      <c r="DL70" s="210">
        <f>IFERROR(__xludf.DUMMYFUNCTION("AVERAGE(ARRAYFORMULA(XLOOKUP(FILTER(INDIRECT(""'""&amp;DL$1&amp;""'!$C$4:$C$66""),INDIRECT(""'""&amp;DL$1&amp;""'!$D$4:$D$66"")=DL$2),$G$4:$BQ$4,$G70:$BQ70)))"),-0.09614858928571428)</f>
        <v>-0.09614858929</v>
      </c>
      <c r="DM70" s="207" t="str">
        <f>IFERROR(__xludf.DUMMYFUNCTION("IF(OR(DL70&gt;$BS70+$BT70*$BT$2,DL70&lt;$BS70-$BT70*$BT$2),AVEDEV(ARRAYFORMULA(XLOOKUP(FILTER(INDIRECT(""'""&amp;DL$1&amp;""'!$C$4:$C$66""),INDIRECT(""'""&amp;DL$1&amp;""'!$D$4:$D$66"")=DL$2),$G$4:$BQ$4,$G70:$BQ70))),"""")"),"")</f>
        <v/>
      </c>
      <c r="DN70" s="208" t="str">
        <f t="shared" si="21"/>
        <v/>
      </c>
      <c r="DO70" s="209" t="s">
        <v>444</v>
      </c>
      <c r="DP70" s="210">
        <f>IFERROR(__xludf.DUMMYFUNCTION("AVERAGE(ARRAYFORMULA(XLOOKUP(FILTER(INDIRECT(""'""&amp;DP$1&amp;""'!$C$4:$C$66""),INDIRECT(""'""&amp;DP$1&amp;""'!$D$4:$D$66"")=DP$2),$G$4:$BQ$4,$G70:$BQ70)))"),0.16702783566666668)</f>
        <v>0.1670278357</v>
      </c>
      <c r="DQ70" s="207" t="str">
        <f>IFERROR(__xludf.DUMMYFUNCTION("IF(OR(DP70&gt;$BS70+$BT70*$BT$2,DP70&lt;$BS70-$BT70*$BT$2),AVEDEV(ARRAYFORMULA(XLOOKUP(FILTER(INDIRECT(""'""&amp;DP$1&amp;""'!$C$4:$C$66""),INDIRECT(""'""&amp;DP$1&amp;""'!$D$4:$D$66"")=DP$2),$G$4:$BQ$4,$G70:$BQ70))),"""")"),"")</f>
        <v/>
      </c>
      <c r="DR70" s="208" t="str">
        <f t="shared" si="22"/>
        <v/>
      </c>
      <c r="DS70" s="210">
        <f>IFERROR(__xludf.DUMMYFUNCTION("AVERAGE(ARRAYFORMULA(XLOOKUP(FILTER(INDIRECT(""'""&amp;DS$1&amp;""'!$C$4:$C$66""),INDIRECT(""'""&amp;DS$1&amp;""'!$D$4:$D$66"")=DS$2),$G$4:$BQ$4,$G70:$BQ70)))"),0.09404432777777778)</f>
        <v>0.09404432778</v>
      </c>
      <c r="DT70" s="207" t="str">
        <f>IFERROR(__xludf.DUMMYFUNCTION("IF(OR(DS70&gt;$BS70+$BT70*$BT$2,DS70&lt;$BS70-$BT70*$BT$2),AVEDEV(ARRAYFORMULA(XLOOKUP(FILTER(INDIRECT(""'""&amp;DS$1&amp;""'!$C$4:$C$66""),INDIRECT(""'""&amp;DS$1&amp;""'!$D$4:$D$66"")=DS$2),$G$4:$BQ$4,$G70:$BQ70))),"""")"),"")</f>
        <v/>
      </c>
      <c r="DU70" s="208" t="str">
        <f t="shared" si="23"/>
        <v/>
      </c>
      <c r="DV70" s="210">
        <f>IFERROR(__xludf.DUMMYFUNCTION("AVERAGE(ARRAYFORMULA(XLOOKUP(FILTER(INDIRECT(""'""&amp;DV$1&amp;""'!$C$4:$C$66""),INDIRECT(""'""&amp;DV$1&amp;""'!$D$4:$D$66"")=DV$2),$G$4:$BQ$4,$G70:$BQ70)))"),-0.35086041874999996)</f>
        <v>-0.3508604188</v>
      </c>
      <c r="DW70" s="207" t="str">
        <f>IFERROR(__xludf.DUMMYFUNCTION("IF(OR(DV70&gt;$BS70+$BT70*$BT$2,DV70&lt;$BS70-$BT70*$BT$2),AVEDEV(ARRAYFORMULA(XLOOKUP(FILTER(INDIRECT(""'""&amp;DV$1&amp;""'!$C$4:$C$66""),INDIRECT(""'""&amp;DV$1&amp;""'!$D$4:$D$66"")=DV$2),$G$4:$BQ$4,$G70:$BQ70))),"""")"),"")</f>
        <v/>
      </c>
      <c r="DX70" s="208" t="str">
        <f t="shared" si="24"/>
        <v/>
      </c>
      <c r="DY70" s="210">
        <f>IFERROR(__xludf.DUMMYFUNCTION("AVERAGE(ARRAYFORMULA(XLOOKUP(FILTER(INDIRECT(""'""&amp;DY$1&amp;""'!$C$4:$C$66""),INDIRECT(""'""&amp;DY$1&amp;""'!$D$4:$D$66"")=DY$2),$G$4:$BQ$4,$G70:$BQ70)))"),-0.08809574444444444)</f>
        <v>-0.08809574444</v>
      </c>
      <c r="DZ70" s="207" t="str">
        <f>IFERROR(__xludf.DUMMYFUNCTION("IF(OR(DY70&gt;$BS70+$BT70*$BT$2,DY70&lt;$BS70-$BT70*$BT$2),AVEDEV(ARRAYFORMULA(XLOOKUP(FILTER(INDIRECT(""'""&amp;DY$1&amp;""'!$C$4:$C$66""),INDIRECT(""'""&amp;DY$1&amp;""'!$D$4:$D$66"")=DY$2),$G$4:$BQ$4,$G70:$BQ70))),"""")"),"")</f>
        <v/>
      </c>
      <c r="EA70" s="208" t="str">
        <f t="shared" si="25"/>
        <v/>
      </c>
      <c r="EB70" s="191"/>
    </row>
    <row r="71" outlineLevel="1">
      <c r="A71" s="2"/>
      <c r="B71" s="204">
        <v>67.0</v>
      </c>
      <c r="C71" s="204" t="s">
        <v>507</v>
      </c>
      <c r="D71" s="204" t="s">
        <v>512</v>
      </c>
      <c r="E71" s="205" t="b">
        <f>VLOOKUP(D71,'Feature Set List'!A67:C246,2,0)</f>
        <v>1</v>
      </c>
      <c r="F71" s="205" t="b">
        <f>VLOOKUP(D71,'Feature Set List'!A67:C246,3,0)</f>
        <v>1</v>
      </c>
      <c r="G71" s="205">
        <v>0.0</v>
      </c>
      <c r="H71" s="205">
        <v>0.0</v>
      </c>
      <c r="I71" s="205">
        <v>0.0</v>
      </c>
      <c r="J71" s="205">
        <v>0.0</v>
      </c>
      <c r="K71" s="205">
        <v>0.0</v>
      </c>
      <c r="L71" s="205">
        <v>0.0</v>
      </c>
      <c r="M71" s="205">
        <v>0.0</v>
      </c>
      <c r="N71" s="205">
        <v>0.0</v>
      </c>
      <c r="O71" s="205">
        <v>0.0</v>
      </c>
      <c r="P71" s="205">
        <v>0.0</v>
      </c>
      <c r="Q71" s="205">
        <v>0.0</v>
      </c>
      <c r="R71" s="205">
        <v>0.0</v>
      </c>
      <c r="S71" s="205">
        <v>0.0</v>
      </c>
      <c r="T71" s="205">
        <v>0.0</v>
      </c>
      <c r="U71" s="205">
        <v>0.0</v>
      </c>
      <c r="V71" s="205">
        <v>0.0</v>
      </c>
      <c r="W71" s="205">
        <v>0.0</v>
      </c>
      <c r="X71" s="205">
        <v>0.0</v>
      </c>
      <c r="Y71" s="205">
        <v>0.0</v>
      </c>
      <c r="Z71" s="205">
        <v>0.0</v>
      </c>
      <c r="AA71" s="205">
        <v>0.0</v>
      </c>
      <c r="AB71" s="205">
        <v>0.0</v>
      </c>
      <c r="AC71" s="205">
        <v>0.0</v>
      </c>
      <c r="AD71" s="205">
        <v>0.0</v>
      </c>
      <c r="AE71" s="205">
        <v>0.0</v>
      </c>
      <c r="AF71" s="205">
        <v>0.0</v>
      </c>
      <c r="AG71" s="205">
        <v>0.0</v>
      </c>
      <c r="AH71" s="205">
        <v>0.0</v>
      </c>
      <c r="AI71" s="205">
        <v>0.0</v>
      </c>
      <c r="AJ71" s="205">
        <v>0.0</v>
      </c>
      <c r="AK71" s="205">
        <v>0.0</v>
      </c>
      <c r="AL71" s="205">
        <v>0.0</v>
      </c>
      <c r="AM71" s="205">
        <v>0.0</v>
      </c>
      <c r="AN71" s="205">
        <v>0.0</v>
      </c>
      <c r="AO71" s="205">
        <v>0.0</v>
      </c>
      <c r="AP71" s="205">
        <v>0.0</v>
      </c>
      <c r="AQ71" s="205">
        <v>0.0</v>
      </c>
      <c r="AR71" s="205">
        <v>0.0</v>
      </c>
      <c r="AS71" s="205">
        <v>0.0</v>
      </c>
      <c r="AT71" s="205">
        <v>0.0</v>
      </c>
      <c r="AU71" s="205">
        <v>0.0</v>
      </c>
      <c r="AV71" s="205">
        <v>0.0</v>
      </c>
      <c r="AW71" s="205">
        <v>0.0</v>
      </c>
      <c r="AX71" s="205">
        <v>0.0</v>
      </c>
      <c r="AY71" s="205">
        <v>0.0</v>
      </c>
      <c r="AZ71" s="205">
        <v>0.0</v>
      </c>
      <c r="BA71" s="205">
        <v>0.0</v>
      </c>
      <c r="BB71" s="205">
        <v>0.0</v>
      </c>
      <c r="BC71" s="205">
        <v>0.0</v>
      </c>
      <c r="BD71" s="205">
        <v>0.0</v>
      </c>
      <c r="BE71" s="205">
        <v>0.0</v>
      </c>
      <c r="BF71" s="205">
        <v>0.0</v>
      </c>
      <c r="BG71" s="205">
        <v>0.0</v>
      </c>
      <c r="BH71" s="205">
        <v>0.0</v>
      </c>
      <c r="BI71" s="205">
        <v>0.0</v>
      </c>
      <c r="BJ71" s="205">
        <v>0.0</v>
      </c>
      <c r="BK71" s="205">
        <v>0.0</v>
      </c>
      <c r="BL71" s="205">
        <v>0.0</v>
      </c>
      <c r="BM71" s="205">
        <v>7.0</v>
      </c>
      <c r="BN71" s="205">
        <v>0.0</v>
      </c>
      <c r="BO71" s="205">
        <v>0.0</v>
      </c>
      <c r="BP71" s="205">
        <v>0.0</v>
      </c>
      <c r="BQ71" s="205">
        <v>0.0</v>
      </c>
      <c r="BR71" s="206"/>
      <c r="BS71" s="207">
        <f t="shared" si="6"/>
        <v>0.1111111111</v>
      </c>
      <c r="BT71" s="207">
        <f t="shared" si="7"/>
        <v>0.2186948854</v>
      </c>
      <c r="BU71" s="206"/>
      <c r="BV71" s="207">
        <f>IFERROR(__xludf.DUMMYFUNCTION("AVERAGE(ARRAYFORMULA(XLOOKUP(FILTER(INDIRECT(""'""&amp;BV$1&amp;""'!$C$4:$C$66""),INDIRECT(""'""&amp;BV$1&amp;""'!$D$4:$D$66"")=BV$2),$G$4:$BQ$4,$G71:$BQ71)))"),0.0)</f>
        <v>0</v>
      </c>
      <c r="BW71" s="207" t="str">
        <f>IFERROR(__xludf.DUMMYFUNCTION("IF(OR(BV71&gt;$BS71+$BT71*$BT$2,BV71&lt;$BS71-$BT71*$BT$2),AVEDEV(ARRAYFORMULA(XLOOKUP(FILTER(INDIRECT(""'""&amp;BV$1&amp;""'!$C$4:$C$66""),INDIRECT(""'""&amp;BV$1&amp;""'!$D$4:$D$66"")=BV$2),$G$4:$BQ$4,$G71:$BQ71))),"""")"),"")</f>
        <v/>
      </c>
      <c r="BX71" s="208" t="str">
        <f t="shared" si="8"/>
        <v/>
      </c>
      <c r="BY71" s="207">
        <f>IFERROR(__xludf.DUMMYFUNCTION("AVERAGE(ARRAYFORMULA(XLOOKUP(FILTER(INDIRECT(""'""&amp;BY$1&amp;""'!$C$4:$C$66""),INDIRECT(""'""&amp;BY$1&amp;""'!$D$4:$D$66"")=BY$2),$G$4:$BQ$4,$G71:$BQ71)))"),0.0)</f>
        <v>0</v>
      </c>
      <c r="BZ71" s="207" t="str">
        <f>IFERROR(__xludf.DUMMYFUNCTION("IF(OR(BY71&gt;$BS71+$BT71*$BT$2,BY71&lt;$BS71-$BT71*$BT$2),AVEDEV(ARRAYFORMULA(XLOOKUP(FILTER(INDIRECT(""'""&amp;BY$1&amp;""'!$C$4:$C$66""),INDIRECT(""'""&amp;BY$1&amp;""'!$D$4:$D$66"")=BY$2),$G$4:$BQ$4,$G71:$BQ71))),"""")"),"")</f>
        <v/>
      </c>
      <c r="CA71" s="208" t="str">
        <f t="shared" si="9"/>
        <v/>
      </c>
      <c r="CB71" s="207">
        <f>IFERROR(__xludf.DUMMYFUNCTION("AVERAGE(ARRAYFORMULA(XLOOKUP(FILTER(INDIRECT(""'""&amp;CB$1&amp;""'!$C$4:$C$66""),INDIRECT(""'""&amp;CB$1&amp;""'!$D$4:$D$66"")=CB$2),$G$4:$BQ$4,$G71:$BQ71)))"),0.6363636363636364)</f>
        <v>0.6363636364</v>
      </c>
      <c r="CC71" s="207">
        <f>IFERROR(__xludf.DUMMYFUNCTION("IF(OR(CB71&gt;$BS71+$BT71*$BT$2,CB71&lt;$BS71-$BT71*$BT$2),AVEDEV(ARRAYFORMULA(XLOOKUP(FILTER(INDIRECT(""'""&amp;CB$1&amp;""'!$C$4:$C$66""),INDIRECT(""'""&amp;CB$1&amp;""'!$D$4:$D$66"")=CB$2),$G$4:$BQ$4,$G71:$BQ71))),"""")"),1.1570247933884301)</f>
        <v>1.157024793</v>
      </c>
      <c r="CD71" s="208">
        <f t="shared" si="10"/>
        <v>0.3065576399</v>
      </c>
      <c r="CE71" s="209" t="s">
        <v>444</v>
      </c>
      <c r="CF71" s="207">
        <f>IFERROR(__xludf.DUMMYFUNCTION("AVERAGE(ARRAYFORMULA(XLOOKUP(FILTER(INDIRECT(""'""&amp;CF$1&amp;""'!$C$4:$C$66""),INDIRECT(""'""&amp;CF$1&amp;""'!$D$4:$D$66"")=CF$2),$G$4:$BQ$4,$G71:$BQ71)))"),0.0)</f>
        <v>0</v>
      </c>
      <c r="CG71" s="207" t="str">
        <f>IFERROR(__xludf.DUMMYFUNCTION("IF(OR(CF71&gt;$BS71+$BT71*$BT$2,CF71&lt;$BS71-$BT71*$BT$2),AVEDEV(ARRAYFORMULA(XLOOKUP(FILTER(INDIRECT(""'""&amp;CF$1&amp;""'!$C$4:$C$66""),INDIRECT(""'""&amp;CF$1&amp;""'!$D$4:$D$66"")=CF$2),$G$4:$BQ$4,$G71:$BQ71))),"""")"),"")</f>
        <v/>
      </c>
      <c r="CH71" s="208" t="str">
        <f t="shared" si="11"/>
        <v/>
      </c>
      <c r="CI71" s="207">
        <f>IFERROR(__xludf.DUMMYFUNCTION("AVERAGE(ARRAYFORMULA(XLOOKUP(FILTER(INDIRECT(""'""&amp;CI$1&amp;""'!$C$4:$C$66""),INDIRECT(""'""&amp;CI$1&amp;""'!$D$4:$D$66"")=CI$2),$G$4:$BQ$4,$G71:$BQ71)))"),0.0)</f>
        <v>0</v>
      </c>
      <c r="CJ71" s="207" t="str">
        <f>IFERROR(__xludf.DUMMYFUNCTION("IF(OR(CI71&gt;$BS71+$BT71*$BT$2,CI71&lt;$BS71-$BT71*$BT$2),AVEDEV(ARRAYFORMULA(XLOOKUP(FILTER(INDIRECT(""'""&amp;CI$1&amp;""'!$C$4:$C$66""),INDIRECT(""'""&amp;CI$1&amp;""'!$D$4:$D$66"")=CI$2),$G$4:$BQ$4,$G71:$BQ71))),"""")"),"")</f>
        <v/>
      </c>
      <c r="CK71" s="208" t="str">
        <f t="shared" si="12"/>
        <v/>
      </c>
      <c r="CL71" s="207">
        <f>IFERROR(__xludf.DUMMYFUNCTION("AVERAGE(ARRAYFORMULA(XLOOKUP(FILTER(INDIRECT(""'""&amp;CL$1&amp;""'!$C$4:$C$66""),INDIRECT(""'""&amp;CL$1&amp;""'!$D$4:$D$66"")=CL$2),$G$4:$BQ$4,$G71:$BQ71)))"),0.0)</f>
        <v>0</v>
      </c>
      <c r="CM71" s="207" t="str">
        <f>IFERROR(__xludf.DUMMYFUNCTION("IF(OR(CL71&gt;$BS71+$BT71*$BT$2,CL71&lt;$BS71-$BT71*$BT$2),AVEDEV(ARRAYFORMULA(XLOOKUP(FILTER(INDIRECT(""'""&amp;CL$1&amp;""'!$C$4:$C$66""),INDIRECT(""'""&amp;CL$1&amp;""'!$D$4:$D$66"")=CL$2),$G$4:$BQ$4,$G71:$BQ71))),"""")"),"")</f>
        <v/>
      </c>
      <c r="CN71" s="208" t="str">
        <f t="shared" si="13"/>
        <v/>
      </c>
      <c r="CO71" s="209" t="s">
        <v>444</v>
      </c>
      <c r="CP71" s="210">
        <f>IFERROR(__xludf.DUMMYFUNCTION("AVERAGE(ARRAYFORMULA(XLOOKUP(FILTER(INDIRECT(""'""&amp;CP$1&amp;""'!$C$4:$C$66""),INDIRECT(""'""&amp;CP$1&amp;""'!$D$4:$D$66"")=CP$2),$G$4:$BQ$4,$G71:$BQ71)))"),0.4666666666666667)</f>
        <v>0.4666666667</v>
      </c>
      <c r="CQ71" s="207">
        <f>IFERROR(__xludf.DUMMYFUNCTION("IF(OR(CP71&gt;$BS71+$BT71*$BT$2,CP71&lt;$BS71-$BT71*$BT$2),AVEDEV(ARRAYFORMULA(XLOOKUP(FILTER(INDIRECT(""'""&amp;CP$1&amp;""'!$C$4:$C$66""),INDIRECT(""'""&amp;CP$1&amp;""'!$D$4:$D$66"")=CP$2),$G$4:$BQ$4,$G71:$BQ71))),"""")"),0.8711111111111112)</f>
        <v>0.8711111111</v>
      </c>
      <c r="CR71" s="208">
        <f t="shared" si="14"/>
        <v>0.1368606702</v>
      </c>
      <c r="CS71" s="210">
        <f>IFERROR(__xludf.DUMMYFUNCTION("AVERAGE(ARRAYFORMULA(XLOOKUP(FILTER(INDIRECT(""'""&amp;CS$1&amp;""'!$C$4:$C$66""),INDIRECT(""'""&amp;CS$1&amp;""'!$D$4:$D$66"")=CS$2),$G$4:$BQ$4,$G71:$BQ71)))"),0.0)</f>
        <v>0</v>
      </c>
      <c r="CT71" s="207" t="str">
        <f>IFERROR(__xludf.DUMMYFUNCTION("IF(OR(CS71&gt;$BS71+$BT71*$BT$2,CS71&lt;$BS71-$BT71*$BT$2),AVEDEV(ARRAYFORMULA(XLOOKUP(FILTER(INDIRECT(""'""&amp;CS$1&amp;""'!$C$4:$C$66""),INDIRECT(""'""&amp;CS$1&amp;""'!$D$4:$D$66"")=CS$2),$G$4:$BQ$4,$G71:$BQ71))),"""")"),"")</f>
        <v/>
      </c>
      <c r="CU71" s="208" t="str">
        <f t="shared" si="15"/>
        <v/>
      </c>
      <c r="CV71" s="210">
        <f>IFERROR(__xludf.DUMMYFUNCTION("AVERAGE(ARRAYFORMULA(XLOOKUP(FILTER(INDIRECT(""'""&amp;CV$1&amp;""'!$C$4:$C$66""),INDIRECT(""'""&amp;CV$1&amp;""'!$D$4:$D$66"")=CV$2),$G$4:$BQ$4,$G71:$BQ71)))"),0.0)</f>
        <v>0</v>
      </c>
      <c r="CW71" s="207" t="str">
        <f>IFERROR(__xludf.DUMMYFUNCTION("IF(OR(CV71&gt;$BS71+$BT71*$BT$2,CV71&lt;$BS71-$BT71*$BT$2),AVEDEV(ARRAYFORMULA(XLOOKUP(FILTER(INDIRECT(""'""&amp;CV$1&amp;""'!$C$4:$C$66""),INDIRECT(""'""&amp;CV$1&amp;""'!$D$4:$D$66"")=CV$2),$G$4:$BQ$4,$G71:$BQ71))),"""")"),"")</f>
        <v/>
      </c>
      <c r="CX71" s="208" t="str">
        <f t="shared" si="16"/>
        <v/>
      </c>
      <c r="CY71" s="209" t="s">
        <v>444</v>
      </c>
      <c r="CZ71" s="210">
        <f>IFERROR(__xludf.DUMMYFUNCTION("AVERAGE(ARRAYFORMULA(XLOOKUP(FILTER(INDIRECT(""'""&amp;CZ$1&amp;""'!$C$4:$C$66""),INDIRECT(""'""&amp;CZ$1&amp;""'!$D$4:$D$66"")=CZ$2),$G$4:$BQ$4,$G71:$BQ71)))"),0.0)</f>
        <v>0</v>
      </c>
      <c r="DA71" s="207" t="str">
        <f>IFERROR(__xludf.DUMMYFUNCTION("IF(OR(CZ71&gt;$BS71+$BT71*$BT$2,CZ71&lt;$BS71-$BT71*$BT$2),AVEDEV(ARRAYFORMULA(XLOOKUP(FILTER(INDIRECT(""'""&amp;CZ$1&amp;""'!$C$4:$C$66""),INDIRECT(""'""&amp;CZ$1&amp;""'!$D$4:$D$66"")=CZ$2),$G$4:$BQ$4,$G71:$BQ71))),"""")"),"")</f>
        <v/>
      </c>
      <c r="DB71" s="208" t="str">
        <f t="shared" si="17"/>
        <v/>
      </c>
      <c r="DC71" s="210">
        <f>IFERROR(__xludf.DUMMYFUNCTION("AVERAGE(ARRAYFORMULA(XLOOKUP(FILTER(INDIRECT(""'""&amp;DC$1&amp;""'!$C$4:$C$66""),INDIRECT(""'""&amp;DC$1&amp;""'!$D$4:$D$66"")=DC$2),$G$4:$BQ$4,$G71:$BQ71)))"),0.0)</f>
        <v>0</v>
      </c>
      <c r="DD71" s="207" t="str">
        <f>IFERROR(__xludf.DUMMYFUNCTION("IF(OR(DC71&gt;$BS71+$BT71*$BT$2,DC71&lt;$BS71-$BT71*$BT$2),AVEDEV(ARRAYFORMULA(XLOOKUP(FILTER(INDIRECT(""'""&amp;DC$1&amp;""'!$C$4:$C$66""),INDIRECT(""'""&amp;DC$1&amp;""'!$D$4:$D$66"")=DC$2),$G$4:$BQ$4,$G71:$BQ71))),"""")"),"")</f>
        <v/>
      </c>
      <c r="DE71" s="208" t="str">
        <f t="shared" si="18"/>
        <v/>
      </c>
      <c r="DF71" s="210">
        <f>IFERROR(__xludf.DUMMYFUNCTION("AVERAGE(ARRAYFORMULA(XLOOKUP(FILTER(INDIRECT(""'""&amp;DF$1&amp;""'!$C$4:$C$66""),INDIRECT(""'""&amp;DF$1&amp;""'!$D$4:$D$66"")=DF$2),$G$4:$BQ$4,$G71:$BQ71)))"),0.0)</f>
        <v>0</v>
      </c>
      <c r="DG71" s="207" t="str">
        <f>IFERROR(__xludf.DUMMYFUNCTION("IF(OR(DF71&gt;$BS71+$BT71*$BT$2,DF71&lt;$BS71-$BT71*$BT$2),AVEDEV(ARRAYFORMULA(XLOOKUP(FILTER(INDIRECT(""'""&amp;DF$1&amp;""'!$C$4:$C$66""),INDIRECT(""'""&amp;DF$1&amp;""'!$D$4:$D$66"")=DF$2),$G$4:$BQ$4,$G71:$BQ71))),"""")"),"")</f>
        <v/>
      </c>
      <c r="DH71" s="208" t="str">
        <f t="shared" si="19"/>
        <v/>
      </c>
      <c r="DI71" s="210">
        <f>IFERROR(__xludf.DUMMYFUNCTION("AVERAGE(ARRAYFORMULA(XLOOKUP(FILTER(INDIRECT(""'""&amp;DI$1&amp;""'!$C$4:$C$66""),INDIRECT(""'""&amp;DI$1&amp;""'!$D$4:$D$66"")=DI$2),$G$4:$BQ$4,$G71:$BQ71)))"),0.0)</f>
        <v>0</v>
      </c>
      <c r="DJ71" s="207" t="str">
        <f>IFERROR(__xludf.DUMMYFUNCTION("IF(OR(DI71&gt;$BS71+$BT71*$BT$2,DI71&lt;$BS71-$BT71*$BT$2),AVEDEV(ARRAYFORMULA(XLOOKUP(FILTER(INDIRECT(""'""&amp;DI$1&amp;""'!$C$4:$C$66""),INDIRECT(""'""&amp;DI$1&amp;""'!$D$4:$D$66"")=DI$2),$G$4:$BQ$4,$G71:$BQ71))),"""")"),"")</f>
        <v/>
      </c>
      <c r="DK71" s="208" t="str">
        <f t="shared" si="20"/>
        <v/>
      </c>
      <c r="DL71" s="210">
        <f>IFERROR(__xludf.DUMMYFUNCTION("AVERAGE(ARRAYFORMULA(XLOOKUP(FILTER(INDIRECT(""'""&amp;DL$1&amp;""'!$C$4:$C$66""),INDIRECT(""'""&amp;DL$1&amp;""'!$D$4:$D$66"")=DL$2),$G$4:$BQ$4,$G71:$BQ71)))"),0.0)</f>
        <v>0</v>
      </c>
      <c r="DM71" s="207" t="str">
        <f>IFERROR(__xludf.DUMMYFUNCTION("IF(OR(DL71&gt;$BS71+$BT71*$BT$2,DL71&lt;$BS71-$BT71*$BT$2),AVEDEV(ARRAYFORMULA(XLOOKUP(FILTER(INDIRECT(""'""&amp;DL$1&amp;""'!$C$4:$C$66""),INDIRECT(""'""&amp;DL$1&amp;""'!$D$4:$D$66"")=DL$2),$G$4:$BQ$4,$G71:$BQ71))),"""")"),"")</f>
        <v/>
      </c>
      <c r="DN71" s="208" t="str">
        <f t="shared" si="21"/>
        <v/>
      </c>
      <c r="DO71" s="209" t="s">
        <v>444</v>
      </c>
      <c r="DP71" s="210">
        <f>IFERROR(__xludf.DUMMYFUNCTION("AVERAGE(ARRAYFORMULA(XLOOKUP(FILTER(INDIRECT(""'""&amp;DP$1&amp;""'!$C$4:$C$66""),INDIRECT(""'""&amp;DP$1&amp;""'!$D$4:$D$66"")=DP$2),$G$4:$BQ$4,$G71:$BQ71)))"),0.0)</f>
        <v>0</v>
      </c>
      <c r="DQ71" s="207" t="str">
        <f>IFERROR(__xludf.DUMMYFUNCTION("IF(OR(DP71&gt;$BS71+$BT71*$BT$2,DP71&lt;$BS71-$BT71*$BT$2),AVEDEV(ARRAYFORMULA(XLOOKUP(FILTER(INDIRECT(""'""&amp;DP$1&amp;""'!$C$4:$C$66""),INDIRECT(""'""&amp;DP$1&amp;""'!$D$4:$D$66"")=DP$2),$G$4:$BQ$4,$G71:$BQ71))),"""")"),"")</f>
        <v/>
      </c>
      <c r="DR71" s="208" t="str">
        <f t="shared" si="22"/>
        <v/>
      </c>
      <c r="DS71" s="210">
        <f>IFERROR(__xludf.DUMMYFUNCTION("AVERAGE(ARRAYFORMULA(XLOOKUP(FILTER(INDIRECT(""'""&amp;DS$1&amp;""'!$C$4:$C$66""),INDIRECT(""'""&amp;DS$1&amp;""'!$D$4:$D$66"")=DS$2),$G$4:$BQ$4,$G71:$BQ71)))"),0.7777777777777778)</f>
        <v>0.7777777778</v>
      </c>
      <c r="DT71" s="207">
        <f>IFERROR(__xludf.DUMMYFUNCTION("IF(OR(DS71&gt;$BS71+$BT71*$BT$2,DS71&lt;$BS71-$BT71*$BT$2),AVEDEV(ARRAYFORMULA(XLOOKUP(FILTER(INDIRECT(""'""&amp;DS$1&amp;""'!$C$4:$C$66""),INDIRECT(""'""&amp;DS$1&amp;""'!$D$4:$D$66"")=DS$2),$G$4:$BQ$4,$G71:$BQ71))),"""")"),1.3827160493827164)</f>
        <v>1.382716049</v>
      </c>
      <c r="DU71" s="208">
        <f t="shared" si="23"/>
        <v>0.4479717813</v>
      </c>
      <c r="DV71" s="210">
        <f>IFERROR(__xludf.DUMMYFUNCTION("AVERAGE(ARRAYFORMULA(XLOOKUP(FILTER(INDIRECT(""'""&amp;DV$1&amp;""'!$C$4:$C$66""),INDIRECT(""'""&amp;DV$1&amp;""'!$D$4:$D$66"")=DV$2),$G$4:$BQ$4,$G71:$BQ71)))"),0.0)</f>
        <v>0</v>
      </c>
      <c r="DW71" s="207" t="str">
        <f>IFERROR(__xludf.DUMMYFUNCTION("IF(OR(DV71&gt;$BS71+$BT71*$BT$2,DV71&lt;$BS71-$BT71*$BT$2),AVEDEV(ARRAYFORMULA(XLOOKUP(FILTER(INDIRECT(""'""&amp;DV$1&amp;""'!$C$4:$C$66""),INDIRECT(""'""&amp;DV$1&amp;""'!$D$4:$D$66"")=DV$2),$G$4:$BQ$4,$G71:$BQ71))),"""")"),"")</f>
        <v/>
      </c>
      <c r="DX71" s="208" t="str">
        <f t="shared" si="24"/>
        <v/>
      </c>
      <c r="DY71" s="210">
        <f>IFERROR(__xludf.DUMMYFUNCTION("AVERAGE(ARRAYFORMULA(XLOOKUP(FILTER(INDIRECT(""'""&amp;DY$1&amp;""'!$C$4:$C$66""),INDIRECT(""'""&amp;DY$1&amp;""'!$D$4:$D$66"")=DY$2),$G$4:$BQ$4,$G71:$BQ71)))"),0.0)</f>
        <v>0</v>
      </c>
      <c r="DZ71" s="207" t="str">
        <f>IFERROR(__xludf.DUMMYFUNCTION("IF(OR(DY71&gt;$BS71+$BT71*$BT$2,DY71&lt;$BS71-$BT71*$BT$2),AVEDEV(ARRAYFORMULA(XLOOKUP(FILTER(INDIRECT(""'""&amp;DY$1&amp;""'!$C$4:$C$66""),INDIRECT(""'""&amp;DY$1&amp;""'!$D$4:$D$66"")=DY$2),$G$4:$BQ$4,$G71:$BQ71))),"""")"),"")</f>
        <v/>
      </c>
      <c r="EA71" s="208" t="str">
        <f t="shared" si="25"/>
        <v/>
      </c>
      <c r="EB71" s="191"/>
    </row>
    <row r="72" outlineLevel="1">
      <c r="A72" s="2"/>
      <c r="B72" s="204">
        <v>68.0</v>
      </c>
      <c r="C72" s="204" t="s">
        <v>507</v>
      </c>
      <c r="D72" s="204" t="s">
        <v>513</v>
      </c>
      <c r="E72" s="205" t="b">
        <f>VLOOKUP(D72,'Feature Set List'!A68:C246,2,0)</f>
        <v>1</v>
      </c>
      <c r="F72" s="205" t="b">
        <f>VLOOKUP(D72,'Feature Set List'!A68:C246,3,0)</f>
        <v>1</v>
      </c>
      <c r="G72" s="205">
        <v>0.0</v>
      </c>
      <c r="H72" s="205">
        <v>0.0</v>
      </c>
      <c r="I72" s="205">
        <v>-2.0</v>
      </c>
      <c r="J72" s="205">
        <v>0.0</v>
      </c>
      <c r="K72" s="205">
        <v>0.0</v>
      </c>
      <c r="L72" s="205">
        <v>0.0</v>
      </c>
      <c r="M72" s="205">
        <v>-3.0</v>
      </c>
      <c r="N72" s="205">
        <v>0.0</v>
      </c>
      <c r="O72" s="205">
        <v>0.0</v>
      </c>
      <c r="P72" s="205">
        <v>0.0</v>
      </c>
      <c r="Q72" s="205">
        <v>0.0</v>
      </c>
      <c r="R72" s="205">
        <v>0.0</v>
      </c>
      <c r="S72" s="205">
        <v>0.0</v>
      </c>
      <c r="T72" s="205">
        <v>0.0</v>
      </c>
      <c r="U72" s="205">
        <v>0.0</v>
      </c>
      <c r="V72" s="205">
        <v>0.0</v>
      </c>
      <c r="W72" s="205">
        <v>0.0</v>
      </c>
      <c r="X72" s="205">
        <v>0.0</v>
      </c>
      <c r="Y72" s="205">
        <v>0.0</v>
      </c>
      <c r="Z72" s="205">
        <v>-3.0</v>
      </c>
      <c r="AA72" s="205">
        <v>0.0</v>
      </c>
      <c r="AB72" s="205">
        <v>0.0</v>
      </c>
      <c r="AC72" s="205">
        <v>0.0</v>
      </c>
      <c r="AD72" s="205">
        <v>0.0</v>
      </c>
      <c r="AE72" s="205">
        <v>0.0</v>
      </c>
      <c r="AF72" s="205">
        <v>0.0</v>
      </c>
      <c r="AG72" s="205">
        <v>-4.0</v>
      </c>
      <c r="AH72" s="205">
        <v>0.0</v>
      </c>
      <c r="AI72" s="205">
        <v>0.0</v>
      </c>
      <c r="AJ72" s="205">
        <v>0.0</v>
      </c>
      <c r="AK72" s="205">
        <v>-4.0</v>
      </c>
      <c r="AL72" s="205">
        <v>0.0</v>
      </c>
      <c r="AM72" s="205">
        <v>0.0</v>
      </c>
      <c r="AN72" s="205">
        <v>0.0</v>
      </c>
      <c r="AO72" s="205">
        <v>-4.0</v>
      </c>
      <c r="AP72" s="205">
        <v>0.0</v>
      </c>
      <c r="AQ72" s="205">
        <v>0.0</v>
      </c>
      <c r="AR72" s="205">
        <v>0.0</v>
      </c>
      <c r="AS72" s="205">
        <v>0.0</v>
      </c>
      <c r="AT72" s="205">
        <v>0.0</v>
      </c>
      <c r="AU72" s="205">
        <v>0.0</v>
      </c>
      <c r="AV72" s="205">
        <v>0.0</v>
      </c>
      <c r="AW72" s="205">
        <v>0.0</v>
      </c>
      <c r="AX72" s="205">
        <v>-3.0</v>
      </c>
      <c r="AY72" s="205">
        <v>0.0</v>
      </c>
      <c r="AZ72" s="205">
        <v>0.0</v>
      </c>
      <c r="BA72" s="205">
        <v>0.0</v>
      </c>
      <c r="BB72" s="205">
        <v>0.0</v>
      </c>
      <c r="BC72" s="205">
        <v>0.0</v>
      </c>
      <c r="BD72" s="205">
        <v>-3.0</v>
      </c>
      <c r="BE72" s="205">
        <v>-3.0</v>
      </c>
      <c r="BF72" s="205">
        <v>0.0</v>
      </c>
      <c r="BG72" s="205">
        <v>0.0</v>
      </c>
      <c r="BH72" s="205">
        <v>0.0</v>
      </c>
      <c r="BI72" s="205">
        <v>0.0</v>
      </c>
      <c r="BJ72" s="205">
        <v>0.0</v>
      </c>
      <c r="BK72" s="205">
        <v>0.0</v>
      </c>
      <c r="BL72" s="205">
        <v>2.0</v>
      </c>
      <c r="BM72" s="205">
        <v>-7.0</v>
      </c>
      <c r="BN72" s="205">
        <v>0.0</v>
      </c>
      <c r="BO72" s="205">
        <v>0.0</v>
      </c>
      <c r="BP72" s="205">
        <v>0.0</v>
      </c>
      <c r="BQ72" s="205">
        <v>-2.0</v>
      </c>
      <c r="BR72" s="206"/>
      <c r="BS72" s="207">
        <f t="shared" si="6"/>
        <v>-0.5714285714</v>
      </c>
      <c r="BT72" s="207">
        <f t="shared" si="7"/>
        <v>1.006802721</v>
      </c>
      <c r="BU72" s="206"/>
      <c r="BV72" s="207">
        <f>IFERROR(__xludf.DUMMYFUNCTION("AVERAGE(ARRAYFORMULA(XLOOKUP(FILTER(INDIRECT(""'""&amp;BV$1&amp;""'!$C$4:$C$66""),INDIRECT(""'""&amp;BV$1&amp;""'!$D$4:$D$66"")=BV$2),$G$4:$BQ$4,$G72:$BQ72)))"),-0.7142857142857143)</f>
        <v>-0.7142857143</v>
      </c>
      <c r="BW72" s="207" t="str">
        <f>IFERROR(__xludf.DUMMYFUNCTION("IF(OR(BV72&gt;$BS72+$BT72*$BT$2,BV72&lt;$BS72-$BT72*$BT$2),AVEDEV(ARRAYFORMULA(XLOOKUP(FILTER(INDIRECT(""'""&amp;BV$1&amp;""'!$C$4:$C$66""),INDIRECT(""'""&amp;BV$1&amp;""'!$D$4:$D$66"")=BV$2),$G$4:$BQ$4,$G72:$BQ72))),"""")"),"")</f>
        <v/>
      </c>
      <c r="BX72" s="208" t="str">
        <f t="shared" si="8"/>
        <v/>
      </c>
      <c r="BY72" s="207">
        <f>IFERROR(__xludf.DUMMYFUNCTION("AVERAGE(ARRAYFORMULA(XLOOKUP(FILTER(INDIRECT(""'""&amp;BY$1&amp;""'!$C$4:$C$66""),INDIRECT(""'""&amp;BY$1&amp;""'!$D$4:$D$66"")=BY$2),$G$4:$BQ$4,$G72:$BQ72)))"),-0.38095238095238093)</f>
        <v>-0.380952381</v>
      </c>
      <c r="BZ72" s="207" t="str">
        <f>IFERROR(__xludf.DUMMYFUNCTION("IF(OR(BY72&gt;$BS72+$BT72*$BT$2,BY72&lt;$BS72-$BT72*$BT$2),AVEDEV(ARRAYFORMULA(XLOOKUP(FILTER(INDIRECT(""'""&amp;BY$1&amp;""'!$C$4:$C$66""),INDIRECT(""'""&amp;BY$1&amp;""'!$D$4:$D$66"")=BY$2),$G$4:$BQ$4,$G72:$BQ72))),"""")"),"")</f>
        <v/>
      </c>
      <c r="CA72" s="208" t="str">
        <f t="shared" si="9"/>
        <v/>
      </c>
      <c r="CB72" s="207">
        <f>IFERROR(__xludf.DUMMYFUNCTION("AVERAGE(ARRAYFORMULA(XLOOKUP(FILTER(INDIRECT(""'""&amp;CB$1&amp;""'!$C$4:$C$66""),INDIRECT(""'""&amp;CB$1&amp;""'!$D$4:$D$66"")=CB$2),$G$4:$BQ$4,$G72:$BQ72)))"),-0.9090909090909091)</f>
        <v>-0.9090909091</v>
      </c>
      <c r="CC72" s="207" t="str">
        <f>IFERROR(__xludf.DUMMYFUNCTION("IF(OR(CB72&gt;$BS72+$BT72*$BT$2,CB72&lt;$BS72-$BT72*$BT$2),AVEDEV(ARRAYFORMULA(XLOOKUP(FILTER(INDIRECT(""'""&amp;CB$1&amp;""'!$C$4:$C$66""),INDIRECT(""'""&amp;CB$1&amp;""'!$D$4:$D$66"")=CB$2),$G$4:$BQ$4,$G72:$BQ72))),"""")"),"")</f>
        <v/>
      </c>
      <c r="CD72" s="208" t="str">
        <f t="shared" si="10"/>
        <v/>
      </c>
      <c r="CE72" s="209" t="s">
        <v>444</v>
      </c>
      <c r="CF72" s="207">
        <f>IFERROR(__xludf.DUMMYFUNCTION("AVERAGE(ARRAYFORMULA(XLOOKUP(FILTER(INDIRECT(""'""&amp;CF$1&amp;""'!$C$4:$C$66""),INDIRECT(""'""&amp;CF$1&amp;""'!$D$4:$D$66"")=CF$2),$G$4:$BQ$4,$G72:$BQ72)))"),-0.5)</f>
        <v>-0.5</v>
      </c>
      <c r="CG72" s="207" t="str">
        <f>IFERROR(__xludf.DUMMYFUNCTION("IF(OR(CF72&gt;$BS72+$BT72*$BT$2,CF72&lt;$BS72-$BT72*$BT$2),AVEDEV(ARRAYFORMULA(XLOOKUP(FILTER(INDIRECT(""'""&amp;CF$1&amp;""'!$C$4:$C$66""),INDIRECT(""'""&amp;CF$1&amp;""'!$D$4:$D$66"")=CF$2),$G$4:$BQ$4,$G72:$BQ72))),"""")"),"")</f>
        <v/>
      </c>
      <c r="CH72" s="208" t="str">
        <f t="shared" si="11"/>
        <v/>
      </c>
      <c r="CI72" s="207">
        <f>IFERROR(__xludf.DUMMYFUNCTION("AVERAGE(ARRAYFORMULA(XLOOKUP(FILTER(INDIRECT(""'""&amp;CI$1&amp;""'!$C$4:$C$66""),INDIRECT(""'""&amp;CI$1&amp;""'!$D$4:$D$66"")=CI$2),$G$4:$BQ$4,$G72:$BQ72)))"),-0.3548387096774194)</f>
        <v>-0.3548387097</v>
      </c>
      <c r="CJ72" s="207" t="str">
        <f>IFERROR(__xludf.DUMMYFUNCTION("IF(OR(CI72&gt;$BS72+$BT72*$BT$2,CI72&lt;$BS72-$BT72*$BT$2),AVEDEV(ARRAYFORMULA(XLOOKUP(FILTER(INDIRECT(""'""&amp;CI$1&amp;""'!$C$4:$C$66""),INDIRECT(""'""&amp;CI$1&amp;""'!$D$4:$D$66"")=CI$2),$G$4:$BQ$4,$G72:$BQ72))),"""")"),"")</f>
        <v/>
      </c>
      <c r="CK72" s="208" t="str">
        <f t="shared" si="12"/>
        <v/>
      </c>
      <c r="CL72" s="207">
        <f>IFERROR(__xludf.DUMMYFUNCTION("AVERAGE(ARRAYFORMULA(XLOOKUP(FILTER(INDIRECT(""'""&amp;CL$1&amp;""'!$C$4:$C$66""),INDIRECT(""'""&amp;CL$1&amp;""'!$D$4:$D$66"")=CL$2),$G$4:$BQ$4,$G72:$BQ72)))"),0.0)</f>
        <v>0</v>
      </c>
      <c r="CM72" s="207" t="str">
        <f>IFERROR(__xludf.DUMMYFUNCTION("IF(OR(CL72&gt;$BS72+$BT72*$BT$2,CL72&lt;$BS72-$BT72*$BT$2),AVEDEV(ARRAYFORMULA(XLOOKUP(FILTER(INDIRECT(""'""&amp;CL$1&amp;""'!$C$4:$C$66""),INDIRECT(""'""&amp;CL$1&amp;""'!$D$4:$D$66"")=CL$2),$G$4:$BQ$4,$G72:$BQ72))),"""")"),"")</f>
        <v/>
      </c>
      <c r="CN72" s="208" t="str">
        <f t="shared" si="13"/>
        <v/>
      </c>
      <c r="CO72" s="209" t="s">
        <v>444</v>
      </c>
      <c r="CP72" s="210">
        <f>IFERROR(__xludf.DUMMYFUNCTION("AVERAGE(ARRAYFORMULA(XLOOKUP(FILTER(INDIRECT(""'""&amp;CP$1&amp;""'!$C$4:$C$66""),INDIRECT(""'""&amp;CP$1&amp;""'!$D$4:$D$66"")=CP$2),$G$4:$BQ$4,$G72:$BQ72)))"),-0.6666666666666666)</f>
        <v>-0.6666666667</v>
      </c>
      <c r="CQ72" s="207" t="str">
        <f>IFERROR(__xludf.DUMMYFUNCTION("IF(OR(CP72&gt;$BS72+$BT72*$BT$2,CP72&lt;$BS72-$BT72*$BT$2),AVEDEV(ARRAYFORMULA(XLOOKUP(FILTER(INDIRECT(""'""&amp;CP$1&amp;""'!$C$4:$C$66""),INDIRECT(""'""&amp;CP$1&amp;""'!$D$4:$D$66"")=CP$2),$G$4:$BQ$4,$G72:$BQ72))),"""")"),"")</f>
        <v/>
      </c>
      <c r="CR72" s="208" t="str">
        <f t="shared" si="14"/>
        <v/>
      </c>
      <c r="CS72" s="210">
        <f>IFERROR(__xludf.DUMMYFUNCTION("AVERAGE(ARRAYFORMULA(XLOOKUP(FILTER(INDIRECT(""'""&amp;CS$1&amp;""'!$C$4:$C$66""),INDIRECT(""'""&amp;CS$1&amp;""'!$D$4:$D$66"")=CS$2),$G$4:$BQ$4,$G72:$BQ72)))"),-0.5897435897435898)</f>
        <v>-0.5897435897</v>
      </c>
      <c r="CT72" s="207" t="str">
        <f>IFERROR(__xludf.DUMMYFUNCTION("IF(OR(CS72&gt;$BS72+$BT72*$BT$2,CS72&lt;$BS72-$BT72*$BT$2),AVEDEV(ARRAYFORMULA(XLOOKUP(FILTER(INDIRECT(""'""&amp;CS$1&amp;""'!$C$4:$C$66""),INDIRECT(""'""&amp;CS$1&amp;""'!$D$4:$D$66"")=CS$2),$G$4:$BQ$4,$G72:$BQ72))),"""")"),"")</f>
        <v/>
      </c>
      <c r="CU72" s="208" t="str">
        <f t="shared" si="15"/>
        <v/>
      </c>
      <c r="CV72" s="211">
        <f>IFERROR(__xludf.DUMMYFUNCTION("AVERAGE(ARRAYFORMULA(XLOOKUP(FILTER(INDIRECT(""'""&amp;CV$1&amp;""'!$C$4:$C$66""),INDIRECT(""'""&amp;CV$1&amp;""'!$D$4:$D$66"")=CV$2),$G$4:$BQ$4,$G72:$BQ72)))"),0.0)</f>
        <v>0</v>
      </c>
      <c r="CW72" s="207" t="str">
        <f>IFERROR(__xludf.DUMMYFUNCTION("IF(OR(CV72&gt;$BS72+$BT72*$BT$2,CV72&lt;$BS72-$BT72*$BT$2),AVEDEV(ARRAYFORMULA(XLOOKUP(FILTER(INDIRECT(""'""&amp;CV$1&amp;""'!$C$4:$C$66""),INDIRECT(""'""&amp;CV$1&amp;""'!$D$4:$D$66"")=CV$2),$G$4:$BQ$4,$G72:$BQ72))),"""")"),"")</f>
        <v/>
      </c>
      <c r="CX72" s="208" t="str">
        <f t="shared" si="16"/>
        <v/>
      </c>
      <c r="CY72" s="209" t="s">
        <v>444</v>
      </c>
      <c r="CZ72" s="210">
        <f>IFERROR(__xludf.DUMMYFUNCTION("AVERAGE(ARRAYFORMULA(XLOOKUP(FILTER(INDIRECT(""'""&amp;CZ$1&amp;""'!$C$4:$C$66""),INDIRECT(""'""&amp;CZ$1&amp;""'!$D$4:$D$66"")=CZ$2),$G$4:$BQ$4,$G72:$BQ72)))"),-0.5714285714285714)</f>
        <v>-0.5714285714</v>
      </c>
      <c r="DA72" s="207" t="str">
        <f>IFERROR(__xludf.DUMMYFUNCTION("IF(OR(CZ72&gt;$BS72+$BT72*$BT$2,CZ72&lt;$BS72-$BT72*$BT$2),AVEDEV(ARRAYFORMULA(XLOOKUP(FILTER(INDIRECT(""'""&amp;CZ$1&amp;""'!$C$4:$C$66""),INDIRECT(""'""&amp;CZ$1&amp;""'!$D$4:$D$66"")=CZ$2),$G$4:$BQ$4,$G72:$BQ72))),"""")"),"")</f>
        <v/>
      </c>
      <c r="DB72" s="208" t="str">
        <f t="shared" si="17"/>
        <v/>
      </c>
      <c r="DC72" s="210">
        <f>IFERROR(__xludf.DUMMYFUNCTION("AVERAGE(ARRAYFORMULA(XLOOKUP(FILTER(INDIRECT(""'""&amp;DC$1&amp;""'!$C$4:$C$66""),INDIRECT(""'""&amp;DC$1&amp;""'!$D$4:$D$66"")=DC$2),$G$4:$BQ$4,$G72:$BQ72)))"),-0.3333333333333333)</f>
        <v>-0.3333333333</v>
      </c>
      <c r="DD72" s="207" t="str">
        <f>IFERROR(__xludf.DUMMYFUNCTION("IF(OR(DC72&gt;$BS72+$BT72*$BT$2,DC72&lt;$BS72-$BT72*$BT$2),AVEDEV(ARRAYFORMULA(XLOOKUP(FILTER(INDIRECT(""'""&amp;DC$1&amp;""'!$C$4:$C$66""),INDIRECT(""'""&amp;DC$1&amp;""'!$D$4:$D$66"")=DC$2),$G$4:$BQ$4,$G72:$BQ72))),"""")"),"")</f>
        <v/>
      </c>
      <c r="DE72" s="208" t="str">
        <f t="shared" si="18"/>
        <v/>
      </c>
      <c r="DF72" s="210">
        <f>IFERROR(__xludf.DUMMYFUNCTION("AVERAGE(ARRAYFORMULA(XLOOKUP(FILTER(INDIRECT(""'""&amp;DF$1&amp;""'!$C$4:$C$66""),INDIRECT(""'""&amp;DF$1&amp;""'!$D$4:$D$66"")=DF$2),$G$4:$BQ$4,$G72:$BQ72)))"),0.0)</f>
        <v>0</v>
      </c>
      <c r="DG72" s="207" t="str">
        <f>IFERROR(__xludf.DUMMYFUNCTION("IF(OR(DF72&gt;$BS72+$BT72*$BT$2,DF72&lt;$BS72-$BT72*$BT$2),AVEDEV(ARRAYFORMULA(XLOOKUP(FILTER(INDIRECT(""'""&amp;DF$1&amp;""'!$C$4:$C$66""),INDIRECT(""'""&amp;DF$1&amp;""'!$D$4:$D$66"")=DF$2),$G$4:$BQ$4,$G72:$BQ72))),"""")"),"")</f>
        <v/>
      </c>
      <c r="DH72" s="208" t="str">
        <f t="shared" si="19"/>
        <v/>
      </c>
      <c r="DI72" s="210">
        <f>IFERROR(__xludf.DUMMYFUNCTION("AVERAGE(ARRAYFORMULA(XLOOKUP(FILTER(INDIRECT(""'""&amp;DI$1&amp;""'!$C$4:$C$66""),INDIRECT(""'""&amp;DI$1&amp;""'!$D$4:$D$66"")=DI$2),$G$4:$BQ$4,$G72:$BQ72)))"),0.0)</f>
        <v>0</v>
      </c>
      <c r="DJ72" s="207" t="str">
        <f>IFERROR(__xludf.DUMMYFUNCTION("IF(OR(DI72&gt;$BS72+$BT72*$BT$2,DI72&lt;$BS72-$BT72*$BT$2),AVEDEV(ARRAYFORMULA(XLOOKUP(FILTER(INDIRECT(""'""&amp;DI$1&amp;""'!$C$4:$C$66""),INDIRECT(""'""&amp;DI$1&amp;""'!$D$4:$D$66"")=DI$2),$G$4:$BQ$4,$G72:$BQ72))),"""")"),"")</f>
        <v/>
      </c>
      <c r="DK72" s="208" t="str">
        <f t="shared" si="20"/>
        <v/>
      </c>
      <c r="DL72" s="211">
        <f>IFERROR(__xludf.DUMMYFUNCTION("AVERAGE(ARRAYFORMULA(XLOOKUP(FILTER(INDIRECT(""'""&amp;DL$1&amp;""'!$C$4:$C$66""),INDIRECT(""'""&amp;DL$1&amp;""'!$D$4:$D$66"")=DL$2),$G$4:$BQ$4,$G72:$BQ72)))"),-0.5714285714285714)</f>
        <v>-0.5714285714</v>
      </c>
      <c r="DM72" s="207" t="str">
        <f>IFERROR(__xludf.DUMMYFUNCTION("IF(OR(DL72&gt;$BS72+$BT72*$BT$2,DL72&lt;$BS72-$BT72*$BT$2),AVEDEV(ARRAYFORMULA(XLOOKUP(FILTER(INDIRECT(""'""&amp;DL$1&amp;""'!$C$4:$C$66""),INDIRECT(""'""&amp;DL$1&amp;""'!$D$4:$D$66"")=DL$2),$G$4:$BQ$4,$G72:$BQ72))),"""")"),"")</f>
        <v/>
      </c>
      <c r="DN72" s="208" t="str">
        <f t="shared" si="21"/>
        <v/>
      </c>
      <c r="DO72" s="209" t="s">
        <v>444</v>
      </c>
      <c r="DP72" s="210">
        <f>IFERROR(__xludf.DUMMYFUNCTION("AVERAGE(ARRAYFORMULA(XLOOKUP(FILTER(INDIRECT(""'""&amp;DP$1&amp;""'!$C$4:$C$66""),INDIRECT(""'""&amp;DP$1&amp;""'!$D$4:$D$66"")=DP$2),$G$4:$BQ$4,$G72:$BQ72)))"),-0.6333333333333333)</f>
        <v>-0.6333333333</v>
      </c>
      <c r="DQ72" s="207" t="str">
        <f>IFERROR(__xludf.DUMMYFUNCTION("IF(OR(DP72&gt;$BS72+$BT72*$BT$2,DP72&lt;$BS72-$BT72*$BT$2),AVEDEV(ARRAYFORMULA(XLOOKUP(FILTER(INDIRECT(""'""&amp;DP$1&amp;""'!$C$4:$C$66""),INDIRECT(""'""&amp;DP$1&amp;""'!$D$4:$D$66"")=DP$2),$G$4:$BQ$4,$G72:$BQ72))),"""")"),"")</f>
        <v/>
      </c>
      <c r="DR72" s="208" t="str">
        <f t="shared" si="22"/>
        <v/>
      </c>
      <c r="DS72" s="210">
        <f>IFERROR(__xludf.DUMMYFUNCTION("AVERAGE(ARRAYFORMULA(XLOOKUP(FILTER(INDIRECT(""'""&amp;DS$1&amp;""'!$C$4:$C$66""),INDIRECT(""'""&amp;DS$1&amp;""'!$D$4:$D$66"")=DS$2),$G$4:$BQ$4,$G72:$BQ72)))"),-1.1111111111111112)</f>
        <v>-1.111111111</v>
      </c>
      <c r="DT72" s="207" t="str">
        <f>IFERROR(__xludf.DUMMYFUNCTION("IF(OR(DS72&gt;$BS72+$BT72*$BT$2,DS72&lt;$BS72-$BT72*$BT$2),AVEDEV(ARRAYFORMULA(XLOOKUP(FILTER(INDIRECT(""'""&amp;DS$1&amp;""'!$C$4:$C$66""),INDIRECT(""'""&amp;DS$1&amp;""'!$D$4:$D$66"")=DS$2),$G$4:$BQ$4,$G72:$BQ72))),"""")"),"")</f>
        <v/>
      </c>
      <c r="DU72" s="208" t="str">
        <f t="shared" si="23"/>
        <v/>
      </c>
      <c r="DV72" s="210">
        <f>IFERROR(__xludf.DUMMYFUNCTION("AVERAGE(ARRAYFORMULA(XLOOKUP(FILTER(INDIRECT(""'""&amp;DV$1&amp;""'!$C$4:$C$66""),INDIRECT(""'""&amp;DV$1&amp;""'!$D$4:$D$66"")=DV$2),$G$4:$BQ$4,$G72:$BQ72)))"),0.0)</f>
        <v>0</v>
      </c>
      <c r="DW72" s="207" t="str">
        <f>IFERROR(__xludf.DUMMYFUNCTION("IF(OR(DV72&gt;$BS72+$BT72*$BT$2,DV72&lt;$BS72-$BT72*$BT$2),AVEDEV(ARRAYFORMULA(XLOOKUP(FILTER(INDIRECT(""'""&amp;DV$1&amp;""'!$C$4:$C$66""),INDIRECT(""'""&amp;DV$1&amp;""'!$D$4:$D$66"")=DV$2),$G$4:$BQ$4,$G72:$BQ72))),"""")"),"")</f>
        <v/>
      </c>
      <c r="DX72" s="208" t="str">
        <f t="shared" si="24"/>
        <v/>
      </c>
      <c r="DY72" s="210">
        <f>IFERROR(__xludf.DUMMYFUNCTION("AVERAGE(ARRAYFORMULA(XLOOKUP(FILTER(INDIRECT(""'""&amp;DY$1&amp;""'!$C$4:$C$66""),INDIRECT(""'""&amp;DY$1&amp;""'!$D$4:$D$66"")=DY$2),$G$4:$BQ$4,$G72:$BQ72)))"),0.0)</f>
        <v>0</v>
      </c>
      <c r="DZ72" s="207" t="str">
        <f>IFERROR(__xludf.DUMMYFUNCTION("IF(OR(DY72&gt;$BS72+$BT72*$BT$2,DY72&lt;$BS72-$BT72*$BT$2),AVEDEV(ARRAYFORMULA(XLOOKUP(FILTER(INDIRECT(""'""&amp;DY$1&amp;""'!$C$4:$C$66""),INDIRECT(""'""&amp;DY$1&amp;""'!$D$4:$D$66"")=DY$2),$G$4:$BQ$4,$G72:$BQ72))),"""")"),"")</f>
        <v/>
      </c>
      <c r="EA72" s="208" t="str">
        <f t="shared" si="25"/>
        <v/>
      </c>
      <c r="EB72" s="191"/>
    </row>
    <row r="73" outlineLevel="1">
      <c r="A73" s="2"/>
      <c r="B73" s="204">
        <v>69.0</v>
      </c>
      <c r="C73" s="204" t="s">
        <v>507</v>
      </c>
      <c r="D73" s="204" t="s">
        <v>514</v>
      </c>
      <c r="E73" s="205" t="b">
        <f>VLOOKUP(D73,'Feature Set List'!A69:C246,2,0)</f>
        <v>1</v>
      </c>
      <c r="F73" s="205" t="b">
        <f>VLOOKUP(D73,'Feature Set List'!A69:C246,3,0)</f>
        <v>1</v>
      </c>
      <c r="G73" s="205">
        <v>0.0</v>
      </c>
      <c r="H73" s="205">
        <v>0.0</v>
      </c>
      <c r="I73" s="205">
        <v>-2.0</v>
      </c>
      <c r="J73" s="205">
        <v>0.0</v>
      </c>
      <c r="K73" s="205">
        <v>0.0</v>
      </c>
      <c r="L73" s="205">
        <v>0.0</v>
      </c>
      <c r="M73" s="205">
        <v>-3.0</v>
      </c>
      <c r="N73" s="205">
        <v>0.0</v>
      </c>
      <c r="O73" s="205">
        <v>0.0</v>
      </c>
      <c r="P73" s="205">
        <v>0.0</v>
      </c>
      <c r="Q73" s="205">
        <v>0.0</v>
      </c>
      <c r="R73" s="205">
        <v>0.0</v>
      </c>
      <c r="S73" s="205">
        <v>0.0</v>
      </c>
      <c r="T73" s="205">
        <v>0.0</v>
      </c>
      <c r="U73" s="205">
        <v>0.0</v>
      </c>
      <c r="V73" s="205">
        <v>0.0</v>
      </c>
      <c r="W73" s="205">
        <v>0.0</v>
      </c>
      <c r="X73" s="205">
        <v>0.0</v>
      </c>
      <c r="Y73" s="205">
        <v>0.0</v>
      </c>
      <c r="Z73" s="205">
        <v>-3.0</v>
      </c>
      <c r="AA73" s="205">
        <v>0.0</v>
      </c>
      <c r="AB73" s="205">
        <v>0.0</v>
      </c>
      <c r="AC73" s="205">
        <v>0.0</v>
      </c>
      <c r="AD73" s="205">
        <v>0.0</v>
      </c>
      <c r="AE73" s="205">
        <v>0.0</v>
      </c>
      <c r="AF73" s="205">
        <v>0.0</v>
      </c>
      <c r="AG73" s="205">
        <v>-4.0</v>
      </c>
      <c r="AH73" s="205">
        <v>0.0</v>
      </c>
      <c r="AI73" s="205">
        <v>0.0</v>
      </c>
      <c r="AJ73" s="205">
        <v>0.0</v>
      </c>
      <c r="AK73" s="205">
        <v>-4.0</v>
      </c>
      <c r="AL73" s="205">
        <v>0.0</v>
      </c>
      <c r="AM73" s="205">
        <v>0.0</v>
      </c>
      <c r="AN73" s="205">
        <v>0.0</v>
      </c>
      <c r="AO73" s="205">
        <v>-4.0</v>
      </c>
      <c r="AP73" s="205">
        <v>0.0</v>
      </c>
      <c r="AQ73" s="205">
        <v>0.0</v>
      </c>
      <c r="AR73" s="205">
        <v>0.0</v>
      </c>
      <c r="AS73" s="205">
        <v>0.0</v>
      </c>
      <c r="AT73" s="205">
        <v>0.0</v>
      </c>
      <c r="AU73" s="205">
        <v>0.0</v>
      </c>
      <c r="AV73" s="205">
        <v>0.0</v>
      </c>
      <c r="AW73" s="205">
        <v>0.0</v>
      </c>
      <c r="AX73" s="205">
        <v>-3.0</v>
      </c>
      <c r="AY73" s="205">
        <v>0.0</v>
      </c>
      <c r="AZ73" s="205">
        <v>0.0</v>
      </c>
      <c r="BA73" s="205">
        <v>0.0</v>
      </c>
      <c r="BB73" s="205">
        <v>0.0</v>
      </c>
      <c r="BC73" s="205">
        <v>0.0</v>
      </c>
      <c r="BD73" s="205">
        <v>-3.0</v>
      </c>
      <c r="BE73" s="205">
        <v>-3.0</v>
      </c>
      <c r="BF73" s="205">
        <v>0.0</v>
      </c>
      <c r="BG73" s="205">
        <v>0.0</v>
      </c>
      <c r="BH73" s="205">
        <v>0.0</v>
      </c>
      <c r="BI73" s="205">
        <v>0.0</v>
      </c>
      <c r="BJ73" s="205">
        <v>0.0</v>
      </c>
      <c r="BK73" s="205">
        <v>0.0</v>
      </c>
      <c r="BL73" s="205">
        <v>2.0</v>
      </c>
      <c r="BM73" s="205">
        <v>0.0</v>
      </c>
      <c r="BN73" s="205">
        <v>0.0</v>
      </c>
      <c r="BO73" s="205">
        <v>0.0</v>
      </c>
      <c r="BP73" s="205">
        <v>0.0</v>
      </c>
      <c r="BQ73" s="205">
        <v>-2.0</v>
      </c>
      <c r="BR73" s="206"/>
      <c r="BS73" s="207">
        <f t="shared" si="6"/>
        <v>-0.4603174603</v>
      </c>
      <c r="BT73" s="207">
        <f t="shared" si="7"/>
        <v>0.837994457</v>
      </c>
      <c r="BU73" s="206"/>
      <c r="BV73" s="207">
        <f>IFERROR(__xludf.DUMMYFUNCTION("AVERAGE(ARRAYFORMULA(XLOOKUP(FILTER(INDIRECT(""'""&amp;BV$1&amp;""'!$C$4:$C$66""),INDIRECT(""'""&amp;BV$1&amp;""'!$D$4:$D$66"")=BV$2),$G$4:$BQ$4,$G73:$BQ73)))"),-0.7142857142857143)</f>
        <v>-0.7142857143</v>
      </c>
      <c r="BW73" s="207" t="str">
        <f>IFERROR(__xludf.DUMMYFUNCTION("IF(OR(BV73&gt;$BS73+$BT73*$BT$2,BV73&lt;$BS73-$BT73*$BT$2),AVEDEV(ARRAYFORMULA(XLOOKUP(FILTER(INDIRECT(""'""&amp;BV$1&amp;""'!$C$4:$C$66""),INDIRECT(""'""&amp;BV$1&amp;""'!$D$4:$D$66"")=BV$2),$G$4:$BQ$4,$G73:$BQ73))),"""")"),"")</f>
        <v/>
      </c>
      <c r="BX73" s="208" t="str">
        <f t="shared" si="8"/>
        <v/>
      </c>
      <c r="BY73" s="207">
        <f>IFERROR(__xludf.DUMMYFUNCTION("AVERAGE(ARRAYFORMULA(XLOOKUP(FILTER(INDIRECT(""'""&amp;BY$1&amp;""'!$C$4:$C$66""),INDIRECT(""'""&amp;BY$1&amp;""'!$D$4:$D$66"")=BY$2),$G$4:$BQ$4,$G73:$BQ73)))"),-0.38095238095238093)</f>
        <v>-0.380952381</v>
      </c>
      <c r="BZ73" s="207" t="str">
        <f>IFERROR(__xludf.DUMMYFUNCTION("IF(OR(BY73&gt;$BS73+$BT73*$BT$2,BY73&lt;$BS73-$BT73*$BT$2),AVEDEV(ARRAYFORMULA(XLOOKUP(FILTER(INDIRECT(""'""&amp;BY$1&amp;""'!$C$4:$C$66""),INDIRECT(""'""&amp;BY$1&amp;""'!$D$4:$D$66"")=BY$2),$G$4:$BQ$4,$G73:$BQ73))),"""")"),"")</f>
        <v/>
      </c>
      <c r="CA73" s="208" t="str">
        <f t="shared" si="9"/>
        <v/>
      </c>
      <c r="CB73" s="207">
        <f>IFERROR(__xludf.DUMMYFUNCTION("AVERAGE(ARRAYFORMULA(XLOOKUP(FILTER(INDIRECT(""'""&amp;CB$1&amp;""'!$C$4:$C$66""),INDIRECT(""'""&amp;CB$1&amp;""'!$D$4:$D$66"")=CB$2),$G$4:$BQ$4,$G73:$BQ73)))"),-0.2727272727272727)</f>
        <v>-0.2727272727</v>
      </c>
      <c r="CC73" s="207" t="str">
        <f>IFERROR(__xludf.DUMMYFUNCTION("IF(OR(CB73&gt;$BS73+$BT73*$BT$2,CB73&lt;$BS73-$BT73*$BT$2),AVEDEV(ARRAYFORMULA(XLOOKUP(FILTER(INDIRECT(""'""&amp;CB$1&amp;""'!$C$4:$C$66""),INDIRECT(""'""&amp;CB$1&amp;""'!$D$4:$D$66"")=CB$2),$G$4:$BQ$4,$G73:$BQ73))),"""")"),"")</f>
        <v/>
      </c>
      <c r="CD73" s="208" t="str">
        <f t="shared" si="10"/>
        <v/>
      </c>
      <c r="CE73" s="209" t="s">
        <v>444</v>
      </c>
      <c r="CF73" s="207">
        <f>IFERROR(__xludf.DUMMYFUNCTION("AVERAGE(ARRAYFORMULA(XLOOKUP(FILTER(INDIRECT(""'""&amp;CF$1&amp;""'!$C$4:$C$66""),INDIRECT(""'""&amp;CF$1&amp;""'!$D$4:$D$66"")=CF$2),$G$4:$BQ$4,$G73:$BQ73)))"),-0.5)</f>
        <v>-0.5</v>
      </c>
      <c r="CG73" s="207" t="str">
        <f>IFERROR(__xludf.DUMMYFUNCTION("IF(OR(CF73&gt;$BS73+$BT73*$BT$2,CF73&lt;$BS73-$BT73*$BT$2),AVEDEV(ARRAYFORMULA(XLOOKUP(FILTER(INDIRECT(""'""&amp;CF$1&amp;""'!$C$4:$C$66""),INDIRECT(""'""&amp;CF$1&amp;""'!$D$4:$D$66"")=CF$2),$G$4:$BQ$4,$G73:$BQ73))),"""")"),"")</f>
        <v/>
      </c>
      <c r="CH73" s="208" t="str">
        <f t="shared" si="11"/>
        <v/>
      </c>
      <c r="CI73" s="207">
        <f>IFERROR(__xludf.DUMMYFUNCTION("AVERAGE(ARRAYFORMULA(XLOOKUP(FILTER(INDIRECT(""'""&amp;CI$1&amp;""'!$C$4:$C$66""),INDIRECT(""'""&amp;CI$1&amp;""'!$D$4:$D$66"")=CI$2),$G$4:$BQ$4,$G73:$BQ73)))"),-0.3548387096774194)</f>
        <v>-0.3548387097</v>
      </c>
      <c r="CJ73" s="207" t="str">
        <f>IFERROR(__xludf.DUMMYFUNCTION("IF(OR(CI73&gt;$BS73+$BT73*$BT$2,CI73&lt;$BS73-$BT73*$BT$2),AVEDEV(ARRAYFORMULA(XLOOKUP(FILTER(INDIRECT(""'""&amp;CI$1&amp;""'!$C$4:$C$66""),INDIRECT(""'""&amp;CI$1&amp;""'!$D$4:$D$66"")=CI$2),$G$4:$BQ$4,$G73:$BQ73))),"""")"),"")</f>
        <v/>
      </c>
      <c r="CK73" s="208" t="str">
        <f t="shared" si="12"/>
        <v/>
      </c>
      <c r="CL73" s="207">
        <f>IFERROR(__xludf.DUMMYFUNCTION("AVERAGE(ARRAYFORMULA(XLOOKUP(FILTER(INDIRECT(""'""&amp;CL$1&amp;""'!$C$4:$C$66""),INDIRECT(""'""&amp;CL$1&amp;""'!$D$4:$D$66"")=CL$2),$G$4:$BQ$4,$G73:$BQ73)))"),0.0)</f>
        <v>0</v>
      </c>
      <c r="CM73" s="207" t="str">
        <f>IFERROR(__xludf.DUMMYFUNCTION("IF(OR(CL73&gt;$BS73+$BT73*$BT$2,CL73&lt;$BS73-$BT73*$BT$2),AVEDEV(ARRAYFORMULA(XLOOKUP(FILTER(INDIRECT(""'""&amp;CL$1&amp;""'!$C$4:$C$66""),INDIRECT(""'""&amp;CL$1&amp;""'!$D$4:$D$66"")=CL$2),$G$4:$BQ$4,$G73:$BQ73))),"""")"),"")</f>
        <v/>
      </c>
      <c r="CN73" s="208" t="str">
        <f t="shared" si="13"/>
        <v/>
      </c>
      <c r="CO73" s="209" t="s">
        <v>444</v>
      </c>
      <c r="CP73" s="210">
        <f>IFERROR(__xludf.DUMMYFUNCTION("AVERAGE(ARRAYFORMULA(XLOOKUP(FILTER(INDIRECT(""'""&amp;CP$1&amp;""'!$C$4:$C$66""),INDIRECT(""'""&amp;CP$1&amp;""'!$D$4:$D$66"")=CP$2),$G$4:$BQ$4,$G73:$BQ73)))"),-0.2)</f>
        <v>-0.2</v>
      </c>
      <c r="CQ73" s="207" t="str">
        <f>IFERROR(__xludf.DUMMYFUNCTION("IF(OR(CP73&gt;$BS73+$BT73*$BT$2,CP73&lt;$BS73-$BT73*$BT$2),AVEDEV(ARRAYFORMULA(XLOOKUP(FILTER(INDIRECT(""'""&amp;CP$1&amp;""'!$C$4:$C$66""),INDIRECT(""'""&amp;CP$1&amp;""'!$D$4:$D$66"")=CP$2),$G$4:$BQ$4,$G73:$BQ73))),"""")"),"")</f>
        <v/>
      </c>
      <c r="CR73" s="208" t="str">
        <f t="shared" si="14"/>
        <v/>
      </c>
      <c r="CS73" s="210">
        <f>IFERROR(__xludf.DUMMYFUNCTION("AVERAGE(ARRAYFORMULA(XLOOKUP(FILTER(INDIRECT(""'""&amp;CS$1&amp;""'!$C$4:$C$66""),INDIRECT(""'""&amp;CS$1&amp;""'!$D$4:$D$66"")=CS$2),$G$4:$BQ$4,$G73:$BQ73)))"),-0.5897435897435898)</f>
        <v>-0.5897435897</v>
      </c>
      <c r="CT73" s="207" t="str">
        <f>IFERROR(__xludf.DUMMYFUNCTION("IF(OR(CS73&gt;$BS73+$BT73*$BT$2,CS73&lt;$BS73-$BT73*$BT$2),AVEDEV(ARRAYFORMULA(XLOOKUP(FILTER(INDIRECT(""'""&amp;CS$1&amp;""'!$C$4:$C$66""),INDIRECT(""'""&amp;CS$1&amp;""'!$D$4:$D$66"")=CS$2),$G$4:$BQ$4,$G73:$BQ73))),"""")"),"")</f>
        <v/>
      </c>
      <c r="CU73" s="208" t="str">
        <f t="shared" si="15"/>
        <v/>
      </c>
      <c r="CV73" s="210">
        <f>IFERROR(__xludf.DUMMYFUNCTION("AVERAGE(ARRAYFORMULA(XLOOKUP(FILTER(INDIRECT(""'""&amp;CV$1&amp;""'!$C$4:$C$66""),INDIRECT(""'""&amp;CV$1&amp;""'!$D$4:$D$66"")=CV$2),$G$4:$BQ$4,$G73:$BQ73)))"),0.0)</f>
        <v>0</v>
      </c>
      <c r="CW73" s="207" t="str">
        <f>IFERROR(__xludf.DUMMYFUNCTION("IF(OR(CV73&gt;$BS73+$BT73*$BT$2,CV73&lt;$BS73-$BT73*$BT$2),AVEDEV(ARRAYFORMULA(XLOOKUP(FILTER(INDIRECT(""'""&amp;CV$1&amp;""'!$C$4:$C$66""),INDIRECT(""'""&amp;CV$1&amp;""'!$D$4:$D$66"")=CV$2),$G$4:$BQ$4,$G73:$BQ73))),"""")"),"")</f>
        <v/>
      </c>
      <c r="CX73" s="208" t="str">
        <f t="shared" si="16"/>
        <v/>
      </c>
      <c r="CY73" s="209" t="s">
        <v>444</v>
      </c>
      <c r="CZ73" s="210">
        <f>IFERROR(__xludf.DUMMYFUNCTION("AVERAGE(ARRAYFORMULA(XLOOKUP(FILTER(INDIRECT(""'""&amp;CZ$1&amp;""'!$C$4:$C$66""),INDIRECT(""'""&amp;CZ$1&amp;""'!$D$4:$D$66"")=CZ$2),$G$4:$BQ$4,$G73:$BQ73)))"),-0.5714285714285714)</f>
        <v>-0.5714285714</v>
      </c>
      <c r="DA73" s="207" t="str">
        <f>IFERROR(__xludf.DUMMYFUNCTION("IF(OR(CZ73&gt;$BS73+$BT73*$BT$2,CZ73&lt;$BS73-$BT73*$BT$2),AVEDEV(ARRAYFORMULA(XLOOKUP(FILTER(INDIRECT(""'""&amp;CZ$1&amp;""'!$C$4:$C$66""),INDIRECT(""'""&amp;CZ$1&amp;""'!$D$4:$D$66"")=CZ$2),$G$4:$BQ$4,$G73:$BQ73))),"""")"),"")</f>
        <v/>
      </c>
      <c r="DB73" s="208" t="str">
        <f t="shared" si="17"/>
        <v/>
      </c>
      <c r="DC73" s="210">
        <f>IFERROR(__xludf.DUMMYFUNCTION("AVERAGE(ARRAYFORMULA(XLOOKUP(FILTER(INDIRECT(""'""&amp;DC$1&amp;""'!$C$4:$C$66""),INDIRECT(""'""&amp;DC$1&amp;""'!$D$4:$D$66"")=DC$2),$G$4:$BQ$4,$G73:$BQ73)))"),-0.3333333333333333)</f>
        <v>-0.3333333333</v>
      </c>
      <c r="DD73" s="207" t="str">
        <f>IFERROR(__xludf.DUMMYFUNCTION("IF(OR(DC73&gt;$BS73+$BT73*$BT$2,DC73&lt;$BS73-$BT73*$BT$2),AVEDEV(ARRAYFORMULA(XLOOKUP(FILTER(INDIRECT(""'""&amp;DC$1&amp;""'!$C$4:$C$66""),INDIRECT(""'""&amp;DC$1&amp;""'!$D$4:$D$66"")=DC$2),$G$4:$BQ$4,$G73:$BQ73))),"""")"),"")</f>
        <v/>
      </c>
      <c r="DE73" s="208" t="str">
        <f t="shared" si="18"/>
        <v/>
      </c>
      <c r="DF73" s="210">
        <f>IFERROR(__xludf.DUMMYFUNCTION("AVERAGE(ARRAYFORMULA(XLOOKUP(FILTER(INDIRECT(""'""&amp;DF$1&amp;""'!$C$4:$C$66""),INDIRECT(""'""&amp;DF$1&amp;""'!$D$4:$D$66"")=DF$2),$G$4:$BQ$4,$G73:$BQ73)))"),0.0)</f>
        <v>0</v>
      </c>
      <c r="DG73" s="207" t="str">
        <f>IFERROR(__xludf.DUMMYFUNCTION("IF(OR(DF73&gt;$BS73+$BT73*$BT$2,DF73&lt;$BS73-$BT73*$BT$2),AVEDEV(ARRAYFORMULA(XLOOKUP(FILTER(INDIRECT(""'""&amp;DF$1&amp;""'!$C$4:$C$66""),INDIRECT(""'""&amp;DF$1&amp;""'!$D$4:$D$66"")=DF$2),$G$4:$BQ$4,$G73:$BQ73))),"""")"),"")</f>
        <v/>
      </c>
      <c r="DH73" s="208" t="str">
        <f t="shared" si="19"/>
        <v/>
      </c>
      <c r="DI73" s="210">
        <f>IFERROR(__xludf.DUMMYFUNCTION("AVERAGE(ARRAYFORMULA(XLOOKUP(FILTER(INDIRECT(""'""&amp;DI$1&amp;""'!$C$4:$C$66""),INDIRECT(""'""&amp;DI$1&amp;""'!$D$4:$D$66"")=DI$2),$G$4:$BQ$4,$G73:$BQ73)))"),0.0)</f>
        <v>0</v>
      </c>
      <c r="DJ73" s="207" t="str">
        <f>IFERROR(__xludf.DUMMYFUNCTION("IF(OR(DI73&gt;$BS73+$BT73*$BT$2,DI73&lt;$BS73-$BT73*$BT$2),AVEDEV(ARRAYFORMULA(XLOOKUP(FILTER(INDIRECT(""'""&amp;DI$1&amp;""'!$C$4:$C$66""),INDIRECT(""'""&amp;DI$1&amp;""'!$D$4:$D$66"")=DI$2),$G$4:$BQ$4,$G73:$BQ73))),"""")"),"")</f>
        <v/>
      </c>
      <c r="DK73" s="208" t="str">
        <f t="shared" si="20"/>
        <v/>
      </c>
      <c r="DL73" s="210">
        <f>IFERROR(__xludf.DUMMYFUNCTION("AVERAGE(ARRAYFORMULA(XLOOKUP(FILTER(INDIRECT(""'""&amp;DL$1&amp;""'!$C$4:$C$66""),INDIRECT(""'""&amp;DL$1&amp;""'!$D$4:$D$66"")=DL$2),$G$4:$BQ$4,$G73:$BQ73)))"),-0.5714285714285714)</f>
        <v>-0.5714285714</v>
      </c>
      <c r="DM73" s="207" t="str">
        <f>IFERROR(__xludf.DUMMYFUNCTION("IF(OR(DL73&gt;$BS73+$BT73*$BT$2,DL73&lt;$BS73-$BT73*$BT$2),AVEDEV(ARRAYFORMULA(XLOOKUP(FILTER(INDIRECT(""'""&amp;DL$1&amp;""'!$C$4:$C$66""),INDIRECT(""'""&amp;DL$1&amp;""'!$D$4:$D$66"")=DL$2),$G$4:$BQ$4,$G73:$BQ73))),"""")"),"")</f>
        <v/>
      </c>
      <c r="DN73" s="208" t="str">
        <f t="shared" si="21"/>
        <v/>
      </c>
      <c r="DO73" s="209" t="s">
        <v>444</v>
      </c>
      <c r="DP73" s="210">
        <f>IFERROR(__xludf.DUMMYFUNCTION("AVERAGE(ARRAYFORMULA(XLOOKUP(FILTER(INDIRECT(""'""&amp;DP$1&amp;""'!$C$4:$C$66""),INDIRECT(""'""&amp;DP$1&amp;""'!$D$4:$D$66"")=DP$2),$G$4:$BQ$4,$G73:$BQ73)))"),-0.6333333333333333)</f>
        <v>-0.6333333333</v>
      </c>
      <c r="DQ73" s="207" t="str">
        <f>IFERROR(__xludf.DUMMYFUNCTION("IF(OR(DP73&gt;$BS73+$BT73*$BT$2,DP73&lt;$BS73-$BT73*$BT$2),AVEDEV(ARRAYFORMULA(XLOOKUP(FILTER(INDIRECT(""'""&amp;DP$1&amp;""'!$C$4:$C$66""),INDIRECT(""'""&amp;DP$1&amp;""'!$D$4:$D$66"")=DP$2),$G$4:$BQ$4,$G73:$BQ73))),"""")"),"")</f>
        <v/>
      </c>
      <c r="DR73" s="208" t="str">
        <f t="shared" si="22"/>
        <v/>
      </c>
      <c r="DS73" s="210">
        <f>IFERROR(__xludf.DUMMYFUNCTION("AVERAGE(ARRAYFORMULA(XLOOKUP(FILTER(INDIRECT(""'""&amp;DS$1&amp;""'!$C$4:$C$66""),INDIRECT(""'""&amp;DS$1&amp;""'!$D$4:$D$66"")=DS$2),$G$4:$BQ$4,$G73:$BQ73)))"),-0.3333333333333333)</f>
        <v>-0.3333333333</v>
      </c>
      <c r="DT73" s="207" t="str">
        <f>IFERROR(__xludf.DUMMYFUNCTION("IF(OR(DS73&gt;$BS73+$BT73*$BT$2,DS73&lt;$BS73-$BT73*$BT$2),AVEDEV(ARRAYFORMULA(XLOOKUP(FILTER(INDIRECT(""'""&amp;DS$1&amp;""'!$C$4:$C$66""),INDIRECT(""'""&amp;DS$1&amp;""'!$D$4:$D$66"")=DS$2),$G$4:$BQ$4,$G73:$BQ73))),"""")"),"")</f>
        <v/>
      </c>
      <c r="DU73" s="208" t="str">
        <f t="shared" si="23"/>
        <v/>
      </c>
      <c r="DV73" s="210">
        <f>IFERROR(__xludf.DUMMYFUNCTION("AVERAGE(ARRAYFORMULA(XLOOKUP(FILTER(INDIRECT(""'""&amp;DV$1&amp;""'!$C$4:$C$66""),INDIRECT(""'""&amp;DV$1&amp;""'!$D$4:$D$66"")=DV$2),$G$4:$BQ$4,$G73:$BQ73)))"),0.0)</f>
        <v>0</v>
      </c>
      <c r="DW73" s="207" t="str">
        <f>IFERROR(__xludf.DUMMYFUNCTION("IF(OR(DV73&gt;$BS73+$BT73*$BT$2,DV73&lt;$BS73-$BT73*$BT$2),AVEDEV(ARRAYFORMULA(XLOOKUP(FILTER(INDIRECT(""'""&amp;DV$1&amp;""'!$C$4:$C$66""),INDIRECT(""'""&amp;DV$1&amp;""'!$D$4:$D$66"")=DV$2),$G$4:$BQ$4,$G73:$BQ73))),"""")"),"")</f>
        <v/>
      </c>
      <c r="DX73" s="208" t="str">
        <f t="shared" si="24"/>
        <v/>
      </c>
      <c r="DY73" s="210">
        <f>IFERROR(__xludf.DUMMYFUNCTION("AVERAGE(ARRAYFORMULA(XLOOKUP(FILTER(INDIRECT(""'""&amp;DY$1&amp;""'!$C$4:$C$66""),INDIRECT(""'""&amp;DY$1&amp;""'!$D$4:$D$66"")=DY$2),$G$4:$BQ$4,$G73:$BQ73)))"),0.0)</f>
        <v>0</v>
      </c>
      <c r="DZ73" s="207" t="str">
        <f>IFERROR(__xludf.DUMMYFUNCTION("IF(OR(DY73&gt;$BS73+$BT73*$BT$2,DY73&lt;$BS73-$BT73*$BT$2),AVEDEV(ARRAYFORMULA(XLOOKUP(FILTER(INDIRECT(""'""&amp;DY$1&amp;""'!$C$4:$C$66""),INDIRECT(""'""&amp;DY$1&amp;""'!$D$4:$D$66"")=DY$2),$G$4:$BQ$4,$G73:$BQ73))),"""")"),"")</f>
        <v/>
      </c>
      <c r="EA73" s="208" t="str">
        <f t="shared" si="25"/>
        <v/>
      </c>
      <c r="EB73" s="191"/>
    </row>
    <row r="74" outlineLevel="1">
      <c r="A74" s="2"/>
      <c r="B74" s="204">
        <v>70.0</v>
      </c>
      <c r="C74" s="204" t="s">
        <v>507</v>
      </c>
      <c r="D74" s="204" t="s">
        <v>515</v>
      </c>
      <c r="E74" s="205" t="b">
        <f>VLOOKUP(D74,'Feature Set List'!A70:C246,2,0)</f>
        <v>1</v>
      </c>
      <c r="F74" s="205" t="b">
        <f>VLOOKUP(D74,'Feature Set List'!A70:C246,3,0)</f>
        <v>1</v>
      </c>
      <c r="G74" s="205">
        <v>-0.9686305</v>
      </c>
      <c r="H74" s="205">
        <v>-0.2096404</v>
      </c>
      <c r="I74" s="205">
        <v>-2.4452946</v>
      </c>
      <c r="J74" s="205">
        <v>0.42387146</v>
      </c>
      <c r="K74" s="205">
        <v>-0.5768936</v>
      </c>
      <c r="L74" s="205">
        <v>0.30145371</v>
      </c>
      <c r="M74" s="205">
        <v>-1.2593726</v>
      </c>
      <c r="N74" s="205">
        <v>2.05508799</v>
      </c>
      <c r="O74" s="205">
        <v>0.2723795</v>
      </c>
      <c r="P74" s="205">
        <v>-0.2280031</v>
      </c>
      <c r="Q74" s="205">
        <v>0.12700842</v>
      </c>
      <c r="R74" s="205">
        <v>1.36495792</v>
      </c>
      <c r="S74" s="205">
        <v>0.5386381</v>
      </c>
      <c r="T74" s="205">
        <v>0.2448355</v>
      </c>
      <c r="U74" s="205">
        <v>3.78729916</v>
      </c>
      <c r="V74" s="205">
        <v>-0.0091813</v>
      </c>
      <c r="W74" s="205">
        <v>0.2448355</v>
      </c>
      <c r="X74" s="205">
        <v>3.00382555</v>
      </c>
      <c r="Y74" s="205">
        <v>-0.2586075</v>
      </c>
      <c r="Z74" s="205">
        <v>0.1958684</v>
      </c>
      <c r="AA74" s="205">
        <v>0.74674828</v>
      </c>
      <c r="AB74" s="205">
        <v>-0.1453711</v>
      </c>
      <c r="AC74" s="205">
        <v>0.31063504</v>
      </c>
      <c r="AD74" s="205">
        <v>-0.0979342</v>
      </c>
      <c r="AE74" s="205">
        <v>1.47513389</v>
      </c>
      <c r="AF74" s="205">
        <v>0.31828615</v>
      </c>
      <c r="AG74" s="205">
        <v>-0.3917368</v>
      </c>
      <c r="AH74" s="205">
        <v>1.08951798</v>
      </c>
      <c r="AI74" s="205">
        <v>0.0</v>
      </c>
      <c r="AJ74" s="205">
        <v>-1.2609028</v>
      </c>
      <c r="AK74" s="205">
        <v>-0.5876052</v>
      </c>
      <c r="AL74" s="205">
        <v>-0.1545524</v>
      </c>
      <c r="AM74" s="205">
        <v>0.63198164</v>
      </c>
      <c r="AN74" s="205">
        <v>0.07192043</v>
      </c>
      <c r="AO74" s="205">
        <v>-0.558531</v>
      </c>
      <c r="AP74" s="205">
        <v>0.7620505</v>
      </c>
      <c r="AQ74" s="205">
        <v>-0.7008416</v>
      </c>
      <c r="AR74" s="205">
        <v>-0.5677123</v>
      </c>
      <c r="AS74" s="205">
        <v>-0.4560061</v>
      </c>
      <c r="AT74" s="205">
        <v>0.03060444</v>
      </c>
      <c r="AU74" s="205">
        <v>0.95026779</v>
      </c>
      <c r="AV74" s="205">
        <v>-0.5554705</v>
      </c>
      <c r="AW74" s="205">
        <v>0.61361897</v>
      </c>
      <c r="AX74" s="205">
        <v>0.73756695</v>
      </c>
      <c r="AY74" s="205">
        <v>-0.123948</v>
      </c>
      <c r="AZ74" s="205">
        <v>0.04743688</v>
      </c>
      <c r="BA74" s="205">
        <v>-0.2524866</v>
      </c>
      <c r="BB74" s="205">
        <v>1.00229533</v>
      </c>
      <c r="BC74" s="205">
        <v>-0.3091048</v>
      </c>
      <c r="BD74" s="205">
        <v>-0.0657995</v>
      </c>
      <c r="BE74" s="205">
        <v>0.95179801</v>
      </c>
      <c r="BF74" s="205">
        <v>-0.5768936</v>
      </c>
      <c r="BG74" s="205">
        <v>-0.0566182</v>
      </c>
      <c r="BH74" s="205">
        <v>-1.3986228</v>
      </c>
      <c r="BI74" s="205">
        <v>0.21270084</v>
      </c>
      <c r="BJ74" s="205">
        <v>-0.558531</v>
      </c>
      <c r="BK74" s="205">
        <v>0.24330528</v>
      </c>
      <c r="BL74" s="205">
        <v>4.2938026</v>
      </c>
      <c r="BM74" s="205">
        <v>0.67635807</v>
      </c>
      <c r="BN74" s="205">
        <v>-0.0780413</v>
      </c>
      <c r="BO74" s="205">
        <v>-0.8538638</v>
      </c>
      <c r="BP74" s="205">
        <v>-0.6074981</v>
      </c>
      <c r="BQ74" s="205">
        <v>-0.1606733</v>
      </c>
      <c r="BR74" s="206"/>
      <c r="BS74" s="207">
        <f t="shared" si="6"/>
        <v>0.1785987568</v>
      </c>
      <c r="BT74" s="207">
        <f t="shared" si="7"/>
        <v>0.7183159897</v>
      </c>
      <c r="BU74" s="206"/>
      <c r="BV74" s="207">
        <f>IFERROR(__xludf.DUMMYFUNCTION("AVERAGE(ARRAYFORMULA(XLOOKUP(FILTER(INDIRECT(""'""&amp;BV$1&amp;""'!$C$4:$C$66""),INDIRECT(""'""&amp;BV$1&amp;""'!$D$4:$D$66"")=BV$2),$G$4:$BQ$4,$G74:$BQ74)))"),1.7652202357142854)</f>
        <v>1.765220236</v>
      </c>
      <c r="BW74" s="207">
        <f>IFERROR(__xludf.DUMMYFUNCTION("IF(OR(BV74&gt;$BS74+$BT74*$BT$2,BV74&lt;$BS74-$BT74*$BT$2),AVEDEV(ARRAYFORMULA(XLOOKUP(FILTER(INDIRECT(""'""&amp;BV$1&amp;""'!$C$4:$C$66""),INDIRECT(""'""&amp;BV$1&amp;""'!$D$4:$D$66"")=BV$2),$G$4:$BQ$4,$G74:$BQ74))),"""")"),1.654076172244898)</f>
        <v>1.654076172</v>
      </c>
      <c r="BX74" s="208">
        <f t="shared" si="8"/>
        <v>0.8683054892</v>
      </c>
      <c r="BY74" s="207">
        <f>IFERROR(__xludf.DUMMYFUNCTION("AVERAGE(ARRAYFORMULA(XLOOKUP(FILTER(INDIRECT(""'""&amp;BY$1&amp;""'!$C$4:$C$66""),INDIRECT(""'""&amp;BY$1&amp;""'!$D$4:$D$66"")=BY$2),$G$4:$BQ$4,$G74:$BQ74)))"),0.03785478166666667)</f>
        <v>0.03785478167</v>
      </c>
      <c r="BZ74" s="207" t="str">
        <f>IFERROR(__xludf.DUMMYFUNCTION("IF(OR(BY74&gt;$BS74+$BT74*$BT$2,BY74&lt;$BS74-$BT74*$BT$2),AVEDEV(ARRAYFORMULA(XLOOKUP(FILTER(INDIRECT(""'""&amp;BY$1&amp;""'!$C$4:$C$66""),INDIRECT(""'""&amp;BY$1&amp;""'!$D$4:$D$66"")=BY$2),$G$4:$BQ$4,$G74:$BQ74))),"""")"),"")</f>
        <v/>
      </c>
      <c r="CA74" s="208" t="str">
        <f t="shared" si="9"/>
        <v/>
      </c>
      <c r="CB74" s="207">
        <f>IFERROR(__xludf.DUMMYFUNCTION("AVERAGE(ARRAYFORMULA(XLOOKUP(FILTER(INDIRECT(""'""&amp;CB$1&amp;""'!$C$4:$C$66""),INDIRECT(""'""&amp;CB$1&amp;""'!$D$4:$D$66"")=CB$2),$G$4:$BQ$4,$G74:$BQ74)))"),-0.10308131727272726)</f>
        <v>-0.1030813173</v>
      </c>
      <c r="CC74" s="207" t="str">
        <f>IFERROR(__xludf.DUMMYFUNCTION("IF(OR(CB74&gt;$BS74+$BT74*$BT$2,CB74&lt;$BS74-$BT74*$BT$2),AVEDEV(ARRAYFORMULA(XLOOKUP(FILTER(INDIRECT(""'""&amp;CB$1&amp;""'!$C$4:$C$66""),INDIRECT(""'""&amp;CB$1&amp;""'!$D$4:$D$66"")=CB$2),$G$4:$BQ$4,$G74:$BQ74))),"""")"),"")</f>
        <v/>
      </c>
      <c r="CD74" s="208" t="str">
        <f t="shared" si="10"/>
        <v/>
      </c>
      <c r="CE74" s="209" t="s">
        <v>444</v>
      </c>
      <c r="CF74" s="207">
        <f>IFERROR(__xludf.DUMMYFUNCTION("AVERAGE(ARRAYFORMULA(XLOOKUP(FILTER(INDIRECT(""'""&amp;CF$1&amp;""'!$C$4:$C$66""),INDIRECT(""'""&amp;CF$1&amp;""'!$D$4:$D$66"")=CF$2),$G$4:$BQ$4,$G74:$BQ74)))"),0.4435730775000001)</f>
        <v>0.4435730775</v>
      </c>
      <c r="CG74" s="207" t="str">
        <f>IFERROR(__xludf.DUMMYFUNCTION("IF(OR(CF74&gt;$BS74+$BT74*$BT$2,CF74&lt;$BS74-$BT74*$BT$2),AVEDEV(ARRAYFORMULA(XLOOKUP(FILTER(INDIRECT(""'""&amp;CF$1&amp;""'!$C$4:$C$66""),INDIRECT(""'""&amp;CF$1&amp;""'!$D$4:$D$66"")=CF$2),$G$4:$BQ$4,$G74:$BQ74))),"""")"),"")</f>
        <v/>
      </c>
      <c r="CH74" s="208" t="str">
        <f t="shared" si="11"/>
        <v/>
      </c>
      <c r="CI74" s="207">
        <f>IFERROR(__xludf.DUMMYFUNCTION("AVERAGE(ARRAYFORMULA(XLOOKUP(FILTER(INDIRECT(""'""&amp;CI$1&amp;""'!$C$4:$C$66""),INDIRECT(""'""&amp;CI$1&amp;""'!$D$4:$D$66"")=CI$2),$G$4:$BQ$4,$G74:$BQ74)))"),0.022607796129032277)</f>
        <v>0.02260779613</v>
      </c>
      <c r="CJ74" s="207" t="str">
        <f>IFERROR(__xludf.DUMMYFUNCTION("IF(OR(CI74&gt;$BS74+$BT74*$BT$2,CI74&lt;$BS74-$BT74*$BT$2),AVEDEV(ARRAYFORMULA(XLOOKUP(FILTER(INDIRECT(""'""&amp;CI$1&amp;""'!$C$4:$C$66""),INDIRECT(""'""&amp;CI$1&amp;""'!$D$4:$D$66"")=CI$2),$G$4:$BQ$4,$G74:$BQ74))),"""")"),"")</f>
        <v/>
      </c>
      <c r="CK74" s="208" t="str">
        <f t="shared" si="12"/>
        <v/>
      </c>
      <c r="CL74" s="207">
        <f>IFERROR(__xludf.DUMMYFUNCTION("AVERAGE(ARRAYFORMULA(XLOOKUP(FILTER(INDIRECT(""'""&amp;CL$1&amp;""'!$C$4:$C$66""),INDIRECT(""'""&amp;CL$1&amp;""'!$D$4:$D$66"")=CL$2),$G$4:$BQ$4,$G74:$BQ74)))"),-0.1496557)</f>
        <v>-0.1496557</v>
      </c>
      <c r="CM74" s="207" t="str">
        <f>IFERROR(__xludf.DUMMYFUNCTION("IF(OR(CL74&gt;$BS74+$BT74*$BT$2,CL74&lt;$BS74-$BT74*$BT$2),AVEDEV(ARRAYFORMULA(XLOOKUP(FILTER(INDIRECT(""'""&amp;CL$1&amp;""'!$C$4:$C$66""),INDIRECT(""'""&amp;CL$1&amp;""'!$D$4:$D$66"")=CL$2),$G$4:$BQ$4,$G74:$BQ74))),"""")"),"")</f>
        <v/>
      </c>
      <c r="CN74" s="208" t="str">
        <f t="shared" si="13"/>
        <v/>
      </c>
      <c r="CO74" s="209" t="s">
        <v>444</v>
      </c>
      <c r="CP74" s="210">
        <f>IFERROR(__xludf.DUMMYFUNCTION("AVERAGE(ARRAYFORMULA(XLOOKUP(FILTER(INDIRECT(""'""&amp;CP$1&amp;""'!$C$4:$C$66""),INDIRECT(""'""&amp;CP$1&amp;""'!$D$4:$D$66"")=CP$2),$G$4:$BQ$4,$G74:$BQ74)))"),0.8601887226666666)</f>
        <v>0.8601887227</v>
      </c>
      <c r="CQ74" s="207" t="str">
        <f>IFERROR(__xludf.DUMMYFUNCTION("IF(OR(CP74&gt;$BS74+$BT74*$BT$2,CP74&lt;$BS74-$BT74*$BT$2),AVEDEV(ARRAYFORMULA(XLOOKUP(FILTER(INDIRECT(""'""&amp;CP$1&amp;""'!$C$4:$C$66""),INDIRECT(""'""&amp;CP$1&amp;""'!$D$4:$D$66"")=CP$2),$G$4:$BQ$4,$G74:$BQ74))),"""")"),"")</f>
        <v/>
      </c>
      <c r="CR74" s="208" t="str">
        <f t="shared" si="14"/>
        <v/>
      </c>
      <c r="CS74" s="210">
        <f>IFERROR(__xludf.DUMMYFUNCTION("AVERAGE(ARRAYFORMULA(XLOOKUP(FILTER(INDIRECT(""'""&amp;CS$1&amp;""'!$C$4:$C$66""),INDIRECT(""'""&amp;CS$1&amp;""'!$D$4:$D$66"")=CS$2),$G$4:$BQ$4,$G74:$BQ74)))"),-0.09322581923076924)</f>
        <v>-0.09322581923</v>
      </c>
      <c r="CT74" s="207" t="str">
        <f>IFERROR(__xludf.DUMMYFUNCTION("IF(OR(CS74&gt;$BS74+$BT74*$BT$2,CS74&lt;$BS74-$BT74*$BT$2),AVEDEV(ARRAYFORMULA(XLOOKUP(FILTER(INDIRECT(""'""&amp;CS$1&amp;""'!$C$4:$C$66""),INDIRECT(""'""&amp;CS$1&amp;""'!$D$4:$D$66"")=CS$2),$G$4:$BQ$4,$G74:$BQ74))),"""")"),"")</f>
        <v/>
      </c>
      <c r="CU74" s="208" t="str">
        <f t="shared" si="15"/>
        <v/>
      </c>
      <c r="CV74" s="210">
        <f>IFERROR(__xludf.DUMMYFUNCTION("AVERAGE(ARRAYFORMULA(XLOOKUP(FILTER(INDIRECT(""'""&amp;CV$1&amp;""'!$C$4:$C$66""),INDIRECT(""'""&amp;CV$1&amp;""'!$D$4:$D$66"")=CV$2),$G$4:$BQ$4,$G74:$BQ74)))"),-0.1496557)</f>
        <v>-0.1496557</v>
      </c>
      <c r="CW74" s="207" t="str">
        <f>IFERROR(__xludf.DUMMYFUNCTION("IF(OR(CV74&gt;$BS74+$BT74*$BT$2,CV74&lt;$BS74-$BT74*$BT$2),AVEDEV(ARRAYFORMULA(XLOOKUP(FILTER(INDIRECT(""'""&amp;CV$1&amp;""'!$C$4:$C$66""),INDIRECT(""'""&amp;CV$1&amp;""'!$D$4:$D$66"")=CV$2),$G$4:$BQ$4,$G74:$BQ74))),"""")"),"")</f>
        <v/>
      </c>
      <c r="CX74" s="208" t="str">
        <f t="shared" si="16"/>
        <v/>
      </c>
      <c r="CY74" s="209" t="s">
        <v>444</v>
      </c>
      <c r="CZ74" s="210">
        <f>IFERROR(__xludf.DUMMYFUNCTION("AVERAGE(ARRAYFORMULA(XLOOKUP(FILTER(INDIRECT(""'""&amp;CZ$1&amp;""'!$C$4:$C$66""),INDIRECT(""'""&amp;CZ$1&amp;""'!$D$4:$D$66"")=CZ$2),$G$4:$BQ$4,$G74:$BQ74)))"),0.21018691357142857)</f>
        <v>0.2101869136</v>
      </c>
      <c r="DA74" s="207" t="str">
        <f>IFERROR(__xludf.DUMMYFUNCTION("IF(OR(CZ74&gt;$BS74+$BT74*$BT$2,CZ74&lt;$BS74-$BT74*$BT$2),AVEDEV(ARRAYFORMULA(XLOOKUP(FILTER(INDIRECT(""'""&amp;CZ$1&amp;""'!$C$4:$C$66""),INDIRECT(""'""&amp;CZ$1&amp;""'!$D$4:$D$66"")=CZ$2),$G$4:$BQ$4,$G74:$BQ74))),"""")"),"")</f>
        <v/>
      </c>
      <c r="DB74" s="208" t="str">
        <f t="shared" si="17"/>
        <v/>
      </c>
      <c r="DC74" s="210">
        <f>IFERROR(__xludf.DUMMYFUNCTION("AVERAGE(ARRAYFORMULA(XLOOKUP(FILTER(INDIRECT(""'""&amp;DC$1&amp;""'!$C$4:$C$66""),INDIRECT(""'""&amp;DC$1&amp;""'!$D$4:$D$66"")=DC$2),$G$4:$BQ$4,$G74:$BQ74)))"),-0.2064099377777778)</f>
        <v>-0.2064099378</v>
      </c>
      <c r="DD74" s="207" t="str">
        <f>IFERROR(__xludf.DUMMYFUNCTION("IF(OR(DC74&gt;$BS74+$BT74*$BT$2,DC74&lt;$BS74-$BT74*$BT$2),AVEDEV(ARRAYFORMULA(XLOOKUP(FILTER(INDIRECT(""'""&amp;DC$1&amp;""'!$C$4:$C$66""),INDIRECT(""'""&amp;DC$1&amp;""'!$D$4:$D$66"")=DC$2),$G$4:$BQ$4,$G74:$BQ74))),"""")"),"")</f>
        <v/>
      </c>
      <c r="DE74" s="208" t="str">
        <f t="shared" si="18"/>
        <v/>
      </c>
      <c r="DF74" s="210">
        <f>IFERROR(__xludf.DUMMYFUNCTION("AVERAGE(ARRAYFORMULA(XLOOKUP(FILTER(INDIRECT(""'""&amp;DF$1&amp;""'!$C$4:$C$66""),INDIRECT(""'""&amp;DF$1&amp;""'!$D$4:$D$66"")=DF$2),$G$4:$BQ$4,$G74:$BQ74)))"),0.16220352363636364)</f>
        <v>0.1622035236</v>
      </c>
      <c r="DG74" s="207" t="str">
        <f>IFERROR(__xludf.DUMMYFUNCTION("IF(OR(DF74&gt;$BS74+$BT74*$BT$2,DF74&lt;$BS74-$BT74*$BT$2),AVEDEV(ARRAYFORMULA(XLOOKUP(FILTER(INDIRECT(""'""&amp;DF$1&amp;""'!$C$4:$C$66""),INDIRECT(""'""&amp;DF$1&amp;""'!$D$4:$D$66"")=DF$2),$G$4:$BQ$4,$G74:$BQ74))),"""")"),"")</f>
        <v/>
      </c>
      <c r="DH74" s="208" t="str">
        <f t="shared" si="19"/>
        <v/>
      </c>
      <c r="DI74" s="210">
        <f>IFERROR(__xludf.DUMMYFUNCTION("AVERAGE(ARRAYFORMULA(XLOOKUP(FILTER(INDIRECT(""'""&amp;DI$1&amp;""'!$C$4:$C$66""),INDIRECT(""'""&amp;DI$1&amp;""'!$D$4:$D$66"")=DI$2),$G$4:$BQ$4,$G74:$BQ74)))"),-0.7482785000000001)</f>
        <v>-0.7482785</v>
      </c>
      <c r="DJ74" s="207">
        <f>IFERROR(__xludf.DUMMYFUNCTION("IF(OR(DI74&gt;$BS74+$BT74*$BT$2,DI74&lt;$BS74-$BT74*$BT$2),AVEDEV(ARRAYFORMULA(XLOOKUP(FILTER(INDIRECT(""'""&amp;DI$1&amp;""'!$C$4:$C$66""),INDIRECT(""'""&amp;DI$1&amp;""'!$D$4:$D$66"")=DI$2),$G$4:$BQ$4,$G74:$BQ74))),"""")"),0.6503443)</f>
        <v>0.6503443</v>
      </c>
      <c r="DK74" s="208">
        <f t="shared" si="20"/>
        <v>-0.2085612671</v>
      </c>
      <c r="DL74" s="210">
        <f>IFERROR(__xludf.DUMMYFUNCTION("AVERAGE(ARRAYFORMULA(XLOOKUP(FILTER(INDIRECT(""'""&amp;DL$1&amp;""'!$C$4:$C$66""),INDIRECT(""'""&amp;DL$1&amp;""'!$D$4:$D$66"")=DL$2),$G$4:$BQ$4,$G74:$BQ74)))"),-0.04000436714285715)</f>
        <v>-0.04000436714</v>
      </c>
      <c r="DM74" s="207" t="str">
        <f>IFERROR(__xludf.DUMMYFUNCTION("IF(OR(DL74&gt;$BS74+$BT74*$BT$2,DL74&lt;$BS74-$BT74*$BT$2),AVEDEV(ARRAYFORMULA(XLOOKUP(FILTER(INDIRECT(""'""&amp;DL$1&amp;""'!$C$4:$C$66""),INDIRECT(""'""&amp;DL$1&amp;""'!$D$4:$D$66"")=DL$2),$G$4:$BQ$4,$G74:$BQ74))),"""")"),"")</f>
        <v/>
      </c>
      <c r="DN74" s="208" t="str">
        <f t="shared" si="21"/>
        <v/>
      </c>
      <c r="DO74" s="209" t="s">
        <v>444</v>
      </c>
      <c r="DP74" s="210">
        <f>IFERROR(__xludf.DUMMYFUNCTION("AVERAGE(ARRAYFORMULA(XLOOKUP(FILTER(INDIRECT(""'""&amp;DP$1&amp;""'!$C$4:$C$66""),INDIRECT(""'""&amp;DP$1&amp;""'!$D$4:$D$66"")=DP$2),$G$4:$BQ$4,$G74:$BQ74)))"),0.15480745199999998)</f>
        <v>0.154807452</v>
      </c>
      <c r="DQ74" s="207" t="str">
        <f>IFERROR(__xludf.DUMMYFUNCTION("IF(OR(DP74&gt;$BS74+$BT74*$BT$2,DP74&lt;$BS74-$BT74*$BT$2),AVEDEV(ARRAYFORMULA(XLOOKUP(FILTER(INDIRECT(""'""&amp;DP$1&amp;""'!$C$4:$C$66""),INDIRECT(""'""&amp;DP$1&amp;""'!$D$4:$D$66"")=DP$2),$G$4:$BQ$4,$G74:$BQ74))),"""")"),"")</f>
        <v/>
      </c>
      <c r="DR74" s="208" t="str">
        <f t="shared" si="22"/>
        <v/>
      </c>
      <c r="DS74" s="210">
        <f>IFERROR(__xludf.DUMMYFUNCTION("AVERAGE(ARRAYFORMULA(XLOOKUP(FILTER(INDIRECT(""'""&amp;DS$1&amp;""'!$C$4:$C$66""),INDIRECT(""'""&amp;DS$1&amp;""'!$D$4:$D$66"")=DS$2),$G$4:$BQ$4,$G74:$BQ74)))"),-0.19960894666666668)</f>
        <v>-0.1996089467</v>
      </c>
      <c r="DT74" s="207" t="str">
        <f>IFERROR(__xludf.DUMMYFUNCTION("IF(OR(DS74&gt;$BS74+$BT74*$BT$2,DS74&lt;$BS74-$BT74*$BT$2),AVEDEV(ARRAYFORMULA(XLOOKUP(FILTER(INDIRECT(""'""&amp;DS$1&amp;""'!$C$4:$C$66""),INDIRECT(""'""&amp;DS$1&amp;""'!$D$4:$D$66"")=DS$2),$G$4:$BQ$4,$G74:$BQ74))),"""")"),"")</f>
        <v/>
      </c>
      <c r="DU74" s="208" t="str">
        <f t="shared" si="23"/>
        <v/>
      </c>
      <c r="DV74" s="210">
        <f>IFERROR(__xludf.DUMMYFUNCTION("AVERAGE(ARRAYFORMULA(XLOOKUP(FILTER(INDIRECT(""'""&amp;DV$1&amp;""'!$C$4:$C$66""),INDIRECT(""'""&amp;DV$1&amp;""'!$D$4:$D$66"")=DV$2),$G$4:$BQ$4,$G74:$BQ74)))"),0.6715761299999999)</f>
        <v>0.67157613</v>
      </c>
      <c r="DW74" s="207" t="str">
        <f>IFERROR(__xludf.DUMMYFUNCTION("IF(OR(DV74&gt;$BS74+$BT74*$BT$2,DV74&lt;$BS74-$BT74*$BT$2),AVEDEV(ARRAYFORMULA(XLOOKUP(FILTER(INDIRECT(""'""&amp;DV$1&amp;""'!$C$4:$C$66""),INDIRECT(""'""&amp;DV$1&amp;""'!$D$4:$D$66"")=DV$2),$G$4:$BQ$4,$G74:$BQ74))),"""")"),"")</f>
        <v/>
      </c>
      <c r="DX74" s="208" t="str">
        <f t="shared" si="24"/>
        <v/>
      </c>
      <c r="DY74" s="210">
        <f>IFERROR(__xludf.DUMMYFUNCTION("AVERAGE(ARRAYFORMULA(XLOOKUP(FILTER(INDIRECT(""'""&amp;DY$1&amp;""'!$C$4:$C$66""),INDIRECT(""'""&amp;DY$1&amp;""'!$D$4:$D$66"")=DY$2),$G$4:$BQ$4,$G74:$BQ74)))"),-0.17546543777777776)</f>
        <v>-0.1754654378</v>
      </c>
      <c r="DZ74" s="207" t="str">
        <f>IFERROR(__xludf.DUMMYFUNCTION("IF(OR(DY74&gt;$BS74+$BT74*$BT$2,DY74&lt;$BS74-$BT74*$BT$2),AVEDEV(ARRAYFORMULA(XLOOKUP(FILTER(INDIRECT(""'""&amp;DY$1&amp;""'!$C$4:$C$66""),INDIRECT(""'""&amp;DY$1&amp;""'!$D$4:$D$66"")=DY$2),$G$4:$BQ$4,$G74:$BQ74))),"""")"),"")</f>
        <v/>
      </c>
      <c r="EA74" s="208" t="str">
        <f t="shared" si="25"/>
        <v/>
      </c>
      <c r="EB74" s="191"/>
    </row>
    <row r="75" outlineLevel="1">
      <c r="A75" s="2"/>
      <c r="B75" s="204">
        <v>71.0</v>
      </c>
      <c r="C75" s="204" t="s">
        <v>507</v>
      </c>
      <c r="D75" s="204" t="s">
        <v>516</v>
      </c>
      <c r="E75" s="205" t="b">
        <f>VLOOKUP(D75,'Feature Set List'!A71:C246,2,0)</f>
        <v>1</v>
      </c>
      <c r="F75" s="205" t="b">
        <f>VLOOKUP(D75,'Feature Set List'!A71:C246,3,0)</f>
        <v>1</v>
      </c>
      <c r="G75" s="205">
        <v>0.42772861</v>
      </c>
      <c r="H75" s="205">
        <v>0.02654867</v>
      </c>
      <c r="I75" s="205">
        <v>-0.7020649</v>
      </c>
      <c r="J75" s="205">
        <v>-0.3569322</v>
      </c>
      <c r="K75" s="205">
        <v>-0.0884956</v>
      </c>
      <c r="L75" s="205">
        <v>0.07374631</v>
      </c>
      <c r="M75" s="205">
        <v>0.68141593</v>
      </c>
      <c r="N75" s="205">
        <v>0.69911504</v>
      </c>
      <c r="O75" s="205">
        <v>-0.2477876</v>
      </c>
      <c r="P75" s="205">
        <v>0.48672566</v>
      </c>
      <c r="Q75" s="205">
        <v>-0.0324484</v>
      </c>
      <c r="R75" s="205">
        <v>0.94100295</v>
      </c>
      <c r="S75" s="205">
        <v>0.75811209</v>
      </c>
      <c r="T75" s="205">
        <v>0.53687316</v>
      </c>
      <c r="U75" s="205">
        <v>-1.0619469</v>
      </c>
      <c r="V75" s="205">
        <v>-0.0884956</v>
      </c>
      <c r="W75" s="205">
        <v>-0.3834808</v>
      </c>
      <c r="X75" s="205">
        <v>3.10324484</v>
      </c>
      <c r="Y75" s="205">
        <v>-0.1858407</v>
      </c>
      <c r="Z75" s="205">
        <v>0.53982301</v>
      </c>
      <c r="AA75" s="205">
        <v>3.43952802</v>
      </c>
      <c r="AB75" s="205">
        <v>1.68731563</v>
      </c>
      <c r="AC75" s="205">
        <v>0.43657817</v>
      </c>
      <c r="AD75" s="205">
        <v>-0.300885</v>
      </c>
      <c r="AE75" s="205">
        <v>0.93510324</v>
      </c>
      <c r="AF75" s="205">
        <v>0.09734513</v>
      </c>
      <c r="AG75" s="205">
        <v>1.01474926</v>
      </c>
      <c r="AH75" s="205">
        <v>1.33923304</v>
      </c>
      <c r="AI75" s="205">
        <v>-0.7699115</v>
      </c>
      <c r="AJ75" s="205">
        <v>0.89380531</v>
      </c>
      <c r="AK75" s="205">
        <v>-0.3746313</v>
      </c>
      <c r="AL75" s="205">
        <v>-0.7020649</v>
      </c>
      <c r="AM75" s="205">
        <v>-0.5427729</v>
      </c>
      <c r="AN75" s="205">
        <v>-0.1297935</v>
      </c>
      <c r="AO75" s="205">
        <v>1.25663717</v>
      </c>
      <c r="AP75" s="205">
        <v>-0.1533923</v>
      </c>
      <c r="AQ75" s="205">
        <v>0.71386431</v>
      </c>
      <c r="AR75" s="205">
        <v>0.59292035</v>
      </c>
      <c r="AS75" s="205">
        <v>0.7640118</v>
      </c>
      <c r="AT75" s="205">
        <v>0.63126844</v>
      </c>
      <c r="AU75" s="205">
        <v>-0.1917404</v>
      </c>
      <c r="AV75" s="205">
        <v>-0.359882</v>
      </c>
      <c r="AW75" s="205">
        <v>0.33333333</v>
      </c>
      <c r="AX75" s="205">
        <v>0.23303835</v>
      </c>
      <c r="AY75" s="205">
        <v>-0.0678466</v>
      </c>
      <c r="AZ75" s="205">
        <v>1.51622419</v>
      </c>
      <c r="BA75" s="205">
        <v>-0.4572271</v>
      </c>
      <c r="BB75" s="205">
        <v>0.88495575</v>
      </c>
      <c r="BC75" s="205">
        <v>0.0</v>
      </c>
      <c r="BD75" s="205">
        <v>-0.5988201</v>
      </c>
      <c r="BE75" s="205">
        <v>-0.5044248</v>
      </c>
      <c r="BF75" s="205">
        <v>-0.719764</v>
      </c>
      <c r="BG75" s="205">
        <v>-0.0029499</v>
      </c>
      <c r="BH75" s="205">
        <v>0.12684366</v>
      </c>
      <c r="BI75" s="205">
        <v>-0.1032448</v>
      </c>
      <c r="BJ75" s="205">
        <v>-0.120944</v>
      </c>
      <c r="BK75" s="205">
        <v>-0.1268437</v>
      </c>
      <c r="BL75" s="205">
        <v>-2.0283186</v>
      </c>
      <c r="BM75" s="205">
        <v>5.38348083</v>
      </c>
      <c r="BN75" s="205">
        <v>-0.0265487</v>
      </c>
      <c r="BO75" s="205">
        <v>0.35988201</v>
      </c>
      <c r="BP75" s="205">
        <v>-0.3185841</v>
      </c>
      <c r="BQ75" s="205">
        <v>-0.3923304</v>
      </c>
      <c r="BR75" s="206"/>
      <c r="BS75" s="207">
        <f t="shared" si="6"/>
        <v>0.2980006502</v>
      </c>
      <c r="BT75" s="207">
        <f t="shared" si="7"/>
        <v>0.7177433408</v>
      </c>
      <c r="BU75" s="206"/>
      <c r="BV75" s="207">
        <f>IFERROR(__xludf.DUMMYFUNCTION("AVERAGE(ARRAYFORMULA(XLOOKUP(FILTER(INDIRECT(""'""&amp;BV$1&amp;""'!$C$4:$C$66""),INDIRECT(""'""&amp;BV$1&amp;""'!$D$4:$D$66"")=BV$2),$G$4:$BQ$4,$G75:$BQ75)))"),0.22604297999999998)</f>
        <v>0.22604298</v>
      </c>
      <c r="BW75" s="207" t="str">
        <f>IFERROR(__xludf.DUMMYFUNCTION("IF(OR(BV75&gt;$BS75+$BT75*$BT$2,BV75&lt;$BS75-$BT75*$BT$2),AVEDEV(ARRAYFORMULA(XLOOKUP(FILTER(INDIRECT(""'""&amp;BV$1&amp;""'!$C$4:$C$66""),INDIRECT(""'""&amp;BV$1&amp;""'!$D$4:$D$66"")=BV$2),$G$4:$BQ$4,$G75:$BQ75))),"""")"),"")</f>
        <v/>
      </c>
      <c r="BX75" s="208" t="str">
        <f t="shared" si="8"/>
        <v/>
      </c>
      <c r="BY75" s="207">
        <f>IFERROR(__xludf.DUMMYFUNCTION("AVERAGE(ARRAYFORMULA(XLOOKUP(FILTER(INDIRECT(""'""&amp;BY$1&amp;""'!$C$4:$C$66""),INDIRECT(""'""&amp;BY$1&amp;""'!$D$4:$D$66"")=BY$2),$G$4:$BQ$4,$G75:$BQ75)))"),0.2501755780952381)</f>
        <v>0.2501755781</v>
      </c>
      <c r="BZ75" s="207" t="str">
        <f>IFERROR(__xludf.DUMMYFUNCTION("IF(OR(BY75&gt;$BS75+$BT75*$BT$2,BY75&lt;$BS75-$BT75*$BT$2),AVEDEV(ARRAYFORMULA(XLOOKUP(FILTER(INDIRECT(""'""&amp;BY$1&amp;""'!$C$4:$C$66""),INDIRECT(""'""&amp;BY$1&amp;""'!$D$4:$D$66"")=BY$2),$G$4:$BQ$4,$G75:$BQ75))),"""")"),"")</f>
        <v/>
      </c>
      <c r="CA75" s="208" t="str">
        <f t="shared" si="9"/>
        <v/>
      </c>
      <c r="CB75" s="207">
        <f>IFERROR(__xludf.DUMMYFUNCTION("AVERAGE(ARRAYFORMULA(XLOOKUP(FILTER(INDIRECT(""'""&amp;CB$1&amp;""'!$C$4:$C$66""),INDIRECT(""'""&amp;CB$1&amp;""'!$D$4:$D$66"")=CB$2),$G$4:$BQ$4,$G75:$BQ75)))"),0.7433628381818181)</f>
        <v>0.7433628382</v>
      </c>
      <c r="CC75" s="207" t="str">
        <f>IFERROR(__xludf.DUMMYFUNCTION("IF(OR(CB75&gt;$BS75+$BT75*$BT$2,CB75&lt;$BS75-$BT75*$BT$2),AVEDEV(ARRAYFORMULA(XLOOKUP(FILTER(INDIRECT(""'""&amp;CB$1&amp;""'!$C$4:$C$66""),INDIRECT(""'""&amp;CB$1&amp;""'!$D$4:$D$66"")=CB$2),$G$4:$BQ$4,$G75:$BQ75))),"""")"),"")</f>
        <v/>
      </c>
      <c r="CD75" s="208" t="str">
        <f t="shared" si="10"/>
        <v/>
      </c>
      <c r="CE75" s="209" t="s">
        <v>444</v>
      </c>
      <c r="CF75" s="207">
        <f>IFERROR(__xludf.DUMMYFUNCTION("AVERAGE(ARRAYFORMULA(XLOOKUP(FILTER(INDIRECT(""'""&amp;CF$1&amp;""'!$C$4:$C$66""),INDIRECT(""'""&amp;CF$1&amp;""'!$D$4:$D$66"")=CF$2),$G$4:$BQ$4,$G75:$BQ75)))"),0.10158554000000002)</f>
        <v>0.10158554</v>
      </c>
      <c r="CG75" s="207" t="str">
        <f>IFERROR(__xludf.DUMMYFUNCTION("IF(OR(CF75&gt;$BS75+$BT75*$BT$2,CF75&lt;$BS75-$BT75*$BT$2),AVEDEV(ARRAYFORMULA(XLOOKUP(FILTER(INDIRECT(""'""&amp;CF$1&amp;""'!$C$4:$C$66""),INDIRECT(""'""&amp;CF$1&amp;""'!$D$4:$D$66"")=CF$2),$G$4:$BQ$4,$G75:$BQ75))),"""")"),"")</f>
        <v/>
      </c>
      <c r="CH75" s="208" t="str">
        <f t="shared" si="11"/>
        <v/>
      </c>
      <c r="CI75" s="207">
        <f>IFERROR(__xludf.DUMMYFUNCTION("AVERAGE(ARRAYFORMULA(XLOOKUP(FILTER(INDIRECT(""'""&amp;CI$1&amp;""'!$C$4:$C$66""),INDIRECT(""'""&amp;CI$1&amp;""'!$D$4:$D$66"")=CI$2),$G$4:$BQ$4,$G75:$BQ75)))"),0.25758872709677433)</f>
        <v>0.2575887271</v>
      </c>
      <c r="CJ75" s="207" t="str">
        <f>IFERROR(__xludf.DUMMYFUNCTION("IF(OR(CI75&gt;$BS75+$BT75*$BT$2,CI75&lt;$BS75-$BT75*$BT$2),AVEDEV(ARRAYFORMULA(XLOOKUP(FILTER(INDIRECT(""'""&amp;CI$1&amp;""'!$C$4:$C$66""),INDIRECT(""'""&amp;CI$1&amp;""'!$D$4:$D$66"")=CI$2),$G$4:$BQ$4,$G75:$BQ75))),"""")"),"")</f>
        <v/>
      </c>
      <c r="CK75" s="208" t="str">
        <f t="shared" si="12"/>
        <v/>
      </c>
      <c r="CL75" s="207">
        <f>IFERROR(__xludf.DUMMYFUNCTION("AVERAGE(ARRAYFORMULA(XLOOKUP(FILTER(INDIRECT(""'""&amp;CL$1&amp;""'!$C$4:$C$66""),INDIRECT(""'""&amp;CL$1&amp;""'!$D$4:$D$66"")=CL$2),$G$4:$BQ$4,$G75:$BQ75)))"),0.26548672399999995)</f>
        <v>0.265486724</v>
      </c>
      <c r="CM75" s="207" t="str">
        <f>IFERROR(__xludf.DUMMYFUNCTION("IF(OR(CL75&gt;$BS75+$BT75*$BT$2,CL75&lt;$BS75-$BT75*$BT$2),AVEDEV(ARRAYFORMULA(XLOOKUP(FILTER(INDIRECT(""'""&amp;CL$1&amp;""'!$C$4:$C$66""),INDIRECT(""'""&amp;CL$1&amp;""'!$D$4:$D$66"")=CL$2),$G$4:$BQ$4,$G75:$BQ75))),"""")"),"")</f>
        <v/>
      </c>
      <c r="CN75" s="208" t="str">
        <f t="shared" si="13"/>
        <v/>
      </c>
      <c r="CO75" s="209" t="s">
        <v>444</v>
      </c>
      <c r="CP75" s="210">
        <f>IFERROR(__xludf.DUMMYFUNCTION("AVERAGE(ARRAYFORMULA(XLOOKUP(FILTER(INDIRECT(""'""&amp;CP$1&amp;""'!$C$4:$C$66""),INDIRECT(""'""&amp;CP$1&amp;""'!$D$4:$D$66"")=CP$2),$G$4:$BQ$4,$G75:$BQ75)))"),1.1716814146666665)</f>
        <v>1.171681415</v>
      </c>
      <c r="CQ75" s="207">
        <f>IFERROR(__xludf.DUMMYFUNCTION("IF(OR(CP75&gt;$BS75+$BT75*$BT$2,CP75&lt;$BS75-$BT75*$BT$2),AVEDEV(ARRAYFORMULA(XLOOKUP(FILTER(INDIRECT(""'""&amp;CP$1&amp;""'!$C$4:$C$66""),INDIRECT(""'""&amp;CP$1&amp;""'!$D$4:$D$66"")=CP$2),$G$4:$BQ$4,$G75:$BQ75))),"""")"),1.2125860382222224)</f>
        <v>1.212586038</v>
      </c>
      <c r="CR75" s="208">
        <f t="shared" si="14"/>
        <v>0.1559374237</v>
      </c>
      <c r="CS75" s="210">
        <f>IFERROR(__xludf.DUMMYFUNCTION("AVERAGE(ARRAYFORMULA(XLOOKUP(FILTER(INDIRECT(""'""&amp;CS$1&amp;""'!$C$4:$C$66""),INDIRECT(""'""&amp;CS$1&amp;""'!$D$4:$D$66"")=CS$2),$G$4:$BQ$4,$G75:$BQ75)))"),0.08698282358974359)</f>
        <v>0.08698282359</v>
      </c>
      <c r="CT75" s="207" t="str">
        <f>IFERROR(__xludf.DUMMYFUNCTION("IF(OR(CS75&gt;$BS75+$BT75*$BT$2,CS75&lt;$BS75-$BT75*$BT$2),AVEDEV(ARRAYFORMULA(XLOOKUP(FILTER(INDIRECT(""'""&amp;CS$1&amp;""'!$C$4:$C$66""),INDIRECT(""'""&amp;CS$1&amp;""'!$D$4:$D$66"")=CS$2),$G$4:$BQ$4,$G75:$BQ75))),"""")"),"")</f>
        <v/>
      </c>
      <c r="CU75" s="208" t="str">
        <f t="shared" si="15"/>
        <v/>
      </c>
      <c r="CV75" s="210">
        <f>IFERROR(__xludf.DUMMYFUNCTION("AVERAGE(ARRAYFORMULA(XLOOKUP(FILTER(INDIRECT(""'""&amp;CV$1&amp;""'!$C$4:$C$66""),INDIRECT(""'""&amp;CV$1&amp;""'!$D$4:$D$66"")=CV$2),$G$4:$BQ$4,$G75:$BQ75)))"),0.26548672399999995)</f>
        <v>0.265486724</v>
      </c>
      <c r="CW75" s="207" t="str">
        <f>IFERROR(__xludf.DUMMYFUNCTION("IF(OR(CV75&gt;$BS75+$BT75*$BT$2,CV75&lt;$BS75-$BT75*$BT$2),AVEDEV(ARRAYFORMULA(XLOOKUP(FILTER(INDIRECT(""'""&amp;CV$1&amp;""'!$C$4:$C$66""),INDIRECT(""'""&amp;CV$1&amp;""'!$D$4:$D$66"")=CV$2),$G$4:$BQ$4,$G75:$BQ75))),"""")"),"")</f>
        <v/>
      </c>
      <c r="CX75" s="208" t="str">
        <f t="shared" si="16"/>
        <v/>
      </c>
      <c r="CY75" s="209" t="s">
        <v>444</v>
      </c>
      <c r="CZ75" s="210">
        <f>IFERROR(__xludf.DUMMYFUNCTION("AVERAGE(ARRAYFORMULA(XLOOKUP(FILTER(INDIRECT(""'""&amp;CZ$1&amp;""'!$C$4:$C$66""),INDIRECT(""'""&amp;CZ$1&amp;""'!$D$4:$D$66"")=CZ$2),$G$4:$BQ$4,$G75:$BQ75)))"),0.030762739285714293)</f>
        <v>0.03076273929</v>
      </c>
      <c r="DA75" s="207" t="str">
        <f>IFERROR(__xludf.DUMMYFUNCTION("IF(OR(CZ75&gt;$BS75+$BT75*$BT$2,CZ75&lt;$BS75-$BT75*$BT$2),AVEDEV(ARRAYFORMULA(XLOOKUP(FILTER(INDIRECT(""'""&amp;CZ$1&amp;""'!$C$4:$C$66""),INDIRECT(""'""&amp;CZ$1&amp;""'!$D$4:$D$66"")=CZ$2),$G$4:$BQ$4,$G75:$BQ75))),"""")"),"")</f>
        <v/>
      </c>
      <c r="DB75" s="208" t="str">
        <f t="shared" si="17"/>
        <v/>
      </c>
      <c r="DC75" s="210">
        <f>IFERROR(__xludf.DUMMYFUNCTION("AVERAGE(ARRAYFORMULA(XLOOKUP(FILTER(INDIRECT(""'""&amp;DC$1&amp;""'!$C$4:$C$66""),INDIRECT(""'""&amp;DC$1&amp;""'!$D$4:$D$66"")=DC$2),$G$4:$BQ$4,$G75:$BQ75)))"),0.14192068888888887)</f>
        <v>0.1419206889</v>
      </c>
      <c r="DD75" s="207" t="str">
        <f>IFERROR(__xludf.DUMMYFUNCTION("IF(OR(DC75&gt;$BS75+$BT75*$BT$2,DC75&lt;$BS75-$BT75*$BT$2),AVEDEV(ARRAYFORMULA(XLOOKUP(FILTER(INDIRECT(""'""&amp;DC$1&amp;""'!$C$4:$C$66""),INDIRECT(""'""&amp;DC$1&amp;""'!$D$4:$D$66"")=DC$2),$G$4:$BQ$4,$G75:$BQ75))),"""")"),"")</f>
        <v/>
      </c>
      <c r="DE75" s="208" t="str">
        <f t="shared" si="18"/>
        <v/>
      </c>
      <c r="DF75" s="210">
        <f>IFERROR(__xludf.DUMMYFUNCTION("AVERAGE(ARRAYFORMULA(XLOOKUP(FILTER(INDIRECT(""'""&amp;DF$1&amp;""'!$C$4:$C$66""),INDIRECT(""'""&amp;DF$1&amp;""'!$D$4:$D$66"")=DF$2),$G$4:$BQ$4,$G75:$BQ75)))"),0.8420487990909092)</f>
        <v>0.8420487991</v>
      </c>
      <c r="DG75" s="207" t="str">
        <f>IFERROR(__xludf.DUMMYFUNCTION("IF(OR(DF75&gt;$BS75+$BT75*$BT$2,DF75&lt;$BS75-$BT75*$BT$2),AVEDEV(ARRAYFORMULA(XLOOKUP(FILTER(INDIRECT(""'""&amp;DF$1&amp;""'!$C$4:$C$66""),INDIRECT(""'""&amp;DF$1&amp;""'!$D$4:$D$66"")=DF$2),$G$4:$BQ$4,$G75:$BQ75))),"""")"),"")</f>
        <v/>
      </c>
      <c r="DH75" s="208" t="str">
        <f t="shared" si="19"/>
        <v/>
      </c>
      <c r="DI75" s="210">
        <f>IFERROR(__xludf.DUMMYFUNCTION("AVERAGE(ARRAYFORMULA(XLOOKUP(FILTER(INDIRECT(""'""&amp;DI$1&amp;""'!$C$4:$C$66""),INDIRECT(""'""&amp;DI$1&amp;""'!$D$4:$D$66"")=DI$2),$G$4:$BQ$4,$G75:$BQ75)))"),-0.08702067000000001)</f>
        <v>-0.08702067</v>
      </c>
      <c r="DJ75" s="207" t="str">
        <f>IFERROR(__xludf.DUMMYFUNCTION("IF(OR(DI75&gt;$BS75+$BT75*$BT$2,DI75&lt;$BS75-$BT75*$BT$2),AVEDEV(ARRAYFORMULA(XLOOKUP(FILTER(INDIRECT(""'""&amp;DI$1&amp;""'!$C$4:$C$66""),INDIRECT(""'""&amp;DI$1&amp;""'!$D$4:$D$66"")=DI$2),$G$4:$BQ$4,$G75:$BQ75))),"""")"),"")</f>
        <v/>
      </c>
      <c r="DK75" s="208" t="str">
        <f t="shared" si="20"/>
        <v/>
      </c>
      <c r="DL75" s="210">
        <f>IFERROR(__xludf.DUMMYFUNCTION("AVERAGE(ARRAYFORMULA(XLOOKUP(FILTER(INDIRECT(""'""&amp;DL$1&amp;""'!$C$4:$C$66""),INDIRECT(""'""&amp;DL$1&amp;""'!$D$4:$D$66"")=DL$2),$G$4:$BQ$4,$G75:$BQ75)))"),0.13063631928571426)</f>
        <v>0.1306363193</v>
      </c>
      <c r="DM75" s="207" t="str">
        <f>IFERROR(__xludf.DUMMYFUNCTION("IF(OR(DL75&gt;$BS75+$BT75*$BT$2,DL75&lt;$BS75-$BT75*$BT$2),AVEDEV(ARRAYFORMULA(XLOOKUP(FILTER(INDIRECT(""'""&amp;DL$1&amp;""'!$C$4:$C$66""),INDIRECT(""'""&amp;DL$1&amp;""'!$D$4:$D$66"")=DL$2),$G$4:$BQ$4,$G75:$BQ75))),"""")"),"")</f>
        <v/>
      </c>
      <c r="DN75" s="208" t="str">
        <f t="shared" si="21"/>
        <v/>
      </c>
      <c r="DO75" s="209" t="s">
        <v>444</v>
      </c>
      <c r="DP75" s="210">
        <f>IFERROR(__xludf.DUMMYFUNCTION("AVERAGE(ARRAYFORMULA(XLOOKUP(FILTER(INDIRECT(""'""&amp;DP$1&amp;""'!$C$4:$C$66""),INDIRECT(""'""&amp;DP$1&amp;""'!$D$4:$D$66"")=DP$2),$G$4:$BQ$4,$G75:$BQ75)))"),0.1385447303333334)</f>
        <v>0.1385447303</v>
      </c>
      <c r="DQ75" s="207" t="str">
        <f>IFERROR(__xludf.DUMMYFUNCTION("IF(OR(DP75&gt;$BS75+$BT75*$BT$2,DP75&lt;$BS75-$BT75*$BT$2),AVEDEV(ARRAYFORMULA(XLOOKUP(FILTER(INDIRECT(""'""&amp;DP$1&amp;""'!$C$4:$C$66""),INDIRECT(""'""&amp;DP$1&amp;""'!$D$4:$D$66"")=DP$2),$G$4:$BQ$4,$G75:$BQ75))),"""")"),"")</f>
        <v/>
      </c>
      <c r="DR75" s="208" t="str">
        <f t="shared" si="22"/>
        <v/>
      </c>
      <c r="DS75" s="210">
        <f>IFERROR(__xludf.DUMMYFUNCTION("AVERAGE(ARRAYFORMULA(XLOOKUP(FILTER(INDIRECT(""'""&amp;DS$1&amp;""'!$C$4:$C$66""),INDIRECT(""'""&amp;DS$1&amp;""'!$D$4:$D$66"")=DS$2),$G$4:$BQ$4,$G75:$BQ75)))"),0.7099311777777778)</f>
        <v>0.7099311778</v>
      </c>
      <c r="DT75" s="207" t="str">
        <f>IFERROR(__xludf.DUMMYFUNCTION("IF(OR(DS75&gt;$BS75+$BT75*$BT$2,DS75&lt;$BS75-$BT75*$BT$2),AVEDEV(ARRAYFORMULA(XLOOKUP(FILTER(INDIRECT(""'""&amp;DS$1&amp;""'!$C$4:$C$66""),INDIRECT(""'""&amp;DS$1&amp;""'!$D$4:$D$66"")=DS$2),$G$4:$BQ$4,$G75:$BQ75))),"""")"),"")</f>
        <v/>
      </c>
      <c r="DU75" s="208" t="str">
        <f t="shared" si="23"/>
        <v/>
      </c>
      <c r="DV75" s="210">
        <f>IFERROR(__xludf.DUMMYFUNCTION("AVERAGE(ARRAYFORMULA(XLOOKUP(FILTER(INDIRECT(""'""&amp;DV$1&amp;""'!$C$4:$C$66""),INDIRECT(""'""&amp;DV$1&amp;""'!$D$4:$D$66"")=DV$2),$G$4:$BQ$4,$G75:$BQ75)))"),0.7713864325)</f>
        <v>0.7713864325</v>
      </c>
      <c r="DW75" s="207" t="str">
        <f>IFERROR(__xludf.DUMMYFUNCTION("IF(OR(DV75&gt;$BS75+$BT75*$BT$2,DV75&lt;$BS75-$BT75*$BT$2),AVEDEV(ARRAYFORMULA(XLOOKUP(FILTER(INDIRECT(""'""&amp;DV$1&amp;""'!$C$4:$C$66""),INDIRECT(""'""&amp;DV$1&amp;""'!$D$4:$D$66"")=DV$2),$G$4:$BQ$4,$G75:$BQ75))),"""")"),"")</f>
        <v/>
      </c>
      <c r="DX75" s="208" t="str">
        <f t="shared" si="24"/>
        <v/>
      </c>
      <c r="DY75" s="210">
        <f>IFERROR(__xludf.DUMMYFUNCTION("AVERAGE(ARRAYFORMULA(XLOOKUP(FILTER(INDIRECT(""'""&amp;DY$1&amp;""'!$C$4:$C$66""),INDIRECT(""'""&amp;DY$1&amp;""'!$D$4:$D$66"")=DY$2),$G$4:$BQ$4,$G75:$BQ75)))"),0.06948540333333335)</f>
        <v>0.06948540333</v>
      </c>
      <c r="DZ75" s="207" t="str">
        <f>IFERROR(__xludf.DUMMYFUNCTION("IF(OR(DY75&gt;$BS75+$BT75*$BT$2,DY75&lt;$BS75-$BT75*$BT$2),AVEDEV(ARRAYFORMULA(XLOOKUP(FILTER(INDIRECT(""'""&amp;DY$1&amp;""'!$C$4:$C$66""),INDIRECT(""'""&amp;DY$1&amp;""'!$D$4:$D$66"")=DY$2),$G$4:$BQ$4,$G75:$BQ75))),"""")"),"")</f>
        <v/>
      </c>
      <c r="EA75" s="208" t="str">
        <f t="shared" si="25"/>
        <v/>
      </c>
      <c r="EB75" s="191"/>
    </row>
    <row r="76" outlineLevel="1">
      <c r="A76" s="2"/>
      <c r="B76" s="204">
        <v>72.0</v>
      </c>
      <c r="C76" s="204" t="s">
        <v>507</v>
      </c>
      <c r="D76" s="204" t="s">
        <v>517</v>
      </c>
      <c r="E76" s="205" t="b">
        <f>VLOOKUP(D76,'Feature Set List'!A72:C246,2,0)</f>
        <v>1</v>
      </c>
      <c r="F76" s="205" t="b">
        <f>VLOOKUP(D76,'Feature Set List'!A72:C246,3,0)</f>
        <v>1</v>
      </c>
      <c r="G76" s="205">
        <v>1.68999571</v>
      </c>
      <c r="H76" s="205">
        <v>0.19235723</v>
      </c>
      <c r="I76" s="205">
        <v>3.67196222</v>
      </c>
      <c r="J76" s="205">
        <v>-0.7531129</v>
      </c>
      <c r="K76" s="205">
        <v>0.50493774</v>
      </c>
      <c r="L76" s="205">
        <v>-0.2662087</v>
      </c>
      <c r="M76" s="205">
        <v>2.5770717</v>
      </c>
      <c r="N76" s="205">
        <v>-0.9944182</v>
      </c>
      <c r="O76" s="205">
        <v>-0.5349936</v>
      </c>
      <c r="P76" s="205">
        <v>0.68269644</v>
      </c>
      <c r="Q76" s="205">
        <v>-0.2052383</v>
      </c>
      <c r="R76" s="205">
        <v>-0.3941606</v>
      </c>
      <c r="S76" s="205">
        <v>0.12451696</v>
      </c>
      <c r="T76" s="205">
        <v>0.20953199</v>
      </c>
      <c r="U76" s="205">
        <v>-2.6784027</v>
      </c>
      <c r="V76" s="205">
        <v>-0.1279519</v>
      </c>
      <c r="W76" s="205">
        <v>-0.6346071</v>
      </c>
      <c r="X76" s="205">
        <v>-0.0377845</v>
      </c>
      <c r="Y76" s="205">
        <v>0.02662087</v>
      </c>
      <c r="Z76" s="205">
        <v>0.26191498</v>
      </c>
      <c r="AA76" s="205">
        <v>2.17518248</v>
      </c>
      <c r="AB76" s="205">
        <v>1.78273937</v>
      </c>
      <c r="AC76" s="205">
        <v>0.05495921</v>
      </c>
      <c r="AD76" s="205">
        <v>-0.2498927</v>
      </c>
      <c r="AE76" s="205">
        <v>-0.4748819</v>
      </c>
      <c r="AF76" s="205">
        <v>-0.2601975</v>
      </c>
      <c r="AG76" s="205">
        <v>1.44611421</v>
      </c>
      <c r="AH76" s="205">
        <v>0.12022327</v>
      </c>
      <c r="AI76" s="205">
        <v>-0.7994848</v>
      </c>
      <c r="AJ76" s="205">
        <v>2.86303134</v>
      </c>
      <c r="AK76" s="205">
        <v>0.1983684</v>
      </c>
      <c r="AL76" s="205">
        <v>-0.5959639</v>
      </c>
      <c r="AM76" s="205">
        <v>-1.0656934</v>
      </c>
      <c r="AN76" s="205">
        <v>-0.2473164</v>
      </c>
      <c r="AO76" s="205">
        <v>1.96307428</v>
      </c>
      <c r="AP76" s="205">
        <v>-0.8286818</v>
      </c>
      <c r="AQ76" s="205">
        <v>1.58093602</v>
      </c>
      <c r="AR76" s="205">
        <v>1.24602834</v>
      </c>
      <c r="AS76" s="205">
        <v>1.27007299</v>
      </c>
      <c r="AT76" s="205">
        <v>0.52554745</v>
      </c>
      <c r="AU76" s="205">
        <v>-0.988407</v>
      </c>
      <c r="AV76" s="205">
        <v>0.17775869</v>
      </c>
      <c r="AW76" s="205">
        <v>-0.3039931</v>
      </c>
      <c r="AX76" s="205">
        <v>-0.487763</v>
      </c>
      <c r="AY76" s="205">
        <v>0.00772864</v>
      </c>
      <c r="AZ76" s="205">
        <v>1.35508802</v>
      </c>
      <c r="BA76" s="205">
        <v>-0.2550451</v>
      </c>
      <c r="BB76" s="205">
        <v>-0.1648776</v>
      </c>
      <c r="BC76" s="205">
        <v>0.27737226</v>
      </c>
      <c r="BD76" s="205">
        <v>-0.5744955</v>
      </c>
      <c r="BE76" s="205">
        <v>-1.2408759</v>
      </c>
      <c r="BF76" s="205">
        <v>-0.1966509</v>
      </c>
      <c r="BG76" s="205">
        <v>0.0</v>
      </c>
      <c r="BH76" s="205">
        <v>2.11936453</v>
      </c>
      <c r="BI76" s="205">
        <v>-0.350365</v>
      </c>
      <c r="BJ76" s="205">
        <v>0.44568484</v>
      </c>
      <c r="BK76" s="205">
        <v>-0.3975955</v>
      </c>
      <c r="BL76" s="205">
        <v>-3.2726492</v>
      </c>
      <c r="BM76" s="205">
        <v>3.90725633</v>
      </c>
      <c r="BN76" s="205">
        <v>-0.0017175</v>
      </c>
      <c r="BO76" s="205">
        <v>1.41605839</v>
      </c>
      <c r="BP76" s="205">
        <v>0.28767711</v>
      </c>
      <c r="BQ76" s="205">
        <v>-0.2825247</v>
      </c>
      <c r="BR76" s="206"/>
      <c r="BS76" s="207">
        <f t="shared" si="6"/>
        <v>0.2459670017</v>
      </c>
      <c r="BT76" s="207">
        <f t="shared" si="7"/>
        <v>0.9091597686</v>
      </c>
      <c r="BU76" s="206"/>
      <c r="BV76" s="207">
        <f>IFERROR(__xludf.DUMMYFUNCTION("AVERAGE(ARRAYFORMULA(XLOOKUP(FILTER(INDIRECT(""'""&amp;BV$1&amp;""'!$C$4:$C$66""),INDIRECT(""'""&amp;BV$1&amp;""'!$D$4:$D$66"")=BV$2),$G$4:$BQ$4,$G76:$BQ76)))"),-0.7748267114285714)</f>
        <v>-0.7748267114</v>
      </c>
      <c r="BW76" s="207">
        <f>IFERROR(__xludf.DUMMYFUNCTION("IF(OR(BV76&gt;$BS76+$BT76*$BT$2,BV76&lt;$BS76-$BT76*$BT$2),AVEDEV(ARRAYFORMULA(XLOOKUP(FILTER(INDIRECT(""'""&amp;BV$1&amp;""'!$C$4:$C$66""),INDIRECT(""'""&amp;BV$1&amp;""'!$D$4:$D$66"")=BV$2),$G$4:$BQ$4,$G76:$BQ76))),"""")"),1.3906993330612245)</f>
        <v>1.390699333</v>
      </c>
      <c r="BX76" s="208">
        <f t="shared" si="8"/>
        <v>-0.1116339446</v>
      </c>
      <c r="BY76" s="207">
        <f>IFERROR(__xludf.DUMMYFUNCTION("AVERAGE(ARRAYFORMULA(XLOOKUP(FILTER(INDIRECT(""'""&amp;BY$1&amp;""'!$C$4:$C$66""),INDIRECT(""'""&amp;BY$1&amp;""'!$D$4:$D$66"")=BY$2),$G$4:$BQ$4,$G76:$BQ76)))"),0.232820135952381)</f>
        <v>0.232820136</v>
      </c>
      <c r="BZ76" s="207" t="str">
        <f>IFERROR(__xludf.DUMMYFUNCTION("IF(OR(BY76&gt;$BS76+$BT76*$BT$2,BY76&lt;$BS76-$BT76*$BT$2),AVEDEV(ARRAYFORMULA(XLOOKUP(FILTER(INDIRECT(""'""&amp;BY$1&amp;""'!$C$4:$C$66""),INDIRECT(""'""&amp;BY$1&amp;""'!$D$4:$D$66"")=BY$2),$G$4:$BQ$4,$G76:$BQ76))),"""")"),"")</f>
        <v/>
      </c>
      <c r="CA76" s="208" t="str">
        <f t="shared" si="9"/>
        <v/>
      </c>
      <c r="CB76" s="207">
        <f>IFERROR(__xludf.DUMMYFUNCTION("AVERAGE(ARRAYFORMULA(XLOOKUP(FILTER(INDIRECT(""'""&amp;CB$1&amp;""'!$C$4:$C$66""),INDIRECT(""'""&amp;CB$1&amp;""'!$D$4:$D$66"")=CB$2),$G$4:$BQ$4,$G76:$BQ76)))"),0.8211093327272727)</f>
        <v>0.8211093327</v>
      </c>
      <c r="CC76" s="207" t="str">
        <f>IFERROR(__xludf.DUMMYFUNCTION("IF(OR(CB76&gt;$BS76+$BT76*$BT$2,CB76&lt;$BS76-$BT76*$BT$2),AVEDEV(ARRAYFORMULA(XLOOKUP(FILTER(INDIRECT(""'""&amp;CB$1&amp;""'!$C$4:$C$66""),INDIRECT(""'""&amp;CB$1&amp;""'!$D$4:$D$66"")=CB$2),$G$4:$BQ$4,$G76:$BQ76))),"""")"),"")</f>
        <v/>
      </c>
      <c r="CD76" s="208" t="str">
        <f t="shared" si="10"/>
        <v/>
      </c>
      <c r="CE76" s="209" t="s">
        <v>444</v>
      </c>
      <c r="CF76" s="207">
        <f>IFERROR(__xludf.DUMMYFUNCTION("AVERAGE(ARRAYFORMULA(XLOOKUP(FILTER(INDIRECT(""'""&amp;CF$1&amp;""'!$C$4:$C$66""),INDIRECT(""'""&amp;CF$1&amp;""'!$D$4:$D$66"")=CF$2),$G$4:$BQ$4,$G76:$BQ76)))"),-0.179637171875)</f>
        <v>-0.1796371719</v>
      </c>
      <c r="CG76" s="207" t="str">
        <f>IFERROR(__xludf.DUMMYFUNCTION("IF(OR(CF76&gt;$BS76+$BT76*$BT$2,CF76&lt;$BS76-$BT76*$BT$2),AVEDEV(ARRAYFORMULA(XLOOKUP(FILTER(INDIRECT(""'""&amp;CF$1&amp;""'!$C$4:$C$66""),INDIRECT(""'""&amp;CF$1&amp;""'!$D$4:$D$66"")=CF$2),$G$4:$BQ$4,$G76:$BQ76))),"""")"),"")</f>
        <v/>
      </c>
      <c r="CH76" s="208" t="str">
        <f t="shared" si="11"/>
        <v/>
      </c>
      <c r="CI76" s="207">
        <f>IFERROR(__xludf.DUMMYFUNCTION("AVERAGE(ARRAYFORMULA(XLOOKUP(FILTER(INDIRECT(""'""&amp;CI$1&amp;""'!$C$4:$C$66""),INDIRECT(""'""&amp;CI$1&amp;""'!$D$4:$D$66"")=CI$2),$G$4:$BQ$4,$G76:$BQ76)))"),0.2557930151612903)</f>
        <v>0.2557930152</v>
      </c>
      <c r="CJ76" s="207" t="str">
        <f>IFERROR(__xludf.DUMMYFUNCTION("IF(OR(CI76&gt;$BS76+$BT76*$BT$2,CI76&lt;$BS76-$BT76*$BT$2),AVEDEV(ARRAYFORMULA(XLOOKUP(FILTER(INDIRECT(""'""&amp;CI$1&amp;""'!$C$4:$C$66""),INDIRECT(""'""&amp;CI$1&amp;""'!$D$4:$D$66"")=CI$2),$G$4:$BQ$4,$G76:$BQ76))),"""")"),"")</f>
        <v/>
      </c>
      <c r="CK76" s="208" t="str">
        <f t="shared" si="12"/>
        <v/>
      </c>
      <c r="CL76" s="207">
        <f>IFERROR(__xludf.DUMMYFUNCTION("AVERAGE(ARRAYFORMULA(XLOOKUP(FILTER(INDIRECT(""'""&amp;CL$1&amp;""'!$C$4:$C$66""),INDIRECT(""'""&amp;CL$1&amp;""'!$D$4:$D$66"")=CL$2),$G$4:$BQ$4,$G76:$BQ76)))"),0.381451264)</f>
        <v>0.381451264</v>
      </c>
      <c r="CM76" s="207" t="str">
        <f>IFERROR(__xludf.DUMMYFUNCTION("IF(OR(CL76&gt;$BS76+$BT76*$BT$2,CL76&lt;$BS76-$BT76*$BT$2),AVEDEV(ARRAYFORMULA(XLOOKUP(FILTER(INDIRECT(""'""&amp;CL$1&amp;""'!$C$4:$C$66""),INDIRECT(""'""&amp;CL$1&amp;""'!$D$4:$D$66"")=CL$2),$G$4:$BQ$4,$G76:$BQ76))),"""")"),"")</f>
        <v/>
      </c>
      <c r="CN76" s="208" t="str">
        <f t="shared" si="13"/>
        <v/>
      </c>
      <c r="CO76" s="209" t="s">
        <v>444</v>
      </c>
      <c r="CP76" s="210">
        <f>IFERROR(__xludf.DUMMYFUNCTION("AVERAGE(ARRAYFORMULA(XLOOKUP(FILTER(INDIRECT(""'""&amp;CP$1&amp;""'!$C$4:$C$66""),INDIRECT(""'""&amp;CP$1&amp;""'!$D$4:$D$66"")=CP$2),$G$4:$BQ$4,$G76:$BQ76)))"),0.40715615200000005)</f>
        <v>0.407156152</v>
      </c>
      <c r="CQ76" s="207" t="str">
        <f>IFERROR(__xludf.DUMMYFUNCTION("IF(OR(CP76&gt;$BS76+$BT76*$BT$2,CP76&lt;$BS76-$BT76*$BT$2),AVEDEV(ARRAYFORMULA(XLOOKUP(FILTER(INDIRECT(""'""&amp;CP$1&amp;""'!$C$4:$C$66""),INDIRECT(""'""&amp;CP$1&amp;""'!$D$4:$D$66"")=CP$2),$G$4:$BQ$4,$G76:$BQ76))),"""")"),"")</f>
        <v/>
      </c>
      <c r="CR76" s="208" t="str">
        <f t="shared" si="14"/>
        <v/>
      </c>
      <c r="CS76" s="210">
        <f>IFERROR(__xludf.DUMMYFUNCTION("AVERAGE(ARRAYFORMULA(XLOOKUP(FILTER(INDIRECT(""'""&amp;CS$1&amp;""'!$C$4:$C$66""),INDIRECT(""'""&amp;CS$1&amp;""'!$D$4:$D$66"")=CS$2),$G$4:$BQ$4,$G76:$BQ76)))"),0.22166441)</f>
        <v>0.22166441</v>
      </c>
      <c r="CT76" s="207" t="str">
        <f>IFERROR(__xludf.DUMMYFUNCTION("IF(OR(CS76&gt;$BS76+$BT76*$BT$2,CS76&lt;$BS76-$BT76*$BT$2),AVEDEV(ARRAYFORMULA(XLOOKUP(FILTER(INDIRECT(""'""&amp;CS$1&amp;""'!$C$4:$C$66""),INDIRECT(""'""&amp;CS$1&amp;""'!$D$4:$D$66"")=CS$2),$G$4:$BQ$4,$G76:$BQ76))),"""")"),"")</f>
        <v/>
      </c>
      <c r="CU76" s="208" t="str">
        <f t="shared" si="15"/>
        <v/>
      </c>
      <c r="CV76" s="210">
        <f>IFERROR(__xludf.DUMMYFUNCTION("AVERAGE(ARRAYFORMULA(XLOOKUP(FILTER(INDIRECT(""'""&amp;CV$1&amp;""'!$C$4:$C$66""),INDIRECT(""'""&amp;CV$1&amp;""'!$D$4:$D$66"")=CV$2),$G$4:$BQ$4,$G76:$BQ76)))"),0.381451264)</f>
        <v>0.381451264</v>
      </c>
      <c r="CW76" s="207" t="str">
        <f>IFERROR(__xludf.DUMMYFUNCTION("IF(OR(CV76&gt;$BS76+$BT76*$BT$2,CV76&lt;$BS76-$BT76*$BT$2),AVEDEV(ARRAYFORMULA(XLOOKUP(FILTER(INDIRECT(""'""&amp;CV$1&amp;""'!$C$4:$C$66""),INDIRECT(""'""&amp;CV$1&amp;""'!$D$4:$D$66"")=CV$2),$G$4:$BQ$4,$G76:$BQ76))),"""")"),"")</f>
        <v/>
      </c>
      <c r="CX76" s="208" t="str">
        <f t="shared" si="16"/>
        <v/>
      </c>
      <c r="CY76" s="209" t="s">
        <v>444</v>
      </c>
      <c r="CZ76" s="210">
        <f>IFERROR(__xludf.DUMMYFUNCTION("AVERAGE(ARRAYFORMULA(XLOOKUP(FILTER(INDIRECT(""'""&amp;CZ$1&amp;""'!$C$4:$C$66""),INDIRECT(""'""&amp;CZ$1&amp;""'!$D$4:$D$66"")=CZ$2),$G$4:$BQ$4,$G76:$BQ76)))"),-0.1467827885714286)</f>
        <v>-0.1467827886</v>
      </c>
      <c r="DA76" s="207" t="str">
        <f>IFERROR(__xludf.DUMMYFUNCTION("IF(OR(CZ76&gt;$BS76+$BT76*$BT$2,CZ76&lt;$BS76-$BT76*$BT$2),AVEDEV(ARRAYFORMULA(XLOOKUP(FILTER(INDIRECT(""'""&amp;CZ$1&amp;""'!$C$4:$C$66""),INDIRECT(""'""&amp;CZ$1&amp;""'!$D$4:$D$66"")=CZ$2),$G$4:$BQ$4,$G76:$BQ76))),"""")"),"")</f>
        <v/>
      </c>
      <c r="DB76" s="208" t="str">
        <f t="shared" si="17"/>
        <v/>
      </c>
      <c r="DC76" s="210">
        <f>IFERROR(__xludf.DUMMYFUNCTION("AVERAGE(ARRAYFORMULA(XLOOKUP(FILTER(INDIRECT(""'""&amp;DC$1&amp;""'!$C$4:$C$66""),INDIRECT(""'""&amp;DC$1&amp;""'!$D$4:$D$66"")=DC$2),$G$4:$BQ$4,$G76:$BQ76)))"),0.4188731455555555)</f>
        <v>0.4188731456</v>
      </c>
      <c r="DD76" s="207" t="str">
        <f>IFERROR(__xludf.DUMMYFUNCTION("IF(OR(DC76&gt;$BS76+$BT76*$BT$2,DC76&lt;$BS76-$BT76*$BT$2),AVEDEV(ARRAYFORMULA(XLOOKUP(FILTER(INDIRECT(""'""&amp;DC$1&amp;""'!$C$4:$C$66""),INDIRECT(""'""&amp;DC$1&amp;""'!$D$4:$D$66"")=DC$2),$G$4:$BQ$4,$G76:$BQ76))),"""")"),"")</f>
        <v/>
      </c>
      <c r="DE76" s="208" t="str">
        <f t="shared" si="18"/>
        <v/>
      </c>
      <c r="DF76" s="210">
        <f>IFERROR(__xludf.DUMMYFUNCTION("AVERAGE(ARRAYFORMULA(XLOOKUP(FILTER(INDIRECT(""'""&amp;DF$1&amp;""'!$C$4:$C$66""),INDIRECT(""'""&amp;DF$1&amp;""'!$D$4:$D$66"")=DF$2),$G$4:$BQ$4,$G76:$BQ76)))"),0.6060345854545455)</f>
        <v>0.6060345855</v>
      </c>
      <c r="DG76" s="207" t="str">
        <f>IFERROR(__xludf.DUMMYFUNCTION("IF(OR(DF76&gt;$BS76+$BT76*$BT$2,DF76&lt;$BS76-$BT76*$BT$2),AVEDEV(ARRAYFORMULA(XLOOKUP(FILTER(INDIRECT(""'""&amp;DF$1&amp;""'!$C$4:$C$66""),INDIRECT(""'""&amp;DF$1&amp;""'!$D$4:$D$66"")=DF$2),$G$4:$BQ$4,$G76:$BQ76))),"""")"),"")</f>
        <v/>
      </c>
      <c r="DH76" s="208" t="str">
        <f t="shared" si="19"/>
        <v/>
      </c>
      <c r="DI76" s="210">
        <f>IFERROR(__xludf.DUMMYFUNCTION("AVERAGE(ARRAYFORMULA(XLOOKUP(FILTER(INDIRECT(""'""&amp;DI$1&amp;""'!$C$4:$C$66""),INDIRECT(""'""&amp;DI$1&amp;""'!$D$4:$D$66"")=DI$2),$G$4:$BQ$4,$G76:$BQ76)))"),0.934735915)</f>
        <v>0.934735915</v>
      </c>
      <c r="DJ76" s="207" t="str">
        <f>IFERROR(__xludf.DUMMYFUNCTION("IF(OR(DI76&gt;$BS76+$BT76*$BT$2,DI76&lt;$BS76-$BT76*$BT$2),AVEDEV(ARRAYFORMULA(XLOOKUP(FILTER(INDIRECT(""'""&amp;DI$1&amp;""'!$C$4:$C$66""),INDIRECT(""'""&amp;DI$1&amp;""'!$D$4:$D$66"")=DI$2),$G$4:$BQ$4,$G76:$BQ76))),"""")"),"")</f>
        <v/>
      </c>
      <c r="DK76" s="208" t="str">
        <f t="shared" si="20"/>
        <v/>
      </c>
      <c r="DL76" s="210">
        <f>IFERROR(__xludf.DUMMYFUNCTION("AVERAGE(ARRAYFORMULA(XLOOKUP(FILTER(INDIRECT(""'""&amp;DL$1&amp;""'!$C$4:$C$66""),INDIRECT(""'""&amp;DL$1&amp;""'!$D$4:$D$66"")=DL$2),$G$4:$BQ$4,$G76:$BQ76)))"),0.20554498357142856)</f>
        <v>0.2055449836</v>
      </c>
      <c r="DM76" s="207" t="str">
        <f>IFERROR(__xludf.DUMMYFUNCTION("IF(OR(DL76&gt;$BS76+$BT76*$BT$2,DL76&lt;$BS76-$BT76*$BT$2),AVEDEV(ARRAYFORMULA(XLOOKUP(FILTER(INDIRECT(""'""&amp;DL$1&amp;""'!$C$4:$C$66""),INDIRECT(""'""&amp;DL$1&amp;""'!$D$4:$D$66"")=DL$2),$G$4:$BQ$4,$G76:$BQ76))),"""")"),"")</f>
        <v/>
      </c>
      <c r="DN76" s="208" t="str">
        <f t="shared" si="21"/>
        <v/>
      </c>
      <c r="DO76" s="209" t="s">
        <v>444</v>
      </c>
      <c r="DP76" s="210">
        <f>IFERROR(__xludf.DUMMYFUNCTION("AVERAGE(ARRAYFORMULA(XLOOKUP(FILTER(INDIRECT(""'""&amp;DP$1&amp;""'!$C$4:$C$66""),INDIRECT(""'""&amp;DP$1&amp;""'!$D$4:$D$66"")=DP$2),$G$4:$BQ$4,$G76:$BQ76)))"),-0.015629020333333323)</f>
        <v>-0.01562902033</v>
      </c>
      <c r="DQ76" s="207" t="str">
        <f>IFERROR(__xludf.DUMMYFUNCTION("IF(OR(DP76&gt;$BS76+$BT76*$BT$2,DP76&lt;$BS76-$BT76*$BT$2),AVEDEV(ARRAYFORMULA(XLOOKUP(FILTER(INDIRECT(""'""&amp;DP$1&amp;""'!$C$4:$C$66""),INDIRECT(""'""&amp;DP$1&amp;""'!$D$4:$D$66"")=DP$2),$G$4:$BQ$4,$G76:$BQ76))),"""")"),"")</f>
        <v/>
      </c>
      <c r="DR76" s="208" t="str">
        <f t="shared" si="22"/>
        <v/>
      </c>
      <c r="DS76" s="210">
        <f>IFERROR(__xludf.DUMMYFUNCTION("AVERAGE(ARRAYFORMULA(XLOOKUP(FILTER(INDIRECT(""'""&amp;DS$1&amp;""'!$C$4:$C$66""),INDIRECT(""'""&amp;DS$1&amp;""'!$D$4:$D$66"")=DS$2),$G$4:$BQ$4,$G76:$BQ76)))"),0.898716662222222)</f>
        <v>0.8987166622</v>
      </c>
      <c r="DT76" s="207" t="str">
        <f>IFERROR(__xludf.DUMMYFUNCTION("IF(OR(DS76&gt;$BS76+$BT76*$BT$2,DS76&lt;$BS76-$BT76*$BT$2),AVEDEV(ARRAYFORMULA(XLOOKUP(FILTER(INDIRECT(""'""&amp;DS$1&amp;""'!$C$4:$C$66""),INDIRECT(""'""&amp;DS$1&amp;""'!$D$4:$D$66"")=DS$2),$G$4:$BQ$4,$G76:$BQ76))),"""")"),"")</f>
        <v/>
      </c>
      <c r="DU76" s="208" t="str">
        <f t="shared" si="23"/>
        <v/>
      </c>
      <c r="DV76" s="210">
        <f>IFERROR(__xludf.DUMMYFUNCTION("AVERAGE(ARRAYFORMULA(XLOOKUP(FILTER(INDIRECT(""'""&amp;DV$1&amp;""'!$C$4:$C$66""),INDIRECT(""'""&amp;DV$1&amp;""'!$D$4:$D$66"")=DV$2),$G$4:$BQ$4,$G76:$BQ76)))"),0.3647488175)</f>
        <v>0.3647488175</v>
      </c>
      <c r="DW76" s="207" t="str">
        <f>IFERROR(__xludf.DUMMYFUNCTION("IF(OR(DV76&gt;$BS76+$BT76*$BT$2,DV76&lt;$BS76-$BT76*$BT$2),AVEDEV(ARRAYFORMULA(XLOOKUP(FILTER(INDIRECT(""'""&amp;DV$1&amp;""'!$C$4:$C$66""),INDIRECT(""'""&amp;DV$1&amp;""'!$D$4:$D$66"")=DV$2),$G$4:$BQ$4,$G76:$BQ76))),"""")"),"")</f>
        <v/>
      </c>
      <c r="DX76" s="208" t="str">
        <f t="shared" si="24"/>
        <v/>
      </c>
      <c r="DY76" s="210">
        <f>IFERROR(__xludf.DUMMYFUNCTION("AVERAGE(ARRAYFORMULA(XLOOKUP(FILTER(INDIRECT(""'""&amp;DY$1&amp;""'!$C$4:$C$66""),INDIRECT(""'""&amp;DY$1&amp;""'!$D$4:$D$66"")=DY$2),$G$4:$BQ$4,$G76:$BQ76)))"),0.32784695333333325)</f>
        <v>0.3278469533</v>
      </c>
      <c r="DZ76" s="207" t="str">
        <f>IFERROR(__xludf.DUMMYFUNCTION("IF(OR(DY76&gt;$BS76+$BT76*$BT$2,DY76&lt;$BS76-$BT76*$BT$2),AVEDEV(ARRAYFORMULA(XLOOKUP(FILTER(INDIRECT(""'""&amp;DY$1&amp;""'!$C$4:$C$66""),INDIRECT(""'""&amp;DY$1&amp;""'!$D$4:$D$66"")=DY$2),$G$4:$BQ$4,$G76:$BQ76))),"""")"),"")</f>
        <v/>
      </c>
      <c r="EA76" s="208" t="str">
        <f t="shared" si="25"/>
        <v/>
      </c>
      <c r="EB76" s="191"/>
    </row>
    <row r="77" outlineLevel="1">
      <c r="A77" s="2"/>
      <c r="B77" s="204">
        <v>73.0</v>
      </c>
      <c r="C77" s="204" t="s">
        <v>507</v>
      </c>
      <c r="D77" s="204" t="s">
        <v>518</v>
      </c>
      <c r="E77" s="205" t="b">
        <f>VLOOKUP(D77,'Feature Set List'!A73:C246,2,0)</f>
        <v>1</v>
      </c>
      <c r="F77" s="205" t="b">
        <f>VLOOKUP(D77,'Feature Set List'!A73:C246,3,0)</f>
        <v>1</v>
      </c>
      <c r="G77" s="205">
        <v>-0.8637917</v>
      </c>
      <c r="H77" s="205">
        <v>-1.105969</v>
      </c>
      <c r="I77" s="205">
        <v>-1.6689456</v>
      </c>
      <c r="J77" s="205">
        <v>0.75072311</v>
      </c>
      <c r="K77" s="205">
        <v>-1.2271891</v>
      </c>
      <c r="L77" s="205">
        <v>-0.1246384</v>
      </c>
      <c r="M77" s="205">
        <v>-1.068893</v>
      </c>
      <c r="N77" s="205">
        <v>1.3449908</v>
      </c>
      <c r="O77" s="205">
        <v>1.21088614</v>
      </c>
      <c r="P77" s="205">
        <v>-0.327899</v>
      </c>
      <c r="Q77" s="205">
        <v>-0.1872206</v>
      </c>
      <c r="R77" s="205">
        <v>2.23639232</v>
      </c>
      <c r="S77" s="205">
        <v>0.39389955</v>
      </c>
      <c r="T77" s="205">
        <v>0.13804891</v>
      </c>
      <c r="U77" s="205">
        <v>3.1724954</v>
      </c>
      <c r="V77" s="205">
        <v>-0.3252695</v>
      </c>
      <c r="W77" s="205">
        <v>0.87693926</v>
      </c>
      <c r="X77" s="205">
        <v>1.94977649</v>
      </c>
      <c r="Y77" s="205">
        <v>0.41020247</v>
      </c>
      <c r="Z77" s="205">
        <v>-0.1601367</v>
      </c>
      <c r="AA77" s="205">
        <v>-1.1866947</v>
      </c>
      <c r="AB77" s="205">
        <v>-0.6841967</v>
      </c>
      <c r="AC77" s="205">
        <v>-0.2810939</v>
      </c>
      <c r="AD77" s="205">
        <v>2.37838549</v>
      </c>
      <c r="AE77" s="205">
        <v>-0.0447016</v>
      </c>
      <c r="AF77" s="205">
        <v>0.46673679</v>
      </c>
      <c r="AG77" s="205">
        <v>0.40941362</v>
      </c>
      <c r="AH77" s="205">
        <v>1.12411254</v>
      </c>
      <c r="AI77" s="205">
        <v>0.20326058</v>
      </c>
      <c r="AJ77" s="205">
        <v>0.04680515</v>
      </c>
      <c r="AK77" s="205">
        <v>0.78227715</v>
      </c>
      <c r="AL77" s="205">
        <v>0.67183802</v>
      </c>
      <c r="AM77" s="205">
        <v>0.74809361</v>
      </c>
      <c r="AN77" s="205">
        <v>0.76124113</v>
      </c>
      <c r="AO77" s="205">
        <v>-1.746253</v>
      </c>
      <c r="AP77" s="205">
        <v>1.44228241</v>
      </c>
      <c r="AQ77" s="205">
        <v>-0.3647121</v>
      </c>
      <c r="AR77" s="205">
        <v>-0.6731528</v>
      </c>
      <c r="AS77" s="205">
        <v>-0.6836708</v>
      </c>
      <c r="AT77" s="205">
        <v>0.03996845</v>
      </c>
      <c r="AU77" s="205">
        <v>4.49776492</v>
      </c>
      <c r="AV77" s="205">
        <v>-0.2269261</v>
      </c>
      <c r="AW77" s="205">
        <v>0.174599</v>
      </c>
      <c r="AX77" s="205">
        <v>0.80594268</v>
      </c>
      <c r="AY77" s="205">
        <v>-0.6923481</v>
      </c>
      <c r="AZ77" s="205">
        <v>-0.3250066</v>
      </c>
      <c r="BA77" s="205">
        <v>-0.1982645</v>
      </c>
      <c r="BB77" s="205">
        <v>-1.7772811</v>
      </c>
      <c r="BC77" s="205">
        <v>0.63502498</v>
      </c>
      <c r="BD77" s="205">
        <v>-0.0168288</v>
      </c>
      <c r="BE77" s="205">
        <v>0.08125164</v>
      </c>
      <c r="BF77" s="205">
        <v>-0.4722587</v>
      </c>
      <c r="BG77" s="205">
        <v>0.0</v>
      </c>
      <c r="BH77" s="205">
        <v>-0.3284249</v>
      </c>
      <c r="BI77" s="205">
        <v>-0.1993163</v>
      </c>
      <c r="BJ77" s="205">
        <v>-0.0602156</v>
      </c>
      <c r="BK77" s="205">
        <v>0.08098869</v>
      </c>
      <c r="BL77" s="205">
        <v>0.63502498</v>
      </c>
      <c r="BM77" s="205">
        <v>0.20536419</v>
      </c>
      <c r="BN77" s="205">
        <v>-0.8159348</v>
      </c>
      <c r="BO77" s="205">
        <v>-0.0102551</v>
      </c>
      <c r="BP77" s="205">
        <v>-0.5684986</v>
      </c>
      <c r="BQ77" s="205">
        <v>0.45884828</v>
      </c>
      <c r="BR77" s="206"/>
      <c r="BS77" s="207">
        <f t="shared" si="6"/>
        <v>0.1701204976</v>
      </c>
      <c r="BT77" s="207">
        <f t="shared" si="7"/>
        <v>0.772170888</v>
      </c>
      <c r="BU77" s="206"/>
      <c r="BV77" s="207">
        <f>IFERROR(__xludf.DUMMYFUNCTION("AVERAGE(ARRAYFORMULA(XLOOKUP(FILTER(INDIRECT(""'""&amp;BV$1&amp;""'!$C$4:$C$66""),INDIRECT(""'""&amp;BV$1&amp;""'!$D$4:$D$66"")=BV$2),$G$4:$BQ$4,$G77:$BQ77)))"),0.23180947285714285)</f>
        <v>0.2318094729</v>
      </c>
      <c r="BW77" s="207" t="str">
        <f>IFERROR(__xludf.DUMMYFUNCTION("IF(OR(BV77&gt;$BS77+$BT77*$BT$2,BV77&lt;$BS77-$BT77*$BT$2),AVEDEV(ARRAYFORMULA(XLOOKUP(FILTER(INDIRECT(""'""&amp;BV$1&amp;""'!$C$4:$C$66""),INDIRECT(""'""&amp;BV$1&amp;""'!$D$4:$D$66"")=BV$2),$G$4:$BQ$4,$G77:$BQ77))),"""")"),"")</f>
        <v/>
      </c>
      <c r="BX77" s="208" t="str">
        <f t="shared" si="8"/>
        <v/>
      </c>
      <c r="BY77" s="207">
        <f>IFERROR(__xludf.DUMMYFUNCTION("AVERAGE(ARRAYFORMULA(XLOOKUP(FILTER(INDIRECT(""'""&amp;BY$1&amp;""'!$C$4:$C$66""),INDIRECT(""'""&amp;BY$1&amp;""'!$D$4:$D$66"")=BY$2),$G$4:$BQ$4,$G77:$BQ77)))"),0.1689080023809524)</f>
        <v>0.1689080024</v>
      </c>
      <c r="BZ77" s="207" t="str">
        <f>IFERROR(__xludf.DUMMYFUNCTION("IF(OR(BY77&gt;$BS77+$BT77*$BT$2,BY77&lt;$BS77-$BT77*$BT$2),AVEDEV(ARRAYFORMULA(XLOOKUP(FILTER(INDIRECT(""'""&amp;BY$1&amp;""'!$C$4:$C$66""),INDIRECT(""'""&amp;BY$1&amp;""'!$D$4:$D$66"")=BY$2),$G$4:$BQ$4,$G77:$BQ77))),"""")"),"")</f>
        <v/>
      </c>
      <c r="CA77" s="208" t="str">
        <f t="shared" si="9"/>
        <v/>
      </c>
      <c r="CB77" s="207">
        <f>IFERROR(__xludf.DUMMYFUNCTION("AVERAGE(ARRAYFORMULA(XLOOKUP(FILTER(INDIRECT(""'""&amp;CB$1&amp;""'!$C$4:$C$66""),INDIRECT(""'""&amp;CB$1&amp;""'!$D$4:$D$66"")=CB$2),$G$4:$BQ$4,$G77:$BQ77)))"),-0.0737455981818182)</f>
        <v>-0.07374559818</v>
      </c>
      <c r="CC77" s="207" t="str">
        <f>IFERROR(__xludf.DUMMYFUNCTION("IF(OR(CB77&gt;$BS77+$BT77*$BT$2,CB77&lt;$BS77-$BT77*$BT$2),AVEDEV(ARRAYFORMULA(XLOOKUP(FILTER(INDIRECT(""'""&amp;CB$1&amp;""'!$C$4:$C$66""),INDIRECT(""'""&amp;CB$1&amp;""'!$D$4:$D$66"")=CB$2),$G$4:$BQ$4,$G77:$BQ77))),"""")"),"")</f>
        <v/>
      </c>
      <c r="CD77" s="208" t="str">
        <f t="shared" si="10"/>
        <v/>
      </c>
      <c r="CE77" s="209" t="s">
        <v>444</v>
      </c>
      <c r="CF77" s="207">
        <f>IFERROR(__xludf.DUMMYFUNCTION("AVERAGE(ARRAYFORMULA(XLOOKUP(FILTER(INDIRECT(""'""&amp;CF$1&amp;""'!$C$4:$C$66""),INDIRECT(""'""&amp;CF$1&amp;""'!$D$4:$D$66"")=CF$2),$G$4:$BQ$4,$G77:$BQ77)))"),0.18766433875)</f>
        <v>0.1876643388</v>
      </c>
      <c r="CG77" s="207" t="str">
        <f>IFERROR(__xludf.DUMMYFUNCTION("IF(OR(CF77&gt;$BS77+$BT77*$BT$2,CF77&lt;$BS77-$BT77*$BT$2),AVEDEV(ARRAYFORMULA(XLOOKUP(FILTER(INDIRECT(""'""&amp;CF$1&amp;""'!$C$4:$C$66""),INDIRECT(""'""&amp;CF$1&amp;""'!$D$4:$D$66"")=CF$2),$G$4:$BQ$4,$G77:$BQ77))),"""")"),"")</f>
        <v/>
      </c>
      <c r="CH77" s="208" t="str">
        <f t="shared" si="11"/>
        <v/>
      </c>
      <c r="CI77" s="207">
        <f>IFERROR(__xludf.DUMMYFUNCTION("AVERAGE(ARRAYFORMULA(XLOOKUP(FILTER(INDIRECT(""'""&amp;CI$1&amp;""'!$C$4:$C$66""),INDIRECT(""'""&amp;CI$1&amp;""'!$D$4:$D$66"")=CI$2),$G$4:$BQ$4,$G77:$BQ77)))"),0.18297100193548382)</f>
        <v>0.1829710019</v>
      </c>
      <c r="CJ77" s="207" t="str">
        <f>IFERROR(__xludf.DUMMYFUNCTION("IF(OR(CI77&gt;$BS77+$BT77*$BT$2,CI77&lt;$BS77-$BT77*$BT$2),AVEDEV(ARRAYFORMULA(XLOOKUP(FILTER(INDIRECT(""'""&amp;CI$1&amp;""'!$C$4:$C$66""),INDIRECT(""'""&amp;CI$1&amp;""'!$D$4:$D$66"")=CI$2),$G$4:$BQ$4,$G77:$BQ77))),"""")"),"")</f>
        <v/>
      </c>
      <c r="CK77" s="208" t="str">
        <f t="shared" si="12"/>
        <v/>
      </c>
      <c r="CL77" s="207">
        <f>IFERROR(__xludf.DUMMYFUNCTION("AVERAGE(ARRAYFORMULA(XLOOKUP(FILTER(INDIRECT(""'""&amp;CL$1&amp;""'!$C$4:$C$66""),INDIRECT(""'""&amp;CL$1&amp;""'!$D$4:$D$66"")=CL$2),$G$4:$BQ$4,$G77:$BQ77)))"),-0.214357078)</f>
        <v>-0.214357078</v>
      </c>
      <c r="CM77" s="207" t="str">
        <f>IFERROR(__xludf.DUMMYFUNCTION("IF(OR(CL77&gt;$BS77+$BT77*$BT$2,CL77&lt;$BS77-$BT77*$BT$2),AVEDEV(ARRAYFORMULA(XLOOKUP(FILTER(INDIRECT(""'""&amp;CL$1&amp;""'!$C$4:$C$66""),INDIRECT(""'""&amp;CL$1&amp;""'!$D$4:$D$66"")=CL$2),$G$4:$BQ$4,$G77:$BQ77))),"""")"),"")</f>
        <v/>
      </c>
      <c r="CN77" s="208" t="str">
        <f t="shared" si="13"/>
        <v/>
      </c>
      <c r="CO77" s="209" t="s">
        <v>444</v>
      </c>
      <c r="CP77" s="210">
        <f>IFERROR(__xludf.DUMMYFUNCTION("AVERAGE(ARRAYFORMULA(XLOOKUP(FILTER(INDIRECT(""'""&amp;CP$1&amp;""'!$C$4:$C$66""),INDIRECT(""'""&amp;CP$1&amp;""'!$D$4:$D$66"")=CP$2),$G$4:$BQ$4,$G77:$BQ77)))"),0.23200981199999995)</f>
        <v>0.232009812</v>
      </c>
      <c r="CQ77" s="207" t="str">
        <f>IFERROR(__xludf.DUMMYFUNCTION("IF(OR(CP77&gt;$BS77+$BT77*$BT$2,CP77&lt;$BS77-$BT77*$BT$2),AVEDEV(ARRAYFORMULA(XLOOKUP(FILTER(INDIRECT(""'""&amp;CP$1&amp;""'!$C$4:$C$66""),INDIRECT(""'""&amp;CP$1&amp;""'!$D$4:$D$66"")=CP$2),$G$4:$BQ$4,$G77:$BQ77))),"""")"),"")</f>
        <v/>
      </c>
      <c r="CR77" s="208" t="str">
        <f t="shared" si="14"/>
        <v/>
      </c>
      <c r="CS77" s="210">
        <f>IFERROR(__xludf.DUMMYFUNCTION("AVERAGE(ARRAYFORMULA(XLOOKUP(FILTER(INDIRECT(""'""&amp;CS$1&amp;""'!$C$4:$C$66""),INDIRECT(""'""&amp;CS$1&amp;""'!$D$4:$D$66"")=CS$2),$G$4:$BQ$4,$G77:$BQ77)))"),0.12467215538461535)</f>
        <v>0.1246721554</v>
      </c>
      <c r="CT77" s="207" t="str">
        <f>IFERROR(__xludf.DUMMYFUNCTION("IF(OR(CS77&gt;$BS77+$BT77*$BT$2,CS77&lt;$BS77-$BT77*$BT$2),AVEDEV(ARRAYFORMULA(XLOOKUP(FILTER(INDIRECT(""'""&amp;CS$1&amp;""'!$C$4:$C$66""),INDIRECT(""'""&amp;CS$1&amp;""'!$D$4:$D$66"")=CS$2),$G$4:$BQ$4,$G77:$BQ77))),"""")"),"")</f>
        <v/>
      </c>
      <c r="CU77" s="208" t="str">
        <f t="shared" si="15"/>
        <v/>
      </c>
      <c r="CV77" s="210">
        <f>IFERROR(__xludf.DUMMYFUNCTION("AVERAGE(ARRAYFORMULA(XLOOKUP(FILTER(INDIRECT(""'""&amp;CV$1&amp;""'!$C$4:$C$66""),INDIRECT(""'""&amp;CV$1&amp;""'!$D$4:$D$66"")=CV$2),$G$4:$BQ$4,$G77:$BQ77)))"),-0.214357078)</f>
        <v>-0.214357078</v>
      </c>
      <c r="CW77" s="207" t="str">
        <f>IFERROR(__xludf.DUMMYFUNCTION("IF(OR(CV77&gt;$BS77+$BT77*$BT$2,CV77&lt;$BS77-$BT77*$BT$2),AVEDEV(ARRAYFORMULA(XLOOKUP(FILTER(INDIRECT(""'""&amp;CV$1&amp;""'!$C$4:$C$66""),INDIRECT(""'""&amp;CV$1&amp;""'!$D$4:$D$66"")=CV$2),$G$4:$BQ$4,$G77:$BQ77))),"""")"),"")</f>
        <v/>
      </c>
      <c r="CX77" s="208" t="str">
        <f t="shared" si="16"/>
        <v/>
      </c>
      <c r="CY77" s="209" t="s">
        <v>444</v>
      </c>
      <c r="CZ77" s="210">
        <f>IFERROR(__xludf.DUMMYFUNCTION("AVERAGE(ARRAYFORMULA(XLOOKUP(FILTER(INDIRECT(""'""&amp;CZ$1&amp;""'!$C$4:$C$66""),INDIRECT(""'""&amp;CZ$1&amp;""'!$D$4:$D$66"")=CZ$2),$G$4:$BQ$4,$G77:$BQ77)))"),0.25339017714285716)</f>
        <v>0.2533901771</v>
      </c>
      <c r="DA77" s="207" t="str">
        <f>IFERROR(__xludf.DUMMYFUNCTION("IF(OR(CZ77&gt;$BS77+$BT77*$BT$2,CZ77&lt;$BS77-$BT77*$BT$2),AVEDEV(ARRAYFORMULA(XLOOKUP(FILTER(INDIRECT(""'""&amp;CZ$1&amp;""'!$C$4:$C$66""),INDIRECT(""'""&amp;CZ$1&amp;""'!$D$4:$D$66"")=CZ$2),$G$4:$BQ$4,$G77:$BQ77))),"""")"),"")</f>
        <v/>
      </c>
      <c r="DB77" s="208" t="str">
        <f t="shared" si="17"/>
        <v/>
      </c>
      <c r="DC77" s="210">
        <f>IFERROR(__xludf.DUMMYFUNCTION("AVERAGE(ARRAYFORMULA(XLOOKUP(FILTER(INDIRECT(""'""&amp;DC$1&amp;""'!$C$4:$C$66""),INDIRECT(""'""&amp;DC$1&amp;""'!$D$4:$D$66"")=DC$2),$G$4:$BQ$4,$G77:$BQ77)))"),-0.07683990777777779)</f>
        <v>-0.07683990778</v>
      </c>
      <c r="DD77" s="207" t="str">
        <f>IFERROR(__xludf.DUMMYFUNCTION("IF(OR(DC77&gt;$BS77+$BT77*$BT$2,DC77&lt;$BS77-$BT77*$BT$2),AVEDEV(ARRAYFORMULA(XLOOKUP(FILTER(INDIRECT(""'""&amp;DC$1&amp;""'!$C$4:$C$66""),INDIRECT(""'""&amp;DC$1&amp;""'!$D$4:$D$66"")=DC$2),$G$4:$BQ$4,$G77:$BQ77))),"""")"),"")</f>
        <v/>
      </c>
      <c r="DE77" s="208" t="str">
        <f t="shared" si="18"/>
        <v/>
      </c>
      <c r="DF77" s="210">
        <f>IFERROR(__xludf.DUMMYFUNCTION("AVERAGE(ARRAYFORMULA(XLOOKUP(FILTER(INDIRECT(""'""&amp;DF$1&amp;""'!$C$4:$C$66""),INDIRECT(""'""&amp;DF$1&amp;""'!$D$4:$D$66"")=DF$2),$G$4:$BQ$4,$G77:$BQ77)))"),-0.03709990454545458)</f>
        <v>-0.03709990455</v>
      </c>
      <c r="DG77" s="207" t="str">
        <f>IFERROR(__xludf.DUMMYFUNCTION("IF(OR(DF77&gt;$BS77+$BT77*$BT$2,DF77&lt;$BS77-$BT77*$BT$2),AVEDEV(ARRAYFORMULA(XLOOKUP(FILTER(INDIRECT(""'""&amp;DF$1&amp;""'!$C$4:$C$66""),INDIRECT(""'""&amp;DF$1&amp;""'!$D$4:$D$66"")=DF$2),$G$4:$BQ$4,$G77:$BQ77))),"""")"),"")</f>
        <v/>
      </c>
      <c r="DH77" s="208" t="str">
        <f t="shared" si="19"/>
        <v/>
      </c>
      <c r="DI77" s="210">
        <f>IFERROR(__xludf.DUMMYFUNCTION("AVERAGE(ARRAYFORMULA(XLOOKUP(FILTER(INDIRECT(""'""&amp;DI$1&amp;""'!$C$4:$C$66""),INDIRECT(""'""&amp;DI$1&amp;""'!$D$4:$D$66"")=DI$2),$G$4:$BQ$4,$G77:$BQ77)))"),1.024980295)</f>
        <v>1.024980295</v>
      </c>
      <c r="DJ77" s="207">
        <f>IFERROR(__xludf.DUMMYFUNCTION("IF(OR(DI77&gt;$BS77+$BT77*$BT$2,DI77&lt;$BS77-$BT77*$BT$2),AVEDEV(ARRAYFORMULA(XLOOKUP(FILTER(INDIRECT(""'""&amp;DI$1&amp;""'!$C$4:$C$66""),INDIRECT(""'""&amp;DI$1&amp;""'!$D$4:$D$66"")=DI$2),$G$4:$BQ$4,$G77:$BQ77))),"""")"),1.3534051950000001)</f>
        <v>1.353405195</v>
      </c>
      <c r="DK77" s="208">
        <f t="shared" si="20"/>
        <v>0.08268890938</v>
      </c>
      <c r="DL77" s="210">
        <f>IFERROR(__xludf.DUMMYFUNCTION("AVERAGE(ARRAYFORMULA(XLOOKUP(FILTER(INDIRECT(""'""&amp;DL$1&amp;""'!$C$4:$C$66""),INDIRECT(""'""&amp;DL$1&amp;""'!$D$4:$D$66"")=DL$2),$G$4:$BQ$4,$G77:$BQ77)))"),0.24933323428571433)</f>
        <v>0.2493332343</v>
      </c>
      <c r="DM77" s="207" t="str">
        <f>IFERROR(__xludf.DUMMYFUNCTION("IF(OR(DL77&gt;$BS77+$BT77*$BT$2,DL77&lt;$BS77-$BT77*$BT$2),AVEDEV(ARRAYFORMULA(XLOOKUP(FILTER(INDIRECT(""'""&amp;DL$1&amp;""'!$C$4:$C$66""),INDIRECT(""'""&amp;DL$1&amp;""'!$D$4:$D$66"")=DL$2),$G$4:$BQ$4,$G77:$BQ77))),"""")"),"")</f>
        <v/>
      </c>
      <c r="DN77" s="208" t="str">
        <f t="shared" si="21"/>
        <v/>
      </c>
      <c r="DO77" s="209" t="s">
        <v>444</v>
      </c>
      <c r="DP77" s="210">
        <f>IFERROR(__xludf.DUMMYFUNCTION("AVERAGE(ARRAYFORMULA(XLOOKUP(FILTER(INDIRECT(""'""&amp;DP$1&amp;""'!$C$4:$C$66""),INDIRECT(""'""&amp;DP$1&amp;""'!$D$4:$D$66"")=DP$2),$G$4:$BQ$4,$G77:$BQ77)))"),0.07113681933333332)</f>
        <v>0.07113681933</v>
      </c>
      <c r="DQ77" s="207" t="str">
        <f>IFERROR(__xludf.DUMMYFUNCTION("IF(OR(DP77&gt;$BS77+$BT77*$BT$2,DP77&lt;$BS77-$BT77*$BT$2),AVEDEV(ARRAYFORMULA(XLOOKUP(FILTER(INDIRECT(""'""&amp;DP$1&amp;""'!$C$4:$C$66""),INDIRECT(""'""&amp;DP$1&amp;""'!$D$4:$D$66"")=DP$2),$G$4:$BQ$4,$G77:$BQ77))),"""")"),"")</f>
        <v/>
      </c>
      <c r="DR77" s="208" t="str">
        <f t="shared" si="22"/>
        <v/>
      </c>
      <c r="DS77" s="210">
        <f>IFERROR(__xludf.DUMMYFUNCTION("AVERAGE(ARRAYFORMULA(XLOOKUP(FILTER(INDIRECT(""'""&amp;DS$1&amp;""'!$C$4:$C$66""),INDIRECT(""'""&amp;DS$1&amp;""'!$D$4:$D$66"")=DS$2),$G$4:$BQ$4,$G77:$BQ77)))"),-0.17667337111111114)</f>
        <v>-0.1766733711</v>
      </c>
      <c r="DT77" s="207" t="str">
        <f>IFERROR(__xludf.DUMMYFUNCTION("IF(OR(DS77&gt;$BS77+$BT77*$BT$2,DS77&lt;$BS77-$BT77*$BT$2),AVEDEV(ARRAYFORMULA(XLOOKUP(FILTER(INDIRECT(""'""&amp;DS$1&amp;""'!$C$4:$C$66""),INDIRECT(""'""&amp;DS$1&amp;""'!$D$4:$D$66"")=DS$2),$G$4:$BQ$4,$G77:$BQ77))),"""")"),"")</f>
        <v/>
      </c>
      <c r="DU77" s="208" t="str">
        <f t="shared" si="23"/>
        <v/>
      </c>
      <c r="DV77" s="210">
        <f>IFERROR(__xludf.DUMMYFUNCTION("AVERAGE(ARRAYFORMULA(XLOOKUP(FILTER(INDIRECT(""'""&amp;DV$1&amp;""'!$C$4:$C$66""),INDIRECT(""'""&amp;DV$1&amp;""'!$D$4:$D$66"")=DV$2),$G$4:$BQ$4,$G77:$BQ77)))"),0.6070536449999999)</f>
        <v>0.607053645</v>
      </c>
      <c r="DW77" s="207" t="str">
        <f>IFERROR(__xludf.DUMMYFUNCTION("IF(OR(DV77&gt;$BS77+$BT77*$BT$2,DV77&lt;$BS77-$BT77*$BT$2),AVEDEV(ARRAYFORMULA(XLOOKUP(FILTER(INDIRECT(""'""&amp;DV$1&amp;""'!$C$4:$C$66""),INDIRECT(""'""&amp;DV$1&amp;""'!$D$4:$D$66"")=DV$2),$G$4:$BQ$4,$G77:$BQ77))),"""")"),"")</f>
        <v/>
      </c>
      <c r="DX77" s="208" t="str">
        <f t="shared" si="24"/>
        <v/>
      </c>
      <c r="DY77" s="210">
        <f>IFERROR(__xludf.DUMMYFUNCTION("AVERAGE(ARRAYFORMULA(XLOOKUP(FILTER(INDIRECT(""'""&amp;DY$1&amp;""'!$C$4:$C$66""),INDIRECT(""'""&amp;DY$1&amp;""'!$D$4:$D$66"")=DY$2),$G$4:$BQ$4,$G77:$BQ77)))"),0.2599701955555555)</f>
        <v>0.2599701956</v>
      </c>
      <c r="DZ77" s="207" t="str">
        <f>IFERROR(__xludf.DUMMYFUNCTION("IF(OR(DY77&gt;$BS77+$BT77*$BT$2,DY77&lt;$BS77-$BT77*$BT$2),AVEDEV(ARRAYFORMULA(XLOOKUP(FILTER(INDIRECT(""'""&amp;DY$1&amp;""'!$C$4:$C$66""),INDIRECT(""'""&amp;DY$1&amp;""'!$D$4:$D$66"")=DY$2),$G$4:$BQ$4,$G77:$BQ77))),"""")"),"")</f>
        <v/>
      </c>
      <c r="EA77" s="208" t="str">
        <f t="shared" si="25"/>
        <v/>
      </c>
      <c r="EB77" s="191"/>
    </row>
    <row r="78" outlineLevel="1">
      <c r="A78" s="2"/>
      <c r="B78" s="204">
        <v>74.0</v>
      </c>
      <c r="C78" s="204" t="s">
        <v>507</v>
      </c>
      <c r="D78" s="204" t="s">
        <v>519</v>
      </c>
      <c r="E78" s="205" t="b">
        <f>VLOOKUP(D78,'Feature Set List'!A74:C246,2,0)</f>
        <v>1</v>
      </c>
      <c r="F78" s="205" t="b">
        <f>VLOOKUP(D78,'Feature Set List'!A74:C246,3,0)</f>
        <v>1</v>
      </c>
      <c r="G78" s="205">
        <v>-0.0070033</v>
      </c>
      <c r="H78" s="205">
        <v>1.00356309</v>
      </c>
      <c r="I78" s="205">
        <v>6.75488389</v>
      </c>
      <c r="J78" s="205">
        <v>1.29721096</v>
      </c>
      <c r="K78" s="205">
        <v>0.60547979</v>
      </c>
      <c r="L78" s="205">
        <v>-0.2013761</v>
      </c>
      <c r="M78" s="205">
        <v>0.57353483</v>
      </c>
      <c r="N78" s="205">
        <v>1.53556948</v>
      </c>
      <c r="O78" s="205">
        <v>3.25445386</v>
      </c>
      <c r="P78" s="205">
        <v>0.2995454</v>
      </c>
      <c r="Q78" s="205">
        <v>-0.3222755</v>
      </c>
      <c r="R78" s="205">
        <v>-0.2876275</v>
      </c>
      <c r="S78" s="205">
        <v>-0.4140558</v>
      </c>
      <c r="T78" s="205">
        <v>0.5280747</v>
      </c>
      <c r="U78" s="205">
        <v>-0.2523652</v>
      </c>
      <c r="V78" s="205">
        <v>0.0</v>
      </c>
      <c r="W78" s="205">
        <v>-0.2145227</v>
      </c>
      <c r="X78" s="205">
        <v>-0.5625998</v>
      </c>
      <c r="Y78" s="205">
        <v>-0.3611009</v>
      </c>
      <c r="Z78" s="205">
        <v>-0.3182209</v>
      </c>
      <c r="AA78" s="205">
        <v>-0.2518737</v>
      </c>
      <c r="AB78" s="205">
        <v>-0.7671704</v>
      </c>
      <c r="AC78" s="205">
        <v>0.3302617</v>
      </c>
      <c r="AD78" s="205">
        <v>-0.0831798</v>
      </c>
      <c r="AE78" s="205">
        <v>1.16328787</v>
      </c>
      <c r="AF78" s="205">
        <v>-0.0868657</v>
      </c>
      <c r="AG78" s="205">
        <v>0.08354835</v>
      </c>
      <c r="AH78" s="205">
        <v>-0.2691977</v>
      </c>
      <c r="AI78" s="205">
        <v>-0.3399681</v>
      </c>
      <c r="AJ78" s="205">
        <v>-0.1699226</v>
      </c>
      <c r="AK78" s="205">
        <v>0.09423762</v>
      </c>
      <c r="AL78" s="205">
        <v>1.30335422</v>
      </c>
      <c r="AM78" s="205">
        <v>0.18859811</v>
      </c>
      <c r="AN78" s="205">
        <v>-0.1078757</v>
      </c>
      <c r="AO78" s="205">
        <v>0.7541467</v>
      </c>
      <c r="AP78" s="205">
        <v>-0.2973338</v>
      </c>
      <c r="AQ78" s="205">
        <v>1.51345374</v>
      </c>
      <c r="AR78" s="205">
        <v>-0.6178892</v>
      </c>
      <c r="AS78" s="205">
        <v>-0.0923946</v>
      </c>
      <c r="AT78" s="205">
        <v>1.45939305</v>
      </c>
      <c r="AU78" s="205">
        <v>-1.0151124</v>
      </c>
      <c r="AV78" s="205">
        <v>-0.1433837</v>
      </c>
      <c r="AW78" s="205">
        <v>0.08047672</v>
      </c>
      <c r="AX78" s="205">
        <v>-0.4953926</v>
      </c>
      <c r="AY78" s="205">
        <v>-0.9705738</v>
      </c>
      <c r="AZ78" s="205">
        <v>-0.2596142</v>
      </c>
      <c r="BA78" s="205">
        <v>0.8389237</v>
      </c>
      <c r="BB78" s="205">
        <v>1.97296965</v>
      </c>
      <c r="BC78" s="205">
        <v>1.90539378</v>
      </c>
      <c r="BD78" s="205">
        <v>0.29340214</v>
      </c>
      <c r="BE78" s="205">
        <v>-0.1263054</v>
      </c>
      <c r="BF78" s="205">
        <v>0.09018307</v>
      </c>
      <c r="BG78" s="205">
        <v>1.01830692</v>
      </c>
      <c r="BH78" s="205">
        <v>0.88438383</v>
      </c>
      <c r="BI78" s="205">
        <v>-0.4292911</v>
      </c>
      <c r="BJ78" s="205">
        <v>1.33529918</v>
      </c>
      <c r="BK78" s="205">
        <v>0.15616169</v>
      </c>
      <c r="BL78" s="205">
        <v>-0.5877872</v>
      </c>
      <c r="BM78" s="205">
        <v>0.2172257</v>
      </c>
      <c r="BN78" s="205">
        <v>-0.0019658</v>
      </c>
      <c r="BO78" s="205">
        <v>0.68902814</v>
      </c>
      <c r="BP78" s="205">
        <v>-0.4939182</v>
      </c>
      <c r="BQ78" s="205">
        <v>0.27988696</v>
      </c>
      <c r="BR78" s="206"/>
      <c r="BS78" s="207">
        <f t="shared" si="6"/>
        <v>0.348509134</v>
      </c>
      <c r="BT78" s="207">
        <f t="shared" si="7"/>
        <v>0.7435088476</v>
      </c>
      <c r="BU78" s="206"/>
      <c r="BV78" s="207">
        <f>IFERROR(__xludf.DUMMYFUNCTION("AVERAGE(ARRAYFORMULA(XLOOKUP(FILTER(INDIRECT(""'""&amp;BV$1&amp;""'!$C$4:$C$66""),INDIRECT(""'""&amp;BV$1&amp;""'!$D$4:$D$66"")=BV$2),$G$4:$BQ$4,$G78:$BQ78)))"),0.03249784999999999)</f>
        <v>0.03249785</v>
      </c>
      <c r="BW78" s="207" t="str">
        <f>IFERROR(__xludf.DUMMYFUNCTION("IF(OR(BV78&gt;$BS78+$BT78*$BT$2,BV78&lt;$BS78-$BT78*$BT$2),AVEDEV(ARRAYFORMULA(XLOOKUP(FILTER(INDIRECT(""'""&amp;BV$1&amp;""'!$C$4:$C$66""),INDIRECT(""'""&amp;BV$1&amp;""'!$D$4:$D$66"")=BV$2),$G$4:$BQ$4,$G78:$BQ78))),"""")"),"")</f>
        <v/>
      </c>
      <c r="BX78" s="208" t="str">
        <f t="shared" si="8"/>
        <v/>
      </c>
      <c r="BY78" s="207">
        <f>IFERROR(__xludf.DUMMYFUNCTION("AVERAGE(ARRAYFORMULA(XLOOKUP(FILTER(INDIRECT(""'""&amp;BY$1&amp;""'!$C$4:$C$66""),INDIRECT(""'""&amp;BY$1&amp;""'!$D$4:$D$66"")=BY$2),$G$4:$BQ$4,$G78:$BQ78)))"),0.3421094149999999)</f>
        <v>0.342109415</v>
      </c>
      <c r="BZ78" s="207" t="str">
        <f>IFERROR(__xludf.DUMMYFUNCTION("IF(OR(BY78&gt;$BS78+$BT78*$BT$2,BY78&lt;$BS78-$BT78*$BT$2),AVEDEV(ARRAYFORMULA(XLOOKUP(FILTER(INDIRECT(""'""&amp;BY$1&amp;""'!$C$4:$C$66""),INDIRECT(""'""&amp;BY$1&amp;""'!$D$4:$D$66"")=BY$2),$G$4:$BQ$4,$G78:$BQ78))),"""")"),"")</f>
        <v/>
      </c>
      <c r="CA78" s="208" t="str">
        <f t="shared" si="9"/>
        <v/>
      </c>
      <c r="CB78" s="207">
        <f>IFERROR(__xludf.DUMMYFUNCTION("AVERAGE(ARRAYFORMULA(XLOOKUP(FILTER(INDIRECT(""'""&amp;CB$1&amp;""'!$C$4:$C$66""),INDIRECT(""'""&amp;CB$1&amp;""'!$D$4:$D$66"")=CB$2),$G$4:$BQ$4,$G78:$BQ78)))"),0.12062013)</f>
        <v>0.12062013</v>
      </c>
      <c r="CC78" s="207" t="str">
        <f>IFERROR(__xludf.DUMMYFUNCTION("IF(OR(CB78&gt;$BS78+$BT78*$BT$2,CB78&lt;$BS78-$BT78*$BT$2),AVEDEV(ARRAYFORMULA(XLOOKUP(FILTER(INDIRECT(""'""&amp;CB$1&amp;""'!$C$4:$C$66""),INDIRECT(""'""&amp;CB$1&amp;""'!$D$4:$D$66"")=CB$2),$G$4:$BQ$4,$G78:$BQ78))),"""")"),"")</f>
        <v/>
      </c>
      <c r="CD78" s="208" t="str">
        <f t="shared" si="10"/>
        <v/>
      </c>
      <c r="CE78" s="209" t="s">
        <v>444</v>
      </c>
      <c r="CF78" s="207">
        <f>IFERROR(__xludf.DUMMYFUNCTION("AVERAGE(ARRAYFORMULA(XLOOKUP(FILTER(INDIRECT(""'""&amp;CF$1&amp;""'!$C$4:$C$66""),INDIRECT(""'""&amp;CF$1&amp;""'!$D$4:$D$66"")=CF$2),$G$4:$BQ$4,$G78:$BQ78)))"),0.625606643125)</f>
        <v>0.6256066431</v>
      </c>
      <c r="CG78" s="207" t="str">
        <f>IFERROR(__xludf.DUMMYFUNCTION("IF(OR(CF78&gt;$BS78+$BT78*$BT$2,CF78&lt;$BS78-$BT78*$BT$2),AVEDEV(ARRAYFORMULA(XLOOKUP(FILTER(INDIRECT(""'""&amp;CF$1&amp;""'!$C$4:$C$66""),INDIRECT(""'""&amp;CF$1&amp;""'!$D$4:$D$66"")=CF$2),$G$4:$BQ$4,$G78:$BQ78))),"""")"),"")</f>
        <v/>
      </c>
      <c r="CH78" s="208" t="str">
        <f t="shared" si="11"/>
        <v/>
      </c>
      <c r="CI78" s="207">
        <f>IFERROR(__xludf.DUMMYFUNCTION("AVERAGE(ARRAYFORMULA(XLOOKUP(FILTER(INDIRECT(""'""&amp;CI$1&amp;""'!$C$4:$C$66""),INDIRECT(""'""&amp;CI$1&amp;""'!$D$4:$D$66"")=CI$2),$G$4:$BQ$4,$G78:$BQ78)))"),0.1268068051612903)</f>
        <v>0.1268068052</v>
      </c>
      <c r="CJ78" s="207" t="str">
        <f>IFERROR(__xludf.DUMMYFUNCTION("IF(OR(CI78&gt;$BS78+$BT78*$BT$2,CI78&lt;$BS78-$BT78*$BT$2),AVEDEV(ARRAYFORMULA(XLOOKUP(FILTER(INDIRECT(""'""&amp;CI$1&amp;""'!$C$4:$C$66""),INDIRECT(""'""&amp;CI$1&amp;""'!$D$4:$D$66"")=CI$2),$G$4:$BQ$4,$G78:$BQ78))),"""")"),"")</f>
        <v/>
      </c>
      <c r="CK78" s="208" t="str">
        <f t="shared" si="12"/>
        <v/>
      </c>
      <c r="CL78" s="207">
        <f>IFERROR(__xludf.DUMMYFUNCTION("AVERAGE(ARRAYFORMULA(XLOOKUP(FILTER(INDIRECT(""'""&amp;CL$1&amp;""'!$C$4:$C$66""),INDIRECT(""'""&amp;CL$1&amp;""'!$D$4:$D$66"")=CL$2),$G$4:$BQ$4,$G78:$BQ78)))"),0.5184912239999999)</f>
        <v>0.518491224</v>
      </c>
      <c r="CM78" s="207" t="str">
        <f>IFERROR(__xludf.DUMMYFUNCTION("IF(OR(CL78&gt;$BS78+$BT78*$BT$2,CL78&lt;$BS78-$BT78*$BT$2),AVEDEV(ARRAYFORMULA(XLOOKUP(FILTER(INDIRECT(""'""&amp;CL$1&amp;""'!$C$4:$C$66""),INDIRECT(""'""&amp;CL$1&amp;""'!$D$4:$D$66"")=CL$2),$G$4:$BQ$4,$G78:$BQ78))),"""")"),"")</f>
        <v/>
      </c>
      <c r="CN78" s="208" t="str">
        <f t="shared" si="13"/>
        <v/>
      </c>
      <c r="CO78" s="209" t="s">
        <v>444</v>
      </c>
      <c r="CP78" s="210">
        <f>IFERROR(__xludf.DUMMYFUNCTION("AVERAGE(ARRAYFORMULA(XLOOKUP(FILTER(INDIRECT(""'""&amp;CP$1&amp;""'!$C$4:$C$66""),INDIRECT(""'""&amp;CP$1&amp;""'!$D$4:$D$66"")=CP$2),$G$4:$BQ$4,$G78:$BQ78)))"),0.31800794600000004)</f>
        <v>0.318007946</v>
      </c>
      <c r="CQ78" s="207" t="str">
        <f>IFERROR(__xludf.DUMMYFUNCTION("IF(OR(CP78&gt;$BS78+$BT78*$BT$2,CP78&lt;$BS78-$BT78*$BT$2),AVEDEV(ARRAYFORMULA(XLOOKUP(FILTER(INDIRECT(""'""&amp;CP$1&amp;""'!$C$4:$C$66""),INDIRECT(""'""&amp;CP$1&amp;""'!$D$4:$D$66"")=CP$2),$G$4:$BQ$4,$G78:$BQ78))),"""")"),"")</f>
        <v/>
      </c>
      <c r="CR78" s="208" t="str">
        <f t="shared" si="14"/>
        <v/>
      </c>
      <c r="CS78" s="210">
        <f>IFERROR(__xludf.DUMMYFUNCTION("AVERAGE(ARRAYFORMULA(XLOOKUP(FILTER(INDIRECT(""'""&amp;CS$1&amp;""'!$C$4:$C$66""),INDIRECT(""'""&amp;CS$1&amp;""'!$D$4:$D$66"")=CS$2),$G$4:$BQ$4,$G78:$BQ78)))"),0.2345670179487179)</f>
        <v>0.2345670179</v>
      </c>
      <c r="CT78" s="207" t="str">
        <f>IFERROR(__xludf.DUMMYFUNCTION("IF(OR(CS78&gt;$BS78+$BT78*$BT$2,CS78&lt;$BS78-$BT78*$BT$2),AVEDEV(ARRAYFORMULA(XLOOKUP(FILTER(INDIRECT(""'""&amp;CS$1&amp;""'!$C$4:$C$66""),INDIRECT(""'""&amp;CS$1&amp;""'!$D$4:$D$66"")=CS$2),$G$4:$BQ$4,$G78:$BQ78))),"""")"),"")</f>
        <v/>
      </c>
      <c r="CU78" s="208" t="str">
        <f t="shared" si="15"/>
        <v/>
      </c>
      <c r="CV78" s="210">
        <f>IFERROR(__xludf.DUMMYFUNCTION("AVERAGE(ARRAYFORMULA(XLOOKUP(FILTER(INDIRECT(""'""&amp;CV$1&amp;""'!$C$4:$C$66""),INDIRECT(""'""&amp;CV$1&amp;""'!$D$4:$D$66"")=CV$2),$G$4:$BQ$4,$G78:$BQ78)))"),0.5184912239999999)</f>
        <v>0.518491224</v>
      </c>
      <c r="CW78" s="207" t="str">
        <f>IFERROR(__xludf.DUMMYFUNCTION("IF(OR(CV78&gt;$BS78+$BT78*$BT$2,CV78&lt;$BS78-$BT78*$BT$2),AVEDEV(ARRAYFORMULA(XLOOKUP(FILTER(INDIRECT(""'""&amp;CV$1&amp;""'!$C$4:$C$66""),INDIRECT(""'""&amp;CV$1&amp;""'!$D$4:$D$66"")=CV$2),$G$4:$BQ$4,$G78:$BQ78))),"""")"),"")</f>
        <v/>
      </c>
      <c r="CX78" s="208" t="str">
        <f t="shared" si="16"/>
        <v/>
      </c>
      <c r="CY78" s="209" t="s">
        <v>444</v>
      </c>
      <c r="CZ78" s="210">
        <f>IFERROR(__xludf.DUMMYFUNCTION("AVERAGE(ARRAYFORMULA(XLOOKUP(FILTER(INDIRECT(""'""&amp;CZ$1&amp;""'!$C$4:$C$66""),INDIRECT(""'""&amp;CZ$1&amp;""'!$D$4:$D$66"")=CZ$2),$G$4:$BQ$4,$G78:$BQ78)))"),0.5488389221428571)</f>
        <v>0.5488389221</v>
      </c>
      <c r="DA78" s="207" t="str">
        <f>IFERROR(__xludf.DUMMYFUNCTION("IF(OR(CZ78&gt;$BS78+$BT78*$BT$2,CZ78&lt;$BS78-$BT78*$BT$2),AVEDEV(ARRAYFORMULA(XLOOKUP(FILTER(INDIRECT(""'""&amp;CZ$1&amp;""'!$C$4:$C$66""),INDIRECT(""'""&amp;CZ$1&amp;""'!$D$4:$D$66"")=CZ$2),$G$4:$BQ$4,$G78:$BQ78))),"""")"),"")</f>
        <v/>
      </c>
      <c r="DB78" s="208" t="str">
        <f t="shared" si="17"/>
        <v/>
      </c>
      <c r="DC78" s="210">
        <f>IFERROR(__xludf.DUMMYFUNCTION("AVERAGE(ARRAYFORMULA(XLOOKUP(FILTER(INDIRECT(""'""&amp;DC$1&amp;""'!$C$4:$C$66""),INDIRECT(""'""&amp;DC$1&amp;""'!$D$4:$D$66"")=DC$2),$G$4:$BQ$4,$G78:$BQ78)))"),0.15213443666666668)</f>
        <v>0.1521344367</v>
      </c>
      <c r="DD78" s="207" t="str">
        <f>IFERROR(__xludf.DUMMYFUNCTION("IF(OR(DC78&gt;$BS78+$BT78*$BT$2,DC78&lt;$BS78-$BT78*$BT$2),AVEDEV(ARRAYFORMULA(XLOOKUP(FILTER(INDIRECT(""'""&amp;DC$1&amp;""'!$C$4:$C$66""),INDIRECT(""'""&amp;DC$1&amp;""'!$D$4:$D$66"")=DC$2),$G$4:$BQ$4,$G78:$BQ78))),"""")"),"")</f>
        <v/>
      </c>
      <c r="DE78" s="208" t="str">
        <f t="shared" si="18"/>
        <v/>
      </c>
      <c r="DF78" s="210">
        <f>IFERROR(__xludf.DUMMYFUNCTION("AVERAGE(ARRAYFORMULA(XLOOKUP(FILTER(INDIRECT(""'""&amp;DF$1&amp;""'!$C$4:$C$66""),INDIRECT(""'""&amp;DF$1&amp;""'!$D$4:$D$66"")=DF$2),$G$4:$BQ$4,$G78:$BQ78)))"),0.1436629472727273)</f>
        <v>0.1436629473</v>
      </c>
      <c r="DG78" s="207" t="str">
        <f>IFERROR(__xludf.DUMMYFUNCTION("IF(OR(DF78&gt;$BS78+$BT78*$BT$2,DF78&lt;$BS78-$BT78*$BT$2),AVEDEV(ARRAYFORMULA(XLOOKUP(FILTER(INDIRECT(""'""&amp;DF$1&amp;""'!$C$4:$C$66""),INDIRECT(""'""&amp;DF$1&amp;""'!$D$4:$D$66"")=DF$2),$G$4:$BQ$4,$G78:$BQ78))),"""")"),"")</f>
        <v/>
      </c>
      <c r="DH78" s="208" t="str">
        <f t="shared" si="19"/>
        <v/>
      </c>
      <c r="DI78" s="210">
        <f>IFERROR(__xludf.DUMMYFUNCTION("AVERAGE(ARRAYFORMULA(XLOOKUP(FILTER(INDIRECT(""'""&amp;DI$1&amp;""'!$C$4:$C$66""),INDIRECT(""'""&amp;DI$1&amp;""'!$D$4:$D$66"")=DI$2),$G$4:$BQ$4,$G78:$BQ78)))"),0.400602015)</f>
        <v>0.400602015</v>
      </c>
      <c r="DJ78" s="207" t="str">
        <f>IFERROR(__xludf.DUMMYFUNCTION("IF(OR(DI78&gt;$BS78+$BT78*$BT$2,DI78&lt;$BS78-$BT78*$BT$2),AVEDEV(ARRAYFORMULA(XLOOKUP(FILTER(INDIRECT(""'""&amp;DI$1&amp;""'!$C$4:$C$66""),INDIRECT(""'""&amp;DI$1&amp;""'!$D$4:$D$66"")=DI$2),$G$4:$BQ$4,$G78:$BQ78))),"""")"),"")</f>
        <v/>
      </c>
      <c r="DK78" s="208" t="str">
        <f t="shared" si="20"/>
        <v/>
      </c>
      <c r="DL78" s="210">
        <f>IFERROR(__xludf.DUMMYFUNCTION("AVERAGE(ARRAYFORMULA(XLOOKUP(FILTER(INDIRECT(""'""&amp;DL$1&amp;""'!$C$4:$C$66""),INDIRECT(""'""&amp;DL$1&amp;""'!$D$4:$D$66"")=DL$2),$G$4:$BQ$4,$G78:$BQ78)))"),0.25218961999999995)</f>
        <v>0.25218962</v>
      </c>
      <c r="DM78" s="207" t="str">
        <f>IFERROR(__xludf.DUMMYFUNCTION("IF(OR(DL78&gt;$BS78+$BT78*$BT$2,DL78&lt;$BS78-$BT78*$BT$2),AVEDEV(ARRAYFORMULA(XLOOKUP(FILTER(INDIRECT(""'""&amp;DL$1&amp;""'!$C$4:$C$66""),INDIRECT(""'""&amp;DL$1&amp;""'!$D$4:$D$66"")=DL$2),$G$4:$BQ$4,$G78:$BQ78))),"""")"),"")</f>
        <v/>
      </c>
      <c r="DN78" s="208" t="str">
        <f t="shared" si="21"/>
        <v/>
      </c>
      <c r="DO78" s="209" t="s">
        <v>444</v>
      </c>
      <c r="DP78" s="210">
        <f>IFERROR(__xludf.DUMMYFUNCTION("AVERAGE(ARRAYFORMULA(XLOOKUP(FILTER(INDIRECT(""'""&amp;DP$1&amp;""'!$C$4:$C$66""),INDIRECT(""'""&amp;DP$1&amp;""'!$D$4:$D$66"")=DP$2),$G$4:$BQ$4,$G78:$BQ78)))"),0.439353724)</f>
        <v>0.439353724</v>
      </c>
      <c r="DQ78" s="207" t="str">
        <f>IFERROR(__xludf.DUMMYFUNCTION("IF(OR(DP78&gt;$BS78+$BT78*$BT$2,DP78&lt;$BS78-$BT78*$BT$2),AVEDEV(ARRAYFORMULA(XLOOKUP(FILTER(INDIRECT(""'""&amp;DP$1&amp;""'!$C$4:$C$66""),INDIRECT(""'""&amp;DP$1&amp;""'!$D$4:$D$66"")=DP$2),$G$4:$BQ$4,$G78:$BQ78))),"""")"),"")</f>
        <v/>
      </c>
      <c r="DR78" s="208" t="str">
        <f t="shared" si="22"/>
        <v/>
      </c>
      <c r="DS78" s="210">
        <f>IFERROR(__xludf.DUMMYFUNCTION("AVERAGE(ARRAYFORMULA(XLOOKUP(FILTER(INDIRECT(""'""&amp;DS$1&amp;""'!$C$4:$C$66""),INDIRECT(""'""&amp;DS$1&amp;""'!$D$4:$D$66"")=DS$2),$G$4:$BQ$4,$G78:$BQ78)))"),0.21011316999999996)</f>
        <v>0.21011317</v>
      </c>
      <c r="DT78" s="207" t="str">
        <f>IFERROR(__xludf.DUMMYFUNCTION("IF(OR(DS78&gt;$BS78+$BT78*$BT$2,DS78&lt;$BS78-$BT78*$BT$2),AVEDEV(ARRAYFORMULA(XLOOKUP(FILTER(INDIRECT(""'""&amp;DS$1&amp;""'!$C$4:$C$66""),INDIRECT(""'""&amp;DS$1&amp;""'!$D$4:$D$66"")=DS$2),$G$4:$BQ$4,$G78:$BQ78))),"""")"),"")</f>
        <v/>
      </c>
      <c r="DU78" s="208" t="str">
        <f t="shared" si="23"/>
        <v/>
      </c>
      <c r="DV78" s="210">
        <f>IFERROR(__xludf.DUMMYFUNCTION("AVERAGE(ARRAYFORMULA(XLOOKUP(FILTER(INDIRECT(""'""&amp;DV$1&amp;""'!$C$4:$C$66""),INDIRECT(""'""&amp;DV$1&amp;""'!$D$4:$D$66"")=DV$2),$G$4:$BQ$4,$G78:$BQ78)))"),0.08105263249999999)</f>
        <v>0.0810526325</v>
      </c>
      <c r="DW78" s="207" t="str">
        <f>IFERROR(__xludf.DUMMYFUNCTION("IF(OR(DV78&gt;$BS78+$BT78*$BT$2,DV78&lt;$BS78-$BT78*$BT$2),AVEDEV(ARRAYFORMULA(XLOOKUP(FILTER(INDIRECT(""'""&amp;DV$1&amp;""'!$C$4:$C$66""),INDIRECT(""'""&amp;DV$1&amp;""'!$D$4:$D$66"")=DV$2),$G$4:$BQ$4,$G78:$BQ78))),"""")"),"")</f>
        <v/>
      </c>
      <c r="DX78" s="208" t="str">
        <f t="shared" si="24"/>
        <v/>
      </c>
      <c r="DY78" s="210">
        <f>IFERROR(__xludf.DUMMYFUNCTION("AVERAGE(ARRAYFORMULA(XLOOKUP(FILTER(INDIRECT(""'""&amp;DY$1&amp;""'!$C$4:$C$66""),INDIRECT(""'""&amp;DY$1&amp;""'!$D$4:$D$66"")=DY$2),$G$4:$BQ$4,$G78:$BQ78)))"),0.13522)</f>
        <v>0.13522</v>
      </c>
      <c r="DZ78" s="207" t="str">
        <f>IFERROR(__xludf.DUMMYFUNCTION("IF(OR(DY78&gt;$BS78+$BT78*$BT$2,DY78&lt;$BS78-$BT78*$BT$2),AVEDEV(ARRAYFORMULA(XLOOKUP(FILTER(INDIRECT(""'""&amp;DY$1&amp;""'!$C$4:$C$66""),INDIRECT(""'""&amp;DY$1&amp;""'!$D$4:$D$66"")=DY$2),$G$4:$BQ$4,$G78:$BQ78))),"""")"),"")</f>
        <v/>
      </c>
      <c r="EA78" s="208" t="str">
        <f t="shared" si="25"/>
        <v/>
      </c>
      <c r="EB78" s="191"/>
    </row>
    <row r="79" outlineLevel="1">
      <c r="A79" s="2"/>
      <c r="B79" s="204">
        <v>75.0</v>
      </c>
      <c r="C79" s="204" t="s">
        <v>507</v>
      </c>
      <c r="D79" s="204" t="s">
        <v>520</v>
      </c>
      <c r="E79" s="205" t="b">
        <f>VLOOKUP(D79,'Feature Set List'!A75:C246,2,0)</f>
        <v>1</v>
      </c>
      <c r="F79" s="205" t="b">
        <f>VLOOKUP(D79,'Feature Set List'!A75:C246,3,0)</f>
        <v>1</v>
      </c>
      <c r="G79" s="205">
        <v>0.51153846</v>
      </c>
      <c r="H79" s="205">
        <v>0.44423077</v>
      </c>
      <c r="I79" s="205">
        <v>-0.2403846</v>
      </c>
      <c r="J79" s="205">
        <v>0.37884615</v>
      </c>
      <c r="K79" s="205">
        <v>0.88846154</v>
      </c>
      <c r="L79" s="205">
        <v>0.15384615</v>
      </c>
      <c r="M79" s="205">
        <v>0.82884615</v>
      </c>
      <c r="N79" s="205">
        <v>-1.9173077</v>
      </c>
      <c r="O79" s="205">
        <v>-0.5057692</v>
      </c>
      <c r="P79" s="205">
        <v>0.93076923</v>
      </c>
      <c r="Q79" s="205">
        <v>0.44807692</v>
      </c>
      <c r="R79" s="205">
        <v>-1.675</v>
      </c>
      <c r="S79" s="205">
        <v>-0.9576923</v>
      </c>
      <c r="T79" s="205">
        <v>-0.05</v>
      </c>
      <c r="U79" s="205">
        <v>-2.4563462</v>
      </c>
      <c r="V79" s="205">
        <v>1.03269231</v>
      </c>
      <c r="W79" s="205">
        <v>-0.1557692</v>
      </c>
      <c r="X79" s="205">
        <v>-2.7453846</v>
      </c>
      <c r="Y79" s="205">
        <v>0.37115385</v>
      </c>
      <c r="Z79" s="205">
        <v>0.09230769</v>
      </c>
      <c r="AA79" s="205">
        <v>-2.0557692</v>
      </c>
      <c r="AB79" s="205">
        <v>0.24423077</v>
      </c>
      <c r="AC79" s="205">
        <v>-0.9307692</v>
      </c>
      <c r="AD79" s="205">
        <v>0.81538462</v>
      </c>
      <c r="AE79" s="205">
        <v>-1.4769231</v>
      </c>
      <c r="AF79" s="205">
        <v>0.14615385</v>
      </c>
      <c r="AG79" s="205">
        <v>1.66923077</v>
      </c>
      <c r="AH79" s="205">
        <v>-1.4846154</v>
      </c>
      <c r="AI79" s="205">
        <v>0.11730769</v>
      </c>
      <c r="AJ79" s="205">
        <v>2.76346154</v>
      </c>
      <c r="AK79" s="205">
        <v>1.04230769</v>
      </c>
      <c r="AL79" s="205">
        <v>0.62884615</v>
      </c>
      <c r="AM79" s="205">
        <v>-0.3288462</v>
      </c>
      <c r="AN79" s="205">
        <v>0.24230769</v>
      </c>
      <c r="AO79" s="205">
        <v>1.91538462</v>
      </c>
      <c r="AP79" s="205">
        <v>0.43653846</v>
      </c>
      <c r="AQ79" s="205">
        <v>-0.3673077</v>
      </c>
      <c r="AR79" s="205">
        <v>1.34423077</v>
      </c>
      <c r="AS79" s="205">
        <v>0.37307692</v>
      </c>
      <c r="AT79" s="205">
        <v>-0.7346154</v>
      </c>
      <c r="AU79" s="205">
        <v>1.32884615</v>
      </c>
      <c r="AV79" s="205">
        <v>0.0</v>
      </c>
      <c r="AW79" s="205">
        <v>-0.0269231</v>
      </c>
      <c r="AX79" s="205">
        <v>0.48076923</v>
      </c>
      <c r="AY79" s="205">
        <v>-0.2923077</v>
      </c>
      <c r="AZ79" s="205">
        <v>-0.9615385</v>
      </c>
      <c r="BA79" s="205">
        <v>0.25961538</v>
      </c>
      <c r="BB79" s="205">
        <v>-1.5673077</v>
      </c>
      <c r="BC79" s="205">
        <v>-0.0846154</v>
      </c>
      <c r="BD79" s="205">
        <v>0.27884615</v>
      </c>
      <c r="BE79" s="205">
        <v>-0.3711538</v>
      </c>
      <c r="BF79" s="205">
        <v>-0.1673077</v>
      </c>
      <c r="BG79" s="205">
        <v>-0.3346154</v>
      </c>
      <c r="BH79" s="205">
        <v>1.23846154</v>
      </c>
      <c r="BI79" s="205">
        <v>0.00961538</v>
      </c>
      <c r="BJ79" s="205">
        <v>-0.5653846</v>
      </c>
      <c r="BK79" s="205">
        <v>-0.6057692</v>
      </c>
      <c r="BL79" s="205">
        <v>-2.0923077</v>
      </c>
      <c r="BM79" s="205">
        <v>-3.0344231</v>
      </c>
      <c r="BN79" s="205">
        <v>-0.2307692</v>
      </c>
      <c r="BO79" s="205">
        <v>-0.2019231</v>
      </c>
      <c r="BP79" s="205">
        <v>0.71538462</v>
      </c>
      <c r="BQ79" s="205">
        <v>-0.1596154</v>
      </c>
      <c r="BR79" s="206"/>
      <c r="BS79" s="207">
        <f t="shared" si="6"/>
        <v>-0.1055189268</v>
      </c>
      <c r="BT79" s="207">
        <f t="shared" si="7"/>
        <v>0.8146791476</v>
      </c>
      <c r="BU79" s="206"/>
      <c r="BV79" s="207">
        <f>IFERROR(__xludf.DUMMYFUNCTION("AVERAGE(ARRAYFORMULA(XLOOKUP(FILTER(INDIRECT(""'""&amp;BV$1&amp;""'!$C$4:$C$66""),INDIRECT(""'""&amp;BV$1&amp;""'!$D$4:$D$66"")=BV$2),$G$4:$BQ$4,$G79:$BQ79)))"),-1.0870604400000001)</f>
        <v>-1.08706044</v>
      </c>
      <c r="BW79" s="207">
        <f>IFERROR(__xludf.DUMMYFUNCTION("IF(OR(BV79&gt;$BS79+$BT79*$BT$2,BV79&lt;$BS79-$BT79*$BT$2),AVEDEV(ARRAYFORMULA(XLOOKUP(FILTER(INDIRECT(""'""&amp;BV$1&amp;""'!$C$4:$C$66""),INDIRECT(""'""&amp;BV$1&amp;""'!$D$4:$D$66"")=BV$2),$G$4:$BQ$4,$G79:$BQ79))),"""")"),1.2894584114285712)</f>
        <v>1.289458411</v>
      </c>
      <c r="BX79" s="208">
        <f t="shared" si="8"/>
        <v>-0.1668623656</v>
      </c>
      <c r="BY79" s="207">
        <f>IFERROR(__xludf.DUMMYFUNCTION("AVERAGE(ARRAYFORMULA(XLOOKUP(FILTER(INDIRECT(""'""&amp;BY$1&amp;""'!$C$4:$C$66""),INDIRECT(""'""&amp;BY$1&amp;""'!$D$4:$D$66"")=BY$2),$G$4:$BQ$4,$G79:$BQ79)))"),0.014148350476190437)</f>
        <v>0.01414835048</v>
      </c>
      <c r="BZ79" s="207" t="str">
        <f>IFERROR(__xludf.DUMMYFUNCTION("IF(OR(BY79&gt;$BS79+$BT79*$BT$2,BY79&lt;$BS79-$BT79*$BT$2),AVEDEV(ARRAYFORMULA(XLOOKUP(FILTER(INDIRECT(""'""&amp;BY$1&amp;""'!$C$4:$C$66""),INDIRECT(""'""&amp;BY$1&amp;""'!$D$4:$D$66"")=BY$2),$G$4:$BQ$4,$G79:$BQ79))),"""")"),"")</f>
        <v/>
      </c>
      <c r="CA79" s="208" t="str">
        <f t="shared" si="9"/>
        <v/>
      </c>
      <c r="CB79" s="207">
        <f>IFERROR(__xludf.DUMMYFUNCTION("AVERAGE(ARRAYFORMULA(XLOOKUP(FILTER(INDIRECT(""'""&amp;CB$1&amp;""'!$C$4:$C$66""),INDIRECT(""'""&amp;CB$1&amp;""'!$D$4:$D$66"")=CB$2),$G$4:$BQ$4,$G79:$BQ79)))"),-0.09089161181818182)</f>
        <v>-0.09089161182</v>
      </c>
      <c r="CC79" s="207" t="str">
        <f>IFERROR(__xludf.DUMMYFUNCTION("IF(OR(CB79&gt;$BS79+$BT79*$BT$2,CB79&lt;$BS79-$BT79*$BT$2),AVEDEV(ARRAYFORMULA(XLOOKUP(FILTER(INDIRECT(""'""&amp;CB$1&amp;""'!$C$4:$C$66""),INDIRECT(""'""&amp;CB$1&amp;""'!$D$4:$D$66"")=CB$2),$G$4:$BQ$4,$G79:$BQ79))),"""")"),"")</f>
        <v/>
      </c>
      <c r="CD79" s="208" t="str">
        <f t="shared" si="10"/>
        <v/>
      </c>
      <c r="CE79" s="209" t="s">
        <v>444</v>
      </c>
      <c r="CF79" s="207">
        <f>IFERROR(__xludf.DUMMYFUNCTION("AVERAGE(ARRAYFORMULA(XLOOKUP(FILTER(INDIRECT(""'""&amp;CF$1&amp;""'!$C$4:$C$66""),INDIRECT(""'""&amp;CF$1&amp;""'!$D$4:$D$66"")=CF$2),$G$4:$BQ$4,$G79:$BQ79)))"),-0.16902645125000007)</f>
        <v>-0.1690264513</v>
      </c>
      <c r="CG79" s="207" t="str">
        <f>IFERROR(__xludf.DUMMYFUNCTION("IF(OR(CF79&gt;$BS79+$BT79*$BT$2,CF79&lt;$BS79-$BT79*$BT$2),AVEDEV(ARRAYFORMULA(XLOOKUP(FILTER(INDIRECT(""'""&amp;CF$1&amp;""'!$C$4:$C$66""),INDIRECT(""'""&amp;CF$1&amp;""'!$D$4:$D$66"")=CF$2),$G$4:$BQ$4,$G79:$BQ79))),"""")"),"")</f>
        <v/>
      </c>
      <c r="CH79" s="208" t="str">
        <f t="shared" si="11"/>
        <v/>
      </c>
      <c r="CI79" s="207">
        <f>IFERROR(__xludf.DUMMYFUNCTION("AVERAGE(ARRAYFORMULA(XLOOKUP(FILTER(INDIRECT(""'""&amp;CI$1&amp;""'!$C$4:$C$66""),INDIRECT(""'""&amp;CI$1&amp;""'!$D$4:$D$66"")=CI$2),$G$4:$BQ$4,$G79:$BQ79)))"),-0.08604218000000005)</f>
        <v>-0.08604218</v>
      </c>
      <c r="CJ79" s="207" t="str">
        <f>IFERROR(__xludf.DUMMYFUNCTION("IF(OR(CI79&gt;$BS79+$BT79*$BT$2,CI79&lt;$BS79-$BT79*$BT$2),AVEDEV(ARRAYFORMULA(XLOOKUP(FILTER(INDIRECT(""'""&amp;CI$1&amp;""'!$C$4:$C$66""),INDIRECT(""'""&amp;CI$1&amp;""'!$D$4:$D$66"")=CI$2),$G$4:$BQ$4,$G79:$BQ79))),"""")"),"")</f>
        <v/>
      </c>
      <c r="CK79" s="208" t="str">
        <f t="shared" si="12"/>
        <v/>
      </c>
      <c r="CL79" s="207">
        <f>IFERROR(__xludf.DUMMYFUNCTION("AVERAGE(ARRAYFORMULA(XLOOKUP(FILTER(INDIRECT(""'""&amp;CL$1&amp;""'!$C$4:$C$66""),INDIRECT(""'""&amp;CL$1&amp;""'!$D$4:$D$66"")=CL$2),$G$4:$BQ$4,$G79:$BQ79)))"),0.23576922599999994)</f>
        <v>0.235769226</v>
      </c>
      <c r="CM79" s="207" t="str">
        <f>IFERROR(__xludf.DUMMYFUNCTION("IF(OR(CL79&gt;$BS79+$BT79*$BT$2,CL79&lt;$BS79-$BT79*$BT$2),AVEDEV(ARRAYFORMULA(XLOOKUP(FILTER(INDIRECT(""'""&amp;CL$1&amp;""'!$C$4:$C$66""),INDIRECT(""'""&amp;CL$1&amp;""'!$D$4:$D$66"")=CL$2),$G$4:$BQ$4,$G79:$BQ79))),"""")"),"")</f>
        <v/>
      </c>
      <c r="CN79" s="208" t="str">
        <f t="shared" si="13"/>
        <v/>
      </c>
      <c r="CO79" s="209" t="s">
        <v>444</v>
      </c>
      <c r="CP79" s="210">
        <f>IFERROR(__xludf.DUMMYFUNCTION("AVERAGE(ARRAYFORMULA(XLOOKUP(FILTER(INDIRECT(""'""&amp;CP$1&amp;""'!$C$4:$C$66""),INDIRECT(""'""&amp;CP$1&amp;""'!$D$4:$D$66"")=CP$2),$G$4:$BQ$4,$G79:$BQ79)))"),-1.1899743613333333)</f>
        <v>-1.189974361</v>
      </c>
      <c r="CQ79" s="207">
        <f>IFERROR(__xludf.DUMMYFUNCTION("IF(OR(CP79&gt;$BS79+$BT79*$BT$2,CP79&lt;$BS79-$BT79*$BT$2),AVEDEV(ARRAYFORMULA(XLOOKUP(FILTER(INDIRECT(""'""&amp;CP$1&amp;""'!$C$4:$C$66""),INDIRECT(""'""&amp;CP$1&amp;""'!$D$4:$D$66"")=CP$2),$G$4:$BQ$4,$G79:$BQ79))),"""")"),0.9624376145777779)</f>
        <v>0.9624376146</v>
      </c>
      <c r="CR79" s="208">
        <f t="shared" si="14"/>
        <v>-0.2697762869</v>
      </c>
      <c r="CS79" s="210">
        <f>IFERROR(__xludf.DUMMYFUNCTION("AVERAGE(ARRAYFORMULA(XLOOKUP(FILTER(INDIRECT(""'""&amp;CS$1&amp;""'!$C$4:$C$66""),INDIRECT(""'""&amp;CS$1&amp;""'!$D$4:$D$66"")=CS$2),$G$4:$BQ$4,$G79:$BQ79)))"),0.27559171538461535)</f>
        <v>0.2755917154</v>
      </c>
      <c r="CT79" s="207" t="str">
        <f>IFERROR(__xludf.DUMMYFUNCTION("IF(OR(CS79&gt;$BS79+$BT79*$BT$2,CS79&lt;$BS79-$BT79*$BT$2),AVEDEV(ARRAYFORMULA(XLOOKUP(FILTER(INDIRECT(""'""&amp;CS$1&amp;""'!$C$4:$C$66""),INDIRECT(""'""&amp;CS$1&amp;""'!$D$4:$D$66"")=CS$2),$G$4:$BQ$4,$G79:$BQ79))),"""")"),"")</f>
        <v/>
      </c>
      <c r="CU79" s="208" t="str">
        <f t="shared" si="15"/>
        <v/>
      </c>
      <c r="CV79" s="210">
        <f>IFERROR(__xludf.DUMMYFUNCTION("AVERAGE(ARRAYFORMULA(XLOOKUP(FILTER(INDIRECT(""'""&amp;CV$1&amp;""'!$C$4:$C$66""),INDIRECT(""'""&amp;CV$1&amp;""'!$D$4:$D$66"")=CV$2),$G$4:$BQ$4,$G79:$BQ79)))"),0.23576922599999994)</f>
        <v>0.235769226</v>
      </c>
      <c r="CW79" s="207" t="str">
        <f>IFERROR(__xludf.DUMMYFUNCTION("IF(OR(CV79&gt;$BS79+$BT79*$BT$2,CV79&lt;$BS79-$BT79*$BT$2),AVEDEV(ARRAYFORMULA(XLOOKUP(FILTER(INDIRECT(""'""&amp;CV$1&amp;""'!$C$4:$C$66""),INDIRECT(""'""&amp;CV$1&amp;""'!$D$4:$D$66"")=CV$2),$G$4:$BQ$4,$G79:$BQ79))),"""")"),"")</f>
        <v/>
      </c>
      <c r="CX79" s="208" t="str">
        <f t="shared" si="16"/>
        <v/>
      </c>
      <c r="CY79" s="209" t="s">
        <v>444</v>
      </c>
      <c r="CZ79" s="210">
        <f>IFERROR(__xludf.DUMMYFUNCTION("AVERAGE(ARRAYFORMULA(XLOOKUP(FILTER(INDIRECT(""'""&amp;CZ$1&amp;""'!$C$4:$C$66""),INDIRECT(""'""&amp;CZ$1&amp;""'!$D$4:$D$66"")=CZ$2),$G$4:$BQ$4,$G79:$BQ79)))"),0.08489010642857141)</f>
        <v>0.08489010643</v>
      </c>
      <c r="DA79" s="207" t="str">
        <f>IFERROR(__xludf.DUMMYFUNCTION("IF(OR(CZ79&gt;$BS79+$BT79*$BT$2,CZ79&lt;$BS79-$BT79*$BT$2),AVEDEV(ARRAYFORMULA(XLOOKUP(FILTER(INDIRECT(""'""&amp;CZ$1&amp;""'!$C$4:$C$66""),INDIRECT(""'""&amp;CZ$1&amp;""'!$D$4:$D$66"")=CZ$2),$G$4:$BQ$4,$G79:$BQ79))),"""")"),"")</f>
        <v/>
      </c>
      <c r="DB79" s="208" t="str">
        <f t="shared" si="17"/>
        <v/>
      </c>
      <c r="DC79" s="210">
        <f>IFERROR(__xludf.DUMMYFUNCTION("AVERAGE(ARRAYFORMULA(XLOOKUP(FILTER(INDIRECT(""'""&amp;DC$1&amp;""'!$C$4:$C$66""),INDIRECT(""'""&amp;DC$1&amp;""'!$D$4:$D$66"")=DC$2),$G$4:$BQ$4,$G79:$BQ79)))"),0.3329059855555556)</f>
        <v>0.3329059856</v>
      </c>
      <c r="DD79" s="207" t="str">
        <f>IFERROR(__xludf.DUMMYFUNCTION("IF(OR(DC79&gt;$BS79+$BT79*$BT$2,DC79&lt;$BS79-$BT79*$BT$2),AVEDEV(ARRAYFORMULA(XLOOKUP(FILTER(INDIRECT(""'""&amp;DC$1&amp;""'!$C$4:$C$66""),INDIRECT(""'""&amp;DC$1&amp;""'!$D$4:$D$66"")=DC$2),$G$4:$BQ$4,$G79:$BQ79))),"""")"),"")</f>
        <v/>
      </c>
      <c r="DE79" s="208" t="str">
        <f t="shared" si="18"/>
        <v/>
      </c>
      <c r="DF79" s="210">
        <f>IFERROR(__xludf.DUMMYFUNCTION("AVERAGE(ARRAYFORMULA(XLOOKUP(FILTER(INDIRECT(""'""&amp;DF$1&amp;""'!$C$4:$C$66""),INDIRECT(""'""&amp;DF$1&amp;""'!$D$4:$D$66"")=DF$2),$G$4:$BQ$4,$G79:$BQ79)))"),-0.7041958118181818)</f>
        <v>-0.7041958118</v>
      </c>
      <c r="DG79" s="207" t="str">
        <f>IFERROR(__xludf.DUMMYFUNCTION("IF(OR(DF79&gt;$BS79+$BT79*$BT$2,DF79&lt;$BS79-$BT79*$BT$2),AVEDEV(ARRAYFORMULA(XLOOKUP(FILTER(INDIRECT(""'""&amp;DF$1&amp;""'!$C$4:$C$66""),INDIRECT(""'""&amp;DF$1&amp;""'!$D$4:$D$66"")=DF$2),$G$4:$BQ$4,$G79:$BQ79))),"""")"),"")</f>
        <v/>
      </c>
      <c r="DH79" s="208" t="str">
        <f t="shared" si="19"/>
        <v/>
      </c>
      <c r="DI79" s="210">
        <f>IFERROR(__xludf.DUMMYFUNCTION("AVERAGE(ARRAYFORMULA(XLOOKUP(FILTER(INDIRECT(""'""&amp;DI$1&amp;""'!$C$4:$C$66""),INDIRECT(""'""&amp;DI$1&amp;""'!$D$4:$D$66"")=DI$2),$G$4:$BQ$4,$G79:$BQ79)))"),1.02692308)</f>
        <v>1.02692308</v>
      </c>
      <c r="DJ79" s="207">
        <f>IFERROR(__xludf.DUMMYFUNCTION("IF(OR(DI79&gt;$BS79+$BT79*$BT$2,DI79&lt;$BS79-$BT79*$BT$2),AVEDEV(ARRAYFORMULA(XLOOKUP(FILTER(INDIRECT(""'""&amp;DI$1&amp;""'!$C$4:$C$66""),INDIRECT(""'""&amp;DI$1&amp;""'!$D$4:$D$66"")=DI$2),$G$4:$BQ$4,$G79:$BQ79))),"""")"),0.21153846000000004)</f>
        <v>0.21153846</v>
      </c>
      <c r="DK79" s="208">
        <f t="shared" si="20"/>
        <v>0.3177628592</v>
      </c>
      <c r="DL79" s="210">
        <f>IFERROR(__xludf.DUMMYFUNCTION("AVERAGE(ARRAYFORMULA(XLOOKUP(FILTER(INDIRECT(""'""&amp;DL$1&amp;""'!$C$4:$C$66""),INDIRECT(""'""&amp;DL$1&amp;""'!$D$4:$D$66"")=DL$2),$G$4:$BQ$4,$G79:$BQ79)))"),0.20535714571428573)</f>
        <v>0.2053571457</v>
      </c>
      <c r="DM79" s="207" t="str">
        <f>IFERROR(__xludf.DUMMYFUNCTION("IF(OR(DL79&gt;$BS79+$BT79*$BT$2,DL79&lt;$BS79-$BT79*$BT$2),AVEDEV(ARRAYFORMULA(XLOOKUP(FILTER(INDIRECT(""'""&amp;DL$1&amp;""'!$C$4:$C$66""),INDIRECT(""'""&amp;DL$1&amp;""'!$D$4:$D$66"")=DL$2),$G$4:$BQ$4,$G79:$BQ79))),"""")"),"")</f>
        <v/>
      </c>
      <c r="DN79" s="208" t="str">
        <f t="shared" si="21"/>
        <v/>
      </c>
      <c r="DO79" s="209" t="s">
        <v>444</v>
      </c>
      <c r="DP79" s="210">
        <f>IFERROR(__xludf.DUMMYFUNCTION("AVERAGE(ARRAYFORMULA(XLOOKUP(FILTER(INDIRECT(""'""&amp;DP$1&amp;""'!$C$4:$C$66""),INDIRECT(""'""&amp;DP$1&amp;""'!$D$4:$D$66"")=DP$2),$G$4:$BQ$4,$G79:$BQ79)))"),-0.063205129)</f>
        <v>-0.063205129</v>
      </c>
      <c r="DQ79" s="207" t="str">
        <f>IFERROR(__xludf.DUMMYFUNCTION("IF(OR(DP79&gt;$BS79+$BT79*$BT$2,DP79&lt;$BS79-$BT79*$BT$2),AVEDEV(ARRAYFORMULA(XLOOKUP(FILTER(INDIRECT(""'""&amp;DP$1&amp;""'!$C$4:$C$66""),INDIRECT(""'""&amp;DP$1&amp;""'!$D$4:$D$66"")=DP$2),$G$4:$BQ$4,$G79:$BQ79))),"""")"),"")</f>
        <v/>
      </c>
      <c r="DR79" s="208" t="str">
        <f t="shared" si="22"/>
        <v/>
      </c>
      <c r="DS79" s="210">
        <f>IFERROR(__xludf.DUMMYFUNCTION("AVERAGE(ARRAYFORMULA(XLOOKUP(FILTER(INDIRECT(""'""&amp;DS$1&amp;""'!$C$4:$C$66""),INDIRECT(""'""&amp;DS$1&amp;""'!$D$4:$D$66"")=DS$2),$G$4:$BQ$4,$G79:$BQ79)))"),-0.06173077000000003)</f>
        <v>-0.06173077</v>
      </c>
      <c r="DT79" s="207" t="str">
        <f>IFERROR(__xludf.DUMMYFUNCTION("IF(OR(DS79&gt;$BS79+$BT79*$BT$2,DS79&lt;$BS79-$BT79*$BT$2),AVEDEV(ARRAYFORMULA(XLOOKUP(FILTER(INDIRECT(""'""&amp;DS$1&amp;""'!$C$4:$C$66""),INDIRECT(""'""&amp;DS$1&amp;""'!$D$4:$D$66"")=DS$2),$G$4:$BQ$4,$G79:$BQ79))),"""")"),"")</f>
        <v/>
      </c>
      <c r="DU79" s="208" t="str">
        <f t="shared" si="23"/>
        <v/>
      </c>
      <c r="DV79" s="210">
        <f>IFERROR(__xludf.DUMMYFUNCTION("AVERAGE(ARRAYFORMULA(XLOOKUP(FILTER(INDIRECT(""'""&amp;DV$1&amp;""'!$C$4:$C$66""),INDIRECT(""'""&amp;DV$1&amp;""'!$D$4:$D$66"")=DV$2),$G$4:$BQ$4,$G79:$BQ79)))"),-0.7676201950000001)</f>
        <v>-0.767620195</v>
      </c>
      <c r="DW79" s="207" t="str">
        <f>IFERROR(__xludf.DUMMYFUNCTION("IF(OR(DV79&gt;$BS79+$BT79*$BT$2,DV79&lt;$BS79-$BT79*$BT$2),AVEDEV(ARRAYFORMULA(XLOOKUP(FILTER(INDIRECT(""'""&amp;DV$1&amp;""'!$C$4:$C$66""),INDIRECT(""'""&amp;DV$1&amp;""'!$D$4:$D$66"")=DV$2),$G$4:$BQ$4,$G79:$BQ79))),"""")"),"")</f>
        <v/>
      </c>
      <c r="DX79" s="208" t="str">
        <f t="shared" si="24"/>
        <v/>
      </c>
      <c r="DY79" s="210">
        <f>IFERROR(__xludf.DUMMYFUNCTION("AVERAGE(ARRAYFORMULA(XLOOKUP(FILTER(INDIRECT(""'""&amp;DY$1&amp;""'!$C$4:$C$66""),INDIRECT(""'""&amp;DY$1&amp;""'!$D$4:$D$66"")=DY$2),$G$4:$BQ$4,$G79:$BQ79)))"),0.2395299088888889)</f>
        <v>0.2395299089</v>
      </c>
      <c r="DZ79" s="207" t="str">
        <f>IFERROR(__xludf.DUMMYFUNCTION("IF(OR(DY79&gt;$BS79+$BT79*$BT$2,DY79&lt;$BS79-$BT79*$BT$2),AVEDEV(ARRAYFORMULA(XLOOKUP(FILTER(INDIRECT(""'""&amp;DY$1&amp;""'!$C$4:$C$66""),INDIRECT(""'""&amp;DY$1&amp;""'!$D$4:$D$66"")=DY$2),$G$4:$BQ$4,$G79:$BQ79))),"""")"),"")</f>
        <v/>
      </c>
      <c r="EA79" s="208" t="str">
        <f t="shared" si="25"/>
        <v/>
      </c>
      <c r="EB79" s="191"/>
    </row>
    <row r="80" outlineLevel="1">
      <c r="A80" s="2"/>
      <c r="B80" s="204">
        <v>76.0</v>
      </c>
      <c r="C80" s="204" t="s">
        <v>507</v>
      </c>
      <c r="D80" s="204" t="s">
        <v>521</v>
      </c>
      <c r="E80" s="205" t="b">
        <f>VLOOKUP(D80,'Feature Set List'!A76:C246,2,0)</f>
        <v>1</v>
      </c>
      <c r="F80" s="205" t="b">
        <f>VLOOKUP(D80,'Feature Set List'!A76:C246,3,0)</f>
        <v>1</v>
      </c>
      <c r="G80" s="205">
        <v>-0.3036372</v>
      </c>
      <c r="H80" s="205">
        <v>0.9063893</v>
      </c>
      <c r="I80" s="205">
        <v>2.2843853</v>
      </c>
      <c r="J80" s="205">
        <v>1.01169326</v>
      </c>
      <c r="K80" s="205">
        <v>0.98262162</v>
      </c>
      <c r="L80" s="205">
        <v>0.2067317</v>
      </c>
      <c r="M80" s="205">
        <v>-0.1117643</v>
      </c>
      <c r="N80" s="205">
        <v>0.30686737</v>
      </c>
      <c r="O80" s="205">
        <v>0.07558628</v>
      </c>
      <c r="P80" s="205">
        <v>0.10207378</v>
      </c>
      <c r="Q80" s="205">
        <v>-0.3792881</v>
      </c>
      <c r="R80" s="205">
        <v>-0.1699076</v>
      </c>
      <c r="S80" s="205">
        <v>-0.5613412</v>
      </c>
      <c r="T80" s="205">
        <v>0.72162284</v>
      </c>
      <c r="U80" s="205">
        <v>-0.3945345</v>
      </c>
      <c r="V80" s="205">
        <v>1.54338136</v>
      </c>
      <c r="W80" s="205">
        <v>-0.4082305</v>
      </c>
      <c r="X80" s="205">
        <v>-0.6919052</v>
      </c>
      <c r="Y80" s="205">
        <v>-0.541314</v>
      </c>
      <c r="Z80" s="205">
        <v>-0.5719362</v>
      </c>
      <c r="AA80" s="205">
        <v>-0.5319465</v>
      </c>
      <c r="AB80" s="205">
        <v>-0.6348601</v>
      </c>
      <c r="AC80" s="205">
        <v>-0.3692099</v>
      </c>
      <c r="AD80" s="205">
        <v>-0.7318948</v>
      </c>
      <c r="AE80" s="205">
        <v>0.22352865</v>
      </c>
      <c r="AF80" s="205">
        <v>0.1130564</v>
      </c>
      <c r="AG80" s="205">
        <v>4.15530719</v>
      </c>
      <c r="AH80" s="205">
        <v>-0.3494412</v>
      </c>
      <c r="AI80" s="205">
        <v>0.59047742</v>
      </c>
      <c r="AJ80" s="205">
        <v>-0.6300795</v>
      </c>
      <c r="AK80" s="205">
        <v>0.89282253</v>
      </c>
      <c r="AL80" s="205">
        <v>0.98197558</v>
      </c>
      <c r="AM80" s="205">
        <v>-0.3002778</v>
      </c>
      <c r="AN80" s="205">
        <v>-0.0155049</v>
      </c>
      <c r="AO80" s="205">
        <v>1.9859164</v>
      </c>
      <c r="AP80" s="205">
        <v>-0.4493184</v>
      </c>
      <c r="AQ80" s="205">
        <v>0.24678597</v>
      </c>
      <c r="AR80" s="205">
        <v>-0.4960269</v>
      </c>
      <c r="AS80" s="205">
        <v>0.63569998</v>
      </c>
      <c r="AT80" s="205">
        <v>0.17766006</v>
      </c>
      <c r="AU80" s="205">
        <v>0.03488597</v>
      </c>
      <c r="AV80" s="205">
        <v>0.76296918</v>
      </c>
      <c r="AW80" s="205">
        <v>0.0</v>
      </c>
      <c r="AX80" s="205">
        <v>-0.4312294</v>
      </c>
      <c r="AY80" s="205">
        <v>0.22869694</v>
      </c>
      <c r="AZ80" s="205">
        <v>-0.3765101</v>
      </c>
      <c r="BA80" s="205">
        <v>0.66218748</v>
      </c>
      <c r="BB80" s="205">
        <v>-0.3423994</v>
      </c>
      <c r="BC80" s="205">
        <v>0.30105304</v>
      </c>
      <c r="BD80" s="205">
        <v>0.47806706</v>
      </c>
      <c r="BE80" s="205">
        <v>-0.2320563</v>
      </c>
      <c r="BF80" s="205">
        <v>1.52335422</v>
      </c>
      <c r="BG80" s="205">
        <v>1.32049874</v>
      </c>
      <c r="BH80" s="205">
        <v>-0.2028555</v>
      </c>
      <c r="BI80" s="205">
        <v>0.08204664</v>
      </c>
      <c r="BJ80" s="205">
        <v>0.86375089</v>
      </c>
      <c r="BK80" s="205">
        <v>-0.0051683</v>
      </c>
      <c r="BL80" s="205">
        <v>-0.8356347</v>
      </c>
      <c r="BM80" s="205">
        <v>-0.6849926</v>
      </c>
      <c r="BN80" s="205">
        <v>-0.0219652</v>
      </c>
      <c r="BO80" s="205">
        <v>-0.5670909</v>
      </c>
      <c r="BP80" s="205">
        <v>-0.3492474</v>
      </c>
      <c r="BQ80" s="205">
        <v>0.12339298</v>
      </c>
      <c r="BR80" s="206"/>
      <c r="BS80" s="207">
        <f t="shared" si="6"/>
        <v>0.1878399608</v>
      </c>
      <c r="BT80" s="207">
        <f t="shared" si="7"/>
        <v>0.612972221</v>
      </c>
      <c r="BU80" s="206"/>
      <c r="BV80" s="207">
        <f>IFERROR(__xludf.DUMMYFUNCTION("AVERAGE(ARRAYFORMULA(XLOOKUP(FILTER(INDIRECT(""'""&amp;BV$1&amp;""'!$C$4:$C$66""),INDIRECT(""'""&amp;BV$1&amp;""'!$D$4:$D$66"")=BV$2),$G$4:$BQ$4,$G80:$BQ80)))"),-0.04027382285714284)</f>
        <v>-0.04027382286</v>
      </c>
      <c r="BW80" s="207" t="str">
        <f>IFERROR(__xludf.DUMMYFUNCTION("IF(OR(BV80&gt;$BS80+$BT80*$BT$2,BV80&lt;$BS80-$BT80*$BT$2),AVEDEV(ARRAYFORMULA(XLOOKUP(FILTER(INDIRECT(""'""&amp;BV$1&amp;""'!$C$4:$C$66""),INDIRECT(""'""&amp;BV$1&amp;""'!$D$4:$D$66"")=BV$2),$G$4:$BQ$4,$G80:$BQ80))),"""")"),"")</f>
        <v/>
      </c>
      <c r="BX80" s="208" t="str">
        <f t="shared" si="8"/>
        <v/>
      </c>
      <c r="BY80" s="207">
        <f>IFERROR(__xludf.DUMMYFUNCTION("AVERAGE(ARRAYFORMULA(XLOOKUP(FILTER(INDIRECT(""'""&amp;BY$1&amp;""'!$C$4:$C$66""),INDIRECT(""'""&amp;BY$1&amp;""'!$D$4:$D$66"")=BY$2),$G$4:$BQ$4,$G80:$BQ80)))"),0.23664934428571427)</f>
        <v>0.2366493443</v>
      </c>
      <c r="BZ80" s="207" t="str">
        <f>IFERROR(__xludf.DUMMYFUNCTION("IF(OR(BY80&gt;$BS80+$BT80*$BT$2,BY80&lt;$BS80-$BT80*$BT$2),AVEDEV(ARRAYFORMULA(XLOOKUP(FILTER(INDIRECT(""'""&amp;BY$1&amp;""'!$C$4:$C$66""),INDIRECT(""'""&amp;BY$1&amp;""'!$D$4:$D$66"")=BY$2),$G$4:$BQ$4,$G80:$BQ80))),"""")"),"")</f>
        <v/>
      </c>
      <c r="CA80" s="208" t="str">
        <f t="shared" si="9"/>
        <v/>
      </c>
      <c r="CB80" s="207">
        <f>IFERROR(__xludf.DUMMYFUNCTION("AVERAGE(ARRAYFORMULA(XLOOKUP(FILTER(INDIRECT(""'""&amp;CB$1&amp;""'!$C$4:$C$66""),INDIRECT(""'""&amp;CB$1&amp;""'!$D$4:$D$66"")=CB$2),$G$4:$BQ$4,$G80:$BQ80)))"),-0.05643422727272726)</f>
        <v>-0.05643422727</v>
      </c>
      <c r="CC80" s="207" t="str">
        <f>IFERROR(__xludf.DUMMYFUNCTION("IF(OR(CB80&gt;$BS80+$BT80*$BT$2,CB80&lt;$BS80-$BT80*$BT$2),AVEDEV(ARRAYFORMULA(XLOOKUP(FILTER(INDIRECT(""'""&amp;CB$1&amp;""'!$C$4:$C$66""),INDIRECT(""'""&amp;CB$1&amp;""'!$D$4:$D$66"")=CB$2),$G$4:$BQ$4,$G80:$BQ80))),"""")"),"")</f>
        <v/>
      </c>
      <c r="CD80" s="208" t="str">
        <f t="shared" si="10"/>
        <v/>
      </c>
      <c r="CE80" s="209" t="s">
        <v>444</v>
      </c>
      <c r="CF80" s="207">
        <f>IFERROR(__xludf.DUMMYFUNCTION("AVERAGE(ARRAYFORMULA(XLOOKUP(FILTER(INDIRECT(""'""&amp;CF$1&amp;""'!$C$4:$C$66""),INDIRECT(""'""&amp;CF$1&amp;""'!$D$4:$D$66"")=CF$2),$G$4:$BQ$4,$G80:$BQ80)))"),0.710914790625)</f>
        <v>0.7109147906</v>
      </c>
      <c r="CG80" s="207" t="str">
        <f>IFERROR(__xludf.DUMMYFUNCTION("IF(OR(CF80&gt;$BS80+$BT80*$BT$2,CF80&lt;$BS80-$BT80*$BT$2),AVEDEV(ARRAYFORMULA(XLOOKUP(FILTER(INDIRECT(""'""&amp;CF$1&amp;""'!$C$4:$C$66""),INDIRECT(""'""&amp;CF$1&amp;""'!$D$4:$D$66"")=CF$2),$G$4:$BQ$4,$G80:$BQ80))),"""")"),"")</f>
        <v/>
      </c>
      <c r="CH80" s="208" t="str">
        <f t="shared" si="11"/>
        <v/>
      </c>
      <c r="CI80" s="207">
        <f>IFERROR(__xludf.DUMMYFUNCTION("AVERAGE(ARRAYFORMULA(XLOOKUP(FILTER(INDIRECT(""'""&amp;CI$1&amp;""'!$C$4:$C$66""),INDIRECT(""'""&amp;CI$1&amp;""'!$D$4:$D$66"")=CI$2),$G$4:$BQ$4,$G80:$BQ80)))"),-0.12114644419354838)</f>
        <v>-0.1211464442</v>
      </c>
      <c r="CJ80" s="207" t="str">
        <f>IFERROR(__xludf.DUMMYFUNCTION("IF(OR(CI80&gt;$BS80+$BT80*$BT$2,CI80&lt;$BS80-$BT80*$BT$2),AVEDEV(ARRAYFORMULA(XLOOKUP(FILTER(INDIRECT(""'""&amp;CI$1&amp;""'!$C$4:$C$66""),INDIRECT(""'""&amp;CI$1&amp;""'!$D$4:$D$66"")=CI$2),$G$4:$BQ$4,$G80:$BQ80))),"""")"),"")</f>
        <v/>
      </c>
      <c r="CK80" s="208" t="str">
        <f t="shared" si="12"/>
        <v/>
      </c>
      <c r="CL80" s="207">
        <f>IFERROR(__xludf.DUMMYFUNCTION("AVERAGE(ARRAYFORMULA(XLOOKUP(FILTER(INDIRECT(""'""&amp;CL$1&amp;""'!$C$4:$C$66""),INDIRECT(""'""&amp;CL$1&amp;""'!$D$4:$D$66"")=CL$2),$G$4:$BQ$4,$G80:$BQ80)))"),0.688416564)</f>
        <v>0.688416564</v>
      </c>
      <c r="CM80" s="207" t="str">
        <f>IFERROR(__xludf.DUMMYFUNCTION("IF(OR(CL80&gt;$BS80+$BT80*$BT$2,CL80&lt;$BS80-$BT80*$BT$2),AVEDEV(ARRAYFORMULA(XLOOKUP(FILTER(INDIRECT(""'""&amp;CL$1&amp;""'!$C$4:$C$66""),INDIRECT(""'""&amp;CL$1&amp;""'!$D$4:$D$66"")=CL$2),$G$4:$BQ$4,$G80:$BQ80))),"""")"),"")</f>
        <v/>
      </c>
      <c r="CN80" s="208" t="str">
        <f t="shared" si="13"/>
        <v/>
      </c>
      <c r="CO80" s="209" t="s">
        <v>444</v>
      </c>
      <c r="CP80" s="210">
        <f>IFERROR(__xludf.DUMMYFUNCTION("AVERAGE(ARRAYFORMULA(XLOOKUP(FILTER(INDIRECT(""'""&amp;CP$1&amp;""'!$C$4:$C$66""),INDIRECT(""'""&amp;CP$1&amp;""'!$D$4:$D$66"")=CP$2),$G$4:$BQ$4,$G80:$BQ80)))"),-0.32902211466666664)</f>
        <v>-0.3290221147</v>
      </c>
      <c r="CQ80" s="207" t="str">
        <f>IFERROR(__xludf.DUMMYFUNCTION("IF(OR(CP80&gt;$BS80+$BT80*$BT$2,CP80&lt;$BS80-$BT80*$BT$2),AVEDEV(ARRAYFORMULA(XLOOKUP(FILTER(INDIRECT(""'""&amp;CP$1&amp;""'!$C$4:$C$66""),INDIRECT(""'""&amp;CP$1&amp;""'!$D$4:$D$66"")=CP$2),$G$4:$BQ$4,$G80:$BQ80))),"""")"),"")</f>
        <v/>
      </c>
      <c r="CR80" s="208" t="str">
        <f t="shared" si="14"/>
        <v/>
      </c>
      <c r="CS80" s="210">
        <f>IFERROR(__xludf.DUMMYFUNCTION("AVERAGE(ARRAYFORMULA(XLOOKUP(FILTER(INDIRECT(""'""&amp;CS$1&amp;""'!$C$4:$C$66""),INDIRECT(""'""&amp;CS$1&amp;""'!$D$4:$D$66"")=CS$2),$G$4:$BQ$4,$G80:$BQ80)))"),0.291422123076923)</f>
        <v>0.2914221231</v>
      </c>
      <c r="CT80" s="207" t="str">
        <f>IFERROR(__xludf.DUMMYFUNCTION("IF(OR(CS80&gt;$BS80+$BT80*$BT$2,CS80&lt;$BS80-$BT80*$BT$2),AVEDEV(ARRAYFORMULA(XLOOKUP(FILTER(INDIRECT(""'""&amp;CS$1&amp;""'!$C$4:$C$66""),INDIRECT(""'""&amp;CS$1&amp;""'!$D$4:$D$66"")=CS$2),$G$4:$BQ$4,$G80:$BQ80))),"""")"),"")</f>
        <v/>
      </c>
      <c r="CU80" s="208" t="str">
        <f t="shared" si="15"/>
        <v/>
      </c>
      <c r="CV80" s="210">
        <f>IFERROR(__xludf.DUMMYFUNCTION("AVERAGE(ARRAYFORMULA(XLOOKUP(FILTER(INDIRECT(""'""&amp;CV$1&amp;""'!$C$4:$C$66""),INDIRECT(""'""&amp;CV$1&amp;""'!$D$4:$D$66"")=CV$2),$G$4:$BQ$4,$G80:$BQ80)))"),0.688416564)</f>
        <v>0.688416564</v>
      </c>
      <c r="CW80" s="207" t="str">
        <f>IFERROR(__xludf.DUMMYFUNCTION("IF(OR(CV80&gt;$BS80+$BT80*$BT$2,CV80&lt;$BS80-$BT80*$BT$2),AVEDEV(ARRAYFORMULA(XLOOKUP(FILTER(INDIRECT(""'""&amp;CV$1&amp;""'!$C$4:$C$66""),INDIRECT(""'""&amp;CV$1&amp;""'!$D$4:$D$66"")=CV$2),$G$4:$BQ$4,$G80:$BQ80))),"""")"),"")</f>
        <v/>
      </c>
      <c r="CX80" s="208" t="str">
        <f t="shared" si="16"/>
        <v/>
      </c>
      <c r="CY80" s="209" t="s">
        <v>444</v>
      </c>
      <c r="CZ80" s="210">
        <f>IFERROR(__xludf.DUMMYFUNCTION("AVERAGE(ARRAYFORMULA(XLOOKUP(FILTER(INDIRECT(""'""&amp;CZ$1&amp;""'!$C$4:$C$66""),INDIRECT(""'""&amp;CZ$1&amp;""'!$D$4:$D$66"")=CZ$2),$G$4:$BQ$4,$G80:$BQ80)))"),0.8520068678571429)</f>
        <v>0.8520068679</v>
      </c>
      <c r="DA80" s="207">
        <f>IFERROR(__xludf.DUMMYFUNCTION("IF(OR(CZ80&gt;$BS80+$BT80*$BT$2,CZ80&lt;$BS80-$BT80*$BT$2),AVEDEV(ARRAYFORMULA(XLOOKUP(FILTER(INDIRECT(""'""&amp;CZ$1&amp;""'!$C$4:$C$66""),INDIRECT(""'""&amp;CZ$1&amp;""'!$D$4:$D$66"")=CZ$2),$G$4:$BQ$4,$G80:$BQ80))),"""")"),0.7215536235714286)</f>
        <v>0.7215536236</v>
      </c>
      <c r="DB80" s="208">
        <f t="shared" si="17"/>
        <v>0.05119468608</v>
      </c>
      <c r="DC80" s="210">
        <f>IFERROR(__xludf.DUMMYFUNCTION("AVERAGE(ARRAYFORMULA(XLOOKUP(FILTER(INDIRECT(""'""&amp;DC$1&amp;""'!$C$4:$C$66""),INDIRECT(""'""&amp;DC$1&amp;""'!$D$4:$D$66"")=DC$2),$G$4:$BQ$4,$G80:$BQ80)))"),0.04896957777777777)</f>
        <v>0.04896957778</v>
      </c>
      <c r="DD80" s="207" t="str">
        <f>IFERROR(__xludf.DUMMYFUNCTION("IF(OR(DC80&gt;$BS80+$BT80*$BT$2,DC80&lt;$BS80-$BT80*$BT$2),AVEDEV(ARRAYFORMULA(XLOOKUP(FILTER(INDIRECT(""'""&amp;DC$1&amp;""'!$C$4:$C$66""),INDIRECT(""'""&amp;DC$1&amp;""'!$D$4:$D$66"")=DC$2),$G$4:$BQ$4,$G80:$BQ80))),"""")"),"")</f>
        <v/>
      </c>
      <c r="DE80" s="208" t="str">
        <f t="shared" si="18"/>
        <v/>
      </c>
      <c r="DF80" s="210">
        <f>IFERROR(__xludf.DUMMYFUNCTION("AVERAGE(ARRAYFORMULA(XLOOKUP(FILTER(INDIRECT(""'""&amp;DF$1&amp;""'!$C$4:$C$66""),INDIRECT(""'""&amp;DF$1&amp;""'!$D$4:$D$66"")=DF$2),$G$4:$BQ$4,$G80:$BQ80)))"),-0.12995906545454544)</f>
        <v>-0.1299590655</v>
      </c>
      <c r="DG80" s="207" t="str">
        <f>IFERROR(__xludf.DUMMYFUNCTION("IF(OR(DF80&gt;$BS80+$BT80*$BT$2,DF80&lt;$BS80-$BT80*$BT$2),AVEDEV(ARRAYFORMULA(XLOOKUP(FILTER(INDIRECT(""'""&amp;DF$1&amp;""'!$C$4:$C$66""),INDIRECT(""'""&amp;DF$1&amp;""'!$D$4:$D$66"")=DF$2),$G$4:$BQ$4,$G80:$BQ80))),"""")"),"")</f>
        <v/>
      </c>
      <c r="DH80" s="208" t="str">
        <f t="shared" si="19"/>
        <v/>
      </c>
      <c r="DI80" s="210">
        <f>IFERROR(__xludf.DUMMYFUNCTION("AVERAGE(ARRAYFORMULA(XLOOKUP(FILTER(INDIRECT(""'""&amp;DI$1&amp;""'!$C$4:$C$66""),INDIRECT(""'""&amp;DI$1&amp;""'!$D$4:$D$66"")=DI$2),$G$4:$BQ$4,$G80:$BQ80)))"),-0.46737514999999996)</f>
        <v>-0.46737515</v>
      </c>
      <c r="DJ80" s="207">
        <f>IFERROR(__xludf.DUMMYFUNCTION("IF(OR(DI80&gt;$BS80+$BT80*$BT$2,DI80&lt;$BS80-$BT80*$BT$2),AVEDEV(ARRAYFORMULA(XLOOKUP(FILTER(INDIRECT(""'""&amp;DI$1&amp;""'!$C$4:$C$66""),INDIRECT(""'""&amp;DI$1&amp;""'!$D$4:$D$66"")=DI$2),$G$4:$BQ$4,$G80:$BQ80))),"""")"),0.26451965)</f>
        <v>0.26451965</v>
      </c>
      <c r="DK80" s="208">
        <f t="shared" si="20"/>
        <v>-0.04224288981</v>
      </c>
      <c r="DL80" s="210">
        <f>IFERROR(__xludf.DUMMYFUNCTION("AVERAGE(ARRAYFORMULA(XLOOKUP(FILTER(INDIRECT(""'""&amp;DL$1&amp;""'!$C$4:$C$66""),INDIRECT(""'""&amp;DL$1&amp;""'!$D$4:$D$66"")=DL$2),$G$4:$BQ$4,$G80:$BQ80)))"),-0.11566824071428572)</f>
        <v>-0.1156682407</v>
      </c>
      <c r="DM80" s="207" t="str">
        <f>IFERROR(__xludf.DUMMYFUNCTION("IF(OR(DL80&gt;$BS80+$BT80*$BT$2,DL80&lt;$BS80-$BT80*$BT$2),AVEDEV(ARRAYFORMULA(XLOOKUP(FILTER(INDIRECT(""'""&amp;DL$1&amp;""'!$C$4:$C$66""),INDIRECT(""'""&amp;DL$1&amp;""'!$D$4:$D$66"")=DL$2),$G$4:$BQ$4,$G80:$BQ80))),"""")"),"")</f>
        <v/>
      </c>
      <c r="DN80" s="208" t="str">
        <f t="shared" si="21"/>
        <v/>
      </c>
      <c r="DO80" s="209" t="s">
        <v>444</v>
      </c>
      <c r="DP80" s="210">
        <f>IFERROR(__xludf.DUMMYFUNCTION("AVERAGE(ARRAYFORMULA(XLOOKUP(FILTER(INDIRECT(""'""&amp;DP$1&amp;""'!$C$4:$C$66""),INDIRECT(""'""&amp;DP$1&amp;""'!$D$4:$D$66"")=DP$2),$G$4:$BQ$4,$G80:$BQ80)))"),0.40346490733333334)</f>
        <v>0.4034649073</v>
      </c>
      <c r="DQ80" s="207" t="str">
        <f>IFERROR(__xludf.DUMMYFUNCTION("IF(OR(DP80&gt;$BS80+$BT80*$BT$2,DP80&lt;$BS80-$BT80*$BT$2),AVEDEV(ARRAYFORMULA(XLOOKUP(FILTER(INDIRECT(""'""&amp;DP$1&amp;""'!$C$4:$C$66""),INDIRECT(""'""&amp;DP$1&amp;""'!$D$4:$D$66"")=DP$2),$G$4:$BQ$4,$G80:$BQ80))),"""")"),"")</f>
        <v/>
      </c>
      <c r="DR80" s="208" t="str">
        <f t="shared" si="22"/>
        <v/>
      </c>
      <c r="DS80" s="210">
        <f>IFERROR(__xludf.DUMMYFUNCTION("AVERAGE(ARRAYFORMULA(XLOOKUP(FILTER(INDIRECT(""'""&amp;DS$1&amp;""'!$C$4:$C$66""),INDIRECT(""'""&amp;DS$1&amp;""'!$D$4:$D$66"")=DS$2),$G$4:$BQ$4,$G80:$BQ80)))"),0.10521782000000002)</f>
        <v>0.10521782</v>
      </c>
      <c r="DT80" s="207" t="str">
        <f>IFERROR(__xludf.DUMMYFUNCTION("IF(OR(DS80&gt;$BS80+$BT80*$BT$2,DS80&lt;$BS80-$BT80*$BT$2),AVEDEV(ARRAYFORMULA(XLOOKUP(FILTER(INDIRECT(""'""&amp;DS$1&amp;""'!$C$4:$C$66""),INDIRECT(""'""&amp;DS$1&amp;""'!$D$4:$D$66"")=DS$2),$G$4:$BQ$4,$G80:$BQ80))),"""")"),"")</f>
        <v/>
      </c>
      <c r="DU80" s="208" t="str">
        <f t="shared" si="23"/>
        <v/>
      </c>
      <c r="DV80" s="210">
        <f>IFERROR(__xludf.DUMMYFUNCTION("AVERAGE(ARRAYFORMULA(XLOOKUP(FILTER(INDIRECT(""'""&amp;DV$1&amp;""'!$C$4:$C$66""),INDIRECT(""'""&amp;DV$1&amp;""'!$D$4:$D$66"")=DV$2),$G$4:$BQ$4,$G80:$BQ80)))"),-0.2950045225)</f>
        <v>-0.2950045225</v>
      </c>
      <c r="DW80" s="207" t="str">
        <f>IFERROR(__xludf.DUMMYFUNCTION("IF(OR(DV80&gt;$BS80+$BT80*$BT$2,DV80&lt;$BS80-$BT80*$BT$2),AVEDEV(ARRAYFORMULA(XLOOKUP(FILTER(INDIRECT(""'""&amp;DV$1&amp;""'!$C$4:$C$66""),INDIRECT(""'""&amp;DV$1&amp;""'!$D$4:$D$66"")=DV$2),$G$4:$BQ$4,$G80:$BQ80))),"""")"),"")</f>
        <v/>
      </c>
      <c r="DX80" s="208" t="str">
        <f t="shared" si="24"/>
        <v/>
      </c>
      <c r="DY80" s="210">
        <f>IFERROR(__xludf.DUMMYFUNCTION("AVERAGE(ARRAYFORMULA(XLOOKUP(FILTER(INDIRECT(""'""&amp;DY$1&amp;""'!$C$4:$C$66""),INDIRECT(""'""&amp;DY$1&amp;""'!$D$4:$D$66"")=DY$2),$G$4:$BQ$4,$G80:$BQ80)))"),-0.17962686888888885)</f>
        <v>-0.1796268689</v>
      </c>
      <c r="DZ80" s="207" t="str">
        <f>IFERROR(__xludf.DUMMYFUNCTION("IF(OR(DY80&gt;$BS80+$BT80*$BT$2,DY80&lt;$BS80-$BT80*$BT$2),AVEDEV(ARRAYFORMULA(XLOOKUP(FILTER(INDIRECT(""'""&amp;DY$1&amp;""'!$C$4:$C$66""),INDIRECT(""'""&amp;DY$1&amp;""'!$D$4:$D$66"")=DY$2),$G$4:$BQ$4,$G80:$BQ80))),"""")"),"")</f>
        <v/>
      </c>
      <c r="EA80" s="208" t="str">
        <f t="shared" si="25"/>
        <v/>
      </c>
      <c r="EB80" s="191"/>
    </row>
    <row r="81" outlineLevel="1">
      <c r="A81" s="2"/>
      <c r="B81" s="204">
        <v>77.0</v>
      </c>
      <c r="C81" s="204" t="s">
        <v>507</v>
      </c>
      <c r="D81" s="204" t="s">
        <v>522</v>
      </c>
      <c r="E81" s="205" t="b">
        <f>VLOOKUP(D81,'Feature Set List'!A77:C246,2,0)</f>
        <v>1</v>
      </c>
      <c r="F81" s="205" t="b">
        <f>VLOOKUP(D81,'Feature Set List'!A77:C246,3,0)</f>
        <v>1</v>
      </c>
      <c r="G81" s="205">
        <v>0.30777325</v>
      </c>
      <c r="H81" s="205">
        <v>-0.6673681</v>
      </c>
      <c r="I81" s="205">
        <v>0.8233592</v>
      </c>
      <c r="J81" s="205">
        <v>-1.0272261</v>
      </c>
      <c r="K81" s="205">
        <v>-0.8230961</v>
      </c>
      <c r="L81" s="205">
        <v>-0.1210049</v>
      </c>
      <c r="M81" s="205">
        <v>0.74707352</v>
      </c>
      <c r="N81" s="205">
        <v>0.32092595</v>
      </c>
      <c r="O81" s="205">
        <v>0.14204919</v>
      </c>
      <c r="P81" s="205">
        <v>-0.798106</v>
      </c>
      <c r="Q81" s="205">
        <v>-0.2217546</v>
      </c>
      <c r="R81" s="205">
        <v>0.79705379</v>
      </c>
      <c r="S81" s="205">
        <v>0.64448244</v>
      </c>
      <c r="T81" s="205">
        <v>-0.8123109</v>
      </c>
      <c r="U81" s="205">
        <v>-0.2517427</v>
      </c>
      <c r="V81" s="205">
        <v>-1.245824</v>
      </c>
      <c r="W81" s="205">
        <v>0.50506379</v>
      </c>
      <c r="X81" s="205">
        <v>-1.0230172</v>
      </c>
      <c r="Y81" s="205">
        <v>0.40510325</v>
      </c>
      <c r="Z81" s="205">
        <v>0.81283704</v>
      </c>
      <c r="AA81" s="205">
        <v>0.93121136</v>
      </c>
      <c r="AB81" s="205">
        <v>0.27094568</v>
      </c>
      <c r="AC81" s="205">
        <v>0.84440352</v>
      </c>
      <c r="AD81" s="205">
        <v>0.22622649</v>
      </c>
      <c r="AE81" s="205">
        <v>0.65763514</v>
      </c>
      <c r="AF81" s="205">
        <v>-0.5808234</v>
      </c>
      <c r="AG81" s="205">
        <v>-1.5738524</v>
      </c>
      <c r="AH81" s="205">
        <v>0.6286992</v>
      </c>
      <c r="AI81" s="205">
        <v>-0.1825595</v>
      </c>
      <c r="AJ81" s="205">
        <v>-0.2196501</v>
      </c>
      <c r="AK81" s="205">
        <v>-0.2796265</v>
      </c>
      <c r="AL81" s="205">
        <v>-0.379587</v>
      </c>
      <c r="AM81" s="205">
        <v>0.07628568</v>
      </c>
      <c r="AN81" s="205">
        <v>-0.1299487</v>
      </c>
      <c r="AO81" s="205">
        <v>-1.231356</v>
      </c>
      <c r="AP81" s="205">
        <v>0.05524135</v>
      </c>
      <c r="AQ81" s="205">
        <v>0.49980271</v>
      </c>
      <c r="AR81" s="205">
        <v>-0.5784559</v>
      </c>
      <c r="AS81" s="205">
        <v>-0.9617256</v>
      </c>
      <c r="AT81" s="205">
        <v>0.58661055</v>
      </c>
      <c r="AU81" s="205">
        <v>-0.9109562</v>
      </c>
      <c r="AV81" s="205">
        <v>0.0</v>
      </c>
      <c r="AW81" s="205">
        <v>-0.7539129</v>
      </c>
      <c r="AX81" s="205">
        <v>-0.219124</v>
      </c>
      <c r="AY81" s="205">
        <v>0.80757596</v>
      </c>
      <c r="AZ81" s="205">
        <v>0.57871893</v>
      </c>
      <c r="BA81" s="205">
        <v>-0.4166776</v>
      </c>
      <c r="BB81" s="205">
        <v>-1.4575825</v>
      </c>
      <c r="BC81" s="205">
        <v>0.27094568</v>
      </c>
      <c r="BD81" s="205">
        <v>-0.063133</v>
      </c>
      <c r="BE81" s="205">
        <v>0.49717217</v>
      </c>
      <c r="BF81" s="205">
        <v>-0.0131527</v>
      </c>
      <c r="BG81" s="205">
        <v>-0.0868078</v>
      </c>
      <c r="BH81" s="205">
        <v>0.40510325</v>
      </c>
      <c r="BI81" s="205">
        <v>-0.0157832</v>
      </c>
      <c r="BJ81" s="205">
        <v>0.04998027</v>
      </c>
      <c r="BK81" s="205">
        <v>0.55504406</v>
      </c>
      <c r="BL81" s="205">
        <v>-1.3744575</v>
      </c>
      <c r="BM81" s="205">
        <v>-0.209128</v>
      </c>
      <c r="BN81" s="205">
        <v>0.27094568</v>
      </c>
      <c r="BO81" s="205">
        <v>0.62606866</v>
      </c>
      <c r="BP81" s="205">
        <v>0.28146784</v>
      </c>
      <c r="BQ81" s="205">
        <v>1.09956596</v>
      </c>
      <c r="BR81" s="206"/>
      <c r="BS81" s="207">
        <f t="shared" si="6"/>
        <v>-0.04610126254</v>
      </c>
      <c r="BT81" s="207">
        <f t="shared" si="7"/>
        <v>0.5480596377</v>
      </c>
      <c r="BU81" s="206"/>
      <c r="BV81" s="207">
        <f>IFERROR(__xludf.DUMMYFUNCTION("AVERAGE(ARRAYFORMULA(XLOOKUP(FILTER(INDIRECT(""'""&amp;BV$1&amp;""'!$C$4:$C$66""),INDIRECT(""'""&amp;BV$1&amp;""'!$D$4:$D$66"")=BV$2),$G$4:$BQ$4,$G81:$BQ81)))"),-0.5762011100000001)</f>
        <v>-0.57620111</v>
      </c>
      <c r="BW81" s="207" t="str">
        <f>IFERROR(__xludf.DUMMYFUNCTION("IF(OR(BV81&gt;$BS81+$BT81*$BT$2,BV81&lt;$BS81-$BT81*$BT$2),AVEDEV(ARRAYFORMULA(XLOOKUP(FILTER(INDIRECT(""'""&amp;BV$1&amp;""'!$C$4:$C$66""),INDIRECT(""'""&amp;BV$1&amp;""'!$D$4:$D$66"")=BV$2),$G$4:$BQ$4,$G81:$BQ81))),"""")"),"")</f>
        <v/>
      </c>
      <c r="BX81" s="208" t="str">
        <f t="shared" si="8"/>
        <v/>
      </c>
      <c r="BY81" s="207">
        <f>IFERROR(__xludf.DUMMYFUNCTION("AVERAGE(ARRAYFORMULA(XLOOKUP(FILTER(INDIRECT(""'""&amp;BY$1&amp;""'!$C$4:$C$66""),INDIRECT(""'""&amp;BY$1&amp;""'!$D$4:$D$66"")=BY$2),$G$4:$BQ$4,$G81:$BQ81)))"),0.03985895928571429)</f>
        <v>0.03985895929</v>
      </c>
      <c r="BZ81" s="207" t="str">
        <f>IFERROR(__xludf.DUMMYFUNCTION("IF(OR(BY81&gt;$BS81+$BT81*$BT$2,BY81&lt;$BS81-$BT81*$BT$2),AVEDEV(ARRAYFORMULA(XLOOKUP(FILTER(INDIRECT(""'""&amp;BY$1&amp;""'!$C$4:$C$66""),INDIRECT(""'""&amp;BY$1&amp;""'!$D$4:$D$66"")=BY$2),$G$4:$BQ$4,$G81:$BQ81))),"""")"),"")</f>
        <v/>
      </c>
      <c r="CA81" s="208" t="str">
        <f t="shared" si="9"/>
        <v/>
      </c>
      <c r="CB81" s="207">
        <f>IFERROR(__xludf.DUMMYFUNCTION("AVERAGE(ARRAYFORMULA(XLOOKUP(FILTER(INDIRECT(""'""&amp;CB$1&amp;""'!$C$4:$C$66""),INDIRECT(""'""&amp;CB$1&amp;""'!$D$4:$D$66"")=CB$2),$G$4:$BQ$4,$G81:$BQ81)))"),-0.035847096363636345)</f>
        <v>-0.03584709636</v>
      </c>
      <c r="CC81" s="207" t="str">
        <f>IFERROR(__xludf.DUMMYFUNCTION("IF(OR(CB81&gt;$BS81+$BT81*$BT$2,CB81&lt;$BS81-$BT81*$BT$2),AVEDEV(ARRAYFORMULA(XLOOKUP(FILTER(INDIRECT(""'""&amp;CB$1&amp;""'!$C$4:$C$66""),INDIRECT(""'""&amp;CB$1&amp;""'!$D$4:$D$66"")=CB$2),$G$4:$BQ$4,$G81:$BQ81))),"""")"),"")</f>
        <v/>
      </c>
      <c r="CD81" s="208" t="str">
        <f t="shared" si="10"/>
        <v/>
      </c>
      <c r="CE81" s="209" t="s">
        <v>444</v>
      </c>
      <c r="CF81" s="207">
        <f>IFERROR(__xludf.DUMMYFUNCTION("AVERAGE(ARRAYFORMULA(XLOOKUP(FILTER(INDIRECT(""'""&amp;CF$1&amp;""'!$C$4:$C$66""),INDIRECT(""'""&amp;CF$1&amp;""'!$D$4:$D$66"")=CF$2),$G$4:$BQ$4,$G81:$BQ81)))"),-0.3847329875)</f>
        <v>-0.3847329875</v>
      </c>
      <c r="CG81" s="207" t="str">
        <f>IFERROR(__xludf.DUMMYFUNCTION("IF(OR(CF81&gt;$BS81+$BT81*$BT$2,CF81&lt;$BS81-$BT81*$BT$2),AVEDEV(ARRAYFORMULA(XLOOKUP(FILTER(INDIRECT(""'""&amp;CF$1&amp;""'!$C$4:$C$66""),INDIRECT(""'""&amp;CF$1&amp;""'!$D$4:$D$66"")=CF$2),$G$4:$BQ$4,$G81:$BQ81))),"""")"),"")</f>
        <v/>
      </c>
      <c r="CH81" s="208" t="str">
        <f t="shared" si="11"/>
        <v/>
      </c>
      <c r="CI81" s="207">
        <f>IFERROR(__xludf.DUMMYFUNCTION("AVERAGE(ARRAYFORMULA(XLOOKUP(FILTER(INDIRECT(""'""&amp;CI$1&amp;""'!$C$4:$C$66""),INDIRECT(""'""&amp;CI$1&amp;""'!$D$4:$D$66"")=CI$2),$G$4:$BQ$4,$G81:$BQ81)))"),0.32836783387096763)</f>
        <v>0.3283678339</v>
      </c>
      <c r="CJ81" s="207" t="str">
        <f>IFERROR(__xludf.DUMMYFUNCTION("IF(OR(CI81&gt;$BS81+$BT81*$BT$2,CI81&lt;$BS81-$BT81*$BT$2),AVEDEV(ARRAYFORMULA(XLOOKUP(FILTER(INDIRECT(""'""&amp;CI$1&amp;""'!$C$4:$C$66""),INDIRECT(""'""&amp;CI$1&amp;""'!$D$4:$D$66"")=CI$2),$G$4:$BQ$4,$G81:$BQ81))),"""")"),"")</f>
        <v/>
      </c>
      <c r="CK81" s="208" t="str">
        <f t="shared" si="12"/>
        <v/>
      </c>
      <c r="CL81" s="207">
        <f>IFERROR(__xludf.DUMMYFUNCTION("AVERAGE(ARRAYFORMULA(XLOOKUP(FILTER(INDIRECT(""'""&amp;CL$1&amp;""'!$C$4:$C$66""),INDIRECT(""'""&amp;CL$1&amp;""'!$D$4:$D$66"")=CL$2),$G$4:$BQ$4,$G81:$BQ81)))"),-0.61512558)</f>
        <v>-0.61512558</v>
      </c>
      <c r="CM81" s="207">
        <f>IFERROR(__xludf.DUMMYFUNCTION("IF(OR(CL81&gt;$BS81+$BT81*$BT$2,CL81&lt;$BS81-$BT81*$BT$2),AVEDEV(ARRAYFORMULA(XLOOKUP(FILTER(INDIRECT(""'""&amp;CL$1&amp;""'!$C$4:$C$66""),INDIRECT(""'""&amp;CL$1&amp;""'!$D$4:$D$66"")=CL$2),$G$4:$BQ$4,$G81:$BQ81))),"""")"),0.29070630399999997)</f>
        <v>0.290706304</v>
      </c>
      <c r="CN81" s="208">
        <f t="shared" si="13"/>
        <v>-0.0209646798</v>
      </c>
      <c r="CO81" s="209" t="s">
        <v>444</v>
      </c>
      <c r="CP81" s="210">
        <f>IFERROR(__xludf.DUMMYFUNCTION("AVERAGE(ARRAYFORMULA(XLOOKUP(FILTER(INDIRECT(""'""&amp;CP$1&amp;""'!$C$4:$C$66""),INDIRECT(""'""&amp;CP$1&amp;""'!$D$4:$D$66"")=CP$2),$G$4:$BQ$4,$G81:$BQ81)))"),0.20900522200000002)</f>
        <v>0.209005222</v>
      </c>
      <c r="CQ81" s="207" t="str">
        <f>IFERROR(__xludf.DUMMYFUNCTION("IF(OR(CP81&gt;$BS81+$BT81*$BT$2,CP81&lt;$BS81-$BT81*$BT$2),AVEDEV(ARRAYFORMULA(XLOOKUP(FILTER(INDIRECT(""'""&amp;CP$1&amp;""'!$C$4:$C$66""),INDIRECT(""'""&amp;CP$1&amp;""'!$D$4:$D$66"")=CP$2),$G$4:$BQ$4,$G81:$BQ81))),"""")"),"")</f>
        <v/>
      </c>
      <c r="CR81" s="208" t="str">
        <f t="shared" si="14"/>
        <v/>
      </c>
      <c r="CS81" s="210">
        <f>IFERROR(__xludf.DUMMYFUNCTION("AVERAGE(ARRAYFORMULA(XLOOKUP(FILTER(INDIRECT(""'""&amp;CS$1&amp;""'!$C$4:$C$66""),INDIRECT(""'""&amp;CS$1&amp;""'!$D$4:$D$66"")=CS$2),$G$4:$BQ$4,$G81:$BQ81)))"),-0.036888268461538455)</f>
        <v>-0.03688826846</v>
      </c>
      <c r="CT81" s="207" t="str">
        <f>IFERROR(__xludf.DUMMYFUNCTION("IF(OR(CS81&gt;$BS81+$BT81*$BT$2,CS81&lt;$BS81-$BT81*$BT$2),AVEDEV(ARRAYFORMULA(XLOOKUP(FILTER(INDIRECT(""'""&amp;CS$1&amp;""'!$C$4:$C$66""),INDIRECT(""'""&amp;CS$1&amp;""'!$D$4:$D$66"")=CS$2),$G$4:$BQ$4,$G81:$BQ81))),"""")"),"")</f>
        <v/>
      </c>
      <c r="CU81" s="208" t="str">
        <f t="shared" si="15"/>
        <v/>
      </c>
      <c r="CV81" s="210">
        <f>IFERROR(__xludf.DUMMYFUNCTION("AVERAGE(ARRAYFORMULA(XLOOKUP(FILTER(INDIRECT(""'""&amp;CV$1&amp;""'!$C$4:$C$66""),INDIRECT(""'""&amp;CV$1&amp;""'!$D$4:$D$66"")=CV$2),$G$4:$BQ$4,$G81:$BQ81)))"),-0.61512558)</f>
        <v>-0.61512558</v>
      </c>
      <c r="CW81" s="207">
        <f>IFERROR(__xludf.DUMMYFUNCTION("IF(OR(CV81&gt;$BS81+$BT81*$BT$2,CV81&lt;$BS81-$BT81*$BT$2),AVEDEV(ARRAYFORMULA(XLOOKUP(FILTER(INDIRECT(""'""&amp;CV$1&amp;""'!$C$4:$C$66""),INDIRECT(""'""&amp;CV$1&amp;""'!$D$4:$D$66"")=CV$2),$G$4:$BQ$4,$G81:$BQ81))),"""")"),0.29070630399999997)</f>
        <v>0.290706304</v>
      </c>
      <c r="CX81" s="208">
        <f t="shared" si="16"/>
        <v>-0.0209646798</v>
      </c>
      <c r="CY81" s="209" t="s">
        <v>444</v>
      </c>
      <c r="CZ81" s="210">
        <f>IFERROR(__xludf.DUMMYFUNCTION("AVERAGE(ARRAYFORMULA(XLOOKUP(FILTER(INDIRECT(""'""&amp;CZ$1&amp;""'!$C$4:$C$66""),INDIRECT(""'""&amp;CZ$1&amp;""'!$D$4:$D$66"")=CZ$2),$G$4:$BQ$4,$G81:$BQ81)))"),-0.28817571357142857)</f>
        <v>-0.2881757136</v>
      </c>
      <c r="DA81" s="207" t="str">
        <f>IFERROR(__xludf.DUMMYFUNCTION("IF(OR(CZ81&gt;$BS81+$BT81*$BT$2,CZ81&lt;$BS81-$BT81*$BT$2),AVEDEV(ARRAYFORMULA(XLOOKUP(FILTER(INDIRECT(""'""&amp;CZ$1&amp;""'!$C$4:$C$66""),INDIRECT(""'""&amp;CZ$1&amp;""'!$D$4:$D$66"")=CZ$2),$G$4:$BQ$4,$G81:$BQ81))),"""")"),"")</f>
        <v/>
      </c>
      <c r="DB81" s="208" t="str">
        <f t="shared" si="17"/>
        <v/>
      </c>
      <c r="DC81" s="210">
        <f>IFERROR(__xludf.DUMMYFUNCTION("AVERAGE(ARRAYFORMULA(XLOOKUP(FILTER(INDIRECT(""'""&amp;DC$1&amp;""'!$C$4:$C$66""),INDIRECT(""'""&amp;DC$1&amp;""'!$D$4:$D$66"")=DC$2),$G$4:$BQ$4,$G81:$BQ81)))"),-0.08487877666666664)</f>
        <v>-0.08487877667</v>
      </c>
      <c r="DD81" s="207" t="str">
        <f>IFERROR(__xludf.DUMMYFUNCTION("IF(OR(DC81&gt;$BS81+$BT81*$BT$2,DC81&lt;$BS81-$BT81*$BT$2),AVEDEV(ARRAYFORMULA(XLOOKUP(FILTER(INDIRECT(""'""&amp;DC$1&amp;""'!$C$4:$C$66""),INDIRECT(""'""&amp;DC$1&amp;""'!$D$4:$D$66"")=DC$2),$G$4:$BQ$4,$G81:$BQ81))),"""")"),"")</f>
        <v/>
      </c>
      <c r="DE81" s="208" t="str">
        <f t="shared" si="18"/>
        <v/>
      </c>
      <c r="DF81" s="210">
        <f>IFERROR(__xludf.DUMMYFUNCTION("AVERAGE(ARRAYFORMULA(XLOOKUP(FILTER(INDIRECT(""'""&amp;DF$1&amp;""'!$C$4:$C$66""),INDIRECT(""'""&amp;DF$1&amp;""'!$D$4:$D$66"")=DF$2),$G$4:$BQ$4,$G81:$BQ81)))"),0.4636925654545454)</f>
        <v>0.4636925655</v>
      </c>
      <c r="DG81" s="207" t="str">
        <f>IFERROR(__xludf.DUMMYFUNCTION("IF(OR(DF81&gt;$BS81+$BT81*$BT$2,DF81&lt;$BS81-$BT81*$BT$2),AVEDEV(ARRAYFORMULA(XLOOKUP(FILTER(INDIRECT(""'""&amp;DF$1&amp;""'!$C$4:$C$66""),INDIRECT(""'""&amp;DF$1&amp;""'!$D$4:$D$66"")=DF$2),$G$4:$BQ$4,$G81:$BQ81))),"""")"),"")</f>
        <v/>
      </c>
      <c r="DH81" s="208" t="str">
        <f t="shared" si="19"/>
        <v/>
      </c>
      <c r="DI81" s="210">
        <f>IFERROR(__xludf.DUMMYFUNCTION("AVERAGE(ARRAYFORMULA(XLOOKUP(FILTER(INDIRECT(""'""&amp;DI$1&amp;""'!$C$4:$C$66""),INDIRECT(""'""&amp;DI$1&amp;""'!$D$4:$D$66"")=DI$2),$G$4:$BQ$4,$G81:$BQ81)))"),0.31566487)</f>
        <v>0.31566487</v>
      </c>
      <c r="DJ81" s="207" t="str">
        <f>IFERROR(__xludf.DUMMYFUNCTION("IF(OR(DI81&gt;$BS81+$BT81*$BT$2,DI81&lt;$BS81-$BT81*$BT$2),AVEDEV(ARRAYFORMULA(XLOOKUP(FILTER(INDIRECT(""'""&amp;DI$1&amp;""'!$C$4:$C$66""),INDIRECT(""'""&amp;DI$1&amp;""'!$D$4:$D$66"")=DI$2),$G$4:$BQ$4,$G81:$BQ81))),"""")"),"")</f>
        <v/>
      </c>
      <c r="DK81" s="208" t="str">
        <f t="shared" si="20"/>
        <v/>
      </c>
      <c r="DL81" s="210">
        <f>IFERROR(__xludf.DUMMYFUNCTION("AVERAGE(ARRAYFORMULA(XLOOKUP(FILTER(INDIRECT(""'""&amp;DL$1&amp;""'!$C$4:$C$66""),INDIRECT(""'""&amp;DL$1&amp;""'!$D$4:$D$66"")=DL$2),$G$4:$BQ$4,$G81:$BQ81)))"),0.16715206785714284)</f>
        <v>0.1671520679</v>
      </c>
      <c r="DM81" s="207" t="str">
        <f>IFERROR(__xludf.DUMMYFUNCTION("IF(OR(DL81&gt;$BS81+$BT81*$BT$2,DL81&lt;$BS81-$BT81*$BT$2),AVEDEV(ARRAYFORMULA(XLOOKUP(FILTER(INDIRECT(""'""&amp;DL$1&amp;""'!$C$4:$C$66""),INDIRECT(""'""&amp;DL$1&amp;""'!$D$4:$D$66"")=DL$2),$G$4:$BQ$4,$G81:$BQ81))),"""")"),"")</f>
        <v/>
      </c>
      <c r="DN81" s="208" t="str">
        <f t="shared" si="21"/>
        <v/>
      </c>
      <c r="DO81" s="209" t="s">
        <v>444</v>
      </c>
      <c r="DP81" s="210">
        <f>IFERROR(__xludf.DUMMYFUNCTION("AVERAGE(ARRAYFORMULA(XLOOKUP(FILTER(INDIRECT(""'""&amp;DP$1&amp;""'!$C$4:$C$66""),INDIRECT(""'""&amp;DP$1&amp;""'!$D$4:$D$66"")=DP$2),$G$4:$BQ$4,$G81:$BQ81)))"),-0.029733869333333336)</f>
        <v>-0.02973386933</v>
      </c>
      <c r="DQ81" s="207" t="str">
        <f>IFERROR(__xludf.DUMMYFUNCTION("IF(OR(DP81&gt;$BS81+$BT81*$BT$2,DP81&lt;$BS81-$BT81*$BT$2),AVEDEV(ARRAYFORMULA(XLOOKUP(FILTER(INDIRECT(""'""&amp;DP$1&amp;""'!$C$4:$C$66""),INDIRECT(""'""&amp;DP$1&amp;""'!$D$4:$D$66"")=DP$2),$G$4:$BQ$4,$G81:$BQ81))),"""")"),"")</f>
        <v/>
      </c>
      <c r="DR81" s="208" t="str">
        <f t="shared" si="22"/>
        <v/>
      </c>
      <c r="DS81" s="210">
        <f>IFERROR(__xludf.DUMMYFUNCTION("AVERAGE(ARRAYFORMULA(XLOOKUP(FILTER(INDIRECT(""'""&amp;DS$1&amp;""'!$C$4:$C$66""),INDIRECT(""'""&amp;DS$1&amp;""'!$D$4:$D$66"")=DS$2),$G$4:$BQ$4,$G81:$BQ81)))"),-0.08859075999999996)</f>
        <v>-0.08859076</v>
      </c>
      <c r="DT81" s="207" t="str">
        <f>IFERROR(__xludf.DUMMYFUNCTION("IF(OR(DS81&gt;$BS81+$BT81*$BT$2,DS81&lt;$BS81-$BT81*$BT$2),AVEDEV(ARRAYFORMULA(XLOOKUP(FILTER(INDIRECT(""'""&amp;DS$1&amp;""'!$C$4:$C$66""),INDIRECT(""'""&amp;DS$1&amp;""'!$D$4:$D$66"")=DS$2),$G$4:$BQ$4,$G81:$BQ81))),"""")"),"")</f>
        <v/>
      </c>
      <c r="DU81" s="208" t="str">
        <f t="shared" si="23"/>
        <v/>
      </c>
      <c r="DV81" s="210">
        <f>IFERROR(__xludf.DUMMYFUNCTION("AVERAGE(ARRAYFORMULA(XLOOKUP(FILTER(INDIRECT(""'""&amp;DV$1&amp;""'!$C$4:$C$66""),INDIRECT(""'""&amp;DV$1&amp;""'!$D$4:$D$66"")=DV$2),$G$4:$BQ$4,$G81:$BQ81)))"),0.42871235874999997)</f>
        <v>0.4287123588</v>
      </c>
      <c r="DW81" s="207" t="str">
        <f>IFERROR(__xludf.DUMMYFUNCTION("IF(OR(DV81&gt;$BS81+$BT81*$BT$2,DV81&lt;$BS81-$BT81*$BT$2),AVEDEV(ARRAYFORMULA(XLOOKUP(FILTER(INDIRECT(""'""&amp;DV$1&amp;""'!$C$4:$C$66""),INDIRECT(""'""&amp;DV$1&amp;""'!$D$4:$D$66"")=DV$2),$G$4:$BQ$4,$G81:$BQ81))),"""")"),"")</f>
        <v/>
      </c>
      <c r="DX81" s="208" t="str">
        <f t="shared" si="24"/>
        <v/>
      </c>
      <c r="DY81" s="210">
        <f>IFERROR(__xludf.DUMMYFUNCTION("AVERAGE(ARRAYFORMULA(XLOOKUP(FILTER(INDIRECT(""'""&amp;DY$1&amp;""'!$C$4:$C$66""),INDIRECT(""'""&amp;DY$1&amp;""'!$D$4:$D$66"")=DY$2),$G$4:$BQ$4,$G81:$BQ81)))"),-0.03185876555555553)</f>
        <v>-0.03185876556</v>
      </c>
      <c r="DZ81" s="207" t="str">
        <f>IFERROR(__xludf.DUMMYFUNCTION("IF(OR(DY81&gt;$BS81+$BT81*$BT$2,DY81&lt;$BS81-$BT81*$BT$2),AVEDEV(ARRAYFORMULA(XLOOKUP(FILTER(INDIRECT(""'""&amp;DY$1&amp;""'!$C$4:$C$66""),INDIRECT(""'""&amp;DY$1&amp;""'!$D$4:$D$66"")=DY$2),$G$4:$BQ$4,$G81:$BQ81))),"""")"),"")</f>
        <v/>
      </c>
      <c r="EA81" s="208" t="str">
        <f t="shared" si="25"/>
        <v/>
      </c>
      <c r="EB81" s="191"/>
    </row>
    <row r="82" outlineLevel="1">
      <c r="A82" s="2"/>
      <c r="B82" s="204">
        <v>78.0</v>
      </c>
      <c r="C82" s="204" t="s">
        <v>507</v>
      </c>
      <c r="D82" s="204" t="s">
        <v>523</v>
      </c>
      <c r="E82" s="205" t="b">
        <f>VLOOKUP(D82,'Feature Set List'!A78:C246,2,0)</f>
        <v>1</v>
      </c>
      <c r="F82" s="205" t="b">
        <f>VLOOKUP(D82,'Feature Set List'!A78:C246,3,0)</f>
        <v>1</v>
      </c>
      <c r="G82" s="205">
        <v>0.53674121</v>
      </c>
      <c r="H82" s="205">
        <v>0.10223642</v>
      </c>
      <c r="I82" s="205">
        <v>-2.5047923</v>
      </c>
      <c r="J82" s="205">
        <v>-0.313099</v>
      </c>
      <c r="K82" s="205">
        <v>-0.0223642</v>
      </c>
      <c r="L82" s="205">
        <v>0.15335463</v>
      </c>
      <c r="M82" s="205">
        <v>-0.313099</v>
      </c>
      <c r="N82" s="205">
        <v>0.83067093</v>
      </c>
      <c r="O82" s="205">
        <v>-0.1948882</v>
      </c>
      <c r="P82" s="205">
        <v>0.60063898</v>
      </c>
      <c r="Q82" s="205">
        <v>0.03833866</v>
      </c>
      <c r="R82" s="205">
        <v>1.09265176</v>
      </c>
      <c r="S82" s="205">
        <v>0.89456869</v>
      </c>
      <c r="T82" s="205">
        <v>0.65495208</v>
      </c>
      <c r="U82" s="205">
        <v>-1.0766773</v>
      </c>
      <c r="V82" s="205">
        <v>-0.0223642</v>
      </c>
      <c r="W82" s="205">
        <v>-0.341853</v>
      </c>
      <c r="X82" s="205">
        <v>3.43450479</v>
      </c>
      <c r="Y82" s="205">
        <v>-0.1277955</v>
      </c>
      <c r="Z82" s="205">
        <v>0.33546326</v>
      </c>
      <c r="AA82" s="205">
        <v>3.79872204</v>
      </c>
      <c r="AB82" s="205">
        <v>1.90095847</v>
      </c>
      <c r="AC82" s="205">
        <v>0.54632588</v>
      </c>
      <c r="AD82" s="205">
        <v>-0.2523962</v>
      </c>
      <c r="AE82" s="205">
        <v>1.08626198</v>
      </c>
      <c r="AF82" s="205">
        <v>0.17891374</v>
      </c>
      <c r="AG82" s="205">
        <v>-0.5047923</v>
      </c>
      <c r="AH82" s="205">
        <v>1.52396166</v>
      </c>
      <c r="AI82" s="205">
        <v>-0.7603834</v>
      </c>
      <c r="AJ82" s="205">
        <v>1.04153355</v>
      </c>
      <c r="AK82" s="205">
        <v>-0.6805112</v>
      </c>
      <c r="AL82" s="205">
        <v>-0.686901</v>
      </c>
      <c r="AM82" s="205">
        <v>-0.514377</v>
      </c>
      <c r="AN82" s="205">
        <v>-0.0670927</v>
      </c>
      <c r="AO82" s="205">
        <v>-0.428115</v>
      </c>
      <c r="AP82" s="205">
        <v>-0.0926518</v>
      </c>
      <c r="AQ82" s="205">
        <v>0.84664537</v>
      </c>
      <c r="AR82" s="205">
        <v>0.71565495</v>
      </c>
      <c r="AS82" s="205">
        <v>0.90095847</v>
      </c>
      <c r="AT82" s="205">
        <v>0.7571885</v>
      </c>
      <c r="AU82" s="205">
        <v>-0.1341853</v>
      </c>
      <c r="AV82" s="205">
        <v>-0.3162939</v>
      </c>
      <c r="AW82" s="205">
        <v>0.43450479</v>
      </c>
      <c r="AX82" s="205">
        <v>-0.2875399</v>
      </c>
      <c r="AY82" s="205">
        <v>0.0</v>
      </c>
      <c r="AZ82" s="205">
        <v>1.71565495</v>
      </c>
      <c r="BA82" s="205">
        <v>-0.4217252</v>
      </c>
      <c r="BB82" s="205">
        <v>1.03194888</v>
      </c>
      <c r="BC82" s="205">
        <v>0.07348243</v>
      </c>
      <c r="BD82" s="205">
        <v>-0.6517572</v>
      </c>
      <c r="BE82" s="205">
        <v>-0.5047923</v>
      </c>
      <c r="BF82" s="205">
        <v>-0.7060703</v>
      </c>
      <c r="BG82" s="205">
        <v>0.07028754</v>
      </c>
      <c r="BH82" s="205">
        <v>0.21086262</v>
      </c>
      <c r="BI82" s="205">
        <v>-0.0383387</v>
      </c>
      <c r="BJ82" s="205">
        <v>-0.057508</v>
      </c>
      <c r="BK82" s="205">
        <v>-0.0638978</v>
      </c>
      <c r="BL82" s="205">
        <v>-2.8600639</v>
      </c>
      <c r="BM82" s="205">
        <v>5.98402556</v>
      </c>
      <c r="BN82" s="205">
        <v>0.04472843</v>
      </c>
      <c r="BO82" s="205">
        <v>0.46325879</v>
      </c>
      <c r="BP82" s="205">
        <v>-0.2715655</v>
      </c>
      <c r="BQ82" s="205">
        <v>-0.6453674</v>
      </c>
      <c r="BR82" s="206"/>
      <c r="BS82" s="207">
        <f t="shared" si="6"/>
        <v>0.256138751</v>
      </c>
      <c r="BT82" s="207">
        <f t="shared" si="7"/>
        <v>0.8011620403</v>
      </c>
      <c r="BU82" s="206"/>
      <c r="BV82" s="207">
        <f>IFERROR(__xludf.DUMMYFUNCTION("AVERAGE(ARRAYFORMULA(XLOOKUP(FILTER(INDIRECT(""'""&amp;BV$1&amp;""'!$C$4:$C$66""),INDIRECT(""'""&amp;BV$1&amp;""'!$D$4:$D$66"")=BV$2),$G$4:$BQ$4,$G82:$BQ82)))"),-0.057599261428571476)</f>
        <v>-0.05759926143</v>
      </c>
      <c r="BW82" s="207" t="str">
        <f>IFERROR(__xludf.DUMMYFUNCTION("IF(OR(BV82&gt;$BS82+$BT82*$BT$2,BV82&lt;$BS82-$BT82*$BT$2),AVEDEV(ARRAYFORMULA(XLOOKUP(FILTER(INDIRECT(""'""&amp;BV$1&amp;""'!$C$4:$C$66""),INDIRECT(""'""&amp;BV$1&amp;""'!$D$4:$D$66"")=BV$2),$G$4:$BQ$4,$G82:$BQ82))),"""")"),"")</f>
        <v/>
      </c>
      <c r="BX82" s="208" t="str">
        <f t="shared" si="8"/>
        <v/>
      </c>
      <c r="BY82" s="207">
        <f>IFERROR(__xludf.DUMMYFUNCTION("AVERAGE(ARRAYFORMULA(XLOOKUP(FILTER(INDIRECT(""'""&amp;BY$1&amp;""'!$C$4:$C$66""),INDIRECT(""'""&amp;BY$1&amp;""'!$D$4:$D$66"")=BY$2),$G$4:$BQ$4,$G82:$BQ82)))"),0.2669252973809524)</f>
        <v>0.2669252974</v>
      </c>
      <c r="BZ82" s="207" t="str">
        <f>IFERROR(__xludf.DUMMYFUNCTION("IF(OR(BY82&gt;$BS82+$BT82*$BT$2,BY82&lt;$BS82-$BT82*$BT$2),AVEDEV(ARRAYFORMULA(XLOOKUP(FILTER(INDIRECT(""'""&amp;BY$1&amp;""'!$C$4:$C$66""),INDIRECT(""'""&amp;BY$1&amp;""'!$D$4:$D$66"")=BY$2),$G$4:$BQ$4,$G82:$BQ82))),"""")"),"")</f>
        <v/>
      </c>
      <c r="CA82" s="208" t="str">
        <f t="shared" si="9"/>
        <v/>
      </c>
      <c r="CB82" s="207">
        <f>IFERROR(__xludf.DUMMYFUNCTION("AVERAGE(ARRAYFORMULA(XLOOKUP(FILTER(INDIRECT(""'""&amp;CB$1&amp;""'!$C$4:$C$66""),INDIRECT(""'""&amp;CB$1&amp;""'!$D$4:$D$66"")=CB$2),$G$4:$BQ$4,$G82:$BQ82)))"),0.7836189499999999)</f>
        <v>0.78361895</v>
      </c>
      <c r="CC82" s="207" t="str">
        <f>IFERROR(__xludf.DUMMYFUNCTION("IF(OR(CB82&gt;$BS82+$BT82*$BT$2,CB82&lt;$BS82-$BT82*$BT$2),AVEDEV(ARRAYFORMULA(XLOOKUP(FILTER(INDIRECT(""'""&amp;CB$1&amp;""'!$C$4:$C$66""),INDIRECT(""'""&amp;CB$1&amp;""'!$D$4:$D$66"")=CB$2),$G$4:$BQ$4,$G82:$BQ82))),"""")"),"")</f>
        <v/>
      </c>
      <c r="CD82" s="208" t="str">
        <f t="shared" si="10"/>
        <v/>
      </c>
      <c r="CE82" s="209" t="s">
        <v>444</v>
      </c>
      <c r="CF82" s="207">
        <f>IFERROR(__xludf.DUMMYFUNCTION("AVERAGE(ARRAYFORMULA(XLOOKUP(FILTER(INDIRECT(""'""&amp;CF$1&amp;""'!$C$4:$C$66""),INDIRECT(""'""&amp;CF$1&amp;""'!$D$4:$D$66"")=CF$2),$G$4:$BQ$4,$G82:$BQ82)))"),0.056908948125000004)</f>
        <v>0.05690894813</v>
      </c>
      <c r="CG82" s="207" t="str">
        <f>IFERROR(__xludf.DUMMYFUNCTION("IF(OR(CF82&gt;$BS82+$BT82*$BT$2,CF82&lt;$BS82-$BT82*$BT$2),AVEDEV(ARRAYFORMULA(XLOOKUP(FILTER(INDIRECT(""'""&amp;CF$1&amp;""'!$C$4:$C$66""),INDIRECT(""'""&amp;CF$1&amp;""'!$D$4:$D$66"")=CF$2),$G$4:$BQ$4,$G82:$BQ82))),"""")"),"")</f>
        <v/>
      </c>
      <c r="CH82" s="208" t="str">
        <f t="shared" si="11"/>
        <v/>
      </c>
      <c r="CI82" s="207">
        <f>IFERROR(__xludf.DUMMYFUNCTION("AVERAGE(ARRAYFORMULA(XLOOKUP(FILTER(INDIRECT(""'""&amp;CI$1&amp;""'!$C$4:$C$66""),INDIRECT(""'""&amp;CI$1&amp;""'!$D$4:$D$66"")=CI$2),$G$4:$BQ$4,$G82:$BQ82)))"),0.2952695022580645)</f>
        <v>0.2952695023</v>
      </c>
      <c r="CJ82" s="207" t="str">
        <f>IFERROR(__xludf.DUMMYFUNCTION("IF(OR(CI82&gt;$BS82+$BT82*$BT$2,CI82&lt;$BS82-$BT82*$BT$2),AVEDEV(ARRAYFORMULA(XLOOKUP(FILTER(INDIRECT(""'""&amp;CI$1&amp;""'!$C$4:$C$66""),INDIRECT(""'""&amp;CI$1&amp;""'!$D$4:$D$66"")=CI$2),$G$4:$BQ$4,$G82:$BQ82))),"""")"),"")</f>
        <v/>
      </c>
      <c r="CK82" s="208" t="str">
        <f t="shared" si="12"/>
        <v/>
      </c>
      <c r="CL82" s="207">
        <f>IFERROR(__xludf.DUMMYFUNCTION("AVERAGE(ARRAYFORMULA(XLOOKUP(FILTER(INDIRECT(""'""&amp;CL$1&amp;""'!$C$4:$C$66""),INDIRECT(""'""&amp;CL$1&amp;""'!$D$4:$D$66"")=CL$2),$G$4:$BQ$4,$G82:$BQ82)))"),0.361022374)</f>
        <v>0.361022374</v>
      </c>
      <c r="CM82" s="207" t="str">
        <f>IFERROR(__xludf.DUMMYFUNCTION("IF(OR(CL82&gt;$BS82+$BT82*$BT$2,CL82&lt;$BS82-$BT82*$BT$2),AVEDEV(ARRAYFORMULA(XLOOKUP(FILTER(INDIRECT(""'""&amp;CL$1&amp;""'!$C$4:$C$66""),INDIRECT(""'""&amp;CL$1&amp;""'!$D$4:$D$66"")=CL$2),$G$4:$BQ$4,$G82:$BQ82))),"""")"),"")</f>
        <v/>
      </c>
      <c r="CN82" s="208" t="str">
        <f t="shared" si="13"/>
        <v/>
      </c>
      <c r="CO82" s="209" t="s">
        <v>444</v>
      </c>
      <c r="CP82" s="210">
        <f>IFERROR(__xludf.DUMMYFUNCTION("AVERAGE(ARRAYFORMULA(XLOOKUP(FILTER(INDIRECT(""'""&amp;CP$1&amp;""'!$C$4:$C$66""),INDIRECT(""'""&amp;CP$1&amp;""'!$D$4:$D$66"")=CP$2),$G$4:$BQ$4,$G82:$BQ82)))"),1.3456869060000003)</f>
        <v>1.345686906</v>
      </c>
      <c r="CQ82" s="207">
        <f>IFERROR(__xludf.DUMMYFUNCTION("IF(OR(CP82&gt;$BS82+$BT82*$BT$2,CP82&lt;$BS82-$BT82*$BT$2),AVEDEV(ARRAYFORMULA(XLOOKUP(FILTER(INDIRECT(""'""&amp;CP$1&amp;""'!$C$4:$C$66""),INDIRECT(""'""&amp;CP$1&amp;""'!$D$4:$D$66"")=CP$2),$G$4:$BQ$4,$G82:$BQ82))),"""")"),1.321831732)</f>
        <v>1.321831732</v>
      </c>
      <c r="CR82" s="208">
        <f t="shared" si="14"/>
        <v>0.2883861148</v>
      </c>
      <c r="CS82" s="210">
        <f>IFERROR(__xludf.DUMMYFUNCTION("AVERAGE(ARRAYFORMULA(XLOOKUP(FILTER(INDIRECT(""'""&amp;CS$1&amp;""'!$C$4:$C$66""),INDIRECT(""'""&amp;CS$1&amp;""'!$D$4:$D$66"")=CS$2),$G$4:$BQ$4,$G82:$BQ82)))"),0.007618578205128192)</f>
        <v>0.007618578205</v>
      </c>
      <c r="CT82" s="207" t="str">
        <f>IFERROR(__xludf.DUMMYFUNCTION("IF(OR(CS82&gt;$BS82+$BT82*$BT$2,CS82&lt;$BS82-$BT82*$BT$2),AVEDEV(ARRAYFORMULA(XLOOKUP(FILTER(INDIRECT(""'""&amp;CS$1&amp;""'!$C$4:$C$66""),INDIRECT(""'""&amp;CS$1&amp;""'!$D$4:$D$66"")=CS$2),$G$4:$BQ$4,$G82:$BQ82))),"""")"),"")</f>
        <v/>
      </c>
      <c r="CU82" s="208" t="str">
        <f t="shared" si="15"/>
        <v/>
      </c>
      <c r="CV82" s="210">
        <f>IFERROR(__xludf.DUMMYFUNCTION("AVERAGE(ARRAYFORMULA(XLOOKUP(FILTER(INDIRECT(""'""&amp;CV$1&amp;""'!$C$4:$C$66""),INDIRECT(""'""&amp;CV$1&amp;""'!$D$4:$D$66"")=CV$2),$G$4:$BQ$4,$G82:$BQ82)))"),0.361022374)</f>
        <v>0.361022374</v>
      </c>
      <c r="CW82" s="207" t="str">
        <f>IFERROR(__xludf.DUMMYFUNCTION("IF(OR(CV82&gt;$BS82+$BT82*$BT$2,CV82&lt;$BS82-$BT82*$BT$2),AVEDEV(ARRAYFORMULA(XLOOKUP(FILTER(INDIRECT(""'""&amp;CV$1&amp;""'!$C$4:$C$66""),INDIRECT(""'""&amp;CV$1&amp;""'!$D$4:$D$66"")=CV$2),$G$4:$BQ$4,$G82:$BQ82))),"""")"),"")</f>
        <v/>
      </c>
      <c r="CX82" s="208" t="str">
        <f t="shared" si="16"/>
        <v/>
      </c>
      <c r="CY82" s="209" t="s">
        <v>444</v>
      </c>
      <c r="CZ82" s="210">
        <f>IFERROR(__xludf.DUMMYFUNCTION("AVERAGE(ARRAYFORMULA(XLOOKUP(FILTER(INDIRECT(""'""&amp;CZ$1&amp;""'!$C$4:$C$66""),INDIRECT(""'""&amp;CZ$1&amp;""'!$D$4:$D$66"")=CZ$2),$G$4:$BQ$4,$G82:$BQ82)))"),-0.037882250714285734)</f>
        <v>-0.03788225071</v>
      </c>
      <c r="DA82" s="207" t="str">
        <f>IFERROR(__xludf.DUMMYFUNCTION("IF(OR(CZ82&gt;$BS82+$BT82*$BT$2,CZ82&lt;$BS82-$BT82*$BT$2),AVEDEV(ARRAYFORMULA(XLOOKUP(FILTER(INDIRECT(""'""&amp;CZ$1&amp;""'!$C$4:$C$66""),INDIRECT(""'""&amp;CZ$1&amp;""'!$D$4:$D$66"")=CZ$2),$G$4:$BQ$4,$G82:$BQ82))),"""")"),"")</f>
        <v/>
      </c>
      <c r="DB82" s="208" t="str">
        <f t="shared" si="17"/>
        <v/>
      </c>
      <c r="DC82" s="210">
        <f>IFERROR(__xludf.DUMMYFUNCTION("AVERAGE(ARRAYFORMULA(XLOOKUP(FILTER(INDIRECT(""'""&amp;DC$1&amp;""'!$C$4:$C$66""),INDIRECT(""'""&amp;DC$1&amp;""'!$D$4:$D$66"")=DC$2),$G$4:$BQ$4,$G82:$BQ82)))"),0.10223643777777777)</f>
        <v>0.1022364378</v>
      </c>
      <c r="DD82" s="207" t="str">
        <f>IFERROR(__xludf.DUMMYFUNCTION("IF(OR(DC82&gt;$BS82+$BT82*$BT$2,DC82&lt;$BS82-$BT82*$BT$2),AVEDEV(ARRAYFORMULA(XLOOKUP(FILTER(INDIRECT(""'""&amp;DC$1&amp;""'!$C$4:$C$66""),INDIRECT(""'""&amp;DC$1&amp;""'!$D$4:$D$66"")=DC$2),$G$4:$BQ$4,$G82:$BQ82))),"""")"),"")</f>
        <v/>
      </c>
      <c r="DE82" s="208" t="str">
        <f t="shared" si="18"/>
        <v/>
      </c>
      <c r="DF82" s="210">
        <f>IFERROR(__xludf.DUMMYFUNCTION("AVERAGE(ARRAYFORMULA(XLOOKUP(FILTER(INDIRECT(""'""&amp;DF$1&amp;""'!$C$4:$C$66""),INDIRECT(""'""&amp;DF$1&amp;""'!$D$4:$D$66"")=DF$2),$G$4:$BQ$4,$G82:$BQ82)))"),0.9854777836363637)</f>
        <v>0.9854777836</v>
      </c>
      <c r="DG82" s="207" t="str">
        <f>IFERROR(__xludf.DUMMYFUNCTION("IF(OR(DF82&gt;$BS82+$BT82*$BT$2,DF82&lt;$BS82-$BT82*$BT$2),AVEDEV(ARRAYFORMULA(XLOOKUP(FILTER(INDIRECT(""'""&amp;DF$1&amp;""'!$C$4:$C$66""),INDIRECT(""'""&amp;DF$1&amp;""'!$D$4:$D$66"")=DF$2),$G$4:$BQ$4,$G82:$BQ82))),"""")"),"")</f>
        <v/>
      </c>
      <c r="DH82" s="208" t="str">
        <f t="shared" si="19"/>
        <v/>
      </c>
      <c r="DI82" s="210">
        <f>IFERROR(__xludf.DUMMYFUNCTION("AVERAGE(ARRAYFORMULA(XLOOKUP(FILTER(INDIRECT(""'""&amp;DI$1&amp;""'!$C$4:$C$66""),INDIRECT(""'""&amp;DI$1&amp;""'!$D$4:$D$66"")=DI$2),$G$4:$BQ$4,$G82:$BQ82)))"),-0.020766790000000007)</f>
        <v>-0.02076679</v>
      </c>
      <c r="DJ82" s="207" t="str">
        <f>IFERROR(__xludf.DUMMYFUNCTION("IF(OR(DI82&gt;$BS82+$BT82*$BT$2,DI82&lt;$BS82-$BT82*$BT$2),AVEDEV(ARRAYFORMULA(XLOOKUP(FILTER(INDIRECT(""'""&amp;DI$1&amp;""'!$C$4:$C$66""),INDIRECT(""'""&amp;DI$1&amp;""'!$D$4:$D$66"")=DI$2),$G$4:$BQ$4,$G82:$BQ82))),"""")"),"")</f>
        <v/>
      </c>
      <c r="DK82" s="208" t="str">
        <f t="shared" si="20"/>
        <v/>
      </c>
      <c r="DL82" s="210">
        <f>IFERROR(__xludf.DUMMYFUNCTION("AVERAGE(ARRAYFORMULA(XLOOKUP(FILTER(INDIRECT(""'""&amp;DL$1&amp;""'!$C$4:$C$66""),INDIRECT(""'""&amp;DL$1&amp;""'!$D$4:$D$66"")=DL$2),$G$4:$BQ$4,$G82:$BQ82)))"),0.12711090285714285)</f>
        <v>0.1271109029</v>
      </c>
      <c r="DM82" s="207" t="str">
        <f>IFERROR(__xludf.DUMMYFUNCTION("IF(OR(DL82&gt;$BS82+$BT82*$BT$2,DL82&lt;$BS82-$BT82*$BT$2),AVEDEV(ARRAYFORMULA(XLOOKUP(FILTER(INDIRECT(""'""&amp;DL$1&amp;""'!$C$4:$C$66""),INDIRECT(""'""&amp;DL$1&amp;""'!$D$4:$D$66"")=DL$2),$G$4:$BQ$4,$G82:$BQ82))),"""")"),"")</f>
        <v/>
      </c>
      <c r="DN82" s="208" t="str">
        <f t="shared" si="21"/>
        <v/>
      </c>
      <c r="DO82" s="209" t="s">
        <v>444</v>
      </c>
      <c r="DP82" s="210">
        <f>IFERROR(__xludf.DUMMYFUNCTION("AVERAGE(ARRAYFORMULA(XLOOKUP(FILTER(INDIRECT(""'""&amp;DP$1&amp;""'!$C$4:$C$66""),INDIRECT(""'""&amp;DP$1&amp;""'!$D$4:$D$66"")=DP$2),$G$4:$BQ$4,$G82:$BQ82)))"),0.11395100933333334)</f>
        <v>0.1139510093</v>
      </c>
      <c r="DQ82" s="207" t="str">
        <f>IFERROR(__xludf.DUMMYFUNCTION("IF(OR(DP82&gt;$BS82+$BT82*$BT$2,DP82&lt;$BS82-$BT82*$BT$2),AVEDEV(ARRAYFORMULA(XLOOKUP(FILTER(INDIRECT(""'""&amp;DP$1&amp;""'!$C$4:$C$66""),INDIRECT(""'""&amp;DP$1&amp;""'!$D$4:$D$66"")=DP$2),$G$4:$BQ$4,$G82:$BQ82))),"""")"),"")</f>
        <v/>
      </c>
      <c r="DR82" s="208" t="str">
        <f t="shared" si="22"/>
        <v/>
      </c>
      <c r="DS82" s="210">
        <f>IFERROR(__xludf.DUMMYFUNCTION("AVERAGE(ARRAYFORMULA(XLOOKUP(FILTER(INDIRECT(""'""&amp;DS$1&amp;""'!$C$4:$C$66""),INDIRECT(""'""&amp;DS$1&amp;""'!$D$4:$D$66"")=DS$2),$G$4:$BQ$4,$G82:$BQ82)))"),0.7263045955555555)</f>
        <v>0.7263045956</v>
      </c>
      <c r="DT82" s="207" t="str">
        <f>IFERROR(__xludf.DUMMYFUNCTION("IF(OR(DS82&gt;$BS82+$BT82*$BT$2,DS82&lt;$BS82-$BT82*$BT$2),AVEDEV(ARRAYFORMULA(XLOOKUP(FILTER(INDIRECT(""'""&amp;DS$1&amp;""'!$C$4:$C$66""),INDIRECT(""'""&amp;DS$1&amp;""'!$D$4:$D$66"")=DS$2),$G$4:$BQ$4,$G82:$BQ82))),"""")"),"")</f>
        <v/>
      </c>
      <c r="DU82" s="208" t="str">
        <f t="shared" si="23"/>
        <v/>
      </c>
      <c r="DV82" s="210">
        <f>IFERROR(__xludf.DUMMYFUNCTION("AVERAGE(ARRAYFORMULA(XLOOKUP(FILTER(INDIRECT(""'""&amp;DV$1&amp;""'!$C$4:$C$66""),INDIRECT(""'""&amp;DV$1&amp;""'!$D$4:$D$66"")=DV$2),$G$4:$BQ$4,$G82:$BQ82)))"),0.90894568625)</f>
        <v>0.9089456863</v>
      </c>
      <c r="DW82" s="207" t="str">
        <f>IFERROR(__xludf.DUMMYFUNCTION("IF(OR(DV82&gt;$BS82+$BT82*$BT$2,DV82&lt;$BS82-$BT82*$BT$2),AVEDEV(ARRAYFORMULA(XLOOKUP(FILTER(INDIRECT(""'""&amp;DV$1&amp;""'!$C$4:$C$66""),INDIRECT(""'""&amp;DV$1&amp;""'!$D$4:$D$66"")=DV$2),$G$4:$BQ$4,$G82:$BQ82))),"""")"),"")</f>
        <v/>
      </c>
      <c r="DX82" s="208" t="str">
        <f t="shared" si="24"/>
        <v/>
      </c>
      <c r="DY82" s="210">
        <f>IFERROR(__xludf.DUMMYFUNCTION("AVERAGE(ARRAYFORMULA(XLOOKUP(FILTER(INDIRECT(""'""&amp;DY$1&amp;""'!$C$4:$C$66""),INDIRECT(""'""&amp;DY$1&amp;""'!$D$4:$D$66"")=DY$2),$G$4:$BQ$4,$G82:$BQ82)))"),0.14873979333333331)</f>
        <v>0.1487397933</v>
      </c>
      <c r="DZ82" s="207" t="str">
        <f>IFERROR(__xludf.DUMMYFUNCTION("IF(OR(DY82&gt;$BS82+$BT82*$BT$2,DY82&lt;$BS82-$BT82*$BT$2),AVEDEV(ARRAYFORMULA(XLOOKUP(FILTER(INDIRECT(""'""&amp;DY$1&amp;""'!$C$4:$C$66""),INDIRECT(""'""&amp;DY$1&amp;""'!$D$4:$D$66"")=DY$2),$G$4:$BQ$4,$G82:$BQ82))),"""")"),"")</f>
        <v/>
      </c>
      <c r="EA82" s="208" t="str">
        <f t="shared" si="25"/>
        <v/>
      </c>
      <c r="EB82" s="191"/>
    </row>
    <row r="83" outlineLevel="1">
      <c r="A83" s="2"/>
      <c r="B83" s="204">
        <v>79.0</v>
      </c>
      <c r="C83" s="204" t="s">
        <v>507</v>
      </c>
      <c r="D83" s="204" t="s">
        <v>524</v>
      </c>
      <c r="E83" s="205" t="b">
        <f>VLOOKUP(D83,'Feature Set List'!A79:C246,2,0)</f>
        <v>1</v>
      </c>
      <c r="F83" s="205" t="b">
        <f>VLOOKUP(D83,'Feature Set List'!A79:C246,3,0)</f>
        <v>1</v>
      </c>
      <c r="G83" s="205">
        <v>1.1490613</v>
      </c>
      <c r="H83" s="205">
        <v>0.11309658</v>
      </c>
      <c r="I83" s="205">
        <v>-0.0814295</v>
      </c>
      <c r="J83" s="205">
        <v>-0.7781045</v>
      </c>
      <c r="K83" s="205">
        <v>1.18072834</v>
      </c>
      <c r="L83" s="205">
        <v>0.0859534</v>
      </c>
      <c r="M83" s="205">
        <v>2.42479077</v>
      </c>
      <c r="N83" s="205">
        <v>-1.9425469</v>
      </c>
      <c r="O83" s="205">
        <v>0.19452613</v>
      </c>
      <c r="P83" s="205">
        <v>-1.1544899</v>
      </c>
      <c r="Q83" s="205">
        <v>-0.3578376</v>
      </c>
      <c r="R83" s="205">
        <v>-1.1192038</v>
      </c>
      <c r="S83" s="205">
        <v>-0.4736485</v>
      </c>
      <c r="T83" s="205">
        <v>-0.2384076</v>
      </c>
      <c r="U83" s="205">
        <v>-1.8828319</v>
      </c>
      <c r="V83" s="205">
        <v>-0.7930333</v>
      </c>
      <c r="W83" s="205">
        <v>0.80072382</v>
      </c>
      <c r="X83" s="205">
        <v>-2.4668627</v>
      </c>
      <c r="Y83" s="205">
        <v>1.4204931</v>
      </c>
      <c r="Z83" s="205">
        <v>0.17643067</v>
      </c>
      <c r="AA83" s="205">
        <v>-2.4066953</v>
      </c>
      <c r="AB83" s="205">
        <v>0.09047727</v>
      </c>
      <c r="AC83" s="205">
        <v>-0.1583352</v>
      </c>
      <c r="AD83" s="205">
        <v>0.14023976</v>
      </c>
      <c r="AE83" s="205">
        <v>-1.1608233</v>
      </c>
      <c r="AF83" s="205">
        <v>-0.3800045</v>
      </c>
      <c r="AG83" s="205">
        <v>-0.9852974</v>
      </c>
      <c r="AH83" s="205">
        <v>-0.8545578</v>
      </c>
      <c r="AI83" s="205">
        <v>0.0</v>
      </c>
      <c r="AJ83" s="205">
        <v>0.35738521</v>
      </c>
      <c r="AK83" s="205">
        <v>0.2352409</v>
      </c>
      <c r="AL83" s="205">
        <v>0.37548066</v>
      </c>
      <c r="AM83" s="205">
        <v>-0.0950011</v>
      </c>
      <c r="AN83" s="205">
        <v>0.77358064</v>
      </c>
      <c r="AO83" s="205">
        <v>0.27595567</v>
      </c>
      <c r="AP83" s="205">
        <v>0.00452386</v>
      </c>
      <c r="AQ83" s="205">
        <v>0.15833522</v>
      </c>
      <c r="AR83" s="205">
        <v>-0.0452386</v>
      </c>
      <c r="AS83" s="205">
        <v>-1.1612757</v>
      </c>
      <c r="AT83" s="205">
        <v>0.17643067</v>
      </c>
      <c r="AU83" s="205">
        <v>-1.0395838</v>
      </c>
      <c r="AV83" s="205">
        <v>0.48405338</v>
      </c>
      <c r="AW83" s="205">
        <v>-1.026917</v>
      </c>
      <c r="AX83" s="205">
        <v>0.9138204</v>
      </c>
      <c r="AY83" s="205">
        <v>-0.4329337</v>
      </c>
      <c r="AZ83" s="205">
        <v>-0.5505542</v>
      </c>
      <c r="BA83" s="205">
        <v>-0.3062656</v>
      </c>
      <c r="BB83" s="205">
        <v>-0.71658</v>
      </c>
      <c r="BC83" s="205">
        <v>-0.0769057</v>
      </c>
      <c r="BD83" s="205">
        <v>0.75096132</v>
      </c>
      <c r="BE83" s="205">
        <v>0.26238408</v>
      </c>
      <c r="BF83" s="205">
        <v>0.30309885</v>
      </c>
      <c r="BG83" s="205">
        <v>-0.4234336</v>
      </c>
      <c r="BH83" s="205">
        <v>0.42976702</v>
      </c>
      <c r="BI83" s="205">
        <v>0.71929428</v>
      </c>
      <c r="BJ83" s="205">
        <v>0.54738747</v>
      </c>
      <c r="BK83" s="205">
        <v>-0.1176204</v>
      </c>
      <c r="BL83" s="205">
        <v>0.29405112</v>
      </c>
      <c r="BM83" s="205">
        <v>-2.4139335</v>
      </c>
      <c r="BN83" s="205">
        <v>0.97263063</v>
      </c>
      <c r="BO83" s="205">
        <v>-0.2759557</v>
      </c>
      <c r="BP83" s="205">
        <v>2.08097715</v>
      </c>
      <c r="BQ83" s="205">
        <v>1.60144764</v>
      </c>
      <c r="BR83" s="206"/>
      <c r="BS83" s="207">
        <f t="shared" si="6"/>
        <v>-0.1019520792</v>
      </c>
      <c r="BT83" s="207">
        <f t="shared" si="7"/>
        <v>0.7258738813</v>
      </c>
      <c r="BU83" s="206"/>
      <c r="BV83" s="207">
        <f>IFERROR(__xludf.DUMMYFUNCTION("AVERAGE(ARRAYFORMULA(XLOOKUP(FILTER(INDIRECT(""'""&amp;BV$1&amp;""'!$C$4:$C$66""),INDIRECT(""'""&amp;BV$1&amp;""'!$D$4:$D$66"")=BV$2),$G$4:$BQ$4,$G83:$BQ83)))"),-0.6666882042857143)</f>
        <v>-0.6666882043</v>
      </c>
      <c r="BW83" s="207" t="str">
        <f>IFERROR(__xludf.DUMMYFUNCTION("IF(OR(BV83&gt;$BS83+$BT83*$BT$2,BV83&lt;$BS83-$BT83*$BT$2),AVEDEV(ARRAYFORMULA(XLOOKUP(FILTER(INDIRECT(""'""&amp;BV$1&amp;""'!$C$4:$C$66""),INDIRECT(""'""&amp;BV$1&amp;""'!$D$4:$D$66"")=BV$2),$G$4:$BQ$4,$G83:$BQ83))),"""")"),"")</f>
        <v/>
      </c>
      <c r="BX83" s="208" t="str">
        <f t="shared" si="8"/>
        <v/>
      </c>
      <c r="BY83" s="207">
        <f>IFERROR(__xludf.DUMMYFUNCTION("AVERAGE(ARRAYFORMULA(XLOOKUP(FILTER(INDIRECT(""'""&amp;BY$1&amp;""'!$C$4:$C$66""),INDIRECT(""'""&amp;BY$1&amp;""'!$D$4:$D$66"")=BY$2),$G$4:$BQ$4,$G83:$BQ83)))"),-0.05293996833333333)</f>
        <v>-0.05293996833</v>
      </c>
      <c r="BZ83" s="207" t="str">
        <f>IFERROR(__xludf.DUMMYFUNCTION("IF(OR(BY83&gt;$BS83+$BT83*$BT$2,BY83&lt;$BS83-$BT83*$BT$2),AVEDEV(ARRAYFORMULA(XLOOKUP(FILTER(INDIRECT(""'""&amp;BY$1&amp;""'!$C$4:$C$66""),INDIRECT(""'""&amp;BY$1&amp;""'!$D$4:$D$66"")=BY$2),$G$4:$BQ$4,$G83:$BQ83))),"""")"),"")</f>
        <v/>
      </c>
      <c r="CA83" s="208" t="str">
        <f t="shared" si="9"/>
        <v/>
      </c>
      <c r="CB83" s="207">
        <f>IFERROR(__xludf.DUMMYFUNCTION("AVERAGE(ARRAYFORMULA(XLOOKUP(FILTER(INDIRECT(""'""&amp;CB$1&amp;""'!$C$4:$C$66""),INDIRECT(""'""&amp;CB$1&amp;""'!$D$4:$D$66"")=CB$2),$G$4:$BQ$4,$G83:$BQ83)))"),0.07612428090909087)</f>
        <v>0.07612428091</v>
      </c>
      <c r="CC83" s="207" t="str">
        <f>IFERROR(__xludf.DUMMYFUNCTION("IF(OR(CB83&gt;$BS83+$BT83*$BT$2,CB83&lt;$BS83-$BT83*$BT$2),AVEDEV(ARRAYFORMULA(XLOOKUP(FILTER(INDIRECT(""'""&amp;CB$1&amp;""'!$C$4:$C$66""),INDIRECT(""'""&amp;CB$1&amp;""'!$D$4:$D$66"")=CB$2),$G$4:$BQ$4,$G83:$BQ83))),"""")"),"")</f>
        <v/>
      </c>
      <c r="CD83" s="208" t="str">
        <f t="shared" si="10"/>
        <v/>
      </c>
      <c r="CE83" s="209" t="s">
        <v>444</v>
      </c>
      <c r="CF83" s="207">
        <f>IFERROR(__xludf.DUMMYFUNCTION("AVERAGE(ARRAYFORMULA(XLOOKUP(FILTER(INDIRECT(""'""&amp;CF$1&amp;""'!$C$4:$C$66""),INDIRECT(""'""&amp;CF$1&amp;""'!$D$4:$D$66"")=CF$2),$G$4:$BQ$4,$G83:$BQ83)))"),-0.44466749250000004)</f>
        <v>-0.4446674925</v>
      </c>
      <c r="CG83" s="207" t="str">
        <f>IFERROR(__xludf.DUMMYFUNCTION("IF(OR(CF83&gt;$BS83+$BT83*$BT$2,CF83&lt;$BS83-$BT83*$BT$2),AVEDEV(ARRAYFORMULA(XLOOKUP(FILTER(INDIRECT(""'""&amp;CF$1&amp;""'!$C$4:$C$66""),INDIRECT(""'""&amp;CF$1&amp;""'!$D$4:$D$66"")=CF$2),$G$4:$BQ$4,$G83:$BQ83))),"""")"),"")</f>
        <v/>
      </c>
      <c r="CH83" s="208" t="str">
        <f t="shared" si="11"/>
        <v/>
      </c>
      <c r="CI83" s="207">
        <f>IFERROR(__xludf.DUMMYFUNCTION("AVERAGE(ARRAYFORMULA(XLOOKUP(FILTER(INDIRECT(""'""&amp;CI$1&amp;""'!$C$4:$C$66""),INDIRECT(""'""&amp;CI$1&amp;""'!$D$4:$D$66"")=CI$2),$G$4:$BQ$4,$G83:$BQ83)))"),0.22305565419354836)</f>
        <v>0.2230556542</v>
      </c>
      <c r="CJ83" s="207" t="str">
        <f>IFERROR(__xludf.DUMMYFUNCTION("IF(OR(CI83&gt;$BS83+$BT83*$BT$2,CI83&lt;$BS83-$BT83*$BT$2),AVEDEV(ARRAYFORMULA(XLOOKUP(FILTER(INDIRECT(""'""&amp;CI$1&amp;""'!$C$4:$C$66""),INDIRECT(""'""&amp;CI$1&amp;""'!$D$4:$D$66"")=CI$2),$G$4:$BQ$4,$G83:$BQ83))),"""")"),"")</f>
        <v/>
      </c>
      <c r="CK83" s="208" t="str">
        <f t="shared" si="12"/>
        <v/>
      </c>
      <c r="CL83" s="207">
        <f>IFERROR(__xludf.DUMMYFUNCTION("AVERAGE(ARRAYFORMULA(XLOOKUP(FILTER(INDIRECT(""'""&amp;CL$1&amp;""'!$C$4:$C$66""),INDIRECT(""'""&amp;CL$1&amp;""'!$D$4:$D$66"")=CL$2),$G$4:$BQ$4,$G83:$BQ83)))"),-0.6567744799999999)</f>
        <v>-0.65677448</v>
      </c>
      <c r="CM83" s="207" t="str">
        <f>IFERROR(__xludf.DUMMYFUNCTION("IF(OR(CL83&gt;$BS83+$BT83*$BT$2,CL83&lt;$BS83-$BT83*$BT$2),AVEDEV(ARRAYFORMULA(XLOOKUP(FILTER(INDIRECT(""'""&amp;CL$1&amp;""'!$C$4:$C$66""),INDIRECT(""'""&amp;CL$1&amp;""'!$D$4:$D$66"")=CL$2),$G$4:$BQ$4,$G83:$BQ83))),"""")"),"")</f>
        <v/>
      </c>
      <c r="CN83" s="208" t="str">
        <f t="shared" si="13"/>
        <v/>
      </c>
      <c r="CO83" s="209" t="s">
        <v>444</v>
      </c>
      <c r="CP83" s="210">
        <f>IFERROR(__xludf.DUMMYFUNCTION("AVERAGE(ARRAYFORMULA(XLOOKUP(FILTER(INDIRECT(""'""&amp;CP$1&amp;""'!$C$4:$C$66""),INDIRECT(""'""&amp;CP$1&amp;""'!$D$4:$D$66"")=CP$2),$G$4:$BQ$4,$G83:$BQ83)))"),-0.7453517253333335)</f>
        <v>-0.7453517253</v>
      </c>
      <c r="CQ83" s="207" t="str">
        <f>IFERROR(__xludf.DUMMYFUNCTION("IF(OR(CP83&gt;$BS83+$BT83*$BT$2,CP83&lt;$BS83-$BT83*$BT$2),AVEDEV(ARRAYFORMULA(XLOOKUP(FILTER(INDIRECT(""'""&amp;CP$1&amp;""'!$C$4:$C$66""),INDIRECT(""'""&amp;CP$1&amp;""'!$D$4:$D$66"")=CP$2),$G$4:$BQ$4,$G83:$BQ83))),"""")"),"")</f>
        <v/>
      </c>
      <c r="CR83" s="208" t="str">
        <f t="shared" si="14"/>
        <v/>
      </c>
      <c r="CS83" s="210">
        <f>IFERROR(__xludf.DUMMYFUNCTION("AVERAGE(ARRAYFORMULA(XLOOKUP(FILTER(INDIRECT(""'""&amp;CS$1&amp;""'!$C$4:$C$66""),INDIRECT(""'""&amp;CS$1&amp;""'!$D$4:$D$66"")=CS$2),$G$4:$BQ$4,$G83:$BQ83)))"),0.2081325166666666)</f>
        <v>0.2081325167</v>
      </c>
      <c r="CT83" s="207" t="str">
        <f>IFERROR(__xludf.DUMMYFUNCTION("IF(OR(CS83&gt;$BS83+$BT83*$BT$2,CS83&lt;$BS83-$BT83*$BT$2),AVEDEV(ARRAYFORMULA(XLOOKUP(FILTER(INDIRECT(""'""&amp;CS$1&amp;""'!$C$4:$C$66""),INDIRECT(""'""&amp;CS$1&amp;""'!$D$4:$D$66"")=CS$2),$G$4:$BQ$4,$G83:$BQ83))),"""")"),"")</f>
        <v/>
      </c>
      <c r="CU83" s="208" t="str">
        <f t="shared" si="15"/>
        <v/>
      </c>
      <c r="CV83" s="210">
        <f>IFERROR(__xludf.DUMMYFUNCTION("AVERAGE(ARRAYFORMULA(XLOOKUP(FILTER(INDIRECT(""'""&amp;CV$1&amp;""'!$C$4:$C$66""),INDIRECT(""'""&amp;CV$1&amp;""'!$D$4:$D$66"")=CV$2),$G$4:$BQ$4,$G83:$BQ83)))"),-0.6567744799999999)</f>
        <v>-0.65677448</v>
      </c>
      <c r="CW83" s="207" t="str">
        <f>IFERROR(__xludf.DUMMYFUNCTION("IF(OR(CV83&gt;$BS83+$BT83*$BT$2,CV83&lt;$BS83-$BT83*$BT$2),AVEDEV(ARRAYFORMULA(XLOOKUP(FILTER(INDIRECT(""'""&amp;CV$1&amp;""'!$C$4:$C$66""),INDIRECT(""'""&amp;CV$1&amp;""'!$D$4:$D$66"")=CV$2),$G$4:$BQ$4,$G83:$BQ83))),"""")"),"")</f>
        <v/>
      </c>
      <c r="CX83" s="208" t="str">
        <f t="shared" si="16"/>
        <v/>
      </c>
      <c r="CY83" s="209" t="s">
        <v>444</v>
      </c>
      <c r="CZ83" s="210">
        <f>IFERROR(__xludf.DUMMYFUNCTION("AVERAGE(ARRAYFORMULA(XLOOKUP(FILTER(INDIRECT(""'""&amp;CZ$1&amp;""'!$C$4:$C$66""),INDIRECT(""'""&amp;CZ$1&amp;""'!$D$4:$D$66"")=CZ$2),$G$4:$BQ$4,$G83:$BQ83)))"),-0.4010404807142857)</f>
        <v>-0.4010404807</v>
      </c>
      <c r="DA83" s="207" t="str">
        <f>IFERROR(__xludf.DUMMYFUNCTION("IF(OR(CZ83&gt;$BS83+$BT83*$BT$2,CZ83&lt;$BS83-$BT83*$BT$2),AVEDEV(ARRAYFORMULA(XLOOKUP(FILTER(INDIRECT(""'""&amp;CZ$1&amp;""'!$C$4:$C$66""),INDIRECT(""'""&amp;CZ$1&amp;""'!$D$4:$D$66"")=CZ$2),$G$4:$BQ$4,$G83:$BQ83))),"""")"),"")</f>
        <v/>
      </c>
      <c r="DB83" s="208" t="str">
        <f t="shared" si="17"/>
        <v/>
      </c>
      <c r="DC83" s="210">
        <f>IFERROR(__xludf.DUMMYFUNCTION("AVERAGE(ARRAYFORMULA(XLOOKUP(FILTER(INDIRECT(""'""&amp;DC$1&amp;""'!$C$4:$C$66""),INDIRECT(""'""&amp;DC$1&amp;""'!$D$4:$D$66"")=DC$2),$G$4:$BQ$4,$G83:$BQ83)))"),0.42242831000000003)</f>
        <v>0.42242831</v>
      </c>
      <c r="DD83" s="207" t="str">
        <f>IFERROR(__xludf.DUMMYFUNCTION("IF(OR(DC83&gt;$BS83+$BT83*$BT$2,DC83&lt;$BS83-$BT83*$BT$2),AVEDEV(ARRAYFORMULA(XLOOKUP(FILTER(INDIRECT(""'""&amp;DC$1&amp;""'!$C$4:$C$66""),INDIRECT(""'""&amp;DC$1&amp;""'!$D$4:$D$66"")=DC$2),$G$4:$BQ$4,$G83:$BQ83))),"""")"),"")</f>
        <v/>
      </c>
      <c r="DE83" s="208" t="str">
        <f t="shared" si="18"/>
        <v/>
      </c>
      <c r="DF83" s="210">
        <f>IFERROR(__xludf.DUMMYFUNCTION("AVERAGE(ARRAYFORMULA(XLOOKUP(FILTER(INDIRECT(""'""&amp;DF$1&amp;""'!$C$4:$C$66""),INDIRECT(""'""&amp;DF$1&amp;""'!$D$4:$D$66"")=DF$2),$G$4:$BQ$4,$G83:$BQ83)))"),-0.4079290981818182)</f>
        <v>-0.4079290982</v>
      </c>
      <c r="DG83" s="207" t="str">
        <f>IFERROR(__xludf.DUMMYFUNCTION("IF(OR(DF83&gt;$BS83+$BT83*$BT$2,DF83&lt;$BS83-$BT83*$BT$2),AVEDEV(ARRAYFORMULA(XLOOKUP(FILTER(INDIRECT(""'""&amp;DF$1&amp;""'!$C$4:$C$66""),INDIRECT(""'""&amp;DF$1&amp;""'!$D$4:$D$66"")=DF$2),$G$4:$BQ$4,$G83:$BQ83))),"""")"),"")</f>
        <v/>
      </c>
      <c r="DH83" s="208" t="str">
        <f t="shared" si="19"/>
        <v/>
      </c>
      <c r="DI83" s="210">
        <f>IFERROR(__xludf.DUMMYFUNCTION("AVERAGE(ARRAYFORMULA(XLOOKUP(FILTER(INDIRECT(""'""&amp;DI$1&amp;""'!$C$4:$C$66""),INDIRECT(""'""&amp;DI$1&amp;""'!$D$4:$D$66"")=DI$2),$G$4:$BQ$4,$G83:$BQ83)))"),0.28500338999999997)</f>
        <v>0.28500339</v>
      </c>
      <c r="DJ83" s="207" t="str">
        <f>IFERROR(__xludf.DUMMYFUNCTION("IF(OR(DI83&gt;$BS83+$BT83*$BT$2,DI83&lt;$BS83-$BT83*$BT$2),AVEDEV(ARRAYFORMULA(XLOOKUP(FILTER(INDIRECT(""'""&amp;DI$1&amp;""'!$C$4:$C$66""),INDIRECT(""'""&amp;DI$1&amp;""'!$D$4:$D$66"")=DI$2),$G$4:$BQ$4,$G83:$BQ83))),"""")"),"")</f>
        <v/>
      </c>
      <c r="DK83" s="208" t="str">
        <f t="shared" si="20"/>
        <v/>
      </c>
      <c r="DL83" s="210">
        <f>IFERROR(__xludf.DUMMYFUNCTION("AVERAGE(ARRAYFORMULA(XLOOKUP(FILTER(INDIRECT(""'""&amp;DL$1&amp;""'!$C$4:$C$66""),INDIRECT(""'""&amp;DL$1&amp;""'!$D$4:$D$66"")=DL$2),$G$4:$BQ$4,$G83:$BQ83)))"),0.48130675142857143)</f>
        <v>0.4813067514</v>
      </c>
      <c r="DM83" s="207" t="str">
        <f>IFERROR(__xludf.DUMMYFUNCTION("IF(OR(DL83&gt;$BS83+$BT83*$BT$2,DL83&lt;$BS83-$BT83*$BT$2),AVEDEV(ARRAYFORMULA(XLOOKUP(FILTER(INDIRECT(""'""&amp;DL$1&amp;""'!$C$4:$C$66""),INDIRECT(""'""&amp;DL$1&amp;""'!$D$4:$D$66"")=DL$2),$G$4:$BQ$4,$G83:$BQ83))),"""")"),"")</f>
        <v/>
      </c>
      <c r="DN83" s="208" t="str">
        <f t="shared" si="21"/>
        <v/>
      </c>
      <c r="DO83" s="209" t="s">
        <v>444</v>
      </c>
      <c r="DP83" s="210">
        <f>IFERROR(__xludf.DUMMYFUNCTION("AVERAGE(ARRAYFORMULA(XLOOKUP(FILTER(INDIRECT(""'""&amp;DP$1&amp;""'!$C$4:$C$66""),INDIRECT(""'""&amp;DP$1&amp;""'!$D$4:$D$66"")=DP$2),$G$4:$BQ$4,$G83:$BQ83)))"),0.044921966)</f>
        <v>0.044921966</v>
      </c>
      <c r="DQ83" s="207" t="str">
        <f>IFERROR(__xludf.DUMMYFUNCTION("IF(OR(DP83&gt;$BS83+$BT83*$BT$2,DP83&lt;$BS83-$BT83*$BT$2),AVEDEV(ARRAYFORMULA(XLOOKUP(FILTER(INDIRECT(""'""&amp;DP$1&amp;""'!$C$4:$C$66""),INDIRECT(""'""&amp;DP$1&amp;""'!$D$4:$D$66"")=DP$2),$G$4:$BQ$4,$G83:$BQ83))),"""")"),"")</f>
        <v/>
      </c>
      <c r="DR83" s="208" t="str">
        <f t="shared" si="22"/>
        <v/>
      </c>
      <c r="DS83" s="210">
        <f>IFERROR(__xludf.DUMMYFUNCTION("AVERAGE(ARRAYFORMULA(XLOOKUP(FILTER(INDIRECT(""'""&amp;DS$1&amp;""'!$C$4:$C$66""),INDIRECT(""'""&amp;DS$1&amp;""'!$D$4:$D$66"")=DS$2),$G$4:$BQ$4,$G83:$BQ83)))"),0.09238734111111113)</f>
        <v>0.09238734111</v>
      </c>
      <c r="DT83" s="207" t="str">
        <f>IFERROR(__xludf.DUMMYFUNCTION("IF(OR(DS83&gt;$BS83+$BT83*$BT$2,DS83&lt;$BS83-$BT83*$BT$2),AVEDEV(ARRAYFORMULA(XLOOKUP(FILTER(INDIRECT(""'""&amp;DS$1&amp;""'!$C$4:$C$66""),INDIRECT(""'""&amp;DS$1&amp;""'!$D$4:$D$66"")=DS$2),$G$4:$BQ$4,$G83:$BQ83))),"""")"),"")</f>
        <v/>
      </c>
      <c r="DU83" s="208" t="str">
        <f t="shared" si="23"/>
        <v/>
      </c>
      <c r="DV83" s="210">
        <f>IFERROR(__xludf.DUMMYFUNCTION("AVERAGE(ARRAYFORMULA(XLOOKUP(FILTER(INDIRECT(""'""&amp;DV$1&amp;""'!$C$4:$C$66""),INDIRECT(""'""&amp;DV$1&amp;""'!$D$4:$D$66"")=DV$2),$G$4:$BQ$4,$G83:$BQ83)))"),-0.7892445074999999)</f>
        <v>-0.7892445075</v>
      </c>
      <c r="DW83" s="207" t="str">
        <f>IFERROR(__xludf.DUMMYFUNCTION("IF(OR(DV83&gt;$BS83+$BT83*$BT$2,DV83&lt;$BS83-$BT83*$BT$2),AVEDEV(ARRAYFORMULA(XLOOKUP(FILTER(INDIRECT(""'""&amp;DV$1&amp;""'!$C$4:$C$66""),INDIRECT(""'""&amp;DV$1&amp;""'!$D$4:$D$66"")=DV$2),$G$4:$BQ$4,$G83:$BQ83))),"""")"),"")</f>
        <v/>
      </c>
      <c r="DX83" s="208" t="str">
        <f t="shared" si="24"/>
        <v/>
      </c>
      <c r="DY83" s="210">
        <f>IFERROR(__xludf.DUMMYFUNCTION("AVERAGE(ARRAYFORMULA(XLOOKUP(FILTER(INDIRECT(""'""&amp;DY$1&amp;""'!$C$4:$C$66""),INDIRECT(""'""&amp;DY$1&amp;""'!$D$4:$D$66"")=DY$2),$G$4:$BQ$4,$G83:$BQ83)))"),0.0026640566666666734)</f>
        <v>0.002664056667</v>
      </c>
      <c r="DZ83" s="207" t="str">
        <f>IFERROR(__xludf.DUMMYFUNCTION("IF(OR(DY83&gt;$BS83+$BT83*$BT$2,DY83&lt;$BS83-$BT83*$BT$2),AVEDEV(ARRAYFORMULA(XLOOKUP(FILTER(INDIRECT(""'""&amp;DY$1&amp;""'!$C$4:$C$66""),INDIRECT(""'""&amp;DY$1&amp;""'!$D$4:$D$66"")=DY$2),$G$4:$BQ$4,$G83:$BQ83))),"""")"),"")</f>
        <v/>
      </c>
      <c r="EA83" s="208" t="str">
        <f t="shared" si="25"/>
        <v/>
      </c>
      <c r="EB83" s="191"/>
    </row>
    <row r="84" outlineLevel="1">
      <c r="A84" s="2"/>
      <c r="B84" s="204">
        <v>80.0</v>
      </c>
      <c r="C84" s="204" t="s">
        <v>507</v>
      </c>
      <c r="D84" s="204" t="s">
        <v>525</v>
      </c>
      <c r="E84" s="205" t="b">
        <f>VLOOKUP(D84,'Feature Set List'!A80:C246,2,0)</f>
        <v>1</v>
      </c>
      <c r="F84" s="205" t="b">
        <f>VLOOKUP(D84,'Feature Set List'!A80:C246,3,0)</f>
        <v>1</v>
      </c>
      <c r="G84" s="205">
        <v>0.24534005</v>
      </c>
      <c r="H84" s="205">
        <v>0.302267</v>
      </c>
      <c r="I84" s="205">
        <v>5.41259446</v>
      </c>
      <c r="J84" s="205">
        <v>0.86448363</v>
      </c>
      <c r="K84" s="205">
        <v>-0.0040302</v>
      </c>
      <c r="L84" s="205">
        <v>-0.4403023</v>
      </c>
      <c r="M84" s="205">
        <v>-0.4277078</v>
      </c>
      <c r="N84" s="205">
        <v>-0.5596977</v>
      </c>
      <c r="O84" s="205">
        <v>-0.1309824</v>
      </c>
      <c r="P84" s="205">
        <v>0.45088161</v>
      </c>
      <c r="Q84" s="205">
        <v>0.74609572</v>
      </c>
      <c r="R84" s="205">
        <v>-0.7949622</v>
      </c>
      <c r="S84" s="205">
        <v>-0.1380353</v>
      </c>
      <c r="T84" s="205">
        <v>0.04735516</v>
      </c>
      <c r="U84" s="205">
        <v>-0.1329975</v>
      </c>
      <c r="V84" s="205">
        <v>0.51133501</v>
      </c>
      <c r="W84" s="205">
        <v>-0.2483627</v>
      </c>
      <c r="X84" s="205">
        <v>-0.9395466</v>
      </c>
      <c r="Y84" s="205">
        <v>-0.9088161</v>
      </c>
      <c r="Z84" s="205">
        <v>-0.590932</v>
      </c>
      <c r="AA84" s="205">
        <v>-0.8926952</v>
      </c>
      <c r="AB84" s="205">
        <v>-1.3133501</v>
      </c>
      <c r="AC84" s="205">
        <v>0.13450882</v>
      </c>
      <c r="AD84" s="205">
        <v>-0.6498741</v>
      </c>
      <c r="AE84" s="205">
        <v>-0.9435768</v>
      </c>
      <c r="AF84" s="205">
        <v>0.44030227</v>
      </c>
      <c r="AG84" s="205">
        <v>0.37229219</v>
      </c>
      <c r="AH84" s="205">
        <v>-0.5491184</v>
      </c>
      <c r="AI84" s="205">
        <v>0.59949622</v>
      </c>
      <c r="AJ84" s="205">
        <v>-1.8359194</v>
      </c>
      <c r="AK84" s="205">
        <v>0.34206549</v>
      </c>
      <c r="AL84" s="205">
        <v>0.1743073</v>
      </c>
      <c r="AM84" s="205">
        <v>0.28866499</v>
      </c>
      <c r="AN84" s="205">
        <v>-0.8352645</v>
      </c>
      <c r="AO84" s="205">
        <v>0.0</v>
      </c>
      <c r="AP84" s="205">
        <v>-1.2629723</v>
      </c>
      <c r="AQ84" s="205">
        <v>0.76171285</v>
      </c>
      <c r="AR84" s="205">
        <v>1.05390428</v>
      </c>
      <c r="AS84" s="205">
        <v>1.83375315</v>
      </c>
      <c r="AT84" s="205">
        <v>-0.2483627</v>
      </c>
      <c r="AU84" s="205">
        <v>-0.8584383</v>
      </c>
      <c r="AV84" s="205">
        <v>0.14911839</v>
      </c>
      <c r="AW84" s="205">
        <v>0.22770781</v>
      </c>
      <c r="AX84" s="205">
        <v>-1.2453401</v>
      </c>
      <c r="AY84" s="205">
        <v>-0.4161209</v>
      </c>
      <c r="AZ84" s="205">
        <v>0.36523929</v>
      </c>
      <c r="BA84" s="205">
        <v>1.18740554</v>
      </c>
      <c r="BB84" s="205">
        <v>1.35214106</v>
      </c>
      <c r="BC84" s="205">
        <v>0.28866499</v>
      </c>
      <c r="BD84" s="205">
        <v>-0.3667506</v>
      </c>
      <c r="BE84" s="205">
        <v>-0.7360202</v>
      </c>
      <c r="BF84" s="205">
        <v>1.67002519</v>
      </c>
      <c r="BG84" s="205">
        <v>0.41662469</v>
      </c>
      <c r="BH84" s="205">
        <v>-0.1471033</v>
      </c>
      <c r="BI84" s="205">
        <v>-0.3047859</v>
      </c>
      <c r="BJ84" s="205">
        <v>0.6836272</v>
      </c>
      <c r="BK84" s="205">
        <v>0.62720403</v>
      </c>
      <c r="BL84" s="205">
        <v>-0.4176322</v>
      </c>
      <c r="BM84" s="205">
        <v>0.90478589</v>
      </c>
      <c r="BN84" s="205">
        <v>0.35415617</v>
      </c>
      <c r="BO84" s="205">
        <v>1.05037783</v>
      </c>
      <c r="BP84" s="205">
        <v>-1.3234257</v>
      </c>
      <c r="BQ84" s="205">
        <v>-0.520403</v>
      </c>
      <c r="BR84" s="206"/>
      <c r="BS84" s="207">
        <f t="shared" si="6"/>
        <v>0.05833193302</v>
      </c>
      <c r="BT84" s="207">
        <f t="shared" si="7"/>
        <v>0.7003531787</v>
      </c>
      <c r="BU84" s="206"/>
      <c r="BV84" s="207">
        <f>IFERROR(__xludf.DUMMYFUNCTION("AVERAGE(ARRAYFORMULA(XLOOKUP(FILTER(INDIRECT(""'""&amp;BV$1&amp;""'!$C$4:$C$66""),INDIRECT(""'""&amp;BV$1&amp;""'!$D$4:$D$66"")=BV$2),$G$4:$BQ$4,$G84:$BQ84)))"),-0.18431090571428574)</f>
        <v>-0.1843109057</v>
      </c>
      <c r="BW84" s="207" t="str">
        <f>IFERROR(__xludf.DUMMYFUNCTION("IF(OR(BV84&gt;$BS84+$BT84*$BT$2,BV84&lt;$BS84-$BT84*$BT$2),AVEDEV(ARRAYFORMULA(XLOOKUP(FILTER(INDIRECT(""'""&amp;BV$1&amp;""'!$C$4:$C$66""),INDIRECT(""'""&amp;BV$1&amp;""'!$D$4:$D$66"")=BV$2),$G$4:$BQ$4,$G84:$BQ84))),"""")"),"")</f>
        <v/>
      </c>
      <c r="BX84" s="208" t="str">
        <f t="shared" si="8"/>
        <v/>
      </c>
      <c r="BY84" s="207">
        <f>IFERROR(__xludf.DUMMYFUNCTION("AVERAGE(ARRAYFORMULA(XLOOKUP(FILTER(INDIRECT(""'""&amp;BY$1&amp;""'!$C$4:$C$66""),INDIRECT(""'""&amp;BY$1&amp;""'!$D$4:$D$66"")=BY$2),$G$4:$BQ$4,$G84:$BQ84)))"),-0.01996281785714285)</f>
        <v>-0.01996281786</v>
      </c>
      <c r="BZ84" s="207" t="str">
        <f>IFERROR(__xludf.DUMMYFUNCTION("IF(OR(BY84&gt;$BS84+$BT84*$BT$2,BY84&lt;$BS84-$BT84*$BT$2),AVEDEV(ARRAYFORMULA(XLOOKUP(FILTER(INDIRECT(""'""&amp;BY$1&amp;""'!$C$4:$C$66""),INDIRECT(""'""&amp;BY$1&amp;""'!$D$4:$D$66"")=BY$2),$G$4:$BQ$4,$G84:$BQ84))),"""")"),"")</f>
        <v/>
      </c>
      <c r="CA84" s="208" t="str">
        <f t="shared" si="9"/>
        <v/>
      </c>
      <c r="CB84" s="207">
        <f>IFERROR(__xludf.DUMMYFUNCTION("AVERAGE(ARRAYFORMULA(XLOOKUP(FILTER(INDIRECT(""'""&amp;CB$1&amp;""'!$C$4:$C$66""),INDIRECT(""'""&amp;CB$1&amp;""'!$D$4:$D$66"")=CB$2),$G$4:$BQ$4,$G84:$BQ84)))"),0.14692008272727275)</f>
        <v>0.1469200827</v>
      </c>
      <c r="CC84" s="207" t="str">
        <f>IFERROR(__xludf.DUMMYFUNCTION("IF(OR(CB84&gt;$BS84+$BT84*$BT$2,CB84&lt;$BS84-$BT84*$BT$2),AVEDEV(ARRAYFORMULA(XLOOKUP(FILTER(INDIRECT(""'""&amp;CB$1&amp;""'!$C$4:$C$66""),INDIRECT(""'""&amp;CB$1&amp;""'!$D$4:$D$66"")=CB$2),$G$4:$BQ$4,$G84:$BQ84))),"""")"),"")</f>
        <v/>
      </c>
      <c r="CD84" s="208" t="str">
        <f t="shared" si="10"/>
        <v/>
      </c>
      <c r="CE84" s="209" t="s">
        <v>444</v>
      </c>
      <c r="CF84" s="207">
        <f>IFERROR(__xludf.DUMMYFUNCTION("AVERAGE(ARRAYFORMULA(XLOOKUP(FILTER(INDIRECT(""'""&amp;CF$1&amp;""'!$C$4:$C$66""),INDIRECT(""'""&amp;CF$1&amp;""'!$D$4:$D$66"")=CF$2),$G$4:$BQ$4,$G84:$BQ84)))"),0.24074307812500004)</f>
        <v>0.2407430781</v>
      </c>
      <c r="CG84" s="207" t="str">
        <f>IFERROR(__xludf.DUMMYFUNCTION("IF(OR(CF84&gt;$BS84+$BT84*$BT$2,CF84&lt;$BS84-$BT84*$BT$2),AVEDEV(ARRAYFORMULA(XLOOKUP(FILTER(INDIRECT(""'""&amp;CF$1&amp;""'!$C$4:$C$66""),INDIRECT(""'""&amp;CF$1&amp;""'!$D$4:$D$66"")=CF$2),$G$4:$BQ$4,$G84:$BQ84))),"""")"),"")</f>
        <v/>
      </c>
      <c r="CH84" s="208" t="str">
        <f t="shared" si="11"/>
        <v/>
      </c>
      <c r="CI84" s="207">
        <f>IFERROR(__xludf.DUMMYFUNCTION("AVERAGE(ARRAYFORMULA(XLOOKUP(FILTER(INDIRECT(""'""&amp;CI$1&amp;""'!$C$4:$C$66""),INDIRECT(""'""&amp;CI$1&amp;""'!$D$4:$D$66"")=CI$2),$G$4:$BQ$4,$G84:$BQ84)))"),-0.28878362354838716)</f>
        <v>-0.2887836235</v>
      </c>
      <c r="CJ84" s="207" t="str">
        <f>IFERROR(__xludf.DUMMYFUNCTION("IF(OR(CI84&gt;$BS84+$BT84*$BT$2,CI84&lt;$BS84-$BT84*$BT$2),AVEDEV(ARRAYFORMULA(XLOOKUP(FILTER(INDIRECT(""'""&amp;CI$1&amp;""'!$C$4:$C$66""),INDIRECT(""'""&amp;CI$1&amp;""'!$D$4:$D$66"")=CI$2),$G$4:$BQ$4,$G84:$BQ84))),"""")"),"")</f>
        <v/>
      </c>
      <c r="CK84" s="208" t="str">
        <f t="shared" si="12"/>
        <v/>
      </c>
      <c r="CL84" s="207">
        <f>IFERROR(__xludf.DUMMYFUNCTION("AVERAGE(ARRAYFORMULA(XLOOKUP(FILTER(INDIRECT(""'""&amp;CL$1&amp;""'!$C$4:$C$66""),INDIRECT(""'""&amp;CL$1&amp;""'!$D$4:$D$66"")=CL$2),$G$4:$BQ$4,$G84:$BQ84)))"),0.7872040299999999)</f>
        <v>0.78720403</v>
      </c>
      <c r="CM84" s="207">
        <f>IFERROR(__xludf.DUMMYFUNCTION("IF(OR(CL84&gt;$BS84+$BT84*$BT$2,CL84&lt;$BS84-$BT84*$BT$2),AVEDEV(ARRAYFORMULA(XLOOKUP(FILTER(INDIRECT(""'""&amp;CL$1&amp;""'!$C$4:$C$66""),INDIRECT(""'""&amp;CL$1&amp;""'!$D$4:$D$66"")=CL$2),$G$4:$BQ$4,$G84:$BQ84))),"""")"),0.578700252)</f>
        <v>0.578700252</v>
      </c>
      <c r="CN84" s="208">
        <f t="shared" si="13"/>
        <v>0.02851891827</v>
      </c>
      <c r="CO84" s="209" t="s">
        <v>444</v>
      </c>
      <c r="CP84" s="210">
        <f>IFERROR(__xludf.DUMMYFUNCTION("AVERAGE(ARRAYFORMULA(XLOOKUP(FILTER(INDIRECT(""'""&amp;CP$1&amp;""'!$C$4:$C$66""),INDIRECT(""'""&amp;CP$1&amp;""'!$D$4:$D$66"")=CP$2),$G$4:$BQ$4,$G84:$BQ84)))"),-0.23580184333333334)</f>
        <v>-0.2358018433</v>
      </c>
      <c r="CQ84" s="207" t="str">
        <f>IFERROR(__xludf.DUMMYFUNCTION("IF(OR(CP84&gt;$BS84+$BT84*$BT$2,CP84&lt;$BS84-$BT84*$BT$2),AVEDEV(ARRAYFORMULA(XLOOKUP(FILTER(INDIRECT(""'""&amp;CP$1&amp;""'!$C$4:$C$66""),INDIRECT(""'""&amp;CP$1&amp;""'!$D$4:$D$66"")=CP$2),$G$4:$BQ$4,$G84:$BQ84))),"""")"),"")</f>
        <v/>
      </c>
      <c r="CR84" s="208" t="str">
        <f t="shared" si="14"/>
        <v/>
      </c>
      <c r="CS84" s="210">
        <f>IFERROR(__xludf.DUMMYFUNCTION("AVERAGE(ARRAYFORMULA(XLOOKUP(FILTER(INDIRECT(""'""&amp;CS$1&amp;""'!$C$4:$C$66""),INDIRECT(""'""&amp;CS$1&amp;""'!$D$4:$D$66"")=CS$2),$G$4:$BQ$4,$G84:$BQ84)))"),-0.012662925128205122)</f>
        <v>-0.01266292513</v>
      </c>
      <c r="CT84" s="207" t="str">
        <f>IFERROR(__xludf.DUMMYFUNCTION("IF(OR(CS84&gt;$BS84+$BT84*$BT$2,CS84&lt;$BS84-$BT84*$BT$2),AVEDEV(ARRAYFORMULA(XLOOKUP(FILTER(INDIRECT(""'""&amp;CS$1&amp;""'!$C$4:$C$66""),INDIRECT(""'""&amp;CS$1&amp;""'!$D$4:$D$66"")=CS$2),$G$4:$BQ$4,$G84:$BQ84))),"""")"),"")</f>
        <v/>
      </c>
      <c r="CU84" s="208" t="str">
        <f t="shared" si="15"/>
        <v/>
      </c>
      <c r="CV84" s="210">
        <f>IFERROR(__xludf.DUMMYFUNCTION("AVERAGE(ARRAYFORMULA(XLOOKUP(FILTER(INDIRECT(""'""&amp;CV$1&amp;""'!$C$4:$C$66""),INDIRECT(""'""&amp;CV$1&amp;""'!$D$4:$D$66"")=CV$2),$G$4:$BQ$4,$G84:$BQ84)))"),0.7872040299999999)</f>
        <v>0.78720403</v>
      </c>
      <c r="CW84" s="207">
        <f>IFERROR(__xludf.DUMMYFUNCTION("IF(OR(CV84&gt;$BS84+$BT84*$BT$2,CV84&lt;$BS84-$BT84*$BT$2),AVEDEV(ARRAYFORMULA(XLOOKUP(FILTER(INDIRECT(""'""&amp;CV$1&amp;""'!$C$4:$C$66""),INDIRECT(""'""&amp;CV$1&amp;""'!$D$4:$D$66"")=CV$2),$G$4:$BQ$4,$G84:$BQ84))),"""")"),0.578700252)</f>
        <v>0.578700252</v>
      </c>
      <c r="CX84" s="208">
        <f t="shared" si="16"/>
        <v>0.02851891827</v>
      </c>
      <c r="CY84" s="209" t="s">
        <v>444</v>
      </c>
      <c r="CZ84" s="210">
        <f>IFERROR(__xludf.DUMMYFUNCTION("AVERAGE(ARRAYFORMULA(XLOOKUP(FILTER(INDIRECT(""'""&amp;CZ$1&amp;""'!$C$4:$C$66""),INDIRECT(""'""&amp;CZ$1&amp;""'!$D$4:$D$66"")=CZ$2),$G$4:$BQ$4,$G84:$BQ84)))"),0.2633321371428572)</f>
        <v>0.2633321371</v>
      </c>
      <c r="DA84" s="207" t="str">
        <f>IFERROR(__xludf.DUMMYFUNCTION("IF(OR(CZ84&gt;$BS84+$BT84*$BT$2,CZ84&lt;$BS84-$BT84*$BT$2),AVEDEV(ARRAYFORMULA(XLOOKUP(FILTER(INDIRECT(""'""&amp;CZ$1&amp;""'!$C$4:$C$66""),INDIRECT(""'""&amp;CZ$1&amp;""'!$D$4:$D$66"")=CZ$2),$G$4:$BQ$4,$G84:$BQ84))),"""")"),"")</f>
        <v/>
      </c>
      <c r="DB84" s="208" t="str">
        <f t="shared" si="17"/>
        <v/>
      </c>
      <c r="DC84" s="210">
        <f>IFERROR(__xludf.DUMMYFUNCTION("AVERAGE(ARRAYFORMULA(XLOOKUP(FILTER(INDIRECT(""'""&amp;DC$1&amp;""'!$C$4:$C$66""),INDIRECT(""'""&amp;DC$1&amp;""'!$D$4:$D$66"")=DC$2),$G$4:$BQ$4,$G84:$BQ84)))"),0.0384550811111111)</f>
        <v>0.03845508111</v>
      </c>
      <c r="DD84" s="207" t="str">
        <f>IFERROR(__xludf.DUMMYFUNCTION("IF(OR(DC84&gt;$BS84+$BT84*$BT$2,DC84&lt;$BS84-$BT84*$BT$2),AVEDEV(ARRAYFORMULA(XLOOKUP(FILTER(INDIRECT(""'""&amp;DC$1&amp;""'!$C$4:$C$66""),INDIRECT(""'""&amp;DC$1&amp;""'!$D$4:$D$66"")=DC$2),$G$4:$BQ$4,$G84:$BQ84))),"""")"),"")</f>
        <v/>
      </c>
      <c r="DE84" s="208" t="str">
        <f t="shared" si="18"/>
        <v/>
      </c>
      <c r="DF84" s="210">
        <f>IFERROR(__xludf.DUMMYFUNCTION("AVERAGE(ARRAYFORMULA(XLOOKUP(FILTER(INDIRECT(""'""&amp;DF$1&amp;""'!$C$4:$C$66""),INDIRECT(""'""&amp;DF$1&amp;""'!$D$4:$D$66"")=DF$2),$G$4:$BQ$4,$G84:$BQ84)))"),-0.06700251727272728)</f>
        <v>-0.06700251727</v>
      </c>
      <c r="DG84" s="207" t="str">
        <f>IFERROR(__xludf.DUMMYFUNCTION("IF(OR(DF84&gt;$BS84+$BT84*$BT$2,DF84&lt;$BS84-$BT84*$BT$2),AVEDEV(ARRAYFORMULA(XLOOKUP(FILTER(INDIRECT(""'""&amp;DF$1&amp;""'!$C$4:$C$66""),INDIRECT(""'""&amp;DF$1&amp;""'!$D$4:$D$66"")=DF$2),$G$4:$BQ$4,$G84:$BQ84))),"""")"),"")</f>
        <v/>
      </c>
      <c r="DH84" s="208" t="str">
        <f t="shared" si="19"/>
        <v/>
      </c>
      <c r="DI84" s="210">
        <f>IFERROR(__xludf.DUMMYFUNCTION("AVERAGE(ARRAYFORMULA(XLOOKUP(FILTER(INDIRECT(""'""&amp;DI$1&amp;""'!$C$4:$C$66""),INDIRECT(""'""&amp;DI$1&amp;""'!$D$4:$D$66"")=DI$2),$G$4:$BQ$4,$G84:$BQ84)))"),-0.39848870000000003)</f>
        <v>-0.3984887</v>
      </c>
      <c r="DJ84" s="207" t="str">
        <f>IFERROR(__xludf.DUMMYFUNCTION("IF(OR(DI84&gt;$BS84+$BT84*$BT$2,DI84&lt;$BS84-$BT84*$BT$2),AVEDEV(ARRAYFORMULA(XLOOKUP(FILTER(INDIRECT(""'""&amp;DI$1&amp;""'!$C$4:$C$66""),INDIRECT(""'""&amp;DI$1&amp;""'!$D$4:$D$66"")=DI$2),$G$4:$BQ$4,$G84:$BQ84))),"""")"),"")</f>
        <v/>
      </c>
      <c r="DK84" s="208" t="str">
        <f t="shared" si="20"/>
        <v/>
      </c>
      <c r="DL84" s="210">
        <f>IFERROR(__xludf.DUMMYFUNCTION("AVERAGE(ARRAYFORMULA(XLOOKUP(FILTER(INDIRECT(""'""&amp;DL$1&amp;""'!$C$4:$C$66""),INDIRECT(""'""&amp;DL$1&amp;""'!$D$4:$D$66"")=DL$2),$G$4:$BQ$4,$G84:$BQ84)))"),-0.31825477428571425)</f>
        <v>-0.3182547743</v>
      </c>
      <c r="DM84" s="207" t="str">
        <f>IFERROR(__xludf.DUMMYFUNCTION("IF(OR(DL84&gt;$BS84+$BT84*$BT$2,DL84&lt;$BS84-$BT84*$BT$2),AVEDEV(ARRAYFORMULA(XLOOKUP(FILTER(INDIRECT(""'""&amp;DL$1&amp;""'!$C$4:$C$66""),INDIRECT(""'""&amp;DL$1&amp;""'!$D$4:$D$66"")=DL$2),$G$4:$BQ$4,$G84:$BQ84))),"""")"),"")</f>
        <v/>
      </c>
      <c r="DN84" s="208" t="str">
        <f t="shared" si="21"/>
        <v/>
      </c>
      <c r="DO84" s="209" t="s">
        <v>444</v>
      </c>
      <c r="DP84" s="210">
        <f>IFERROR(__xludf.DUMMYFUNCTION("AVERAGE(ARRAYFORMULA(XLOOKUP(FILTER(INDIRECT(""'""&amp;DP$1&amp;""'!$C$4:$C$66""),INDIRECT(""'""&amp;DP$1&amp;""'!$D$4:$D$66"")=DP$2),$G$4:$BQ$4,$G84:$BQ84)))"),-0.019680940333333334)</f>
        <v>-0.01968094033</v>
      </c>
      <c r="DQ84" s="207" t="str">
        <f>IFERROR(__xludf.DUMMYFUNCTION("IF(OR(DP84&gt;$BS84+$BT84*$BT$2,DP84&lt;$BS84-$BT84*$BT$2),AVEDEV(ARRAYFORMULA(XLOOKUP(FILTER(INDIRECT(""'""&amp;DP$1&amp;""'!$C$4:$C$66""),INDIRECT(""'""&amp;DP$1&amp;""'!$D$4:$D$66"")=DP$2),$G$4:$BQ$4,$G84:$BQ84))),"""")"),"")</f>
        <v/>
      </c>
      <c r="DR84" s="208" t="str">
        <f t="shared" si="22"/>
        <v/>
      </c>
      <c r="DS84" s="210">
        <f>IFERROR(__xludf.DUMMYFUNCTION("AVERAGE(ARRAYFORMULA(XLOOKUP(FILTER(INDIRECT(""'""&amp;DS$1&amp;""'!$C$4:$C$66""),INDIRECT(""'""&amp;DS$1&amp;""'!$D$4:$D$66"")=DS$2),$G$4:$BQ$4,$G84:$BQ84)))"),0.20761264888888892)</f>
        <v>0.2076126489</v>
      </c>
      <c r="DT84" s="207" t="str">
        <f>IFERROR(__xludf.DUMMYFUNCTION("IF(OR(DS84&gt;$BS84+$BT84*$BT$2,DS84&lt;$BS84-$BT84*$BT$2),AVEDEV(ARRAYFORMULA(XLOOKUP(FILTER(INDIRECT(""'""&amp;DS$1&amp;""'!$C$4:$C$66""),INDIRECT(""'""&amp;DS$1&amp;""'!$D$4:$D$66"")=DS$2),$G$4:$BQ$4,$G84:$BQ84))),"""")"),"")</f>
        <v/>
      </c>
      <c r="DU84" s="208" t="str">
        <f t="shared" si="23"/>
        <v/>
      </c>
      <c r="DV84" s="210">
        <f>IFERROR(__xludf.DUMMYFUNCTION("AVERAGE(ARRAYFORMULA(XLOOKUP(FILTER(INDIRECT(""'""&amp;DV$1&amp;""'!$C$4:$C$66""),INDIRECT(""'""&amp;DV$1&amp;""'!$D$4:$D$66"")=DV$2),$G$4:$BQ$4,$G84:$BQ84)))"),-0.49705920125)</f>
        <v>-0.4970592013</v>
      </c>
      <c r="DW84" s="207" t="str">
        <f>IFERROR(__xludf.DUMMYFUNCTION("IF(OR(DV84&gt;$BS84+$BT84*$BT$2,DV84&lt;$BS84-$BT84*$BT$2),AVEDEV(ARRAYFORMULA(XLOOKUP(FILTER(INDIRECT(""'""&amp;DV$1&amp;""'!$C$4:$C$66""),INDIRECT(""'""&amp;DV$1&amp;""'!$D$4:$D$66"")=DV$2),$G$4:$BQ$4,$G84:$BQ84))),"""")"),"")</f>
        <v/>
      </c>
      <c r="DX84" s="208" t="str">
        <f t="shared" si="24"/>
        <v/>
      </c>
      <c r="DY84" s="210">
        <f>IFERROR(__xludf.DUMMYFUNCTION("AVERAGE(ARRAYFORMULA(XLOOKUP(FILTER(INDIRECT(""'""&amp;DY$1&amp;""'!$C$4:$C$66""),INDIRECT(""'""&amp;DY$1&amp;""'!$D$4:$D$66"")=DY$2),$G$4:$BQ$4,$G84:$BQ84)))"),0.27657430222222223)</f>
        <v>0.2765743022</v>
      </c>
      <c r="DZ84" s="207" t="str">
        <f>IFERROR(__xludf.DUMMYFUNCTION("IF(OR(DY84&gt;$BS84+$BT84*$BT$2,DY84&lt;$BS84-$BT84*$BT$2),AVEDEV(ARRAYFORMULA(XLOOKUP(FILTER(INDIRECT(""'""&amp;DY$1&amp;""'!$C$4:$C$66""),INDIRECT(""'""&amp;DY$1&amp;""'!$D$4:$D$66"")=DY$2),$G$4:$BQ$4,$G84:$BQ84))),"""")"),"")</f>
        <v/>
      </c>
      <c r="EA84" s="208" t="str">
        <f t="shared" si="25"/>
        <v/>
      </c>
      <c r="EB84" s="191"/>
    </row>
    <row r="85" outlineLevel="1">
      <c r="A85" s="2"/>
      <c r="B85" s="204">
        <v>81.0</v>
      </c>
      <c r="C85" s="204" t="s">
        <v>507</v>
      </c>
      <c r="D85" s="204" t="s">
        <v>526</v>
      </c>
      <c r="E85" s="205" t="b">
        <f>VLOOKUP(D85,'Feature Set List'!A81:C246,2,0)</f>
        <v>1</v>
      </c>
      <c r="F85" s="205" t="b">
        <f>VLOOKUP(D85,'Feature Set List'!A81:C246,3,0)</f>
        <v>1</v>
      </c>
      <c r="G85" s="205">
        <v>-0.6052889</v>
      </c>
      <c r="H85" s="205">
        <v>0.54848188</v>
      </c>
      <c r="I85" s="205">
        <v>-1.8961802</v>
      </c>
      <c r="J85" s="205">
        <v>-0.0254652</v>
      </c>
      <c r="K85" s="205">
        <v>0.16650343</v>
      </c>
      <c r="L85" s="205">
        <v>0.47012733</v>
      </c>
      <c r="M85" s="205">
        <v>-0.8246817</v>
      </c>
      <c r="N85" s="205">
        <v>1.61998041</v>
      </c>
      <c r="O85" s="205">
        <v>-0.5621939</v>
      </c>
      <c r="P85" s="205">
        <v>-0.0568071</v>
      </c>
      <c r="Q85" s="205">
        <v>0.29382958</v>
      </c>
      <c r="R85" s="205">
        <v>0.07443683</v>
      </c>
      <c r="S85" s="205">
        <v>0.38785504</v>
      </c>
      <c r="T85" s="205">
        <v>0.20176298</v>
      </c>
      <c r="U85" s="205">
        <v>2.47796278</v>
      </c>
      <c r="V85" s="205">
        <v>0.22135162</v>
      </c>
      <c r="W85" s="205">
        <v>-0.3486778</v>
      </c>
      <c r="X85" s="205">
        <v>2.38393732</v>
      </c>
      <c r="Y85" s="205">
        <v>-0.6444662</v>
      </c>
      <c r="Z85" s="205">
        <v>0.36238981</v>
      </c>
      <c r="AA85" s="205">
        <v>1.82957884</v>
      </c>
      <c r="AB85" s="205">
        <v>0.31341822</v>
      </c>
      <c r="AC85" s="205">
        <v>0.59745348</v>
      </c>
      <c r="AD85" s="205">
        <v>-1.9059745</v>
      </c>
      <c r="AE85" s="205">
        <v>1.91185113</v>
      </c>
      <c r="AF85" s="205">
        <v>0.05093046</v>
      </c>
      <c r="AG85" s="205">
        <v>-0.8148874</v>
      </c>
      <c r="AH85" s="205">
        <v>0.55044074</v>
      </c>
      <c r="AI85" s="205">
        <v>-0.158668</v>
      </c>
      <c r="AJ85" s="205">
        <v>-1.6571988</v>
      </c>
      <c r="AK85" s="205">
        <v>-1.3437806</v>
      </c>
      <c r="AL85" s="205">
        <v>-0.7071499</v>
      </c>
      <c r="AM85" s="205">
        <v>0.24289912</v>
      </c>
      <c r="AN85" s="205">
        <v>-0.4838394</v>
      </c>
      <c r="AO85" s="205">
        <v>0.57590597</v>
      </c>
      <c r="AP85" s="205">
        <v>-0.1077375</v>
      </c>
      <c r="AQ85" s="205">
        <v>-0.6346719</v>
      </c>
      <c r="AR85" s="205">
        <v>-0.2350637</v>
      </c>
      <c r="AS85" s="205">
        <v>-0.0842311</v>
      </c>
      <c r="AT85" s="205">
        <v>0.0</v>
      </c>
      <c r="AU85" s="205">
        <v>-2.1429971</v>
      </c>
      <c r="AV85" s="205">
        <v>-0.5504407</v>
      </c>
      <c r="AW85" s="205">
        <v>0.64642507</v>
      </c>
      <c r="AX85" s="205">
        <v>0.33300686</v>
      </c>
      <c r="AY85" s="205">
        <v>0.34867777</v>
      </c>
      <c r="AZ85" s="205">
        <v>0.29382958</v>
      </c>
      <c r="BA85" s="205">
        <v>-0.1841332</v>
      </c>
      <c r="BB85" s="205">
        <v>2.59745348</v>
      </c>
      <c r="BC85" s="205">
        <v>-0.877571</v>
      </c>
      <c r="BD85" s="205">
        <v>-0.0803134</v>
      </c>
      <c r="BE85" s="205">
        <v>1.14789422</v>
      </c>
      <c r="BF85" s="205">
        <v>-0.3956905</v>
      </c>
      <c r="BG85" s="205">
        <v>-0.0803134</v>
      </c>
      <c r="BH85" s="205">
        <v>-1.5553379</v>
      </c>
      <c r="BI85" s="205">
        <v>0.41136141</v>
      </c>
      <c r="BJ85" s="205">
        <v>-0.6797258</v>
      </c>
      <c r="BK85" s="205">
        <v>0.24094025</v>
      </c>
      <c r="BL85" s="205">
        <v>5.01469148</v>
      </c>
      <c r="BM85" s="205">
        <v>0.65621939</v>
      </c>
      <c r="BN85" s="205">
        <v>0.49951028</v>
      </c>
      <c r="BO85" s="205">
        <v>-1.0950049</v>
      </c>
      <c r="BP85" s="205">
        <v>-0.3623898</v>
      </c>
      <c r="BQ85" s="205">
        <v>-0.5563173</v>
      </c>
      <c r="BR85" s="206"/>
      <c r="BS85" s="207">
        <f t="shared" si="6"/>
        <v>0.09228425333</v>
      </c>
      <c r="BT85" s="207">
        <f t="shared" si="7"/>
        <v>0.7831586071</v>
      </c>
      <c r="BU85" s="206"/>
      <c r="BV85" s="207">
        <f>IFERROR(__xludf.DUMMYFUNCTION("AVERAGE(ARRAYFORMULA(XLOOKUP(FILTER(INDIRECT(""'""&amp;BV$1&amp;""'!$C$4:$C$66""),INDIRECT(""'""&amp;BV$1&amp;""'!$D$4:$D$66"")=BV$2),$G$4:$BQ$4,$G85:$BQ85)))"),2.078074717142857)</f>
        <v>2.078074717</v>
      </c>
      <c r="BW85" s="207">
        <f>IFERROR(__xludf.DUMMYFUNCTION("IF(OR(BV85&gt;$BS85+$BT85*$BT$2,BV85&lt;$BS85-$BT85*$BT$2),AVEDEV(ARRAYFORMULA(XLOOKUP(FILTER(INDIRECT(""'""&amp;BV$1&amp;""'!$C$4:$C$66""),INDIRECT(""'""&amp;BV$1&amp;""'!$D$4:$D$66"")=BV$2),$G$4:$BQ$4,$G85:$BQ85))),"""")"),1.1890703404081633)</f>
        <v>1.18907034</v>
      </c>
      <c r="BX85" s="208">
        <f t="shared" si="8"/>
        <v>1.202631857</v>
      </c>
      <c r="BY85" s="207">
        <f>IFERROR(__xludf.DUMMYFUNCTION("AVERAGE(ARRAYFORMULA(XLOOKUP(FILTER(INDIRECT(""'""&amp;BY$1&amp;""'!$C$4:$C$66""),INDIRECT(""'""&amp;BY$1&amp;""'!$D$4:$D$66"")=BY$2),$G$4:$BQ$4,$G85:$BQ85)))"),-0.08623664761904763)</f>
        <v>-0.08623664762</v>
      </c>
      <c r="BZ85" s="207" t="str">
        <f>IFERROR(__xludf.DUMMYFUNCTION("IF(OR(BY85&gt;$BS85+$BT85*$BT$2,BY85&lt;$BS85-$BT85*$BT$2),AVEDEV(ARRAYFORMULA(XLOOKUP(FILTER(INDIRECT(""'""&amp;BY$1&amp;""'!$C$4:$C$66""),INDIRECT(""'""&amp;BY$1&amp;""'!$D$4:$D$66"")=BY$2),$G$4:$BQ$4,$G85:$BQ85))),"""")"),"")</f>
        <v/>
      </c>
      <c r="CA85" s="208" t="str">
        <f t="shared" si="9"/>
        <v/>
      </c>
      <c r="CB85" s="207">
        <f>IFERROR(__xludf.DUMMYFUNCTION("AVERAGE(ARRAYFORMULA(XLOOKUP(FILTER(INDIRECT(""'""&amp;CB$1&amp;""'!$C$4:$C$66""),INDIRECT(""'""&amp;CB$1&amp;""'!$D$4:$D$66"")=CB$2),$G$4:$BQ$4,$G85:$BQ85)))"),-0.09010774181818182)</f>
        <v>-0.09010774182</v>
      </c>
      <c r="CC85" s="207" t="str">
        <f>IFERROR(__xludf.DUMMYFUNCTION("IF(OR(CB85&gt;$BS85+$BT85*$BT$2,CB85&lt;$BS85-$BT85*$BT$2),AVEDEV(ARRAYFORMULA(XLOOKUP(FILTER(INDIRECT(""'""&amp;CB$1&amp;""'!$C$4:$C$66""),INDIRECT(""'""&amp;CB$1&amp;""'!$D$4:$D$66"")=CB$2),$G$4:$BQ$4,$G85:$BQ85))),"""")"),"")</f>
        <v/>
      </c>
      <c r="CD85" s="208" t="str">
        <f t="shared" si="10"/>
        <v/>
      </c>
      <c r="CE85" s="209" t="s">
        <v>444</v>
      </c>
      <c r="CF85" s="207">
        <f>IFERROR(__xludf.DUMMYFUNCTION("AVERAGE(ARRAYFORMULA(XLOOKUP(FILTER(INDIRECT(""'""&amp;CF$1&amp;""'!$C$4:$C$66""),INDIRECT(""'""&amp;CF$1&amp;""'!$D$4:$D$66"")=CF$2),$G$4:$BQ$4,$G85:$BQ85)))"),0.41931929375)</f>
        <v>0.4193192938</v>
      </c>
      <c r="CG85" s="207" t="str">
        <f>IFERROR(__xludf.DUMMYFUNCTION("IF(OR(CF85&gt;$BS85+$BT85*$BT$2,CF85&lt;$BS85-$BT85*$BT$2),AVEDEV(ARRAYFORMULA(XLOOKUP(FILTER(INDIRECT(""'""&amp;CF$1&amp;""'!$C$4:$C$66""),INDIRECT(""'""&amp;CF$1&amp;""'!$D$4:$D$66"")=CF$2),$G$4:$BQ$4,$G85:$BQ85))),"""")"),"")</f>
        <v/>
      </c>
      <c r="CH85" s="208" t="str">
        <f t="shared" si="11"/>
        <v/>
      </c>
      <c r="CI85" s="207">
        <f>IFERROR(__xludf.DUMMYFUNCTION("AVERAGE(ARRAYFORMULA(XLOOKUP(FILTER(INDIRECT(""'""&amp;CI$1&amp;""'!$C$4:$C$66""),INDIRECT(""'""&amp;CI$1&amp;""'!$D$4:$D$66"")=CI$2),$G$4:$BQ$4,$G85:$BQ85)))"),-0.1161416690322581)</f>
        <v>-0.116141669</v>
      </c>
      <c r="CJ85" s="207" t="str">
        <f>IFERROR(__xludf.DUMMYFUNCTION("IF(OR(CI85&gt;$BS85+$BT85*$BT$2,CI85&lt;$BS85-$BT85*$BT$2),AVEDEV(ARRAYFORMULA(XLOOKUP(FILTER(INDIRECT(""'""&amp;CI$1&amp;""'!$C$4:$C$66""),INDIRECT(""'""&amp;CI$1&amp;""'!$D$4:$D$66"")=CI$2),$G$4:$BQ$4,$G85:$BQ85))),"""")"),"")</f>
        <v/>
      </c>
      <c r="CK85" s="208" t="str">
        <f t="shared" si="12"/>
        <v/>
      </c>
      <c r="CL85" s="207">
        <f>IFERROR(__xludf.DUMMYFUNCTION("AVERAGE(ARRAYFORMULA(XLOOKUP(FILTER(INDIRECT(""'""&amp;CL$1&amp;""'!$C$4:$C$66""),INDIRECT(""'""&amp;CL$1&amp;""'!$D$4:$D$66"")=CL$2),$G$4:$BQ$4,$G85:$BQ85)))"),-0.040744364)</f>
        <v>-0.040744364</v>
      </c>
      <c r="CM85" s="207" t="str">
        <f>IFERROR(__xludf.DUMMYFUNCTION("IF(OR(CL85&gt;$BS85+$BT85*$BT$2,CL85&lt;$BS85-$BT85*$BT$2),AVEDEV(ARRAYFORMULA(XLOOKUP(FILTER(INDIRECT(""'""&amp;CL$1&amp;""'!$C$4:$C$66""),INDIRECT(""'""&amp;CL$1&amp;""'!$D$4:$D$66"")=CL$2),$G$4:$BQ$4,$G85:$BQ85))),"""")"),"")</f>
        <v/>
      </c>
      <c r="CN85" s="208" t="str">
        <f t="shared" si="13"/>
        <v/>
      </c>
      <c r="CO85" s="209" t="s">
        <v>444</v>
      </c>
      <c r="CP85" s="210">
        <f>IFERROR(__xludf.DUMMYFUNCTION("AVERAGE(ARRAYFORMULA(XLOOKUP(FILTER(INDIRECT(""'""&amp;CP$1&amp;""'!$C$4:$C$66""),INDIRECT(""'""&amp;CP$1&amp;""'!$D$4:$D$66"")=CP$2),$G$4:$BQ$4,$G85:$BQ85)))"),0.9160953340000001)</f>
        <v>0.916095334</v>
      </c>
      <c r="CQ85" s="207">
        <f>IFERROR(__xludf.DUMMYFUNCTION("IF(OR(CP85&gt;$BS85+$BT85*$BT$2,CP85&lt;$BS85-$BT85*$BT$2),AVEDEV(ARRAYFORMULA(XLOOKUP(FILTER(INDIRECT(""'""&amp;CP$1&amp;""'!$C$4:$C$66""),INDIRECT(""'""&amp;CP$1&amp;""'!$D$4:$D$66"")=CP$2),$G$4:$BQ$4,$G85:$BQ85))),"""")"),1.0074654456)</f>
        <v>1.007465446</v>
      </c>
      <c r="CR85" s="208">
        <f t="shared" si="14"/>
        <v>0.04065247358</v>
      </c>
      <c r="CS85" s="210">
        <f>IFERROR(__xludf.DUMMYFUNCTION("AVERAGE(ARRAYFORMULA(XLOOKUP(FILTER(INDIRECT(""'""&amp;CS$1&amp;""'!$C$4:$C$66""),INDIRECT(""'""&amp;CS$1&amp;""'!$D$4:$D$66"")=CS$2),$G$4:$BQ$4,$G85:$BQ85)))"),-0.22100002589743595)</f>
        <v>-0.2210000259</v>
      </c>
      <c r="CT85" s="207" t="str">
        <f>IFERROR(__xludf.DUMMYFUNCTION("IF(OR(CS85&gt;$BS85+$BT85*$BT$2,CS85&lt;$BS85-$BT85*$BT$2),AVEDEV(ARRAYFORMULA(XLOOKUP(FILTER(INDIRECT(""'""&amp;CS$1&amp;""'!$C$4:$C$66""),INDIRECT(""'""&amp;CS$1&amp;""'!$D$4:$D$66"")=CS$2),$G$4:$BQ$4,$G85:$BQ85))),"""")"),"")</f>
        <v/>
      </c>
      <c r="CU85" s="208" t="str">
        <f t="shared" si="15"/>
        <v/>
      </c>
      <c r="CV85" s="210">
        <f>IFERROR(__xludf.DUMMYFUNCTION("AVERAGE(ARRAYFORMULA(XLOOKUP(FILTER(INDIRECT(""'""&amp;CV$1&amp;""'!$C$4:$C$66""),INDIRECT(""'""&amp;CV$1&amp;""'!$D$4:$D$66"")=CV$2),$G$4:$BQ$4,$G85:$BQ85)))"),-0.040744364)</f>
        <v>-0.040744364</v>
      </c>
      <c r="CW85" s="207" t="str">
        <f>IFERROR(__xludf.DUMMYFUNCTION("IF(OR(CV85&gt;$BS85+$BT85*$BT$2,CV85&lt;$BS85-$BT85*$BT$2),AVEDEV(ARRAYFORMULA(XLOOKUP(FILTER(INDIRECT(""'""&amp;CV$1&amp;""'!$C$4:$C$66""),INDIRECT(""'""&amp;CV$1&amp;""'!$D$4:$D$66"")=CV$2),$G$4:$BQ$4,$G85:$BQ85))),"""")"),"")</f>
        <v/>
      </c>
      <c r="CX85" s="208" t="str">
        <f t="shared" si="16"/>
        <v/>
      </c>
      <c r="CY85" s="209" t="s">
        <v>444</v>
      </c>
      <c r="CZ85" s="210">
        <f>IFERROR(__xludf.DUMMYFUNCTION("AVERAGE(ARRAYFORMULA(XLOOKUP(FILTER(INDIRECT(""'""&amp;CZ$1&amp;""'!$C$4:$C$66""),INDIRECT(""'""&amp;CZ$1&amp;""'!$D$4:$D$66"")=CZ$2),$G$4:$BQ$4,$G85:$BQ85)))"),0.0714985257142857)</f>
        <v>0.07149852571</v>
      </c>
      <c r="DA85" s="207" t="str">
        <f>IFERROR(__xludf.DUMMYFUNCTION("IF(OR(CZ85&gt;$BS85+$BT85*$BT$2,CZ85&lt;$BS85-$BT85*$BT$2),AVEDEV(ARRAYFORMULA(XLOOKUP(FILTER(INDIRECT(""'""&amp;CZ$1&amp;""'!$C$4:$C$66""),INDIRECT(""'""&amp;CZ$1&amp;""'!$D$4:$D$66"")=CZ$2),$G$4:$BQ$4,$G85:$BQ85))),"""")"),"")</f>
        <v/>
      </c>
      <c r="DB85" s="208" t="str">
        <f t="shared" si="17"/>
        <v/>
      </c>
      <c r="DC85" s="210">
        <f>IFERROR(__xludf.DUMMYFUNCTION("AVERAGE(ARRAYFORMULA(XLOOKUP(FILTER(INDIRECT(""'""&amp;DC$1&amp;""'!$C$4:$C$66""),INDIRECT(""'""&amp;DC$1&amp;""'!$D$4:$D$66"")=DC$2),$G$4:$BQ$4,$G85:$BQ85)))"),-0.2156926811111111)</f>
        <v>-0.2156926811</v>
      </c>
      <c r="DD85" s="207" t="str">
        <f>IFERROR(__xludf.DUMMYFUNCTION("IF(OR(DC85&gt;$BS85+$BT85*$BT$2,DC85&lt;$BS85-$BT85*$BT$2),AVEDEV(ARRAYFORMULA(XLOOKUP(FILTER(INDIRECT(""'""&amp;DC$1&amp;""'!$C$4:$C$66""),INDIRECT(""'""&amp;DC$1&amp;""'!$D$4:$D$66"")=DC$2),$G$4:$BQ$4,$G85:$BQ85))),"""")"),"")</f>
        <v/>
      </c>
      <c r="DE85" s="208" t="str">
        <f t="shared" si="18"/>
        <v/>
      </c>
      <c r="DF85" s="210">
        <f>IFERROR(__xludf.DUMMYFUNCTION("AVERAGE(ARRAYFORMULA(XLOOKUP(FILTER(INDIRECT(""'""&amp;DF$1&amp;""'!$C$4:$C$66""),INDIRECT(""'""&amp;DF$1&amp;""'!$D$4:$D$66"")=DF$2),$G$4:$BQ$4,$G85:$BQ85)))"),0.22633782000000002)</f>
        <v>0.22633782</v>
      </c>
      <c r="DG85" s="207" t="str">
        <f>IFERROR(__xludf.DUMMYFUNCTION("IF(OR(DF85&gt;$BS85+$BT85*$BT$2,DF85&lt;$BS85-$BT85*$BT$2),AVEDEV(ARRAYFORMULA(XLOOKUP(FILTER(INDIRECT(""'""&amp;DF$1&amp;""'!$C$4:$C$66""),INDIRECT(""'""&amp;DF$1&amp;""'!$D$4:$D$66"")=DF$2),$G$4:$BQ$4,$G85:$BQ85))),"""")"),"")</f>
        <v/>
      </c>
      <c r="DH85" s="208" t="str">
        <f t="shared" si="19"/>
        <v/>
      </c>
      <c r="DI85" s="210">
        <f>IFERROR(__xludf.DUMMYFUNCTION("AVERAGE(ARRAYFORMULA(XLOOKUP(FILTER(INDIRECT(""'""&amp;DI$1&amp;""'!$C$4:$C$66""),INDIRECT(""'""&amp;DI$1&amp;""'!$D$4:$D$66"")=DI$2),$G$4:$BQ$4,$G85:$BQ85)))"),-1.7306561999999999)</f>
        <v>-1.7306562</v>
      </c>
      <c r="DJ85" s="207">
        <f>IFERROR(__xludf.DUMMYFUNCTION("IF(OR(DI85&gt;$BS85+$BT85*$BT$2,DI85&lt;$BS85-$BT85*$BT$2),AVEDEV(ARRAYFORMULA(XLOOKUP(FILTER(INDIRECT(""'""&amp;DI$1&amp;""'!$C$4:$C$66""),INDIRECT(""'""&amp;DI$1&amp;""'!$D$4:$D$66"")=DI$2),$G$4:$BQ$4,$G85:$BQ85))),"""")"),0.17531829999999993)</f>
        <v>0.1753183</v>
      </c>
      <c r="DK85" s="208">
        <f t="shared" si="20"/>
        <v>-1.039781846</v>
      </c>
      <c r="DL85" s="210">
        <f>IFERROR(__xludf.DUMMYFUNCTION("AVERAGE(ARRAYFORMULA(XLOOKUP(FILTER(INDIRECT(""'""&amp;DL$1&amp;""'!$C$4:$C$66""),INDIRECT(""'""&amp;DL$1&amp;""'!$D$4:$D$66"")=DL$2),$G$4:$BQ$4,$G85:$BQ85)))"),-0.245697495)</f>
        <v>-0.245697495</v>
      </c>
      <c r="DM85" s="207" t="str">
        <f>IFERROR(__xludf.DUMMYFUNCTION("IF(OR(DL85&gt;$BS85+$BT85*$BT$2,DL85&lt;$BS85-$BT85*$BT$2),AVEDEV(ARRAYFORMULA(XLOOKUP(FILTER(INDIRECT(""'""&amp;DL$1&amp;""'!$C$4:$C$66""),INDIRECT(""'""&amp;DL$1&amp;""'!$D$4:$D$66"")=DL$2),$G$4:$BQ$4,$G85:$BQ85))),"""")"),"")</f>
        <v/>
      </c>
      <c r="DN85" s="208" t="str">
        <f t="shared" si="21"/>
        <v/>
      </c>
      <c r="DO85" s="209" t="s">
        <v>444</v>
      </c>
      <c r="DP85" s="210">
        <f>IFERROR(__xludf.DUMMYFUNCTION("AVERAGE(ARRAYFORMULA(XLOOKUP(FILTER(INDIRECT(""'""&amp;DP$1&amp;""'!$C$4:$C$66""),INDIRECT(""'""&amp;DP$1&amp;""'!$D$4:$D$66"")=DP$2),$G$4:$BQ$4,$G85:$BQ85)))"),0.13627162733333337)</f>
        <v>0.1362716273</v>
      </c>
      <c r="DQ85" s="207" t="str">
        <f>IFERROR(__xludf.DUMMYFUNCTION("IF(OR(DP85&gt;$BS85+$BT85*$BT$2,DP85&lt;$BS85-$BT85*$BT$2),AVEDEV(ARRAYFORMULA(XLOOKUP(FILTER(INDIRECT(""'""&amp;DP$1&amp;""'!$C$4:$C$66""),INDIRECT(""'""&amp;DP$1&amp;""'!$D$4:$D$66"")=DP$2),$G$4:$BQ$4,$G85:$BQ85))),"""")"),"")</f>
        <v/>
      </c>
      <c r="DR85" s="208" t="str">
        <f t="shared" si="22"/>
        <v/>
      </c>
      <c r="DS85" s="210">
        <f>IFERROR(__xludf.DUMMYFUNCTION("AVERAGE(ARRAYFORMULA(XLOOKUP(FILTER(INDIRECT(""'""&amp;DS$1&amp;""'!$C$4:$C$66""),INDIRECT(""'""&amp;DS$1&amp;""'!$D$4:$D$66"")=DS$2),$G$4:$BQ$4,$G85:$BQ85)))"),-0.1379910777777778)</f>
        <v>-0.1379910778</v>
      </c>
      <c r="DT85" s="207" t="str">
        <f>IFERROR(__xludf.DUMMYFUNCTION("IF(OR(DS85&gt;$BS85+$BT85*$BT$2,DS85&lt;$BS85-$BT85*$BT$2),AVEDEV(ARRAYFORMULA(XLOOKUP(FILTER(INDIRECT(""'""&amp;DS$1&amp;""'!$C$4:$C$66""),INDIRECT(""'""&amp;DS$1&amp;""'!$D$4:$D$66"")=DS$2),$G$4:$BQ$4,$G85:$BQ85))),"""")"),"")</f>
        <v/>
      </c>
      <c r="DU85" s="208" t="str">
        <f t="shared" si="23"/>
        <v/>
      </c>
      <c r="DV85" s="210">
        <f>IFERROR(__xludf.DUMMYFUNCTION("AVERAGE(ARRAYFORMULA(XLOOKUP(FILTER(INDIRECT(""'""&amp;DV$1&amp;""'!$C$4:$C$66""),INDIRECT(""'""&amp;DV$1&amp;""'!$D$4:$D$66"")=DV$2),$G$4:$BQ$4,$G85:$BQ85)))"),0.39911851750000005)</f>
        <v>0.3991185175</v>
      </c>
      <c r="DW85" s="207" t="str">
        <f>IFERROR(__xludf.DUMMYFUNCTION("IF(OR(DV85&gt;$BS85+$BT85*$BT$2,DV85&lt;$BS85-$BT85*$BT$2),AVEDEV(ARRAYFORMULA(XLOOKUP(FILTER(INDIRECT(""'""&amp;DV$1&amp;""'!$C$4:$C$66""),INDIRECT(""'""&amp;DV$1&amp;""'!$D$4:$D$66"")=DV$2),$G$4:$BQ$4,$G85:$BQ85))),"""")"),"")</f>
        <v/>
      </c>
      <c r="DX85" s="208" t="str">
        <f t="shared" si="24"/>
        <v/>
      </c>
      <c r="DY85" s="210">
        <f>IFERROR(__xludf.DUMMYFUNCTION("AVERAGE(ARRAYFORMULA(XLOOKUP(FILTER(INDIRECT(""'""&amp;DY$1&amp;""'!$C$4:$C$66""),INDIRECT(""'""&amp;DY$1&amp;""'!$D$4:$D$66"")=DY$2),$G$4:$BQ$4,$G85:$BQ85)))"),-0.42724996333333326)</f>
        <v>-0.4272499633</v>
      </c>
      <c r="DZ85" s="207" t="str">
        <f>IFERROR(__xludf.DUMMYFUNCTION("IF(OR(DY85&gt;$BS85+$BT85*$BT$2,DY85&lt;$BS85-$BT85*$BT$2),AVEDEV(ARRAYFORMULA(XLOOKUP(FILTER(INDIRECT(""'""&amp;DY$1&amp;""'!$C$4:$C$66""),INDIRECT(""'""&amp;DY$1&amp;""'!$D$4:$D$66"")=DY$2),$G$4:$BQ$4,$G85:$BQ85))),"""")"),"")</f>
        <v/>
      </c>
      <c r="EA85" s="208" t="str">
        <f t="shared" si="25"/>
        <v/>
      </c>
      <c r="EB85" s="191"/>
    </row>
    <row r="86" outlineLevel="1">
      <c r="A86" s="2"/>
      <c r="B86" s="204">
        <v>82.0</v>
      </c>
      <c r="C86" s="204" t="s">
        <v>507</v>
      </c>
      <c r="D86" s="204" t="s">
        <v>527</v>
      </c>
      <c r="E86" s="205" t="b">
        <f>VLOOKUP(D86,'Feature Set List'!A82:C246,2,0)</f>
        <v>1</v>
      </c>
      <c r="F86" s="205" t="b">
        <f>VLOOKUP(D86,'Feature Set List'!A82:C246,3,0)</f>
        <v>1</v>
      </c>
      <c r="G86" s="205">
        <v>-0.4585538</v>
      </c>
      <c r="H86" s="205">
        <v>-0.4714874</v>
      </c>
      <c r="I86" s="205">
        <v>-2.4832451</v>
      </c>
      <c r="J86" s="205">
        <v>-0.2986479</v>
      </c>
      <c r="K86" s="205">
        <v>-0.8700764</v>
      </c>
      <c r="L86" s="205">
        <v>0.18342152</v>
      </c>
      <c r="M86" s="205">
        <v>-0.7995297</v>
      </c>
      <c r="N86" s="205">
        <v>1.9776602</v>
      </c>
      <c r="O86" s="205">
        <v>0.15049971</v>
      </c>
      <c r="P86" s="205">
        <v>-0.3609641</v>
      </c>
      <c r="Q86" s="205">
        <v>-0.0376249</v>
      </c>
      <c r="R86" s="205">
        <v>1.75778954</v>
      </c>
      <c r="S86" s="205">
        <v>0.98059965</v>
      </c>
      <c r="T86" s="205">
        <v>0.01410935</v>
      </c>
      <c r="U86" s="205">
        <v>2.35038213</v>
      </c>
      <c r="V86" s="205">
        <v>-0.6219871</v>
      </c>
      <c r="W86" s="205">
        <v>0.23750735</v>
      </c>
      <c r="X86" s="205">
        <v>3.06407995</v>
      </c>
      <c r="Y86" s="205">
        <v>-0.1152263</v>
      </c>
      <c r="Z86" s="205">
        <v>0.5867137</v>
      </c>
      <c r="AA86" s="205">
        <v>2.33744856</v>
      </c>
      <c r="AB86" s="205">
        <v>0.65843621</v>
      </c>
      <c r="AC86" s="205">
        <v>0.76660788</v>
      </c>
      <c r="AD86" s="205">
        <v>-0.1175779</v>
      </c>
      <c r="AE86" s="205">
        <v>1.776602</v>
      </c>
      <c r="AF86" s="205">
        <v>0.0</v>
      </c>
      <c r="AG86" s="205">
        <v>-1.2416226</v>
      </c>
      <c r="AH86" s="205">
        <v>1.62845385</v>
      </c>
      <c r="AI86" s="205">
        <v>-0.4115226</v>
      </c>
      <c r="AJ86" s="205">
        <v>-0.7336861</v>
      </c>
      <c r="AK86" s="205">
        <v>-0.8771311</v>
      </c>
      <c r="AL86" s="205">
        <v>-0.5914168</v>
      </c>
      <c r="AM86" s="205">
        <v>0.27983539</v>
      </c>
      <c r="AN86" s="205">
        <v>-0.0776014</v>
      </c>
      <c r="AO86" s="205">
        <v>-1.1875367</v>
      </c>
      <c r="AP86" s="205">
        <v>0.52557319</v>
      </c>
      <c r="AQ86" s="205">
        <v>-0.0540858</v>
      </c>
      <c r="AR86" s="205">
        <v>-0.4820694</v>
      </c>
      <c r="AS86" s="205">
        <v>-0.4997061</v>
      </c>
      <c r="AT86" s="205">
        <v>0.5138154</v>
      </c>
      <c r="AU86" s="205">
        <v>0.223398</v>
      </c>
      <c r="AV86" s="205">
        <v>-0.5925926</v>
      </c>
      <c r="AW86" s="205">
        <v>0.24338624</v>
      </c>
      <c r="AX86" s="205">
        <v>0.3127572</v>
      </c>
      <c r="AY86" s="205">
        <v>0.21516755</v>
      </c>
      <c r="AZ86" s="205">
        <v>0.87595532</v>
      </c>
      <c r="BA86" s="205">
        <v>-0.5855379</v>
      </c>
      <c r="BB86" s="205">
        <v>0.44797178</v>
      </c>
      <c r="BC86" s="205">
        <v>-0.1399177</v>
      </c>
      <c r="BD86" s="205">
        <v>-0.3691946</v>
      </c>
      <c r="BE86" s="205">
        <v>0.71722516</v>
      </c>
      <c r="BF86" s="205">
        <v>-0.760729</v>
      </c>
      <c r="BG86" s="205">
        <v>-0.1069959</v>
      </c>
      <c r="BH86" s="205">
        <v>-0.8665491</v>
      </c>
      <c r="BI86" s="205">
        <v>0.09171076</v>
      </c>
      <c r="BJ86" s="205">
        <v>-0.478542</v>
      </c>
      <c r="BK86" s="205">
        <v>0.36096414</v>
      </c>
      <c r="BL86" s="205">
        <v>1.58142269</v>
      </c>
      <c r="BM86" s="205">
        <v>2.54908877</v>
      </c>
      <c r="BN86" s="205">
        <v>0.02704292</v>
      </c>
      <c r="BO86" s="205">
        <v>-0.2563198</v>
      </c>
      <c r="BP86" s="205">
        <v>-0.4902998</v>
      </c>
      <c r="BQ86" s="205">
        <v>0.07995297</v>
      </c>
      <c r="BR86" s="206"/>
      <c r="BS86" s="207">
        <f t="shared" si="6"/>
        <v>0.1599619283</v>
      </c>
      <c r="BT86" s="207">
        <f t="shared" si="7"/>
        <v>0.7299445472</v>
      </c>
      <c r="BU86" s="206"/>
      <c r="BV86" s="207">
        <f>IFERROR(__xludf.DUMMYFUNCTION("AVERAGE(ARRAYFORMULA(XLOOKUP(FILTER(INDIRECT(""'""&amp;BV$1&amp;""'!$C$4:$C$66""),INDIRECT(""'""&amp;BV$1&amp;""'!$D$4:$D$66"")=BV$2),$G$4:$BQ$4,$G86:$BQ86)))"),1.0269589371428571)</f>
        <v>1.026958937</v>
      </c>
      <c r="BW86" s="207">
        <f>IFERROR(__xludf.DUMMYFUNCTION("IF(OR(BV86&gt;$BS86+$BT86*$BT$2,BV86&lt;$BS86-$BT86*$BT$2),AVEDEV(ARRAYFORMULA(XLOOKUP(FILTER(INDIRECT(""'""&amp;BV$1&amp;""'!$C$4:$C$66""),INDIRECT(""'""&amp;BV$1&amp;""'!$D$4:$D$66"")=BV$2),$G$4:$BQ$4,$G86:$BQ86))),"""")"),1.1185737024489795)</f>
        <v>1.118573702</v>
      </c>
      <c r="BX86" s="208">
        <f t="shared" si="8"/>
        <v>0.1370524617</v>
      </c>
      <c r="BY86" s="207">
        <f>IFERROR(__xludf.DUMMYFUNCTION("AVERAGE(ARRAYFORMULA(XLOOKUP(FILTER(INDIRECT(""'""&amp;BY$1&amp;""'!$C$4:$C$66""),INDIRECT(""'""&amp;BY$1&amp;""'!$D$4:$D$66"")=BY$2),$G$4:$BQ$4,$G86:$BQ86)))"),0.09470619309523805)</f>
        <v>0.0947061931</v>
      </c>
      <c r="BZ86" s="207" t="str">
        <f>IFERROR(__xludf.DUMMYFUNCTION("IF(OR(BY86&gt;$BS86+$BT86*$BT$2,BY86&lt;$BS86-$BT86*$BT$2),AVEDEV(ARRAYFORMULA(XLOOKUP(FILTER(INDIRECT(""'""&amp;BY$1&amp;""'!$C$4:$C$66""),INDIRECT(""'""&amp;BY$1&amp;""'!$D$4:$D$66"")=BY$2),$G$4:$BQ$4,$G86:$BQ86))),"""")"),"")</f>
        <v/>
      </c>
      <c r="CA86" s="208" t="str">
        <f t="shared" si="9"/>
        <v/>
      </c>
      <c r="CB86" s="207">
        <f>IFERROR(__xludf.DUMMYFUNCTION("AVERAGE(ARRAYFORMULA(XLOOKUP(FILTER(INDIRECT(""'""&amp;CB$1&amp;""'!$C$4:$C$66""),INDIRECT(""'""&amp;CB$1&amp;""'!$D$4:$D$66"")=CB$2),$G$4:$BQ$4,$G86:$BQ86)))"),0.14002459181818186)</f>
        <v>0.1400245918</v>
      </c>
      <c r="CC86" s="207" t="str">
        <f>IFERROR(__xludf.DUMMYFUNCTION("IF(OR(CB86&gt;$BS86+$BT86*$BT$2,CB86&lt;$BS86-$BT86*$BT$2),AVEDEV(ARRAYFORMULA(XLOOKUP(FILTER(INDIRECT(""'""&amp;CB$1&amp;""'!$C$4:$C$66""),INDIRECT(""'""&amp;CB$1&amp;""'!$D$4:$D$66"")=CB$2),$G$4:$BQ$4,$G86:$BQ86))),"""")"),"")</f>
        <v/>
      </c>
      <c r="CD86" s="208" t="str">
        <f t="shared" si="10"/>
        <v/>
      </c>
      <c r="CE86" s="209" t="s">
        <v>444</v>
      </c>
      <c r="CF86" s="207">
        <f>IFERROR(__xludf.DUMMYFUNCTION("AVERAGE(ARRAYFORMULA(XLOOKUP(FILTER(INDIRECT(""'""&amp;CF$1&amp;""'!$C$4:$C$66""),INDIRECT(""'""&amp;CF$1&amp;""'!$D$4:$D$66"")=CF$2),$G$4:$BQ$4,$G86:$BQ86)))"),0.13925631499999996)</f>
        <v>0.139256315</v>
      </c>
      <c r="CG86" s="207" t="str">
        <f>IFERROR(__xludf.DUMMYFUNCTION("IF(OR(CF86&gt;$BS86+$BT86*$BT$2,CF86&lt;$BS86-$BT86*$BT$2),AVEDEV(ARRAYFORMULA(XLOOKUP(FILTER(INDIRECT(""'""&amp;CF$1&amp;""'!$C$4:$C$66""),INDIRECT(""'""&amp;CF$1&amp;""'!$D$4:$D$66"")=CF$2),$G$4:$BQ$4,$G86:$BQ86))),"""")"),"")</f>
        <v/>
      </c>
      <c r="CH86" s="208" t="str">
        <f t="shared" si="11"/>
        <v/>
      </c>
      <c r="CI86" s="207">
        <f>IFERROR(__xludf.DUMMYFUNCTION("AVERAGE(ARRAYFORMULA(XLOOKUP(FILTER(INDIRECT(""'""&amp;CI$1&amp;""'!$C$4:$C$66""),INDIRECT(""'""&amp;CI$1&amp;""'!$D$4:$D$66"")=CI$2),$G$4:$BQ$4,$G86:$BQ86)))"),0.2224118670967742)</f>
        <v>0.2224118671</v>
      </c>
      <c r="CJ86" s="207" t="str">
        <f>IFERROR(__xludf.DUMMYFUNCTION("IF(OR(CI86&gt;$BS86+$BT86*$BT$2,CI86&lt;$BS86-$BT86*$BT$2),AVEDEV(ARRAYFORMULA(XLOOKUP(FILTER(INDIRECT(""'""&amp;CI$1&amp;""'!$C$4:$C$66""),INDIRECT(""'""&amp;CI$1&amp;""'!$D$4:$D$66"")=CI$2),$G$4:$BQ$4,$G86:$BQ86))),"""")"),"")</f>
        <v/>
      </c>
      <c r="CK86" s="208" t="str">
        <f t="shared" si="12"/>
        <v/>
      </c>
      <c r="CL86" s="207">
        <f>IFERROR(__xludf.DUMMYFUNCTION("AVERAGE(ARRAYFORMULA(XLOOKUP(FILTER(INDIRECT(""'""&amp;CL$1&amp;""'!$C$4:$C$66""),INDIRECT(""'""&amp;CL$1&amp;""'!$D$4:$D$66"")=CL$2),$G$4:$BQ$4,$G86:$BQ86)))"),-0.30781893)</f>
        <v>-0.30781893</v>
      </c>
      <c r="CM86" s="207" t="str">
        <f>IFERROR(__xludf.DUMMYFUNCTION("IF(OR(CL86&gt;$BS86+$BT86*$BT$2,CL86&lt;$BS86-$BT86*$BT$2),AVEDEV(ARRAYFORMULA(XLOOKUP(FILTER(INDIRECT(""'""&amp;CL$1&amp;""'!$C$4:$C$66""),INDIRECT(""'""&amp;CL$1&amp;""'!$D$4:$D$66"")=CL$2),$G$4:$BQ$4,$G86:$BQ86))),"""")"),"")</f>
        <v/>
      </c>
      <c r="CN86" s="208" t="str">
        <f t="shared" si="13"/>
        <v/>
      </c>
      <c r="CO86" s="209" t="s">
        <v>444</v>
      </c>
      <c r="CP86" s="211">
        <f>IFERROR(__xludf.DUMMYFUNCTION("AVERAGE(ARRAYFORMULA(XLOOKUP(FILTER(INDIRECT(""'""&amp;CP$1&amp;""'!$C$4:$C$66""),INDIRECT(""'""&amp;CP$1&amp;""'!$D$4:$D$66"")=CP$2),$G$4:$BQ$4,$G86:$BQ86)))"),1.1971781326666666)</f>
        <v>1.197178133</v>
      </c>
      <c r="CQ86" s="207">
        <f>IFERROR(__xludf.DUMMYFUNCTION("IF(OR(CP86&gt;$BS86+$BT86*$BT$2,CP86&lt;$BS86-$BT86*$BT$2),AVEDEV(ARRAYFORMULA(XLOOKUP(FILTER(INDIRECT(""'""&amp;CP$1&amp;""'!$C$4:$C$66""),INDIRECT(""'""&amp;CP$1&amp;""'!$D$4:$D$66"")=CP$2),$G$4:$BQ$4,$G86:$BQ86))),"""")"),0.9737958041777777)</f>
        <v>0.9737958042</v>
      </c>
      <c r="CR86" s="208">
        <f t="shared" si="14"/>
        <v>0.3072716573</v>
      </c>
      <c r="CS86" s="210">
        <f>IFERROR(__xludf.DUMMYFUNCTION("AVERAGE(ARRAYFORMULA(XLOOKUP(FILTER(INDIRECT(""'""&amp;CS$1&amp;""'!$C$4:$C$66""),INDIRECT(""'""&amp;CS$1&amp;""'!$D$4:$D$66"")=CS$2),$G$4:$BQ$4,$G86:$BQ86)))"),-0.13572709871794875)</f>
        <v>-0.1357270987</v>
      </c>
      <c r="CT86" s="207" t="str">
        <f>IFERROR(__xludf.DUMMYFUNCTION("IF(OR(CS86&gt;$BS86+$BT86*$BT$2,CS86&lt;$BS86-$BT86*$BT$2),AVEDEV(ARRAYFORMULA(XLOOKUP(FILTER(INDIRECT(""'""&amp;CS$1&amp;""'!$C$4:$C$66""),INDIRECT(""'""&amp;CS$1&amp;""'!$D$4:$D$66"")=CS$2),$G$4:$BQ$4,$G86:$BQ86))),"""")"),"")</f>
        <v/>
      </c>
      <c r="CU86" s="208" t="str">
        <f t="shared" si="15"/>
        <v/>
      </c>
      <c r="CV86" s="210">
        <f>IFERROR(__xludf.DUMMYFUNCTION("AVERAGE(ARRAYFORMULA(XLOOKUP(FILTER(INDIRECT(""'""&amp;CV$1&amp;""'!$C$4:$C$66""),INDIRECT(""'""&amp;CV$1&amp;""'!$D$4:$D$66"")=CV$2),$G$4:$BQ$4,$G86:$BQ86)))"),-0.30781893)</f>
        <v>-0.30781893</v>
      </c>
      <c r="CW86" s="207" t="str">
        <f>IFERROR(__xludf.DUMMYFUNCTION("IF(OR(CV86&gt;$BS86+$BT86*$BT$2,CV86&lt;$BS86-$BT86*$BT$2),AVEDEV(ARRAYFORMULA(XLOOKUP(FILTER(INDIRECT(""'""&amp;CV$1&amp;""'!$C$4:$C$66""),INDIRECT(""'""&amp;CV$1&amp;""'!$D$4:$D$66"")=CV$2),$G$4:$BQ$4,$G86:$BQ86))),"""")"),"")</f>
        <v/>
      </c>
      <c r="CX86" s="208" t="str">
        <f t="shared" si="16"/>
        <v/>
      </c>
      <c r="CY86" s="209" t="s">
        <v>444</v>
      </c>
      <c r="CZ86" s="211">
        <f>IFERROR(__xludf.DUMMYFUNCTION("AVERAGE(ARRAYFORMULA(XLOOKUP(FILTER(INDIRECT(""'""&amp;CZ$1&amp;""'!$C$4:$C$66""),INDIRECT(""'""&amp;CZ$1&amp;""'!$D$4:$D$66"")=CZ$2),$G$4:$BQ$4,$G86:$BQ86)))"),-0.03174603785714284)</f>
        <v>-0.03174603786</v>
      </c>
      <c r="DA86" s="207" t="str">
        <f>IFERROR(__xludf.DUMMYFUNCTION("IF(OR(CZ86&gt;$BS86+$BT86*$BT$2,CZ86&lt;$BS86-$BT86*$BT$2),AVEDEV(ARRAYFORMULA(XLOOKUP(FILTER(INDIRECT(""'""&amp;CZ$1&amp;""'!$C$4:$C$66""),INDIRECT(""'""&amp;CZ$1&amp;""'!$D$4:$D$66"")=CZ$2),$G$4:$BQ$4,$G86:$BQ86))),"""")"),"")</f>
        <v/>
      </c>
      <c r="DB86" s="208" t="str">
        <f t="shared" si="17"/>
        <v/>
      </c>
      <c r="DC86" s="210">
        <f>IFERROR(__xludf.DUMMYFUNCTION("AVERAGE(ARRAYFORMULA(XLOOKUP(FILTER(INDIRECT(""'""&amp;DC$1&amp;""'!$C$4:$C$66""),INDIRECT(""'""&amp;DC$1&amp;""'!$D$4:$D$66"")=DC$2),$G$4:$BQ$4,$G86:$BQ86)))"),-0.20941928666666668)</f>
        <v>-0.2094192867</v>
      </c>
      <c r="DD86" s="207" t="str">
        <f>IFERROR(__xludf.DUMMYFUNCTION("IF(OR(DC86&gt;$BS86+$BT86*$BT$2,DC86&lt;$BS86-$BT86*$BT$2),AVEDEV(ARRAYFORMULA(XLOOKUP(FILTER(INDIRECT(""'""&amp;DC$1&amp;""'!$C$4:$C$66""),INDIRECT(""'""&amp;DC$1&amp;""'!$D$4:$D$66"")=DC$2),$G$4:$BQ$4,$G86:$BQ86))),"""")"),"")</f>
        <v/>
      </c>
      <c r="DE86" s="208" t="str">
        <f t="shared" si="18"/>
        <v/>
      </c>
      <c r="DF86" s="210">
        <f>IFERROR(__xludf.DUMMYFUNCTION("AVERAGE(ARRAYFORMULA(XLOOKUP(FILTER(INDIRECT(""'""&amp;DF$1&amp;""'!$C$4:$C$66""),INDIRECT(""'""&amp;DF$1&amp;""'!$D$4:$D$66"")=DF$2),$G$4:$BQ$4,$G86:$BQ86)))"),0.6441130872727272)</f>
        <v>0.6441130873</v>
      </c>
      <c r="DG86" s="207" t="str">
        <f>IFERROR(__xludf.DUMMYFUNCTION("IF(OR(DF86&gt;$BS86+$BT86*$BT$2,DF86&lt;$BS86-$BT86*$BT$2),AVEDEV(ARRAYFORMULA(XLOOKUP(FILTER(INDIRECT(""'""&amp;DF$1&amp;""'!$C$4:$C$66""),INDIRECT(""'""&amp;DF$1&amp;""'!$D$4:$D$66"")=DF$2),$G$4:$BQ$4,$G86:$BQ86))),"""")"),"")</f>
        <v/>
      </c>
      <c r="DH86" s="208" t="str">
        <f t="shared" si="19"/>
        <v/>
      </c>
      <c r="DI86" s="210">
        <f>IFERROR(__xludf.DUMMYFUNCTION("AVERAGE(ARRAYFORMULA(XLOOKUP(FILTER(INDIRECT(""'""&amp;DI$1&amp;""'!$C$4:$C$66""),INDIRECT(""'""&amp;DI$1&amp;""'!$D$4:$D$66"")=DI$2),$G$4:$BQ$4,$G86:$BQ86)))"),-0.4920635)</f>
        <v>-0.4920635</v>
      </c>
      <c r="DJ86" s="207" t="str">
        <f>IFERROR(__xludf.DUMMYFUNCTION("IF(OR(DI86&gt;$BS86+$BT86*$BT$2,DI86&lt;$BS86-$BT86*$BT$2),AVEDEV(ARRAYFORMULA(XLOOKUP(FILTER(INDIRECT(""'""&amp;DI$1&amp;""'!$C$4:$C$66""),INDIRECT(""'""&amp;DI$1&amp;""'!$D$4:$D$66"")=DI$2),$G$4:$BQ$4,$G86:$BQ86))),"""")"),"")</f>
        <v/>
      </c>
      <c r="DK86" s="208" t="str">
        <f t="shared" si="20"/>
        <v/>
      </c>
      <c r="DL86" s="210">
        <f>IFERROR(__xludf.DUMMYFUNCTION("AVERAGE(ARRAYFORMULA(XLOOKUP(FILTER(INDIRECT(""'""&amp;DL$1&amp;""'!$C$4:$C$66""),INDIRECT(""'""&amp;DL$1&amp;""'!$D$4:$D$66"")=DL$2),$G$4:$BQ$4,$G86:$BQ86)))"),0.04048039285714285)</f>
        <v>0.04048039286</v>
      </c>
      <c r="DM86" s="207" t="str">
        <f>IFERROR(__xludf.DUMMYFUNCTION("IF(OR(DL86&gt;$BS86+$BT86*$BT$2,DL86&lt;$BS86-$BT86*$BT$2),AVEDEV(ARRAYFORMULA(XLOOKUP(FILTER(INDIRECT(""'""&amp;DL$1&amp;""'!$C$4:$C$66""),INDIRECT(""'""&amp;DL$1&amp;""'!$D$4:$D$66"")=DL$2),$G$4:$BQ$4,$G86:$BQ86))),"""")"),"")</f>
        <v/>
      </c>
      <c r="DN86" s="208" t="str">
        <f t="shared" si="21"/>
        <v/>
      </c>
      <c r="DO86" s="209" t="s">
        <v>444</v>
      </c>
      <c r="DP86" s="211">
        <f>IFERROR(__xludf.DUMMYFUNCTION("AVERAGE(ARRAYFORMULA(XLOOKUP(FILTER(INDIRECT(""'""&amp;DP$1&amp;""'!$C$4:$C$66""),INDIRECT(""'""&amp;DP$1&amp;""'!$D$4:$D$66"")=DP$2),$G$4:$BQ$4,$G86:$BQ86)))"),0.09715853466666671)</f>
        <v>0.09715853467</v>
      </c>
      <c r="DQ86" s="207" t="str">
        <f>IFERROR(__xludf.DUMMYFUNCTION("IF(OR(DP86&gt;$BS86+$BT86*$BT$2,DP86&lt;$BS86-$BT86*$BT$2),AVEDEV(ARRAYFORMULA(XLOOKUP(FILTER(INDIRECT(""'""&amp;DP$1&amp;""'!$C$4:$C$66""),INDIRECT(""'""&amp;DP$1&amp;""'!$D$4:$D$66"")=DP$2),$G$4:$BQ$4,$G86:$BQ86))),"""")"),"")</f>
        <v/>
      </c>
      <c r="DR86" s="208" t="str">
        <f t="shared" si="22"/>
        <v/>
      </c>
      <c r="DS86" s="210">
        <f>IFERROR(__xludf.DUMMYFUNCTION("AVERAGE(ARRAYFORMULA(XLOOKUP(FILTER(INDIRECT(""'""&amp;DS$1&amp;""'!$C$4:$C$66""),INDIRECT(""'""&amp;DS$1&amp;""'!$D$4:$D$66"")=DS$2),$G$4:$BQ$4,$G86:$BQ86)))"),0.020772098888888927)</f>
        <v>0.02077209889</v>
      </c>
      <c r="DT86" s="207" t="str">
        <f>IFERROR(__xludf.DUMMYFUNCTION("IF(OR(DS86&gt;$BS86+$BT86*$BT$2,DS86&lt;$BS86-$BT86*$BT$2),AVEDEV(ARRAYFORMULA(XLOOKUP(FILTER(INDIRECT(""'""&amp;DS$1&amp;""'!$C$4:$C$66""),INDIRECT(""'""&amp;DS$1&amp;""'!$D$4:$D$66"")=DS$2),$G$4:$BQ$4,$G86:$BQ86))),"""")"),"")</f>
        <v/>
      </c>
      <c r="DU86" s="208" t="str">
        <f t="shared" si="23"/>
        <v/>
      </c>
      <c r="DV86" s="210">
        <f>IFERROR(__xludf.DUMMYFUNCTION("AVERAGE(ARRAYFORMULA(XLOOKUP(FILTER(INDIRECT(""'""&amp;DV$1&amp;""'!$C$4:$C$66""),INDIRECT(""'""&amp;DV$1&amp;""'!$D$4:$D$66"")=DV$2),$G$4:$BQ$4,$G86:$BQ86)))"),0.9917695450000001)</f>
        <v>0.991769545</v>
      </c>
      <c r="DW86" s="207">
        <f>IFERROR(__xludf.DUMMYFUNCTION("IF(OR(DV86&gt;$BS86+$BT86*$BT$2,DV86&lt;$BS86-$BT86*$BT$2),AVEDEV(ARRAYFORMULA(XLOOKUP(FILTER(INDIRECT(""'""&amp;DV$1&amp;""'!$C$4:$C$66""),INDIRECT(""'""&amp;DV$1&amp;""'!$D$4:$D$66"")=DV$2),$G$4:$BQ$4,$G86:$BQ86))),"""")"),0.86757789875)</f>
        <v>0.8675778988</v>
      </c>
      <c r="DX86" s="208">
        <f t="shared" si="24"/>
        <v>0.1018630696</v>
      </c>
      <c r="DY86" s="210">
        <f>IFERROR(__xludf.DUMMYFUNCTION("AVERAGE(ARRAYFORMULA(XLOOKUP(FILTER(INDIRECT(""'""&amp;DY$1&amp;""'!$C$4:$C$66""),INDIRECT(""'""&amp;DY$1&amp;""'!$D$4:$D$66"")=DY$2),$G$4:$BQ$4,$G86:$BQ86)))"),-0.1450127388888889)</f>
        <v>-0.1450127389</v>
      </c>
      <c r="DZ86" s="207" t="str">
        <f>IFERROR(__xludf.DUMMYFUNCTION("IF(OR(DY86&gt;$BS86+$BT86*$BT$2,DY86&lt;$BS86-$BT86*$BT$2),AVEDEV(ARRAYFORMULA(XLOOKUP(FILTER(INDIRECT(""'""&amp;DY$1&amp;""'!$C$4:$C$66""),INDIRECT(""'""&amp;DY$1&amp;""'!$D$4:$D$66"")=DY$2),$G$4:$BQ$4,$G86:$BQ86))),"""")"),"")</f>
        <v/>
      </c>
      <c r="EA86" s="208" t="str">
        <f t="shared" si="25"/>
        <v/>
      </c>
      <c r="EB86" s="191"/>
    </row>
    <row r="87" outlineLevel="1">
      <c r="A87" s="2"/>
      <c r="B87" s="204">
        <v>83.0</v>
      </c>
      <c r="C87" s="204" t="s">
        <v>507</v>
      </c>
      <c r="D87" s="204" t="s">
        <v>528</v>
      </c>
      <c r="E87" s="205" t="b">
        <f>VLOOKUP(D87,'Feature Set List'!A83:C246,2,0)</f>
        <v>1</v>
      </c>
      <c r="F87" s="205" t="b">
        <f>VLOOKUP(D87,'Feature Set List'!A83:C246,3,0)</f>
        <v>1</v>
      </c>
      <c r="G87" s="205">
        <v>-0.0745342</v>
      </c>
      <c r="H87" s="205">
        <v>0.51180124</v>
      </c>
      <c r="I87" s="205">
        <v>6.65010352</v>
      </c>
      <c r="J87" s="205">
        <v>0.69730849</v>
      </c>
      <c r="K87" s="205">
        <v>0.23188406</v>
      </c>
      <c r="L87" s="205">
        <v>-0.3296066</v>
      </c>
      <c r="M87" s="205">
        <v>-0.3945342</v>
      </c>
      <c r="N87" s="205">
        <v>-0.3312629</v>
      </c>
      <c r="O87" s="205">
        <v>0.39585921</v>
      </c>
      <c r="P87" s="205">
        <v>0.36438923</v>
      </c>
      <c r="Q87" s="205">
        <v>-0.0596273</v>
      </c>
      <c r="R87" s="205">
        <v>-0.5720911</v>
      </c>
      <c r="S87" s="205">
        <v>-0.2832298</v>
      </c>
      <c r="T87" s="205">
        <v>0.34120083</v>
      </c>
      <c r="U87" s="205">
        <v>-0.4321325</v>
      </c>
      <c r="V87" s="205">
        <v>0.56149068</v>
      </c>
      <c r="W87" s="205">
        <v>-0.4152381</v>
      </c>
      <c r="X87" s="205">
        <v>-1.0615321</v>
      </c>
      <c r="Y87" s="205">
        <v>-0.6353623</v>
      </c>
      <c r="Z87" s="205">
        <v>-0.9735818</v>
      </c>
      <c r="AA87" s="205">
        <v>-0.5918012</v>
      </c>
      <c r="AB87" s="205">
        <v>-1.1956936</v>
      </c>
      <c r="AC87" s="205">
        <v>-0.0811594</v>
      </c>
      <c r="AD87" s="205">
        <v>-0.52853</v>
      </c>
      <c r="AE87" s="205">
        <v>-0.78294</v>
      </c>
      <c r="AF87" s="205">
        <v>0.21532091</v>
      </c>
      <c r="AG87" s="205">
        <v>1.10310559</v>
      </c>
      <c r="AH87" s="205">
        <v>-0.6648447</v>
      </c>
      <c r="AI87" s="205">
        <v>0.83478261</v>
      </c>
      <c r="AJ87" s="205">
        <v>-1.5281159</v>
      </c>
      <c r="AK87" s="205">
        <v>0.52505176</v>
      </c>
      <c r="AL87" s="205">
        <v>0.39751553</v>
      </c>
      <c r="AM87" s="205">
        <v>0.09937888</v>
      </c>
      <c r="AN87" s="205">
        <v>-0.2799172</v>
      </c>
      <c r="AO87" s="205">
        <v>0.09772257</v>
      </c>
      <c r="AP87" s="205">
        <v>-1.1387164</v>
      </c>
      <c r="AQ87" s="205">
        <v>0.63933747</v>
      </c>
      <c r="AR87" s="205">
        <v>-0.3774741</v>
      </c>
      <c r="AS87" s="205">
        <v>1.29689441</v>
      </c>
      <c r="AT87" s="205">
        <v>0.0</v>
      </c>
      <c r="AU87" s="205">
        <v>-1.0944928</v>
      </c>
      <c r="AV87" s="205">
        <v>1.08322981</v>
      </c>
      <c r="AW87" s="205">
        <v>0.2699793</v>
      </c>
      <c r="AX87" s="205">
        <v>-1.2160663</v>
      </c>
      <c r="AY87" s="205">
        <v>0.33623188</v>
      </c>
      <c r="AZ87" s="205">
        <v>-0.0596273</v>
      </c>
      <c r="BA87" s="205">
        <v>1.15942029</v>
      </c>
      <c r="BB87" s="205">
        <v>1.55031056</v>
      </c>
      <c r="BC87" s="205">
        <v>0.5863354</v>
      </c>
      <c r="BD87" s="205">
        <v>0.20207039</v>
      </c>
      <c r="BE87" s="205">
        <v>-0.7607453</v>
      </c>
      <c r="BF87" s="205">
        <v>1.73250518</v>
      </c>
      <c r="BG87" s="205">
        <v>0.99378882</v>
      </c>
      <c r="BH87" s="205">
        <v>0.19378882</v>
      </c>
      <c r="BI87" s="205">
        <v>-0.3047619</v>
      </c>
      <c r="BJ87" s="205">
        <v>1.51884058</v>
      </c>
      <c r="BK87" s="205">
        <v>0.27163561</v>
      </c>
      <c r="BL87" s="205">
        <v>-0.4645963</v>
      </c>
      <c r="BM87" s="205">
        <v>0.07784679</v>
      </c>
      <c r="BN87" s="205">
        <v>-0.0513458</v>
      </c>
      <c r="BO87" s="205">
        <v>1.05175983</v>
      </c>
      <c r="BP87" s="205">
        <v>-0.6461284</v>
      </c>
      <c r="BQ87" s="205">
        <v>-0.4985507</v>
      </c>
      <c r="BR87" s="206"/>
      <c r="BS87" s="207">
        <f t="shared" si="6"/>
        <v>0.1295658738</v>
      </c>
      <c r="BT87" s="207">
        <f t="shared" si="7"/>
        <v>0.7012094458</v>
      </c>
      <c r="BU87" s="206"/>
      <c r="BV87" s="207">
        <f>IFERROR(__xludf.DUMMYFUNCTION("AVERAGE(ARRAYFORMULA(XLOOKUP(FILTER(INDIRECT(""'""&amp;BV$1&amp;""'!$C$4:$C$66""),INDIRECT(""'""&amp;BV$1&amp;""'!$D$4:$D$66"")=BV$2),$G$4:$BQ$4,$G87:$BQ87)))"),-0.10496302714285714)</f>
        <v>-0.1049630271</v>
      </c>
      <c r="BW87" s="207" t="str">
        <f>IFERROR(__xludf.DUMMYFUNCTION("IF(OR(BV87&gt;$BS87+$BT87*$BT$2,BV87&lt;$BS87-$BT87*$BT$2),AVEDEV(ARRAYFORMULA(XLOOKUP(FILTER(INDIRECT(""'""&amp;BV$1&amp;""'!$C$4:$C$66""),INDIRECT(""'""&amp;BV$1&amp;""'!$D$4:$D$66"")=BV$2),$G$4:$BQ$4,$G87:$BQ87))),"""")"),"")</f>
        <v/>
      </c>
      <c r="BX87" s="208" t="str">
        <f t="shared" si="8"/>
        <v/>
      </c>
      <c r="BY87" s="207">
        <f>IFERROR(__xludf.DUMMYFUNCTION("AVERAGE(ARRAYFORMULA(XLOOKUP(FILTER(INDIRECT(""'""&amp;BY$1&amp;""'!$C$4:$C$66""),INDIRECT(""'""&amp;BY$1&amp;""'!$D$4:$D$66"")=BY$2),$G$4:$BQ$4,$G87:$BQ87)))"),0.06881987571428574)</f>
        <v>0.06881987571</v>
      </c>
      <c r="BZ87" s="207" t="str">
        <f>IFERROR(__xludf.DUMMYFUNCTION("IF(OR(BY87&gt;$BS87+$BT87*$BT$2,BY87&lt;$BS87-$BT87*$BT$2),AVEDEV(ARRAYFORMULA(XLOOKUP(FILTER(INDIRECT(""'""&amp;BY$1&amp;""'!$C$4:$C$66""),INDIRECT(""'""&amp;BY$1&amp;""'!$D$4:$D$66"")=BY$2),$G$4:$BQ$4,$G87:$BQ87))),"""")"),"")</f>
        <v/>
      </c>
      <c r="CA87" s="208" t="str">
        <f t="shared" si="9"/>
        <v/>
      </c>
      <c r="CB87" s="207">
        <f>IFERROR(__xludf.DUMMYFUNCTION("AVERAGE(ARRAYFORMULA(XLOOKUP(FILTER(INDIRECT(""'""&amp;CB$1&amp;""'!$C$4:$C$66""),INDIRECT(""'""&amp;CB$1&amp;""'!$D$4:$D$66"")=CB$2),$G$4:$BQ$4,$G87:$BQ87)))"),0.022661395454545433)</f>
        <v>0.02266139545</v>
      </c>
      <c r="CC87" s="207" t="str">
        <f>IFERROR(__xludf.DUMMYFUNCTION("IF(OR(CB87&gt;$BS87+$BT87*$BT$2,CB87&lt;$BS87-$BT87*$BT$2),AVEDEV(ARRAYFORMULA(XLOOKUP(FILTER(INDIRECT(""'""&amp;CB$1&amp;""'!$C$4:$C$66""),INDIRECT(""'""&amp;CB$1&amp;""'!$D$4:$D$66"")=CB$2),$G$4:$BQ$4,$G87:$BQ87))),"""")"),"")</f>
        <v/>
      </c>
      <c r="CD87" s="208" t="str">
        <f t="shared" si="10"/>
        <v/>
      </c>
      <c r="CE87" s="209" t="s">
        <v>444</v>
      </c>
      <c r="CF87" s="207">
        <f>IFERROR(__xludf.DUMMYFUNCTION("AVERAGE(ARRAYFORMULA(XLOOKUP(FILTER(INDIRECT(""'""&amp;CF$1&amp;""'!$C$4:$C$66""),INDIRECT(""'""&amp;CF$1&amp;""'!$D$4:$D$66"")=CF$2),$G$4:$BQ$4,$G87:$BQ87)))"),0.37328157125)</f>
        <v>0.3732815713</v>
      </c>
      <c r="CG87" s="207" t="str">
        <f>IFERROR(__xludf.DUMMYFUNCTION("IF(OR(CF87&gt;$BS87+$BT87*$BT$2,CF87&lt;$BS87-$BT87*$BT$2),AVEDEV(ARRAYFORMULA(XLOOKUP(FILTER(INDIRECT(""'""&amp;CF$1&amp;""'!$C$4:$C$66""),INDIRECT(""'""&amp;CF$1&amp;""'!$D$4:$D$66"")=CF$2),$G$4:$BQ$4,$G87:$BQ87))),"""")"),"")</f>
        <v/>
      </c>
      <c r="CH87" s="208" t="str">
        <f t="shared" si="11"/>
        <v/>
      </c>
      <c r="CI87" s="207">
        <f>IFERROR(__xludf.DUMMYFUNCTION("AVERAGE(ARRAYFORMULA(XLOOKUP(FILTER(INDIRECT(""'""&amp;CI$1&amp;""'!$C$4:$C$66""),INDIRECT(""'""&amp;CI$1&amp;""'!$D$4:$D$66"")=CI$2),$G$4:$BQ$4,$G87:$BQ87)))"),-0.1856889022580645)</f>
        <v>-0.1856889023</v>
      </c>
      <c r="CJ87" s="207" t="str">
        <f>IFERROR(__xludf.DUMMYFUNCTION("IF(OR(CI87&gt;$BS87+$BT87*$BT$2,CI87&lt;$BS87-$BT87*$BT$2),AVEDEV(ARRAYFORMULA(XLOOKUP(FILTER(INDIRECT(""'""&amp;CI$1&amp;""'!$C$4:$C$66""),INDIRECT(""'""&amp;CI$1&amp;""'!$D$4:$D$66"")=CI$2),$G$4:$BQ$4,$G87:$BQ87))),"""")"),"")</f>
        <v/>
      </c>
      <c r="CK87" s="208" t="str">
        <f t="shared" si="12"/>
        <v/>
      </c>
      <c r="CL87" s="207">
        <f>IFERROR(__xludf.DUMMYFUNCTION("AVERAGE(ARRAYFORMULA(XLOOKUP(FILTER(INDIRECT(""'""&amp;CL$1&amp;""'!$C$4:$C$66""),INDIRECT(""'""&amp;CL$1&amp;""'!$D$4:$D$66"")=CL$2),$G$4:$BQ$4,$G87:$BQ87)))"),0.8311387159999999)</f>
        <v>0.831138716</v>
      </c>
      <c r="CM87" s="207">
        <f>IFERROR(__xludf.DUMMYFUNCTION("IF(OR(CL87&gt;$BS87+$BT87*$BT$2,CL87&lt;$BS87-$BT87*$BT$2),AVEDEV(ARRAYFORMULA(XLOOKUP(FILTER(INDIRECT(""'""&amp;CL$1&amp;""'!$C$4:$C$66""),INDIRECT(""'""&amp;CL$1&amp;""'!$D$4:$D$66"")=CL$2),$G$4:$BQ$4,$G87:$BQ87))),"""")"),0.38267494879999997)</f>
        <v>0.3826749488</v>
      </c>
      <c r="CN87" s="208">
        <f t="shared" si="13"/>
        <v>0.0003633963704</v>
      </c>
      <c r="CO87" s="209" t="s">
        <v>444</v>
      </c>
      <c r="CP87" s="210">
        <f>IFERROR(__xludf.DUMMYFUNCTION("AVERAGE(ARRAYFORMULA(XLOOKUP(FILTER(INDIRECT(""'""&amp;CP$1&amp;""'!$C$4:$C$66""),INDIRECT(""'""&amp;CP$1&amp;""'!$D$4:$D$66"")=CP$2),$G$4:$BQ$4,$G87:$BQ87)))"),-0.2621394013333333)</f>
        <v>-0.2621394013</v>
      </c>
      <c r="CQ87" s="207" t="str">
        <f>IFERROR(__xludf.DUMMYFUNCTION("IF(OR(CP87&gt;$BS87+$BT87*$BT$2,CP87&lt;$BS87-$BT87*$BT$2),AVEDEV(ARRAYFORMULA(XLOOKUP(FILTER(INDIRECT(""'""&amp;CP$1&amp;""'!$C$4:$C$66""),INDIRECT(""'""&amp;CP$1&amp;""'!$D$4:$D$66"")=CP$2),$G$4:$BQ$4,$G87:$BQ87))),"""")"),"")</f>
        <v/>
      </c>
      <c r="CR87" s="208" t="str">
        <f t="shared" si="14"/>
        <v/>
      </c>
      <c r="CS87" s="210">
        <f>IFERROR(__xludf.DUMMYFUNCTION("AVERAGE(ARRAYFORMULA(XLOOKUP(FILTER(INDIRECT(""'""&amp;CS$1&amp;""'!$C$4:$C$66""),INDIRECT(""'""&amp;CS$1&amp;""'!$D$4:$D$66"")=CS$2),$G$4:$BQ$4,$G87:$BQ87)))"),0.06784519692307692)</f>
        <v>0.06784519692</v>
      </c>
      <c r="CT87" s="207" t="str">
        <f>IFERROR(__xludf.DUMMYFUNCTION("IF(OR(CS87&gt;$BS87+$BT87*$BT$2,CS87&lt;$BS87-$BT87*$BT$2),AVEDEV(ARRAYFORMULA(XLOOKUP(FILTER(INDIRECT(""'""&amp;CS$1&amp;""'!$C$4:$C$66""),INDIRECT(""'""&amp;CS$1&amp;""'!$D$4:$D$66"")=CS$2),$G$4:$BQ$4,$G87:$BQ87))),"""")"),"")</f>
        <v/>
      </c>
      <c r="CU87" s="208" t="str">
        <f t="shared" si="15"/>
        <v/>
      </c>
      <c r="CV87" s="210">
        <f>IFERROR(__xludf.DUMMYFUNCTION("AVERAGE(ARRAYFORMULA(XLOOKUP(FILTER(INDIRECT(""'""&amp;CV$1&amp;""'!$C$4:$C$66""),INDIRECT(""'""&amp;CV$1&amp;""'!$D$4:$D$66"")=CV$2),$G$4:$BQ$4,$G87:$BQ87)))"),0.8311387159999999)</f>
        <v>0.831138716</v>
      </c>
      <c r="CW87" s="207">
        <f>IFERROR(__xludf.DUMMYFUNCTION("IF(OR(CV87&gt;$BS87+$BT87*$BT$2,CV87&lt;$BS87-$BT87*$BT$2),AVEDEV(ARRAYFORMULA(XLOOKUP(FILTER(INDIRECT(""'""&amp;CV$1&amp;""'!$C$4:$C$66""),INDIRECT(""'""&amp;CV$1&amp;""'!$D$4:$D$66"")=CV$2),$G$4:$BQ$4,$G87:$BQ87))),"""")"),0.38267494879999997)</f>
        <v>0.3826749488</v>
      </c>
      <c r="CX87" s="208">
        <f t="shared" si="16"/>
        <v>0.0003633963704</v>
      </c>
      <c r="CY87" s="209" t="s">
        <v>444</v>
      </c>
      <c r="CZ87" s="210">
        <f>IFERROR(__xludf.DUMMYFUNCTION("AVERAGE(ARRAYFORMULA(XLOOKUP(FILTER(INDIRECT(""'""&amp;CZ$1&amp;""'!$C$4:$C$66""),INDIRECT(""'""&amp;CZ$1&amp;""'!$D$4:$D$66"")=CZ$2),$G$4:$BQ$4,$G87:$BQ87)))"),0.3779710114285715)</f>
        <v>0.3779710114</v>
      </c>
      <c r="DA87" s="207" t="str">
        <f>IFERROR(__xludf.DUMMYFUNCTION("IF(OR(CZ87&gt;$BS87+$BT87*$BT$2,CZ87&lt;$BS87-$BT87*$BT$2),AVEDEV(ARRAYFORMULA(XLOOKUP(FILTER(INDIRECT(""'""&amp;CZ$1&amp;""'!$C$4:$C$66""),INDIRECT(""'""&amp;CZ$1&amp;""'!$D$4:$D$66"")=CZ$2),$G$4:$BQ$4,$G87:$BQ87))),"""")"),"")</f>
        <v/>
      </c>
      <c r="DB87" s="208" t="str">
        <f t="shared" si="17"/>
        <v/>
      </c>
      <c r="DC87" s="210">
        <f>IFERROR(__xludf.DUMMYFUNCTION("AVERAGE(ARRAYFORMULA(XLOOKUP(FILTER(INDIRECT(""'""&amp;DC$1&amp;""'!$C$4:$C$66""),INDIRECT(""'""&amp;DC$1&amp;""'!$D$4:$D$66"")=DC$2),$G$4:$BQ$4,$G87:$BQ87)))"),0.02567287333333332)</f>
        <v>0.02567287333</v>
      </c>
      <c r="DD87" s="207" t="str">
        <f>IFERROR(__xludf.DUMMYFUNCTION("IF(OR(DC87&gt;$BS87+$BT87*$BT$2,DC87&lt;$BS87-$BT87*$BT$2),AVEDEV(ARRAYFORMULA(XLOOKUP(FILTER(INDIRECT(""'""&amp;DC$1&amp;""'!$C$4:$C$66""),INDIRECT(""'""&amp;DC$1&amp;""'!$D$4:$D$66"")=DC$2),$G$4:$BQ$4,$G87:$BQ87))),"""")"),"")</f>
        <v/>
      </c>
      <c r="DE87" s="208" t="str">
        <f t="shared" si="18"/>
        <v/>
      </c>
      <c r="DF87" s="210">
        <f>IFERROR(__xludf.DUMMYFUNCTION("AVERAGE(ARRAYFORMULA(XLOOKUP(FILTER(INDIRECT(""'""&amp;DF$1&amp;""'!$C$4:$C$66""),INDIRECT(""'""&amp;DF$1&amp;""'!$D$4:$D$66"")=DF$2),$G$4:$BQ$4,$G87:$BQ87)))"),0.03198193999999999)</f>
        <v>0.03198194</v>
      </c>
      <c r="DG87" s="207" t="str">
        <f>IFERROR(__xludf.DUMMYFUNCTION("IF(OR(DF87&gt;$BS87+$BT87*$BT$2,DF87&lt;$BS87-$BT87*$BT$2),AVEDEV(ARRAYFORMULA(XLOOKUP(FILTER(INDIRECT(""'""&amp;DF$1&amp;""'!$C$4:$C$66""),INDIRECT(""'""&amp;DF$1&amp;""'!$D$4:$D$66"")=DF$2),$G$4:$BQ$4,$G87:$BQ87))),"""")"),"")</f>
        <v/>
      </c>
      <c r="DH87" s="208" t="str">
        <f t="shared" si="19"/>
        <v/>
      </c>
      <c r="DI87" s="210">
        <f>IFERROR(__xludf.DUMMYFUNCTION("AVERAGE(ARRAYFORMULA(XLOOKUP(FILTER(INDIRECT(""'""&amp;DI$1&amp;""'!$C$4:$C$66""),INDIRECT(""'""&amp;DI$1&amp;""'!$D$4:$D$66"")=DI$2),$G$4:$BQ$4,$G87:$BQ87)))"),-0.16737059000000004)</f>
        <v>-0.16737059</v>
      </c>
      <c r="DJ87" s="207" t="str">
        <f>IFERROR(__xludf.DUMMYFUNCTION("IF(OR(DI87&gt;$BS87+$BT87*$BT$2,DI87&lt;$BS87-$BT87*$BT$2),AVEDEV(ARRAYFORMULA(XLOOKUP(FILTER(INDIRECT(""'""&amp;DI$1&amp;""'!$C$4:$C$66""),INDIRECT(""'""&amp;DI$1&amp;""'!$D$4:$D$66"")=DI$2),$G$4:$BQ$4,$G87:$BQ87))),"""")"),"")</f>
        <v/>
      </c>
      <c r="DK87" s="208" t="str">
        <f t="shared" si="20"/>
        <v/>
      </c>
      <c r="DL87" s="210">
        <f>IFERROR(__xludf.DUMMYFUNCTION("AVERAGE(ARRAYFORMULA(XLOOKUP(FILTER(INDIRECT(""'""&amp;DL$1&amp;""'!$C$4:$C$66""),INDIRECT(""'""&amp;DL$1&amp;""'!$D$4:$D$66"")=DL$2),$G$4:$BQ$4,$G87:$BQ87)))"),-0.2861875221428572)</f>
        <v>-0.2861875221</v>
      </c>
      <c r="DM87" s="207" t="str">
        <f>IFERROR(__xludf.DUMMYFUNCTION("IF(OR(DL87&gt;$BS87+$BT87*$BT$2,DL87&lt;$BS87-$BT87*$BT$2),AVEDEV(ARRAYFORMULA(XLOOKUP(FILTER(INDIRECT(""'""&amp;DL$1&amp;""'!$C$4:$C$66""),INDIRECT(""'""&amp;DL$1&amp;""'!$D$4:$D$66"")=DL$2),$G$4:$BQ$4,$G87:$BQ87))),"""")"),"")</f>
        <v/>
      </c>
      <c r="DN87" s="208" t="str">
        <f t="shared" si="21"/>
        <v/>
      </c>
      <c r="DO87" s="209" t="s">
        <v>444</v>
      </c>
      <c r="DP87" s="210">
        <f>IFERROR(__xludf.DUMMYFUNCTION("AVERAGE(ARRAYFORMULA(XLOOKUP(FILTER(INDIRECT(""'""&amp;DP$1&amp;""'!$C$4:$C$66""),INDIRECT(""'""&amp;DP$1&amp;""'!$D$4:$D$66"")=DP$2),$G$4:$BQ$4,$G87:$BQ87)))"),0.10738992266666667)</f>
        <v>0.1073899227</v>
      </c>
      <c r="DQ87" s="207" t="str">
        <f>IFERROR(__xludf.DUMMYFUNCTION("IF(OR(DP87&gt;$BS87+$BT87*$BT$2,DP87&lt;$BS87-$BT87*$BT$2),AVEDEV(ARRAYFORMULA(XLOOKUP(FILTER(INDIRECT(""'""&amp;DP$1&amp;""'!$C$4:$C$66""),INDIRECT(""'""&amp;DP$1&amp;""'!$D$4:$D$66"")=DP$2),$G$4:$BQ$4,$G87:$BQ87))),"""")"),"")</f>
        <v/>
      </c>
      <c r="DR87" s="208" t="str">
        <f t="shared" si="22"/>
        <v/>
      </c>
      <c r="DS87" s="210">
        <f>IFERROR(__xludf.DUMMYFUNCTION("AVERAGE(ARRAYFORMULA(XLOOKUP(FILTER(INDIRECT(""'""&amp;DS$1&amp;""'!$C$4:$C$66""),INDIRECT(""'""&amp;DS$1&amp;""'!$D$4:$D$66"")=DS$2),$G$4:$BQ$4,$G87:$BQ87)))"),0.20135264999999997)</f>
        <v>0.20135265</v>
      </c>
      <c r="DT87" s="207" t="str">
        <f>IFERROR(__xludf.DUMMYFUNCTION("IF(OR(DS87&gt;$BS87+$BT87*$BT$2,DS87&lt;$BS87-$BT87*$BT$2),AVEDEV(ARRAYFORMULA(XLOOKUP(FILTER(INDIRECT(""'""&amp;DS$1&amp;""'!$C$4:$C$66""),INDIRECT(""'""&amp;DS$1&amp;""'!$D$4:$D$66"")=DS$2),$G$4:$BQ$4,$G87:$BQ87))),"""")"),"")</f>
        <v/>
      </c>
      <c r="DU87" s="208" t="str">
        <f t="shared" si="23"/>
        <v/>
      </c>
      <c r="DV87" s="210">
        <f>IFERROR(__xludf.DUMMYFUNCTION("AVERAGE(ARRAYFORMULA(XLOOKUP(FILTER(INDIRECT(""'""&amp;DV$1&amp;""'!$C$4:$C$66""),INDIRECT(""'""&amp;DV$1&amp;""'!$D$4:$D$66"")=DV$2),$G$4:$BQ$4,$G87:$BQ87)))"),-0.34186333874999997)</f>
        <v>-0.3418633388</v>
      </c>
      <c r="DW87" s="207" t="str">
        <f>IFERROR(__xludf.DUMMYFUNCTION("IF(OR(DV87&gt;$BS87+$BT87*$BT$2,DV87&lt;$BS87-$BT87*$BT$2),AVEDEV(ARRAYFORMULA(XLOOKUP(FILTER(INDIRECT(""'""&amp;DV$1&amp;""'!$C$4:$C$66""),INDIRECT(""'""&amp;DV$1&amp;""'!$D$4:$D$66"")=DV$2),$G$4:$BQ$4,$G87:$BQ87))),"""")"),"")</f>
        <v/>
      </c>
      <c r="DX87" s="208" t="str">
        <f t="shared" si="24"/>
        <v/>
      </c>
      <c r="DY87" s="210">
        <f>IFERROR(__xludf.DUMMYFUNCTION("AVERAGE(ARRAYFORMULA(XLOOKUP(FILTER(INDIRECT(""'""&amp;DY$1&amp;""'!$C$4:$C$66""),INDIRECT(""'""&amp;DY$1&amp;""'!$D$4:$D$66"")=DY$2),$G$4:$BQ$4,$G87:$BQ87)))"),0.21243156111111108)</f>
        <v>0.2124315611</v>
      </c>
      <c r="DZ87" s="207" t="str">
        <f>IFERROR(__xludf.DUMMYFUNCTION("IF(OR(DY87&gt;$BS87+$BT87*$BT$2,DY87&lt;$BS87-$BT87*$BT$2),AVEDEV(ARRAYFORMULA(XLOOKUP(FILTER(INDIRECT(""'""&amp;DY$1&amp;""'!$C$4:$C$66""),INDIRECT(""'""&amp;DY$1&amp;""'!$D$4:$D$66"")=DY$2),$G$4:$BQ$4,$G87:$BQ87))),"""")"),"")</f>
        <v/>
      </c>
      <c r="EA87" s="208" t="str">
        <f t="shared" si="25"/>
        <v/>
      </c>
      <c r="EB87" s="191"/>
    </row>
    <row r="88" outlineLevel="1">
      <c r="A88" s="2"/>
      <c r="B88" s="204">
        <v>84.0</v>
      </c>
      <c r="C88" s="204" t="s">
        <v>507</v>
      </c>
      <c r="D88" s="204" t="s">
        <v>529</v>
      </c>
      <c r="E88" s="205" t="b">
        <f>VLOOKUP(D88,'Feature Set List'!A84:C246,2,0)</f>
        <v>1</v>
      </c>
      <c r="F88" s="205" t="b">
        <f>VLOOKUP(D88,'Feature Set List'!A84:C246,3,0)</f>
        <v>1</v>
      </c>
      <c r="G88" s="205">
        <v>0.46222607</v>
      </c>
      <c r="H88" s="205">
        <v>0.51816609</v>
      </c>
      <c r="I88" s="205">
        <v>-0.6522491</v>
      </c>
      <c r="J88" s="205">
        <v>-0.0671857</v>
      </c>
      <c r="K88" s="205">
        <v>0.76326413</v>
      </c>
      <c r="L88" s="205">
        <v>0.09890427</v>
      </c>
      <c r="M88" s="205">
        <v>-0.6366782</v>
      </c>
      <c r="N88" s="205">
        <v>-0.7413495</v>
      </c>
      <c r="O88" s="205">
        <v>0.27018454</v>
      </c>
      <c r="P88" s="205">
        <v>-0.4645329</v>
      </c>
      <c r="Q88" s="205">
        <v>0.53489043</v>
      </c>
      <c r="R88" s="205">
        <v>-1.1107266</v>
      </c>
      <c r="S88" s="205">
        <v>0.07814302</v>
      </c>
      <c r="T88" s="205">
        <v>-0.2811419</v>
      </c>
      <c r="U88" s="205">
        <v>-1.2448097</v>
      </c>
      <c r="V88" s="205">
        <v>0.43079585</v>
      </c>
      <c r="W88" s="205">
        <v>-0.2658593</v>
      </c>
      <c r="X88" s="205">
        <v>-1.2805652</v>
      </c>
      <c r="Y88" s="205">
        <v>1.05882353</v>
      </c>
      <c r="Z88" s="205">
        <v>-0.5746828</v>
      </c>
      <c r="AA88" s="205">
        <v>-0.9405998</v>
      </c>
      <c r="AB88" s="205">
        <v>-0.5348904</v>
      </c>
      <c r="AC88" s="205">
        <v>0.0</v>
      </c>
      <c r="AD88" s="205">
        <v>0.84400231</v>
      </c>
      <c r="AE88" s="205">
        <v>-0.3318916</v>
      </c>
      <c r="AF88" s="205">
        <v>0.37399077</v>
      </c>
      <c r="AG88" s="205">
        <v>0.0227797</v>
      </c>
      <c r="AH88" s="205">
        <v>-0.843714</v>
      </c>
      <c r="AI88" s="205">
        <v>0.16955017</v>
      </c>
      <c r="AJ88" s="205">
        <v>0.54469435</v>
      </c>
      <c r="AK88" s="205">
        <v>0.17185698</v>
      </c>
      <c r="AL88" s="205">
        <v>0.69434833</v>
      </c>
      <c r="AM88" s="205">
        <v>0.35611303</v>
      </c>
      <c r="AN88" s="205">
        <v>0.50980392</v>
      </c>
      <c r="AO88" s="205">
        <v>-0.8079585</v>
      </c>
      <c r="AP88" s="205">
        <v>-0.2589389</v>
      </c>
      <c r="AQ88" s="205">
        <v>-0.0902537</v>
      </c>
      <c r="AR88" s="205">
        <v>0.99567474</v>
      </c>
      <c r="AS88" s="205">
        <v>-0.0213379</v>
      </c>
      <c r="AT88" s="205">
        <v>-0.2851788</v>
      </c>
      <c r="AU88" s="205">
        <v>-0.0037486</v>
      </c>
      <c r="AV88" s="205">
        <v>0.64734717</v>
      </c>
      <c r="AW88" s="205">
        <v>-0.1536909</v>
      </c>
      <c r="AX88" s="205">
        <v>-0.0648789</v>
      </c>
      <c r="AY88" s="205">
        <v>-0.599481</v>
      </c>
      <c r="AZ88" s="205">
        <v>-0.1805075</v>
      </c>
      <c r="BA88" s="205">
        <v>-0.4244521</v>
      </c>
      <c r="BB88" s="205">
        <v>-1.2791234</v>
      </c>
      <c r="BC88" s="205">
        <v>0.73673587</v>
      </c>
      <c r="BD88" s="205">
        <v>0.33737024</v>
      </c>
      <c r="BE88" s="205">
        <v>-1.0844867</v>
      </c>
      <c r="BF88" s="205">
        <v>0.32410611</v>
      </c>
      <c r="BG88" s="205">
        <v>-0.4930796</v>
      </c>
      <c r="BH88" s="205">
        <v>0.8399654</v>
      </c>
      <c r="BI88" s="205">
        <v>0.16262976</v>
      </c>
      <c r="BJ88" s="205">
        <v>0.36937716</v>
      </c>
      <c r="BK88" s="205">
        <v>0.24625144</v>
      </c>
      <c r="BL88" s="205">
        <v>-1.4933679</v>
      </c>
      <c r="BM88" s="205">
        <v>-1.2618224</v>
      </c>
      <c r="BN88" s="205">
        <v>0.66032295</v>
      </c>
      <c r="BO88" s="205">
        <v>1.05420992</v>
      </c>
      <c r="BP88" s="205">
        <v>0.57439446</v>
      </c>
      <c r="BQ88" s="205">
        <v>0.71828143</v>
      </c>
      <c r="BR88" s="206"/>
      <c r="BS88" s="207">
        <f t="shared" si="6"/>
        <v>-0.04609491048</v>
      </c>
      <c r="BT88" s="207">
        <f t="shared" si="7"/>
        <v>0.5432172888</v>
      </c>
      <c r="BU88" s="206"/>
      <c r="BV88" s="207">
        <f>IFERROR(__xludf.DUMMYFUNCTION("AVERAGE(ARRAYFORMULA(XLOOKUP(FILTER(INDIRECT(""'""&amp;BV$1&amp;""'!$C$4:$C$66""),INDIRECT(""'""&amp;BV$1&amp;""'!$D$4:$D$66"")=BV$2),$G$4:$BQ$4,$G88:$BQ88)))"),-1.1128274857142857)</f>
        <v>-1.112827486</v>
      </c>
      <c r="BW88" s="207">
        <f>IFERROR(__xludf.DUMMYFUNCTION("IF(OR(BV88&gt;$BS88+$BT88*$BT$2,BV88&lt;$BS88-$BT88*$BT$2),AVEDEV(ARRAYFORMULA(XLOOKUP(FILTER(INDIRECT(""'""&amp;BV$1&amp;""'!$C$4:$C$66""),INDIRECT(""'""&amp;BV$1&amp;""'!$D$4:$D$66"")=BV$2),$G$4:$BQ$4,$G88:$BQ88))),"""")"),0.2418732163265306)</f>
        <v>0.2418732163</v>
      </c>
      <c r="BX88" s="208">
        <f t="shared" si="8"/>
        <v>-0.5235152865</v>
      </c>
      <c r="BY88" s="207">
        <f>IFERROR(__xludf.DUMMYFUNCTION("AVERAGE(ARRAYFORMULA(XLOOKUP(FILTER(INDIRECT(""'""&amp;BY$1&amp;""'!$C$4:$C$66""),INDIRECT(""'""&amp;BY$1&amp;""'!$D$4:$D$66"")=BY$2),$G$4:$BQ$4,$G88:$BQ88)))"),0.1601307180952381)</f>
        <v>0.1601307181</v>
      </c>
      <c r="BZ88" s="207" t="str">
        <f>IFERROR(__xludf.DUMMYFUNCTION("IF(OR(BY88&gt;$BS88+$BT88*$BT$2,BY88&lt;$BS88-$BT88*$BT$2),AVEDEV(ARRAYFORMULA(XLOOKUP(FILTER(INDIRECT(""'""&amp;BY$1&amp;""'!$C$4:$C$66""),INDIRECT(""'""&amp;BY$1&amp;""'!$D$4:$D$66"")=BY$2),$G$4:$BQ$4,$G88:$BQ88))),"""")"),"")</f>
        <v/>
      </c>
      <c r="CA88" s="208" t="str">
        <f t="shared" si="9"/>
        <v/>
      </c>
      <c r="CB88" s="207">
        <f>IFERROR(__xludf.DUMMYFUNCTION("AVERAGE(ARRAYFORMULA(XLOOKUP(FILTER(INDIRECT(""'""&amp;CB$1&amp;""'!$C$4:$C$66""),INDIRECT(""'""&amp;CB$1&amp;""'!$D$4:$D$66"")=CB$2),$G$4:$BQ$4,$G88:$BQ88)))"),-0.13827724181818185)</f>
        <v>-0.1382772418</v>
      </c>
      <c r="CC88" s="207" t="str">
        <f>IFERROR(__xludf.DUMMYFUNCTION("IF(OR(CB88&gt;$BS88+$BT88*$BT$2,CB88&lt;$BS88-$BT88*$BT$2),AVEDEV(ARRAYFORMULA(XLOOKUP(FILTER(INDIRECT(""'""&amp;CB$1&amp;""'!$C$4:$C$66""),INDIRECT(""'""&amp;CB$1&amp;""'!$D$4:$D$66"")=CB$2),$G$4:$BQ$4,$G88:$BQ88))),"""")"),"")</f>
        <v/>
      </c>
      <c r="CD88" s="208" t="str">
        <f t="shared" si="10"/>
        <v/>
      </c>
      <c r="CE88" s="209" t="s">
        <v>444</v>
      </c>
      <c r="CF88" s="207">
        <f>IFERROR(__xludf.DUMMYFUNCTION("AVERAGE(ARRAYFORMULA(XLOOKUP(FILTER(INDIRECT(""'""&amp;CF$1&amp;""'!$C$4:$C$66""),INDIRECT(""'""&amp;CF$1&amp;""'!$D$4:$D$66"")=CF$2),$G$4:$BQ$4,$G88:$BQ88)))"),-0.128243948125)</f>
        <v>-0.1282439481</v>
      </c>
      <c r="CG88" s="207" t="str">
        <f>IFERROR(__xludf.DUMMYFUNCTION("IF(OR(CF88&gt;$BS88+$BT88*$BT$2,CF88&lt;$BS88-$BT88*$BT$2),AVEDEV(ARRAYFORMULA(XLOOKUP(FILTER(INDIRECT(""'""&amp;CF$1&amp;""'!$C$4:$C$66""),INDIRECT(""'""&amp;CF$1&amp;""'!$D$4:$D$66"")=CF$2),$G$4:$BQ$4,$G88:$BQ88))),"""")"),"")</f>
        <v/>
      </c>
      <c r="CH88" s="208" t="str">
        <f t="shared" si="11"/>
        <v/>
      </c>
      <c r="CI88" s="207">
        <f>IFERROR(__xludf.DUMMYFUNCTION("AVERAGE(ARRAYFORMULA(XLOOKUP(FILTER(INDIRECT(""'""&amp;CI$1&amp;""'!$C$4:$C$66""),INDIRECT(""'""&amp;CI$1&amp;""'!$D$4:$D$66"")=CI$2),$G$4:$BQ$4,$G88:$BQ88)))"),0.11443799483870967)</f>
        <v>0.1144379948</v>
      </c>
      <c r="CJ88" s="207" t="str">
        <f>IFERROR(__xludf.DUMMYFUNCTION("IF(OR(CI88&gt;$BS88+$BT88*$BT$2,CI88&lt;$BS88-$BT88*$BT$2),AVEDEV(ARRAYFORMULA(XLOOKUP(FILTER(INDIRECT(""'""&amp;CI$1&amp;""'!$C$4:$C$66""),INDIRECT(""'""&amp;CI$1&amp;""'!$D$4:$D$66"")=CI$2),$G$4:$BQ$4,$G88:$BQ88))),"""")"),"")</f>
        <v/>
      </c>
      <c r="CK88" s="208" t="str">
        <f t="shared" si="12"/>
        <v/>
      </c>
      <c r="CL88" s="207">
        <f>IFERROR(__xludf.DUMMYFUNCTION("AVERAGE(ARRAYFORMULA(XLOOKUP(FILTER(INDIRECT(""'""&amp;CL$1&amp;""'!$C$4:$C$66""),INDIRECT(""'""&amp;CL$1&amp;""'!$D$4:$D$66"")=CL$2),$G$4:$BQ$4,$G88:$BQ88)))"),-0.33690888)</f>
        <v>-0.33690888</v>
      </c>
      <c r="CM88" s="207" t="str">
        <f>IFERROR(__xludf.DUMMYFUNCTION("IF(OR(CL88&gt;$BS88+$BT88*$BT$2,CL88&lt;$BS88-$BT88*$BT$2),AVEDEV(ARRAYFORMULA(XLOOKUP(FILTER(INDIRECT(""'""&amp;CL$1&amp;""'!$C$4:$C$66""),INDIRECT(""'""&amp;CL$1&amp;""'!$D$4:$D$66"")=CL$2),$G$4:$BQ$4,$G88:$BQ88))),"""")"),"")</f>
        <v/>
      </c>
      <c r="CN88" s="208" t="str">
        <f t="shared" si="13"/>
        <v/>
      </c>
      <c r="CO88" s="209" t="s">
        <v>444</v>
      </c>
      <c r="CP88" s="210">
        <f>IFERROR(__xludf.DUMMYFUNCTION("AVERAGE(ARRAYFORMULA(XLOOKUP(FILTER(INDIRECT(""'""&amp;CP$1&amp;""'!$C$4:$C$66""),INDIRECT(""'""&amp;CP$1&amp;""'!$D$4:$D$66"")=CP$2),$G$4:$BQ$4,$G88:$BQ88)))"),-0.4835447986666667)</f>
        <v>-0.4835447987</v>
      </c>
      <c r="CQ88" s="207" t="str">
        <f>IFERROR(__xludf.DUMMYFUNCTION("IF(OR(CP88&gt;$BS88+$BT88*$BT$2,CP88&lt;$BS88-$BT88*$BT$2),AVEDEV(ARRAYFORMULA(XLOOKUP(FILTER(INDIRECT(""'""&amp;CP$1&amp;""'!$C$4:$C$66""),INDIRECT(""'""&amp;CP$1&amp;""'!$D$4:$D$66"")=CP$2),$G$4:$BQ$4,$G88:$BQ88))),"""")"),"")</f>
        <v/>
      </c>
      <c r="CR88" s="208" t="str">
        <f t="shared" si="14"/>
        <v/>
      </c>
      <c r="CS88" s="210">
        <f>IFERROR(__xludf.DUMMYFUNCTION("AVERAGE(ARRAYFORMULA(XLOOKUP(FILTER(INDIRECT(""'""&amp;CS$1&amp;""'!$C$4:$C$66""),INDIRECT(""'""&amp;CS$1&amp;""'!$D$4:$D$66"")=CS$2),$G$4:$BQ$4,$G88:$BQ88)))"),0.20117262512820516)</f>
        <v>0.2011726251</v>
      </c>
      <c r="CT88" s="207" t="str">
        <f>IFERROR(__xludf.DUMMYFUNCTION("IF(OR(CS88&gt;$BS88+$BT88*$BT$2,CS88&lt;$BS88-$BT88*$BT$2),AVEDEV(ARRAYFORMULA(XLOOKUP(FILTER(INDIRECT(""'""&amp;CS$1&amp;""'!$C$4:$C$66""),INDIRECT(""'""&amp;CS$1&amp;""'!$D$4:$D$66"")=CS$2),$G$4:$BQ$4,$G88:$BQ88))),"""")"),"")</f>
        <v/>
      </c>
      <c r="CU88" s="208" t="str">
        <f t="shared" si="15"/>
        <v/>
      </c>
      <c r="CV88" s="210">
        <f>IFERROR(__xludf.DUMMYFUNCTION("AVERAGE(ARRAYFORMULA(XLOOKUP(FILTER(INDIRECT(""'""&amp;CV$1&amp;""'!$C$4:$C$66""),INDIRECT(""'""&amp;CV$1&amp;""'!$D$4:$D$66"")=CV$2),$G$4:$BQ$4,$G88:$BQ88)))"),-0.33690888)</f>
        <v>-0.33690888</v>
      </c>
      <c r="CW88" s="207" t="str">
        <f>IFERROR(__xludf.DUMMYFUNCTION("IF(OR(CV88&gt;$BS88+$BT88*$BT$2,CV88&lt;$BS88-$BT88*$BT$2),AVEDEV(ARRAYFORMULA(XLOOKUP(FILTER(INDIRECT(""'""&amp;CV$1&amp;""'!$C$4:$C$66""),INDIRECT(""'""&amp;CV$1&amp;""'!$D$4:$D$66"")=CV$2),$G$4:$BQ$4,$G88:$BQ88))),"""")"),"")</f>
        <v/>
      </c>
      <c r="CX88" s="208" t="str">
        <f t="shared" si="16"/>
        <v/>
      </c>
      <c r="CY88" s="209" t="s">
        <v>444</v>
      </c>
      <c r="CZ88" s="210">
        <f>IFERROR(__xludf.DUMMYFUNCTION("AVERAGE(ARRAYFORMULA(XLOOKUP(FILTER(INDIRECT(""'""&amp;CZ$1&amp;""'!$C$4:$C$66""),INDIRECT(""'""&amp;CZ$1&amp;""'!$D$4:$D$66"")=CZ$2),$G$4:$BQ$4,$G88:$BQ88)))"),0.06675316928571429)</f>
        <v>0.06675316929</v>
      </c>
      <c r="DA88" s="207" t="str">
        <f>IFERROR(__xludf.DUMMYFUNCTION("IF(OR(CZ88&gt;$BS88+$BT88*$BT$2,CZ88&lt;$BS88-$BT88*$BT$2),AVEDEV(ARRAYFORMULA(XLOOKUP(FILTER(INDIRECT(""'""&amp;CZ$1&amp;""'!$C$4:$C$66""),INDIRECT(""'""&amp;CZ$1&amp;""'!$D$4:$D$66"")=CZ$2),$G$4:$BQ$4,$G88:$BQ88))),"""")"),"")</f>
        <v/>
      </c>
      <c r="DB88" s="208" t="str">
        <f t="shared" si="17"/>
        <v/>
      </c>
      <c r="DC88" s="210">
        <f>IFERROR(__xludf.DUMMYFUNCTION("AVERAGE(ARRAYFORMULA(XLOOKUP(FILTER(INDIRECT(""'""&amp;DC$1&amp;""'!$C$4:$C$66""),INDIRECT(""'""&amp;DC$1&amp;""'!$D$4:$D$66"")=DC$2),$G$4:$BQ$4,$G88:$BQ88)))"),-0.008746640000000003)</f>
        <v>-0.00874664</v>
      </c>
      <c r="DD88" s="207" t="str">
        <f>IFERROR(__xludf.DUMMYFUNCTION("IF(OR(DC88&gt;$BS88+$BT88*$BT$2,DC88&lt;$BS88-$BT88*$BT$2),AVEDEV(ARRAYFORMULA(XLOOKUP(FILTER(INDIRECT(""'""&amp;DC$1&amp;""'!$C$4:$C$66""),INDIRECT(""'""&amp;DC$1&amp;""'!$D$4:$D$66"")=DC$2),$G$4:$BQ$4,$G88:$BQ88))),"""")"),"")</f>
        <v/>
      </c>
      <c r="DE88" s="208" t="str">
        <f t="shared" si="18"/>
        <v/>
      </c>
      <c r="DF88" s="210">
        <f>IFERROR(__xludf.DUMMYFUNCTION("AVERAGE(ARRAYFORMULA(XLOOKUP(FILTER(INDIRECT(""'""&amp;DF$1&amp;""'!$C$4:$C$66""),INDIRECT(""'""&amp;DF$1&amp;""'!$D$4:$D$66"")=DF$2),$G$4:$BQ$4,$G88:$BQ88)))"),-0.10383245090909093)</f>
        <v>-0.1038324509</v>
      </c>
      <c r="DG88" s="207" t="str">
        <f>IFERROR(__xludf.DUMMYFUNCTION("IF(OR(DF88&gt;$BS88+$BT88*$BT$2,DF88&lt;$BS88-$BT88*$BT$2),AVEDEV(ARRAYFORMULA(XLOOKUP(FILTER(INDIRECT(""'""&amp;DF$1&amp;""'!$C$4:$C$66""),INDIRECT(""'""&amp;DF$1&amp;""'!$D$4:$D$66"")=DF$2),$G$4:$BQ$4,$G88:$BQ88))),"""")"),"")</f>
        <v/>
      </c>
      <c r="DH88" s="208" t="str">
        <f t="shared" si="19"/>
        <v/>
      </c>
      <c r="DI88" s="210">
        <f>IFERROR(__xludf.DUMMYFUNCTION("AVERAGE(ARRAYFORMULA(XLOOKUP(FILTER(INDIRECT(""'""&amp;DI$1&amp;""'!$C$4:$C$66""),INDIRECT(""'""&amp;DI$1&amp;""'!$D$4:$D$66"")=DI$2),$G$4:$BQ$4,$G88:$BQ88)))"),0.8419838550000001)</f>
        <v>0.841983855</v>
      </c>
      <c r="DJ88" s="207">
        <f>IFERROR(__xludf.DUMMYFUNCTION("IF(OR(DI88&gt;$BS88+$BT88*$BT$2,DI88&lt;$BS88-$BT88*$BT$2),AVEDEV(ARRAYFORMULA(XLOOKUP(FILTER(INDIRECT(""'""&amp;DI$1&amp;""'!$C$4:$C$66""),INDIRECT(""'""&amp;DI$1&amp;""'!$D$4:$D$66"")=DI$2),$G$4:$BQ$4,$G88:$BQ88))),"""")"),0.00201845500000003)</f>
        <v>0.002018455</v>
      </c>
      <c r="DK88" s="208">
        <f t="shared" si="20"/>
        <v>0.3448614767</v>
      </c>
      <c r="DL88" s="210">
        <f>IFERROR(__xludf.DUMMYFUNCTION("AVERAGE(ARRAYFORMULA(XLOOKUP(FILTER(INDIRECT(""'""&amp;DL$1&amp;""'!$C$4:$C$66""),INDIRECT(""'""&amp;DL$1&amp;""'!$D$4:$D$66"")=DL$2),$G$4:$BQ$4,$G88:$BQ88)))"),0.30905009357142854)</f>
        <v>0.3090500936</v>
      </c>
      <c r="DM88" s="207" t="str">
        <f>IFERROR(__xludf.DUMMYFUNCTION("IF(OR(DL88&gt;$BS88+$BT88*$BT$2,DL88&lt;$BS88-$BT88*$BT$2),AVEDEV(ARRAYFORMULA(XLOOKUP(FILTER(INDIRECT(""'""&amp;DL$1&amp;""'!$C$4:$C$66""),INDIRECT(""'""&amp;DL$1&amp;""'!$D$4:$D$66"")=DL$2),$G$4:$BQ$4,$G88:$BQ88))),"""")"),"")</f>
        <v/>
      </c>
      <c r="DN88" s="208" t="str">
        <f t="shared" si="21"/>
        <v/>
      </c>
      <c r="DO88" s="209" t="s">
        <v>444</v>
      </c>
      <c r="DP88" s="210">
        <f>IFERROR(__xludf.DUMMYFUNCTION("AVERAGE(ARRAYFORMULA(XLOOKUP(FILTER(INDIRECT(""'""&amp;DP$1&amp;""'!$C$4:$C$66""),INDIRECT(""'""&amp;DP$1&amp;""'!$D$4:$D$66"")=DP$2),$G$4:$BQ$4,$G88:$BQ88)))"),0.009919260999999995)</f>
        <v>0.009919261</v>
      </c>
      <c r="DQ88" s="207" t="str">
        <f>IFERROR(__xludf.DUMMYFUNCTION("IF(OR(DP88&gt;$BS88+$BT88*$BT$2,DP88&lt;$BS88-$BT88*$BT$2),AVEDEV(ARRAYFORMULA(XLOOKUP(FILTER(INDIRECT(""'""&amp;DP$1&amp;""'!$C$4:$C$66""),INDIRECT(""'""&amp;DP$1&amp;""'!$D$4:$D$66"")=DP$2),$G$4:$BQ$4,$G88:$BQ88))),"""")"),"")</f>
        <v/>
      </c>
      <c r="DR88" s="208" t="str">
        <f t="shared" si="22"/>
        <v/>
      </c>
      <c r="DS88" s="210">
        <f>IFERROR(__xludf.DUMMYFUNCTION("AVERAGE(ARRAYFORMULA(XLOOKUP(FILTER(INDIRECT(""'""&amp;DS$1&amp;""'!$C$4:$C$66""),INDIRECT(""'""&amp;DS$1&amp;""'!$D$4:$D$66"")=DS$2),$G$4:$BQ$4,$G88:$BQ88)))"),-0.23622325444444442)</f>
        <v>-0.2362232544</v>
      </c>
      <c r="DT88" s="207" t="str">
        <f>IFERROR(__xludf.DUMMYFUNCTION("IF(OR(DS88&gt;$BS88+$BT88*$BT$2,DS88&lt;$BS88-$BT88*$BT$2),AVEDEV(ARRAYFORMULA(XLOOKUP(FILTER(INDIRECT(""'""&amp;DS$1&amp;""'!$C$4:$C$66""),INDIRECT(""'""&amp;DS$1&amp;""'!$D$4:$D$66"")=DS$2),$G$4:$BQ$4,$G88:$BQ88))),"""")"),"")</f>
        <v/>
      </c>
      <c r="DU88" s="208" t="str">
        <f t="shared" si="23"/>
        <v/>
      </c>
      <c r="DV88" s="210">
        <f>IFERROR(__xludf.DUMMYFUNCTION("AVERAGE(ARRAYFORMULA(XLOOKUP(FILTER(INDIRECT(""'""&amp;DV$1&amp;""'!$C$4:$C$66""),INDIRECT(""'""&amp;DV$1&amp;""'!$D$4:$D$66"")=DV$2),$G$4:$BQ$4,$G88:$BQ88)))"),-0.39788783625000007)</f>
        <v>-0.3978878363</v>
      </c>
      <c r="DW88" s="207" t="str">
        <f>IFERROR(__xludf.DUMMYFUNCTION("IF(OR(DV88&gt;$BS88+$BT88*$BT$2,DV88&lt;$BS88-$BT88*$BT$2),AVEDEV(ARRAYFORMULA(XLOOKUP(FILTER(INDIRECT(""'""&amp;DV$1&amp;""'!$C$4:$C$66""),INDIRECT(""'""&amp;DV$1&amp;""'!$D$4:$D$66"")=DV$2),$G$4:$BQ$4,$G88:$BQ88))),"""")"),"")</f>
        <v/>
      </c>
      <c r="DX88" s="208" t="str">
        <f t="shared" si="24"/>
        <v/>
      </c>
      <c r="DY88" s="210">
        <f>IFERROR(__xludf.DUMMYFUNCTION("AVERAGE(ARRAYFORMULA(XLOOKUP(FILTER(INDIRECT(""'""&amp;DY$1&amp;""'!$C$4:$C$66""),INDIRECT(""'""&amp;DY$1&amp;""'!$D$4:$D$66"")=DY$2),$G$4:$BQ$4,$G88:$BQ88)))"),0.5569332344444445)</f>
        <v>0.5569332344</v>
      </c>
      <c r="DZ88" s="207">
        <f>IFERROR(__xludf.DUMMYFUNCTION("IF(OR(DY88&gt;$BS88+$BT88*$BT$2,DY88&lt;$BS88-$BT88*$BT$2),AVEDEV(ARRAYFORMULA(XLOOKUP(FILTER(INDIRECT(""'""&amp;DY$1&amp;""'!$C$4:$C$66""),INDIRECT(""'""&amp;DY$1&amp;""'!$D$4:$D$66"")=DY$2),$G$4:$BQ$4,$G88:$BQ88))),"""")"),0.37170176395061727)</f>
        <v>0.371701764</v>
      </c>
      <c r="EA88" s="208">
        <f t="shared" si="25"/>
        <v>0.05981085615</v>
      </c>
      <c r="EB88" s="191"/>
    </row>
    <row r="89" outlineLevel="1">
      <c r="A89" s="2"/>
      <c r="B89" s="204">
        <v>85.0</v>
      </c>
      <c r="C89" s="204" t="s">
        <v>507</v>
      </c>
      <c r="D89" s="204" t="s">
        <v>530</v>
      </c>
      <c r="E89" s="205" t="b">
        <f>VLOOKUP(D89,'Feature Set List'!A85:C246,2,0)</f>
        <v>1</v>
      </c>
      <c r="F89" s="205" t="b">
        <f>VLOOKUP(D89,'Feature Set List'!A85:C246,3,0)</f>
        <v>1</v>
      </c>
      <c r="G89" s="205">
        <v>1.00947779</v>
      </c>
      <c r="H89" s="205">
        <v>0.48318156</v>
      </c>
      <c r="I89" s="205">
        <v>-1.7212414</v>
      </c>
      <c r="J89" s="205">
        <v>-0.0282475</v>
      </c>
      <c r="K89" s="205">
        <v>1.09273369</v>
      </c>
      <c r="L89" s="205">
        <v>-0.0903178</v>
      </c>
      <c r="M89" s="205">
        <v>0.68611782</v>
      </c>
      <c r="N89" s="205">
        <v>-1.481509</v>
      </c>
      <c r="O89" s="205">
        <v>0.28953726</v>
      </c>
      <c r="P89" s="205">
        <v>-0.8184352</v>
      </c>
      <c r="Q89" s="205">
        <v>0.38543022</v>
      </c>
      <c r="R89" s="205">
        <v>-0.2572013</v>
      </c>
      <c r="S89" s="205">
        <v>0.06653038</v>
      </c>
      <c r="T89" s="205">
        <v>-0.5891098</v>
      </c>
      <c r="U89" s="205">
        <v>-1.9329121</v>
      </c>
      <c r="V89" s="205">
        <v>0.20405129</v>
      </c>
      <c r="W89" s="205">
        <v>-0.1456978</v>
      </c>
      <c r="X89" s="205">
        <v>-1.8929567</v>
      </c>
      <c r="Y89" s="205">
        <v>1.30013009</v>
      </c>
      <c r="Z89" s="205">
        <v>0.32224494</v>
      </c>
      <c r="AA89" s="205">
        <v>-1.0406988</v>
      </c>
      <c r="AB89" s="205">
        <v>0.0</v>
      </c>
      <c r="AC89" s="205">
        <v>-0.1955027</v>
      </c>
      <c r="AD89" s="205">
        <v>0.84482438</v>
      </c>
      <c r="AE89" s="205">
        <v>-0.3843152</v>
      </c>
      <c r="AF89" s="205">
        <v>0.40921762</v>
      </c>
      <c r="AG89" s="205">
        <v>-0.6954098</v>
      </c>
      <c r="AH89" s="205">
        <v>-0.5036239</v>
      </c>
      <c r="AI89" s="205">
        <v>-0.095893</v>
      </c>
      <c r="AJ89" s="205">
        <v>0.78424085</v>
      </c>
      <c r="AK89" s="205">
        <v>-0.1233971</v>
      </c>
      <c r="AL89" s="205">
        <v>0.48838506</v>
      </c>
      <c r="AM89" s="205">
        <v>-0.3352537</v>
      </c>
      <c r="AN89" s="205">
        <v>0.82847054</v>
      </c>
      <c r="AO89" s="205">
        <v>-1.5617915</v>
      </c>
      <c r="AP89" s="205">
        <v>-0.4014124</v>
      </c>
      <c r="AQ89" s="205">
        <v>0.09403457</v>
      </c>
      <c r="AR89" s="205">
        <v>1.42873072</v>
      </c>
      <c r="AS89" s="205">
        <v>0.086601</v>
      </c>
      <c r="AT89" s="205">
        <v>-0.3218733</v>
      </c>
      <c r="AU89" s="205">
        <v>-0.2382457</v>
      </c>
      <c r="AV89" s="205">
        <v>0.59171158</v>
      </c>
      <c r="AW89" s="205">
        <v>-0.3872886</v>
      </c>
      <c r="AX89" s="205">
        <v>0.76379855</v>
      </c>
      <c r="AY89" s="205">
        <v>-0.2594313</v>
      </c>
      <c r="AZ89" s="205">
        <v>-0.2330422</v>
      </c>
      <c r="BA89" s="205">
        <v>-0.6511801</v>
      </c>
      <c r="BB89" s="205">
        <v>-2.0608065</v>
      </c>
      <c r="BC89" s="205">
        <v>0.60100353</v>
      </c>
      <c r="BD89" s="205">
        <v>0.5761011</v>
      </c>
      <c r="BE89" s="205">
        <v>-0.9730533</v>
      </c>
      <c r="BF89" s="205">
        <v>0.27021</v>
      </c>
      <c r="BG89" s="205">
        <v>-0.9916372</v>
      </c>
      <c r="BH89" s="205">
        <v>0.85931983</v>
      </c>
      <c r="BI89" s="205">
        <v>0.41404943</v>
      </c>
      <c r="BJ89" s="205">
        <v>0.4961903</v>
      </c>
      <c r="BK89" s="205">
        <v>0.12339714</v>
      </c>
      <c r="BL89" s="205">
        <v>-1.7108344</v>
      </c>
      <c r="BM89" s="205">
        <v>-2.0268723</v>
      </c>
      <c r="BN89" s="205">
        <v>0.51886266</v>
      </c>
      <c r="BO89" s="205">
        <v>1.27262591</v>
      </c>
      <c r="BP89" s="205">
        <v>0.59022487</v>
      </c>
      <c r="BQ89" s="205">
        <v>1.09236201</v>
      </c>
      <c r="BR89" s="206"/>
      <c r="BS89" s="207">
        <f t="shared" si="6"/>
        <v>-0.08214912556</v>
      </c>
      <c r="BT89" s="207">
        <f t="shared" si="7"/>
        <v>0.6875069947</v>
      </c>
      <c r="BU89" s="206"/>
      <c r="BV89" s="207">
        <f>IFERROR(__xludf.DUMMYFUNCTION("AVERAGE(ARRAYFORMULA(XLOOKUP(FILTER(INDIRECT(""'""&amp;BV$1&amp;""'!$C$4:$C$66""),INDIRECT(""'""&amp;BV$1&amp;""'!$D$4:$D$66"")=BV$2),$G$4:$BQ$4,$G89:$BQ89)))"),-1.4845408285714288)</f>
        <v>-1.484540829</v>
      </c>
      <c r="BW89" s="207">
        <f>IFERROR(__xludf.DUMMYFUNCTION("IF(OR(BV89&gt;$BS89+$BT89*$BT$2,BV89&lt;$BS89-$BT89*$BT$2),AVEDEV(ARRAYFORMULA(XLOOKUP(FILTER(INDIRECT(""'""&amp;BV$1&amp;""'!$C$4:$C$66""),INDIRECT(""'""&amp;BV$1&amp;""'!$D$4:$D$66"")=BV$2),$G$4:$BQ$4,$G89:$BQ89))),"""")"),0.496170587755102)</f>
        <v>0.4961705878</v>
      </c>
      <c r="BX89" s="208">
        <f t="shared" si="8"/>
        <v>-0.7148847083</v>
      </c>
      <c r="BY89" s="207">
        <f>IFERROR(__xludf.DUMMYFUNCTION("AVERAGE(ARRAYFORMULA(XLOOKUP(FILTER(INDIRECT(""'""&amp;BY$1&amp;""'!$C$4:$C$66""),INDIRECT(""'""&amp;BY$1&amp;""'!$D$4:$D$66"")=BY$2),$G$4:$BQ$4,$G89:$BQ89)))"),0.18451163738095241)</f>
        <v>0.1845116374</v>
      </c>
      <c r="BZ89" s="207" t="str">
        <f>IFERROR(__xludf.DUMMYFUNCTION("IF(OR(BY89&gt;$BS89+$BT89*$BT$2,BY89&lt;$BS89-$BT89*$BT$2),AVEDEV(ARRAYFORMULA(XLOOKUP(FILTER(INDIRECT(""'""&amp;BY$1&amp;""'!$C$4:$C$66""),INDIRECT(""'""&amp;BY$1&amp;""'!$D$4:$D$66"")=BY$2),$G$4:$BQ$4,$G89:$BQ89))),"""")"),"")</f>
        <v/>
      </c>
      <c r="CA89" s="208" t="str">
        <f t="shared" si="9"/>
        <v/>
      </c>
      <c r="CB89" s="207">
        <f>IFERROR(__xludf.DUMMYFUNCTION("AVERAGE(ARRAYFORMULA(XLOOKUP(FILTER(INDIRECT(""'""&amp;CB$1&amp;""'!$C$4:$C$66""),INDIRECT(""'""&amp;CB$1&amp;""'!$D$4:$D$66"")=CB$2),$G$4:$BQ$4,$G89:$BQ89)))"),-0.10451926181818183)</f>
        <v>-0.1045192618</v>
      </c>
      <c r="CC89" s="207" t="str">
        <f>IFERROR(__xludf.DUMMYFUNCTION("IF(OR(CB89&gt;$BS89+$BT89*$BT$2,CB89&lt;$BS89-$BT89*$BT$2),AVEDEV(ARRAYFORMULA(XLOOKUP(FILTER(INDIRECT(""'""&amp;CB$1&amp;""'!$C$4:$C$66""),INDIRECT(""'""&amp;CB$1&amp;""'!$D$4:$D$66"")=CB$2),$G$4:$BQ$4,$G89:$BQ89))),"""")"),"")</f>
        <v/>
      </c>
      <c r="CD89" s="208" t="str">
        <f t="shared" si="10"/>
        <v/>
      </c>
      <c r="CE89" s="209" t="s">
        <v>444</v>
      </c>
      <c r="CF89" s="207">
        <f>IFERROR(__xludf.DUMMYFUNCTION("AVERAGE(ARRAYFORMULA(XLOOKUP(FILTER(INDIRECT(""'""&amp;CF$1&amp;""'!$C$4:$C$66""),INDIRECT(""'""&amp;CF$1&amp;""'!$D$4:$D$66"")=CF$2),$G$4:$BQ$4,$G89:$BQ89)))"),-0.360553336875)</f>
        <v>-0.3605533369</v>
      </c>
      <c r="CG89" s="207" t="str">
        <f>IFERROR(__xludf.DUMMYFUNCTION("IF(OR(CF89&gt;$BS89+$BT89*$BT$2,CF89&lt;$BS89-$BT89*$BT$2),AVEDEV(ARRAYFORMULA(XLOOKUP(FILTER(INDIRECT(""'""&amp;CF$1&amp;""'!$C$4:$C$66""),INDIRECT(""'""&amp;CF$1&amp;""'!$D$4:$D$66"")=CF$2),$G$4:$BQ$4,$G89:$BQ89))),"""")"),"")</f>
        <v/>
      </c>
      <c r="CH89" s="208" t="str">
        <f t="shared" si="11"/>
        <v/>
      </c>
      <c r="CI89" s="207">
        <f>IFERROR(__xludf.DUMMYFUNCTION("AVERAGE(ARRAYFORMULA(XLOOKUP(FILTER(INDIRECT(""'""&amp;CI$1&amp;""'!$C$4:$C$66""),INDIRECT(""'""&amp;CI$1&amp;""'!$D$4:$D$66"")=CI$2),$G$4:$BQ$4,$G89:$BQ89)))"),0.24704605516129027)</f>
        <v>0.2470460552</v>
      </c>
      <c r="CJ89" s="207" t="str">
        <f>IFERROR(__xludf.DUMMYFUNCTION("IF(OR(CI89&gt;$BS89+$BT89*$BT$2,CI89&lt;$BS89-$BT89*$BT$2),AVEDEV(ARRAYFORMULA(XLOOKUP(FILTER(INDIRECT(""'""&amp;CI$1&amp;""'!$C$4:$C$66""),INDIRECT(""'""&amp;CI$1&amp;""'!$D$4:$D$66"")=CI$2),$G$4:$BQ$4,$G89:$BQ89))),"""")"),"")</f>
        <v/>
      </c>
      <c r="CK89" s="208" t="str">
        <f t="shared" si="12"/>
        <v/>
      </c>
      <c r="CL89" s="207">
        <f>IFERROR(__xludf.DUMMYFUNCTION("AVERAGE(ARRAYFORMULA(XLOOKUP(FILTER(INDIRECT(""'""&amp;CL$1&amp;""'!$C$4:$C$66""),INDIRECT(""'""&amp;CL$1&amp;""'!$D$4:$D$66"")=CL$2),$G$4:$BQ$4,$G89:$BQ89)))"),-0.59275226)</f>
        <v>-0.59275226</v>
      </c>
      <c r="CM89" s="207" t="str">
        <f>IFERROR(__xludf.DUMMYFUNCTION("IF(OR(CL89&gt;$BS89+$BT89*$BT$2,CL89&lt;$BS89-$BT89*$BT$2),AVEDEV(ARRAYFORMULA(XLOOKUP(FILTER(INDIRECT(""'""&amp;CL$1&amp;""'!$C$4:$C$66""),INDIRECT(""'""&amp;CL$1&amp;""'!$D$4:$D$66"")=CL$2),$G$4:$BQ$4,$G89:$BQ89))),"""")"),"")</f>
        <v/>
      </c>
      <c r="CN89" s="208" t="str">
        <f t="shared" si="13"/>
        <v/>
      </c>
      <c r="CO89" s="209" t="s">
        <v>444</v>
      </c>
      <c r="CP89" s="210">
        <f>IFERROR(__xludf.DUMMYFUNCTION("AVERAGE(ARRAYFORMULA(XLOOKUP(FILTER(INDIRECT(""'""&amp;CP$1&amp;""'!$C$4:$C$66""),INDIRECT(""'""&amp;CP$1&amp;""'!$D$4:$D$66"")=CP$2),$G$4:$BQ$4,$G89:$BQ89)))"),-0.6154593340000001)</f>
        <v>-0.615459334</v>
      </c>
      <c r="CQ89" s="207" t="str">
        <f>IFERROR(__xludf.DUMMYFUNCTION("IF(OR(CP89&gt;$BS89+$BT89*$BT$2,CP89&lt;$BS89-$BT89*$BT$2),AVEDEV(ARRAYFORMULA(XLOOKUP(FILTER(INDIRECT(""'""&amp;CP$1&amp;""'!$C$4:$C$66""),INDIRECT(""'""&amp;CP$1&amp;""'!$D$4:$D$66"")=CP$2),$G$4:$BQ$4,$G89:$BQ89))),"""")"),"")</f>
        <v/>
      </c>
      <c r="CR89" s="208" t="str">
        <f t="shared" si="14"/>
        <v/>
      </c>
      <c r="CS89" s="210">
        <f>IFERROR(__xludf.DUMMYFUNCTION("AVERAGE(ARRAYFORMULA(XLOOKUP(FILTER(INDIRECT(""'""&amp;CS$1&amp;""'!$C$4:$C$66""),INDIRECT(""'""&amp;CS$1&amp;""'!$D$4:$D$66"")=CS$2),$G$4:$BQ$4,$G89:$BQ89)))"),0.259345558974359)</f>
        <v>0.259345559</v>
      </c>
      <c r="CT89" s="207" t="str">
        <f>IFERROR(__xludf.DUMMYFUNCTION("IF(OR(CS89&gt;$BS89+$BT89*$BT$2,CS89&lt;$BS89-$BT89*$BT$2),AVEDEV(ARRAYFORMULA(XLOOKUP(FILTER(INDIRECT(""'""&amp;CS$1&amp;""'!$C$4:$C$66""),INDIRECT(""'""&amp;CS$1&amp;""'!$D$4:$D$66"")=CS$2),$G$4:$BQ$4,$G89:$BQ89))),"""")"),"")</f>
        <v/>
      </c>
      <c r="CU89" s="208" t="str">
        <f t="shared" si="15"/>
        <v/>
      </c>
      <c r="CV89" s="210">
        <f>IFERROR(__xludf.DUMMYFUNCTION("AVERAGE(ARRAYFORMULA(XLOOKUP(FILTER(INDIRECT(""'""&amp;CV$1&amp;""'!$C$4:$C$66""),INDIRECT(""'""&amp;CV$1&amp;""'!$D$4:$D$66"")=CV$2),$G$4:$BQ$4,$G89:$BQ89)))"),-0.59275226)</f>
        <v>-0.59275226</v>
      </c>
      <c r="CW89" s="207" t="str">
        <f>IFERROR(__xludf.DUMMYFUNCTION("IF(OR(CV89&gt;$BS89+$BT89*$BT$2,CV89&lt;$BS89-$BT89*$BT$2),AVEDEV(ARRAYFORMULA(XLOOKUP(FILTER(INDIRECT(""'""&amp;CV$1&amp;""'!$C$4:$C$66""),INDIRECT(""'""&amp;CV$1&amp;""'!$D$4:$D$66"")=CV$2),$G$4:$BQ$4,$G89:$BQ89))),"""")"),"")</f>
        <v/>
      </c>
      <c r="CX89" s="208" t="str">
        <f t="shared" si="16"/>
        <v/>
      </c>
      <c r="CY89" s="209" t="s">
        <v>444</v>
      </c>
      <c r="CZ89" s="210">
        <f>IFERROR(__xludf.DUMMYFUNCTION("AVERAGE(ARRAYFORMULA(XLOOKUP(FILTER(INDIRECT(""'""&amp;CZ$1&amp;""'!$C$4:$C$66""),INDIRECT(""'""&amp;CZ$1&amp;""'!$D$4:$D$66"")=CZ$2),$G$4:$BQ$4,$G89:$BQ89)))"),-0.13815806999999997)</f>
        <v>-0.13815807</v>
      </c>
      <c r="DA89" s="207" t="str">
        <f>IFERROR(__xludf.DUMMYFUNCTION("IF(OR(CZ89&gt;$BS89+$BT89*$BT$2,CZ89&lt;$BS89-$BT89*$BT$2),AVEDEV(ARRAYFORMULA(XLOOKUP(FILTER(INDIRECT(""'""&amp;CZ$1&amp;""'!$C$4:$C$66""),INDIRECT(""'""&amp;CZ$1&amp;""'!$D$4:$D$66"")=CZ$2),$G$4:$BQ$4,$G89:$BQ89))),"""")"),"")</f>
        <v/>
      </c>
      <c r="DB89" s="208" t="str">
        <f t="shared" si="17"/>
        <v/>
      </c>
      <c r="DC89" s="210">
        <f>IFERROR(__xludf.DUMMYFUNCTION("AVERAGE(ARRAYFORMULA(XLOOKUP(FILTER(INDIRECT(""'""&amp;DC$1&amp;""'!$C$4:$C$66""),INDIRECT(""'""&amp;DC$1&amp;""'!$D$4:$D$66"")=DC$2),$G$4:$BQ$4,$G89:$BQ89)))"),0.12335584666666666)</f>
        <v>0.1233558467</v>
      </c>
      <c r="DD89" s="207" t="str">
        <f>IFERROR(__xludf.DUMMYFUNCTION("IF(OR(DC89&gt;$BS89+$BT89*$BT$2,DC89&lt;$BS89-$BT89*$BT$2),AVEDEV(ARRAYFORMULA(XLOOKUP(FILTER(INDIRECT(""'""&amp;DC$1&amp;""'!$C$4:$C$66""),INDIRECT(""'""&amp;DC$1&amp;""'!$D$4:$D$66"")=DC$2),$G$4:$BQ$4,$G89:$BQ89))),"""")"),"")</f>
        <v/>
      </c>
      <c r="DE89" s="208" t="str">
        <f t="shared" si="18"/>
        <v/>
      </c>
      <c r="DF89" s="210">
        <f>IFERROR(__xludf.DUMMYFUNCTION("AVERAGE(ARRAYFORMULA(XLOOKUP(FILTER(INDIRECT(""'""&amp;DF$1&amp;""'!$C$4:$C$66""),INDIRECT(""'""&amp;DF$1&amp;""'!$D$4:$D$66"")=DF$2),$G$4:$BQ$4,$G89:$BQ89)))"),-0.15370581181818183)</f>
        <v>-0.1537058118</v>
      </c>
      <c r="DG89" s="207" t="str">
        <f>IFERROR(__xludf.DUMMYFUNCTION("IF(OR(DF89&gt;$BS89+$BT89*$BT$2,DF89&lt;$BS89-$BT89*$BT$2),AVEDEV(ARRAYFORMULA(XLOOKUP(FILTER(INDIRECT(""'""&amp;DF$1&amp;""'!$C$4:$C$66""),INDIRECT(""'""&amp;DF$1&amp;""'!$D$4:$D$66"")=DF$2),$G$4:$BQ$4,$G89:$BQ89))),"""")"),"")</f>
        <v/>
      </c>
      <c r="DH89" s="208" t="str">
        <f t="shared" si="19"/>
        <v/>
      </c>
      <c r="DI89" s="210">
        <f>IFERROR(__xludf.DUMMYFUNCTION("AVERAGE(ARRAYFORMULA(XLOOKUP(FILTER(INDIRECT(""'""&amp;DI$1&amp;""'!$C$4:$C$66""),INDIRECT(""'""&amp;DI$1&amp;""'!$D$4:$D$66"")=DI$2),$G$4:$BQ$4,$G89:$BQ89)))"),0.852072105)</f>
        <v>0.852072105</v>
      </c>
      <c r="DJ89" s="207">
        <f>IFERROR(__xludf.DUMMYFUNCTION("IF(OR(DI89&gt;$BS89+$BT89*$BT$2,DI89&lt;$BS89-$BT89*$BT$2),AVEDEV(ARRAYFORMULA(XLOOKUP(FILTER(INDIRECT(""'""&amp;DI$1&amp;""'!$C$4:$C$66""),INDIRECT(""'""&amp;DI$1&amp;""'!$D$4:$D$66"")=DI$2),$G$4:$BQ$4,$G89:$BQ89))),"""")"),0.007247724999999983)</f>
        <v>0.007247725</v>
      </c>
      <c r="DK89" s="208">
        <f t="shared" si="20"/>
        <v>0.2467142358</v>
      </c>
      <c r="DL89" s="210">
        <f>IFERROR(__xludf.DUMMYFUNCTION("AVERAGE(ARRAYFORMULA(XLOOKUP(FILTER(INDIRECT(""'""&amp;DL$1&amp;""'!$C$4:$C$66""),INDIRECT(""'""&amp;DL$1&amp;""'!$D$4:$D$66"")=DL$2),$G$4:$BQ$4,$G89:$BQ89)))"),0.5898531842857143)</f>
        <v>0.5898531843</v>
      </c>
      <c r="DM89" s="207" t="str">
        <f>IFERROR(__xludf.DUMMYFUNCTION("IF(OR(DL89&gt;$BS89+$BT89*$BT$2,DL89&lt;$BS89-$BT89*$BT$2),AVEDEV(ARRAYFORMULA(XLOOKUP(FILTER(INDIRECT(""'""&amp;DL$1&amp;""'!$C$4:$C$66""),INDIRECT(""'""&amp;DL$1&amp;""'!$D$4:$D$66"")=DL$2),$G$4:$BQ$4,$G89:$BQ89))),"""")"),"")</f>
        <v/>
      </c>
      <c r="DN89" s="208" t="str">
        <f t="shared" si="21"/>
        <v/>
      </c>
      <c r="DO89" s="209" t="s">
        <v>444</v>
      </c>
      <c r="DP89" s="210">
        <f>IFERROR(__xludf.DUMMYFUNCTION("AVERAGE(ARRAYFORMULA(XLOOKUP(FILTER(INDIRECT(""'""&amp;DP$1&amp;""'!$C$4:$C$66""),INDIRECT(""'""&amp;DP$1&amp;""'!$D$4:$D$66"")=DP$2),$G$4:$BQ$4,$G89:$BQ89)))"),-2.3044000000000398E-4)</f>
        <v>-0.00023044</v>
      </c>
      <c r="DQ89" s="207" t="str">
        <f>IFERROR(__xludf.DUMMYFUNCTION("IF(OR(DP89&gt;$BS89+$BT89*$BT$2,DP89&lt;$BS89-$BT89*$BT$2),AVEDEV(ARRAYFORMULA(XLOOKUP(FILTER(INDIRECT(""'""&amp;DP$1&amp;""'!$C$4:$C$66""),INDIRECT(""'""&amp;DP$1&amp;""'!$D$4:$D$66"")=DP$2),$G$4:$BQ$4,$G89:$BQ89))),"""")"),"")</f>
        <v/>
      </c>
      <c r="DR89" s="208" t="str">
        <f t="shared" si="22"/>
        <v/>
      </c>
      <c r="DS89" s="210">
        <f>IFERROR(__xludf.DUMMYFUNCTION("AVERAGE(ARRAYFORMULA(XLOOKUP(FILTER(INDIRECT(""'""&amp;DS$1&amp;""'!$C$4:$C$66""),INDIRECT(""'""&amp;DS$1&amp;""'!$D$4:$D$66"")=DS$2),$G$4:$BQ$4,$G89:$BQ89)))"),-0.2260339788888889)</f>
        <v>-0.2260339789</v>
      </c>
      <c r="DT89" s="207" t="str">
        <f>IFERROR(__xludf.DUMMYFUNCTION("IF(OR(DS89&gt;$BS89+$BT89*$BT$2,DS89&lt;$BS89-$BT89*$BT$2),AVEDEV(ARRAYFORMULA(XLOOKUP(FILTER(INDIRECT(""'""&amp;DS$1&amp;""'!$C$4:$C$66""),INDIRECT(""'""&amp;DS$1&amp;""'!$D$4:$D$66"")=DS$2),$G$4:$BQ$4,$G89:$BQ89))),"""")"),"")</f>
        <v/>
      </c>
      <c r="DU89" s="208" t="str">
        <f t="shared" si="23"/>
        <v/>
      </c>
      <c r="DV89" s="210">
        <f>IFERROR(__xludf.DUMMYFUNCTION("AVERAGE(ARRAYFORMULA(XLOOKUP(FILTER(INDIRECT(""'""&amp;DV$1&amp;""'!$C$4:$C$66""),INDIRECT(""'""&amp;DV$1&amp;""'!$D$4:$D$66"")=DV$2),$G$4:$BQ$4,$G89:$BQ89)))"),-0.32287215125)</f>
        <v>-0.3228721513</v>
      </c>
      <c r="DW89" s="207" t="str">
        <f>IFERROR(__xludf.DUMMYFUNCTION("IF(OR(DV89&gt;$BS89+$BT89*$BT$2,DV89&lt;$BS89-$BT89*$BT$2),AVEDEV(ARRAYFORMULA(XLOOKUP(FILTER(INDIRECT(""'""&amp;DV$1&amp;""'!$C$4:$C$66""),INDIRECT(""'""&amp;DV$1&amp;""'!$D$4:$D$66"")=DV$2),$G$4:$BQ$4,$G89:$BQ89))),"""")"),"")</f>
        <v/>
      </c>
      <c r="DX89" s="208" t="str">
        <f t="shared" si="24"/>
        <v/>
      </c>
      <c r="DY89" s="210">
        <f>IFERROR(__xludf.DUMMYFUNCTION("AVERAGE(ARRAYFORMULA(XLOOKUP(FILTER(INDIRECT(""'""&amp;DY$1&amp;""'!$C$4:$C$66""),INDIRECT(""'""&amp;DY$1&amp;""'!$D$4:$D$66"")=DY$2),$G$4:$BQ$4,$G89:$BQ89)))"),0.5076710211111111)</f>
        <v>0.5076710211</v>
      </c>
      <c r="DZ89" s="207" t="str">
        <f>IFERROR(__xludf.DUMMYFUNCTION("IF(OR(DY89&gt;$BS89+$BT89*$BT$2,DY89&lt;$BS89-$BT89*$BT$2),AVEDEV(ARRAYFORMULA(XLOOKUP(FILTER(INDIRECT(""'""&amp;DY$1&amp;""'!$C$4:$C$66""),INDIRECT(""'""&amp;DY$1&amp;""'!$D$4:$D$66"")=DY$2),$G$4:$BQ$4,$G89:$BQ89))),"""")"),"")</f>
        <v/>
      </c>
      <c r="EA89" s="208" t="str">
        <f t="shared" si="25"/>
        <v/>
      </c>
      <c r="EB89" s="191"/>
    </row>
    <row r="90" outlineLevel="1">
      <c r="A90" s="2"/>
      <c r="B90" s="204">
        <v>86.0</v>
      </c>
      <c r="C90" s="204" t="s">
        <v>507</v>
      </c>
      <c r="D90" s="204" t="s">
        <v>531</v>
      </c>
      <c r="E90" s="205" t="b">
        <f>VLOOKUP(D90,'Feature Set List'!A86:C246,2,0)</f>
        <v>1</v>
      </c>
      <c r="F90" s="205" t="b">
        <f>VLOOKUP(D90,'Feature Set List'!A86:C246,3,0)</f>
        <v>1</v>
      </c>
      <c r="G90" s="205">
        <v>0.36346726</v>
      </c>
      <c r="H90" s="205">
        <v>1.28831845</v>
      </c>
      <c r="I90" s="205">
        <v>-0.2849702</v>
      </c>
      <c r="J90" s="205">
        <v>1.9281994</v>
      </c>
      <c r="K90" s="205">
        <v>-0.1707589</v>
      </c>
      <c r="L90" s="205">
        <v>-0.4906994</v>
      </c>
      <c r="M90" s="205">
        <v>-0.5543155</v>
      </c>
      <c r="N90" s="205">
        <v>0.63950893</v>
      </c>
      <c r="O90" s="205">
        <v>-0.4973958</v>
      </c>
      <c r="P90" s="205">
        <v>0.36941964</v>
      </c>
      <c r="Q90" s="205">
        <v>1.30505952</v>
      </c>
      <c r="R90" s="205">
        <v>-0.5829613</v>
      </c>
      <c r="S90" s="205">
        <v>-0.1495536</v>
      </c>
      <c r="T90" s="205">
        <v>-0.2890625</v>
      </c>
      <c r="U90" s="205">
        <v>-0.2998512</v>
      </c>
      <c r="V90" s="205">
        <v>1.05915179</v>
      </c>
      <c r="W90" s="205">
        <v>-0.6499256</v>
      </c>
      <c r="X90" s="205">
        <v>2.17261905</v>
      </c>
      <c r="Y90" s="205">
        <v>-0.0610119</v>
      </c>
      <c r="Z90" s="205">
        <v>3.63690476</v>
      </c>
      <c r="AA90" s="205">
        <v>0.26004464</v>
      </c>
      <c r="AB90" s="205">
        <v>-0.7165179</v>
      </c>
      <c r="AC90" s="205">
        <v>-0.3054315</v>
      </c>
      <c r="AD90" s="205">
        <v>0.92559524</v>
      </c>
      <c r="AE90" s="205">
        <v>2.63988095</v>
      </c>
      <c r="AF90" s="205">
        <v>-0.5226935</v>
      </c>
      <c r="AG90" s="205">
        <v>0.75818452</v>
      </c>
      <c r="AH90" s="205">
        <v>0.42299107</v>
      </c>
      <c r="AI90" s="205">
        <v>-0.219122</v>
      </c>
      <c r="AJ90" s="205">
        <v>-0.1156994</v>
      </c>
      <c r="AK90" s="205">
        <v>0.50074405</v>
      </c>
      <c r="AL90" s="205">
        <v>-0.0703125</v>
      </c>
      <c r="AM90" s="205">
        <v>-0.4549851</v>
      </c>
      <c r="AN90" s="205">
        <v>-0.0658482</v>
      </c>
      <c r="AO90" s="205">
        <v>-0.4300595</v>
      </c>
      <c r="AP90" s="205">
        <v>0.7094494</v>
      </c>
      <c r="AQ90" s="205">
        <v>0.77120536</v>
      </c>
      <c r="AR90" s="205">
        <v>2.13578869</v>
      </c>
      <c r="AS90" s="205">
        <v>-0.5829613</v>
      </c>
      <c r="AT90" s="205">
        <v>0.3500744</v>
      </c>
      <c r="AU90" s="205">
        <v>0.61904762</v>
      </c>
      <c r="AV90" s="205">
        <v>0.44494048</v>
      </c>
      <c r="AW90" s="205">
        <v>0.06473214</v>
      </c>
      <c r="AX90" s="205">
        <v>1.72693452</v>
      </c>
      <c r="AY90" s="205">
        <v>3.69642857</v>
      </c>
      <c r="AZ90" s="205">
        <v>-0.1495536</v>
      </c>
      <c r="BA90" s="205">
        <v>0.2983631</v>
      </c>
      <c r="BB90" s="205">
        <v>1.34486607</v>
      </c>
      <c r="BC90" s="205">
        <v>-0.343378</v>
      </c>
      <c r="BD90" s="205">
        <v>-0.359003</v>
      </c>
      <c r="BE90" s="205">
        <v>0.0</v>
      </c>
      <c r="BF90" s="205">
        <v>7.4405E-4</v>
      </c>
      <c r="BG90" s="205">
        <v>-0.3924851</v>
      </c>
      <c r="BH90" s="205">
        <v>0.92596726</v>
      </c>
      <c r="BI90" s="205">
        <v>-0.1521577</v>
      </c>
      <c r="BJ90" s="205">
        <v>-0.5747768</v>
      </c>
      <c r="BK90" s="205">
        <v>-0.0837054</v>
      </c>
      <c r="BL90" s="205">
        <v>-0.1674107</v>
      </c>
      <c r="BM90" s="205">
        <v>0.18340774</v>
      </c>
      <c r="BN90" s="205">
        <v>0.68526786</v>
      </c>
      <c r="BO90" s="205">
        <v>-0.2909226</v>
      </c>
      <c r="BP90" s="205">
        <v>0.13876488</v>
      </c>
      <c r="BQ90" s="205">
        <v>-0.3325893</v>
      </c>
      <c r="BR90" s="206"/>
      <c r="BS90" s="207">
        <f t="shared" si="6"/>
        <v>0.3493008319</v>
      </c>
      <c r="BT90" s="207">
        <f t="shared" si="7"/>
        <v>0.7202379067</v>
      </c>
      <c r="BU90" s="206"/>
      <c r="BV90" s="207">
        <f>IFERROR(__xludf.DUMMYFUNCTION("AVERAGE(ARRAYFORMULA(XLOOKUP(FILTER(INDIRECT(""'""&amp;BV$1&amp;""'!$C$4:$C$66""),INDIRECT(""'""&amp;BV$1&amp;""'!$D$4:$D$66"")=BV$2),$G$4:$BQ$4,$G90:$BQ90)))"),0.9023703271428573)</f>
        <v>0.9023703271</v>
      </c>
      <c r="BW90" s="207" t="str">
        <f>IFERROR(__xludf.DUMMYFUNCTION("IF(OR(BV90&gt;$BS90+$BT90*$BT$2,BV90&lt;$BS90-$BT90*$BT$2),AVEDEV(ARRAYFORMULA(XLOOKUP(FILTER(INDIRECT(""'""&amp;BV$1&amp;""'!$C$4:$C$66""),INDIRECT(""'""&amp;BV$1&amp;""'!$D$4:$D$66"")=BV$2),$G$4:$BQ$4,$G90:$BQ90))),"""")"),"")</f>
        <v/>
      </c>
      <c r="BX90" s="208" t="str">
        <f t="shared" si="8"/>
        <v/>
      </c>
      <c r="BY90" s="207">
        <f>IFERROR(__xludf.DUMMYFUNCTION("AVERAGE(ARRAYFORMULA(XLOOKUP(FILTER(INDIRECT(""'""&amp;BY$1&amp;""'!$C$4:$C$66""),INDIRECT(""'""&amp;BY$1&amp;""'!$D$4:$D$66"")=BY$2),$G$4:$BQ$4,$G90:$BQ90)))"),0.4099259514285715)</f>
        <v>0.4099259514</v>
      </c>
      <c r="BZ90" s="207" t="str">
        <f>IFERROR(__xludf.DUMMYFUNCTION("IF(OR(BY90&gt;$BS90+$BT90*$BT$2,BY90&lt;$BS90-$BT90*$BT$2),AVEDEV(ARRAYFORMULA(XLOOKUP(FILTER(INDIRECT(""'""&amp;BY$1&amp;""'!$C$4:$C$66""),INDIRECT(""'""&amp;BY$1&amp;""'!$D$4:$D$66"")=BY$2),$G$4:$BQ$4,$G90:$BQ90))),"""")"),"")</f>
        <v/>
      </c>
      <c r="CA90" s="208" t="str">
        <f t="shared" si="9"/>
        <v/>
      </c>
      <c r="CB90" s="207">
        <f>IFERROR(__xludf.DUMMYFUNCTION("AVERAGE(ARRAYFORMULA(XLOOKUP(FILTER(INDIRECT(""'""&amp;CB$1&amp;""'!$C$4:$C$66""),INDIRECT(""'""&amp;CB$1&amp;""'!$D$4:$D$66"")=CB$2),$G$4:$BQ$4,$G90:$BQ90)))"),-0.13660038727272727)</f>
        <v>-0.1366003873</v>
      </c>
      <c r="CC90" s="207" t="str">
        <f>IFERROR(__xludf.DUMMYFUNCTION("IF(OR(CB90&gt;$BS90+$BT90*$BT$2,CB90&lt;$BS90-$BT90*$BT$2),AVEDEV(ARRAYFORMULA(XLOOKUP(FILTER(INDIRECT(""'""&amp;CB$1&amp;""'!$C$4:$C$66""),INDIRECT(""'""&amp;CB$1&amp;""'!$D$4:$D$66"")=CB$2),$G$4:$BQ$4,$G90:$BQ90))),"""")"),"")</f>
        <v/>
      </c>
      <c r="CD90" s="208" t="str">
        <f t="shared" si="10"/>
        <v/>
      </c>
      <c r="CE90" s="209" t="s">
        <v>444</v>
      </c>
      <c r="CF90" s="207">
        <f>IFERROR(__xludf.DUMMYFUNCTION("AVERAGE(ARRAYFORMULA(XLOOKUP(FILTER(INDIRECT(""'""&amp;CF$1&amp;""'!$C$4:$C$66""),INDIRECT(""'""&amp;CF$1&amp;""'!$D$4:$D$66"")=CF$2),$G$4:$BQ$4,$G90:$BQ90)))"),0.7103329631249999)</f>
        <v>0.7103329631</v>
      </c>
      <c r="CG90" s="207" t="str">
        <f>IFERROR(__xludf.DUMMYFUNCTION("IF(OR(CF90&gt;$BS90+$BT90*$BT$2,CF90&lt;$BS90-$BT90*$BT$2),AVEDEV(ARRAYFORMULA(XLOOKUP(FILTER(INDIRECT(""'""&amp;CF$1&amp;""'!$C$4:$C$66""),INDIRECT(""'""&amp;CF$1&amp;""'!$D$4:$D$66"")=CF$2),$G$4:$BQ$4,$G90:$BQ90))),"""")"),"")</f>
        <v/>
      </c>
      <c r="CH90" s="208" t="str">
        <f t="shared" si="11"/>
        <v/>
      </c>
      <c r="CI90" s="207">
        <f>IFERROR(__xludf.DUMMYFUNCTION("AVERAGE(ARRAYFORMULA(XLOOKUP(FILTER(INDIRECT(""'""&amp;CI$1&amp;""'!$C$4:$C$66""),INDIRECT(""'""&amp;CI$1&amp;""'!$D$4:$D$66"")=CI$2),$G$4:$BQ$4,$G90:$BQ90)))"),0.17962749290322585)</f>
        <v>0.1796274929</v>
      </c>
      <c r="CJ90" s="207" t="str">
        <f>IFERROR(__xludf.DUMMYFUNCTION("IF(OR(CI90&gt;$BS90+$BT90*$BT$2,CI90&lt;$BS90-$BT90*$BT$2),AVEDEV(ARRAYFORMULA(XLOOKUP(FILTER(INDIRECT(""'""&amp;CI$1&amp;""'!$C$4:$C$66""),INDIRECT(""'""&amp;CI$1&amp;""'!$D$4:$D$66"")=CI$2),$G$4:$BQ$4,$G90:$BQ90))),"""")"),"")</f>
        <v/>
      </c>
      <c r="CK90" s="208" t="str">
        <f t="shared" si="12"/>
        <v/>
      </c>
      <c r="CL90" s="207">
        <f>IFERROR(__xludf.DUMMYFUNCTION("AVERAGE(ARRAYFORMULA(XLOOKUP(FILTER(INDIRECT(""'""&amp;CL$1&amp;""'!$C$4:$C$66""),INDIRECT(""'""&amp;CL$1&amp;""'!$D$4:$D$66"")=CL$2),$G$4:$BQ$4,$G90:$BQ90)))"),-0.119345232)</f>
        <v>-0.119345232</v>
      </c>
      <c r="CM90" s="207" t="str">
        <f>IFERROR(__xludf.DUMMYFUNCTION("IF(OR(CL90&gt;$BS90+$BT90*$BT$2,CL90&lt;$BS90-$BT90*$BT$2),AVEDEV(ARRAYFORMULA(XLOOKUP(FILTER(INDIRECT(""'""&amp;CL$1&amp;""'!$C$4:$C$66""),INDIRECT(""'""&amp;CL$1&amp;""'!$D$4:$D$66"")=CL$2),$G$4:$BQ$4,$G90:$BQ90))),"""")"),"")</f>
        <v/>
      </c>
      <c r="CN90" s="208" t="str">
        <f t="shared" si="13"/>
        <v/>
      </c>
      <c r="CO90" s="209" t="s">
        <v>444</v>
      </c>
      <c r="CP90" s="211">
        <f>IFERROR(__xludf.DUMMYFUNCTION("AVERAGE(ARRAYFORMULA(XLOOKUP(FILTER(INDIRECT(""'""&amp;CP$1&amp;""'!$C$4:$C$66""),INDIRECT(""'""&amp;CP$1&amp;""'!$D$4:$D$66"")=CP$2),$G$4:$BQ$4,$G90:$BQ90)))"),0.4468750006666666)</f>
        <v>0.4468750007</v>
      </c>
      <c r="CQ90" s="207" t="str">
        <f>IFERROR(__xludf.DUMMYFUNCTION("IF(OR(CP90&gt;$BS90+$BT90*$BT$2,CP90&lt;$BS90-$BT90*$BT$2),AVEDEV(ARRAYFORMULA(XLOOKUP(FILTER(INDIRECT(""'""&amp;CP$1&amp;""'!$C$4:$C$66""),INDIRECT(""'""&amp;CP$1&amp;""'!$D$4:$D$66"")=CP$2),$G$4:$BQ$4,$G90:$BQ90))),"""")"),"")</f>
        <v/>
      </c>
      <c r="CR90" s="208" t="str">
        <f t="shared" si="14"/>
        <v/>
      </c>
      <c r="CS90" s="210">
        <f>IFERROR(__xludf.DUMMYFUNCTION("AVERAGE(ARRAYFORMULA(XLOOKUP(FILTER(INDIRECT(""'""&amp;CS$1&amp;""'!$C$4:$C$66""),INDIRECT(""'""&amp;CS$1&amp;""'!$D$4:$D$66"")=CS$2),$G$4:$BQ$4,$G90:$BQ90)))"),0.41261256)</f>
        <v>0.41261256</v>
      </c>
      <c r="CT90" s="207" t="str">
        <f>IFERROR(__xludf.DUMMYFUNCTION("IF(OR(CS90&gt;$BS90+$BT90*$BT$2,CS90&lt;$BS90-$BT90*$BT$2),AVEDEV(ARRAYFORMULA(XLOOKUP(FILTER(INDIRECT(""'""&amp;CS$1&amp;""'!$C$4:$C$66""),INDIRECT(""'""&amp;CS$1&amp;""'!$D$4:$D$66"")=CS$2),$G$4:$BQ$4,$G90:$BQ90))),"""")"),"")</f>
        <v/>
      </c>
      <c r="CU90" s="208" t="str">
        <f t="shared" si="15"/>
        <v/>
      </c>
      <c r="CV90" s="210">
        <f>IFERROR(__xludf.DUMMYFUNCTION("AVERAGE(ARRAYFORMULA(XLOOKUP(FILTER(INDIRECT(""'""&amp;CV$1&amp;""'!$C$4:$C$66""),INDIRECT(""'""&amp;CV$1&amp;""'!$D$4:$D$66"")=CV$2),$G$4:$BQ$4,$G90:$BQ90)))"),-0.119345232)</f>
        <v>-0.119345232</v>
      </c>
      <c r="CW90" s="207" t="str">
        <f>IFERROR(__xludf.DUMMYFUNCTION("IF(OR(CV90&gt;$BS90+$BT90*$BT$2,CV90&lt;$BS90-$BT90*$BT$2),AVEDEV(ARRAYFORMULA(XLOOKUP(FILTER(INDIRECT(""'""&amp;CV$1&amp;""'!$C$4:$C$66""),INDIRECT(""'""&amp;CV$1&amp;""'!$D$4:$D$66"")=CV$2),$G$4:$BQ$4,$G90:$BQ90))),"""")"),"")</f>
        <v/>
      </c>
      <c r="CX90" s="208" t="str">
        <f t="shared" si="16"/>
        <v/>
      </c>
      <c r="CY90" s="209" t="s">
        <v>444</v>
      </c>
      <c r="CZ90" s="211">
        <f>IFERROR(__xludf.DUMMYFUNCTION("AVERAGE(ARRAYFORMULA(XLOOKUP(FILTER(INDIRECT(""'""&amp;CZ$1&amp;""'!$C$4:$C$66""),INDIRECT(""'""&amp;CZ$1&amp;""'!$D$4:$D$66"")=CZ$2),$G$4:$BQ$4,$G90:$BQ90)))"),0.7133556528571429)</f>
        <v>0.7133556529</v>
      </c>
      <c r="DA90" s="207" t="str">
        <f>IFERROR(__xludf.DUMMYFUNCTION("IF(OR(CZ90&gt;$BS90+$BT90*$BT$2,CZ90&lt;$BS90-$BT90*$BT$2),AVEDEV(ARRAYFORMULA(XLOOKUP(FILTER(INDIRECT(""'""&amp;CZ$1&amp;""'!$C$4:$C$66""),INDIRECT(""'""&amp;CZ$1&amp;""'!$D$4:$D$66"")=CZ$2),$G$4:$BQ$4,$G90:$BQ90))),"""")"),"")</f>
        <v/>
      </c>
      <c r="DB90" s="208" t="str">
        <f t="shared" si="17"/>
        <v/>
      </c>
      <c r="DC90" s="210">
        <f>IFERROR(__xludf.DUMMYFUNCTION("AVERAGE(ARRAYFORMULA(XLOOKUP(FILTER(INDIRECT(""'""&amp;DC$1&amp;""'!$C$4:$C$66""),INDIRECT(""'""&amp;DC$1&amp;""'!$D$4:$D$66"")=DC$2),$G$4:$BQ$4,$G90:$BQ90)))"),-0.17071760000000002)</f>
        <v>-0.1707176</v>
      </c>
      <c r="DD90" s="207" t="str">
        <f>IFERROR(__xludf.DUMMYFUNCTION("IF(OR(DC90&gt;$BS90+$BT90*$BT$2,DC90&lt;$BS90-$BT90*$BT$2),AVEDEV(ARRAYFORMULA(XLOOKUP(FILTER(INDIRECT(""'""&amp;DC$1&amp;""'!$C$4:$C$66""),INDIRECT(""'""&amp;DC$1&amp;""'!$D$4:$D$66"")=DC$2),$G$4:$BQ$4,$G90:$BQ90))),"""")"),"")</f>
        <v/>
      </c>
      <c r="DE90" s="208" t="str">
        <f t="shared" si="18"/>
        <v/>
      </c>
      <c r="DF90" s="210">
        <f>IFERROR(__xludf.DUMMYFUNCTION("AVERAGE(ARRAYFORMULA(XLOOKUP(FILTER(INDIRECT(""'""&amp;DF$1&amp;""'!$C$4:$C$66""),INDIRECT(""'""&amp;DF$1&amp;""'!$D$4:$D$66"")=DF$2),$G$4:$BQ$4,$G90:$BQ90)))"),-0.08921807363636364)</f>
        <v>-0.08921807364</v>
      </c>
      <c r="DG90" s="207" t="str">
        <f>IFERROR(__xludf.DUMMYFUNCTION("IF(OR(DF90&gt;$BS90+$BT90*$BT$2,DF90&lt;$BS90-$BT90*$BT$2),AVEDEV(ARRAYFORMULA(XLOOKUP(FILTER(INDIRECT(""'""&amp;DF$1&amp;""'!$C$4:$C$66""),INDIRECT(""'""&amp;DF$1&amp;""'!$D$4:$D$66"")=DF$2),$G$4:$BQ$4,$G90:$BQ90))),"""")"),"")</f>
        <v/>
      </c>
      <c r="DH90" s="208" t="str">
        <f t="shared" si="19"/>
        <v/>
      </c>
      <c r="DI90" s="210">
        <f>IFERROR(__xludf.DUMMYFUNCTION("AVERAGE(ARRAYFORMULA(XLOOKUP(FILTER(INDIRECT(""'""&amp;DI$1&amp;""'!$C$4:$C$66""),INDIRECT(""'""&amp;DI$1&amp;""'!$D$4:$D$66"")=DI$2),$G$4:$BQ$4,$G90:$BQ90)))"),0.92578125)</f>
        <v>0.92578125</v>
      </c>
      <c r="DJ90" s="207" t="str">
        <f>IFERROR(__xludf.DUMMYFUNCTION("IF(OR(DI90&gt;$BS90+$BT90*$BT$2,DI90&lt;$BS90-$BT90*$BT$2),AVEDEV(ARRAYFORMULA(XLOOKUP(FILTER(INDIRECT(""'""&amp;DI$1&amp;""'!$C$4:$C$66""),INDIRECT(""'""&amp;DI$1&amp;""'!$D$4:$D$66"")=DI$2),$G$4:$BQ$4,$G90:$BQ90))),"""")"),"")</f>
        <v/>
      </c>
      <c r="DK90" s="208" t="str">
        <f t="shared" si="20"/>
        <v/>
      </c>
      <c r="DL90" s="210">
        <f>IFERROR(__xludf.DUMMYFUNCTION("AVERAGE(ARRAYFORMULA(XLOOKUP(FILTER(INDIRECT(""'""&amp;DL$1&amp;""'!$C$4:$C$66""),INDIRECT(""'""&amp;DL$1&amp;""'!$D$4:$D$66"")=DL$2),$G$4:$BQ$4,$G90:$BQ90)))"),0.49742240928571435)</f>
        <v>0.4974224093</v>
      </c>
      <c r="DM90" s="207" t="str">
        <f>IFERROR(__xludf.DUMMYFUNCTION("IF(OR(DL90&gt;$BS90+$BT90*$BT$2,DL90&lt;$BS90-$BT90*$BT$2),AVEDEV(ARRAYFORMULA(XLOOKUP(FILTER(INDIRECT(""'""&amp;DL$1&amp;""'!$C$4:$C$66""),INDIRECT(""'""&amp;DL$1&amp;""'!$D$4:$D$66"")=DL$2),$G$4:$BQ$4,$G90:$BQ90))),"""")"),"")</f>
        <v/>
      </c>
      <c r="DN90" s="208" t="str">
        <f t="shared" si="21"/>
        <v/>
      </c>
      <c r="DO90" s="209" t="s">
        <v>444</v>
      </c>
      <c r="DP90" s="211">
        <f>IFERROR(__xludf.DUMMYFUNCTION("AVERAGE(ARRAYFORMULA(XLOOKUP(FILTER(INDIRECT(""'""&amp;DP$1&amp;""'!$C$4:$C$66""),INDIRECT(""'""&amp;DP$1&amp;""'!$D$4:$D$66"")=DP$2),$G$4:$BQ$4,$G90:$BQ90)))"),0.526463294)</f>
        <v>0.526463294</v>
      </c>
      <c r="DQ90" s="207" t="str">
        <f>IFERROR(__xludf.DUMMYFUNCTION("IF(OR(DP90&gt;$BS90+$BT90*$BT$2,DP90&lt;$BS90-$BT90*$BT$2),AVEDEV(ARRAYFORMULA(XLOOKUP(FILTER(INDIRECT(""'""&amp;DP$1&amp;""'!$C$4:$C$66""),INDIRECT(""'""&amp;DP$1&amp;""'!$D$4:$D$66"")=DP$2),$G$4:$BQ$4,$G90:$BQ90))),"""")"),"")</f>
        <v/>
      </c>
      <c r="DR90" s="208" t="str">
        <f t="shared" si="22"/>
        <v/>
      </c>
      <c r="DS90" s="210">
        <f>IFERROR(__xludf.DUMMYFUNCTION("AVERAGE(ARRAYFORMULA(XLOOKUP(FILTER(INDIRECT(""'""&amp;DS$1&amp;""'!$C$4:$C$66""),INDIRECT(""'""&amp;DS$1&amp;""'!$D$4:$D$66"")=DS$2),$G$4:$BQ$4,$G90:$BQ90)))"),-0.03604497555555555)</f>
        <v>-0.03604497556</v>
      </c>
      <c r="DT90" s="207" t="str">
        <f>IFERROR(__xludf.DUMMYFUNCTION("IF(OR(DS90&gt;$BS90+$BT90*$BT$2,DS90&lt;$BS90-$BT90*$BT$2),AVEDEV(ARRAYFORMULA(XLOOKUP(FILTER(INDIRECT(""'""&amp;DS$1&amp;""'!$C$4:$C$66""),INDIRECT(""'""&amp;DS$1&amp;""'!$D$4:$D$66"")=DS$2),$G$4:$BQ$4,$G90:$BQ90))),"""")"),"")</f>
        <v/>
      </c>
      <c r="DU90" s="208" t="str">
        <f t="shared" si="23"/>
        <v/>
      </c>
      <c r="DV90" s="210">
        <f>IFERROR(__xludf.DUMMYFUNCTION("AVERAGE(ARRAYFORMULA(XLOOKUP(FILTER(INDIRECT(""'""&amp;DV$1&amp;""'!$C$4:$C$66""),INDIRECT(""'""&amp;DV$1&amp;""'!$D$4:$D$66"")=DV$2),$G$4:$BQ$4,$G90:$BQ90)))"),0.27018228875)</f>
        <v>0.2701822888</v>
      </c>
      <c r="DW90" s="207" t="str">
        <f>IFERROR(__xludf.DUMMYFUNCTION("IF(OR(DV90&gt;$BS90+$BT90*$BT$2,DV90&lt;$BS90-$BT90*$BT$2),AVEDEV(ARRAYFORMULA(XLOOKUP(FILTER(INDIRECT(""'""&amp;DV$1&amp;""'!$C$4:$C$66""),INDIRECT(""'""&amp;DV$1&amp;""'!$D$4:$D$66"")=DV$2),$G$4:$BQ$4,$G90:$BQ90))),"""")"),"")</f>
        <v/>
      </c>
      <c r="DX90" s="208" t="str">
        <f t="shared" si="24"/>
        <v/>
      </c>
      <c r="DY90" s="210">
        <f>IFERROR(__xludf.DUMMYFUNCTION("AVERAGE(ARRAYFORMULA(XLOOKUP(FILTER(INDIRECT(""'""&amp;DY$1&amp;""'!$C$4:$C$66""),INDIRECT(""'""&amp;DY$1&amp;""'!$D$4:$D$66"")=DY$2),$G$4:$BQ$4,$G90:$BQ90)))"),0.0765542333333333)</f>
        <v>0.07655423333</v>
      </c>
      <c r="DZ90" s="207" t="str">
        <f>IFERROR(__xludf.DUMMYFUNCTION("IF(OR(DY90&gt;$BS90+$BT90*$BT$2,DY90&lt;$BS90-$BT90*$BT$2),AVEDEV(ARRAYFORMULA(XLOOKUP(FILTER(INDIRECT(""'""&amp;DY$1&amp;""'!$C$4:$C$66""),INDIRECT(""'""&amp;DY$1&amp;""'!$D$4:$D$66"")=DY$2),$G$4:$BQ$4,$G90:$BQ90))),"""")"),"")</f>
        <v/>
      </c>
      <c r="EA90" s="208" t="str">
        <f t="shared" si="25"/>
        <v/>
      </c>
      <c r="EB90" s="191"/>
    </row>
    <row r="91" outlineLevel="1">
      <c r="A91" s="2"/>
      <c r="B91" s="204">
        <v>87.0</v>
      </c>
      <c r="C91" s="204" t="s">
        <v>507</v>
      </c>
      <c r="D91" s="204" t="s">
        <v>532</v>
      </c>
      <c r="E91" s="205" t="b">
        <f>VLOOKUP(D91,'Feature Set List'!A87:C246,2,0)</f>
        <v>1</v>
      </c>
      <c r="F91" s="205" t="b">
        <f>VLOOKUP(D91,'Feature Set List'!A87:C246,3,0)</f>
        <v>1</v>
      </c>
      <c r="G91" s="205">
        <v>-0.7238371</v>
      </c>
      <c r="H91" s="205">
        <v>-0.3809144</v>
      </c>
      <c r="I91" s="205">
        <v>0.21588473</v>
      </c>
      <c r="J91" s="205">
        <v>0.42578651</v>
      </c>
      <c r="K91" s="205">
        <v>-0.6800618</v>
      </c>
      <c r="L91" s="205">
        <v>0.17151119</v>
      </c>
      <c r="M91" s="205">
        <v>-0.5397118</v>
      </c>
      <c r="N91" s="205">
        <v>1.4802812</v>
      </c>
      <c r="O91" s="205">
        <v>-0.1665254</v>
      </c>
      <c r="P91" s="205">
        <v>0.47863589</v>
      </c>
      <c r="Q91" s="205">
        <v>-0.4274318</v>
      </c>
      <c r="R91" s="205">
        <v>0.56339433</v>
      </c>
      <c r="S91" s="205">
        <v>0.14209503</v>
      </c>
      <c r="T91" s="205">
        <v>1.20556414</v>
      </c>
      <c r="U91" s="205">
        <v>2.81896595</v>
      </c>
      <c r="V91" s="205">
        <v>0.00199432</v>
      </c>
      <c r="W91" s="205">
        <v>-0.1595453</v>
      </c>
      <c r="X91" s="205">
        <v>2.42558708</v>
      </c>
      <c r="Y91" s="205">
        <v>-0.8325373</v>
      </c>
      <c r="Z91" s="205">
        <v>-0.4572468</v>
      </c>
      <c r="AA91" s="205">
        <v>1.41646308</v>
      </c>
      <c r="AB91" s="205">
        <v>0.18746572</v>
      </c>
      <c r="AC91" s="205">
        <v>0.11218029</v>
      </c>
      <c r="AD91" s="205">
        <v>-0.8537618</v>
      </c>
      <c r="AE91" s="205">
        <v>0.72543252</v>
      </c>
      <c r="AF91" s="205">
        <v>0.0</v>
      </c>
      <c r="AG91" s="205">
        <v>0.15356235</v>
      </c>
      <c r="AH91" s="205">
        <v>0.7139652</v>
      </c>
      <c r="AI91" s="205">
        <v>0.07777833</v>
      </c>
      <c r="AJ91" s="205">
        <v>-0.8111881</v>
      </c>
      <c r="AK91" s="205">
        <v>0.55192701</v>
      </c>
      <c r="AL91" s="205">
        <v>-0.548786</v>
      </c>
      <c r="AM91" s="205">
        <v>-0.142095</v>
      </c>
      <c r="AN91" s="205">
        <v>-0.7924415</v>
      </c>
      <c r="AO91" s="205">
        <v>1.31674727</v>
      </c>
      <c r="AP91" s="205">
        <v>1.06995064</v>
      </c>
      <c r="AQ91" s="205">
        <v>-0.0922371</v>
      </c>
      <c r="AR91" s="205">
        <v>-0.8500873</v>
      </c>
      <c r="AS91" s="205">
        <v>0.12813482</v>
      </c>
      <c r="AT91" s="205">
        <v>0.26374832</v>
      </c>
      <c r="AU91" s="205">
        <v>0.64615845</v>
      </c>
      <c r="AV91" s="205">
        <v>-0.7760383</v>
      </c>
      <c r="AW91" s="205">
        <v>0.82614549</v>
      </c>
      <c r="AX91" s="205">
        <v>-0.2577654</v>
      </c>
      <c r="AY91" s="205">
        <v>-0.7924415</v>
      </c>
      <c r="AZ91" s="205">
        <v>-0.0014957</v>
      </c>
      <c r="BA91" s="205">
        <v>0.26025826</v>
      </c>
      <c r="BB91" s="205">
        <v>2.21219524</v>
      </c>
      <c r="BC91" s="205">
        <v>-0.5659869</v>
      </c>
      <c r="BD91" s="205">
        <v>-0.365957</v>
      </c>
      <c r="BE91" s="205">
        <v>0.63917834</v>
      </c>
      <c r="BF91" s="205">
        <v>-0.0069801</v>
      </c>
      <c r="BG91" s="205">
        <v>0.018946</v>
      </c>
      <c r="BH91" s="205">
        <v>-0.854739</v>
      </c>
      <c r="BI91" s="205">
        <v>-0.0922371</v>
      </c>
      <c r="BJ91" s="205">
        <v>-0.1545595</v>
      </c>
      <c r="BK91" s="205">
        <v>-0.0892456</v>
      </c>
      <c r="BL91" s="205">
        <v>1.6039288</v>
      </c>
      <c r="BM91" s="205">
        <v>2.36924764</v>
      </c>
      <c r="BN91" s="205">
        <v>-0.4121753</v>
      </c>
      <c r="BO91" s="205">
        <v>-0.8699606</v>
      </c>
      <c r="BP91" s="205">
        <v>-0.286683</v>
      </c>
      <c r="BQ91" s="205">
        <v>-0.7350052</v>
      </c>
      <c r="BR91" s="206"/>
      <c r="BS91" s="207">
        <f t="shared" si="6"/>
        <v>0.1667211975</v>
      </c>
      <c r="BT91" s="207">
        <f t="shared" si="7"/>
        <v>0.6535591829</v>
      </c>
      <c r="BU91" s="206"/>
      <c r="BV91" s="207">
        <f>IFERROR(__xludf.DUMMYFUNCTION("AVERAGE(ARRAYFORMULA(XLOOKUP(FILTER(INDIRECT(""'""&amp;BV$1&amp;""'!$C$4:$C$66""),INDIRECT(""'""&amp;BV$1&amp;""'!$D$4:$D$66"")=BV$2),$G$4:$BQ$4,$G91:$BQ91)))"),1.460594454285714)</f>
        <v>1.460594454</v>
      </c>
      <c r="BW91" s="207">
        <f>IFERROR(__xludf.DUMMYFUNCTION("IF(OR(BV91&gt;$BS91+$BT91*$BT$2,BV91&lt;$BS91-$BT91*$BT$2),AVEDEV(ARRAYFORMULA(XLOOKUP(FILTER(INDIRECT(""'""&amp;BV$1&amp;""'!$C$4:$C$66""),INDIRECT(""'""&amp;BV$1&amp;""'!$D$4:$D$66"")=BV$2),$G$4:$BQ$4,$G91:$BQ91))),"""")"),0.9195140722448981)</f>
        <v>0.9195140722</v>
      </c>
      <c r="BX91" s="208">
        <f t="shared" si="8"/>
        <v>0.6403140739</v>
      </c>
      <c r="BY91" s="207">
        <f>IFERROR(__xludf.DUMMYFUNCTION("AVERAGE(ARRAYFORMULA(XLOOKUP(FILTER(INDIRECT(""'""&amp;BY$1&amp;""'!$C$4:$C$66""),INDIRECT(""'""&amp;BY$1&amp;""'!$D$4:$D$66"")=BY$2),$G$4:$BQ$4,$G91:$BQ91)))"),-0.058211948571428564)</f>
        <v>-0.05821194857</v>
      </c>
      <c r="BZ91" s="207" t="str">
        <f>IFERROR(__xludf.DUMMYFUNCTION("IF(OR(BY91&gt;$BS91+$BT91*$BT$2,BY91&lt;$BS91-$BT91*$BT$2),AVEDEV(ARRAYFORMULA(XLOOKUP(FILTER(INDIRECT(""'""&amp;BY$1&amp;""'!$C$4:$C$66""),INDIRECT(""'""&amp;BY$1&amp;""'!$D$4:$D$66"")=BY$2),$G$4:$BQ$4,$G91:$BQ91))),"""")"),"")</f>
        <v/>
      </c>
      <c r="CA91" s="208" t="str">
        <f t="shared" si="9"/>
        <v/>
      </c>
      <c r="CB91" s="207">
        <f>IFERROR(__xludf.DUMMYFUNCTION("AVERAGE(ARRAYFORMULA(XLOOKUP(FILTER(INDIRECT(""'""&amp;CB$1&amp;""'!$C$4:$C$66""),INDIRECT(""'""&amp;CB$1&amp;""'!$D$4:$D$66"")=CB$2),$G$4:$BQ$4,$G91:$BQ91)))"),0.20255362909090913)</f>
        <v>0.2025536291</v>
      </c>
      <c r="CC91" s="207" t="str">
        <f>IFERROR(__xludf.DUMMYFUNCTION("IF(OR(CB91&gt;$BS91+$BT91*$BT$2,CB91&lt;$BS91-$BT91*$BT$2),AVEDEV(ARRAYFORMULA(XLOOKUP(FILTER(INDIRECT(""'""&amp;CB$1&amp;""'!$C$4:$C$66""),INDIRECT(""'""&amp;CB$1&amp;""'!$D$4:$D$66"")=CB$2),$G$4:$BQ$4,$G91:$BQ91))),"""")"),"")</f>
        <v/>
      </c>
      <c r="CD91" s="208" t="str">
        <f t="shared" si="10"/>
        <v/>
      </c>
      <c r="CE91" s="209" t="s">
        <v>444</v>
      </c>
      <c r="CF91" s="207">
        <f>IFERROR(__xludf.DUMMYFUNCTION("AVERAGE(ARRAYFORMULA(XLOOKUP(FILTER(INDIRECT(""'""&amp;CF$1&amp;""'!$C$4:$C$66""),INDIRECT(""'""&amp;CF$1&amp;""'!$D$4:$D$66"")=CF$2),$G$4:$BQ$4,$G91:$BQ91)))"),0.5904734049999999)</f>
        <v>0.590473405</v>
      </c>
      <c r="CG91" s="207" t="str">
        <f>IFERROR(__xludf.DUMMYFUNCTION("IF(OR(CF91&gt;$BS91+$BT91*$BT$2,CF91&lt;$BS91-$BT91*$BT$2),AVEDEV(ARRAYFORMULA(XLOOKUP(FILTER(INDIRECT(""'""&amp;CF$1&amp;""'!$C$4:$C$66""),INDIRECT(""'""&amp;CF$1&amp;""'!$D$4:$D$66"")=CF$2),$G$4:$BQ$4,$G91:$BQ91))),"""")"),"")</f>
        <v/>
      </c>
      <c r="CH91" s="208" t="str">
        <f t="shared" si="11"/>
        <v/>
      </c>
      <c r="CI91" s="207">
        <f>IFERROR(__xludf.DUMMYFUNCTION("AVERAGE(ARRAYFORMULA(XLOOKUP(FILTER(INDIRECT(""'""&amp;CI$1&amp;""'!$C$4:$C$66""),INDIRECT(""'""&amp;CI$1&amp;""'!$D$4:$D$66"")=CI$2),$G$4:$BQ$4,$G91:$BQ91)))"),-0.21114918451612902)</f>
        <v>-0.2111491845</v>
      </c>
      <c r="CJ91" s="207" t="str">
        <f>IFERROR(__xludf.DUMMYFUNCTION("IF(OR(CI91&gt;$BS91+$BT91*$BT$2,CI91&lt;$BS91-$BT91*$BT$2),AVEDEV(ARRAYFORMULA(XLOOKUP(FILTER(INDIRECT(""'""&amp;CI$1&amp;""'!$C$4:$C$66""),INDIRECT(""'""&amp;CI$1&amp;""'!$D$4:$D$66"")=CI$2),$G$4:$BQ$4,$G91:$BQ91))),"""")"),"")</f>
        <v/>
      </c>
      <c r="CK91" s="208" t="str">
        <f t="shared" si="12"/>
        <v/>
      </c>
      <c r="CL91" s="207">
        <f>IFERROR(__xludf.DUMMYFUNCTION("AVERAGE(ARRAYFORMULA(XLOOKUP(FILTER(INDIRECT(""'""&amp;CL$1&amp;""'!$C$4:$C$66""),INDIRECT(""'""&amp;CL$1&amp;""'!$D$4:$D$66"")=CL$2),$G$4:$BQ$4,$G91:$BQ91)))"),0.41830782199999994)</f>
        <v>0.418307822</v>
      </c>
      <c r="CM91" s="207" t="str">
        <f>IFERROR(__xludf.DUMMYFUNCTION("IF(OR(CL91&gt;$BS91+$BT91*$BT$2,CL91&lt;$BS91-$BT91*$BT$2),AVEDEV(ARRAYFORMULA(XLOOKUP(FILTER(INDIRECT(""'""&amp;CL$1&amp;""'!$C$4:$C$66""),INDIRECT(""'""&amp;CL$1&amp;""'!$D$4:$D$66"")=CL$2),$G$4:$BQ$4,$G91:$BQ91))),"""")"),"")</f>
        <v/>
      </c>
      <c r="CN91" s="208" t="str">
        <f t="shared" si="13"/>
        <v/>
      </c>
      <c r="CO91" s="209" t="s">
        <v>444</v>
      </c>
      <c r="CP91" s="210">
        <f>IFERROR(__xludf.DUMMYFUNCTION("AVERAGE(ARRAYFORMULA(XLOOKUP(FILTER(INDIRECT(""'""&amp;CP$1&amp;""'!$C$4:$C$66""),INDIRECT(""'""&amp;CP$1&amp;""'!$D$4:$D$66"")=CP$2),$G$4:$BQ$4,$G91:$BQ91)))"),0.862558372)</f>
        <v>0.862558372</v>
      </c>
      <c r="CQ91" s="207">
        <f>IFERROR(__xludf.DUMMYFUNCTION("IF(OR(CP91&gt;$BS91+$BT91*$BT$2,CP91&lt;$BS91-$BT91*$BT$2),AVEDEV(ARRAYFORMULA(XLOOKUP(FILTER(INDIRECT(""'""&amp;CP$1&amp;""'!$C$4:$C$66""),INDIRECT(""'""&amp;CP$1&amp;""'!$D$4:$D$66"")=CP$2),$G$4:$BQ$4,$G91:$BQ91))),"""")"),1.0063186610666663)</f>
        <v>1.006318661</v>
      </c>
      <c r="CR91" s="208">
        <f t="shared" si="14"/>
        <v>0.04227799165</v>
      </c>
      <c r="CS91" s="210">
        <f>IFERROR(__xludf.DUMMYFUNCTION("AVERAGE(ARRAYFORMULA(XLOOKUP(FILTER(INDIRECT(""'""&amp;CS$1&amp;""'!$C$4:$C$66""),INDIRECT(""'""&amp;CS$1&amp;""'!$D$4:$D$66"")=CS$2),$G$4:$BQ$4,$G91:$BQ91)))"),-0.16991010846153845)</f>
        <v>-0.1699101085</v>
      </c>
      <c r="CT91" s="207" t="str">
        <f>IFERROR(__xludf.DUMMYFUNCTION("IF(OR(CS91&gt;$BS91+$BT91*$BT$2,CS91&lt;$BS91-$BT91*$BT$2),AVEDEV(ARRAYFORMULA(XLOOKUP(FILTER(INDIRECT(""'""&amp;CS$1&amp;""'!$C$4:$C$66""),INDIRECT(""'""&amp;CS$1&amp;""'!$D$4:$D$66"")=CS$2),$G$4:$BQ$4,$G91:$BQ91))),"""")"),"")</f>
        <v/>
      </c>
      <c r="CU91" s="208" t="str">
        <f t="shared" si="15"/>
        <v/>
      </c>
      <c r="CV91" s="210">
        <f>IFERROR(__xludf.DUMMYFUNCTION("AVERAGE(ARRAYFORMULA(XLOOKUP(FILTER(INDIRECT(""'""&amp;CV$1&amp;""'!$C$4:$C$66""),INDIRECT(""'""&amp;CV$1&amp;""'!$D$4:$D$66"")=CV$2),$G$4:$BQ$4,$G91:$BQ91)))"),0.41830782199999994)</f>
        <v>0.418307822</v>
      </c>
      <c r="CW91" s="207" t="str">
        <f>IFERROR(__xludf.DUMMYFUNCTION("IF(OR(CV91&gt;$BS91+$BT91*$BT$2,CV91&lt;$BS91-$BT91*$BT$2),AVEDEV(ARRAYFORMULA(XLOOKUP(FILTER(INDIRECT(""'""&amp;CV$1&amp;""'!$C$4:$C$66""),INDIRECT(""'""&amp;CV$1&amp;""'!$D$4:$D$66"")=CV$2),$G$4:$BQ$4,$G91:$BQ91))),"""")"),"")</f>
        <v/>
      </c>
      <c r="CX91" s="208" t="str">
        <f t="shared" si="16"/>
        <v/>
      </c>
      <c r="CY91" s="209" t="s">
        <v>444</v>
      </c>
      <c r="CZ91" s="210">
        <f>IFERROR(__xludf.DUMMYFUNCTION("AVERAGE(ARRAYFORMULA(XLOOKUP(FILTER(INDIRECT(""'""&amp;CZ$1&amp;""'!$C$4:$C$66""),INDIRECT(""'""&amp;CZ$1&amp;""'!$D$4:$D$66"")=CZ$2),$G$4:$BQ$4,$G91:$BQ91)))"),0.29962108357142864)</f>
        <v>0.2996210836</v>
      </c>
      <c r="DA91" s="207" t="str">
        <f>IFERROR(__xludf.DUMMYFUNCTION("IF(OR(CZ91&gt;$BS91+$BT91*$BT$2,CZ91&lt;$BS91-$BT91*$BT$2),AVEDEV(ARRAYFORMULA(XLOOKUP(FILTER(INDIRECT(""'""&amp;CZ$1&amp;""'!$C$4:$C$66""),INDIRECT(""'""&amp;CZ$1&amp;""'!$D$4:$D$66"")=CZ$2),$G$4:$BQ$4,$G91:$BQ91))),"""")"),"")</f>
        <v/>
      </c>
      <c r="DB91" s="208" t="str">
        <f t="shared" si="17"/>
        <v/>
      </c>
      <c r="DC91" s="210">
        <f>IFERROR(__xludf.DUMMYFUNCTION("AVERAGE(ARRAYFORMULA(XLOOKUP(FILTER(INDIRECT(""'""&amp;DC$1&amp;""'!$C$4:$C$66""),INDIRECT(""'""&amp;DC$1&amp;""'!$D$4:$D$66"")=DC$2),$G$4:$BQ$4,$G91:$BQ91)))"),-0.015518002222222228)</f>
        <v>-0.01551800222</v>
      </c>
      <c r="DD91" s="207" t="str">
        <f>IFERROR(__xludf.DUMMYFUNCTION("IF(OR(DC91&gt;$BS91+$BT91*$BT$2,DC91&lt;$BS91-$BT91*$BT$2),AVEDEV(ARRAYFORMULA(XLOOKUP(FILTER(INDIRECT(""'""&amp;DC$1&amp;""'!$C$4:$C$66""),INDIRECT(""'""&amp;DC$1&amp;""'!$D$4:$D$66"")=DC$2),$G$4:$BQ$4,$G91:$BQ91))),"""")"),"")</f>
        <v/>
      </c>
      <c r="DE91" s="208" t="str">
        <f t="shared" si="18"/>
        <v/>
      </c>
      <c r="DF91" s="210">
        <f>IFERROR(__xludf.DUMMYFUNCTION("AVERAGE(ARRAYFORMULA(XLOOKUP(FILTER(INDIRECT(""'""&amp;DF$1&amp;""'!$C$4:$C$66""),INDIRECT(""'""&amp;DF$1&amp;""'!$D$4:$D$66"")=DF$2),$G$4:$BQ$4,$G91:$BQ91)))"),0.09684309454545453)</f>
        <v>0.09684309455</v>
      </c>
      <c r="DG91" s="207" t="str">
        <f>IFERROR(__xludf.DUMMYFUNCTION("IF(OR(DF91&gt;$BS91+$BT91*$BT$2,DF91&lt;$BS91-$BT91*$BT$2),AVEDEV(ARRAYFORMULA(XLOOKUP(FILTER(INDIRECT(""'""&amp;DF$1&amp;""'!$C$4:$C$66""),INDIRECT(""'""&amp;DF$1&amp;""'!$D$4:$D$66"")=DF$2),$G$4:$BQ$4,$G91:$BQ91))),"""")"),"")</f>
        <v/>
      </c>
      <c r="DH91" s="208" t="str">
        <f t="shared" si="19"/>
        <v/>
      </c>
      <c r="DI91" s="210">
        <f>IFERROR(__xludf.DUMMYFUNCTION("AVERAGE(ARRAYFORMULA(XLOOKUP(FILTER(INDIRECT(""'""&amp;DI$1&amp;""'!$C$4:$C$66""),INDIRECT(""'""&amp;DI$1&amp;""'!$D$4:$D$66"")=DI$2),$G$4:$BQ$4,$G91:$BQ91)))"),-0.8542504)</f>
        <v>-0.8542504</v>
      </c>
      <c r="DJ91" s="207">
        <f>IFERROR(__xludf.DUMMYFUNCTION("IF(OR(DI91&gt;$BS91+$BT91*$BT$2,DI91&lt;$BS91-$BT91*$BT$2),AVEDEV(ARRAYFORMULA(XLOOKUP(FILTER(INDIRECT(""'""&amp;DI$1&amp;""'!$C$4:$C$66""),INDIRECT(""'""&amp;DI$1&amp;""'!$D$4:$D$66"")=DI$2),$G$4:$BQ$4,$G91:$BQ91))),"""")"),4.886000000000057E-4)</f>
        <v>0.0004886</v>
      </c>
      <c r="DK91" s="208">
        <f t="shared" si="20"/>
        <v>-0.3674124146</v>
      </c>
      <c r="DL91" s="210">
        <f>IFERROR(__xludf.DUMMYFUNCTION("AVERAGE(ARRAYFORMULA(XLOOKUP(FILTER(INDIRECT(""'""&amp;DL$1&amp;""'!$C$4:$C$66""),INDIRECT(""'""&amp;DL$1&amp;""'!$D$4:$D$66"")=DL$2),$G$4:$BQ$4,$G91:$BQ91)))"),-0.3889956407142857)</f>
        <v>-0.3889956407</v>
      </c>
      <c r="DM91" s="207" t="str">
        <f>IFERROR(__xludf.DUMMYFUNCTION("IF(OR(DL91&gt;$BS91+$BT91*$BT$2,DL91&lt;$BS91-$BT91*$BT$2),AVEDEV(ARRAYFORMULA(XLOOKUP(FILTER(INDIRECT(""'""&amp;DL$1&amp;""'!$C$4:$C$66""),INDIRECT(""'""&amp;DL$1&amp;""'!$D$4:$D$66"")=DL$2),$G$4:$BQ$4,$G91:$BQ91))),"""")"),"")</f>
        <v/>
      </c>
      <c r="DN91" s="208" t="str">
        <f t="shared" si="21"/>
        <v/>
      </c>
      <c r="DO91" s="209" t="s">
        <v>444</v>
      </c>
      <c r="DP91" s="210">
        <f>IFERROR(__xludf.DUMMYFUNCTION("AVERAGE(ARRAYFORMULA(XLOOKUP(FILTER(INDIRECT(""'""&amp;DP$1&amp;""'!$C$4:$C$66""),INDIRECT(""'""&amp;DP$1&amp;""'!$D$4:$D$66"")=DP$2),$G$4:$BQ$4,$G91:$BQ91)))"),0.10222699299999996)</f>
        <v>0.102226993</v>
      </c>
      <c r="DQ91" s="207" t="str">
        <f>IFERROR(__xludf.DUMMYFUNCTION("IF(OR(DP91&gt;$BS91+$BT91*$BT$2,DP91&lt;$BS91-$BT91*$BT$2),AVEDEV(ARRAYFORMULA(XLOOKUP(FILTER(INDIRECT(""'""&amp;DP$1&amp;""'!$C$4:$C$66""),INDIRECT(""'""&amp;DP$1&amp;""'!$D$4:$D$66"")=DP$2),$G$4:$BQ$4,$G91:$BQ91))),"""")"),"")</f>
        <v/>
      </c>
      <c r="DR91" s="208" t="str">
        <f t="shared" si="22"/>
        <v/>
      </c>
      <c r="DS91" s="210">
        <f>IFERROR(__xludf.DUMMYFUNCTION("AVERAGE(ARRAYFORMULA(XLOOKUP(FILTER(INDIRECT(""'""&amp;DS$1&amp;""'!$C$4:$C$66""),INDIRECT(""'""&amp;DS$1&amp;""'!$D$4:$D$66"")=DS$2),$G$4:$BQ$4,$G91:$BQ91)))"),0.25400940222222224)</f>
        <v>0.2540094022</v>
      </c>
      <c r="DT91" s="207" t="str">
        <f>IFERROR(__xludf.DUMMYFUNCTION("IF(OR(DS91&gt;$BS91+$BT91*$BT$2,DS91&lt;$BS91-$BT91*$BT$2),AVEDEV(ARRAYFORMULA(XLOOKUP(FILTER(INDIRECT(""'""&amp;DS$1&amp;""'!$C$4:$C$66""),INDIRECT(""'""&amp;DS$1&amp;""'!$D$4:$D$66"")=DS$2),$G$4:$BQ$4,$G91:$BQ91))),"""")"),"")</f>
        <v/>
      </c>
      <c r="DU91" s="208" t="str">
        <f t="shared" si="23"/>
        <v/>
      </c>
      <c r="DV91" s="210">
        <f>IFERROR(__xludf.DUMMYFUNCTION("AVERAGE(ARRAYFORMULA(XLOOKUP(FILTER(INDIRECT(""'""&amp;DV$1&amp;""'!$C$4:$C$66""),INDIRECT(""'""&amp;DV$1&amp;""'!$D$4:$D$66"")=DV$2),$G$4:$BQ$4,$G91:$BQ91)))"),0.39615846125)</f>
        <v>0.3961584613</v>
      </c>
      <c r="DW91" s="207" t="str">
        <f>IFERROR(__xludf.DUMMYFUNCTION("IF(OR(DV91&gt;$BS91+$BT91*$BT$2,DV91&lt;$BS91-$BT91*$BT$2),AVEDEV(ARRAYFORMULA(XLOOKUP(FILTER(INDIRECT(""'""&amp;DV$1&amp;""'!$C$4:$C$66""),INDIRECT(""'""&amp;DV$1&amp;""'!$D$4:$D$66"")=DV$2),$G$4:$BQ$4,$G91:$BQ91))),"""")"),"")</f>
        <v/>
      </c>
      <c r="DX91" s="208" t="str">
        <f t="shared" si="24"/>
        <v/>
      </c>
      <c r="DY91" s="210">
        <f>IFERROR(__xludf.DUMMYFUNCTION("AVERAGE(ARRAYFORMULA(XLOOKUP(FILTER(INDIRECT(""'""&amp;DY$1&amp;""'!$C$4:$C$66""),INDIRECT(""'""&amp;DY$1&amp;""'!$D$4:$D$66"")=DY$2),$G$4:$BQ$4,$G91:$BQ91)))"),-0.33455429888888893)</f>
        <v>-0.3345542989</v>
      </c>
      <c r="DZ91" s="207" t="str">
        <f>IFERROR(__xludf.DUMMYFUNCTION("IF(OR(DY91&gt;$BS91+$BT91*$BT$2,DY91&lt;$BS91-$BT91*$BT$2),AVEDEV(ARRAYFORMULA(XLOOKUP(FILTER(INDIRECT(""'""&amp;DY$1&amp;""'!$C$4:$C$66""),INDIRECT(""'""&amp;DY$1&amp;""'!$D$4:$D$66"")=DY$2),$G$4:$BQ$4,$G91:$BQ91))),"""")"),"")</f>
        <v/>
      </c>
      <c r="EA91" s="208" t="str">
        <f t="shared" si="25"/>
        <v/>
      </c>
      <c r="EB91" s="191"/>
    </row>
    <row r="92" outlineLevel="1">
      <c r="A92" s="2"/>
      <c r="B92" s="204">
        <v>88.0</v>
      </c>
      <c r="C92" s="204" t="s">
        <v>507</v>
      </c>
      <c r="D92" s="204" t="s">
        <v>533</v>
      </c>
      <c r="E92" s="205" t="b">
        <f>VLOOKUP(D92,'Feature Set List'!A88:C246,2,0)</f>
        <v>1</v>
      </c>
      <c r="F92" s="205" t="b">
        <f>VLOOKUP(D92,'Feature Set List'!A88:C246,3,0)</f>
        <v>1</v>
      </c>
      <c r="G92" s="205">
        <v>0.39809897</v>
      </c>
      <c r="H92" s="205">
        <v>0.74308079</v>
      </c>
      <c r="I92" s="205">
        <v>-1.8067654</v>
      </c>
      <c r="J92" s="205">
        <v>-0.0989656</v>
      </c>
      <c r="K92" s="205">
        <v>0.56415991</v>
      </c>
      <c r="L92" s="205">
        <v>0.3908303</v>
      </c>
      <c r="M92" s="205">
        <v>1.42242102</v>
      </c>
      <c r="N92" s="205">
        <v>-0.6502656</v>
      </c>
      <c r="O92" s="205">
        <v>-0.1470506</v>
      </c>
      <c r="P92" s="205">
        <v>0.0464076</v>
      </c>
      <c r="Q92" s="205">
        <v>0.6223092</v>
      </c>
      <c r="R92" s="205">
        <v>0.14872798</v>
      </c>
      <c r="S92" s="205">
        <v>-0.1867487</v>
      </c>
      <c r="T92" s="205">
        <v>-0.8498742</v>
      </c>
      <c r="U92" s="205">
        <v>-1.4839251</v>
      </c>
      <c r="V92" s="205">
        <v>0.37573386</v>
      </c>
      <c r="W92" s="205">
        <v>0.63349175</v>
      </c>
      <c r="X92" s="205">
        <v>-1.3050042</v>
      </c>
      <c r="Y92" s="205">
        <v>1.58344982</v>
      </c>
      <c r="Z92" s="205">
        <v>1.25132793</v>
      </c>
      <c r="AA92" s="205">
        <v>-0.7072966</v>
      </c>
      <c r="AB92" s="205">
        <v>1.45876433</v>
      </c>
      <c r="AC92" s="205">
        <v>-0.1822756</v>
      </c>
      <c r="AD92" s="205">
        <v>1.44031311</v>
      </c>
      <c r="AE92" s="205">
        <v>0.15376013</v>
      </c>
      <c r="AF92" s="205">
        <v>-0.0995247</v>
      </c>
      <c r="AG92" s="205">
        <v>-0.5048924</v>
      </c>
      <c r="AH92" s="205">
        <v>-0.0687727</v>
      </c>
      <c r="AI92" s="205">
        <v>-0.2398658</v>
      </c>
      <c r="AJ92" s="205">
        <v>2.94157115</v>
      </c>
      <c r="AK92" s="205">
        <v>0.0</v>
      </c>
      <c r="AL92" s="205">
        <v>0.67542633</v>
      </c>
      <c r="AM92" s="205">
        <v>-0.1168577</v>
      </c>
      <c r="AN92" s="205">
        <v>1.2446184</v>
      </c>
      <c r="AO92" s="205">
        <v>-0.0357842</v>
      </c>
      <c r="AP92" s="205">
        <v>0.2135868</v>
      </c>
      <c r="AQ92" s="205">
        <v>-0.2750909</v>
      </c>
      <c r="AR92" s="205">
        <v>0.55241823</v>
      </c>
      <c r="AS92" s="205">
        <v>-0.2728543</v>
      </c>
      <c r="AT92" s="205">
        <v>-0.310875</v>
      </c>
      <c r="AU92" s="205">
        <v>0.88230361</v>
      </c>
      <c r="AV92" s="205">
        <v>-0.1571149</v>
      </c>
      <c r="AW92" s="205">
        <v>-0.4215823</v>
      </c>
      <c r="AX92" s="205">
        <v>1.60413755</v>
      </c>
      <c r="AY92" s="205">
        <v>0.81856304</v>
      </c>
      <c r="AZ92" s="205">
        <v>-0.1962538</v>
      </c>
      <c r="BA92" s="205">
        <v>-0.6178362</v>
      </c>
      <c r="BB92" s="205">
        <v>-1.8718479</v>
      </c>
      <c r="BC92" s="205">
        <v>-0.8090579</v>
      </c>
      <c r="BD92" s="205">
        <v>0.83925077</v>
      </c>
      <c r="BE92" s="205">
        <v>1.02432206</v>
      </c>
      <c r="BF92" s="205">
        <v>-0.4758177</v>
      </c>
      <c r="BG92" s="205">
        <v>-0.7067375</v>
      </c>
      <c r="BH92" s="205">
        <v>1.34470226</v>
      </c>
      <c r="BI92" s="205">
        <v>0.74755382</v>
      </c>
      <c r="BJ92" s="205">
        <v>-0.7363713</v>
      </c>
      <c r="BK92" s="205">
        <v>-0.1336315</v>
      </c>
      <c r="BL92" s="205">
        <v>0.24881185</v>
      </c>
      <c r="BM92" s="205">
        <v>-1.7815488</v>
      </c>
      <c r="BN92" s="205">
        <v>0.26502656</v>
      </c>
      <c r="BO92" s="205">
        <v>-0.227565</v>
      </c>
      <c r="BP92" s="205">
        <v>0.73860777</v>
      </c>
      <c r="BQ92" s="205">
        <v>0.65194297</v>
      </c>
      <c r="BR92" s="206"/>
      <c r="BS92" s="207">
        <f t="shared" si="6"/>
        <v>0.1356772344</v>
      </c>
      <c r="BT92" s="207">
        <f t="shared" si="7"/>
        <v>0.6955236583</v>
      </c>
      <c r="BU92" s="206"/>
      <c r="BV92" s="207">
        <f>IFERROR(__xludf.DUMMYFUNCTION("AVERAGE(ARRAYFORMULA(XLOOKUP(FILTER(INDIRECT(""'""&amp;BV$1&amp;""'!$C$4:$C$66""),INDIRECT(""'""&amp;BV$1&amp;""'!$D$4:$D$66"")=BV$2),$G$4:$BQ$4,$G92:$BQ92)))"),-0.37212349285714286)</f>
        <v>-0.3721234929</v>
      </c>
      <c r="BW92" s="207" t="str">
        <f>IFERROR(__xludf.DUMMYFUNCTION("IF(OR(BV92&gt;$BS92+$BT92*$BT$2,BV92&lt;$BS92-$BT92*$BT$2),AVEDEV(ARRAYFORMULA(XLOOKUP(FILTER(INDIRECT(""'""&amp;BV$1&amp;""'!$C$4:$C$66""),INDIRECT(""'""&amp;BV$1&amp;""'!$D$4:$D$66"")=BV$2),$G$4:$BQ$4,$G92:$BQ92))),"""")"),"")</f>
        <v/>
      </c>
      <c r="BX92" s="208" t="str">
        <f t="shared" si="8"/>
        <v/>
      </c>
      <c r="BY92" s="207">
        <f>IFERROR(__xludf.DUMMYFUNCTION("AVERAGE(ARRAYFORMULA(XLOOKUP(FILTER(INDIRECT(""'""&amp;BY$1&amp;""'!$C$4:$C$66""),INDIRECT(""'""&amp;BY$1&amp;""'!$D$4:$D$66"")=BY$2),$G$4:$BQ$4,$G92:$BQ92)))"),0.2454304638095238)</f>
        <v>0.2454304638</v>
      </c>
      <c r="BZ92" s="207" t="str">
        <f>IFERROR(__xludf.DUMMYFUNCTION("IF(OR(BY92&gt;$BS92+$BT92*$BT$2,BY92&lt;$BS92-$BT92*$BT$2),AVEDEV(ARRAYFORMULA(XLOOKUP(FILTER(INDIRECT(""'""&amp;BY$1&amp;""'!$C$4:$C$66""),INDIRECT(""'""&amp;BY$1&amp;""'!$D$4:$D$66"")=BY$2),$G$4:$BQ$4,$G92:$BQ92))),"""")"),"")</f>
        <v/>
      </c>
      <c r="CA92" s="208" t="str">
        <f t="shared" si="9"/>
        <v/>
      </c>
      <c r="CB92" s="207">
        <f>IFERROR(__xludf.DUMMYFUNCTION("AVERAGE(ARRAYFORMULA(XLOOKUP(FILTER(INDIRECT(""'""&amp;CB$1&amp;""'!$C$4:$C$66""),INDIRECT(""'""&amp;CB$1&amp;""'!$D$4:$D$66"")=CB$2),$G$4:$BQ$4,$G92:$BQ92)))"),0.08451470545454548)</f>
        <v>0.08451470545</v>
      </c>
      <c r="CC92" s="207" t="str">
        <f>IFERROR(__xludf.DUMMYFUNCTION("IF(OR(CB92&gt;$BS92+$BT92*$BT$2,CB92&lt;$BS92-$BT92*$BT$2),AVEDEV(ARRAYFORMULA(XLOOKUP(FILTER(INDIRECT(""'""&amp;CB$1&amp;""'!$C$4:$C$66""),INDIRECT(""'""&amp;CB$1&amp;""'!$D$4:$D$66"")=CB$2),$G$4:$BQ$4,$G92:$BQ92))),"""")"),"")</f>
        <v/>
      </c>
      <c r="CD92" s="208" t="str">
        <f t="shared" si="10"/>
        <v/>
      </c>
      <c r="CE92" s="209" t="s">
        <v>444</v>
      </c>
      <c r="CF92" s="207">
        <f>IFERROR(__xludf.DUMMYFUNCTION("AVERAGE(ARRAYFORMULA(XLOOKUP(FILTER(INDIRECT(""'""&amp;CF$1&amp;""'!$C$4:$C$66""),INDIRECT(""'""&amp;CF$1&amp;""'!$D$4:$D$66"")=CF$2),$G$4:$BQ$4,$G92:$BQ92)))"),-0.267675425625)</f>
        <v>-0.2676754256</v>
      </c>
      <c r="CG92" s="207" t="str">
        <f>IFERROR(__xludf.DUMMYFUNCTION("IF(OR(CF92&gt;$BS92+$BT92*$BT$2,CF92&lt;$BS92-$BT92*$BT$2),AVEDEV(ARRAYFORMULA(XLOOKUP(FILTER(INDIRECT(""'""&amp;CF$1&amp;""'!$C$4:$C$66""),INDIRECT(""'""&amp;CF$1&amp;""'!$D$4:$D$66"")=CF$2),$G$4:$BQ$4,$G92:$BQ92))),"""")"),"")</f>
        <v/>
      </c>
      <c r="CH92" s="208" t="str">
        <f t="shared" si="11"/>
        <v/>
      </c>
      <c r="CI92" s="207">
        <f>IFERROR(__xludf.DUMMYFUNCTION("AVERAGE(ARRAYFORMULA(XLOOKUP(FILTER(INDIRECT(""'""&amp;CI$1&amp;""'!$C$4:$C$66""),INDIRECT(""'""&amp;CI$1&amp;""'!$D$4:$D$66"")=CI$2),$G$4:$BQ$4,$G92:$BQ92)))"),0.5117101225806452)</f>
        <v>0.5117101226</v>
      </c>
      <c r="CJ92" s="207" t="str">
        <f>IFERROR(__xludf.DUMMYFUNCTION("IF(OR(CI92&gt;$BS92+$BT92*$BT$2,CI92&lt;$BS92-$BT92*$BT$2),AVEDEV(ARRAYFORMULA(XLOOKUP(FILTER(INDIRECT(""'""&amp;CI$1&amp;""'!$C$4:$C$66""),INDIRECT(""'""&amp;CI$1&amp;""'!$D$4:$D$66"")=CI$2),$G$4:$BQ$4,$G92:$BQ92))),"""")"),"")</f>
        <v/>
      </c>
      <c r="CK92" s="208" t="str">
        <f t="shared" si="12"/>
        <v/>
      </c>
      <c r="CL92" s="207">
        <f>IFERROR(__xludf.DUMMYFUNCTION("AVERAGE(ARRAYFORMULA(XLOOKUP(FILTER(INDIRECT(""'""&amp;CL$1&amp;""'!$C$4:$C$66""),INDIRECT(""'""&amp;CL$1&amp;""'!$D$4:$D$66"")=CL$2),$G$4:$BQ$4,$G92:$BQ92)))"),-0.48017892)</f>
        <v>-0.48017892</v>
      </c>
      <c r="CM92" s="207" t="str">
        <f>IFERROR(__xludf.DUMMYFUNCTION("IF(OR(CL92&gt;$BS92+$BT92*$BT$2,CL92&lt;$BS92-$BT92*$BT$2),AVEDEV(ARRAYFORMULA(XLOOKUP(FILTER(INDIRECT(""'""&amp;CL$1&amp;""'!$C$4:$C$66""),INDIRECT(""'""&amp;CL$1&amp;""'!$D$4:$D$66"")=CL$2),$G$4:$BQ$4,$G92:$BQ92))),"""")"),"")</f>
        <v/>
      </c>
      <c r="CN92" s="208" t="str">
        <f t="shared" si="13"/>
        <v/>
      </c>
      <c r="CO92" s="209" t="s">
        <v>444</v>
      </c>
      <c r="CP92" s="210">
        <f>IFERROR(__xludf.DUMMYFUNCTION("AVERAGE(ARRAYFORMULA(XLOOKUP(FILTER(INDIRECT(""'""&amp;CP$1&amp;""'!$C$4:$C$66""),INDIRECT(""'""&amp;CP$1&amp;""'!$D$4:$D$66"")=CP$2),$G$4:$BQ$4,$G92:$BQ92)))"),-0.26473207933333326)</f>
        <v>-0.2647320793</v>
      </c>
      <c r="CQ92" s="207" t="str">
        <f>IFERROR(__xludf.DUMMYFUNCTION("IF(OR(CP92&gt;$BS92+$BT92*$BT$2,CP92&lt;$BS92-$BT92*$BT$2),AVEDEV(ARRAYFORMULA(XLOOKUP(FILTER(INDIRECT(""'""&amp;CP$1&amp;""'!$C$4:$C$66""),INDIRECT(""'""&amp;CP$1&amp;""'!$D$4:$D$66"")=CP$2),$G$4:$BQ$4,$G92:$BQ92))),"""")"),"")</f>
        <v/>
      </c>
      <c r="CR92" s="208" t="str">
        <f t="shared" si="14"/>
        <v/>
      </c>
      <c r="CS92" s="210">
        <f>IFERROR(__xludf.DUMMYFUNCTION("AVERAGE(ARRAYFORMULA(XLOOKUP(FILTER(INDIRECT(""'""&amp;CS$1&amp;""'!$C$4:$C$66""),INDIRECT(""'""&amp;CS$1&amp;""'!$D$4:$D$66"")=CS$2),$G$4:$BQ$4,$G92:$BQ92)))"),0.3783574546153846)</f>
        <v>0.3783574546</v>
      </c>
      <c r="CT92" s="207" t="str">
        <f>IFERROR(__xludf.DUMMYFUNCTION("IF(OR(CS92&gt;$BS92+$BT92*$BT$2,CS92&lt;$BS92-$BT92*$BT$2),AVEDEV(ARRAYFORMULA(XLOOKUP(FILTER(INDIRECT(""'""&amp;CS$1&amp;""'!$C$4:$C$66""),INDIRECT(""'""&amp;CS$1&amp;""'!$D$4:$D$66"")=CS$2),$G$4:$BQ$4,$G92:$BQ92))),"""")"),"")</f>
        <v/>
      </c>
      <c r="CU92" s="208" t="str">
        <f t="shared" si="15"/>
        <v/>
      </c>
      <c r="CV92" s="210">
        <f>IFERROR(__xludf.DUMMYFUNCTION("AVERAGE(ARRAYFORMULA(XLOOKUP(FILTER(INDIRECT(""'""&amp;CV$1&amp;""'!$C$4:$C$66""),INDIRECT(""'""&amp;CV$1&amp;""'!$D$4:$D$66"")=CV$2),$G$4:$BQ$4,$G92:$BQ92)))"),-0.48017892)</f>
        <v>-0.48017892</v>
      </c>
      <c r="CW92" s="207" t="str">
        <f>IFERROR(__xludf.DUMMYFUNCTION("IF(OR(CV92&gt;$BS92+$BT92*$BT$2,CV92&lt;$BS92-$BT92*$BT$2),AVEDEV(ARRAYFORMULA(XLOOKUP(FILTER(INDIRECT(""'""&amp;CV$1&amp;""'!$C$4:$C$66""),INDIRECT(""'""&amp;CV$1&amp;""'!$D$4:$D$66"")=CV$2),$G$4:$BQ$4,$G92:$BQ92))),"""")"),"")</f>
        <v/>
      </c>
      <c r="CX92" s="208" t="str">
        <f t="shared" si="16"/>
        <v/>
      </c>
      <c r="CY92" s="209" t="s">
        <v>444</v>
      </c>
      <c r="CZ92" s="210">
        <f>IFERROR(__xludf.DUMMYFUNCTION("AVERAGE(ARRAYFORMULA(XLOOKUP(FILTER(INDIRECT(""'""&amp;CZ$1&amp;""'!$C$4:$C$66""),INDIRECT(""'""&amp;CZ$1&amp;""'!$D$4:$D$66"")=CZ$2),$G$4:$BQ$4,$G92:$BQ92)))"),-0.0456088492857143)</f>
        <v>-0.04560884929</v>
      </c>
      <c r="DA92" s="207" t="str">
        <f>IFERROR(__xludf.DUMMYFUNCTION("IF(OR(CZ92&gt;$BS92+$BT92*$BT$2,CZ92&lt;$BS92-$BT92*$BT$2),AVEDEV(ARRAYFORMULA(XLOOKUP(FILTER(INDIRECT(""'""&amp;CZ$1&amp;""'!$C$4:$C$66""),INDIRECT(""'""&amp;CZ$1&amp;""'!$D$4:$D$66"")=CZ$2),$G$4:$BQ$4,$G92:$BQ92))),"""")"),"")</f>
        <v/>
      </c>
      <c r="DB92" s="208" t="str">
        <f t="shared" si="17"/>
        <v/>
      </c>
      <c r="DC92" s="210">
        <f>IFERROR(__xludf.DUMMYFUNCTION("AVERAGE(ARRAYFORMULA(XLOOKUP(FILTER(INDIRECT(""'""&amp;DC$1&amp;""'!$C$4:$C$66""),INDIRECT(""'""&amp;DC$1&amp;""'!$D$4:$D$66"")=DC$2),$G$4:$BQ$4,$G92:$BQ92)))"),0.3230515955555556)</f>
        <v>0.3230515956</v>
      </c>
      <c r="DD92" s="207" t="str">
        <f>IFERROR(__xludf.DUMMYFUNCTION("IF(OR(DC92&gt;$BS92+$BT92*$BT$2,DC92&lt;$BS92-$BT92*$BT$2),AVEDEV(ARRAYFORMULA(XLOOKUP(FILTER(INDIRECT(""'""&amp;DC$1&amp;""'!$C$4:$C$66""),INDIRECT(""'""&amp;DC$1&amp;""'!$D$4:$D$66"")=DC$2),$G$4:$BQ$4,$G92:$BQ92))),"""")"),"")</f>
        <v/>
      </c>
      <c r="DE92" s="208" t="str">
        <f t="shared" si="18"/>
        <v/>
      </c>
      <c r="DF92" s="210">
        <f>IFERROR(__xludf.DUMMYFUNCTION("AVERAGE(ARRAYFORMULA(XLOOKUP(FILTER(INDIRECT(""'""&amp;DF$1&amp;""'!$C$4:$C$66""),INDIRECT(""'""&amp;DF$1&amp;""'!$D$4:$D$66"")=DF$2),$G$4:$BQ$4,$G92:$BQ92)))"),-0.1274302881818182)</f>
        <v>-0.1274302882</v>
      </c>
      <c r="DG92" s="207" t="str">
        <f>IFERROR(__xludf.DUMMYFUNCTION("IF(OR(DF92&gt;$BS92+$BT92*$BT$2,DF92&lt;$BS92-$BT92*$BT$2),AVEDEV(ARRAYFORMULA(XLOOKUP(FILTER(INDIRECT(""'""&amp;DF$1&amp;""'!$C$4:$C$66""),INDIRECT(""'""&amp;DF$1&amp;""'!$D$4:$D$66"")=DF$2),$G$4:$BQ$4,$G92:$BQ92))),"""")"),"")</f>
        <v/>
      </c>
      <c r="DH92" s="208" t="str">
        <f t="shared" si="19"/>
        <v/>
      </c>
      <c r="DI92" s="210">
        <f>IFERROR(__xludf.DUMMYFUNCTION("AVERAGE(ARRAYFORMULA(XLOOKUP(FILTER(INDIRECT(""'""&amp;DI$1&amp;""'!$C$4:$C$66""),INDIRECT(""'""&amp;DI$1&amp;""'!$D$4:$D$66"")=DI$2),$G$4:$BQ$4,$G92:$BQ92)))"),1.392507685)</f>
        <v>1.392507685</v>
      </c>
      <c r="DJ92" s="207">
        <f>IFERROR(__xludf.DUMMYFUNCTION("IF(OR(DI92&gt;$BS92+$BT92*$BT$2,DI92&lt;$BS92-$BT92*$BT$2),AVEDEV(ARRAYFORMULA(XLOOKUP(FILTER(INDIRECT(""'""&amp;DI$1&amp;""'!$C$4:$C$66""),INDIRECT(""'""&amp;DI$1&amp;""'!$D$4:$D$66"")=DI$2),$G$4:$BQ$4,$G92:$BQ92))),"""")"),0.04780542499999996)</f>
        <v>0.047805425</v>
      </c>
      <c r="DK92" s="208">
        <f t="shared" si="20"/>
        <v>0.5613067922</v>
      </c>
      <c r="DL92" s="210">
        <f>IFERROR(__xludf.DUMMYFUNCTION("AVERAGE(ARRAYFORMULA(XLOOKUP(FILTER(INDIRECT(""'""&amp;DL$1&amp;""'!$C$4:$C$66""),INDIRECT(""'""&amp;DL$1&amp;""'!$D$4:$D$66"")=DL$2),$G$4:$BQ$4,$G92:$BQ92)))"),0.6482686971428572)</f>
        <v>0.6482686971</v>
      </c>
      <c r="DM92" s="207" t="str">
        <f>IFERROR(__xludf.DUMMYFUNCTION("IF(OR(DL92&gt;$BS92+$BT92*$BT$2,DL92&lt;$BS92-$BT92*$BT$2),AVEDEV(ARRAYFORMULA(XLOOKUP(FILTER(INDIRECT(""'""&amp;DL$1&amp;""'!$C$4:$C$66""),INDIRECT(""'""&amp;DL$1&amp;""'!$D$4:$D$66"")=DL$2),$G$4:$BQ$4,$G92:$BQ92))),"""")"),"")</f>
        <v/>
      </c>
      <c r="DN92" s="208" t="str">
        <f t="shared" si="21"/>
        <v/>
      </c>
      <c r="DO92" s="209" t="s">
        <v>444</v>
      </c>
      <c r="DP92" s="210">
        <f>IFERROR(__xludf.DUMMYFUNCTION("AVERAGE(ARRAYFORMULA(XLOOKUP(FILTER(INDIRECT(""'""&amp;DP$1&amp;""'!$C$4:$C$66""),INDIRECT(""'""&amp;DP$1&amp;""'!$D$4:$D$66"")=DP$2),$G$4:$BQ$4,$G92:$BQ92)))"),0.166828815)</f>
        <v>0.166828815</v>
      </c>
      <c r="DQ92" s="207" t="str">
        <f>IFERROR(__xludf.DUMMYFUNCTION("IF(OR(DP92&gt;$BS92+$BT92*$BT$2,DP92&lt;$BS92-$BT92*$BT$2),AVEDEV(ARRAYFORMULA(XLOOKUP(FILTER(INDIRECT(""'""&amp;DP$1&amp;""'!$C$4:$C$66""),INDIRECT(""'""&amp;DP$1&amp;""'!$D$4:$D$66"")=DP$2),$G$4:$BQ$4,$G92:$BQ92))),"""")"),"")</f>
        <v/>
      </c>
      <c r="DR92" s="208" t="str">
        <f t="shared" si="22"/>
        <v/>
      </c>
      <c r="DS92" s="210">
        <f>IFERROR(__xludf.DUMMYFUNCTION("AVERAGE(ARRAYFORMULA(XLOOKUP(FILTER(INDIRECT(""'""&amp;DS$1&amp;""'!$C$4:$C$66""),INDIRECT(""'""&amp;DS$1&amp;""'!$D$4:$D$66"")=DS$2),$G$4:$BQ$4,$G92:$BQ92)))"),-0.0572360511111111)</f>
        <v>-0.05723605111</v>
      </c>
      <c r="DT92" s="207" t="str">
        <f>IFERROR(__xludf.DUMMYFUNCTION("IF(OR(DS92&gt;$BS92+$BT92*$BT$2,DS92&lt;$BS92-$BT92*$BT$2),AVEDEV(ARRAYFORMULA(XLOOKUP(FILTER(INDIRECT(""'""&amp;DS$1&amp;""'!$C$4:$C$66""),INDIRECT(""'""&amp;DS$1&amp;""'!$D$4:$D$66"")=DS$2),$G$4:$BQ$4,$G92:$BQ92))),"""")"),"")</f>
        <v/>
      </c>
      <c r="DU92" s="208" t="str">
        <f t="shared" si="23"/>
        <v/>
      </c>
      <c r="DV92" s="210">
        <f>IFERROR(__xludf.DUMMYFUNCTION("AVERAGE(ARRAYFORMULA(XLOOKUP(FILTER(INDIRECT(""'""&amp;DV$1&amp;""'!$C$4:$C$66""),INDIRECT(""'""&amp;DV$1&amp;""'!$D$4:$D$66"")=DV$2),$G$4:$BQ$4,$G92:$BQ92)))"),0.14844842124999996)</f>
        <v>0.1484484213</v>
      </c>
      <c r="DW92" s="207" t="str">
        <f>IFERROR(__xludf.DUMMYFUNCTION("IF(OR(DV92&gt;$BS92+$BT92*$BT$2,DV92&lt;$BS92-$BT92*$BT$2),AVEDEV(ARRAYFORMULA(XLOOKUP(FILTER(INDIRECT(""'""&amp;DV$1&amp;""'!$C$4:$C$66""),INDIRECT(""'""&amp;DV$1&amp;""'!$D$4:$D$66"")=DV$2),$G$4:$BQ$4,$G92:$BQ92))),"""")"),"")</f>
        <v/>
      </c>
      <c r="DX92" s="208" t="str">
        <f t="shared" si="24"/>
        <v/>
      </c>
      <c r="DY92" s="210">
        <f>IFERROR(__xludf.DUMMYFUNCTION("AVERAGE(ARRAYFORMULA(XLOOKUP(FILTER(INDIRECT(""'""&amp;DY$1&amp;""'!$C$4:$C$66""),INDIRECT(""'""&amp;DY$1&amp;""'!$D$4:$D$66"")=DY$2),$G$4:$BQ$4,$G92:$BQ92)))"),0.3883453055555555)</f>
        <v>0.3883453056</v>
      </c>
      <c r="DZ92" s="207" t="str">
        <f>IFERROR(__xludf.DUMMYFUNCTION("IF(OR(DY92&gt;$BS92+$BT92*$BT$2,DY92&lt;$BS92-$BT92*$BT$2),AVEDEV(ARRAYFORMULA(XLOOKUP(FILTER(INDIRECT(""'""&amp;DY$1&amp;""'!$C$4:$C$66""),INDIRECT(""'""&amp;DY$1&amp;""'!$D$4:$D$66"")=DY$2),$G$4:$BQ$4,$G92:$BQ92))),"""")"),"")</f>
        <v/>
      </c>
      <c r="EA92" s="208" t="str">
        <f t="shared" si="25"/>
        <v/>
      </c>
      <c r="EB92" s="191"/>
    </row>
    <row r="93" outlineLevel="1">
      <c r="A93" s="2"/>
      <c r="B93" s="204">
        <v>89.0</v>
      </c>
      <c r="C93" s="204" t="s">
        <v>507</v>
      </c>
      <c r="D93" s="204" t="s">
        <v>534</v>
      </c>
      <c r="E93" s="205" t="b">
        <f>VLOOKUP(D93,'Feature Set List'!A89:C246,2,0)</f>
        <v>1</v>
      </c>
      <c r="F93" s="205" t="b">
        <f>VLOOKUP(D93,'Feature Set List'!A89:C246,3,0)</f>
        <v>1</v>
      </c>
      <c r="G93" s="205">
        <v>0.47191798</v>
      </c>
      <c r="H93" s="205">
        <v>-0.232127</v>
      </c>
      <c r="I93" s="205">
        <v>-0.2857913</v>
      </c>
      <c r="J93" s="205">
        <v>1.66725033</v>
      </c>
      <c r="K93" s="205">
        <v>4.98081978</v>
      </c>
      <c r="L93" s="205">
        <v>1.5110714</v>
      </c>
      <c r="M93" s="205">
        <v>1.17166399</v>
      </c>
      <c r="N93" s="205">
        <v>-0.2857913</v>
      </c>
      <c r="O93" s="205">
        <v>0.76769189</v>
      </c>
      <c r="P93" s="205">
        <v>9.6606E-4</v>
      </c>
      <c r="Q93" s="205">
        <v>2.24688347</v>
      </c>
      <c r="R93" s="205">
        <v>0.28273217</v>
      </c>
      <c r="S93" s="205">
        <v>-0.2857913</v>
      </c>
      <c r="T93" s="205">
        <v>1.77673658</v>
      </c>
      <c r="U93" s="205">
        <v>-0.2857913</v>
      </c>
      <c r="V93" s="205">
        <v>-0.2857913</v>
      </c>
      <c r="W93" s="205">
        <v>0.29641795</v>
      </c>
      <c r="X93" s="205">
        <v>-0.2857913</v>
      </c>
      <c r="Y93" s="205">
        <v>-0.1059441</v>
      </c>
      <c r="Z93" s="205">
        <v>-0.0573193</v>
      </c>
      <c r="AA93" s="205">
        <v>-0.2857913</v>
      </c>
      <c r="AB93" s="205">
        <v>-0.2857913</v>
      </c>
      <c r="AC93" s="205">
        <v>-0.1571933</v>
      </c>
      <c r="AD93" s="205">
        <v>-0.2857913</v>
      </c>
      <c r="AE93" s="205">
        <v>2.41916332</v>
      </c>
      <c r="AF93" s="205">
        <v>-0.2058181</v>
      </c>
      <c r="AG93" s="205">
        <v>4.79243901</v>
      </c>
      <c r="AH93" s="205">
        <v>0.0</v>
      </c>
      <c r="AI93" s="205">
        <v>0.41508173</v>
      </c>
      <c r="AJ93" s="205">
        <v>-0.1202739</v>
      </c>
      <c r="AK93" s="205">
        <v>0.4967134</v>
      </c>
      <c r="AL93" s="205">
        <v>1.47403928</v>
      </c>
      <c r="AM93" s="205">
        <v>-0.227667</v>
      </c>
      <c r="AN93" s="205">
        <v>-0.2264594</v>
      </c>
      <c r="AO93" s="205">
        <v>13.5014269</v>
      </c>
      <c r="AP93" s="205">
        <v>0.26196198</v>
      </c>
      <c r="AQ93" s="205">
        <v>-0.131947</v>
      </c>
      <c r="AR93" s="205">
        <v>-0.2857913</v>
      </c>
      <c r="AS93" s="205">
        <v>2.17442932</v>
      </c>
      <c r="AT93" s="205">
        <v>0.27146152</v>
      </c>
      <c r="AU93" s="205">
        <v>0.29400281</v>
      </c>
      <c r="AV93" s="205">
        <v>0.1819404</v>
      </c>
      <c r="AW93" s="205">
        <v>0.66512903</v>
      </c>
      <c r="AX93" s="205">
        <v>-0.2857913</v>
      </c>
      <c r="AY93" s="205">
        <v>-0.2857913</v>
      </c>
      <c r="AZ93" s="205">
        <v>0.76720887</v>
      </c>
      <c r="BA93" s="205">
        <v>0.47546018</v>
      </c>
      <c r="BB93" s="205">
        <v>0.26904638</v>
      </c>
      <c r="BC93" s="205">
        <v>1.27406584</v>
      </c>
      <c r="BD93" s="205">
        <v>3.07447078</v>
      </c>
      <c r="BE93" s="205">
        <v>-0.2857913</v>
      </c>
      <c r="BF93" s="205">
        <v>-0.0740642</v>
      </c>
      <c r="BG93" s="205">
        <v>1.20450987</v>
      </c>
      <c r="BH93" s="205">
        <v>-0.2857913</v>
      </c>
      <c r="BI93" s="205">
        <v>-0.1513326</v>
      </c>
      <c r="BJ93" s="205">
        <v>-0.2837948</v>
      </c>
      <c r="BK93" s="205">
        <v>0.34729686</v>
      </c>
      <c r="BL93" s="205">
        <v>-0.2215487</v>
      </c>
      <c r="BM93" s="205">
        <v>-0.2857913</v>
      </c>
      <c r="BN93" s="205">
        <v>-0.2667601</v>
      </c>
      <c r="BO93" s="205">
        <v>-0.2838673</v>
      </c>
      <c r="BP93" s="205">
        <v>0.10256286</v>
      </c>
      <c r="BQ93" s="205">
        <v>-0.2749474</v>
      </c>
      <c r="BR93" s="206"/>
      <c r="BS93" s="207">
        <f t="shared" si="6"/>
        <v>0.6718829879</v>
      </c>
      <c r="BT93" s="207">
        <f t="shared" si="7"/>
        <v>1.081071201</v>
      </c>
      <c r="BU93" s="206"/>
      <c r="BV93" s="207">
        <f>IFERROR(__xludf.DUMMYFUNCTION("AVERAGE(ARRAYFORMULA(XLOOKUP(FILTER(INDIRECT(""'""&amp;BV$1&amp;""'!$C$4:$C$66""),INDIRECT(""'""&amp;BV$1&amp;""'!$D$4:$D$66"")=BV$2),$G$4:$BQ$4,$G93:$BQ93)))"),1.7722513400000004)</f>
        <v>1.77225134</v>
      </c>
      <c r="BW93" s="207">
        <f>IFERROR(__xludf.DUMMYFUNCTION("IF(OR(BV93&gt;$BS93+$BT93*$BT$2,BV93&lt;$BS93-$BT93*$BT$2),AVEDEV(ARRAYFORMULA(XLOOKUP(FILTER(INDIRECT(""'""&amp;BV$1&amp;""'!$C$4:$C$66""),INDIRECT(""'""&amp;BV$1&amp;""'!$D$4:$D$66"")=BV$2),$G$4:$BQ$4,$G93:$BQ93))),"""")"),3.3511930171428572)</f>
        <v>3.351193017</v>
      </c>
      <c r="BX93" s="208" t="str">
        <f t="shared" si="8"/>
        <v/>
      </c>
      <c r="BY93" s="207">
        <f>IFERROR(__xludf.DUMMYFUNCTION("AVERAGE(ARRAYFORMULA(XLOOKUP(FILTER(INDIRECT(""'""&amp;BY$1&amp;""'!$C$4:$C$66""),INDIRECT(""'""&amp;BY$1&amp;""'!$D$4:$D$66"")=BY$2),$G$4:$BQ$4,$G93:$BQ93)))"),0.49919754904761904)</f>
        <v>0.499197549</v>
      </c>
      <c r="BZ93" s="207" t="str">
        <f>IFERROR(__xludf.DUMMYFUNCTION("IF(OR(BY93&gt;$BS93+$BT93*$BT$2,BY93&lt;$BS93-$BT93*$BT$2),AVEDEV(ARRAYFORMULA(XLOOKUP(FILTER(INDIRECT(""'""&amp;BY$1&amp;""'!$C$4:$C$66""),INDIRECT(""'""&amp;BY$1&amp;""'!$D$4:$D$66"")=BY$2),$G$4:$BQ$4,$G93:$BQ93))),"""")"),"")</f>
        <v/>
      </c>
      <c r="CA93" s="208" t="str">
        <f t="shared" si="9"/>
        <v/>
      </c>
      <c r="CB93" s="207">
        <f>IFERROR(__xludf.DUMMYFUNCTION("AVERAGE(ARRAYFORMULA(XLOOKUP(FILTER(INDIRECT(""'""&amp;CB$1&amp;""'!$C$4:$C$66""),INDIRECT(""'""&amp;CB$1&amp;""'!$D$4:$D$66"")=CB$2),$G$4:$BQ$4,$G93:$BQ93)))"),0.5339899554545454)</f>
        <v>0.5339899555</v>
      </c>
      <c r="CC93" s="207" t="str">
        <f>IFERROR(__xludf.DUMMYFUNCTION("IF(OR(CB93&gt;$BS93+$BT93*$BT$2,CB93&lt;$BS93-$BT93*$BT$2),AVEDEV(ARRAYFORMULA(XLOOKUP(FILTER(INDIRECT(""'""&amp;CB$1&amp;""'!$C$4:$C$66""),INDIRECT(""'""&amp;CB$1&amp;""'!$D$4:$D$66"")=CB$2),$G$4:$BQ$4,$G93:$BQ93))),"""")"),"")</f>
        <v/>
      </c>
      <c r="CD93" s="208" t="str">
        <f t="shared" si="10"/>
        <v/>
      </c>
      <c r="CE93" s="209" t="s">
        <v>444</v>
      </c>
      <c r="CF93" s="207">
        <f>IFERROR(__xludf.DUMMYFUNCTION("AVERAGE(ARRAYFORMULA(XLOOKUP(FILTER(INDIRECT(""'""&amp;CF$1&amp;""'!$C$4:$C$66""),INDIRECT(""'""&amp;CF$1&amp;""'!$D$4:$D$66"")=CF$2),$G$4:$BQ$4,$G93:$BQ93)))"),0.9339721487499999)</f>
        <v>0.9339721488</v>
      </c>
      <c r="CG93" s="207" t="str">
        <f>IFERROR(__xludf.DUMMYFUNCTION("IF(OR(CF93&gt;$BS93+$BT93*$BT$2,CF93&lt;$BS93-$BT93*$BT$2),AVEDEV(ARRAYFORMULA(XLOOKUP(FILTER(INDIRECT(""'""&amp;CF$1&amp;""'!$C$4:$C$66""),INDIRECT(""'""&amp;CF$1&amp;""'!$D$4:$D$66"")=CF$2),$G$4:$BQ$4,$G93:$BQ93))),"""")"),"")</f>
        <v/>
      </c>
      <c r="CH93" s="208" t="str">
        <f t="shared" si="11"/>
        <v/>
      </c>
      <c r="CI93" s="207">
        <f>IFERROR(__xludf.DUMMYFUNCTION("AVERAGE(ARRAYFORMULA(XLOOKUP(FILTER(INDIRECT(""'""&amp;CI$1&amp;""'!$C$4:$C$66""),INDIRECT(""'""&amp;CI$1&amp;""'!$D$4:$D$66"")=CI$2),$G$4:$BQ$4,$G93:$BQ93)))"),0.20469438322580652)</f>
        <v>0.2046943832</v>
      </c>
      <c r="CJ93" s="207" t="str">
        <f>IFERROR(__xludf.DUMMYFUNCTION("IF(OR(CI93&gt;$BS93+$BT93*$BT$2,CI93&lt;$BS93-$BT93*$BT$2),AVEDEV(ARRAYFORMULA(XLOOKUP(FILTER(INDIRECT(""'""&amp;CI$1&amp;""'!$C$4:$C$66""),INDIRECT(""'""&amp;CI$1&amp;""'!$D$4:$D$66"")=CI$2),$G$4:$BQ$4,$G93:$BQ93))),"""")"),"")</f>
        <v/>
      </c>
      <c r="CK93" s="208" t="str">
        <f t="shared" si="12"/>
        <v/>
      </c>
      <c r="CL93" s="207">
        <f>IFERROR(__xludf.DUMMYFUNCTION("AVERAGE(ARRAYFORMULA(XLOOKUP(FILTER(INDIRECT(""'""&amp;CL$1&amp;""'!$C$4:$C$66""),INDIRECT(""'""&amp;CL$1&amp;""'!$D$4:$D$66"")=CL$2),$G$4:$BQ$4,$G93:$BQ93)))"),1.126420402)</f>
        <v>1.126420402</v>
      </c>
      <c r="CM93" s="207" t="str">
        <f>IFERROR(__xludf.DUMMYFUNCTION("IF(OR(CL93&gt;$BS93+$BT93*$BT$2,CL93&lt;$BS93-$BT93*$BT$2),AVEDEV(ARRAYFORMULA(XLOOKUP(FILTER(INDIRECT(""'""&amp;CL$1&amp;""'!$C$4:$C$66""),INDIRECT(""'""&amp;CL$1&amp;""'!$D$4:$D$66"")=CL$2),$G$4:$BQ$4,$G93:$BQ93))),"""")"),"")</f>
        <v/>
      </c>
      <c r="CN93" s="208" t="str">
        <f t="shared" si="13"/>
        <v/>
      </c>
      <c r="CO93" s="209" t="s">
        <v>444</v>
      </c>
      <c r="CP93" s="210">
        <f>IFERROR(__xludf.DUMMYFUNCTION("AVERAGE(ARRAYFORMULA(XLOOKUP(FILTER(INDIRECT(""'""&amp;CP$1&amp;""'!$C$4:$C$66""),INDIRECT(""'""&amp;CP$1&amp;""'!$D$4:$D$66"")=CP$2),$G$4:$BQ$4,$G93:$BQ93)))"),0.05893635999999997)</f>
        <v>0.05893636</v>
      </c>
      <c r="CQ93" s="207" t="str">
        <f>IFERROR(__xludf.DUMMYFUNCTION("IF(OR(CP93&gt;$BS93+$BT93*$BT$2,CP93&lt;$BS93-$BT93*$BT$2),AVEDEV(ARRAYFORMULA(XLOOKUP(FILTER(INDIRECT(""'""&amp;CP$1&amp;""'!$C$4:$C$66""),INDIRECT(""'""&amp;CP$1&amp;""'!$D$4:$D$66"")=CP$2),$G$4:$BQ$4,$G93:$BQ93))),"""")"),"")</f>
        <v/>
      </c>
      <c r="CR93" s="208" t="str">
        <f t="shared" si="14"/>
        <v/>
      </c>
      <c r="CS93" s="210">
        <f>IFERROR(__xludf.DUMMYFUNCTION("AVERAGE(ARRAYFORMULA(XLOOKUP(FILTER(INDIRECT(""'""&amp;CS$1&amp;""'!$C$4:$C$66""),INDIRECT(""'""&amp;CS$1&amp;""'!$D$4:$D$66"")=CS$2),$G$4:$BQ$4,$G93:$BQ93)))"),0.8449063394871796)</f>
        <v>0.8449063395</v>
      </c>
      <c r="CT93" s="207" t="str">
        <f>IFERROR(__xludf.DUMMYFUNCTION("IF(OR(CS93&gt;$BS93+$BT93*$BT$2,CS93&lt;$BS93-$BT93*$BT$2),AVEDEV(ARRAYFORMULA(XLOOKUP(FILTER(INDIRECT(""'""&amp;CS$1&amp;""'!$C$4:$C$66""),INDIRECT(""'""&amp;CS$1&amp;""'!$D$4:$D$66"")=CS$2),$G$4:$BQ$4,$G93:$BQ93))),"""")"),"")</f>
        <v/>
      </c>
      <c r="CU93" s="208" t="str">
        <f t="shared" si="15"/>
        <v/>
      </c>
      <c r="CV93" s="210">
        <f>IFERROR(__xludf.DUMMYFUNCTION("AVERAGE(ARRAYFORMULA(XLOOKUP(FILTER(INDIRECT(""'""&amp;CV$1&amp;""'!$C$4:$C$66""),INDIRECT(""'""&amp;CV$1&amp;""'!$D$4:$D$66"")=CV$2),$G$4:$BQ$4,$G93:$BQ93)))"),1.126420402)</f>
        <v>1.126420402</v>
      </c>
      <c r="CW93" s="207" t="str">
        <f>IFERROR(__xludf.DUMMYFUNCTION("IF(OR(CV93&gt;$BS93+$BT93*$BT$2,CV93&lt;$BS93-$BT93*$BT$2),AVEDEV(ARRAYFORMULA(XLOOKUP(FILTER(INDIRECT(""'""&amp;CV$1&amp;""'!$C$4:$C$66""),INDIRECT(""'""&amp;CV$1&amp;""'!$D$4:$D$66"")=CV$2),$G$4:$BQ$4,$G93:$BQ93))),"""")"),"")</f>
        <v/>
      </c>
      <c r="CX93" s="208" t="str">
        <f t="shared" si="16"/>
        <v/>
      </c>
      <c r="CY93" s="209" t="s">
        <v>444</v>
      </c>
      <c r="CZ93" s="210">
        <f>IFERROR(__xludf.DUMMYFUNCTION("AVERAGE(ARRAYFORMULA(XLOOKUP(FILTER(INDIRECT(""'""&amp;CZ$1&amp;""'!$C$4:$C$66""),INDIRECT(""'""&amp;CZ$1&amp;""'!$D$4:$D$66"")=CZ$2),$G$4:$BQ$4,$G93:$BQ93)))"),0.8235252957142857)</f>
        <v>0.8235252957</v>
      </c>
      <c r="DA93" s="207" t="str">
        <f>IFERROR(__xludf.DUMMYFUNCTION("IF(OR(CZ93&gt;$BS93+$BT93*$BT$2,CZ93&lt;$BS93-$BT93*$BT$2),AVEDEV(ARRAYFORMULA(XLOOKUP(FILTER(INDIRECT(""'""&amp;CZ$1&amp;""'!$C$4:$C$66""),INDIRECT(""'""&amp;CZ$1&amp;""'!$D$4:$D$66"")=CZ$2),$G$4:$BQ$4,$G93:$BQ93))),"""")"),"")</f>
        <v/>
      </c>
      <c r="DB93" s="208" t="str">
        <f t="shared" si="17"/>
        <v/>
      </c>
      <c r="DC93" s="210">
        <f>IFERROR(__xludf.DUMMYFUNCTION("AVERAGE(ARRAYFORMULA(XLOOKUP(FILTER(INDIRECT(""'""&amp;DC$1&amp;""'!$C$4:$C$66""),INDIRECT(""'""&amp;DC$1&amp;""'!$D$4:$D$66"")=DC$2),$G$4:$BQ$4,$G93:$BQ93)))"),0.5991635488888889)</f>
        <v>0.5991635489</v>
      </c>
      <c r="DD93" s="207" t="str">
        <f>IFERROR(__xludf.DUMMYFUNCTION("IF(OR(DC93&gt;$BS93+$BT93*$BT$2,DC93&lt;$BS93-$BT93*$BT$2),AVEDEV(ARRAYFORMULA(XLOOKUP(FILTER(INDIRECT(""'""&amp;DC$1&amp;""'!$C$4:$C$66""),INDIRECT(""'""&amp;DC$1&amp;""'!$D$4:$D$66"")=DC$2),$G$4:$BQ$4,$G93:$BQ93))),"""")"),"")</f>
        <v/>
      </c>
      <c r="DE93" s="208" t="str">
        <f t="shared" si="18"/>
        <v/>
      </c>
      <c r="DF93" s="210">
        <f>IFERROR(__xludf.DUMMYFUNCTION("AVERAGE(ARRAYFORMULA(XLOOKUP(FILTER(INDIRECT(""'""&amp;DF$1&amp;""'!$C$4:$C$66""),INDIRECT(""'""&amp;DF$1&amp;""'!$D$4:$D$66"")=DF$2),$G$4:$BQ$4,$G93:$BQ93)))"),0.08172901454545455)</f>
        <v>0.08172901455</v>
      </c>
      <c r="DG93" s="207" t="str">
        <f>IFERROR(__xludf.DUMMYFUNCTION("IF(OR(DF93&gt;$BS93+$BT93*$BT$2,DF93&lt;$BS93-$BT93*$BT$2),AVEDEV(ARRAYFORMULA(XLOOKUP(FILTER(INDIRECT(""'""&amp;DF$1&amp;""'!$C$4:$C$66""),INDIRECT(""'""&amp;DF$1&amp;""'!$D$4:$D$66"")=DF$2),$G$4:$BQ$4,$G93:$BQ93))),"""")"),"")</f>
        <v/>
      </c>
      <c r="DH93" s="208" t="str">
        <f t="shared" si="19"/>
        <v/>
      </c>
      <c r="DI93" s="210">
        <f>IFERROR(__xludf.DUMMYFUNCTION("AVERAGE(ARRAYFORMULA(XLOOKUP(FILTER(INDIRECT(""'""&amp;DI$1&amp;""'!$C$4:$C$66""),INDIRECT(""'""&amp;DI$1&amp;""'!$D$4:$D$66"")=DI$2),$G$4:$BQ$4,$G93:$BQ93)))"),-0.2857913)</f>
        <v>-0.2857913</v>
      </c>
      <c r="DJ93" s="207" t="str">
        <f>IFERROR(__xludf.DUMMYFUNCTION("IF(OR(DI93&gt;$BS93+$BT93*$BT$2,DI93&lt;$BS93-$BT93*$BT$2),AVEDEV(ARRAYFORMULA(XLOOKUP(FILTER(INDIRECT(""'""&amp;DI$1&amp;""'!$C$4:$C$66""),INDIRECT(""'""&amp;DI$1&amp;""'!$D$4:$D$66"")=DI$2),$G$4:$BQ$4,$G93:$BQ93))),"""")"),"")</f>
        <v/>
      </c>
      <c r="DK93" s="208" t="str">
        <f t="shared" si="20"/>
        <v/>
      </c>
      <c r="DL93" s="210">
        <f>IFERROR(__xludf.DUMMYFUNCTION("AVERAGE(ARRAYFORMULA(XLOOKUP(FILTER(INDIRECT(""'""&amp;DL$1&amp;""'!$C$4:$C$66""),INDIRECT(""'""&amp;DL$1&amp;""'!$D$4:$D$66"")=DL$2),$G$4:$BQ$4,$G93:$BQ93)))"),0.19439043785714288)</f>
        <v>0.1943904379</v>
      </c>
      <c r="DM93" s="207" t="str">
        <f>IFERROR(__xludf.DUMMYFUNCTION("IF(OR(DL93&gt;$BS93+$BT93*$BT$2,DL93&lt;$BS93-$BT93*$BT$2),AVEDEV(ARRAYFORMULA(XLOOKUP(FILTER(INDIRECT(""'""&amp;DL$1&amp;""'!$C$4:$C$66""),INDIRECT(""'""&amp;DL$1&amp;""'!$D$4:$D$66"")=DL$2),$G$4:$BQ$4,$G93:$BQ93))),"""")"),"")</f>
        <v/>
      </c>
      <c r="DN93" s="208" t="str">
        <f t="shared" si="21"/>
        <v/>
      </c>
      <c r="DO93" s="209" t="s">
        <v>444</v>
      </c>
      <c r="DP93" s="210">
        <f>IFERROR(__xludf.DUMMYFUNCTION("AVERAGE(ARRAYFORMULA(XLOOKUP(FILTER(INDIRECT(""'""&amp;DP$1&amp;""'!$C$4:$C$66""),INDIRECT(""'""&amp;DP$1&amp;""'!$D$4:$D$66"")=DP$2),$G$4:$BQ$4,$G93:$BQ93)))"),0.6401718043333332)</f>
        <v>0.6401718043</v>
      </c>
      <c r="DQ93" s="207" t="str">
        <f>IFERROR(__xludf.DUMMYFUNCTION("IF(OR(DP93&gt;$BS93+$BT93*$BT$2,DP93&lt;$BS93-$BT93*$BT$2),AVEDEV(ARRAYFORMULA(XLOOKUP(FILTER(INDIRECT(""'""&amp;DP$1&amp;""'!$C$4:$C$66""),INDIRECT(""'""&amp;DP$1&amp;""'!$D$4:$D$66"")=DP$2),$G$4:$BQ$4,$G93:$BQ93))),"""")"),"")</f>
        <v/>
      </c>
      <c r="DR93" s="208" t="str">
        <f t="shared" si="22"/>
        <v/>
      </c>
      <c r="DS93" s="210">
        <f>IFERROR(__xludf.DUMMYFUNCTION("AVERAGE(ARRAYFORMULA(XLOOKUP(FILTER(INDIRECT(""'""&amp;DS$1&amp;""'!$C$4:$C$66""),INDIRECT(""'""&amp;DS$1&amp;""'!$D$4:$D$66"")=DS$2),$G$4:$BQ$4,$G93:$BQ93)))"),0.6222648044444444)</f>
        <v>0.6222648044</v>
      </c>
      <c r="DT93" s="207" t="str">
        <f>IFERROR(__xludf.DUMMYFUNCTION("IF(OR(DS93&gt;$BS93+$BT93*$BT$2,DS93&lt;$BS93-$BT93*$BT$2),AVEDEV(ARRAYFORMULA(XLOOKUP(FILTER(INDIRECT(""'""&amp;DS$1&amp;""'!$C$4:$C$66""),INDIRECT(""'""&amp;DS$1&amp;""'!$D$4:$D$66"")=DS$2),$G$4:$BQ$4,$G93:$BQ93))),"""")"),"")</f>
        <v/>
      </c>
      <c r="DU93" s="208" t="str">
        <f t="shared" si="23"/>
        <v/>
      </c>
      <c r="DV93" s="210">
        <f>IFERROR(__xludf.DUMMYFUNCTION("AVERAGE(ARRAYFORMULA(XLOOKUP(FILTER(INDIRECT(""'""&amp;DV$1&amp;""'!$C$4:$C$66""),INDIRECT(""'""&amp;DV$1&amp;""'!$D$4:$D$66"")=DV$2),$G$4:$BQ$4,$G93:$BQ93)))"),0.06927422874999999)</f>
        <v>0.06927422875</v>
      </c>
      <c r="DW93" s="207" t="str">
        <f>IFERROR(__xludf.DUMMYFUNCTION("IF(OR(DV93&gt;$BS93+$BT93*$BT$2,DV93&lt;$BS93-$BT93*$BT$2),AVEDEV(ARRAYFORMULA(XLOOKUP(FILTER(INDIRECT(""'""&amp;DV$1&amp;""'!$C$4:$C$66""),INDIRECT(""'""&amp;DV$1&amp;""'!$D$4:$D$66"")=DV$2),$G$4:$BQ$4,$G93:$BQ93))),"""")"),"")</f>
        <v/>
      </c>
      <c r="DX93" s="208" t="str">
        <f t="shared" si="24"/>
        <v/>
      </c>
      <c r="DY93" s="210">
        <f>IFERROR(__xludf.DUMMYFUNCTION("AVERAGE(ARRAYFORMULA(XLOOKUP(FILTER(INDIRECT(""'""&amp;DY$1&amp;""'!$C$4:$C$66""),INDIRECT(""'""&amp;DY$1&amp;""'!$D$4:$D$66"")=DY$2),$G$4:$BQ$4,$G93:$BQ93)))"),0.13087990555555554)</f>
        <v>0.1308799056</v>
      </c>
      <c r="DZ93" s="207" t="str">
        <f>IFERROR(__xludf.DUMMYFUNCTION("IF(OR(DY93&gt;$BS93+$BT93*$BT$2,DY93&lt;$BS93-$BT93*$BT$2),AVEDEV(ARRAYFORMULA(XLOOKUP(FILTER(INDIRECT(""'""&amp;DY$1&amp;""'!$C$4:$C$66""),INDIRECT(""'""&amp;DY$1&amp;""'!$D$4:$D$66"")=DY$2),$G$4:$BQ$4,$G93:$BQ93))),"""")"),"")</f>
        <v/>
      </c>
      <c r="EA93" s="208" t="str">
        <f t="shared" si="25"/>
        <v/>
      </c>
      <c r="EB93" s="191"/>
    </row>
    <row r="94" outlineLevel="1">
      <c r="A94" s="2"/>
      <c r="B94" s="204">
        <v>90.0</v>
      </c>
      <c r="C94" s="204" t="s">
        <v>507</v>
      </c>
      <c r="D94" s="204" t="s">
        <v>535</v>
      </c>
      <c r="E94" s="205" t="b">
        <f>VLOOKUP(D94,'Feature Set List'!A90:C246,2,0)</f>
        <v>1</v>
      </c>
      <c r="F94" s="205" t="b">
        <f>VLOOKUP(D94,'Feature Set List'!A90:C246,3,0)</f>
        <v>1</v>
      </c>
      <c r="G94" s="205">
        <v>-0.1211106</v>
      </c>
      <c r="H94" s="205">
        <v>1.4356699</v>
      </c>
      <c r="I94" s="205">
        <v>-0.3676329</v>
      </c>
      <c r="J94" s="205">
        <v>1.02593125</v>
      </c>
      <c r="K94" s="205">
        <v>0.85207529</v>
      </c>
      <c r="L94" s="205">
        <v>0.77850344</v>
      </c>
      <c r="M94" s="205">
        <v>0.0</v>
      </c>
      <c r="N94" s="205">
        <v>0.04504861</v>
      </c>
      <c r="O94" s="205">
        <v>-0.0373519</v>
      </c>
      <c r="P94" s="205">
        <v>0.33345029</v>
      </c>
      <c r="Q94" s="205">
        <v>-0.2787355</v>
      </c>
      <c r="R94" s="205">
        <v>0.50957</v>
      </c>
      <c r="S94" s="205">
        <v>-0.1211106</v>
      </c>
      <c r="T94" s="205">
        <v>0.82196742</v>
      </c>
      <c r="U94" s="205">
        <v>-0.2915483</v>
      </c>
      <c r="V94" s="205">
        <v>3.55091738</v>
      </c>
      <c r="W94" s="205">
        <v>0.73481307</v>
      </c>
      <c r="X94" s="205">
        <v>-0.347524</v>
      </c>
      <c r="Y94" s="205">
        <v>-0.1328821</v>
      </c>
      <c r="Z94" s="205">
        <v>0.23724094</v>
      </c>
      <c r="AA94" s="205">
        <v>-0.2782148</v>
      </c>
      <c r="AB94" s="205">
        <v>-0.1424804</v>
      </c>
      <c r="AC94" s="205">
        <v>0.09892585</v>
      </c>
      <c r="AD94" s="205">
        <v>-0.2162107</v>
      </c>
      <c r="AE94" s="205">
        <v>-0.219312</v>
      </c>
      <c r="AF94" s="205">
        <v>1.40058178</v>
      </c>
      <c r="AG94" s="205">
        <v>2.35113018</v>
      </c>
      <c r="AH94" s="205">
        <v>0.28704343</v>
      </c>
      <c r="AI94" s="205">
        <v>3.04610126</v>
      </c>
      <c r="AJ94" s="205">
        <v>-0.3676329</v>
      </c>
      <c r="AK94" s="205">
        <v>0.89395466</v>
      </c>
      <c r="AL94" s="205">
        <v>-0.105038</v>
      </c>
      <c r="AM94" s="205">
        <v>-0.3390191</v>
      </c>
      <c r="AN94" s="205">
        <v>1.3335748</v>
      </c>
      <c r="AO94" s="205">
        <v>-0.3676329</v>
      </c>
      <c r="AP94" s="205">
        <v>-0.2136074</v>
      </c>
      <c r="AQ94" s="205">
        <v>1.1275736</v>
      </c>
      <c r="AR94" s="205">
        <v>0.19377695</v>
      </c>
      <c r="AS94" s="205">
        <v>1.08456236</v>
      </c>
      <c r="AT94" s="205">
        <v>-0.2971171</v>
      </c>
      <c r="AU94" s="205">
        <v>0.78597381</v>
      </c>
      <c r="AV94" s="205">
        <v>0.27889393</v>
      </c>
      <c r="AW94" s="205">
        <v>-0.3511641</v>
      </c>
      <c r="AX94" s="205">
        <v>0.56140986</v>
      </c>
      <c r="AY94" s="205">
        <v>1.11285923</v>
      </c>
      <c r="AZ94" s="205">
        <v>-0.212068</v>
      </c>
      <c r="BA94" s="205">
        <v>1.74602995</v>
      </c>
      <c r="BB94" s="205">
        <v>-0.3676329</v>
      </c>
      <c r="BC94" s="205">
        <v>-0.1494075</v>
      </c>
      <c r="BD94" s="205">
        <v>0.38619566</v>
      </c>
      <c r="BE94" s="205">
        <v>0.04187936</v>
      </c>
      <c r="BF94" s="205">
        <v>2.56165888</v>
      </c>
      <c r="BG94" s="205">
        <v>-0.1041325</v>
      </c>
      <c r="BH94" s="205">
        <v>-0.2607387</v>
      </c>
      <c r="BI94" s="205">
        <v>-0.2872924</v>
      </c>
      <c r="BJ94" s="205">
        <v>0.67346546</v>
      </c>
      <c r="BK94" s="205">
        <v>-0.1535954</v>
      </c>
      <c r="BL94" s="205">
        <v>-0.3586006</v>
      </c>
      <c r="BM94" s="205">
        <v>-0.3676329</v>
      </c>
      <c r="BN94" s="205">
        <v>-0.0312397</v>
      </c>
      <c r="BO94" s="205">
        <v>-0.0292024</v>
      </c>
      <c r="BP94" s="205">
        <v>0.32032055</v>
      </c>
      <c r="BQ94" s="205">
        <v>-0.1877327</v>
      </c>
      <c r="BR94" s="206"/>
      <c r="BS94" s="207">
        <f t="shared" si="6"/>
        <v>0.3731190183</v>
      </c>
      <c r="BT94" s="207">
        <f t="shared" si="7"/>
        <v>0.6528857409</v>
      </c>
      <c r="BU94" s="206"/>
      <c r="BV94" s="207">
        <f>IFERROR(__xludf.DUMMYFUNCTION("AVERAGE(ARRAYFORMULA(XLOOKUP(FILTER(INDIRECT(""'""&amp;BV$1&amp;""'!$C$4:$C$66""),INDIRECT(""'""&amp;BV$1&amp;""'!$D$4:$D$66"")=BV$2),$G$4:$BQ$4,$G94:$BQ94)))"),-0.08260001571428574)</f>
        <v>-0.08260001571</v>
      </c>
      <c r="BW94" s="207" t="str">
        <f>IFERROR(__xludf.DUMMYFUNCTION("IF(OR(BV94&gt;$BS94+$BT94*$BT$2,BV94&lt;$BS94-$BT94*$BT$2),AVEDEV(ARRAYFORMULA(XLOOKUP(FILTER(INDIRECT(""'""&amp;BV$1&amp;""'!$C$4:$C$66""),INDIRECT(""'""&amp;BV$1&amp;""'!$D$4:$D$66"")=BV$2),$G$4:$BQ$4,$G94:$BQ94))),"""")"),"")</f>
        <v/>
      </c>
      <c r="BX94" s="208" t="str">
        <f t="shared" si="8"/>
        <v/>
      </c>
      <c r="BY94" s="207">
        <f>IFERROR(__xludf.DUMMYFUNCTION("AVERAGE(ARRAYFORMULA(XLOOKUP(FILTER(INDIRECT(""'""&amp;BY$1&amp;""'!$C$4:$C$66""),INDIRECT(""'""&amp;BY$1&amp;""'!$D$4:$D$66"")=BY$2),$G$4:$BQ$4,$G94:$BQ94)))"),0.4356787938095238)</f>
        <v>0.4356787938</v>
      </c>
      <c r="BZ94" s="207" t="str">
        <f>IFERROR(__xludf.DUMMYFUNCTION("IF(OR(BY94&gt;$BS94+$BT94*$BT$2,BY94&lt;$BS94-$BT94*$BT$2),AVEDEV(ARRAYFORMULA(XLOOKUP(FILTER(INDIRECT(""'""&amp;BY$1&amp;""'!$C$4:$C$66""),INDIRECT(""'""&amp;BY$1&amp;""'!$D$4:$D$66"")=BY$2),$G$4:$BQ$4,$G94:$BQ94))),"""")"),"")</f>
        <v/>
      </c>
      <c r="CA94" s="208" t="str">
        <f t="shared" si="9"/>
        <v/>
      </c>
      <c r="CB94" s="207">
        <f>IFERROR(__xludf.DUMMYFUNCTION("AVERAGE(ARRAYFORMULA(XLOOKUP(FILTER(INDIRECT(""'""&amp;CB$1&amp;""'!$C$4:$C$66""),INDIRECT(""'""&amp;CB$1&amp;""'!$D$4:$D$66"")=CB$2),$G$4:$BQ$4,$G94:$BQ94)))"),0.4528774863636364)</f>
        <v>0.4528774864</v>
      </c>
      <c r="CC94" s="207" t="str">
        <f>IFERROR(__xludf.DUMMYFUNCTION("IF(OR(CB94&gt;$BS94+$BT94*$BT$2,CB94&lt;$BS94-$BT94*$BT$2),AVEDEV(ARRAYFORMULA(XLOOKUP(FILTER(INDIRECT(""'""&amp;CB$1&amp;""'!$C$4:$C$66""),INDIRECT(""'""&amp;CB$1&amp;""'!$D$4:$D$66"")=CB$2),$G$4:$BQ$4,$G94:$BQ94))),"""")"),"")</f>
        <v/>
      </c>
      <c r="CD94" s="208" t="str">
        <f t="shared" si="10"/>
        <v/>
      </c>
      <c r="CE94" s="209" t="s">
        <v>444</v>
      </c>
      <c r="CF94" s="207">
        <f>IFERROR(__xludf.DUMMYFUNCTION("AVERAGE(ARRAYFORMULA(XLOOKUP(FILTER(INDIRECT(""'""&amp;CF$1&amp;""'!$C$4:$C$66""),INDIRECT(""'""&amp;CF$1&amp;""'!$D$4:$D$66"")=CF$2),$G$4:$BQ$4,$G94:$BQ94)))"),0.9468549506249999)</f>
        <v>0.9468549506</v>
      </c>
      <c r="CG94" s="207" t="str">
        <f>IFERROR(__xludf.DUMMYFUNCTION("IF(OR(CF94&gt;$BS94+$BT94*$BT$2,CF94&lt;$BS94-$BT94*$BT$2),AVEDEV(ARRAYFORMULA(XLOOKUP(FILTER(INDIRECT(""'""&amp;CF$1&amp;""'!$C$4:$C$66""),INDIRECT(""'""&amp;CF$1&amp;""'!$D$4:$D$66"")=CF$2),$G$4:$BQ$4,$G94:$BQ94))),"""")"),"")</f>
        <v/>
      </c>
      <c r="CH94" s="208" t="str">
        <f t="shared" si="11"/>
        <v/>
      </c>
      <c r="CI94" s="207">
        <f>IFERROR(__xludf.DUMMYFUNCTION("AVERAGE(ARRAYFORMULA(XLOOKUP(FILTER(INDIRECT(""'""&amp;CI$1&amp;""'!$C$4:$C$66""),INDIRECT(""'""&amp;CI$1&amp;""'!$D$4:$D$66"")=CI$2),$G$4:$BQ$4,$G94:$BQ94)))"),0.14538456258064517)</f>
        <v>0.1453845626</v>
      </c>
      <c r="CJ94" s="207" t="str">
        <f>IFERROR(__xludf.DUMMYFUNCTION("IF(OR(CI94&gt;$BS94+$BT94*$BT$2,CI94&lt;$BS94-$BT94*$BT$2),AVEDEV(ARRAYFORMULA(XLOOKUP(FILTER(INDIRECT(""'""&amp;CI$1&amp;""'!$C$4:$C$66""),INDIRECT(""'""&amp;CI$1&amp;""'!$D$4:$D$66"")=CI$2),$G$4:$BQ$4,$G94:$BQ94))),"""")"),"")</f>
        <v/>
      </c>
      <c r="CK94" s="208" t="str">
        <f t="shared" si="12"/>
        <v/>
      </c>
      <c r="CL94" s="207">
        <f>IFERROR(__xludf.DUMMYFUNCTION("AVERAGE(ARRAYFORMULA(XLOOKUP(FILTER(INDIRECT(""'""&amp;CL$1&amp;""'!$C$4:$C$66""),INDIRECT(""'""&amp;CL$1&amp;""'!$D$4:$D$66"")=CL$2),$G$4:$BQ$4,$G94:$BQ94)))"),0.776375504)</f>
        <v>0.776375504</v>
      </c>
      <c r="CM94" s="207" t="str">
        <f>IFERROR(__xludf.DUMMYFUNCTION("IF(OR(CL94&gt;$BS94+$BT94*$BT$2,CL94&lt;$BS94-$BT94*$BT$2),AVEDEV(ARRAYFORMULA(XLOOKUP(FILTER(INDIRECT(""'""&amp;CL$1&amp;""'!$C$4:$C$66""),INDIRECT(""'""&amp;CL$1&amp;""'!$D$4:$D$66"")=CL$2),$G$4:$BQ$4,$G94:$BQ94))),"""")"),"")</f>
        <v/>
      </c>
      <c r="CN94" s="208" t="str">
        <f t="shared" si="13"/>
        <v/>
      </c>
      <c r="CO94" s="209" t="s">
        <v>444</v>
      </c>
      <c r="CP94" s="210">
        <f>IFERROR(__xludf.DUMMYFUNCTION("AVERAGE(ARRAYFORMULA(XLOOKUP(FILTER(INDIRECT(""'""&amp;CP$1&amp;""'!$C$4:$C$66""),INDIRECT(""'""&amp;CP$1&amp;""'!$D$4:$D$66"")=CP$2),$G$4:$BQ$4,$G94:$BQ94)))"),-0.14145068333333333)</f>
        <v>-0.1414506833</v>
      </c>
      <c r="CQ94" s="207" t="str">
        <f>IFERROR(__xludf.DUMMYFUNCTION("IF(OR(CP94&gt;$BS94+$BT94*$BT$2,CP94&lt;$BS94-$BT94*$BT$2),AVEDEV(ARRAYFORMULA(XLOOKUP(FILTER(INDIRECT(""'""&amp;CP$1&amp;""'!$C$4:$C$66""),INDIRECT(""'""&amp;CP$1&amp;""'!$D$4:$D$66"")=CP$2),$G$4:$BQ$4,$G94:$BQ94))),"""")"),"")</f>
        <v/>
      </c>
      <c r="CR94" s="208" t="str">
        <f t="shared" si="14"/>
        <v/>
      </c>
      <c r="CS94" s="210">
        <f>IFERROR(__xludf.DUMMYFUNCTION("AVERAGE(ARRAYFORMULA(XLOOKUP(FILTER(INDIRECT(""'""&amp;CS$1&amp;""'!$C$4:$C$66""),INDIRECT(""'""&amp;CS$1&amp;""'!$D$4:$D$66"")=CS$2),$G$4:$BQ$4,$G94:$BQ94)))"),0.546165254102564)</f>
        <v>0.5461652541</v>
      </c>
      <c r="CT94" s="207" t="str">
        <f>IFERROR(__xludf.DUMMYFUNCTION("IF(OR(CS94&gt;$BS94+$BT94*$BT$2,CS94&lt;$BS94-$BT94*$BT$2),AVEDEV(ARRAYFORMULA(XLOOKUP(FILTER(INDIRECT(""'""&amp;CS$1&amp;""'!$C$4:$C$66""),INDIRECT(""'""&amp;CS$1&amp;""'!$D$4:$D$66"")=CS$2),$G$4:$BQ$4,$G94:$BQ94))),"""")"),"")</f>
        <v/>
      </c>
      <c r="CU94" s="208" t="str">
        <f t="shared" si="15"/>
        <v/>
      </c>
      <c r="CV94" s="210">
        <f>IFERROR(__xludf.DUMMYFUNCTION("AVERAGE(ARRAYFORMULA(XLOOKUP(FILTER(INDIRECT(""'""&amp;CV$1&amp;""'!$C$4:$C$66""),INDIRECT(""'""&amp;CV$1&amp;""'!$D$4:$D$66"")=CV$2),$G$4:$BQ$4,$G94:$BQ94)))"),0.776375504)</f>
        <v>0.776375504</v>
      </c>
      <c r="CW94" s="207" t="str">
        <f>IFERROR(__xludf.DUMMYFUNCTION("IF(OR(CV94&gt;$BS94+$BT94*$BT$2,CV94&lt;$BS94-$BT94*$BT$2),AVEDEV(ARRAYFORMULA(XLOOKUP(FILTER(INDIRECT(""'""&amp;CV$1&amp;""'!$C$4:$C$66""),INDIRECT(""'""&amp;CV$1&amp;""'!$D$4:$D$66"")=CV$2),$G$4:$BQ$4,$G94:$BQ94))),"""")"),"")</f>
        <v/>
      </c>
      <c r="CX94" s="208" t="str">
        <f t="shared" si="16"/>
        <v/>
      </c>
      <c r="CY94" s="209" t="s">
        <v>444</v>
      </c>
      <c r="CZ94" s="210">
        <f>IFERROR(__xludf.DUMMYFUNCTION("AVERAGE(ARRAYFORMULA(XLOOKUP(FILTER(INDIRECT(""'""&amp;CZ$1&amp;""'!$C$4:$C$66""),INDIRECT(""'""&amp;CZ$1&amp;""'!$D$4:$D$66"")=CZ$2),$G$4:$BQ$4,$G94:$BQ94)))"),1.07109063)</f>
        <v>1.07109063</v>
      </c>
      <c r="DA94" s="207">
        <f>IFERROR(__xludf.DUMMYFUNCTION("IF(OR(CZ94&gt;$BS94+$BT94*$BT$2,CZ94&lt;$BS94-$BT94*$BT$2),AVEDEV(ARRAYFORMULA(XLOOKUP(FILTER(INDIRECT(""'""&amp;CZ$1&amp;""'!$C$4:$C$66""),INDIRECT(""'""&amp;CZ$1&amp;""'!$D$4:$D$66"")=CZ$2),$G$4:$BQ$4,$G94:$BQ94))),"""")"),1.0923582028571428)</f>
        <v>1.092358203</v>
      </c>
      <c r="DB94" s="208">
        <f t="shared" si="17"/>
        <v>0.04508587084</v>
      </c>
      <c r="DC94" s="210">
        <f>IFERROR(__xludf.DUMMYFUNCTION("AVERAGE(ARRAYFORMULA(XLOOKUP(FILTER(INDIRECT(""'""&amp;DC$1&amp;""'!$C$4:$C$66""),INDIRECT(""'""&amp;DC$1&amp;""'!$D$4:$D$66"")=DC$2),$G$4:$BQ$4,$G94:$BQ94)))"),0.617928138888889)</f>
        <v>0.6179281389</v>
      </c>
      <c r="DD94" s="207" t="str">
        <f>IFERROR(__xludf.DUMMYFUNCTION("IF(OR(DC94&gt;$BS94+$BT94*$BT$2,DC94&lt;$BS94-$BT94*$BT$2),AVEDEV(ARRAYFORMULA(XLOOKUP(FILTER(INDIRECT(""'""&amp;DC$1&amp;""'!$C$4:$C$66""),INDIRECT(""'""&amp;DC$1&amp;""'!$D$4:$D$66"")=DC$2),$G$4:$BQ$4,$G94:$BQ94))),"""")"),"")</f>
        <v/>
      </c>
      <c r="DE94" s="208" t="str">
        <f t="shared" si="18"/>
        <v/>
      </c>
      <c r="DF94" s="210">
        <f>IFERROR(__xludf.DUMMYFUNCTION("AVERAGE(ARRAYFORMULA(XLOOKUP(FILTER(INDIRECT(""'""&amp;DF$1&amp;""'!$C$4:$C$66""),INDIRECT(""'""&amp;DF$1&amp;""'!$D$4:$D$66"")=DF$2),$G$4:$BQ$4,$G94:$BQ94)))"),-0.07804379)</f>
        <v>-0.07804379</v>
      </c>
      <c r="DG94" s="207" t="str">
        <f>IFERROR(__xludf.DUMMYFUNCTION("IF(OR(DF94&gt;$BS94+$BT94*$BT$2,DF94&lt;$BS94-$BT94*$BT$2),AVEDEV(ARRAYFORMULA(XLOOKUP(FILTER(INDIRECT(""'""&amp;DF$1&amp;""'!$C$4:$C$66""),INDIRECT(""'""&amp;DF$1&amp;""'!$D$4:$D$66"")=DF$2),$G$4:$BQ$4,$G94:$BQ94))),"""")"),"")</f>
        <v/>
      </c>
      <c r="DH94" s="208" t="str">
        <f t="shared" si="19"/>
        <v/>
      </c>
      <c r="DI94" s="210">
        <f>IFERROR(__xludf.DUMMYFUNCTION("AVERAGE(ARRAYFORMULA(XLOOKUP(FILTER(INDIRECT(""'""&amp;DI$1&amp;""'!$C$4:$C$66""),INDIRECT(""'""&amp;DI$1&amp;""'!$D$4:$D$66"")=DI$2),$G$4:$BQ$4,$G94:$BQ94)))"),-0.23847469999999998)</f>
        <v>-0.2384747</v>
      </c>
      <c r="DJ94" s="207" t="str">
        <f>IFERROR(__xludf.DUMMYFUNCTION("IF(OR(DI94&gt;$BS94+$BT94*$BT$2,DI94&lt;$BS94-$BT94*$BT$2),AVEDEV(ARRAYFORMULA(XLOOKUP(FILTER(INDIRECT(""'""&amp;DI$1&amp;""'!$C$4:$C$66""),INDIRECT(""'""&amp;DI$1&amp;""'!$D$4:$D$66"")=DI$2),$G$4:$BQ$4,$G94:$BQ94))),"""")"),"")</f>
        <v/>
      </c>
      <c r="DK94" s="208" t="str">
        <f t="shared" si="20"/>
        <v/>
      </c>
      <c r="DL94" s="210">
        <f>IFERROR(__xludf.DUMMYFUNCTION("AVERAGE(ARRAYFORMULA(XLOOKUP(FILTER(INDIRECT(""'""&amp;DL$1&amp;""'!$C$4:$C$66""),INDIRECT(""'""&amp;DL$1&amp;""'!$D$4:$D$66"")=DL$2),$G$4:$BQ$4,$G94:$BQ94)))"),0.17785471142857143)</f>
        <v>0.1778547114</v>
      </c>
      <c r="DM94" s="207" t="str">
        <f>IFERROR(__xludf.DUMMYFUNCTION("IF(OR(DL94&gt;$BS94+$BT94*$BT$2,DL94&lt;$BS94-$BT94*$BT$2),AVEDEV(ARRAYFORMULA(XLOOKUP(FILTER(INDIRECT(""'""&amp;DL$1&amp;""'!$C$4:$C$66""),INDIRECT(""'""&amp;DL$1&amp;""'!$D$4:$D$66"")=DL$2),$G$4:$BQ$4,$G94:$BQ94))),"""")"),"")</f>
        <v/>
      </c>
      <c r="DN94" s="208" t="str">
        <f t="shared" si="21"/>
        <v/>
      </c>
      <c r="DO94" s="209" t="s">
        <v>444</v>
      </c>
      <c r="DP94" s="210">
        <f>IFERROR(__xludf.DUMMYFUNCTION("AVERAGE(ARRAYFORMULA(XLOOKUP(FILTER(INDIRECT(""'""&amp;DP$1&amp;""'!$C$4:$C$66""),INDIRECT(""'""&amp;DP$1&amp;""'!$D$4:$D$66"")=DP$2),$G$4:$BQ$4,$G94:$BQ94)))"),0.5979279153333333)</f>
        <v>0.5979279153</v>
      </c>
      <c r="DQ94" s="207" t="str">
        <f>IFERROR(__xludf.DUMMYFUNCTION("IF(OR(DP94&gt;$BS94+$BT94*$BT$2,DP94&lt;$BS94-$BT94*$BT$2),AVEDEV(ARRAYFORMULA(XLOOKUP(FILTER(INDIRECT(""'""&amp;DP$1&amp;""'!$C$4:$C$66""),INDIRECT(""'""&amp;DP$1&amp;""'!$D$4:$D$66"")=DP$2),$G$4:$BQ$4,$G94:$BQ94))),"""")"),"")</f>
        <v/>
      </c>
      <c r="DR94" s="208" t="str">
        <f t="shared" si="22"/>
        <v/>
      </c>
      <c r="DS94" s="210">
        <f>IFERROR(__xludf.DUMMYFUNCTION("AVERAGE(ARRAYFORMULA(XLOOKUP(FILTER(INDIRECT(""'""&amp;DS$1&amp;""'!$C$4:$C$66""),INDIRECT(""'""&amp;DS$1&amp;""'!$D$4:$D$66"")=DS$2),$G$4:$BQ$4,$G94:$BQ94)))"),0.46721273333333335)</f>
        <v>0.4672127333</v>
      </c>
      <c r="DT94" s="207" t="str">
        <f>IFERROR(__xludf.DUMMYFUNCTION("IF(OR(DS94&gt;$BS94+$BT94*$BT$2,DS94&lt;$BS94-$BT94*$BT$2),AVEDEV(ARRAYFORMULA(XLOOKUP(FILTER(INDIRECT(""'""&amp;DS$1&amp;""'!$C$4:$C$66""),INDIRECT(""'""&amp;DS$1&amp;""'!$D$4:$D$66"")=DS$2),$G$4:$BQ$4,$G94:$BQ94))),"""")"),"")</f>
        <v/>
      </c>
      <c r="DU94" s="208" t="str">
        <f t="shared" si="23"/>
        <v/>
      </c>
      <c r="DV94" s="210">
        <f>IFERROR(__xludf.DUMMYFUNCTION("AVERAGE(ARRAYFORMULA(XLOOKUP(FILTER(INDIRECT(""'""&amp;DV$1&amp;""'!$C$4:$C$66""),INDIRECT(""'""&amp;DV$1&amp;""'!$D$4:$D$66"")=DV$2),$G$4:$BQ$4,$G94:$BQ94)))"),0.03931284125)</f>
        <v>0.03931284125</v>
      </c>
      <c r="DW94" s="207" t="str">
        <f>IFERROR(__xludf.DUMMYFUNCTION("IF(OR(DV94&gt;$BS94+$BT94*$BT$2,DV94&lt;$BS94-$BT94*$BT$2),AVEDEV(ARRAYFORMULA(XLOOKUP(FILTER(INDIRECT(""'""&amp;DV$1&amp;""'!$C$4:$C$66""),INDIRECT(""'""&amp;DV$1&amp;""'!$D$4:$D$66"")=DV$2),$G$4:$BQ$4,$G94:$BQ94))),"""")"),"")</f>
        <v/>
      </c>
      <c r="DX94" s="208" t="str">
        <f t="shared" si="24"/>
        <v/>
      </c>
      <c r="DY94" s="210">
        <f>IFERROR(__xludf.DUMMYFUNCTION("AVERAGE(ARRAYFORMULA(XLOOKUP(FILTER(INDIRECT(""'""&amp;DY$1&amp;""'!$C$4:$C$66""),INDIRECT(""'""&amp;DY$1&amp;""'!$D$4:$D$66"")=DY$2),$G$4:$BQ$4,$G94:$BQ94)))"),0.12496526)</f>
        <v>0.12496526</v>
      </c>
      <c r="DZ94" s="207" t="str">
        <f>IFERROR(__xludf.DUMMYFUNCTION("IF(OR(DY94&gt;$BS94+$BT94*$BT$2,DY94&lt;$BS94-$BT94*$BT$2),AVEDEV(ARRAYFORMULA(XLOOKUP(FILTER(INDIRECT(""'""&amp;DY$1&amp;""'!$C$4:$C$66""),INDIRECT(""'""&amp;DY$1&amp;""'!$D$4:$D$66"")=DY$2),$G$4:$BQ$4,$G94:$BQ94))),"""")"),"")</f>
        <v/>
      </c>
      <c r="EA94" s="208" t="str">
        <f t="shared" si="25"/>
        <v/>
      </c>
      <c r="EB94" s="191"/>
    </row>
    <row r="95" outlineLevel="1">
      <c r="A95" s="2"/>
      <c r="B95" s="204">
        <v>91.0</v>
      </c>
      <c r="C95" s="204" t="s">
        <v>507</v>
      </c>
      <c r="D95" s="204" t="s">
        <v>536</v>
      </c>
      <c r="E95" s="205" t="b">
        <f>VLOOKUP(D95,'Feature Set List'!A91:C246,2,0)</f>
        <v>1</v>
      </c>
      <c r="F95" s="205" t="b">
        <f>VLOOKUP(D95,'Feature Set List'!A91:C246,3,0)</f>
        <v>1</v>
      </c>
      <c r="G95" s="205">
        <v>1.67360848</v>
      </c>
      <c r="H95" s="205">
        <v>-0.0648744</v>
      </c>
      <c r="I95" s="205">
        <v>0.04543733</v>
      </c>
      <c r="J95" s="205">
        <v>0.1729143</v>
      </c>
      <c r="K95" s="205">
        <v>0.97437839</v>
      </c>
      <c r="L95" s="205">
        <v>0.06941815</v>
      </c>
      <c r="M95" s="205">
        <v>0.28145904</v>
      </c>
      <c r="N95" s="205">
        <v>-0.7495898</v>
      </c>
      <c r="O95" s="205">
        <v>-0.3295469</v>
      </c>
      <c r="P95" s="205">
        <v>0.0</v>
      </c>
      <c r="Q95" s="205">
        <v>0.4531112</v>
      </c>
      <c r="R95" s="205">
        <v>-0.6702007</v>
      </c>
      <c r="S95" s="205">
        <v>0.11611763</v>
      </c>
      <c r="T95" s="205">
        <v>0.40388742</v>
      </c>
      <c r="U95" s="205">
        <v>-1.0424082</v>
      </c>
      <c r="V95" s="205">
        <v>2.12924397</v>
      </c>
      <c r="W95" s="205">
        <v>-0.3440616</v>
      </c>
      <c r="X95" s="205">
        <v>-1.1058942</v>
      </c>
      <c r="Y95" s="205">
        <v>-0.316673</v>
      </c>
      <c r="Z95" s="205">
        <v>-0.1267197</v>
      </c>
      <c r="AA95" s="205">
        <v>-1.0164079</v>
      </c>
      <c r="AB95" s="205">
        <v>-0.5737726</v>
      </c>
      <c r="AC95" s="205">
        <v>0.11737978</v>
      </c>
      <c r="AD95" s="205">
        <v>-0.3886154</v>
      </c>
      <c r="AE95" s="205">
        <v>-1.0540199</v>
      </c>
      <c r="AF95" s="205">
        <v>0.79767765</v>
      </c>
      <c r="AG95" s="205">
        <v>0.76612394</v>
      </c>
      <c r="AH95" s="205">
        <v>-0.400101</v>
      </c>
      <c r="AI95" s="205">
        <v>1.08292314</v>
      </c>
      <c r="AJ95" s="205">
        <v>-0.8227944</v>
      </c>
      <c r="AK95" s="205">
        <v>0.39252808</v>
      </c>
      <c r="AL95" s="205">
        <v>0.29912912</v>
      </c>
      <c r="AM95" s="205">
        <v>0.36097438</v>
      </c>
      <c r="AN95" s="205">
        <v>0.81787202</v>
      </c>
      <c r="AO95" s="205">
        <v>-0.7898523</v>
      </c>
      <c r="AP95" s="205">
        <v>-0.5837435</v>
      </c>
      <c r="AQ95" s="205">
        <v>-0.0636123</v>
      </c>
      <c r="AR95" s="205">
        <v>3.32954689</v>
      </c>
      <c r="AS95" s="205">
        <v>0.42913038</v>
      </c>
      <c r="AT95" s="205">
        <v>-0.2563423</v>
      </c>
      <c r="AU95" s="205">
        <v>-0.558753</v>
      </c>
      <c r="AV95" s="205">
        <v>0.47456771</v>
      </c>
      <c r="AW95" s="205">
        <v>-0.6108797</v>
      </c>
      <c r="AX95" s="205">
        <v>-0.3330809</v>
      </c>
      <c r="AY95" s="205">
        <v>-0.3197021</v>
      </c>
      <c r="AZ95" s="205">
        <v>-0.1772056</v>
      </c>
      <c r="BA95" s="205">
        <v>1.22302158</v>
      </c>
      <c r="BB95" s="205">
        <v>-1.2928901</v>
      </c>
      <c r="BC95" s="205">
        <v>0.54903446</v>
      </c>
      <c r="BD95" s="205">
        <v>0.03534015</v>
      </c>
      <c r="BE95" s="205">
        <v>-0.8712609</v>
      </c>
      <c r="BF95" s="205">
        <v>1.67108419</v>
      </c>
      <c r="BG95" s="205">
        <v>0.034078</v>
      </c>
      <c r="BH95" s="205">
        <v>-0.4133535</v>
      </c>
      <c r="BI95" s="205">
        <v>-0.5590054</v>
      </c>
      <c r="BJ95" s="205">
        <v>0.32815853</v>
      </c>
      <c r="BK95" s="205">
        <v>-0.1677395</v>
      </c>
      <c r="BL95" s="205">
        <v>-1.2534141</v>
      </c>
      <c r="BM95" s="205">
        <v>-1.1214187</v>
      </c>
      <c r="BN95" s="205">
        <v>0.56922883</v>
      </c>
      <c r="BO95" s="205">
        <v>0.86078506</v>
      </c>
      <c r="BP95" s="205">
        <v>1.49690774</v>
      </c>
      <c r="BQ95" s="205">
        <v>0.3458286</v>
      </c>
      <c r="BR95" s="206"/>
      <c r="BS95" s="207">
        <f t="shared" si="6"/>
        <v>0.06226924667</v>
      </c>
      <c r="BT95" s="207">
        <f t="shared" si="7"/>
        <v>0.6489683096</v>
      </c>
      <c r="BU95" s="206"/>
      <c r="BV95" s="207">
        <f>IFERROR(__xludf.DUMMYFUNCTION("AVERAGE(ARRAYFORMULA(XLOOKUP(FILTER(INDIRECT(""'""&amp;BV$1&amp;""'!$C$4:$C$66""),INDIRECT(""'""&amp;BV$1&amp;""'!$D$4:$D$66"")=BV$2),$G$4:$BQ$4,$G95:$BQ95)))"),-0.9536317)</f>
        <v>-0.9536317</v>
      </c>
      <c r="BW95" s="207">
        <f>IFERROR(__xludf.DUMMYFUNCTION("IF(OR(BV95&gt;$BS95+$BT95*$BT$2,BV95&lt;$BS95-$BT95*$BT$2),AVEDEV(ARRAYFORMULA(XLOOKUP(FILTER(INDIRECT(""'""&amp;BV$1&amp;""'!$C$4:$C$66""),INDIRECT(""'""&amp;BV$1&amp;""'!$D$4:$D$66"")=BV$2),$G$4:$BQ$4,$G95:$BQ95))),"""")"),0.25145137142857144)</f>
        <v>0.2514513714</v>
      </c>
      <c r="BX95" s="208">
        <f t="shared" si="8"/>
        <v>-0.366932637</v>
      </c>
      <c r="BY95" s="207">
        <f>IFERROR(__xludf.DUMMYFUNCTION("AVERAGE(ARRAYFORMULA(XLOOKUP(FILTER(INDIRECT(""'""&amp;BY$1&amp;""'!$C$4:$C$66""),INDIRECT(""'""&amp;BY$1&amp;""'!$D$4:$D$66"")=BY$2),$G$4:$BQ$4,$G95:$BQ95)))"),0.20444396523809522)</f>
        <v>0.2044439652</v>
      </c>
      <c r="BZ95" s="207" t="str">
        <f>IFERROR(__xludf.DUMMYFUNCTION("IF(OR(BY95&gt;$BS95+$BT95*$BT$2,BY95&lt;$BS95-$BT95*$BT$2),AVEDEV(ARRAYFORMULA(XLOOKUP(FILTER(INDIRECT(""'""&amp;BY$1&amp;""'!$C$4:$C$66""),INDIRECT(""'""&amp;BY$1&amp;""'!$D$4:$D$66"")=BY$2),$G$4:$BQ$4,$G95:$BQ95))),"""")"),"")</f>
        <v/>
      </c>
      <c r="CA95" s="208" t="str">
        <f t="shared" si="9"/>
        <v/>
      </c>
      <c r="CB95" s="207">
        <f>IFERROR(__xludf.DUMMYFUNCTION("AVERAGE(ARRAYFORMULA(XLOOKUP(FILTER(INDIRECT(""'""&amp;CB$1&amp;""'!$C$4:$C$66""),INDIRECT(""'""&amp;CB$1&amp;""'!$D$4:$D$66"")=CB$2),$G$4:$BQ$4,$G95:$BQ95)))"),0.22633758363636367)</f>
        <v>0.2263375836</v>
      </c>
      <c r="CC95" s="207" t="str">
        <f>IFERROR(__xludf.DUMMYFUNCTION("IF(OR(CB95&gt;$BS95+$BT95*$BT$2,CB95&lt;$BS95-$BT95*$BT$2),AVEDEV(ARRAYFORMULA(XLOOKUP(FILTER(INDIRECT(""'""&amp;CB$1&amp;""'!$C$4:$C$66""),INDIRECT(""'""&amp;CB$1&amp;""'!$D$4:$D$66"")=CB$2),$G$4:$BQ$4,$G95:$BQ95))),"""")"),"")</f>
        <v/>
      </c>
      <c r="CD95" s="208" t="str">
        <f t="shared" si="10"/>
        <v/>
      </c>
      <c r="CE95" s="209" t="s">
        <v>444</v>
      </c>
      <c r="CF95" s="207">
        <f>IFERROR(__xludf.DUMMYFUNCTION("AVERAGE(ARRAYFORMULA(XLOOKUP(FILTER(INDIRECT(""'""&amp;CF$1&amp;""'!$C$4:$C$66""),INDIRECT(""'""&amp;CF$1&amp;""'!$D$4:$D$66"")=CF$2),$G$4:$BQ$4,$G95:$BQ95)))"),0.091927238125)</f>
        <v>0.09192723813</v>
      </c>
      <c r="CG95" s="207" t="str">
        <f>IFERROR(__xludf.DUMMYFUNCTION("IF(OR(CF95&gt;$BS95+$BT95*$BT$2,CF95&lt;$BS95-$BT95*$BT$2),AVEDEV(ARRAYFORMULA(XLOOKUP(FILTER(INDIRECT(""'""&amp;CF$1&amp;""'!$C$4:$C$66""),INDIRECT(""'""&amp;CF$1&amp;""'!$D$4:$D$66"")=CF$2),$G$4:$BQ$4,$G95:$BQ95))),"""")"),"")</f>
        <v/>
      </c>
      <c r="CH95" s="208" t="str">
        <f t="shared" si="11"/>
        <v/>
      </c>
      <c r="CI95" s="207">
        <f>IFERROR(__xludf.DUMMYFUNCTION("AVERAGE(ARRAYFORMULA(XLOOKUP(FILTER(INDIRECT(""'""&amp;CI$1&amp;""'!$C$4:$C$66""),INDIRECT(""'""&amp;CI$1&amp;""'!$D$4:$D$66"")=CI$2),$G$4:$BQ$4,$G95:$BQ95)))"),-0.013557914838709674)</f>
        <v>-0.01355791484</v>
      </c>
      <c r="CJ95" s="207" t="str">
        <f>IFERROR(__xludf.DUMMYFUNCTION("IF(OR(CI95&gt;$BS95+$BT95*$BT$2,CI95&lt;$BS95-$BT95*$BT$2),AVEDEV(ARRAYFORMULA(XLOOKUP(FILTER(INDIRECT(""'""&amp;CI$1&amp;""'!$C$4:$C$66""),INDIRECT(""'""&amp;CI$1&amp;""'!$D$4:$D$66"")=CI$2),$G$4:$BQ$4,$G95:$BQ95))),"""")"),"")</f>
        <v/>
      </c>
      <c r="CK95" s="208" t="str">
        <f t="shared" si="12"/>
        <v/>
      </c>
      <c r="CL95" s="207">
        <f>IFERROR(__xludf.DUMMYFUNCTION("AVERAGE(ARRAYFORMULA(XLOOKUP(FILTER(INDIRECT(""'""&amp;CL$1&amp;""'!$C$4:$C$66""),INDIRECT(""'""&amp;CL$1&amp;""'!$D$4:$D$66"")=CL$2),$G$4:$BQ$4,$G95:$BQ95)))"),0.41802347599999995)</f>
        <v>0.418023476</v>
      </c>
      <c r="CM95" s="207" t="str">
        <f>IFERROR(__xludf.DUMMYFUNCTION("IF(OR(CL95&gt;$BS95+$BT95*$BT$2,CL95&lt;$BS95-$BT95*$BT$2),AVEDEV(ARRAYFORMULA(XLOOKUP(FILTER(INDIRECT(""'""&amp;CL$1&amp;""'!$C$4:$C$66""),INDIRECT(""'""&amp;CL$1&amp;""'!$D$4:$D$66"")=CL$2),$G$4:$BQ$4,$G95:$BQ95))),"""")"),"")</f>
        <v/>
      </c>
      <c r="CN95" s="208" t="str">
        <f t="shared" si="13"/>
        <v/>
      </c>
      <c r="CO95" s="209" t="s">
        <v>444</v>
      </c>
      <c r="CP95" s="210">
        <f>IFERROR(__xludf.DUMMYFUNCTION("AVERAGE(ARRAYFORMULA(XLOOKUP(FILTER(INDIRECT(""'""&amp;CP$1&amp;""'!$C$4:$C$66""),INDIRECT(""'""&amp;CP$1&amp;""'!$D$4:$D$66"")=CP$2),$G$4:$BQ$4,$G95:$BQ95)))"),-0.47660035200000006)</f>
        <v>-0.476600352</v>
      </c>
      <c r="CQ95" s="207" t="str">
        <f>IFERROR(__xludf.DUMMYFUNCTION("IF(OR(CP95&gt;$BS95+$BT95*$BT$2,CP95&lt;$BS95-$BT95*$BT$2),AVEDEV(ARRAYFORMULA(XLOOKUP(FILTER(INDIRECT(""'""&amp;CP$1&amp;""'!$C$4:$C$66""),INDIRECT(""'""&amp;CP$1&amp;""'!$D$4:$D$66"")=CP$2),$G$4:$BQ$4,$G95:$BQ95))),"""")"),"")</f>
        <v/>
      </c>
      <c r="CR95" s="208" t="str">
        <f t="shared" si="14"/>
        <v/>
      </c>
      <c r="CS95" s="210">
        <f>IFERROR(__xludf.DUMMYFUNCTION("AVERAGE(ARRAYFORMULA(XLOOKUP(FILTER(INDIRECT(""'""&amp;CS$1&amp;""'!$C$4:$C$66""),INDIRECT(""'""&amp;CS$1&amp;""'!$D$4:$D$66"")=CS$2),$G$4:$BQ$4,$G95:$BQ95)))"),0.274698463076923)</f>
        <v>0.2746984631</v>
      </c>
      <c r="CT95" s="207" t="str">
        <f>IFERROR(__xludf.DUMMYFUNCTION("IF(OR(CS95&gt;$BS95+$BT95*$BT$2,CS95&lt;$BS95-$BT95*$BT$2),AVEDEV(ARRAYFORMULA(XLOOKUP(FILTER(INDIRECT(""'""&amp;CS$1&amp;""'!$C$4:$C$66""),INDIRECT(""'""&amp;CS$1&amp;""'!$D$4:$D$66"")=CS$2),$G$4:$BQ$4,$G95:$BQ95))),"""")"),"")</f>
        <v/>
      </c>
      <c r="CU95" s="208" t="str">
        <f t="shared" si="15"/>
        <v/>
      </c>
      <c r="CV95" s="210">
        <f>IFERROR(__xludf.DUMMYFUNCTION("AVERAGE(ARRAYFORMULA(XLOOKUP(FILTER(INDIRECT(""'""&amp;CV$1&amp;""'!$C$4:$C$66""),INDIRECT(""'""&amp;CV$1&amp;""'!$D$4:$D$66"")=CV$2),$G$4:$BQ$4,$G95:$BQ95)))"),0.41802347599999995)</f>
        <v>0.418023476</v>
      </c>
      <c r="CW95" s="207" t="str">
        <f>IFERROR(__xludf.DUMMYFUNCTION("IF(OR(CV95&gt;$BS95+$BT95*$BT$2,CV95&lt;$BS95-$BT95*$BT$2),AVEDEV(ARRAYFORMULA(XLOOKUP(FILTER(INDIRECT(""'""&amp;CV$1&amp;""'!$C$4:$C$66""),INDIRECT(""'""&amp;CV$1&amp;""'!$D$4:$D$66"")=CV$2),$G$4:$BQ$4,$G95:$BQ95))),"""")"),"")</f>
        <v/>
      </c>
      <c r="CX95" s="208" t="str">
        <f t="shared" si="16"/>
        <v/>
      </c>
      <c r="CY95" s="209" t="s">
        <v>444</v>
      </c>
      <c r="CZ95" s="210">
        <f>IFERROR(__xludf.DUMMYFUNCTION("AVERAGE(ARRAYFORMULA(XLOOKUP(FILTER(INDIRECT(""'""&amp;CZ$1&amp;""'!$C$4:$C$66""),INDIRECT(""'""&amp;CZ$1&amp;""'!$D$4:$D$66"")=CZ$2),$G$4:$BQ$4,$G95:$BQ95)))"),0.22996340285714284)</f>
        <v>0.2299634029</v>
      </c>
      <c r="DA95" s="207" t="str">
        <f>IFERROR(__xludf.DUMMYFUNCTION("IF(OR(CZ95&gt;$BS95+$BT95*$BT$2,CZ95&lt;$BS95-$BT95*$BT$2),AVEDEV(ARRAYFORMULA(XLOOKUP(FILTER(INDIRECT(""'""&amp;CZ$1&amp;""'!$C$4:$C$66""),INDIRECT(""'""&amp;CZ$1&amp;""'!$D$4:$D$66"")=CZ$2),$G$4:$BQ$4,$G95:$BQ95))),"""")"),"")</f>
        <v/>
      </c>
      <c r="DB95" s="208" t="str">
        <f t="shared" si="17"/>
        <v/>
      </c>
      <c r="DC95" s="210">
        <f>IFERROR(__xludf.DUMMYFUNCTION("AVERAGE(ARRAYFORMULA(XLOOKUP(FILTER(INDIRECT(""'""&amp;DC$1&amp;""'!$C$4:$C$66""),INDIRECT(""'""&amp;DC$1&amp;""'!$D$4:$D$66"")=DC$2),$G$4:$BQ$4,$G95:$BQ95)))"),0.42092641333333336)</f>
        <v>0.4209264133</v>
      </c>
      <c r="DD95" s="207" t="str">
        <f>IFERROR(__xludf.DUMMYFUNCTION("IF(OR(DC95&gt;$BS95+$BT95*$BT$2,DC95&lt;$BS95-$BT95*$BT$2),AVEDEV(ARRAYFORMULA(XLOOKUP(FILTER(INDIRECT(""'""&amp;DC$1&amp;""'!$C$4:$C$66""),INDIRECT(""'""&amp;DC$1&amp;""'!$D$4:$D$66"")=DC$2),$G$4:$BQ$4,$G95:$BQ95))),"""")"),"")</f>
        <v/>
      </c>
      <c r="DE95" s="208" t="str">
        <f t="shared" si="18"/>
        <v/>
      </c>
      <c r="DF95" s="210">
        <f>IFERROR(__xludf.DUMMYFUNCTION("AVERAGE(ARRAYFORMULA(XLOOKUP(FILTER(INDIRECT(""'""&amp;DF$1&amp;""'!$C$4:$C$66""),INDIRECT(""'""&amp;DF$1&amp;""'!$D$4:$D$66"")=DF$2),$G$4:$BQ$4,$G95:$BQ95)))"),-0.04181153090909089)</f>
        <v>-0.04181153091</v>
      </c>
      <c r="DG95" s="207" t="str">
        <f>IFERROR(__xludf.DUMMYFUNCTION("IF(OR(DF95&gt;$BS95+$BT95*$BT$2,DF95&lt;$BS95-$BT95*$BT$2),AVEDEV(ARRAYFORMULA(XLOOKUP(FILTER(INDIRECT(""'""&amp;DF$1&amp;""'!$C$4:$C$66""),INDIRECT(""'""&amp;DF$1&amp;""'!$D$4:$D$66"")=DF$2),$G$4:$BQ$4,$G95:$BQ95))),"""")"),"")</f>
        <v/>
      </c>
      <c r="DH95" s="208" t="str">
        <f t="shared" si="19"/>
        <v/>
      </c>
      <c r="DI95" s="210">
        <f>IFERROR(__xludf.DUMMYFUNCTION("AVERAGE(ARRAYFORMULA(XLOOKUP(FILTER(INDIRECT(""'""&amp;DI$1&amp;""'!$C$4:$C$66""),INDIRECT(""'""&amp;DI$1&amp;""'!$D$4:$D$66"")=DI$2),$G$4:$BQ$4,$G95:$BQ95)))"),-0.40098445)</f>
        <v>-0.40098445</v>
      </c>
      <c r="DJ95" s="207" t="str">
        <f>IFERROR(__xludf.DUMMYFUNCTION("IF(OR(DI95&gt;$BS95+$BT95*$BT$2,DI95&lt;$BS95-$BT95*$BT$2),AVEDEV(ARRAYFORMULA(XLOOKUP(FILTER(INDIRECT(""'""&amp;DI$1&amp;""'!$C$4:$C$66""),INDIRECT(""'""&amp;DI$1&amp;""'!$D$4:$D$66"")=DI$2),$G$4:$BQ$4,$G95:$BQ95))),"""")"),"")</f>
        <v/>
      </c>
      <c r="DK95" s="208" t="str">
        <f t="shared" si="20"/>
        <v/>
      </c>
      <c r="DL95" s="210">
        <f>IFERROR(__xludf.DUMMYFUNCTION("AVERAGE(ARRAYFORMULA(XLOOKUP(FILTER(INDIRECT(""'""&amp;DL$1&amp;""'!$C$4:$C$66""),INDIRECT(""'""&amp;DL$1&amp;""'!$D$4:$D$66"")=DL$2),$G$4:$BQ$4,$G95:$BQ95)))"),0.36059573357142854)</f>
        <v>0.3605957336</v>
      </c>
      <c r="DM95" s="207" t="str">
        <f>IFERROR(__xludf.DUMMYFUNCTION("IF(OR(DL95&gt;$BS95+$BT95*$BT$2,DL95&lt;$BS95-$BT95*$BT$2),AVEDEV(ARRAYFORMULA(XLOOKUP(FILTER(INDIRECT(""'""&amp;DL$1&amp;""'!$C$4:$C$66""),INDIRECT(""'""&amp;DL$1&amp;""'!$D$4:$D$66"")=DL$2),$G$4:$BQ$4,$G95:$BQ95))),"""")"),"")</f>
        <v/>
      </c>
      <c r="DN95" s="208" t="str">
        <f t="shared" si="21"/>
        <v/>
      </c>
      <c r="DO95" s="209" t="s">
        <v>444</v>
      </c>
      <c r="DP95" s="210">
        <f>IFERROR(__xludf.DUMMYFUNCTION("AVERAGE(ARRAYFORMULA(XLOOKUP(FILTER(INDIRECT(""'""&amp;DP$1&amp;""'!$C$4:$C$66""),INDIRECT(""'""&amp;DP$1&amp;""'!$D$4:$D$66"")=DP$2),$G$4:$BQ$4,$G95:$BQ95)))"),0.1511314386666667)</f>
        <v>0.1511314387</v>
      </c>
      <c r="DQ95" s="207" t="str">
        <f>IFERROR(__xludf.DUMMYFUNCTION("IF(OR(DP95&gt;$BS95+$BT95*$BT$2,DP95&lt;$BS95-$BT95*$BT$2),AVEDEV(ARRAYFORMULA(XLOOKUP(FILTER(INDIRECT(""'""&amp;DP$1&amp;""'!$C$4:$C$66""),INDIRECT(""'""&amp;DP$1&amp;""'!$D$4:$D$66"")=DP$2),$G$4:$BQ$4,$G95:$BQ95))),"""")"),"")</f>
        <v/>
      </c>
      <c r="DR95" s="208" t="str">
        <f t="shared" si="22"/>
        <v/>
      </c>
      <c r="DS95" s="210">
        <f>IFERROR(__xludf.DUMMYFUNCTION("AVERAGE(ARRAYFORMULA(XLOOKUP(FILTER(INDIRECT(""'""&amp;DS$1&amp;""'!$C$4:$C$66""),INDIRECT(""'""&amp;DS$1&amp;""'!$D$4:$D$66"")=DS$2),$G$4:$BQ$4,$G95:$BQ95)))"),0.29560911999999995)</f>
        <v>0.29560912</v>
      </c>
      <c r="DT95" s="207" t="str">
        <f>IFERROR(__xludf.DUMMYFUNCTION("IF(OR(DS95&gt;$BS95+$BT95*$BT$2,DS95&lt;$BS95-$BT95*$BT$2),AVEDEV(ARRAYFORMULA(XLOOKUP(FILTER(INDIRECT(""'""&amp;DS$1&amp;""'!$C$4:$C$66""),INDIRECT(""'""&amp;DS$1&amp;""'!$D$4:$D$66"")=DS$2),$G$4:$BQ$4,$G95:$BQ95))),"""")"),"")</f>
        <v/>
      </c>
      <c r="DU95" s="208" t="str">
        <f t="shared" si="23"/>
        <v/>
      </c>
      <c r="DV95" s="210">
        <f>IFERROR(__xludf.DUMMYFUNCTION("AVERAGE(ARRAYFORMULA(XLOOKUP(FILTER(INDIRECT(""'""&amp;DV$1&amp;""'!$C$4:$C$66""),INDIRECT(""'""&amp;DV$1&amp;""'!$D$4:$D$66"")=DV$2),$G$4:$BQ$4,$G95:$BQ95)))"),-0.53276852125)</f>
        <v>-0.5327685213</v>
      </c>
      <c r="DW95" s="207" t="str">
        <f>IFERROR(__xludf.DUMMYFUNCTION("IF(OR(DV95&gt;$BS95+$BT95*$BT$2,DV95&lt;$BS95-$BT95*$BT$2),AVEDEV(ARRAYFORMULA(XLOOKUP(FILTER(INDIRECT(""'""&amp;DV$1&amp;""'!$C$4:$C$66""),INDIRECT(""'""&amp;DV$1&amp;""'!$D$4:$D$66"")=DV$2),$G$4:$BQ$4,$G95:$BQ95))),"""")"),"")</f>
        <v/>
      </c>
      <c r="DX95" s="208" t="str">
        <f t="shared" si="24"/>
        <v/>
      </c>
      <c r="DY95" s="210">
        <f>IFERROR(__xludf.DUMMYFUNCTION("AVERAGE(ARRAYFORMULA(XLOOKUP(FILTER(INDIRECT(""'""&amp;DY$1&amp;""'!$C$4:$C$66""),INDIRECT(""'""&amp;DY$1&amp;""'!$D$4:$D$66"")=DY$2),$G$4:$BQ$4,$G95:$BQ95)))"),0.14314163333333335)</f>
        <v>0.1431416333</v>
      </c>
      <c r="DZ95" s="207" t="str">
        <f>IFERROR(__xludf.DUMMYFUNCTION("IF(OR(DY95&gt;$BS95+$BT95*$BT$2,DY95&lt;$BS95-$BT95*$BT$2),AVEDEV(ARRAYFORMULA(XLOOKUP(FILTER(INDIRECT(""'""&amp;DY$1&amp;""'!$C$4:$C$66""),INDIRECT(""'""&amp;DY$1&amp;""'!$D$4:$D$66"")=DY$2),$G$4:$BQ$4,$G95:$BQ95))),"""")"),"")</f>
        <v/>
      </c>
      <c r="EA95" s="208" t="str">
        <f t="shared" si="25"/>
        <v/>
      </c>
      <c r="EB95" s="191"/>
    </row>
    <row r="96" outlineLevel="1">
      <c r="A96" s="2"/>
      <c r="B96" s="204">
        <v>92.0</v>
      </c>
      <c r="C96" s="204" t="s">
        <v>507</v>
      </c>
      <c r="D96" s="204" t="s">
        <v>537</v>
      </c>
      <c r="E96" s="205" t="b">
        <f>VLOOKUP(D96,'Feature Set List'!A92:C246,2,0)</f>
        <v>1</v>
      </c>
      <c r="F96" s="205" t="b">
        <f>VLOOKUP(D96,'Feature Set List'!A92:C246,3,0)</f>
        <v>1</v>
      </c>
      <c r="G96" s="205">
        <v>0.0</v>
      </c>
      <c r="H96" s="205">
        <v>0.05877551</v>
      </c>
      <c r="I96" s="205">
        <v>2.73387755</v>
      </c>
      <c r="J96" s="205">
        <v>-0.1861224</v>
      </c>
      <c r="K96" s="205">
        <v>0.13795918</v>
      </c>
      <c r="L96" s="205">
        <v>-0.4179592</v>
      </c>
      <c r="M96" s="205">
        <v>-0.8971429</v>
      </c>
      <c r="N96" s="205">
        <v>-0.5110204</v>
      </c>
      <c r="O96" s="205">
        <v>1.17959184</v>
      </c>
      <c r="P96" s="205">
        <v>-0.3730612</v>
      </c>
      <c r="Q96" s="205">
        <v>-0.0236735</v>
      </c>
      <c r="R96" s="205">
        <v>-0.2277551</v>
      </c>
      <c r="S96" s="205">
        <v>0.44244898</v>
      </c>
      <c r="T96" s="205">
        <v>-0.515102</v>
      </c>
      <c r="U96" s="205">
        <v>-1.2963265</v>
      </c>
      <c r="V96" s="205">
        <v>-1.4506122</v>
      </c>
      <c r="W96" s="205">
        <v>0.03755102</v>
      </c>
      <c r="X96" s="205">
        <v>-0.8726531</v>
      </c>
      <c r="Y96" s="205">
        <v>-0.2653061</v>
      </c>
      <c r="Z96" s="205">
        <v>-0.5183673</v>
      </c>
      <c r="AA96" s="205">
        <v>-0.1510204</v>
      </c>
      <c r="AB96" s="205">
        <v>-1.5869388</v>
      </c>
      <c r="AC96" s="205">
        <v>0.48571429</v>
      </c>
      <c r="AD96" s="205">
        <v>0.0244898</v>
      </c>
      <c r="AE96" s="205">
        <v>-0.2522449</v>
      </c>
      <c r="AF96" s="205">
        <v>0.10693878</v>
      </c>
      <c r="AG96" s="205">
        <v>0.46857143</v>
      </c>
      <c r="AH96" s="205">
        <v>-0.3314286</v>
      </c>
      <c r="AI96" s="205">
        <v>8.1633E-4</v>
      </c>
      <c r="AJ96" s="205">
        <v>-1.9561633</v>
      </c>
      <c r="AK96" s="205">
        <v>-0.6791837</v>
      </c>
      <c r="AL96" s="205">
        <v>0.19755102</v>
      </c>
      <c r="AM96" s="205">
        <v>0.64897959</v>
      </c>
      <c r="AN96" s="205">
        <v>-0.5706122</v>
      </c>
      <c r="AO96" s="205">
        <v>-1.1142857</v>
      </c>
      <c r="AP96" s="205">
        <v>-1.2081633</v>
      </c>
      <c r="AQ96" s="205">
        <v>1.07183673</v>
      </c>
      <c r="AR96" s="205">
        <v>-1.0897959</v>
      </c>
      <c r="AS96" s="205">
        <v>0.39020408</v>
      </c>
      <c r="AT96" s="205">
        <v>0.66612245</v>
      </c>
      <c r="AU96" s="205">
        <v>-1.5061224</v>
      </c>
      <c r="AV96" s="205">
        <v>1.67102041</v>
      </c>
      <c r="AW96" s="205">
        <v>0.1355102</v>
      </c>
      <c r="AX96" s="205">
        <v>-1.2261224</v>
      </c>
      <c r="AY96" s="205">
        <v>0.7877551</v>
      </c>
      <c r="AZ96" s="205">
        <v>0.88163265</v>
      </c>
      <c r="BA96" s="205">
        <v>0.16326531</v>
      </c>
      <c r="BB96" s="205">
        <v>0.42530612</v>
      </c>
      <c r="BC96" s="205">
        <v>2.23102041</v>
      </c>
      <c r="BD96" s="205">
        <v>-0.1706122</v>
      </c>
      <c r="BE96" s="205">
        <v>-1.5004082</v>
      </c>
      <c r="BF96" s="205">
        <v>0.10367347</v>
      </c>
      <c r="BG96" s="205">
        <v>1.45632653</v>
      </c>
      <c r="BH96" s="205">
        <v>0.18204082</v>
      </c>
      <c r="BI96" s="205">
        <v>-0.1004082</v>
      </c>
      <c r="BJ96" s="205">
        <v>1.59428571</v>
      </c>
      <c r="BK96" s="205">
        <v>0.92734694</v>
      </c>
      <c r="BL96" s="205">
        <v>-1.7006531</v>
      </c>
      <c r="BM96" s="205">
        <v>-0.0742857</v>
      </c>
      <c r="BN96" s="205">
        <v>0.39918367</v>
      </c>
      <c r="BO96" s="205">
        <v>1.67918367</v>
      </c>
      <c r="BP96" s="205">
        <v>-1.0995918</v>
      </c>
      <c r="BQ96" s="205">
        <v>0.50612245</v>
      </c>
      <c r="BR96" s="206"/>
      <c r="BS96" s="207">
        <f t="shared" si="6"/>
        <v>-0.03298477238</v>
      </c>
      <c r="BT96" s="207">
        <f t="shared" si="7"/>
        <v>0.7257119374</v>
      </c>
      <c r="BU96" s="206"/>
      <c r="BV96" s="207">
        <f>IFERROR(__xludf.DUMMYFUNCTION("AVERAGE(ARRAYFORMULA(XLOOKUP(FILTER(INDIRECT(""'""&amp;BV$1&amp;""'!$C$4:$C$66""),INDIRECT(""'""&amp;BV$1&amp;""'!$D$4:$D$66"")=BV$2),$G$4:$BQ$4,$G96:$BQ96)))"),-0.7530379114285715)</f>
        <v>-0.7530379114</v>
      </c>
      <c r="BW96" s="207" t="str">
        <f>IFERROR(__xludf.DUMMYFUNCTION("IF(OR(BV96&gt;$BS96+$BT96*$BT$2,BV96&lt;$BS96-$BT96*$BT$2),AVEDEV(ARRAYFORMULA(XLOOKUP(FILTER(INDIRECT(""'""&amp;BV$1&amp;""'!$C$4:$C$66""),INDIRECT(""'""&amp;BV$1&amp;""'!$D$4:$D$66"")=BV$2),$G$4:$BQ$4,$G96:$BQ96))),"""")"),"")</f>
        <v/>
      </c>
      <c r="BX96" s="208" t="str">
        <f t="shared" si="8"/>
        <v/>
      </c>
      <c r="BY96" s="207">
        <f>IFERROR(__xludf.DUMMYFUNCTION("AVERAGE(ARRAYFORMULA(XLOOKUP(FILTER(INDIRECT(""'""&amp;BY$1&amp;""'!$C$4:$C$66""),INDIRECT(""'""&amp;BY$1&amp;""'!$D$4:$D$66"")=BY$2),$G$4:$BQ$4,$G96:$BQ96)))"),0.08308455023809526)</f>
        <v>0.08308455024</v>
      </c>
      <c r="BZ96" s="207" t="str">
        <f>IFERROR(__xludf.DUMMYFUNCTION("IF(OR(BY96&gt;$BS96+$BT96*$BT$2,BY96&lt;$BS96-$BT96*$BT$2),AVEDEV(ARRAYFORMULA(XLOOKUP(FILTER(INDIRECT(""'""&amp;BY$1&amp;""'!$C$4:$C$66""),INDIRECT(""'""&amp;BY$1&amp;""'!$D$4:$D$66"")=BY$2),$G$4:$BQ$4,$G96:$BQ96))),"""")"),"")</f>
        <v/>
      </c>
      <c r="CA96" s="208" t="str">
        <f t="shared" si="9"/>
        <v/>
      </c>
      <c r="CB96" s="207">
        <f>IFERROR(__xludf.DUMMYFUNCTION("AVERAGE(ARRAYFORMULA(XLOOKUP(FILTER(INDIRECT(""'""&amp;CB$1&amp;""'!$C$4:$C$66""),INDIRECT(""'""&amp;CB$1&amp;""'!$D$4:$D$66"")=CB$2),$G$4:$BQ$4,$G96:$BQ96)))"),-0.12304266727272725)</f>
        <v>-0.1230426673</v>
      </c>
      <c r="CC96" s="207" t="str">
        <f>IFERROR(__xludf.DUMMYFUNCTION("IF(OR(CB96&gt;$BS96+$BT96*$BT$2,CB96&lt;$BS96-$BT96*$BT$2),AVEDEV(ARRAYFORMULA(XLOOKUP(FILTER(INDIRECT(""'""&amp;CB$1&amp;""'!$C$4:$C$66""),INDIRECT(""'""&amp;CB$1&amp;""'!$D$4:$D$66"")=CB$2),$G$4:$BQ$4,$G96:$BQ96))),"""")"),"")</f>
        <v/>
      </c>
      <c r="CD96" s="208" t="str">
        <f t="shared" si="10"/>
        <v/>
      </c>
      <c r="CE96" s="209" t="s">
        <v>444</v>
      </c>
      <c r="CF96" s="207">
        <f>IFERROR(__xludf.DUMMYFUNCTION("AVERAGE(ARRAYFORMULA(XLOOKUP(FILTER(INDIRECT(""'""&amp;CF$1&amp;""'!$C$4:$C$66""),INDIRECT(""'""&amp;CF$1&amp;""'!$D$4:$D$66"")=CF$2),$G$4:$BQ$4,$G96:$BQ96)))"),-0.15719387375)</f>
        <v>-0.1571938738</v>
      </c>
      <c r="CG96" s="207" t="str">
        <f>IFERROR(__xludf.DUMMYFUNCTION("IF(OR(CF96&gt;$BS96+$BT96*$BT$2,CF96&lt;$BS96-$BT96*$BT$2),AVEDEV(ARRAYFORMULA(XLOOKUP(FILTER(INDIRECT(""'""&amp;CF$1&amp;""'!$C$4:$C$66""),INDIRECT(""'""&amp;CF$1&amp;""'!$D$4:$D$66"")=CF$2),$G$4:$BQ$4,$G96:$BQ96))),"""")"),"")</f>
        <v/>
      </c>
      <c r="CH96" s="208" t="str">
        <f t="shared" si="11"/>
        <v/>
      </c>
      <c r="CI96" s="207">
        <f>IFERROR(__xludf.DUMMYFUNCTION("AVERAGE(ARRAYFORMULA(XLOOKUP(FILTER(INDIRECT(""'""&amp;CI$1&amp;""'!$C$4:$C$66""),INDIRECT(""'""&amp;CI$1&amp;""'!$D$4:$D$66"")=CI$2),$G$4:$BQ$4,$G96:$BQ96)))"),0.08570638322580641)</f>
        <v>0.08570638323</v>
      </c>
      <c r="CJ96" s="207" t="str">
        <f>IFERROR(__xludf.DUMMYFUNCTION("IF(OR(CI96&gt;$BS96+$BT96*$BT$2,CI96&lt;$BS96-$BT96*$BT$2),AVEDEV(ARRAYFORMULA(XLOOKUP(FILTER(INDIRECT(""'""&amp;CI$1&amp;""'!$C$4:$C$66""),INDIRECT(""'""&amp;CI$1&amp;""'!$D$4:$D$66"")=CI$2),$G$4:$BQ$4,$G96:$BQ96))),"""")"),"")</f>
        <v/>
      </c>
      <c r="CK96" s="208" t="str">
        <f t="shared" si="12"/>
        <v/>
      </c>
      <c r="CL96" s="207">
        <f>IFERROR(__xludf.DUMMYFUNCTION("AVERAGE(ARRAYFORMULA(XLOOKUP(FILTER(INDIRECT(""'""&amp;CL$1&amp;""'!$C$4:$C$66""),INDIRECT(""'""&amp;CL$1&amp;""'!$D$4:$D$66"")=CL$2),$G$4:$BQ$4,$G96:$BQ96)))"),0.22432654400000002)</f>
        <v>0.224326544</v>
      </c>
      <c r="CM96" s="207" t="str">
        <f>IFERROR(__xludf.DUMMYFUNCTION("IF(OR(CL96&gt;$BS96+$BT96*$BT$2,CL96&lt;$BS96-$BT96*$BT$2),AVEDEV(ARRAYFORMULA(XLOOKUP(FILTER(INDIRECT(""'""&amp;CL$1&amp;""'!$C$4:$C$66""),INDIRECT(""'""&amp;CL$1&amp;""'!$D$4:$D$66"")=CL$2),$G$4:$BQ$4,$G96:$BQ96))),"""")"),"")</f>
        <v/>
      </c>
      <c r="CN96" s="208" t="str">
        <f t="shared" si="13"/>
        <v/>
      </c>
      <c r="CO96" s="209" t="s">
        <v>444</v>
      </c>
      <c r="CP96" s="210">
        <f>IFERROR(__xludf.DUMMYFUNCTION("AVERAGE(ARRAYFORMULA(XLOOKUP(FILTER(INDIRECT(""'""&amp;CP$1&amp;""'!$C$4:$C$66""),INDIRECT(""'""&amp;CP$1&amp;""'!$D$4:$D$66"")=CP$2),$G$4:$BQ$4,$G96:$BQ96)))"),-0.23902041133333335)</f>
        <v>-0.2390204113</v>
      </c>
      <c r="CQ96" s="207" t="str">
        <f>IFERROR(__xludf.DUMMYFUNCTION("IF(OR(CP96&gt;$BS96+$BT96*$BT$2,CP96&lt;$BS96-$BT96*$BT$2),AVEDEV(ARRAYFORMULA(XLOOKUP(FILTER(INDIRECT(""'""&amp;CP$1&amp;""'!$C$4:$C$66""),INDIRECT(""'""&amp;CP$1&amp;""'!$D$4:$D$66"")=CP$2),$G$4:$BQ$4,$G96:$BQ96))),"""")"),"")</f>
        <v/>
      </c>
      <c r="CR96" s="208" t="str">
        <f t="shared" si="14"/>
        <v/>
      </c>
      <c r="CS96" s="210">
        <f>IFERROR(__xludf.DUMMYFUNCTION("AVERAGE(ARRAYFORMULA(XLOOKUP(FILTER(INDIRECT(""'""&amp;CS$1&amp;""'!$C$4:$C$66""),INDIRECT(""'""&amp;CS$1&amp;""'!$D$4:$D$66"")=CS$2),$G$4:$BQ$4,$G96:$BQ96)))"),0.02638828051282052)</f>
        <v>0.02638828051</v>
      </c>
      <c r="CT96" s="207" t="str">
        <f>IFERROR(__xludf.DUMMYFUNCTION("IF(OR(CS96&gt;$BS96+$BT96*$BT$2,CS96&lt;$BS96-$BT96*$BT$2),AVEDEV(ARRAYFORMULA(XLOOKUP(FILTER(INDIRECT(""'""&amp;CS$1&amp;""'!$C$4:$C$66""),INDIRECT(""'""&amp;CS$1&amp;""'!$D$4:$D$66"")=CS$2),$G$4:$BQ$4,$G96:$BQ96))),"""")"),"")</f>
        <v/>
      </c>
      <c r="CU96" s="208" t="str">
        <f t="shared" si="15"/>
        <v/>
      </c>
      <c r="CV96" s="211">
        <f>IFERROR(__xludf.DUMMYFUNCTION("AVERAGE(ARRAYFORMULA(XLOOKUP(FILTER(INDIRECT(""'""&amp;CV$1&amp;""'!$C$4:$C$66""),INDIRECT(""'""&amp;CV$1&amp;""'!$D$4:$D$66"")=CV$2),$G$4:$BQ$4,$G96:$BQ96)))"),0.22432654400000002)</f>
        <v>0.224326544</v>
      </c>
      <c r="CW96" s="207" t="str">
        <f>IFERROR(__xludf.DUMMYFUNCTION("IF(OR(CV96&gt;$BS96+$BT96*$BT$2,CV96&lt;$BS96-$BT96*$BT$2),AVEDEV(ARRAYFORMULA(XLOOKUP(FILTER(INDIRECT(""'""&amp;CV$1&amp;""'!$C$4:$C$66""),INDIRECT(""'""&amp;CV$1&amp;""'!$D$4:$D$66"")=CV$2),$G$4:$BQ$4,$G96:$BQ96))),"""")"),"")</f>
        <v/>
      </c>
      <c r="CX96" s="208" t="str">
        <f t="shared" si="16"/>
        <v/>
      </c>
      <c r="CY96" s="209" t="s">
        <v>444</v>
      </c>
      <c r="CZ96" s="210">
        <f>IFERROR(__xludf.DUMMYFUNCTION("AVERAGE(ARRAYFORMULA(XLOOKUP(FILTER(INDIRECT(""'""&amp;CZ$1&amp;""'!$C$4:$C$66""),INDIRECT(""'""&amp;CZ$1&amp;""'!$D$4:$D$66"")=CZ$2),$G$4:$BQ$4,$G96:$BQ96)))"),-0.09451894785714289)</f>
        <v>-0.09451894786</v>
      </c>
      <c r="DA96" s="207" t="str">
        <f>IFERROR(__xludf.DUMMYFUNCTION("IF(OR(CZ96&gt;$BS96+$BT96*$BT$2,CZ96&lt;$BS96-$BT96*$BT$2),AVEDEV(ARRAYFORMULA(XLOOKUP(FILTER(INDIRECT(""'""&amp;CZ$1&amp;""'!$C$4:$C$66""),INDIRECT(""'""&amp;CZ$1&amp;""'!$D$4:$D$66"")=CZ$2),$G$4:$BQ$4,$G96:$BQ96))),"""")"),"")</f>
        <v/>
      </c>
      <c r="DB96" s="208" t="str">
        <f t="shared" si="17"/>
        <v/>
      </c>
      <c r="DC96" s="210">
        <f>IFERROR(__xludf.DUMMYFUNCTION("AVERAGE(ARRAYFORMULA(XLOOKUP(FILTER(INDIRECT(""'""&amp;DC$1&amp;""'!$C$4:$C$66""),INDIRECT(""'""&amp;DC$1&amp;""'!$D$4:$D$66"")=DC$2),$G$4:$BQ$4,$G96:$BQ96)))"),-0.2400906988888889)</f>
        <v>-0.2400906989</v>
      </c>
      <c r="DD96" s="207" t="str">
        <f>IFERROR(__xludf.DUMMYFUNCTION("IF(OR(DC96&gt;$BS96+$BT96*$BT$2,DC96&lt;$BS96-$BT96*$BT$2),AVEDEV(ARRAYFORMULA(XLOOKUP(FILTER(INDIRECT(""'""&amp;DC$1&amp;""'!$C$4:$C$66""),INDIRECT(""'""&amp;DC$1&amp;""'!$D$4:$D$66"")=DC$2),$G$4:$BQ$4,$G96:$BQ96))),"""")"),"")</f>
        <v/>
      </c>
      <c r="DE96" s="208" t="str">
        <f t="shared" si="18"/>
        <v/>
      </c>
      <c r="DF96" s="210">
        <f>IFERROR(__xludf.DUMMYFUNCTION("AVERAGE(ARRAYFORMULA(XLOOKUP(FILTER(INDIRECT(""'""&amp;DF$1&amp;""'!$C$4:$C$66""),INDIRECT(""'""&amp;DF$1&amp;""'!$D$4:$D$66"")=DF$2),$G$4:$BQ$4,$G96:$BQ96)))"),0.5329127972727273)</f>
        <v>0.5329127973</v>
      </c>
      <c r="DG96" s="207" t="str">
        <f>IFERROR(__xludf.DUMMYFUNCTION("IF(OR(DF96&gt;$BS96+$BT96*$BT$2,DF96&lt;$BS96-$BT96*$BT$2),AVEDEV(ARRAYFORMULA(XLOOKUP(FILTER(INDIRECT(""'""&amp;DF$1&amp;""'!$C$4:$C$66""),INDIRECT(""'""&amp;DF$1&amp;""'!$D$4:$D$66"")=DF$2),$G$4:$BQ$4,$G96:$BQ96))),"""")"),"")</f>
        <v/>
      </c>
      <c r="DH96" s="208" t="str">
        <f t="shared" si="19"/>
        <v/>
      </c>
      <c r="DI96" s="210">
        <f>IFERROR(__xludf.DUMMYFUNCTION("AVERAGE(ARRAYFORMULA(XLOOKUP(FILTER(INDIRECT(""'""&amp;DI$1&amp;""'!$C$4:$C$66""),INDIRECT(""'""&amp;DI$1&amp;""'!$D$4:$D$66"")=DI$2),$G$4:$BQ$4,$G96:$BQ96)))"),0.10326531)</f>
        <v>0.10326531</v>
      </c>
      <c r="DJ96" s="207" t="str">
        <f>IFERROR(__xludf.DUMMYFUNCTION("IF(OR(DI96&gt;$BS96+$BT96*$BT$2,DI96&lt;$BS96-$BT96*$BT$2),AVEDEV(ARRAYFORMULA(XLOOKUP(FILTER(INDIRECT(""'""&amp;DI$1&amp;""'!$C$4:$C$66""),INDIRECT(""'""&amp;DI$1&amp;""'!$D$4:$D$66"")=DI$2),$G$4:$BQ$4,$G96:$BQ96))),"""")"),"")</f>
        <v/>
      </c>
      <c r="DK96" s="208" t="str">
        <f t="shared" si="20"/>
        <v/>
      </c>
      <c r="DL96" s="211">
        <f>IFERROR(__xludf.DUMMYFUNCTION("AVERAGE(ARRAYFORMULA(XLOOKUP(FILTER(INDIRECT(""'""&amp;DL$1&amp;""'!$C$4:$C$66""),INDIRECT(""'""&amp;DL$1&amp;""'!$D$4:$D$66"")=DL$2),$G$4:$BQ$4,$G96:$BQ96)))"),-0.06444897285714282)</f>
        <v>-0.06444897286</v>
      </c>
      <c r="DM96" s="207" t="str">
        <f>IFERROR(__xludf.DUMMYFUNCTION("IF(OR(DL96&gt;$BS96+$BT96*$BT$2,DL96&lt;$BS96-$BT96*$BT$2),AVEDEV(ARRAYFORMULA(XLOOKUP(FILTER(INDIRECT(""'""&amp;DL$1&amp;""'!$C$4:$C$66""),INDIRECT(""'""&amp;DL$1&amp;""'!$D$4:$D$66"")=DL$2),$G$4:$BQ$4,$G96:$BQ96))),"""")"),"")</f>
        <v/>
      </c>
      <c r="DN96" s="208" t="str">
        <f t="shared" si="21"/>
        <v/>
      </c>
      <c r="DO96" s="209" t="s">
        <v>444</v>
      </c>
      <c r="DP96" s="210">
        <f>IFERROR(__xludf.DUMMYFUNCTION("AVERAGE(ARRAYFORMULA(XLOOKUP(FILTER(INDIRECT(""'""&amp;DP$1&amp;""'!$C$4:$C$66""),INDIRECT(""'""&amp;DP$1&amp;""'!$D$4:$D$66"")=DP$2),$G$4:$BQ$4,$G96:$BQ96)))"),-0.030448977666666675)</f>
        <v>-0.03044897767</v>
      </c>
      <c r="DQ96" s="207" t="str">
        <f>IFERROR(__xludf.DUMMYFUNCTION("IF(OR(DP96&gt;$BS96+$BT96*$BT$2,DP96&lt;$BS96-$BT96*$BT$2),AVEDEV(ARRAYFORMULA(XLOOKUP(FILTER(INDIRECT(""'""&amp;DP$1&amp;""'!$C$4:$C$66""),INDIRECT(""'""&amp;DP$1&amp;""'!$D$4:$D$66"")=DP$2),$G$4:$BQ$4,$G96:$BQ96))),"""")"),"")</f>
        <v/>
      </c>
      <c r="DR96" s="208" t="str">
        <f t="shared" si="22"/>
        <v/>
      </c>
      <c r="DS96" s="210">
        <f>IFERROR(__xludf.DUMMYFUNCTION("AVERAGE(ARRAYFORMULA(XLOOKUP(FILTER(INDIRECT(""'""&amp;DS$1&amp;""'!$C$4:$C$66""),INDIRECT(""'""&amp;DS$1&amp;""'!$D$4:$D$66"")=DS$2),$G$4:$BQ$4,$G96:$BQ96)))"),-0.04507936222222221)</f>
        <v>-0.04507936222</v>
      </c>
      <c r="DT96" s="207" t="str">
        <f>IFERROR(__xludf.DUMMYFUNCTION("IF(OR(DS96&gt;$BS96+$BT96*$BT$2,DS96&lt;$BS96-$BT96*$BT$2),AVEDEV(ARRAYFORMULA(XLOOKUP(FILTER(INDIRECT(""'""&amp;DS$1&amp;""'!$C$4:$C$66""),INDIRECT(""'""&amp;DS$1&amp;""'!$D$4:$D$66"")=DS$2),$G$4:$BQ$4,$G96:$BQ96))),"""")"),"")</f>
        <v/>
      </c>
      <c r="DU96" s="208" t="str">
        <f t="shared" si="23"/>
        <v/>
      </c>
      <c r="DV96" s="210">
        <f>IFERROR(__xludf.DUMMYFUNCTION("AVERAGE(ARRAYFORMULA(XLOOKUP(FILTER(INDIRECT(""'""&amp;DV$1&amp;""'!$C$4:$C$66""),INDIRECT(""'""&amp;DV$1&amp;""'!$D$4:$D$66"")=DV$2),$G$4:$BQ$4,$G96:$BQ96)))"),-0.042479591250000004)</f>
        <v>-0.04247959125</v>
      </c>
      <c r="DW96" s="207" t="str">
        <f>IFERROR(__xludf.DUMMYFUNCTION("IF(OR(DV96&gt;$BS96+$BT96*$BT$2,DV96&lt;$BS96-$BT96*$BT$2),AVEDEV(ARRAYFORMULA(XLOOKUP(FILTER(INDIRECT(""'""&amp;DV$1&amp;""'!$C$4:$C$66""),INDIRECT(""'""&amp;DV$1&amp;""'!$D$4:$D$66"")=DV$2),$G$4:$BQ$4,$G96:$BQ96))),"""")"),"")</f>
        <v/>
      </c>
      <c r="DX96" s="208" t="str">
        <f t="shared" si="24"/>
        <v/>
      </c>
      <c r="DY96" s="210">
        <f>IFERROR(__xludf.DUMMYFUNCTION("AVERAGE(ARRAYFORMULA(XLOOKUP(FILTER(INDIRECT(""'""&amp;DY$1&amp;""'!$C$4:$C$66""),INDIRECT(""'""&amp;DY$1&amp;""'!$D$4:$D$66"")=DY$2),$G$4:$BQ$4,$G96:$BQ96)))"),0.3668027233333333)</f>
        <v>0.3668027233</v>
      </c>
      <c r="DZ96" s="207" t="str">
        <f>IFERROR(__xludf.DUMMYFUNCTION("IF(OR(DY96&gt;$BS96+$BT96*$BT$2,DY96&lt;$BS96-$BT96*$BT$2),AVEDEV(ARRAYFORMULA(XLOOKUP(FILTER(INDIRECT(""'""&amp;DY$1&amp;""'!$C$4:$C$66""),INDIRECT(""'""&amp;DY$1&amp;""'!$D$4:$D$66"")=DY$2),$G$4:$BQ$4,$G96:$BQ96))),"""")"),"")</f>
        <v/>
      </c>
      <c r="EA96" s="208" t="str">
        <f t="shared" si="25"/>
        <v/>
      </c>
      <c r="EB96" s="191"/>
    </row>
    <row r="97" outlineLevel="1">
      <c r="A97" s="2"/>
      <c r="B97" s="204">
        <v>93.0</v>
      </c>
      <c r="C97" s="204" t="s">
        <v>507</v>
      </c>
      <c r="D97" s="204" t="s">
        <v>538</v>
      </c>
      <c r="E97" s="205" t="b">
        <f>VLOOKUP(D97,'Feature Set List'!A93:C246,2,0)</f>
        <v>1</v>
      </c>
      <c r="F97" s="205" t="b">
        <f>VLOOKUP(D97,'Feature Set List'!A93:C246,3,0)</f>
        <v>1</v>
      </c>
      <c r="G97" s="205">
        <v>1.20652711</v>
      </c>
      <c r="H97" s="205">
        <v>0.62963573</v>
      </c>
      <c r="I97" s="205">
        <v>0.99115433</v>
      </c>
      <c r="J97" s="205">
        <v>0.49228064</v>
      </c>
      <c r="K97" s="205">
        <v>0.51755398</v>
      </c>
      <c r="L97" s="205">
        <v>-0.2318554</v>
      </c>
      <c r="M97" s="205">
        <v>-0.1660348</v>
      </c>
      <c r="N97" s="205">
        <v>-0.3265755</v>
      </c>
      <c r="O97" s="205">
        <v>1.3142135</v>
      </c>
      <c r="P97" s="205">
        <v>0.06955662</v>
      </c>
      <c r="Q97" s="205">
        <v>-0.2965771</v>
      </c>
      <c r="R97" s="205">
        <v>-0.0883468</v>
      </c>
      <c r="S97" s="205">
        <v>0.23218504</v>
      </c>
      <c r="T97" s="205">
        <v>-0.1710895</v>
      </c>
      <c r="U97" s="205">
        <v>-0.7472117</v>
      </c>
      <c r="V97" s="205">
        <v>-0.0861491</v>
      </c>
      <c r="W97" s="205">
        <v>-0.1949343</v>
      </c>
      <c r="X97" s="205">
        <v>-0.6833581</v>
      </c>
      <c r="Y97" s="205">
        <v>0.73951981</v>
      </c>
      <c r="Z97" s="205">
        <v>-0.6068897</v>
      </c>
      <c r="AA97" s="205">
        <v>-0.6099665</v>
      </c>
      <c r="AB97" s="205">
        <v>-0.6485138</v>
      </c>
      <c r="AC97" s="205">
        <v>0.30020329</v>
      </c>
      <c r="AD97" s="205">
        <v>-0.2446019</v>
      </c>
      <c r="AE97" s="205">
        <v>-0.0364815</v>
      </c>
      <c r="AF97" s="205">
        <v>0.59227515</v>
      </c>
      <c r="AG97" s="205">
        <v>-0.2317455</v>
      </c>
      <c r="AH97" s="205">
        <v>-0.250206</v>
      </c>
      <c r="AI97" s="205">
        <v>0.90544476</v>
      </c>
      <c r="AJ97" s="205">
        <v>-0.6608098</v>
      </c>
      <c r="AK97" s="205">
        <v>-0.1330696</v>
      </c>
      <c r="AL97" s="205">
        <v>0.03087742</v>
      </c>
      <c r="AM97" s="205">
        <v>0.26185374</v>
      </c>
      <c r="AN97" s="205">
        <v>0.35822208</v>
      </c>
      <c r="AO97" s="205">
        <v>-0.7472117</v>
      </c>
      <c r="AP97" s="205">
        <v>-0.6144717</v>
      </c>
      <c r="AQ97" s="205">
        <v>1.57793528</v>
      </c>
      <c r="AR97" s="205">
        <v>-0.0953794</v>
      </c>
      <c r="AS97" s="205">
        <v>0.70875227</v>
      </c>
      <c r="AT97" s="205">
        <v>0.68128125</v>
      </c>
      <c r="AU97" s="205">
        <v>-0.7472117</v>
      </c>
      <c r="AV97" s="205">
        <v>1.07246855</v>
      </c>
      <c r="AW97" s="205">
        <v>-0.231306</v>
      </c>
      <c r="AX97" s="205">
        <v>-0.6395473</v>
      </c>
      <c r="AY97" s="205">
        <v>-0.718466</v>
      </c>
      <c r="AZ97" s="205">
        <v>0.30306027</v>
      </c>
      <c r="BA97" s="205">
        <v>1.11642217</v>
      </c>
      <c r="BB97" s="205">
        <v>-0.6794791</v>
      </c>
      <c r="BC97" s="205">
        <v>1.72298225</v>
      </c>
      <c r="BD97" s="205">
        <v>0.11988352</v>
      </c>
      <c r="BE97" s="205">
        <v>-0.6763145</v>
      </c>
      <c r="BF97" s="205">
        <v>1.30432394</v>
      </c>
      <c r="BG97" s="205">
        <v>0.69556618</v>
      </c>
      <c r="BH97" s="205">
        <v>0.03648151</v>
      </c>
      <c r="BI97" s="205">
        <v>-0.2081204</v>
      </c>
      <c r="BJ97" s="205">
        <v>1.79001154</v>
      </c>
      <c r="BK97" s="205">
        <v>1.36366134</v>
      </c>
      <c r="BL97" s="205">
        <v>-0.563046</v>
      </c>
      <c r="BM97" s="205">
        <v>-0.7015549</v>
      </c>
      <c r="BN97" s="205">
        <v>0.65051371</v>
      </c>
      <c r="BO97" s="205">
        <v>2.57348497</v>
      </c>
      <c r="BP97" s="205">
        <v>0.0</v>
      </c>
      <c r="BQ97" s="205">
        <v>0.7043569</v>
      </c>
      <c r="BR97" s="206"/>
      <c r="BS97" s="207">
        <f t="shared" si="6"/>
        <v>0.1908914849</v>
      </c>
      <c r="BT97" s="207">
        <f t="shared" si="7"/>
        <v>0.6238672917</v>
      </c>
      <c r="BU97" s="206"/>
      <c r="BV97" s="207">
        <f>IFERROR(__xludf.DUMMYFUNCTION("AVERAGE(ARRAYFORMULA(XLOOKUP(FILTER(INDIRECT(""'""&amp;BV$1&amp;""'!$C$4:$C$66""),INDIRECT(""'""&amp;BV$1&amp;""'!$D$4:$D$66"")=BV$2),$G$4:$BQ$4,$G97:$BQ97)))"),-0.6878695857142859)</f>
        <v>-0.6878695857</v>
      </c>
      <c r="BW97" s="207">
        <f>IFERROR(__xludf.DUMMYFUNCTION("IF(OR(BV97&gt;$BS97+$BT97*$BT$2,BV97&lt;$BS97-$BT97*$BT$2),AVEDEV(ARRAYFORMULA(XLOOKUP(FILTER(INDIRECT(""'""&amp;BV$1&amp;""'!$C$4:$C$66""),INDIRECT(""'""&amp;BV$1&amp;""'!$D$4:$D$66"")=BV$2),$G$4:$BQ$4,$G97:$BQ97))),"""")"),0.042651612244897996)</f>
        <v>0.04265161224</v>
      </c>
      <c r="BX97" s="208">
        <f t="shared" si="8"/>
        <v>-0.254893779</v>
      </c>
      <c r="BY97" s="207">
        <f>IFERROR(__xludf.DUMMYFUNCTION("AVERAGE(ARRAYFORMULA(XLOOKUP(FILTER(INDIRECT(""'""&amp;BY$1&amp;""'!$C$4:$C$66""),INDIRECT(""'""&amp;BY$1&amp;""'!$D$4:$D$66"")=BY$2),$G$4:$BQ$4,$G97:$BQ97)))"),0.33132219690476183)</f>
        <v>0.3313221969</v>
      </c>
      <c r="BZ97" s="207" t="str">
        <f>IFERROR(__xludf.DUMMYFUNCTION("IF(OR(BY97&gt;$BS97+$BT97*$BT$2,BY97&lt;$BS97-$BT97*$BT$2),AVEDEV(ARRAYFORMULA(XLOOKUP(FILTER(INDIRECT(""'""&amp;BY$1&amp;""'!$C$4:$C$66""),INDIRECT(""'""&amp;BY$1&amp;""'!$D$4:$D$66"")=BY$2),$G$4:$BQ$4,$G97:$BQ97))),"""")"),"")</f>
        <v/>
      </c>
      <c r="CA97" s="208" t="str">
        <f t="shared" si="9"/>
        <v/>
      </c>
      <c r="CB97" s="207">
        <f>IFERROR(__xludf.DUMMYFUNCTION("AVERAGE(ARRAYFORMULA(XLOOKUP(FILTER(INDIRECT(""'""&amp;CB$1&amp;""'!$C$4:$C$66""),INDIRECT(""'""&amp;CB$1&amp;""'!$D$4:$D$66"")=CB$2),$G$4:$BQ$4,$G97:$BQ97)))"),0.23289929363636366)</f>
        <v>0.2328992936</v>
      </c>
      <c r="CC97" s="207" t="str">
        <f>IFERROR(__xludf.DUMMYFUNCTION("IF(OR(CB97&gt;$BS97+$BT97*$BT$2,CB97&lt;$BS97-$BT97*$BT$2),AVEDEV(ARRAYFORMULA(XLOOKUP(FILTER(INDIRECT(""'""&amp;CB$1&amp;""'!$C$4:$C$66""),INDIRECT(""'""&amp;CB$1&amp;""'!$D$4:$D$66"")=CB$2),$G$4:$BQ$4,$G97:$BQ97))),"""")"),"")</f>
        <v/>
      </c>
      <c r="CD97" s="208" t="str">
        <f t="shared" si="10"/>
        <v/>
      </c>
      <c r="CE97" s="209" t="s">
        <v>444</v>
      </c>
      <c r="CF97" s="207">
        <f>IFERROR(__xludf.DUMMYFUNCTION("AVERAGE(ARRAYFORMULA(XLOOKUP(FILTER(INDIRECT(""'""&amp;CF$1&amp;""'!$C$4:$C$66""),INDIRECT(""'""&amp;CF$1&amp;""'!$D$4:$D$66"")=CF$2),$G$4:$BQ$4,$G97:$BQ97)))"),0.1888728675)</f>
        <v>0.1888728675</v>
      </c>
      <c r="CG97" s="207" t="str">
        <f>IFERROR(__xludf.DUMMYFUNCTION("IF(OR(CF97&gt;$BS97+$BT97*$BT$2,CF97&lt;$BS97-$BT97*$BT$2),AVEDEV(ARRAYFORMULA(XLOOKUP(FILTER(INDIRECT(""'""&amp;CF$1&amp;""'!$C$4:$C$66""),INDIRECT(""'""&amp;CF$1&amp;""'!$D$4:$D$66"")=CF$2),$G$4:$BQ$4,$G97:$BQ97))),"""")"),"")</f>
        <v/>
      </c>
      <c r="CH97" s="208" t="str">
        <f t="shared" si="11"/>
        <v/>
      </c>
      <c r="CI97" s="207">
        <f>IFERROR(__xludf.DUMMYFUNCTION("AVERAGE(ARRAYFORMULA(XLOOKUP(FILTER(INDIRECT(""'""&amp;CI$1&amp;""'!$C$4:$C$66""),INDIRECT(""'""&amp;CI$1&amp;""'!$D$4:$D$66"")=CI$2),$G$4:$BQ$4,$G97:$BQ97)))"),0.1893951322580645)</f>
        <v>0.1893951323</v>
      </c>
      <c r="CJ97" s="207" t="str">
        <f>IFERROR(__xludf.DUMMYFUNCTION("IF(OR(CI97&gt;$BS97+$BT97*$BT$2,CI97&lt;$BS97-$BT97*$BT$2),AVEDEV(ARRAYFORMULA(XLOOKUP(FILTER(INDIRECT(""'""&amp;CI$1&amp;""'!$C$4:$C$66""),INDIRECT(""'""&amp;CI$1&amp;""'!$D$4:$D$66"")=CI$2),$G$4:$BQ$4,$G97:$BQ97))),"""")"),"")</f>
        <v/>
      </c>
      <c r="CK97" s="208" t="str">
        <f t="shared" si="12"/>
        <v/>
      </c>
      <c r="CL97" s="207">
        <f>IFERROR(__xludf.DUMMYFUNCTION("AVERAGE(ARRAYFORMULA(XLOOKUP(FILTER(INDIRECT(""'""&amp;CL$1&amp;""'!$C$4:$C$66""),INDIRECT(""'""&amp;CL$1&amp;""'!$D$4:$D$66"")=CL$2),$G$4:$BQ$4,$G97:$BQ97)))"),0.483841548)</f>
        <v>0.483841548</v>
      </c>
      <c r="CM97" s="207" t="str">
        <f>IFERROR(__xludf.DUMMYFUNCTION("IF(OR(CL97&gt;$BS97+$BT97*$BT$2,CL97&lt;$BS97-$BT97*$BT$2),AVEDEV(ARRAYFORMULA(XLOOKUP(FILTER(INDIRECT(""'""&amp;CL$1&amp;""'!$C$4:$C$66""),INDIRECT(""'""&amp;CL$1&amp;""'!$D$4:$D$66"")=CL$2),$G$4:$BQ$4,$G97:$BQ97))),"""")"),"")</f>
        <v/>
      </c>
      <c r="CN97" s="208" t="str">
        <f t="shared" si="13"/>
        <v/>
      </c>
      <c r="CO97" s="209" t="s">
        <v>444</v>
      </c>
      <c r="CP97" s="210">
        <f>IFERROR(__xludf.DUMMYFUNCTION("AVERAGE(ARRAYFORMULA(XLOOKUP(FILTER(INDIRECT(""'""&amp;CP$1&amp;""'!$C$4:$C$66""),INDIRECT(""'""&amp;CP$1&amp;""'!$D$4:$D$66"")=CP$2),$G$4:$BQ$4,$G97:$BQ97)))"),0.009423655333333336)</f>
        <v>0.009423655333</v>
      </c>
      <c r="CQ97" s="207" t="str">
        <f>IFERROR(__xludf.DUMMYFUNCTION("IF(OR(CP97&gt;$BS97+$BT97*$BT$2,CP97&lt;$BS97-$BT97*$BT$2),AVEDEV(ARRAYFORMULA(XLOOKUP(FILTER(INDIRECT(""'""&amp;CP$1&amp;""'!$C$4:$C$66""),INDIRECT(""'""&amp;CP$1&amp;""'!$D$4:$D$66"")=CP$2),$G$4:$BQ$4,$G97:$BQ97))),"""")"),"")</f>
        <v/>
      </c>
      <c r="CR97" s="208" t="str">
        <f t="shared" si="14"/>
        <v/>
      </c>
      <c r="CS97" s="210">
        <f>IFERROR(__xludf.DUMMYFUNCTION("AVERAGE(ARRAYFORMULA(XLOOKUP(FILTER(INDIRECT(""'""&amp;CS$1&amp;""'!$C$4:$C$66""),INDIRECT(""'""&amp;CS$1&amp;""'!$D$4:$D$66"")=CS$2),$G$4:$BQ$4,$G97:$BQ97)))"),0.24781591871794864)</f>
        <v>0.2478159187</v>
      </c>
      <c r="CT97" s="207" t="str">
        <f>IFERROR(__xludf.DUMMYFUNCTION("IF(OR(CS97&gt;$BS97+$BT97*$BT$2,CS97&lt;$BS97-$BT97*$BT$2),AVEDEV(ARRAYFORMULA(XLOOKUP(FILTER(INDIRECT(""'""&amp;CS$1&amp;""'!$C$4:$C$66""),INDIRECT(""'""&amp;CS$1&amp;""'!$D$4:$D$66"")=CS$2),$G$4:$BQ$4,$G97:$BQ97))),"""")"),"")</f>
        <v/>
      </c>
      <c r="CU97" s="208" t="str">
        <f t="shared" si="15"/>
        <v/>
      </c>
      <c r="CV97" s="210">
        <f>IFERROR(__xludf.DUMMYFUNCTION("AVERAGE(ARRAYFORMULA(XLOOKUP(FILTER(INDIRECT(""'""&amp;CV$1&amp;""'!$C$4:$C$66""),INDIRECT(""'""&amp;CV$1&amp;""'!$D$4:$D$66"")=CV$2),$G$4:$BQ$4,$G97:$BQ97)))"),0.483841548)</f>
        <v>0.483841548</v>
      </c>
      <c r="CW97" s="207" t="str">
        <f>IFERROR(__xludf.DUMMYFUNCTION("IF(OR(CV97&gt;$BS97+$BT97*$BT$2,CV97&lt;$BS97-$BT97*$BT$2),AVEDEV(ARRAYFORMULA(XLOOKUP(FILTER(INDIRECT(""'""&amp;CV$1&amp;""'!$C$4:$C$66""),INDIRECT(""'""&amp;CV$1&amp;""'!$D$4:$D$66"")=CV$2),$G$4:$BQ$4,$G97:$BQ97))),"""")"),"")</f>
        <v/>
      </c>
      <c r="CX97" s="208" t="str">
        <f t="shared" si="16"/>
        <v/>
      </c>
      <c r="CY97" s="209" t="s">
        <v>444</v>
      </c>
      <c r="CZ97" s="210">
        <f>IFERROR(__xludf.DUMMYFUNCTION("AVERAGE(ARRAYFORMULA(XLOOKUP(FILTER(INDIRECT(""'""&amp;CZ$1&amp;""'!$C$4:$C$66""),INDIRECT(""'""&amp;CZ$1&amp;""'!$D$4:$D$66"")=CZ$2),$G$4:$BQ$4,$G97:$BQ97)))"),0.3317400150000001)</f>
        <v>0.331740015</v>
      </c>
      <c r="DA97" s="207" t="str">
        <f>IFERROR(__xludf.DUMMYFUNCTION("IF(OR(CZ97&gt;$BS97+$BT97*$BT$2,CZ97&lt;$BS97-$BT97*$BT$2),AVEDEV(ARRAYFORMULA(XLOOKUP(FILTER(INDIRECT(""'""&amp;CZ$1&amp;""'!$C$4:$C$66""),INDIRECT(""'""&amp;CZ$1&amp;""'!$D$4:$D$66"")=CZ$2),$G$4:$BQ$4,$G97:$BQ97))),"""")"),"")</f>
        <v/>
      </c>
      <c r="DB97" s="208" t="str">
        <f t="shared" si="17"/>
        <v/>
      </c>
      <c r="DC97" s="210">
        <f>IFERROR(__xludf.DUMMYFUNCTION("AVERAGE(ARRAYFORMULA(XLOOKUP(FILTER(INDIRECT(""'""&amp;DC$1&amp;""'!$C$4:$C$66""),INDIRECT(""'""&amp;DC$1&amp;""'!$D$4:$D$66"")=DC$2),$G$4:$BQ$4,$G97:$BQ97)))"),0.3289318733333333)</f>
        <v>0.3289318733</v>
      </c>
      <c r="DD97" s="207" t="str">
        <f>IFERROR(__xludf.DUMMYFUNCTION("IF(OR(DC97&gt;$BS97+$BT97*$BT$2,DC97&lt;$BS97-$BT97*$BT$2),AVEDEV(ARRAYFORMULA(XLOOKUP(FILTER(INDIRECT(""'""&amp;DC$1&amp;""'!$C$4:$C$66""),INDIRECT(""'""&amp;DC$1&amp;""'!$D$4:$D$66"")=DC$2),$G$4:$BQ$4,$G97:$BQ97))),"""")"),"")</f>
        <v/>
      </c>
      <c r="DE97" s="208" t="str">
        <f t="shared" si="18"/>
        <v/>
      </c>
      <c r="DF97" s="210">
        <f>IFERROR(__xludf.DUMMYFUNCTION("AVERAGE(ARRAYFORMULA(XLOOKUP(FILTER(INDIRECT(""'""&amp;DF$1&amp;""'!$C$4:$C$66""),INDIRECT(""'""&amp;DF$1&amp;""'!$D$4:$D$66"")=DF$2),$G$4:$BQ$4,$G97:$BQ97)))"),0.4192197263636364)</f>
        <v>0.4192197264</v>
      </c>
      <c r="DG97" s="207" t="str">
        <f>IFERROR(__xludf.DUMMYFUNCTION("IF(OR(DF97&gt;$BS97+$BT97*$BT$2,DF97&lt;$BS97-$BT97*$BT$2),AVEDEV(ARRAYFORMULA(XLOOKUP(FILTER(INDIRECT(""'""&amp;DF$1&amp;""'!$C$4:$C$66""),INDIRECT(""'""&amp;DF$1&amp;""'!$D$4:$D$66"")=DF$2),$G$4:$BQ$4,$G97:$BQ97))),"""")"),"")</f>
        <v/>
      </c>
      <c r="DH97" s="208" t="str">
        <f t="shared" si="19"/>
        <v/>
      </c>
      <c r="DI97" s="210">
        <f>IFERROR(__xludf.DUMMYFUNCTION("AVERAGE(ARRAYFORMULA(XLOOKUP(FILTER(INDIRECT(""'""&amp;DI$1&amp;""'!$C$4:$C$66""),INDIRECT(""'""&amp;DI$1&amp;""'!$D$4:$D$66"")=DI$2),$G$4:$BQ$4,$G97:$BQ97)))"),-0.10406019500000001)</f>
        <v>-0.104060195</v>
      </c>
      <c r="DJ97" s="207" t="str">
        <f>IFERROR(__xludf.DUMMYFUNCTION("IF(OR(DI97&gt;$BS97+$BT97*$BT$2,DI97&lt;$BS97-$BT97*$BT$2),AVEDEV(ARRAYFORMULA(XLOOKUP(FILTER(INDIRECT(""'""&amp;DI$1&amp;""'!$C$4:$C$66""),INDIRECT(""'""&amp;DI$1&amp;""'!$D$4:$D$66"")=DI$2),$G$4:$BQ$4,$G97:$BQ97))),"""")"),"")</f>
        <v/>
      </c>
      <c r="DK97" s="208" t="str">
        <f t="shared" si="20"/>
        <v/>
      </c>
      <c r="DL97" s="210">
        <f>IFERROR(__xludf.DUMMYFUNCTION("AVERAGE(ARRAYFORMULA(XLOOKUP(FILTER(INDIRECT(""'""&amp;DL$1&amp;""'!$C$4:$C$66""),INDIRECT(""'""&amp;DL$1&amp;""'!$D$4:$D$66"")=DL$2),$G$4:$BQ$4,$G97:$BQ97)))"),0.28175924857142853)</f>
        <v>0.2817592486</v>
      </c>
      <c r="DM97" s="207" t="str">
        <f>IFERROR(__xludf.DUMMYFUNCTION("IF(OR(DL97&gt;$BS97+$BT97*$BT$2,DL97&lt;$BS97-$BT97*$BT$2),AVEDEV(ARRAYFORMULA(XLOOKUP(FILTER(INDIRECT(""'""&amp;DL$1&amp;""'!$C$4:$C$66""),INDIRECT(""'""&amp;DL$1&amp;""'!$D$4:$D$66"")=DL$2),$G$4:$BQ$4,$G97:$BQ97))),"""")"),"")</f>
        <v/>
      </c>
      <c r="DN97" s="208" t="str">
        <f t="shared" si="21"/>
        <v/>
      </c>
      <c r="DO97" s="209" t="s">
        <v>444</v>
      </c>
      <c r="DP97" s="210">
        <f>IFERROR(__xludf.DUMMYFUNCTION("AVERAGE(ARRAYFORMULA(XLOOKUP(FILTER(INDIRECT(""'""&amp;DP$1&amp;""'!$C$4:$C$66""),INDIRECT(""'""&amp;DP$1&amp;""'!$D$4:$D$66"")=DP$2),$G$4:$BQ$4,$G97:$BQ97)))"),0.25467319266666666)</f>
        <v>0.2546731927</v>
      </c>
      <c r="DQ97" s="207" t="str">
        <f>IFERROR(__xludf.DUMMYFUNCTION("IF(OR(DP97&gt;$BS97+$BT97*$BT$2,DP97&lt;$BS97-$BT97*$BT$2),AVEDEV(ARRAYFORMULA(XLOOKUP(FILTER(INDIRECT(""'""&amp;DP$1&amp;""'!$C$4:$C$66""),INDIRECT(""'""&amp;DP$1&amp;""'!$D$4:$D$66"")=DP$2),$G$4:$BQ$4,$G97:$BQ97))),"""")"),"")</f>
        <v/>
      </c>
      <c r="DR97" s="208" t="str">
        <f t="shared" si="22"/>
        <v/>
      </c>
      <c r="DS97" s="210">
        <f>IFERROR(__xludf.DUMMYFUNCTION("AVERAGE(ARRAYFORMULA(XLOOKUP(FILTER(INDIRECT(""'""&amp;DS$1&amp;""'!$C$4:$C$66""),INDIRECT(""'""&amp;DS$1&amp;""'!$D$4:$D$66"")=DS$2),$G$4:$BQ$4,$G97:$BQ97)))"),0.22216728333333335)</f>
        <v>0.2221672833</v>
      </c>
      <c r="DT97" s="207" t="str">
        <f>IFERROR(__xludf.DUMMYFUNCTION("IF(OR(DS97&gt;$BS97+$BT97*$BT$2,DS97&lt;$BS97-$BT97*$BT$2),AVEDEV(ARRAYFORMULA(XLOOKUP(FILTER(INDIRECT(""'""&amp;DS$1&amp;""'!$C$4:$C$66""),INDIRECT(""'""&amp;DS$1&amp;""'!$D$4:$D$66"")=DS$2),$G$4:$BQ$4,$G97:$BQ97))),"""")"),"")</f>
        <v/>
      </c>
      <c r="DU97" s="208" t="str">
        <f t="shared" si="23"/>
        <v/>
      </c>
      <c r="DV97" s="210">
        <f>IFERROR(__xludf.DUMMYFUNCTION("AVERAGE(ARRAYFORMULA(XLOOKUP(FILTER(INDIRECT(""'""&amp;DV$1&amp;""'!$C$4:$C$66""),INDIRECT(""'""&amp;DV$1&amp;""'!$D$4:$D$66"")=DV$2),$G$4:$BQ$4,$G97:$BQ97)))"),-0.12191774875000001)</f>
        <v>-0.1219177488</v>
      </c>
      <c r="DW97" s="207" t="str">
        <f>IFERROR(__xludf.DUMMYFUNCTION("IF(OR(DV97&gt;$BS97+$BT97*$BT$2,DV97&lt;$BS97-$BT97*$BT$2),AVEDEV(ARRAYFORMULA(XLOOKUP(FILTER(INDIRECT(""'""&amp;DV$1&amp;""'!$C$4:$C$66""),INDIRECT(""'""&amp;DV$1&amp;""'!$D$4:$D$66"")=DV$2),$G$4:$BQ$4,$G97:$BQ97))),"""")"),"")</f>
        <v/>
      </c>
      <c r="DX97" s="208" t="str">
        <f t="shared" si="24"/>
        <v/>
      </c>
      <c r="DY97" s="210">
        <f>IFERROR(__xludf.DUMMYFUNCTION("AVERAGE(ARRAYFORMULA(XLOOKUP(FILTER(INDIRECT(""'""&amp;DY$1&amp;""'!$C$4:$C$66""),INDIRECT(""'""&amp;DY$1&amp;""'!$D$4:$D$66"")=DY$2),$G$4:$BQ$4,$G97:$BQ97)))"),0.565219251111111)</f>
        <v>0.5652192511</v>
      </c>
      <c r="DZ97" s="207" t="str">
        <f>IFERROR(__xludf.DUMMYFUNCTION("IF(OR(DY97&gt;$BS97+$BT97*$BT$2,DY97&lt;$BS97-$BT97*$BT$2),AVEDEV(ARRAYFORMULA(XLOOKUP(FILTER(INDIRECT(""'""&amp;DY$1&amp;""'!$C$4:$C$66""),INDIRECT(""'""&amp;DY$1&amp;""'!$D$4:$D$66"")=DY$2),$G$4:$BQ$4,$G97:$BQ97))),"""")"),"")</f>
        <v/>
      </c>
      <c r="EA97" s="208" t="str">
        <f t="shared" si="25"/>
        <v/>
      </c>
      <c r="EB97" s="191"/>
    </row>
    <row r="98" outlineLevel="1">
      <c r="A98" s="2"/>
      <c r="B98" s="204">
        <v>94.0</v>
      </c>
      <c r="C98" s="204" t="s">
        <v>507</v>
      </c>
      <c r="D98" s="204" t="s">
        <v>539</v>
      </c>
      <c r="E98" s="205" t="b">
        <f>VLOOKUP(D98,'Feature Set List'!A94:C246,2,0)</f>
        <v>1</v>
      </c>
      <c r="F98" s="205" t="b">
        <f>VLOOKUP(D98,'Feature Set List'!A94:C246,3,0)</f>
        <v>1</v>
      </c>
      <c r="G98" s="205">
        <v>-0.4897638</v>
      </c>
      <c r="H98" s="205">
        <v>-0.1529134</v>
      </c>
      <c r="I98" s="205">
        <v>85.9354331</v>
      </c>
      <c r="J98" s="205">
        <v>-0.1927559</v>
      </c>
      <c r="K98" s="205">
        <v>0.30629921</v>
      </c>
      <c r="L98" s="205">
        <v>0.22519685</v>
      </c>
      <c r="M98" s="205">
        <v>-0.4808898</v>
      </c>
      <c r="N98" s="205">
        <v>1.58740157</v>
      </c>
      <c r="O98" s="205">
        <v>-0.4088661</v>
      </c>
      <c r="P98" s="205">
        <v>1.16535433</v>
      </c>
      <c r="Q98" s="205">
        <v>2.30393701</v>
      </c>
      <c r="R98" s="205">
        <v>-0.4146142</v>
      </c>
      <c r="S98" s="205">
        <v>-0.1623622</v>
      </c>
      <c r="T98" s="205">
        <v>0.14251969</v>
      </c>
      <c r="U98" s="205">
        <v>0.68677165</v>
      </c>
      <c r="V98" s="205">
        <v>1.01527559</v>
      </c>
      <c r="W98" s="205">
        <v>-0.4271654</v>
      </c>
      <c r="X98" s="205">
        <v>1.08976378</v>
      </c>
      <c r="Y98" s="205">
        <v>-0.4593071</v>
      </c>
      <c r="Z98" s="205">
        <v>-0.4637953</v>
      </c>
      <c r="AA98" s="205">
        <v>-0.2423622</v>
      </c>
      <c r="AB98" s="205">
        <v>-0.3159055</v>
      </c>
      <c r="AC98" s="205">
        <v>0.04929134</v>
      </c>
      <c r="AD98" s="205">
        <v>-0.0708661</v>
      </c>
      <c r="AE98" s="205">
        <v>-0.2577953</v>
      </c>
      <c r="AF98" s="205">
        <v>-0.0828346</v>
      </c>
      <c r="AG98" s="205">
        <v>0.73984252</v>
      </c>
      <c r="AH98" s="205">
        <v>-0.3162205</v>
      </c>
      <c r="AI98" s="205">
        <v>0.36015748</v>
      </c>
      <c r="AJ98" s="205">
        <v>1.63307087</v>
      </c>
      <c r="AK98" s="205">
        <v>0.56551181</v>
      </c>
      <c r="AL98" s="205">
        <v>-0.0138583</v>
      </c>
      <c r="AM98" s="205">
        <v>0.91590551</v>
      </c>
      <c r="AN98" s="205">
        <v>0.17480315</v>
      </c>
      <c r="AO98" s="205">
        <v>1.26299213</v>
      </c>
      <c r="AP98" s="205">
        <v>0.54094488</v>
      </c>
      <c r="AQ98" s="205">
        <v>-0.3988189</v>
      </c>
      <c r="AR98" s="205">
        <v>0.53590551</v>
      </c>
      <c r="AS98" s="205">
        <v>0.1223622</v>
      </c>
      <c r="AT98" s="205">
        <v>0.13984252</v>
      </c>
      <c r="AU98" s="205">
        <v>0.19055118</v>
      </c>
      <c r="AV98" s="205">
        <v>-0.4462677</v>
      </c>
      <c r="AW98" s="205">
        <v>0.68110236</v>
      </c>
      <c r="AX98" s="205">
        <v>-0.223937</v>
      </c>
      <c r="AY98" s="205">
        <v>0.0</v>
      </c>
      <c r="AZ98" s="205">
        <v>-0.2474016</v>
      </c>
      <c r="BA98" s="205">
        <v>-0.3402205</v>
      </c>
      <c r="BB98" s="205">
        <v>4.34645669</v>
      </c>
      <c r="BC98" s="205">
        <v>-0.007874</v>
      </c>
      <c r="BD98" s="205">
        <v>-0.4675118</v>
      </c>
      <c r="BE98" s="205">
        <v>-0.4832787</v>
      </c>
      <c r="BF98" s="205">
        <v>-0.3661575</v>
      </c>
      <c r="BG98" s="205">
        <v>3.20472441</v>
      </c>
      <c r="BH98" s="205">
        <v>-0.0559055</v>
      </c>
      <c r="BI98" s="205">
        <v>0.16677165</v>
      </c>
      <c r="BJ98" s="205">
        <v>-0.3953858</v>
      </c>
      <c r="BK98" s="205">
        <v>0.56299213</v>
      </c>
      <c r="BL98" s="205">
        <v>-0.4585827</v>
      </c>
      <c r="BM98" s="205">
        <v>5.04724409</v>
      </c>
      <c r="BN98" s="205">
        <v>1.67874016</v>
      </c>
      <c r="BO98" s="205">
        <v>5.49291339</v>
      </c>
      <c r="BP98" s="205">
        <v>-0.1502362</v>
      </c>
      <c r="BQ98" s="205">
        <v>-0.1524409</v>
      </c>
      <c r="BR98" s="206"/>
      <c r="BS98" s="207">
        <f t="shared" si="6"/>
        <v>1.805139433</v>
      </c>
      <c r="BT98" s="207">
        <f t="shared" si="7"/>
        <v>3.031741971</v>
      </c>
      <c r="BU98" s="206"/>
      <c r="BV98" s="207">
        <f>IFERROR(__xludf.DUMMYFUNCTION("AVERAGE(ARRAYFORMULA(XLOOKUP(FILTER(INDIRECT(""'""&amp;BV$1&amp;""'!$C$4:$C$66""),INDIRECT(""'""&amp;BV$1&amp;""'!$D$4:$D$66"")=BV$2),$G$4:$BQ$4,$G98:$BQ98)))"),0.9205889785714286)</f>
        <v>0.9205889786</v>
      </c>
      <c r="BW98" s="207" t="str">
        <f>IFERROR(__xludf.DUMMYFUNCTION("IF(OR(BV98&gt;$BS98+$BT98*$BT$2,BV98&lt;$BS98-$BT98*$BT$2),AVEDEV(ARRAYFORMULA(XLOOKUP(FILTER(INDIRECT(""'""&amp;BV$1&amp;""'!$C$4:$C$66""),INDIRECT(""'""&amp;BV$1&amp;""'!$D$4:$D$66"")=BV$2),$G$4:$BQ$4,$G98:$BQ98))),"""")"),"")</f>
        <v/>
      </c>
      <c r="BX98" s="208" t="str">
        <f t="shared" si="8"/>
        <v/>
      </c>
      <c r="BY98" s="207">
        <f>IFERROR(__xludf.DUMMYFUNCTION("AVERAGE(ARRAYFORMULA(XLOOKUP(FILTER(INDIRECT(""'""&amp;BY$1&amp;""'!$C$4:$C$66""),INDIRECT(""'""&amp;BY$1&amp;""'!$D$4:$D$66"")=BY$2),$G$4:$BQ$4,$G98:$BQ98)))"),0.41829658976190476)</f>
        <v>0.4182965898</v>
      </c>
      <c r="BZ98" s="207" t="str">
        <f>IFERROR(__xludf.DUMMYFUNCTION("IF(OR(BY98&gt;$BS98+$BT98*$BT$2,BY98&lt;$BS98-$BT98*$BT$2),AVEDEV(ARRAYFORMULA(XLOOKUP(FILTER(INDIRECT(""'""&amp;BY$1&amp;""'!$C$4:$C$66""),INDIRECT(""'""&amp;BY$1&amp;""'!$D$4:$D$66"")=BY$2),$G$4:$BQ$4,$G98:$BQ98))),"""")"),"")</f>
        <v/>
      </c>
      <c r="CA98" s="208" t="str">
        <f t="shared" si="9"/>
        <v/>
      </c>
      <c r="CB98" s="207">
        <f>IFERROR(__xludf.DUMMYFUNCTION("AVERAGE(ARRAYFORMULA(XLOOKUP(FILTER(INDIRECT(""'""&amp;CB$1&amp;""'!$C$4:$C$66""),INDIRECT(""'""&amp;CB$1&amp;""'!$D$4:$D$66"")=CB$2),$G$4:$BQ$4,$G98:$BQ98)))"),0.36843019636363633)</f>
        <v>0.3684301964</v>
      </c>
      <c r="CC98" s="207" t="str">
        <f>IFERROR(__xludf.DUMMYFUNCTION("IF(OR(CB98&gt;$BS98+$BT98*$BT$2,CB98&lt;$BS98-$BT98*$BT$2),AVEDEV(ARRAYFORMULA(XLOOKUP(FILTER(INDIRECT(""'""&amp;CB$1&amp;""'!$C$4:$C$66""),INDIRECT(""'""&amp;CB$1&amp;""'!$D$4:$D$66"")=CB$2),$G$4:$BQ$4,$G98:$BQ98))),"""")"),"")</f>
        <v/>
      </c>
      <c r="CD98" s="208" t="str">
        <f t="shared" si="10"/>
        <v/>
      </c>
      <c r="CE98" s="209" t="s">
        <v>444</v>
      </c>
      <c r="CF98" s="207">
        <f>IFERROR(__xludf.DUMMYFUNCTION("AVERAGE(ARRAYFORMULA(XLOOKUP(FILTER(INDIRECT(""'""&amp;CF$1&amp;""'!$C$4:$C$66""),INDIRECT(""'""&amp;CF$1&amp;""'!$D$4:$D$66"")=CF$2),$G$4:$BQ$4,$G98:$BQ98)))"),0.6000728300000002)</f>
        <v>0.60007283</v>
      </c>
      <c r="CG98" s="207" t="str">
        <f>IFERROR(__xludf.DUMMYFUNCTION("IF(OR(CF98&gt;$BS98+$BT98*$BT$2,CF98&lt;$BS98-$BT98*$BT$2),AVEDEV(ARRAYFORMULA(XLOOKUP(FILTER(INDIRECT(""'""&amp;CF$1&amp;""'!$C$4:$C$66""),INDIRECT(""'""&amp;CF$1&amp;""'!$D$4:$D$66"")=CF$2),$G$4:$BQ$4,$G98:$BQ98))),"""")"),"")</f>
        <v/>
      </c>
      <c r="CH98" s="208" t="str">
        <f t="shared" si="11"/>
        <v/>
      </c>
      <c r="CI98" s="207">
        <f>IFERROR(__xludf.DUMMYFUNCTION("AVERAGE(ARRAYFORMULA(XLOOKUP(FILTER(INDIRECT(""'""&amp;CI$1&amp;""'!$C$4:$C$66""),INDIRECT(""'""&amp;CI$1&amp;""'!$D$4:$D$66"")=CI$2),$G$4:$BQ$4,$G98:$BQ98)))"),0.061705515161290345)</f>
        <v>0.06170551516</v>
      </c>
      <c r="CJ98" s="207" t="str">
        <f>IFERROR(__xludf.DUMMYFUNCTION("IF(OR(CI98&gt;$BS98+$BT98*$BT$2,CI98&lt;$BS98-$BT98*$BT$2),AVEDEV(ARRAYFORMULA(XLOOKUP(FILTER(INDIRECT(""'""&amp;CI$1&amp;""'!$C$4:$C$66""),INDIRECT(""'""&amp;CI$1&amp;""'!$D$4:$D$66"")=CI$2),$G$4:$BQ$4,$G98:$BQ98))),"""")"),"")</f>
        <v/>
      </c>
      <c r="CK98" s="208" t="str">
        <f t="shared" si="12"/>
        <v/>
      </c>
      <c r="CL98" s="207">
        <f>IFERROR(__xludf.DUMMYFUNCTION("AVERAGE(ARRAYFORMULA(XLOOKUP(FILTER(INDIRECT(""'""&amp;CL$1&amp;""'!$C$4:$C$66""),INDIRECT(""'""&amp;CL$1&amp;""'!$D$4:$D$66"")=CL$2),$G$4:$BQ$4,$G98:$BQ98)))"),0.858948026)</f>
        <v>0.858948026</v>
      </c>
      <c r="CM98" s="207" t="str">
        <f>IFERROR(__xludf.DUMMYFUNCTION("IF(OR(CL98&gt;$BS98+$BT98*$BT$2,CL98&lt;$BS98-$BT98*$BT$2),AVEDEV(ARRAYFORMULA(XLOOKUP(FILTER(INDIRECT(""'""&amp;CL$1&amp;""'!$C$4:$C$66""),INDIRECT(""'""&amp;CL$1&amp;""'!$D$4:$D$66"")=CL$2),$G$4:$BQ$4,$G98:$BQ98))),"""")"),"")</f>
        <v/>
      </c>
      <c r="CN98" s="208" t="str">
        <f t="shared" si="13"/>
        <v/>
      </c>
      <c r="CO98" s="209" t="s">
        <v>444</v>
      </c>
      <c r="CP98" s="210">
        <f>IFERROR(__xludf.DUMMYFUNCTION("AVERAGE(ARRAYFORMULA(XLOOKUP(FILTER(INDIRECT(""'""&amp;CP$1&amp;""'!$C$4:$C$66""),INDIRECT(""'""&amp;CP$1&amp;""'!$D$4:$D$66"")=CP$2),$G$4:$BQ$4,$G98:$BQ98)))"),1.0583367953333334)</f>
        <v>1.058336795</v>
      </c>
      <c r="CQ98" s="207" t="str">
        <f>IFERROR(__xludf.DUMMYFUNCTION("IF(OR(CP98&gt;$BS98+$BT98*$BT$2,CP98&lt;$BS98-$BT98*$BT$2),AVEDEV(ARRAYFORMULA(XLOOKUP(FILTER(INDIRECT(""'""&amp;CP$1&amp;""'!$C$4:$C$66""),INDIRECT(""'""&amp;CP$1&amp;""'!$D$4:$D$66"")=CP$2),$G$4:$BQ$4,$G98:$BQ98))),"""")"),"")</f>
        <v/>
      </c>
      <c r="CR98" s="208" t="str">
        <f t="shared" si="14"/>
        <v/>
      </c>
      <c r="CS98" s="210">
        <f>IFERROR(__xludf.DUMMYFUNCTION("AVERAGE(ARRAYFORMULA(XLOOKUP(FILTER(INDIRECT(""'""&amp;CS$1&amp;""'!$C$4:$C$66""),INDIRECT(""'""&amp;CS$1&amp;""'!$D$4:$D$66"")=CS$2),$G$4:$BQ$4,$G98:$BQ98)))"),0.21420775435897438)</f>
        <v>0.2142077544</v>
      </c>
      <c r="CT98" s="207" t="str">
        <f>IFERROR(__xludf.DUMMYFUNCTION("IF(OR(CS98&gt;$BS98+$BT98*$BT$2,CS98&lt;$BS98-$BT98*$BT$2),AVEDEV(ARRAYFORMULA(XLOOKUP(FILTER(INDIRECT(""'""&amp;CS$1&amp;""'!$C$4:$C$66""),INDIRECT(""'""&amp;CS$1&amp;""'!$D$4:$D$66"")=CS$2),$G$4:$BQ$4,$G98:$BQ98))),"""")"),"")</f>
        <v/>
      </c>
      <c r="CU98" s="208" t="str">
        <f t="shared" si="15"/>
        <v/>
      </c>
      <c r="CV98" s="210">
        <f>IFERROR(__xludf.DUMMYFUNCTION("AVERAGE(ARRAYFORMULA(XLOOKUP(FILTER(INDIRECT(""'""&amp;CV$1&amp;""'!$C$4:$C$66""),INDIRECT(""'""&amp;CV$1&amp;""'!$D$4:$D$66"")=CV$2),$G$4:$BQ$4,$G98:$BQ98)))"),0.858948026)</f>
        <v>0.858948026</v>
      </c>
      <c r="CW98" s="207" t="str">
        <f>IFERROR(__xludf.DUMMYFUNCTION("IF(OR(CV98&gt;$BS98+$BT98*$BT$2,CV98&lt;$BS98-$BT98*$BT$2),AVEDEV(ARRAYFORMULA(XLOOKUP(FILTER(INDIRECT(""'""&amp;CV$1&amp;""'!$C$4:$C$66""),INDIRECT(""'""&amp;CV$1&amp;""'!$D$4:$D$66"")=CV$2),$G$4:$BQ$4,$G98:$BQ98))),"""")"),"")</f>
        <v/>
      </c>
      <c r="CX98" s="208" t="str">
        <f t="shared" si="16"/>
        <v/>
      </c>
      <c r="CY98" s="209" t="s">
        <v>444</v>
      </c>
      <c r="CZ98" s="210">
        <f>IFERROR(__xludf.DUMMYFUNCTION("AVERAGE(ARRAYFORMULA(XLOOKUP(FILTER(INDIRECT(""'""&amp;CZ$1&amp;""'!$C$4:$C$66""),INDIRECT(""'""&amp;CZ$1&amp;""'!$D$4:$D$66"")=CZ$2),$G$4:$BQ$4,$G98:$BQ98)))"),0.33363778857142856)</f>
        <v>0.3336377886</v>
      </c>
      <c r="DA98" s="207" t="str">
        <f>IFERROR(__xludf.DUMMYFUNCTION("IF(OR(CZ98&gt;$BS98+$BT98*$BT$2,CZ98&lt;$BS98-$BT98*$BT$2),AVEDEV(ARRAYFORMULA(XLOOKUP(FILTER(INDIRECT(""'""&amp;CZ$1&amp;""'!$C$4:$C$66""),INDIRECT(""'""&amp;CZ$1&amp;""'!$D$4:$D$66"")=CZ$2),$G$4:$BQ$4,$G98:$BQ98))),"""")"),"")</f>
        <v/>
      </c>
      <c r="DB98" s="208" t="str">
        <f t="shared" si="17"/>
        <v/>
      </c>
      <c r="DC98" s="210">
        <f>IFERROR(__xludf.DUMMYFUNCTION("AVERAGE(ARRAYFORMULA(XLOOKUP(FILTER(INDIRECT(""'""&amp;DC$1&amp;""'!$C$4:$C$66""),INDIRECT(""'""&amp;DC$1&amp;""'!$D$4:$D$66"")=DC$2),$G$4:$BQ$4,$G98:$BQ98)))"),-0.08301225888888888)</f>
        <v>-0.08301225889</v>
      </c>
      <c r="DD98" s="207" t="str">
        <f>IFERROR(__xludf.DUMMYFUNCTION("IF(OR(DC98&gt;$BS98+$BT98*$BT$2,DC98&lt;$BS98-$BT98*$BT$2),AVEDEV(ARRAYFORMULA(XLOOKUP(FILTER(INDIRECT(""'""&amp;DC$1&amp;""'!$C$4:$C$66""),INDIRECT(""'""&amp;DC$1&amp;""'!$D$4:$D$66"")=DC$2),$G$4:$BQ$4,$G98:$BQ98))),"""")"),"")</f>
        <v/>
      </c>
      <c r="DE98" s="208" t="str">
        <f t="shared" si="18"/>
        <v/>
      </c>
      <c r="DF98" s="210">
        <f>IFERROR(__xludf.DUMMYFUNCTION("AVERAGE(ARRAYFORMULA(XLOOKUP(FILTER(INDIRECT(""'""&amp;DF$1&amp;""'!$C$4:$C$66""),INDIRECT(""'""&amp;DF$1&amp;""'!$D$4:$D$66"")=DF$2),$G$4:$BQ$4,$G98:$BQ98)))"),0.7338324972727274)</f>
        <v>0.7338324973</v>
      </c>
      <c r="DG98" s="207" t="str">
        <f>IFERROR(__xludf.DUMMYFUNCTION("IF(OR(DF98&gt;$BS98+$BT98*$BT$2,DF98&lt;$BS98-$BT98*$BT$2),AVEDEV(ARRAYFORMULA(XLOOKUP(FILTER(INDIRECT(""'""&amp;DF$1&amp;""'!$C$4:$C$66""),INDIRECT(""'""&amp;DF$1&amp;""'!$D$4:$D$66"")=DF$2),$G$4:$BQ$4,$G98:$BQ98))),"""")"),"")</f>
        <v/>
      </c>
      <c r="DH98" s="208" t="str">
        <f t="shared" si="19"/>
        <v/>
      </c>
      <c r="DI98" s="210">
        <f>IFERROR(__xludf.DUMMYFUNCTION("AVERAGE(ARRAYFORMULA(XLOOKUP(FILTER(INDIRECT(""'""&amp;DI$1&amp;""'!$C$4:$C$66""),INDIRECT(""'""&amp;DI$1&amp;""'!$D$4:$D$66"")=DI$2),$G$4:$BQ$4,$G98:$BQ98)))"),-0.06338579999999999)</f>
        <v>-0.0633858</v>
      </c>
      <c r="DJ98" s="207" t="str">
        <f>IFERROR(__xludf.DUMMYFUNCTION("IF(OR(DI98&gt;$BS98+$BT98*$BT$2,DI98&lt;$BS98-$BT98*$BT$2),AVEDEV(ARRAYFORMULA(XLOOKUP(FILTER(INDIRECT(""'""&amp;DI$1&amp;""'!$C$4:$C$66""),INDIRECT(""'""&amp;DI$1&amp;""'!$D$4:$D$66"")=DI$2),$G$4:$BQ$4,$G98:$BQ98))),"""")"),"")</f>
        <v/>
      </c>
      <c r="DK98" s="208" t="str">
        <f t="shared" si="20"/>
        <v/>
      </c>
      <c r="DL98" s="210">
        <f>IFERROR(__xludf.DUMMYFUNCTION("AVERAGE(ARRAYFORMULA(XLOOKUP(FILTER(INDIRECT(""'""&amp;DL$1&amp;""'!$C$4:$C$66""),INDIRECT(""'""&amp;DL$1&amp;""'!$D$4:$D$66"")=DL$2),$G$4:$BQ$4,$G98:$BQ98)))"),0.30543420357142853)</f>
        <v>0.3054342036</v>
      </c>
      <c r="DM98" s="207" t="str">
        <f>IFERROR(__xludf.DUMMYFUNCTION("IF(OR(DL98&gt;$BS98+$BT98*$BT$2,DL98&lt;$BS98-$BT98*$BT$2),AVEDEV(ARRAYFORMULA(XLOOKUP(FILTER(INDIRECT(""'""&amp;DL$1&amp;""'!$C$4:$C$66""),INDIRECT(""'""&amp;DL$1&amp;""'!$D$4:$D$66"")=DL$2),$G$4:$BQ$4,$G98:$BQ98))),"""")"),"")</f>
        <v/>
      </c>
      <c r="DN98" s="208" t="str">
        <f t="shared" si="21"/>
        <v/>
      </c>
      <c r="DO98" s="209" t="s">
        <v>444</v>
      </c>
      <c r="DP98" s="210">
        <f>IFERROR(__xludf.DUMMYFUNCTION("AVERAGE(ARRAYFORMULA(XLOOKUP(FILTER(INDIRECT(""'""&amp;DP$1&amp;""'!$C$4:$C$66""),INDIRECT(""'""&amp;DP$1&amp;""'!$D$4:$D$66"")=DP$2),$G$4:$BQ$4,$G98:$BQ98)))"),0.40576262533333324)</f>
        <v>0.4057626253</v>
      </c>
      <c r="DQ98" s="207" t="str">
        <f>IFERROR(__xludf.DUMMYFUNCTION("IF(OR(DP98&gt;$BS98+$BT98*$BT$2,DP98&lt;$BS98-$BT98*$BT$2),AVEDEV(ARRAYFORMULA(XLOOKUP(FILTER(INDIRECT(""'""&amp;DP$1&amp;""'!$C$4:$C$66""),INDIRECT(""'""&amp;DP$1&amp;""'!$D$4:$D$66"")=DP$2),$G$4:$BQ$4,$G98:$BQ98))),"""")"),"")</f>
        <v/>
      </c>
      <c r="DR98" s="208" t="str">
        <f t="shared" si="22"/>
        <v/>
      </c>
      <c r="DS98" s="210">
        <f>IFERROR(__xludf.DUMMYFUNCTION("AVERAGE(ARRAYFORMULA(XLOOKUP(FILTER(INDIRECT(""'""&amp;DS$1&amp;""'!$C$4:$C$66""),INDIRECT(""'""&amp;DS$1&amp;""'!$D$4:$D$66"")=DS$2),$G$4:$BQ$4,$G98:$BQ98)))"),0.48844530666666663)</f>
        <v>0.4884453067</v>
      </c>
      <c r="DT98" s="207" t="str">
        <f>IFERROR(__xludf.DUMMYFUNCTION("IF(OR(DS98&gt;$BS98+$BT98*$BT$2,DS98&lt;$BS98-$BT98*$BT$2),AVEDEV(ARRAYFORMULA(XLOOKUP(FILTER(INDIRECT(""'""&amp;DS$1&amp;""'!$C$4:$C$66""),INDIRECT(""'""&amp;DS$1&amp;""'!$D$4:$D$66"")=DS$2),$G$4:$BQ$4,$G98:$BQ98))),"""")"),"")</f>
        <v/>
      </c>
      <c r="DU98" s="208" t="str">
        <f t="shared" si="23"/>
        <v/>
      </c>
      <c r="DV98" s="210">
        <f>IFERROR(__xludf.DUMMYFUNCTION("AVERAGE(ARRAYFORMULA(XLOOKUP(FILTER(INDIRECT(""'""&amp;DV$1&amp;""'!$C$4:$C$66""),INDIRECT(""'""&amp;DV$1&amp;""'!$D$4:$D$66"")=DV$2),$G$4:$BQ$4,$G98:$BQ98)))"),0.1055295275)</f>
        <v>0.1055295275</v>
      </c>
      <c r="DW98" s="207" t="str">
        <f>IFERROR(__xludf.DUMMYFUNCTION("IF(OR(DV98&gt;$BS98+$BT98*$BT$2,DV98&lt;$BS98-$BT98*$BT$2),AVEDEV(ARRAYFORMULA(XLOOKUP(FILTER(INDIRECT(""'""&amp;DV$1&amp;""'!$C$4:$C$66""),INDIRECT(""'""&amp;DV$1&amp;""'!$D$4:$D$66"")=DV$2),$G$4:$BQ$4,$G98:$BQ98))),"""")"),"")</f>
        <v/>
      </c>
      <c r="DX98" s="208" t="str">
        <f t="shared" si="24"/>
        <v/>
      </c>
      <c r="DY98" s="210">
        <f>IFERROR(__xludf.DUMMYFUNCTION("AVERAGE(ARRAYFORMULA(XLOOKUP(FILTER(INDIRECT(""'""&amp;DY$1&amp;""'!$C$4:$C$66""),INDIRECT(""'""&amp;DY$1&amp;""'!$D$4:$D$66"")=DY$2),$G$4:$BQ$4,$G98:$BQ98)))"),0.9135678133333331)</f>
        <v>0.9135678133</v>
      </c>
      <c r="DZ98" s="207" t="str">
        <f>IFERROR(__xludf.DUMMYFUNCTION("IF(OR(DY98&gt;$BS98+$BT98*$BT$2,DY98&lt;$BS98-$BT98*$BT$2),AVEDEV(ARRAYFORMULA(XLOOKUP(FILTER(INDIRECT(""'""&amp;DY$1&amp;""'!$C$4:$C$66""),INDIRECT(""'""&amp;DY$1&amp;""'!$D$4:$D$66"")=DY$2),$G$4:$BQ$4,$G98:$BQ98))),"""")"),"")</f>
        <v/>
      </c>
      <c r="EA98" s="208" t="str">
        <f t="shared" si="25"/>
        <v/>
      </c>
      <c r="EB98" s="191"/>
    </row>
    <row r="99" outlineLevel="1">
      <c r="A99" s="2"/>
      <c r="B99" s="204">
        <v>95.0</v>
      </c>
      <c r="C99" s="204" t="s">
        <v>540</v>
      </c>
      <c r="D99" s="204" t="s">
        <v>541</v>
      </c>
      <c r="E99" s="205" t="b">
        <f>VLOOKUP(D99,'Feature Set List'!A95:C246,2,0)</f>
        <v>1</v>
      </c>
      <c r="F99" s="205" t="b">
        <f>VLOOKUP(D99,'Feature Set List'!A95:C246,3,0)</f>
        <v>1</v>
      </c>
      <c r="G99" s="205">
        <v>0.0</v>
      </c>
      <c r="H99" s="205">
        <v>0.0</v>
      </c>
      <c r="I99" s="205">
        <v>0.0</v>
      </c>
      <c r="J99" s="205">
        <v>0.0</v>
      </c>
      <c r="K99" s="205">
        <v>-1.0</v>
      </c>
      <c r="L99" s="205">
        <v>0.0</v>
      </c>
      <c r="M99" s="205">
        <v>-1.0</v>
      </c>
      <c r="N99" s="205">
        <v>0.0</v>
      </c>
      <c r="O99" s="205">
        <v>0.0</v>
      </c>
      <c r="P99" s="205">
        <v>0.0</v>
      </c>
      <c r="Q99" s="205">
        <v>0.0</v>
      </c>
      <c r="R99" s="205">
        <v>0.0</v>
      </c>
      <c r="S99" s="205">
        <v>0.0</v>
      </c>
      <c r="T99" s="205">
        <v>0.0</v>
      </c>
      <c r="U99" s="205">
        <v>0.0</v>
      </c>
      <c r="V99" s="205">
        <v>0.0</v>
      </c>
      <c r="W99" s="205">
        <v>0.0</v>
      </c>
      <c r="X99" s="205">
        <v>0.0</v>
      </c>
      <c r="Y99" s="205">
        <v>0.0</v>
      </c>
      <c r="Z99" s="205">
        <v>0.0</v>
      </c>
      <c r="AA99" s="205">
        <v>0.0</v>
      </c>
      <c r="AB99" s="205">
        <v>0.0</v>
      </c>
      <c r="AC99" s="205">
        <v>0.0</v>
      </c>
      <c r="AD99" s="205">
        <v>0.0</v>
      </c>
      <c r="AE99" s="205">
        <v>0.0</v>
      </c>
      <c r="AF99" s="205">
        <v>0.0</v>
      </c>
      <c r="AG99" s="205">
        <v>0.0</v>
      </c>
      <c r="AH99" s="205">
        <v>0.0</v>
      </c>
      <c r="AI99" s="205">
        <v>-1.0</v>
      </c>
      <c r="AJ99" s="205">
        <v>0.0</v>
      </c>
      <c r="AK99" s="205">
        <v>0.0</v>
      </c>
      <c r="AL99" s="205">
        <v>0.0</v>
      </c>
      <c r="AM99" s="205">
        <v>0.0</v>
      </c>
      <c r="AN99" s="205">
        <v>0.0</v>
      </c>
      <c r="AO99" s="205">
        <v>0.0</v>
      </c>
      <c r="AP99" s="205">
        <v>0.0</v>
      </c>
      <c r="AQ99" s="205">
        <v>0.0</v>
      </c>
      <c r="AR99" s="205">
        <v>-1.0</v>
      </c>
      <c r="AS99" s="205">
        <v>0.0</v>
      </c>
      <c r="AT99" s="205">
        <v>0.0</v>
      </c>
      <c r="AU99" s="205">
        <v>0.0</v>
      </c>
      <c r="AV99" s="205">
        <v>0.0</v>
      </c>
      <c r="AW99" s="205">
        <v>0.0</v>
      </c>
      <c r="AX99" s="205">
        <v>0.0</v>
      </c>
      <c r="AY99" s="205">
        <v>0.0</v>
      </c>
      <c r="AZ99" s="205">
        <v>0.0</v>
      </c>
      <c r="BA99" s="205">
        <v>0.0</v>
      </c>
      <c r="BB99" s="205">
        <v>0.0</v>
      </c>
      <c r="BC99" s="205">
        <v>0.0</v>
      </c>
      <c r="BD99" s="205">
        <v>0.0</v>
      </c>
      <c r="BE99" s="205">
        <v>0.0</v>
      </c>
      <c r="BF99" s="205">
        <v>0.0</v>
      </c>
      <c r="BG99" s="205">
        <v>0.0</v>
      </c>
      <c r="BH99" s="205">
        <v>0.0</v>
      </c>
      <c r="BI99" s="205">
        <v>0.0</v>
      </c>
      <c r="BJ99" s="205">
        <v>0.0</v>
      </c>
      <c r="BK99" s="205">
        <v>0.0</v>
      </c>
      <c r="BL99" s="205">
        <v>0.0</v>
      </c>
      <c r="BM99" s="205">
        <v>0.0</v>
      </c>
      <c r="BN99" s="205">
        <v>0.0</v>
      </c>
      <c r="BO99" s="205">
        <v>0.0</v>
      </c>
      <c r="BP99" s="205">
        <v>-1.0</v>
      </c>
      <c r="BQ99" s="205">
        <v>0.0</v>
      </c>
      <c r="BR99" s="206"/>
      <c r="BS99" s="207">
        <f t="shared" si="6"/>
        <v>-0.07936507937</v>
      </c>
      <c r="BT99" s="207">
        <f t="shared" si="7"/>
        <v>0.1461325271</v>
      </c>
      <c r="BU99" s="206"/>
      <c r="BV99" s="207">
        <f>IFERROR(__xludf.DUMMYFUNCTION("AVERAGE(ARRAYFORMULA(XLOOKUP(FILTER(INDIRECT(""'""&amp;BV$1&amp;""'!$C$4:$C$66""),INDIRECT(""'""&amp;BV$1&amp;""'!$D$4:$D$66"")=BV$2),$G$4:$BQ$4,$G99:$BQ99)))"),0.0)</f>
        <v>0</v>
      </c>
      <c r="BW99" s="207" t="str">
        <f>IFERROR(__xludf.DUMMYFUNCTION("IF(OR(BV99&gt;$BS99+$BT99*$BT$2,BV99&lt;$BS99-$BT99*$BT$2),AVEDEV(ARRAYFORMULA(XLOOKUP(FILTER(INDIRECT(""'""&amp;BV$1&amp;""'!$C$4:$C$66""),INDIRECT(""'""&amp;BV$1&amp;""'!$D$4:$D$66"")=BV$2),$G$4:$BQ$4,$G99:$BQ99))),"""")"),"")</f>
        <v/>
      </c>
      <c r="BX99" s="208" t="str">
        <f t="shared" si="8"/>
        <v/>
      </c>
      <c r="BY99" s="207">
        <f>IFERROR(__xludf.DUMMYFUNCTION("AVERAGE(ARRAYFORMULA(XLOOKUP(FILTER(INDIRECT(""'""&amp;BY$1&amp;""'!$C$4:$C$66""),INDIRECT(""'""&amp;BY$1&amp;""'!$D$4:$D$66"")=BY$2),$G$4:$BQ$4,$G99:$BQ99)))"),-0.09523809523809523)</f>
        <v>-0.09523809524</v>
      </c>
      <c r="BZ99" s="207" t="str">
        <f>IFERROR(__xludf.DUMMYFUNCTION("IF(OR(BY99&gt;$BS99+$BT99*$BT$2,BY99&lt;$BS99-$BT99*$BT$2),AVEDEV(ARRAYFORMULA(XLOOKUP(FILTER(INDIRECT(""'""&amp;BY$1&amp;""'!$C$4:$C$66""),INDIRECT(""'""&amp;BY$1&amp;""'!$D$4:$D$66"")=BY$2),$G$4:$BQ$4,$G99:$BQ99))),"""")"),"")</f>
        <v/>
      </c>
      <c r="CA99" s="208" t="str">
        <f t="shared" si="9"/>
        <v/>
      </c>
      <c r="CB99" s="207">
        <f>IFERROR(__xludf.DUMMYFUNCTION("AVERAGE(ARRAYFORMULA(XLOOKUP(FILTER(INDIRECT(""'""&amp;CB$1&amp;""'!$C$4:$C$66""),INDIRECT(""'""&amp;CB$1&amp;""'!$D$4:$D$66"")=CB$2),$G$4:$BQ$4,$G99:$BQ99)))"),-0.09090909090909091)</f>
        <v>-0.09090909091</v>
      </c>
      <c r="CC99" s="207" t="str">
        <f>IFERROR(__xludf.DUMMYFUNCTION("IF(OR(CB99&gt;$BS99+$BT99*$BT$2,CB99&lt;$BS99-$BT99*$BT$2),AVEDEV(ARRAYFORMULA(XLOOKUP(FILTER(INDIRECT(""'""&amp;CB$1&amp;""'!$C$4:$C$66""),INDIRECT(""'""&amp;CB$1&amp;""'!$D$4:$D$66"")=CB$2),$G$4:$BQ$4,$G99:$BQ99))),"""")"),"")</f>
        <v/>
      </c>
      <c r="CD99" s="208" t="str">
        <f t="shared" si="10"/>
        <v/>
      </c>
      <c r="CE99" s="209" t="s">
        <v>444</v>
      </c>
      <c r="CF99" s="207">
        <f>IFERROR(__xludf.DUMMYFUNCTION("AVERAGE(ARRAYFORMULA(XLOOKUP(FILTER(INDIRECT(""'""&amp;CF$1&amp;""'!$C$4:$C$66""),INDIRECT(""'""&amp;CF$1&amp;""'!$D$4:$D$66"")=CF$2),$G$4:$BQ$4,$G99:$BQ99)))"),-0.125)</f>
        <v>-0.125</v>
      </c>
      <c r="CG99" s="207" t="str">
        <f>IFERROR(__xludf.DUMMYFUNCTION("IF(OR(CF99&gt;$BS99+$BT99*$BT$2,CF99&lt;$BS99-$BT99*$BT$2),AVEDEV(ARRAYFORMULA(XLOOKUP(FILTER(INDIRECT(""'""&amp;CF$1&amp;""'!$C$4:$C$66""),INDIRECT(""'""&amp;CF$1&amp;""'!$D$4:$D$66"")=CF$2),$G$4:$BQ$4,$G99:$BQ99))),"""")"),"")</f>
        <v/>
      </c>
      <c r="CH99" s="208" t="str">
        <f t="shared" si="11"/>
        <v/>
      </c>
      <c r="CI99" s="207">
        <f>IFERROR(__xludf.DUMMYFUNCTION("AVERAGE(ARRAYFORMULA(XLOOKUP(FILTER(INDIRECT(""'""&amp;CI$1&amp;""'!$C$4:$C$66""),INDIRECT(""'""&amp;CI$1&amp;""'!$D$4:$D$66"")=CI$2),$G$4:$BQ$4,$G99:$BQ99)))"),-0.06451612903225806)</f>
        <v>-0.06451612903</v>
      </c>
      <c r="CJ99" s="207" t="str">
        <f>IFERROR(__xludf.DUMMYFUNCTION("IF(OR(CI99&gt;$BS99+$BT99*$BT$2,CI99&lt;$BS99-$BT99*$BT$2),AVEDEV(ARRAYFORMULA(XLOOKUP(FILTER(INDIRECT(""'""&amp;CI$1&amp;""'!$C$4:$C$66""),INDIRECT(""'""&amp;CI$1&amp;""'!$D$4:$D$66"")=CI$2),$G$4:$BQ$4,$G99:$BQ99))),"""")"),"")</f>
        <v/>
      </c>
      <c r="CK99" s="208" t="str">
        <f t="shared" si="12"/>
        <v/>
      </c>
      <c r="CL99" s="207">
        <f>IFERROR(__xludf.DUMMYFUNCTION("AVERAGE(ARRAYFORMULA(XLOOKUP(FILTER(INDIRECT(""'""&amp;CL$1&amp;""'!$C$4:$C$66""),INDIRECT(""'""&amp;CL$1&amp;""'!$D$4:$D$66"")=CL$2),$G$4:$BQ$4,$G99:$BQ99)))"),0.0)</f>
        <v>0</v>
      </c>
      <c r="CM99" s="207" t="str">
        <f>IFERROR(__xludf.DUMMYFUNCTION("IF(OR(CL99&gt;$BS99+$BT99*$BT$2,CL99&lt;$BS99-$BT99*$BT$2),AVEDEV(ARRAYFORMULA(XLOOKUP(FILTER(INDIRECT(""'""&amp;CL$1&amp;""'!$C$4:$C$66""),INDIRECT(""'""&amp;CL$1&amp;""'!$D$4:$D$66"")=CL$2),$G$4:$BQ$4,$G99:$BQ99))),"""")"),"")</f>
        <v/>
      </c>
      <c r="CN99" s="208" t="str">
        <f t="shared" si="13"/>
        <v/>
      </c>
      <c r="CO99" s="209" t="s">
        <v>444</v>
      </c>
      <c r="CP99" s="210">
        <f>IFERROR(__xludf.DUMMYFUNCTION("AVERAGE(ARRAYFORMULA(XLOOKUP(FILTER(INDIRECT(""'""&amp;CP$1&amp;""'!$C$4:$C$66""),INDIRECT(""'""&amp;CP$1&amp;""'!$D$4:$D$66"")=CP$2),$G$4:$BQ$4,$G99:$BQ99)))"),0.0)</f>
        <v>0</v>
      </c>
      <c r="CQ99" s="207" t="str">
        <f>IFERROR(__xludf.DUMMYFUNCTION("IF(OR(CP99&gt;$BS99+$BT99*$BT$2,CP99&lt;$BS99-$BT99*$BT$2),AVEDEV(ARRAYFORMULA(XLOOKUP(FILTER(INDIRECT(""'""&amp;CP$1&amp;""'!$C$4:$C$66""),INDIRECT(""'""&amp;CP$1&amp;""'!$D$4:$D$66"")=CP$2),$G$4:$BQ$4,$G99:$BQ99))),"""")"),"")</f>
        <v/>
      </c>
      <c r="CR99" s="208" t="str">
        <f t="shared" si="14"/>
        <v/>
      </c>
      <c r="CS99" s="210">
        <f>IFERROR(__xludf.DUMMYFUNCTION("AVERAGE(ARRAYFORMULA(XLOOKUP(FILTER(INDIRECT(""'""&amp;CS$1&amp;""'!$C$4:$C$66""),INDIRECT(""'""&amp;CS$1&amp;""'!$D$4:$D$66"")=CS$2),$G$4:$BQ$4,$G99:$BQ99)))"),-0.1282051282051282)</f>
        <v>-0.1282051282</v>
      </c>
      <c r="CT99" s="207" t="str">
        <f>IFERROR(__xludf.DUMMYFUNCTION("IF(OR(CS99&gt;$BS99+$BT99*$BT$2,CS99&lt;$BS99-$BT99*$BT$2),AVEDEV(ARRAYFORMULA(XLOOKUP(FILTER(INDIRECT(""'""&amp;CS$1&amp;""'!$C$4:$C$66""),INDIRECT(""'""&amp;CS$1&amp;""'!$D$4:$D$66"")=CS$2),$G$4:$BQ$4,$G99:$BQ99))),"""")"),"")</f>
        <v/>
      </c>
      <c r="CU99" s="208" t="str">
        <f t="shared" si="15"/>
        <v/>
      </c>
      <c r="CV99" s="210">
        <f>IFERROR(__xludf.DUMMYFUNCTION("AVERAGE(ARRAYFORMULA(XLOOKUP(FILTER(INDIRECT(""'""&amp;CV$1&amp;""'!$C$4:$C$66""),INDIRECT(""'""&amp;CV$1&amp;""'!$D$4:$D$66"")=CV$2),$G$4:$BQ$4,$G99:$BQ99)))"),0.0)</f>
        <v>0</v>
      </c>
      <c r="CW99" s="207" t="str">
        <f>IFERROR(__xludf.DUMMYFUNCTION("IF(OR(CV99&gt;$BS99+$BT99*$BT$2,CV99&lt;$BS99-$BT99*$BT$2),AVEDEV(ARRAYFORMULA(XLOOKUP(FILTER(INDIRECT(""'""&amp;CV$1&amp;""'!$C$4:$C$66""),INDIRECT(""'""&amp;CV$1&amp;""'!$D$4:$D$66"")=CV$2),$G$4:$BQ$4,$G99:$BQ99))),"""")"),"")</f>
        <v/>
      </c>
      <c r="CX99" s="208" t="str">
        <f t="shared" si="16"/>
        <v/>
      </c>
      <c r="CY99" s="209" t="s">
        <v>444</v>
      </c>
      <c r="CZ99" s="210">
        <f>IFERROR(__xludf.DUMMYFUNCTION("AVERAGE(ARRAYFORMULA(XLOOKUP(FILTER(INDIRECT(""'""&amp;CZ$1&amp;""'!$C$4:$C$66""),INDIRECT(""'""&amp;CZ$1&amp;""'!$D$4:$D$66"")=CZ$2),$G$4:$BQ$4,$G99:$BQ99)))"),-0.07142857142857142)</f>
        <v>-0.07142857143</v>
      </c>
      <c r="DA99" s="207" t="str">
        <f>IFERROR(__xludf.DUMMYFUNCTION("IF(OR(CZ99&gt;$BS99+$BT99*$BT$2,CZ99&lt;$BS99-$BT99*$BT$2),AVEDEV(ARRAYFORMULA(XLOOKUP(FILTER(INDIRECT(""'""&amp;CZ$1&amp;""'!$C$4:$C$66""),INDIRECT(""'""&amp;CZ$1&amp;""'!$D$4:$D$66"")=CZ$2),$G$4:$BQ$4,$G99:$BQ99))),"""")"),"")</f>
        <v/>
      </c>
      <c r="DB99" s="208" t="str">
        <f t="shared" si="17"/>
        <v/>
      </c>
      <c r="DC99" s="210">
        <f>IFERROR(__xludf.DUMMYFUNCTION("AVERAGE(ARRAYFORMULA(XLOOKUP(FILTER(INDIRECT(""'""&amp;DC$1&amp;""'!$C$4:$C$66""),INDIRECT(""'""&amp;DC$1&amp;""'!$D$4:$D$66"")=DC$2),$G$4:$BQ$4,$G99:$BQ99)))"),-0.1111111111111111)</f>
        <v>-0.1111111111</v>
      </c>
      <c r="DD99" s="207" t="str">
        <f>IFERROR(__xludf.DUMMYFUNCTION("IF(OR(DC99&gt;$BS99+$BT99*$BT$2,DC99&lt;$BS99-$BT99*$BT$2),AVEDEV(ARRAYFORMULA(XLOOKUP(FILTER(INDIRECT(""'""&amp;DC$1&amp;""'!$C$4:$C$66""),INDIRECT(""'""&amp;DC$1&amp;""'!$D$4:$D$66"")=DC$2),$G$4:$BQ$4,$G99:$BQ99))),"""")"),"")</f>
        <v/>
      </c>
      <c r="DE99" s="208" t="str">
        <f t="shared" si="18"/>
        <v/>
      </c>
      <c r="DF99" s="210">
        <f>IFERROR(__xludf.DUMMYFUNCTION("AVERAGE(ARRAYFORMULA(XLOOKUP(FILTER(INDIRECT(""'""&amp;DF$1&amp;""'!$C$4:$C$66""),INDIRECT(""'""&amp;DF$1&amp;""'!$D$4:$D$66"")=DF$2),$G$4:$BQ$4,$G99:$BQ99)))"),0.0)</f>
        <v>0</v>
      </c>
      <c r="DG99" s="207" t="str">
        <f>IFERROR(__xludf.DUMMYFUNCTION("IF(OR(DF99&gt;$BS99+$BT99*$BT$2,DF99&lt;$BS99-$BT99*$BT$2),AVEDEV(ARRAYFORMULA(XLOOKUP(FILTER(INDIRECT(""'""&amp;DF$1&amp;""'!$C$4:$C$66""),INDIRECT(""'""&amp;DF$1&amp;""'!$D$4:$D$66"")=DF$2),$G$4:$BQ$4,$G99:$BQ99))),"""")"),"")</f>
        <v/>
      </c>
      <c r="DH99" s="208" t="str">
        <f t="shared" si="19"/>
        <v/>
      </c>
      <c r="DI99" s="210">
        <f>IFERROR(__xludf.DUMMYFUNCTION("AVERAGE(ARRAYFORMULA(XLOOKUP(FILTER(INDIRECT(""'""&amp;DI$1&amp;""'!$C$4:$C$66""),INDIRECT(""'""&amp;DI$1&amp;""'!$D$4:$D$66"")=DI$2),$G$4:$BQ$4,$G99:$BQ99)))"),0.0)</f>
        <v>0</v>
      </c>
      <c r="DJ99" s="207" t="str">
        <f>IFERROR(__xludf.DUMMYFUNCTION("IF(OR(DI99&gt;$BS99+$BT99*$BT$2,DI99&lt;$BS99-$BT99*$BT$2),AVEDEV(ARRAYFORMULA(XLOOKUP(FILTER(INDIRECT(""'""&amp;DI$1&amp;""'!$C$4:$C$66""),INDIRECT(""'""&amp;DI$1&amp;""'!$D$4:$D$66"")=DI$2),$G$4:$BQ$4,$G99:$BQ99))),"""")"),"")</f>
        <v/>
      </c>
      <c r="DK99" s="208" t="str">
        <f t="shared" si="20"/>
        <v/>
      </c>
      <c r="DL99" s="210">
        <f>IFERROR(__xludf.DUMMYFUNCTION("AVERAGE(ARRAYFORMULA(XLOOKUP(FILTER(INDIRECT(""'""&amp;DL$1&amp;""'!$C$4:$C$66""),INDIRECT(""'""&amp;DL$1&amp;""'!$D$4:$D$66"")=DL$2),$G$4:$BQ$4,$G99:$BQ99)))"),-0.14285714285714285)</f>
        <v>-0.1428571429</v>
      </c>
      <c r="DM99" s="207" t="str">
        <f>IFERROR(__xludf.DUMMYFUNCTION("IF(OR(DL99&gt;$BS99+$BT99*$BT$2,DL99&lt;$BS99-$BT99*$BT$2),AVEDEV(ARRAYFORMULA(XLOOKUP(FILTER(INDIRECT(""'""&amp;DL$1&amp;""'!$C$4:$C$66""),INDIRECT(""'""&amp;DL$1&amp;""'!$D$4:$D$66"")=DL$2),$G$4:$BQ$4,$G99:$BQ99))),"""")"),"")</f>
        <v/>
      </c>
      <c r="DN99" s="208" t="str">
        <f t="shared" si="21"/>
        <v/>
      </c>
      <c r="DO99" s="209" t="s">
        <v>444</v>
      </c>
      <c r="DP99" s="210">
        <f>IFERROR(__xludf.DUMMYFUNCTION("AVERAGE(ARRAYFORMULA(XLOOKUP(FILTER(INDIRECT(""'""&amp;DP$1&amp;""'!$C$4:$C$66""),INDIRECT(""'""&amp;DP$1&amp;""'!$D$4:$D$66"")=DP$2),$G$4:$BQ$4,$G99:$BQ99)))"),-0.1)</f>
        <v>-0.1</v>
      </c>
      <c r="DQ99" s="207" t="str">
        <f>IFERROR(__xludf.DUMMYFUNCTION("IF(OR(DP99&gt;$BS99+$BT99*$BT$2,DP99&lt;$BS99-$BT99*$BT$2),AVEDEV(ARRAYFORMULA(XLOOKUP(FILTER(INDIRECT(""'""&amp;DP$1&amp;""'!$C$4:$C$66""),INDIRECT(""'""&amp;DP$1&amp;""'!$D$4:$D$66"")=DP$2),$G$4:$BQ$4,$G99:$BQ99))),"""")"),"")</f>
        <v/>
      </c>
      <c r="DR99" s="208" t="str">
        <f t="shared" si="22"/>
        <v/>
      </c>
      <c r="DS99" s="210">
        <f>IFERROR(__xludf.DUMMYFUNCTION("AVERAGE(ARRAYFORMULA(XLOOKUP(FILTER(INDIRECT(""'""&amp;DS$1&amp;""'!$C$4:$C$66""),INDIRECT(""'""&amp;DS$1&amp;""'!$D$4:$D$66"")=DS$2),$G$4:$BQ$4,$G99:$BQ99)))"),-0.1111111111111111)</f>
        <v>-0.1111111111</v>
      </c>
      <c r="DT99" s="207" t="str">
        <f>IFERROR(__xludf.DUMMYFUNCTION("IF(OR(DS99&gt;$BS99+$BT99*$BT$2,DS99&lt;$BS99-$BT99*$BT$2),AVEDEV(ARRAYFORMULA(XLOOKUP(FILTER(INDIRECT(""'""&amp;DS$1&amp;""'!$C$4:$C$66""),INDIRECT(""'""&amp;DS$1&amp;""'!$D$4:$D$66"")=DS$2),$G$4:$BQ$4,$G99:$BQ99))),"""")"),"")</f>
        <v/>
      </c>
      <c r="DU99" s="208" t="str">
        <f t="shared" si="23"/>
        <v/>
      </c>
      <c r="DV99" s="210">
        <f>IFERROR(__xludf.DUMMYFUNCTION("AVERAGE(ARRAYFORMULA(XLOOKUP(FILTER(INDIRECT(""'""&amp;DV$1&amp;""'!$C$4:$C$66""),INDIRECT(""'""&amp;DV$1&amp;""'!$D$4:$D$66"")=DV$2),$G$4:$BQ$4,$G99:$BQ99)))"),0.0)</f>
        <v>0</v>
      </c>
      <c r="DW99" s="207" t="str">
        <f>IFERROR(__xludf.DUMMYFUNCTION("IF(OR(DV99&gt;$BS99+$BT99*$BT$2,DV99&lt;$BS99-$BT99*$BT$2),AVEDEV(ARRAYFORMULA(XLOOKUP(FILTER(INDIRECT(""'""&amp;DV$1&amp;""'!$C$4:$C$66""),INDIRECT(""'""&amp;DV$1&amp;""'!$D$4:$D$66"")=DV$2),$G$4:$BQ$4,$G99:$BQ99))),"""")"),"")</f>
        <v/>
      </c>
      <c r="DX99" s="208" t="str">
        <f t="shared" si="24"/>
        <v/>
      </c>
      <c r="DY99" s="210">
        <f>IFERROR(__xludf.DUMMYFUNCTION("AVERAGE(ARRAYFORMULA(XLOOKUP(FILTER(INDIRECT(""'""&amp;DY$1&amp;""'!$C$4:$C$66""),INDIRECT(""'""&amp;DY$1&amp;""'!$D$4:$D$66"")=DY$2),$G$4:$BQ$4,$G99:$BQ99)))"),0.0)</f>
        <v>0</v>
      </c>
      <c r="DZ99" s="207" t="str">
        <f>IFERROR(__xludf.DUMMYFUNCTION("IF(OR(DY99&gt;$BS99+$BT99*$BT$2,DY99&lt;$BS99-$BT99*$BT$2),AVEDEV(ARRAYFORMULA(XLOOKUP(FILTER(INDIRECT(""'""&amp;DY$1&amp;""'!$C$4:$C$66""),INDIRECT(""'""&amp;DY$1&amp;""'!$D$4:$D$66"")=DY$2),$G$4:$BQ$4,$G99:$BQ99))),"""")"),"")</f>
        <v/>
      </c>
      <c r="EA99" s="208" t="str">
        <f t="shared" si="25"/>
        <v/>
      </c>
      <c r="EB99" s="191"/>
    </row>
    <row r="100" outlineLevel="1">
      <c r="A100" s="2"/>
      <c r="B100" s="204">
        <v>96.0</v>
      </c>
      <c r="C100" s="204" t="s">
        <v>540</v>
      </c>
      <c r="D100" s="204" t="s">
        <v>542</v>
      </c>
      <c r="E100" s="205" t="b">
        <f>VLOOKUP(D100,'Feature Set List'!A96:C246,2,0)</f>
        <v>1</v>
      </c>
      <c r="F100" s="205" t="b">
        <f>VLOOKUP(D100,'Feature Set List'!A96:C246,3,0)</f>
        <v>1</v>
      </c>
      <c r="G100" s="205">
        <v>0.0</v>
      </c>
      <c r="H100" s="205">
        <v>0.0</v>
      </c>
      <c r="I100" s="205">
        <v>0.0</v>
      </c>
      <c r="J100" s="205">
        <v>0.0</v>
      </c>
      <c r="K100" s="205">
        <v>0.0</v>
      </c>
      <c r="L100" s="205">
        <v>0.0</v>
      </c>
      <c r="M100" s="205">
        <v>1.0</v>
      </c>
      <c r="N100" s="205">
        <v>0.0</v>
      </c>
      <c r="O100" s="205">
        <v>0.0</v>
      </c>
      <c r="P100" s="205">
        <v>0.0</v>
      </c>
      <c r="Q100" s="205">
        <v>0.0</v>
      </c>
      <c r="R100" s="205">
        <v>0.0</v>
      </c>
      <c r="S100" s="205">
        <v>0.0</v>
      </c>
      <c r="T100" s="205">
        <v>0.0</v>
      </c>
      <c r="U100" s="205">
        <v>0.0</v>
      </c>
      <c r="V100" s="205">
        <v>0.0</v>
      </c>
      <c r="W100" s="205">
        <v>0.0</v>
      </c>
      <c r="X100" s="205">
        <v>0.0</v>
      </c>
      <c r="Y100" s="205">
        <v>0.0</v>
      </c>
      <c r="Z100" s="205">
        <v>0.0</v>
      </c>
      <c r="AA100" s="205">
        <v>0.0</v>
      </c>
      <c r="AB100" s="205">
        <v>0.0</v>
      </c>
      <c r="AC100" s="205">
        <v>0.0</v>
      </c>
      <c r="AD100" s="205">
        <v>0.0</v>
      </c>
      <c r="AE100" s="205">
        <v>0.0</v>
      </c>
      <c r="AF100" s="205">
        <v>0.0</v>
      </c>
      <c r="AG100" s="205">
        <v>0.0</v>
      </c>
      <c r="AH100" s="205">
        <v>0.0</v>
      </c>
      <c r="AI100" s="205">
        <v>1.0</v>
      </c>
      <c r="AJ100" s="205">
        <v>0.0</v>
      </c>
      <c r="AK100" s="205">
        <v>0.0</v>
      </c>
      <c r="AL100" s="205">
        <v>0.0</v>
      </c>
      <c r="AM100" s="205">
        <v>0.0</v>
      </c>
      <c r="AN100" s="205">
        <v>0.0</v>
      </c>
      <c r="AO100" s="205">
        <v>0.0</v>
      </c>
      <c r="AP100" s="205">
        <v>0.0</v>
      </c>
      <c r="AQ100" s="205">
        <v>0.0</v>
      </c>
      <c r="AR100" s="205">
        <v>1.0</v>
      </c>
      <c r="AS100" s="205">
        <v>0.0</v>
      </c>
      <c r="AT100" s="205">
        <v>0.0</v>
      </c>
      <c r="AU100" s="205">
        <v>0.0</v>
      </c>
      <c r="AV100" s="205">
        <v>0.0</v>
      </c>
      <c r="AW100" s="205">
        <v>0.0</v>
      </c>
      <c r="AX100" s="205">
        <v>0.0</v>
      </c>
      <c r="AY100" s="205">
        <v>0.0</v>
      </c>
      <c r="AZ100" s="205">
        <v>0.0</v>
      </c>
      <c r="BA100" s="205">
        <v>0.0</v>
      </c>
      <c r="BB100" s="205">
        <v>0.0</v>
      </c>
      <c r="BC100" s="205">
        <v>0.0</v>
      </c>
      <c r="BD100" s="205">
        <v>0.0</v>
      </c>
      <c r="BE100" s="205">
        <v>0.0</v>
      </c>
      <c r="BF100" s="205">
        <v>0.0</v>
      </c>
      <c r="BG100" s="205">
        <v>0.0</v>
      </c>
      <c r="BH100" s="205">
        <v>0.0</v>
      </c>
      <c r="BI100" s="205">
        <v>0.0</v>
      </c>
      <c r="BJ100" s="205">
        <v>0.0</v>
      </c>
      <c r="BK100" s="205">
        <v>0.0</v>
      </c>
      <c r="BL100" s="205">
        <v>0.0</v>
      </c>
      <c r="BM100" s="205">
        <v>0.0</v>
      </c>
      <c r="BN100" s="205">
        <v>0.0</v>
      </c>
      <c r="BO100" s="205">
        <v>0.0</v>
      </c>
      <c r="BP100" s="205">
        <v>1.0</v>
      </c>
      <c r="BQ100" s="205">
        <v>0.0</v>
      </c>
      <c r="BR100" s="206"/>
      <c r="BS100" s="207">
        <f t="shared" si="6"/>
        <v>0.06349206349</v>
      </c>
      <c r="BT100" s="207">
        <f t="shared" si="7"/>
        <v>0.1189216427</v>
      </c>
      <c r="BU100" s="206"/>
      <c r="BV100" s="207">
        <f>IFERROR(__xludf.DUMMYFUNCTION("AVERAGE(ARRAYFORMULA(XLOOKUP(FILTER(INDIRECT(""'""&amp;BV$1&amp;""'!$C$4:$C$66""),INDIRECT(""'""&amp;BV$1&amp;""'!$D$4:$D$66"")=BV$2),$G$4:$BQ$4,$G100:$BQ100)))"),0.0)</f>
        <v>0</v>
      </c>
      <c r="BW100" s="207" t="str">
        <f>IFERROR(__xludf.DUMMYFUNCTION("IF(OR(BV100&gt;$BS100+$BT100*$BT$2,BV100&lt;$BS100-$BT100*$BT$2),AVEDEV(ARRAYFORMULA(XLOOKUP(FILTER(INDIRECT(""'""&amp;BV$1&amp;""'!$C$4:$C$66""),INDIRECT(""'""&amp;BV$1&amp;""'!$D$4:$D$66"")=BV$2),$G$4:$BQ$4,$G100:$BQ100))),"""")"),"")</f>
        <v/>
      </c>
      <c r="BX100" s="208" t="str">
        <f t="shared" si="8"/>
        <v/>
      </c>
      <c r="BY100" s="207">
        <f>IFERROR(__xludf.DUMMYFUNCTION("AVERAGE(ARRAYFORMULA(XLOOKUP(FILTER(INDIRECT(""'""&amp;BY$1&amp;""'!$C$4:$C$66""),INDIRECT(""'""&amp;BY$1&amp;""'!$D$4:$D$66"")=BY$2),$G$4:$BQ$4,$G100:$BQ100)))"),0.07142857142857142)</f>
        <v>0.07142857143</v>
      </c>
      <c r="BZ100" s="207" t="str">
        <f>IFERROR(__xludf.DUMMYFUNCTION("IF(OR(BY100&gt;$BS100+$BT100*$BT$2,BY100&lt;$BS100-$BT100*$BT$2),AVEDEV(ARRAYFORMULA(XLOOKUP(FILTER(INDIRECT(""'""&amp;BY$1&amp;""'!$C$4:$C$66""),INDIRECT(""'""&amp;BY$1&amp;""'!$D$4:$D$66"")=BY$2),$G$4:$BQ$4,$G100:$BQ100))),"""")"),"")</f>
        <v/>
      </c>
      <c r="CA100" s="208" t="str">
        <f t="shared" si="9"/>
        <v/>
      </c>
      <c r="CB100" s="207">
        <f>IFERROR(__xludf.DUMMYFUNCTION("AVERAGE(ARRAYFORMULA(XLOOKUP(FILTER(INDIRECT(""'""&amp;CB$1&amp;""'!$C$4:$C$66""),INDIRECT(""'""&amp;CB$1&amp;""'!$D$4:$D$66"")=CB$2),$G$4:$BQ$4,$G100:$BQ100)))"),0.09090909090909091)</f>
        <v>0.09090909091</v>
      </c>
      <c r="CC100" s="207" t="str">
        <f>IFERROR(__xludf.DUMMYFUNCTION("IF(OR(CB100&gt;$BS100+$BT100*$BT$2,CB100&lt;$BS100-$BT100*$BT$2),AVEDEV(ARRAYFORMULA(XLOOKUP(FILTER(INDIRECT(""'""&amp;CB$1&amp;""'!$C$4:$C$66""),INDIRECT(""'""&amp;CB$1&amp;""'!$D$4:$D$66"")=CB$2),$G$4:$BQ$4,$G100:$BQ100))),"""")"),"")</f>
        <v/>
      </c>
      <c r="CD100" s="208" t="str">
        <f t="shared" si="10"/>
        <v/>
      </c>
      <c r="CE100" s="209" t="s">
        <v>444</v>
      </c>
      <c r="CF100" s="207">
        <f>IFERROR(__xludf.DUMMYFUNCTION("AVERAGE(ARRAYFORMULA(XLOOKUP(FILTER(INDIRECT(""'""&amp;CF$1&amp;""'!$C$4:$C$66""),INDIRECT(""'""&amp;CF$1&amp;""'!$D$4:$D$66"")=CF$2),$G$4:$BQ$4,$G100:$BQ100)))"),0.0625)</f>
        <v>0.0625</v>
      </c>
      <c r="CG100" s="207" t="str">
        <f>IFERROR(__xludf.DUMMYFUNCTION("IF(OR(CF100&gt;$BS100+$BT100*$BT$2,CF100&lt;$BS100-$BT100*$BT$2),AVEDEV(ARRAYFORMULA(XLOOKUP(FILTER(INDIRECT(""'""&amp;CF$1&amp;""'!$C$4:$C$66""),INDIRECT(""'""&amp;CF$1&amp;""'!$D$4:$D$66"")=CF$2),$G$4:$BQ$4,$G100:$BQ100))),"""")"),"")</f>
        <v/>
      </c>
      <c r="CH100" s="208" t="str">
        <f t="shared" si="11"/>
        <v/>
      </c>
      <c r="CI100" s="207">
        <f>IFERROR(__xludf.DUMMYFUNCTION("AVERAGE(ARRAYFORMULA(XLOOKUP(FILTER(INDIRECT(""'""&amp;CI$1&amp;""'!$C$4:$C$66""),INDIRECT(""'""&amp;CI$1&amp;""'!$D$4:$D$66"")=CI$2),$G$4:$BQ$4,$G100:$BQ100)))"),0.06451612903225806)</f>
        <v>0.06451612903</v>
      </c>
      <c r="CJ100" s="207" t="str">
        <f>IFERROR(__xludf.DUMMYFUNCTION("IF(OR(CI100&gt;$BS100+$BT100*$BT$2,CI100&lt;$BS100-$BT100*$BT$2),AVEDEV(ARRAYFORMULA(XLOOKUP(FILTER(INDIRECT(""'""&amp;CI$1&amp;""'!$C$4:$C$66""),INDIRECT(""'""&amp;CI$1&amp;""'!$D$4:$D$66"")=CI$2),$G$4:$BQ$4,$G100:$BQ100))),"""")"),"")</f>
        <v/>
      </c>
      <c r="CK100" s="208" t="str">
        <f t="shared" si="12"/>
        <v/>
      </c>
      <c r="CL100" s="207">
        <f>IFERROR(__xludf.DUMMYFUNCTION("AVERAGE(ARRAYFORMULA(XLOOKUP(FILTER(INDIRECT(""'""&amp;CL$1&amp;""'!$C$4:$C$66""),INDIRECT(""'""&amp;CL$1&amp;""'!$D$4:$D$66"")=CL$2),$G$4:$BQ$4,$G100:$BQ100)))"),0.0)</f>
        <v>0</v>
      </c>
      <c r="CM100" s="207" t="str">
        <f>IFERROR(__xludf.DUMMYFUNCTION("IF(OR(CL100&gt;$BS100+$BT100*$BT$2,CL100&lt;$BS100-$BT100*$BT$2),AVEDEV(ARRAYFORMULA(XLOOKUP(FILTER(INDIRECT(""'""&amp;CL$1&amp;""'!$C$4:$C$66""),INDIRECT(""'""&amp;CL$1&amp;""'!$D$4:$D$66"")=CL$2),$G$4:$BQ$4,$G100:$BQ100))),"""")"),"")</f>
        <v/>
      </c>
      <c r="CN100" s="208" t="str">
        <f t="shared" si="13"/>
        <v/>
      </c>
      <c r="CO100" s="209" t="s">
        <v>444</v>
      </c>
      <c r="CP100" s="210">
        <f>IFERROR(__xludf.DUMMYFUNCTION("AVERAGE(ARRAYFORMULA(XLOOKUP(FILTER(INDIRECT(""'""&amp;CP$1&amp;""'!$C$4:$C$66""),INDIRECT(""'""&amp;CP$1&amp;""'!$D$4:$D$66"")=CP$2),$G$4:$BQ$4,$G100:$BQ100)))"),0.0)</f>
        <v>0</v>
      </c>
      <c r="CQ100" s="207" t="str">
        <f>IFERROR(__xludf.DUMMYFUNCTION("IF(OR(CP100&gt;$BS100+$BT100*$BT$2,CP100&lt;$BS100-$BT100*$BT$2),AVEDEV(ARRAYFORMULA(XLOOKUP(FILTER(INDIRECT(""'""&amp;CP$1&amp;""'!$C$4:$C$66""),INDIRECT(""'""&amp;CP$1&amp;""'!$D$4:$D$66"")=CP$2),$G$4:$BQ$4,$G100:$BQ100))),"""")"),"")</f>
        <v/>
      </c>
      <c r="CR100" s="208" t="str">
        <f t="shared" si="14"/>
        <v/>
      </c>
      <c r="CS100" s="210">
        <f>IFERROR(__xludf.DUMMYFUNCTION("AVERAGE(ARRAYFORMULA(XLOOKUP(FILTER(INDIRECT(""'""&amp;CS$1&amp;""'!$C$4:$C$66""),INDIRECT(""'""&amp;CS$1&amp;""'!$D$4:$D$66"")=CS$2),$G$4:$BQ$4,$G100:$BQ100)))"),0.10256410256410256)</f>
        <v>0.1025641026</v>
      </c>
      <c r="CT100" s="207" t="str">
        <f>IFERROR(__xludf.DUMMYFUNCTION("IF(OR(CS100&gt;$BS100+$BT100*$BT$2,CS100&lt;$BS100-$BT100*$BT$2),AVEDEV(ARRAYFORMULA(XLOOKUP(FILTER(INDIRECT(""'""&amp;CS$1&amp;""'!$C$4:$C$66""),INDIRECT(""'""&amp;CS$1&amp;""'!$D$4:$D$66"")=CS$2),$G$4:$BQ$4,$G100:$BQ100))),"""")"),"")</f>
        <v/>
      </c>
      <c r="CU100" s="208" t="str">
        <f t="shared" si="15"/>
        <v/>
      </c>
      <c r="CV100" s="210">
        <f>IFERROR(__xludf.DUMMYFUNCTION("AVERAGE(ARRAYFORMULA(XLOOKUP(FILTER(INDIRECT(""'""&amp;CV$1&amp;""'!$C$4:$C$66""),INDIRECT(""'""&amp;CV$1&amp;""'!$D$4:$D$66"")=CV$2),$G$4:$BQ$4,$G100:$BQ100)))"),0.0)</f>
        <v>0</v>
      </c>
      <c r="CW100" s="207" t="str">
        <f>IFERROR(__xludf.DUMMYFUNCTION("IF(OR(CV100&gt;$BS100+$BT100*$BT$2,CV100&lt;$BS100-$BT100*$BT$2),AVEDEV(ARRAYFORMULA(XLOOKUP(FILTER(INDIRECT(""'""&amp;CV$1&amp;""'!$C$4:$C$66""),INDIRECT(""'""&amp;CV$1&amp;""'!$D$4:$D$66"")=CV$2),$G$4:$BQ$4,$G100:$BQ100))),"""")"),"")</f>
        <v/>
      </c>
      <c r="CX100" s="208" t="str">
        <f t="shared" si="16"/>
        <v/>
      </c>
      <c r="CY100" s="209" t="s">
        <v>444</v>
      </c>
      <c r="CZ100" s="210">
        <f>IFERROR(__xludf.DUMMYFUNCTION("AVERAGE(ARRAYFORMULA(XLOOKUP(FILTER(INDIRECT(""'""&amp;CZ$1&amp;""'!$C$4:$C$66""),INDIRECT(""'""&amp;CZ$1&amp;""'!$D$4:$D$66"")=CZ$2),$G$4:$BQ$4,$G100:$BQ100)))"),0.07142857142857142)</f>
        <v>0.07142857143</v>
      </c>
      <c r="DA100" s="207" t="str">
        <f>IFERROR(__xludf.DUMMYFUNCTION("IF(OR(CZ100&gt;$BS100+$BT100*$BT$2,CZ100&lt;$BS100-$BT100*$BT$2),AVEDEV(ARRAYFORMULA(XLOOKUP(FILTER(INDIRECT(""'""&amp;CZ$1&amp;""'!$C$4:$C$66""),INDIRECT(""'""&amp;CZ$1&amp;""'!$D$4:$D$66"")=CZ$2),$G$4:$BQ$4,$G100:$BQ100))),"""")"),"")</f>
        <v/>
      </c>
      <c r="DB100" s="208" t="str">
        <f t="shared" si="17"/>
        <v/>
      </c>
      <c r="DC100" s="210">
        <f>IFERROR(__xludf.DUMMYFUNCTION("AVERAGE(ARRAYFORMULA(XLOOKUP(FILTER(INDIRECT(""'""&amp;DC$1&amp;""'!$C$4:$C$66""),INDIRECT(""'""&amp;DC$1&amp;""'!$D$4:$D$66"")=DC$2),$G$4:$BQ$4,$G100:$BQ100)))"),0.1111111111111111)</f>
        <v>0.1111111111</v>
      </c>
      <c r="DD100" s="207" t="str">
        <f>IFERROR(__xludf.DUMMYFUNCTION("IF(OR(DC100&gt;$BS100+$BT100*$BT$2,DC100&lt;$BS100-$BT100*$BT$2),AVEDEV(ARRAYFORMULA(XLOOKUP(FILTER(INDIRECT(""'""&amp;DC$1&amp;""'!$C$4:$C$66""),INDIRECT(""'""&amp;DC$1&amp;""'!$D$4:$D$66"")=DC$2),$G$4:$BQ$4,$G100:$BQ100))),"""")"),"")</f>
        <v/>
      </c>
      <c r="DE100" s="208" t="str">
        <f t="shared" si="18"/>
        <v/>
      </c>
      <c r="DF100" s="210">
        <f>IFERROR(__xludf.DUMMYFUNCTION("AVERAGE(ARRAYFORMULA(XLOOKUP(FILTER(INDIRECT(""'""&amp;DF$1&amp;""'!$C$4:$C$66""),INDIRECT(""'""&amp;DF$1&amp;""'!$D$4:$D$66"")=DF$2),$G$4:$BQ$4,$G100:$BQ100)))"),0.0)</f>
        <v>0</v>
      </c>
      <c r="DG100" s="207" t="str">
        <f>IFERROR(__xludf.DUMMYFUNCTION("IF(OR(DF100&gt;$BS100+$BT100*$BT$2,DF100&lt;$BS100-$BT100*$BT$2),AVEDEV(ARRAYFORMULA(XLOOKUP(FILTER(INDIRECT(""'""&amp;DF$1&amp;""'!$C$4:$C$66""),INDIRECT(""'""&amp;DF$1&amp;""'!$D$4:$D$66"")=DF$2),$G$4:$BQ$4,$G100:$BQ100))),"""")"),"")</f>
        <v/>
      </c>
      <c r="DH100" s="208" t="str">
        <f t="shared" si="19"/>
        <v/>
      </c>
      <c r="DI100" s="210">
        <f>IFERROR(__xludf.DUMMYFUNCTION("AVERAGE(ARRAYFORMULA(XLOOKUP(FILTER(INDIRECT(""'""&amp;DI$1&amp;""'!$C$4:$C$66""),INDIRECT(""'""&amp;DI$1&amp;""'!$D$4:$D$66"")=DI$2),$G$4:$BQ$4,$G100:$BQ100)))"),0.0)</f>
        <v>0</v>
      </c>
      <c r="DJ100" s="207" t="str">
        <f>IFERROR(__xludf.DUMMYFUNCTION("IF(OR(DI100&gt;$BS100+$BT100*$BT$2,DI100&lt;$BS100-$BT100*$BT$2),AVEDEV(ARRAYFORMULA(XLOOKUP(FILTER(INDIRECT(""'""&amp;DI$1&amp;""'!$C$4:$C$66""),INDIRECT(""'""&amp;DI$1&amp;""'!$D$4:$D$66"")=DI$2),$G$4:$BQ$4,$G100:$BQ100))),"""")"),"")</f>
        <v/>
      </c>
      <c r="DK100" s="208" t="str">
        <f t="shared" si="20"/>
        <v/>
      </c>
      <c r="DL100" s="210">
        <f>IFERROR(__xludf.DUMMYFUNCTION("AVERAGE(ARRAYFORMULA(XLOOKUP(FILTER(INDIRECT(""'""&amp;DL$1&amp;""'!$C$4:$C$66""),INDIRECT(""'""&amp;DL$1&amp;""'!$D$4:$D$66"")=DL$2),$G$4:$BQ$4,$G100:$BQ100)))"),0.14285714285714285)</f>
        <v>0.1428571429</v>
      </c>
      <c r="DM100" s="207" t="str">
        <f>IFERROR(__xludf.DUMMYFUNCTION("IF(OR(DL100&gt;$BS100+$BT100*$BT$2,DL100&lt;$BS100-$BT100*$BT$2),AVEDEV(ARRAYFORMULA(XLOOKUP(FILTER(INDIRECT(""'""&amp;DL$1&amp;""'!$C$4:$C$66""),INDIRECT(""'""&amp;DL$1&amp;""'!$D$4:$D$66"")=DL$2),$G$4:$BQ$4,$G100:$BQ100))),"""")"),"")</f>
        <v/>
      </c>
      <c r="DN100" s="208" t="str">
        <f t="shared" si="21"/>
        <v/>
      </c>
      <c r="DO100" s="209" t="s">
        <v>444</v>
      </c>
      <c r="DP100" s="210">
        <f>IFERROR(__xludf.DUMMYFUNCTION("AVERAGE(ARRAYFORMULA(XLOOKUP(FILTER(INDIRECT(""'""&amp;DP$1&amp;""'!$C$4:$C$66""),INDIRECT(""'""&amp;DP$1&amp;""'!$D$4:$D$66"")=DP$2),$G$4:$BQ$4,$G100:$BQ100)))"),0.06666666666666667)</f>
        <v>0.06666666667</v>
      </c>
      <c r="DQ100" s="207" t="str">
        <f>IFERROR(__xludf.DUMMYFUNCTION("IF(OR(DP100&gt;$BS100+$BT100*$BT$2,DP100&lt;$BS100-$BT100*$BT$2),AVEDEV(ARRAYFORMULA(XLOOKUP(FILTER(INDIRECT(""'""&amp;DP$1&amp;""'!$C$4:$C$66""),INDIRECT(""'""&amp;DP$1&amp;""'!$D$4:$D$66"")=DP$2),$G$4:$BQ$4,$G100:$BQ100))),"""")"),"")</f>
        <v/>
      </c>
      <c r="DR100" s="208" t="str">
        <f t="shared" si="22"/>
        <v/>
      </c>
      <c r="DS100" s="210">
        <f>IFERROR(__xludf.DUMMYFUNCTION("AVERAGE(ARRAYFORMULA(XLOOKUP(FILTER(INDIRECT(""'""&amp;DS$1&amp;""'!$C$4:$C$66""),INDIRECT(""'""&amp;DS$1&amp;""'!$D$4:$D$66"")=DS$2),$G$4:$BQ$4,$G100:$BQ100)))"),0.1111111111111111)</f>
        <v>0.1111111111</v>
      </c>
      <c r="DT100" s="207" t="str">
        <f>IFERROR(__xludf.DUMMYFUNCTION("IF(OR(DS100&gt;$BS100+$BT100*$BT$2,DS100&lt;$BS100-$BT100*$BT$2),AVEDEV(ARRAYFORMULA(XLOOKUP(FILTER(INDIRECT(""'""&amp;DS$1&amp;""'!$C$4:$C$66""),INDIRECT(""'""&amp;DS$1&amp;""'!$D$4:$D$66"")=DS$2),$G$4:$BQ$4,$G100:$BQ100))),"""")"),"")</f>
        <v/>
      </c>
      <c r="DU100" s="208" t="str">
        <f t="shared" si="23"/>
        <v/>
      </c>
      <c r="DV100" s="210">
        <f>IFERROR(__xludf.DUMMYFUNCTION("AVERAGE(ARRAYFORMULA(XLOOKUP(FILTER(INDIRECT(""'""&amp;DV$1&amp;""'!$C$4:$C$66""),INDIRECT(""'""&amp;DV$1&amp;""'!$D$4:$D$66"")=DV$2),$G$4:$BQ$4,$G100:$BQ100)))"),0.0)</f>
        <v>0</v>
      </c>
      <c r="DW100" s="207" t="str">
        <f>IFERROR(__xludf.DUMMYFUNCTION("IF(OR(DV100&gt;$BS100+$BT100*$BT$2,DV100&lt;$BS100-$BT100*$BT$2),AVEDEV(ARRAYFORMULA(XLOOKUP(FILTER(INDIRECT(""'""&amp;DV$1&amp;""'!$C$4:$C$66""),INDIRECT(""'""&amp;DV$1&amp;""'!$D$4:$D$66"")=DV$2),$G$4:$BQ$4,$G100:$BQ100))),"""")"),"")</f>
        <v/>
      </c>
      <c r="DX100" s="208" t="str">
        <f t="shared" si="24"/>
        <v/>
      </c>
      <c r="DY100" s="210">
        <f>IFERROR(__xludf.DUMMYFUNCTION("AVERAGE(ARRAYFORMULA(XLOOKUP(FILTER(INDIRECT(""'""&amp;DY$1&amp;""'!$C$4:$C$66""),INDIRECT(""'""&amp;DY$1&amp;""'!$D$4:$D$66"")=DY$2),$G$4:$BQ$4,$G100:$BQ100)))"),0.0)</f>
        <v>0</v>
      </c>
      <c r="DZ100" s="207" t="str">
        <f>IFERROR(__xludf.DUMMYFUNCTION("IF(OR(DY100&gt;$BS100+$BT100*$BT$2,DY100&lt;$BS100-$BT100*$BT$2),AVEDEV(ARRAYFORMULA(XLOOKUP(FILTER(INDIRECT(""'""&amp;DY$1&amp;""'!$C$4:$C$66""),INDIRECT(""'""&amp;DY$1&amp;""'!$D$4:$D$66"")=DY$2),$G$4:$BQ$4,$G100:$BQ100))),"""")"),"")</f>
        <v/>
      </c>
      <c r="EA100" s="208" t="str">
        <f t="shared" si="25"/>
        <v/>
      </c>
      <c r="EB100" s="191"/>
    </row>
    <row r="101" outlineLevel="1">
      <c r="A101" s="2"/>
      <c r="B101" s="204">
        <v>97.0</v>
      </c>
      <c r="C101" s="204" t="s">
        <v>540</v>
      </c>
      <c r="D101" s="204" t="s">
        <v>543</v>
      </c>
      <c r="E101" s="205" t="b">
        <f>VLOOKUP(D101,'Feature Set List'!A97:C246,2,0)</f>
        <v>1</v>
      </c>
      <c r="F101" s="205" t="b">
        <f>VLOOKUP(D101,'Feature Set List'!A97:C246,3,0)</f>
        <v>1</v>
      </c>
      <c r="G101" s="205">
        <v>0.0</v>
      </c>
      <c r="H101" s="205">
        <v>0.0</v>
      </c>
      <c r="I101" s="205">
        <v>0.0</v>
      </c>
      <c r="J101" s="205">
        <v>0.0</v>
      </c>
      <c r="K101" s="205">
        <v>1.0</v>
      </c>
      <c r="L101" s="205">
        <v>0.0</v>
      </c>
      <c r="M101" s="205">
        <v>0.0</v>
      </c>
      <c r="N101" s="205">
        <v>0.0</v>
      </c>
      <c r="O101" s="205">
        <v>0.0</v>
      </c>
      <c r="P101" s="205">
        <v>0.0</v>
      </c>
      <c r="Q101" s="205">
        <v>0.0</v>
      </c>
      <c r="R101" s="205">
        <v>0.0</v>
      </c>
      <c r="S101" s="205">
        <v>0.0</v>
      </c>
      <c r="T101" s="205">
        <v>0.0</v>
      </c>
      <c r="U101" s="205">
        <v>0.0</v>
      </c>
      <c r="V101" s="205">
        <v>0.0</v>
      </c>
      <c r="W101" s="205">
        <v>0.0</v>
      </c>
      <c r="X101" s="205">
        <v>0.0</v>
      </c>
      <c r="Y101" s="205">
        <v>0.0</v>
      </c>
      <c r="Z101" s="205">
        <v>0.0</v>
      </c>
      <c r="AA101" s="205">
        <v>0.0</v>
      </c>
      <c r="AB101" s="205">
        <v>0.0</v>
      </c>
      <c r="AC101" s="205">
        <v>0.0</v>
      </c>
      <c r="AD101" s="205">
        <v>0.0</v>
      </c>
      <c r="AE101" s="205">
        <v>0.0</v>
      </c>
      <c r="AF101" s="205">
        <v>0.0</v>
      </c>
      <c r="AG101" s="205">
        <v>0.0</v>
      </c>
      <c r="AH101" s="205">
        <v>0.0</v>
      </c>
      <c r="AI101" s="205">
        <v>0.0</v>
      </c>
      <c r="AJ101" s="205">
        <v>0.0</v>
      </c>
      <c r="AK101" s="205">
        <v>0.0</v>
      </c>
      <c r="AL101" s="205">
        <v>0.0</v>
      </c>
      <c r="AM101" s="205">
        <v>0.0</v>
      </c>
      <c r="AN101" s="205">
        <v>0.0</v>
      </c>
      <c r="AO101" s="205">
        <v>0.0</v>
      </c>
      <c r="AP101" s="205">
        <v>0.0</v>
      </c>
      <c r="AQ101" s="205">
        <v>0.0</v>
      </c>
      <c r="AR101" s="205">
        <v>0.0</v>
      </c>
      <c r="AS101" s="205">
        <v>0.0</v>
      </c>
      <c r="AT101" s="205">
        <v>0.0</v>
      </c>
      <c r="AU101" s="205">
        <v>0.0</v>
      </c>
      <c r="AV101" s="205">
        <v>0.0</v>
      </c>
      <c r="AW101" s="205">
        <v>0.0</v>
      </c>
      <c r="AX101" s="205">
        <v>0.0</v>
      </c>
      <c r="AY101" s="205">
        <v>0.0</v>
      </c>
      <c r="AZ101" s="205">
        <v>0.0</v>
      </c>
      <c r="BA101" s="205">
        <v>0.0</v>
      </c>
      <c r="BB101" s="205">
        <v>0.0</v>
      </c>
      <c r="BC101" s="205">
        <v>0.0</v>
      </c>
      <c r="BD101" s="205">
        <v>0.0</v>
      </c>
      <c r="BE101" s="205">
        <v>0.0</v>
      </c>
      <c r="BF101" s="205">
        <v>0.0</v>
      </c>
      <c r="BG101" s="205">
        <v>0.0</v>
      </c>
      <c r="BH101" s="205">
        <v>0.0</v>
      </c>
      <c r="BI101" s="205">
        <v>0.0</v>
      </c>
      <c r="BJ101" s="205">
        <v>0.0</v>
      </c>
      <c r="BK101" s="205">
        <v>0.0</v>
      </c>
      <c r="BL101" s="205">
        <v>0.0</v>
      </c>
      <c r="BM101" s="205">
        <v>0.0</v>
      </c>
      <c r="BN101" s="205">
        <v>0.0</v>
      </c>
      <c r="BO101" s="205">
        <v>0.0</v>
      </c>
      <c r="BP101" s="205">
        <v>0.0</v>
      </c>
      <c r="BQ101" s="205">
        <v>0.0</v>
      </c>
      <c r="BR101" s="206"/>
      <c r="BS101" s="207">
        <f t="shared" si="6"/>
        <v>0.01587301587</v>
      </c>
      <c r="BT101" s="207">
        <f t="shared" si="7"/>
        <v>0.03124212648</v>
      </c>
      <c r="BU101" s="206"/>
      <c r="BV101" s="207">
        <f>IFERROR(__xludf.DUMMYFUNCTION("AVERAGE(ARRAYFORMULA(XLOOKUP(FILTER(INDIRECT(""'""&amp;BV$1&amp;""'!$C$4:$C$66""),INDIRECT(""'""&amp;BV$1&amp;""'!$D$4:$D$66"")=BV$2),$G$4:$BQ$4,$G101:$BQ101)))"),0.0)</f>
        <v>0</v>
      </c>
      <c r="BW101" s="207" t="str">
        <f>IFERROR(__xludf.DUMMYFUNCTION("IF(OR(BV101&gt;$BS101+$BT101*$BT$2,BV101&lt;$BS101-$BT101*$BT$2),AVEDEV(ARRAYFORMULA(XLOOKUP(FILTER(INDIRECT(""'""&amp;BV$1&amp;""'!$C$4:$C$66""),INDIRECT(""'""&amp;BV$1&amp;""'!$D$4:$D$66"")=BV$2),$G$4:$BQ$4,$G101:$BQ101))),"""")"),"")</f>
        <v/>
      </c>
      <c r="BX101" s="208" t="str">
        <f t="shared" si="8"/>
        <v/>
      </c>
      <c r="BY101" s="207">
        <f>IFERROR(__xludf.DUMMYFUNCTION("AVERAGE(ARRAYFORMULA(XLOOKUP(FILTER(INDIRECT(""'""&amp;BY$1&amp;""'!$C$4:$C$66""),INDIRECT(""'""&amp;BY$1&amp;""'!$D$4:$D$66"")=BY$2),$G$4:$BQ$4,$G101:$BQ101)))"),0.023809523809523808)</f>
        <v>0.02380952381</v>
      </c>
      <c r="BZ101" s="207" t="str">
        <f>IFERROR(__xludf.DUMMYFUNCTION("IF(OR(BY101&gt;$BS101+$BT101*$BT$2,BY101&lt;$BS101-$BT101*$BT$2),AVEDEV(ARRAYFORMULA(XLOOKUP(FILTER(INDIRECT(""'""&amp;BY$1&amp;""'!$C$4:$C$66""),INDIRECT(""'""&amp;BY$1&amp;""'!$D$4:$D$66"")=BY$2),$G$4:$BQ$4,$G101:$BQ101))),"""")"),"")</f>
        <v/>
      </c>
      <c r="CA101" s="208" t="str">
        <f t="shared" si="9"/>
        <v/>
      </c>
      <c r="CB101" s="207">
        <f>IFERROR(__xludf.DUMMYFUNCTION("AVERAGE(ARRAYFORMULA(XLOOKUP(FILTER(INDIRECT(""'""&amp;CB$1&amp;""'!$C$4:$C$66""),INDIRECT(""'""&amp;CB$1&amp;""'!$D$4:$D$66"")=CB$2),$G$4:$BQ$4,$G101:$BQ101)))"),0.0)</f>
        <v>0</v>
      </c>
      <c r="CC101" s="207" t="str">
        <f>IFERROR(__xludf.DUMMYFUNCTION("IF(OR(CB101&gt;$BS101+$BT101*$BT$2,CB101&lt;$BS101-$BT101*$BT$2),AVEDEV(ARRAYFORMULA(XLOOKUP(FILTER(INDIRECT(""'""&amp;CB$1&amp;""'!$C$4:$C$66""),INDIRECT(""'""&amp;CB$1&amp;""'!$D$4:$D$66"")=CB$2),$G$4:$BQ$4,$G101:$BQ101))),"""")"),"")</f>
        <v/>
      </c>
      <c r="CD101" s="208" t="str">
        <f t="shared" si="10"/>
        <v/>
      </c>
      <c r="CE101" s="209" t="s">
        <v>444</v>
      </c>
      <c r="CF101" s="207">
        <f>IFERROR(__xludf.DUMMYFUNCTION("AVERAGE(ARRAYFORMULA(XLOOKUP(FILTER(INDIRECT(""'""&amp;CF$1&amp;""'!$C$4:$C$66""),INDIRECT(""'""&amp;CF$1&amp;""'!$D$4:$D$66"")=CF$2),$G$4:$BQ$4,$G101:$BQ101)))"),0.0625)</f>
        <v>0.0625</v>
      </c>
      <c r="CG101" s="207">
        <f>IFERROR(__xludf.DUMMYFUNCTION("IF(OR(CF101&gt;$BS101+$BT101*$BT$2,CF101&lt;$BS101-$BT101*$BT$2),AVEDEV(ARRAYFORMULA(XLOOKUP(FILTER(INDIRECT(""'""&amp;CF$1&amp;""'!$C$4:$C$66""),INDIRECT(""'""&amp;CF$1&amp;""'!$D$4:$D$66"")=CF$2),$G$4:$BQ$4,$G101:$BQ101))),"""")"),0.1171875)</f>
        <v>0.1171875</v>
      </c>
      <c r="CH101" s="208">
        <f t="shared" si="11"/>
        <v>0.01538485765</v>
      </c>
      <c r="CI101" s="207">
        <f>IFERROR(__xludf.DUMMYFUNCTION("AVERAGE(ARRAYFORMULA(XLOOKUP(FILTER(INDIRECT(""'""&amp;CI$1&amp;""'!$C$4:$C$66""),INDIRECT(""'""&amp;CI$1&amp;""'!$D$4:$D$66"")=CI$2),$G$4:$BQ$4,$G101:$BQ101)))"),0.0)</f>
        <v>0</v>
      </c>
      <c r="CJ101" s="207" t="str">
        <f>IFERROR(__xludf.DUMMYFUNCTION("IF(OR(CI101&gt;$BS101+$BT101*$BT$2,CI101&lt;$BS101-$BT101*$BT$2),AVEDEV(ARRAYFORMULA(XLOOKUP(FILTER(INDIRECT(""'""&amp;CI$1&amp;""'!$C$4:$C$66""),INDIRECT(""'""&amp;CI$1&amp;""'!$D$4:$D$66"")=CI$2),$G$4:$BQ$4,$G101:$BQ101))),"""")"),"")</f>
        <v/>
      </c>
      <c r="CK101" s="208" t="str">
        <f t="shared" si="12"/>
        <v/>
      </c>
      <c r="CL101" s="207">
        <f>IFERROR(__xludf.DUMMYFUNCTION("AVERAGE(ARRAYFORMULA(XLOOKUP(FILTER(INDIRECT(""'""&amp;CL$1&amp;""'!$C$4:$C$66""),INDIRECT(""'""&amp;CL$1&amp;""'!$D$4:$D$66"")=CL$2),$G$4:$BQ$4,$G101:$BQ101)))"),0.0)</f>
        <v>0</v>
      </c>
      <c r="CM101" s="207" t="str">
        <f>IFERROR(__xludf.DUMMYFUNCTION("IF(OR(CL101&gt;$BS101+$BT101*$BT$2,CL101&lt;$BS101-$BT101*$BT$2),AVEDEV(ARRAYFORMULA(XLOOKUP(FILTER(INDIRECT(""'""&amp;CL$1&amp;""'!$C$4:$C$66""),INDIRECT(""'""&amp;CL$1&amp;""'!$D$4:$D$66"")=CL$2),$G$4:$BQ$4,$G101:$BQ101))),"""")"),"")</f>
        <v/>
      </c>
      <c r="CN101" s="208" t="str">
        <f t="shared" si="13"/>
        <v/>
      </c>
      <c r="CO101" s="209" t="s">
        <v>444</v>
      </c>
      <c r="CP101" s="210">
        <f>IFERROR(__xludf.DUMMYFUNCTION("AVERAGE(ARRAYFORMULA(XLOOKUP(FILTER(INDIRECT(""'""&amp;CP$1&amp;""'!$C$4:$C$66""),INDIRECT(""'""&amp;CP$1&amp;""'!$D$4:$D$66"")=CP$2),$G$4:$BQ$4,$G101:$BQ101)))"),0.0)</f>
        <v>0</v>
      </c>
      <c r="CQ101" s="207" t="str">
        <f>IFERROR(__xludf.DUMMYFUNCTION("IF(OR(CP101&gt;$BS101+$BT101*$BT$2,CP101&lt;$BS101-$BT101*$BT$2),AVEDEV(ARRAYFORMULA(XLOOKUP(FILTER(INDIRECT(""'""&amp;CP$1&amp;""'!$C$4:$C$66""),INDIRECT(""'""&amp;CP$1&amp;""'!$D$4:$D$66"")=CP$2),$G$4:$BQ$4,$G101:$BQ101))),"""")"),"")</f>
        <v/>
      </c>
      <c r="CR101" s="208" t="str">
        <f t="shared" si="14"/>
        <v/>
      </c>
      <c r="CS101" s="210">
        <f>IFERROR(__xludf.DUMMYFUNCTION("AVERAGE(ARRAYFORMULA(XLOOKUP(FILTER(INDIRECT(""'""&amp;CS$1&amp;""'!$C$4:$C$66""),INDIRECT(""'""&amp;CS$1&amp;""'!$D$4:$D$66"")=CS$2),$G$4:$BQ$4,$G101:$BQ101)))"),0.02564102564102564)</f>
        <v>0.02564102564</v>
      </c>
      <c r="CT101" s="207" t="str">
        <f>IFERROR(__xludf.DUMMYFUNCTION("IF(OR(CS101&gt;$BS101+$BT101*$BT$2,CS101&lt;$BS101-$BT101*$BT$2),AVEDEV(ARRAYFORMULA(XLOOKUP(FILTER(INDIRECT(""'""&amp;CS$1&amp;""'!$C$4:$C$66""),INDIRECT(""'""&amp;CS$1&amp;""'!$D$4:$D$66"")=CS$2),$G$4:$BQ$4,$G101:$BQ101))),"""")"),"")</f>
        <v/>
      </c>
      <c r="CU101" s="208" t="str">
        <f t="shared" si="15"/>
        <v/>
      </c>
      <c r="CV101" s="210">
        <f>IFERROR(__xludf.DUMMYFUNCTION("AVERAGE(ARRAYFORMULA(XLOOKUP(FILTER(INDIRECT(""'""&amp;CV$1&amp;""'!$C$4:$C$66""),INDIRECT(""'""&amp;CV$1&amp;""'!$D$4:$D$66"")=CV$2),$G$4:$BQ$4,$G101:$BQ101)))"),0.0)</f>
        <v>0</v>
      </c>
      <c r="CW101" s="207" t="str">
        <f>IFERROR(__xludf.DUMMYFUNCTION("IF(OR(CV101&gt;$BS101+$BT101*$BT$2,CV101&lt;$BS101-$BT101*$BT$2),AVEDEV(ARRAYFORMULA(XLOOKUP(FILTER(INDIRECT(""'""&amp;CV$1&amp;""'!$C$4:$C$66""),INDIRECT(""'""&amp;CV$1&amp;""'!$D$4:$D$66"")=CV$2),$G$4:$BQ$4,$G101:$BQ101))),"""")"),"")</f>
        <v/>
      </c>
      <c r="CX101" s="208" t="str">
        <f t="shared" si="16"/>
        <v/>
      </c>
      <c r="CY101" s="209" t="s">
        <v>444</v>
      </c>
      <c r="CZ101" s="210">
        <f>IFERROR(__xludf.DUMMYFUNCTION("AVERAGE(ARRAYFORMULA(XLOOKUP(FILTER(INDIRECT(""'""&amp;CZ$1&amp;""'!$C$4:$C$66""),INDIRECT(""'""&amp;CZ$1&amp;""'!$D$4:$D$66"")=CZ$2),$G$4:$BQ$4,$G101:$BQ101)))"),0.0)</f>
        <v>0</v>
      </c>
      <c r="DA101" s="207" t="str">
        <f>IFERROR(__xludf.DUMMYFUNCTION("IF(OR(CZ101&gt;$BS101+$BT101*$BT$2,CZ101&lt;$BS101-$BT101*$BT$2),AVEDEV(ARRAYFORMULA(XLOOKUP(FILTER(INDIRECT(""'""&amp;CZ$1&amp;""'!$C$4:$C$66""),INDIRECT(""'""&amp;CZ$1&amp;""'!$D$4:$D$66"")=CZ$2),$G$4:$BQ$4,$G101:$BQ101))),"""")"),"")</f>
        <v/>
      </c>
      <c r="DB101" s="208" t="str">
        <f t="shared" si="17"/>
        <v/>
      </c>
      <c r="DC101" s="210">
        <f>IFERROR(__xludf.DUMMYFUNCTION("AVERAGE(ARRAYFORMULA(XLOOKUP(FILTER(INDIRECT(""'""&amp;DC$1&amp;""'!$C$4:$C$66""),INDIRECT(""'""&amp;DC$1&amp;""'!$D$4:$D$66"")=DC$2),$G$4:$BQ$4,$G101:$BQ101)))"),0.0)</f>
        <v>0</v>
      </c>
      <c r="DD101" s="207" t="str">
        <f>IFERROR(__xludf.DUMMYFUNCTION("IF(OR(DC101&gt;$BS101+$BT101*$BT$2,DC101&lt;$BS101-$BT101*$BT$2),AVEDEV(ARRAYFORMULA(XLOOKUP(FILTER(INDIRECT(""'""&amp;DC$1&amp;""'!$C$4:$C$66""),INDIRECT(""'""&amp;DC$1&amp;""'!$D$4:$D$66"")=DC$2),$G$4:$BQ$4,$G101:$BQ101))),"""")"),"")</f>
        <v/>
      </c>
      <c r="DE101" s="208" t="str">
        <f t="shared" si="18"/>
        <v/>
      </c>
      <c r="DF101" s="210">
        <f>IFERROR(__xludf.DUMMYFUNCTION("AVERAGE(ARRAYFORMULA(XLOOKUP(FILTER(INDIRECT(""'""&amp;DF$1&amp;""'!$C$4:$C$66""),INDIRECT(""'""&amp;DF$1&amp;""'!$D$4:$D$66"")=DF$2),$G$4:$BQ$4,$G101:$BQ101)))"),0.0)</f>
        <v>0</v>
      </c>
      <c r="DG101" s="207" t="str">
        <f>IFERROR(__xludf.DUMMYFUNCTION("IF(OR(DF101&gt;$BS101+$BT101*$BT$2,DF101&lt;$BS101-$BT101*$BT$2),AVEDEV(ARRAYFORMULA(XLOOKUP(FILTER(INDIRECT(""'""&amp;DF$1&amp;""'!$C$4:$C$66""),INDIRECT(""'""&amp;DF$1&amp;""'!$D$4:$D$66"")=DF$2),$G$4:$BQ$4,$G101:$BQ101))),"""")"),"")</f>
        <v/>
      </c>
      <c r="DH101" s="208" t="str">
        <f t="shared" si="19"/>
        <v/>
      </c>
      <c r="DI101" s="210">
        <f>IFERROR(__xludf.DUMMYFUNCTION("AVERAGE(ARRAYFORMULA(XLOOKUP(FILTER(INDIRECT(""'""&amp;DI$1&amp;""'!$C$4:$C$66""),INDIRECT(""'""&amp;DI$1&amp;""'!$D$4:$D$66"")=DI$2),$G$4:$BQ$4,$G101:$BQ101)))"),0.0)</f>
        <v>0</v>
      </c>
      <c r="DJ101" s="207" t="str">
        <f>IFERROR(__xludf.DUMMYFUNCTION("IF(OR(DI101&gt;$BS101+$BT101*$BT$2,DI101&lt;$BS101-$BT101*$BT$2),AVEDEV(ARRAYFORMULA(XLOOKUP(FILTER(INDIRECT(""'""&amp;DI$1&amp;""'!$C$4:$C$66""),INDIRECT(""'""&amp;DI$1&amp;""'!$D$4:$D$66"")=DI$2),$G$4:$BQ$4,$G101:$BQ101))),"""")"),"")</f>
        <v/>
      </c>
      <c r="DK101" s="208" t="str">
        <f t="shared" si="20"/>
        <v/>
      </c>
      <c r="DL101" s="210">
        <f>IFERROR(__xludf.DUMMYFUNCTION("AVERAGE(ARRAYFORMULA(XLOOKUP(FILTER(INDIRECT(""'""&amp;DL$1&amp;""'!$C$4:$C$66""),INDIRECT(""'""&amp;DL$1&amp;""'!$D$4:$D$66"")=DL$2),$G$4:$BQ$4,$G101:$BQ101)))"),0.0)</f>
        <v>0</v>
      </c>
      <c r="DM101" s="207" t="str">
        <f>IFERROR(__xludf.DUMMYFUNCTION("IF(OR(DL101&gt;$BS101+$BT101*$BT$2,DL101&lt;$BS101-$BT101*$BT$2),AVEDEV(ARRAYFORMULA(XLOOKUP(FILTER(INDIRECT(""'""&amp;DL$1&amp;""'!$C$4:$C$66""),INDIRECT(""'""&amp;DL$1&amp;""'!$D$4:$D$66"")=DL$2),$G$4:$BQ$4,$G101:$BQ101))),"""")"),"")</f>
        <v/>
      </c>
      <c r="DN101" s="208" t="str">
        <f t="shared" si="21"/>
        <v/>
      </c>
      <c r="DO101" s="209" t="s">
        <v>444</v>
      </c>
      <c r="DP101" s="210">
        <f>IFERROR(__xludf.DUMMYFUNCTION("AVERAGE(ARRAYFORMULA(XLOOKUP(FILTER(INDIRECT(""'""&amp;DP$1&amp;""'!$C$4:$C$66""),INDIRECT(""'""&amp;DP$1&amp;""'!$D$4:$D$66"")=DP$2),$G$4:$BQ$4,$G101:$BQ101)))"),0.03333333333333333)</f>
        <v>0.03333333333</v>
      </c>
      <c r="DQ101" s="207" t="str">
        <f>IFERROR(__xludf.DUMMYFUNCTION("IF(OR(DP101&gt;$BS101+$BT101*$BT$2,DP101&lt;$BS101-$BT101*$BT$2),AVEDEV(ARRAYFORMULA(XLOOKUP(FILTER(INDIRECT(""'""&amp;DP$1&amp;""'!$C$4:$C$66""),INDIRECT(""'""&amp;DP$1&amp;""'!$D$4:$D$66"")=DP$2),$G$4:$BQ$4,$G101:$BQ101))),"""")"),"")</f>
        <v/>
      </c>
      <c r="DR101" s="208" t="str">
        <f t="shared" si="22"/>
        <v/>
      </c>
      <c r="DS101" s="210">
        <f>IFERROR(__xludf.DUMMYFUNCTION("AVERAGE(ARRAYFORMULA(XLOOKUP(FILTER(INDIRECT(""'""&amp;DS$1&amp;""'!$C$4:$C$66""),INDIRECT(""'""&amp;DS$1&amp;""'!$D$4:$D$66"")=DS$2),$G$4:$BQ$4,$G101:$BQ101)))"),0.0)</f>
        <v>0</v>
      </c>
      <c r="DT101" s="207" t="str">
        <f>IFERROR(__xludf.DUMMYFUNCTION("IF(OR(DS101&gt;$BS101+$BT101*$BT$2,DS101&lt;$BS101-$BT101*$BT$2),AVEDEV(ARRAYFORMULA(XLOOKUP(FILTER(INDIRECT(""'""&amp;DS$1&amp;""'!$C$4:$C$66""),INDIRECT(""'""&amp;DS$1&amp;""'!$D$4:$D$66"")=DS$2),$G$4:$BQ$4,$G101:$BQ101))),"""")"),"")</f>
        <v/>
      </c>
      <c r="DU101" s="208" t="str">
        <f t="shared" si="23"/>
        <v/>
      </c>
      <c r="DV101" s="210">
        <f>IFERROR(__xludf.DUMMYFUNCTION("AVERAGE(ARRAYFORMULA(XLOOKUP(FILTER(INDIRECT(""'""&amp;DV$1&amp;""'!$C$4:$C$66""),INDIRECT(""'""&amp;DV$1&amp;""'!$D$4:$D$66"")=DV$2),$G$4:$BQ$4,$G101:$BQ101)))"),0.0)</f>
        <v>0</v>
      </c>
      <c r="DW101" s="207" t="str">
        <f>IFERROR(__xludf.DUMMYFUNCTION("IF(OR(DV101&gt;$BS101+$BT101*$BT$2,DV101&lt;$BS101-$BT101*$BT$2),AVEDEV(ARRAYFORMULA(XLOOKUP(FILTER(INDIRECT(""'""&amp;DV$1&amp;""'!$C$4:$C$66""),INDIRECT(""'""&amp;DV$1&amp;""'!$D$4:$D$66"")=DV$2),$G$4:$BQ$4,$G101:$BQ101))),"""")"),"")</f>
        <v/>
      </c>
      <c r="DX101" s="208" t="str">
        <f t="shared" si="24"/>
        <v/>
      </c>
      <c r="DY101" s="210">
        <f>IFERROR(__xludf.DUMMYFUNCTION("AVERAGE(ARRAYFORMULA(XLOOKUP(FILTER(INDIRECT(""'""&amp;DY$1&amp;""'!$C$4:$C$66""),INDIRECT(""'""&amp;DY$1&amp;""'!$D$4:$D$66"")=DY$2),$G$4:$BQ$4,$G101:$BQ101)))"),0.0)</f>
        <v>0</v>
      </c>
      <c r="DZ101" s="207" t="str">
        <f>IFERROR(__xludf.DUMMYFUNCTION("IF(OR(DY101&gt;$BS101+$BT101*$BT$2,DY101&lt;$BS101-$BT101*$BT$2),AVEDEV(ARRAYFORMULA(XLOOKUP(FILTER(INDIRECT(""'""&amp;DY$1&amp;""'!$C$4:$C$66""),INDIRECT(""'""&amp;DY$1&amp;""'!$D$4:$D$66"")=DY$2),$G$4:$BQ$4,$G101:$BQ101))),"""")"),"")</f>
        <v/>
      </c>
      <c r="EA101" s="208" t="str">
        <f t="shared" si="25"/>
        <v/>
      </c>
      <c r="EB101" s="191"/>
    </row>
    <row r="102" outlineLevel="1">
      <c r="A102" s="2"/>
      <c r="B102" s="204">
        <v>98.0</v>
      </c>
      <c r="C102" s="204" t="s">
        <v>540</v>
      </c>
      <c r="D102" s="204" t="s">
        <v>544</v>
      </c>
      <c r="E102" s="205" t="b">
        <f>VLOOKUP(D102,'Feature Set List'!A98:C246,2,0)</f>
        <v>1</v>
      </c>
      <c r="F102" s="205" t="b">
        <f>VLOOKUP(D102,'Feature Set List'!A98:C246,3,0)</f>
        <v>1</v>
      </c>
      <c r="G102" s="205">
        <v>0.0</v>
      </c>
      <c r="H102" s="205">
        <v>0.0</v>
      </c>
      <c r="I102" s="205">
        <v>0.0</v>
      </c>
      <c r="J102" s="205">
        <v>0.0</v>
      </c>
      <c r="K102" s="205">
        <v>0.0</v>
      </c>
      <c r="L102" s="205">
        <v>0.0</v>
      </c>
      <c r="M102" s="205">
        <v>0.0</v>
      </c>
      <c r="N102" s="205">
        <v>0.0</v>
      </c>
      <c r="O102" s="205">
        <v>0.0</v>
      </c>
      <c r="P102" s="205">
        <v>0.0</v>
      </c>
      <c r="Q102" s="205">
        <v>0.0</v>
      </c>
      <c r="R102" s="205">
        <v>0.0</v>
      </c>
      <c r="S102" s="205">
        <v>0.0</v>
      </c>
      <c r="T102" s="205">
        <v>0.0</v>
      </c>
      <c r="U102" s="205">
        <v>0.0</v>
      </c>
      <c r="V102" s="205">
        <v>0.0</v>
      </c>
      <c r="W102" s="205">
        <v>0.0</v>
      </c>
      <c r="X102" s="205">
        <v>0.0</v>
      </c>
      <c r="Y102" s="205">
        <v>0.0</v>
      </c>
      <c r="Z102" s="205">
        <v>0.0</v>
      </c>
      <c r="AA102" s="205">
        <v>0.0</v>
      </c>
      <c r="AB102" s="205">
        <v>0.0</v>
      </c>
      <c r="AC102" s="205">
        <v>0.0</v>
      </c>
      <c r="AD102" s="205">
        <v>0.0</v>
      </c>
      <c r="AE102" s="205">
        <v>0.0</v>
      </c>
      <c r="AF102" s="205">
        <v>0.0</v>
      </c>
      <c r="AG102" s="205">
        <v>0.0</v>
      </c>
      <c r="AH102" s="205">
        <v>0.0</v>
      </c>
      <c r="AI102" s="205">
        <v>0.0</v>
      </c>
      <c r="AJ102" s="205">
        <v>0.0</v>
      </c>
      <c r="AK102" s="205">
        <v>0.0</v>
      </c>
      <c r="AL102" s="205">
        <v>0.0</v>
      </c>
      <c r="AM102" s="205">
        <v>0.0</v>
      </c>
      <c r="AN102" s="205">
        <v>0.0</v>
      </c>
      <c r="AO102" s="205">
        <v>0.0</v>
      </c>
      <c r="AP102" s="205">
        <v>0.0</v>
      </c>
      <c r="AQ102" s="205">
        <v>0.0</v>
      </c>
      <c r="AR102" s="205">
        <v>1.0</v>
      </c>
      <c r="AS102" s="205">
        <v>0.0</v>
      </c>
      <c r="AT102" s="205">
        <v>0.0</v>
      </c>
      <c r="AU102" s="205">
        <v>0.0</v>
      </c>
      <c r="AV102" s="205">
        <v>0.0</v>
      </c>
      <c r="AW102" s="205">
        <v>0.0</v>
      </c>
      <c r="AX102" s="205">
        <v>0.0</v>
      </c>
      <c r="AY102" s="205">
        <v>0.0</v>
      </c>
      <c r="AZ102" s="205">
        <v>0.0</v>
      </c>
      <c r="BA102" s="205">
        <v>0.0</v>
      </c>
      <c r="BB102" s="205">
        <v>0.0</v>
      </c>
      <c r="BC102" s="205">
        <v>0.0</v>
      </c>
      <c r="BD102" s="205">
        <v>0.0</v>
      </c>
      <c r="BE102" s="205">
        <v>0.0</v>
      </c>
      <c r="BF102" s="205">
        <v>0.0</v>
      </c>
      <c r="BG102" s="205">
        <v>0.0</v>
      </c>
      <c r="BH102" s="205">
        <v>0.0</v>
      </c>
      <c r="BI102" s="205">
        <v>0.0</v>
      </c>
      <c r="BJ102" s="205">
        <v>0.0</v>
      </c>
      <c r="BK102" s="205">
        <v>0.0</v>
      </c>
      <c r="BL102" s="205">
        <v>0.0</v>
      </c>
      <c r="BM102" s="205">
        <v>0.0</v>
      </c>
      <c r="BN102" s="205">
        <v>0.0</v>
      </c>
      <c r="BO102" s="205">
        <v>0.0</v>
      </c>
      <c r="BP102" s="205">
        <v>0.0</v>
      </c>
      <c r="BQ102" s="205">
        <v>0.0</v>
      </c>
      <c r="BR102" s="206"/>
      <c r="BS102" s="207">
        <f t="shared" si="6"/>
        <v>0.01587301587</v>
      </c>
      <c r="BT102" s="207">
        <f t="shared" si="7"/>
        <v>0.03124212648</v>
      </c>
      <c r="BU102" s="206"/>
      <c r="BV102" s="207">
        <f>IFERROR(__xludf.DUMMYFUNCTION("AVERAGE(ARRAYFORMULA(XLOOKUP(FILTER(INDIRECT(""'""&amp;BV$1&amp;""'!$C$4:$C$66""),INDIRECT(""'""&amp;BV$1&amp;""'!$D$4:$D$66"")=BV$2),$G$4:$BQ$4,$G102:$BQ102)))"),0.0)</f>
        <v>0</v>
      </c>
      <c r="BW102" s="207" t="str">
        <f>IFERROR(__xludf.DUMMYFUNCTION("IF(OR(BV102&gt;$BS102+$BT102*$BT$2,BV102&lt;$BS102-$BT102*$BT$2),AVEDEV(ARRAYFORMULA(XLOOKUP(FILTER(INDIRECT(""'""&amp;BV$1&amp;""'!$C$4:$C$66""),INDIRECT(""'""&amp;BV$1&amp;""'!$D$4:$D$66"")=BV$2),$G$4:$BQ$4,$G102:$BQ102))),"""")"),"")</f>
        <v/>
      </c>
      <c r="BX102" s="208" t="str">
        <f t="shared" si="8"/>
        <v/>
      </c>
      <c r="BY102" s="207">
        <f>IFERROR(__xludf.DUMMYFUNCTION("AVERAGE(ARRAYFORMULA(XLOOKUP(FILTER(INDIRECT(""'""&amp;BY$1&amp;""'!$C$4:$C$66""),INDIRECT(""'""&amp;BY$1&amp;""'!$D$4:$D$66"")=BY$2),$G$4:$BQ$4,$G102:$BQ102)))"),0.023809523809523808)</f>
        <v>0.02380952381</v>
      </c>
      <c r="BZ102" s="207" t="str">
        <f>IFERROR(__xludf.DUMMYFUNCTION("IF(OR(BY102&gt;$BS102+$BT102*$BT$2,BY102&lt;$BS102-$BT102*$BT$2),AVEDEV(ARRAYFORMULA(XLOOKUP(FILTER(INDIRECT(""'""&amp;BY$1&amp;""'!$C$4:$C$66""),INDIRECT(""'""&amp;BY$1&amp;""'!$D$4:$D$66"")=BY$2),$G$4:$BQ$4,$G102:$BQ102))),"""")"),"")</f>
        <v/>
      </c>
      <c r="CA102" s="208" t="str">
        <f t="shared" si="9"/>
        <v/>
      </c>
      <c r="CB102" s="207">
        <f>IFERROR(__xludf.DUMMYFUNCTION("AVERAGE(ARRAYFORMULA(XLOOKUP(FILTER(INDIRECT(""'""&amp;CB$1&amp;""'!$C$4:$C$66""),INDIRECT(""'""&amp;CB$1&amp;""'!$D$4:$D$66"")=CB$2),$G$4:$BQ$4,$G102:$BQ102)))"),0.0)</f>
        <v>0</v>
      </c>
      <c r="CC102" s="207" t="str">
        <f>IFERROR(__xludf.DUMMYFUNCTION("IF(OR(CB102&gt;$BS102+$BT102*$BT$2,CB102&lt;$BS102-$BT102*$BT$2),AVEDEV(ARRAYFORMULA(XLOOKUP(FILTER(INDIRECT(""'""&amp;CB$1&amp;""'!$C$4:$C$66""),INDIRECT(""'""&amp;CB$1&amp;""'!$D$4:$D$66"")=CB$2),$G$4:$BQ$4,$G102:$BQ102))),"""")"),"")</f>
        <v/>
      </c>
      <c r="CD102" s="208" t="str">
        <f t="shared" si="10"/>
        <v/>
      </c>
      <c r="CE102" s="209" t="s">
        <v>444</v>
      </c>
      <c r="CF102" s="207">
        <f>IFERROR(__xludf.DUMMYFUNCTION("AVERAGE(ARRAYFORMULA(XLOOKUP(FILTER(INDIRECT(""'""&amp;CF$1&amp;""'!$C$4:$C$66""),INDIRECT(""'""&amp;CF$1&amp;""'!$D$4:$D$66"")=CF$2),$G$4:$BQ$4,$G102:$BQ102)))"),0.0)</f>
        <v>0</v>
      </c>
      <c r="CG102" s="207" t="str">
        <f>IFERROR(__xludf.DUMMYFUNCTION("IF(OR(CF102&gt;$BS102+$BT102*$BT$2,CF102&lt;$BS102-$BT102*$BT$2),AVEDEV(ARRAYFORMULA(XLOOKUP(FILTER(INDIRECT(""'""&amp;CF$1&amp;""'!$C$4:$C$66""),INDIRECT(""'""&amp;CF$1&amp;""'!$D$4:$D$66"")=CF$2),$G$4:$BQ$4,$G102:$BQ102))),"""")"),"")</f>
        <v/>
      </c>
      <c r="CH102" s="208" t="str">
        <f t="shared" si="11"/>
        <v/>
      </c>
      <c r="CI102" s="207">
        <f>IFERROR(__xludf.DUMMYFUNCTION("AVERAGE(ARRAYFORMULA(XLOOKUP(FILTER(INDIRECT(""'""&amp;CI$1&amp;""'!$C$4:$C$66""),INDIRECT(""'""&amp;CI$1&amp;""'!$D$4:$D$66"")=CI$2),$G$4:$BQ$4,$G102:$BQ102)))"),0.0)</f>
        <v>0</v>
      </c>
      <c r="CJ102" s="207" t="str">
        <f>IFERROR(__xludf.DUMMYFUNCTION("IF(OR(CI102&gt;$BS102+$BT102*$BT$2,CI102&lt;$BS102-$BT102*$BT$2),AVEDEV(ARRAYFORMULA(XLOOKUP(FILTER(INDIRECT(""'""&amp;CI$1&amp;""'!$C$4:$C$66""),INDIRECT(""'""&amp;CI$1&amp;""'!$D$4:$D$66"")=CI$2),$G$4:$BQ$4,$G102:$BQ102))),"""")"),"")</f>
        <v/>
      </c>
      <c r="CK102" s="208" t="str">
        <f t="shared" si="12"/>
        <v/>
      </c>
      <c r="CL102" s="207">
        <f>IFERROR(__xludf.DUMMYFUNCTION("AVERAGE(ARRAYFORMULA(XLOOKUP(FILTER(INDIRECT(""'""&amp;CL$1&amp;""'!$C$4:$C$66""),INDIRECT(""'""&amp;CL$1&amp;""'!$D$4:$D$66"")=CL$2),$G$4:$BQ$4,$G102:$BQ102)))"),0.0)</f>
        <v>0</v>
      </c>
      <c r="CM102" s="207" t="str">
        <f>IFERROR(__xludf.DUMMYFUNCTION("IF(OR(CL102&gt;$BS102+$BT102*$BT$2,CL102&lt;$BS102-$BT102*$BT$2),AVEDEV(ARRAYFORMULA(XLOOKUP(FILTER(INDIRECT(""'""&amp;CL$1&amp;""'!$C$4:$C$66""),INDIRECT(""'""&amp;CL$1&amp;""'!$D$4:$D$66"")=CL$2),$G$4:$BQ$4,$G102:$BQ102))),"""")"),"")</f>
        <v/>
      </c>
      <c r="CN102" s="208" t="str">
        <f t="shared" si="13"/>
        <v/>
      </c>
      <c r="CO102" s="209" t="s">
        <v>444</v>
      </c>
      <c r="CP102" s="210">
        <f>IFERROR(__xludf.DUMMYFUNCTION("AVERAGE(ARRAYFORMULA(XLOOKUP(FILTER(INDIRECT(""'""&amp;CP$1&amp;""'!$C$4:$C$66""),INDIRECT(""'""&amp;CP$1&amp;""'!$D$4:$D$66"")=CP$2),$G$4:$BQ$4,$G102:$BQ102)))"),0.0)</f>
        <v>0</v>
      </c>
      <c r="CQ102" s="207" t="str">
        <f>IFERROR(__xludf.DUMMYFUNCTION("IF(OR(CP102&gt;$BS102+$BT102*$BT$2,CP102&lt;$BS102-$BT102*$BT$2),AVEDEV(ARRAYFORMULA(XLOOKUP(FILTER(INDIRECT(""'""&amp;CP$1&amp;""'!$C$4:$C$66""),INDIRECT(""'""&amp;CP$1&amp;""'!$D$4:$D$66"")=CP$2),$G$4:$BQ$4,$G102:$BQ102))),"""")"),"")</f>
        <v/>
      </c>
      <c r="CR102" s="208" t="str">
        <f t="shared" si="14"/>
        <v/>
      </c>
      <c r="CS102" s="210">
        <f>IFERROR(__xludf.DUMMYFUNCTION("AVERAGE(ARRAYFORMULA(XLOOKUP(FILTER(INDIRECT(""'""&amp;CS$1&amp;""'!$C$4:$C$66""),INDIRECT(""'""&amp;CS$1&amp;""'!$D$4:$D$66"")=CS$2),$G$4:$BQ$4,$G102:$BQ102)))"),0.02564102564102564)</f>
        <v>0.02564102564</v>
      </c>
      <c r="CT102" s="207" t="str">
        <f>IFERROR(__xludf.DUMMYFUNCTION("IF(OR(CS102&gt;$BS102+$BT102*$BT$2,CS102&lt;$BS102-$BT102*$BT$2),AVEDEV(ARRAYFORMULA(XLOOKUP(FILTER(INDIRECT(""'""&amp;CS$1&amp;""'!$C$4:$C$66""),INDIRECT(""'""&amp;CS$1&amp;""'!$D$4:$D$66"")=CS$2),$G$4:$BQ$4,$G102:$BQ102))),"""")"),"")</f>
        <v/>
      </c>
      <c r="CU102" s="208" t="str">
        <f t="shared" si="15"/>
        <v/>
      </c>
      <c r="CV102" s="210">
        <f>IFERROR(__xludf.DUMMYFUNCTION("AVERAGE(ARRAYFORMULA(XLOOKUP(FILTER(INDIRECT(""'""&amp;CV$1&amp;""'!$C$4:$C$66""),INDIRECT(""'""&amp;CV$1&amp;""'!$D$4:$D$66"")=CV$2),$G$4:$BQ$4,$G102:$BQ102)))"),0.0)</f>
        <v>0</v>
      </c>
      <c r="CW102" s="207" t="str">
        <f>IFERROR(__xludf.DUMMYFUNCTION("IF(OR(CV102&gt;$BS102+$BT102*$BT$2,CV102&lt;$BS102-$BT102*$BT$2),AVEDEV(ARRAYFORMULA(XLOOKUP(FILTER(INDIRECT(""'""&amp;CV$1&amp;""'!$C$4:$C$66""),INDIRECT(""'""&amp;CV$1&amp;""'!$D$4:$D$66"")=CV$2),$G$4:$BQ$4,$G102:$BQ102))),"""")"),"")</f>
        <v/>
      </c>
      <c r="CX102" s="208" t="str">
        <f t="shared" si="16"/>
        <v/>
      </c>
      <c r="CY102" s="209" t="s">
        <v>444</v>
      </c>
      <c r="CZ102" s="210">
        <f>IFERROR(__xludf.DUMMYFUNCTION("AVERAGE(ARRAYFORMULA(XLOOKUP(FILTER(INDIRECT(""'""&amp;CZ$1&amp;""'!$C$4:$C$66""),INDIRECT(""'""&amp;CZ$1&amp;""'!$D$4:$D$66"")=CZ$2),$G$4:$BQ$4,$G102:$BQ102)))"),0.0)</f>
        <v>0</v>
      </c>
      <c r="DA102" s="207" t="str">
        <f>IFERROR(__xludf.DUMMYFUNCTION("IF(OR(CZ102&gt;$BS102+$BT102*$BT$2,CZ102&lt;$BS102-$BT102*$BT$2),AVEDEV(ARRAYFORMULA(XLOOKUP(FILTER(INDIRECT(""'""&amp;CZ$1&amp;""'!$C$4:$C$66""),INDIRECT(""'""&amp;CZ$1&amp;""'!$D$4:$D$66"")=CZ$2),$G$4:$BQ$4,$G102:$BQ102))),"""")"),"")</f>
        <v/>
      </c>
      <c r="DB102" s="208" t="str">
        <f t="shared" si="17"/>
        <v/>
      </c>
      <c r="DC102" s="210">
        <f>IFERROR(__xludf.DUMMYFUNCTION("AVERAGE(ARRAYFORMULA(XLOOKUP(FILTER(INDIRECT(""'""&amp;DC$1&amp;""'!$C$4:$C$66""),INDIRECT(""'""&amp;DC$1&amp;""'!$D$4:$D$66"")=DC$2),$G$4:$BQ$4,$G102:$BQ102)))"),0.0)</f>
        <v>0</v>
      </c>
      <c r="DD102" s="207" t="str">
        <f>IFERROR(__xludf.DUMMYFUNCTION("IF(OR(DC102&gt;$BS102+$BT102*$BT$2,DC102&lt;$BS102-$BT102*$BT$2),AVEDEV(ARRAYFORMULA(XLOOKUP(FILTER(INDIRECT(""'""&amp;DC$1&amp;""'!$C$4:$C$66""),INDIRECT(""'""&amp;DC$1&amp;""'!$D$4:$D$66"")=DC$2),$G$4:$BQ$4,$G102:$BQ102))),"""")"),"")</f>
        <v/>
      </c>
      <c r="DE102" s="208" t="str">
        <f t="shared" si="18"/>
        <v/>
      </c>
      <c r="DF102" s="210">
        <f>IFERROR(__xludf.DUMMYFUNCTION("AVERAGE(ARRAYFORMULA(XLOOKUP(FILTER(INDIRECT(""'""&amp;DF$1&amp;""'!$C$4:$C$66""),INDIRECT(""'""&amp;DF$1&amp;""'!$D$4:$D$66"")=DF$2),$G$4:$BQ$4,$G102:$BQ102)))"),0.0)</f>
        <v>0</v>
      </c>
      <c r="DG102" s="207" t="str">
        <f>IFERROR(__xludf.DUMMYFUNCTION("IF(OR(DF102&gt;$BS102+$BT102*$BT$2,DF102&lt;$BS102-$BT102*$BT$2),AVEDEV(ARRAYFORMULA(XLOOKUP(FILTER(INDIRECT(""'""&amp;DF$1&amp;""'!$C$4:$C$66""),INDIRECT(""'""&amp;DF$1&amp;""'!$D$4:$D$66"")=DF$2),$G$4:$BQ$4,$G102:$BQ102))),"""")"),"")</f>
        <v/>
      </c>
      <c r="DH102" s="208" t="str">
        <f t="shared" si="19"/>
        <v/>
      </c>
      <c r="DI102" s="210">
        <f>IFERROR(__xludf.DUMMYFUNCTION("AVERAGE(ARRAYFORMULA(XLOOKUP(FILTER(INDIRECT(""'""&amp;DI$1&amp;""'!$C$4:$C$66""),INDIRECT(""'""&amp;DI$1&amp;""'!$D$4:$D$66"")=DI$2),$G$4:$BQ$4,$G102:$BQ102)))"),0.0)</f>
        <v>0</v>
      </c>
      <c r="DJ102" s="207" t="str">
        <f>IFERROR(__xludf.DUMMYFUNCTION("IF(OR(DI102&gt;$BS102+$BT102*$BT$2,DI102&lt;$BS102-$BT102*$BT$2),AVEDEV(ARRAYFORMULA(XLOOKUP(FILTER(INDIRECT(""'""&amp;DI$1&amp;""'!$C$4:$C$66""),INDIRECT(""'""&amp;DI$1&amp;""'!$D$4:$D$66"")=DI$2),$G$4:$BQ$4,$G102:$BQ102))),"""")"),"")</f>
        <v/>
      </c>
      <c r="DK102" s="208" t="str">
        <f t="shared" si="20"/>
        <v/>
      </c>
      <c r="DL102" s="210">
        <f>IFERROR(__xludf.DUMMYFUNCTION("AVERAGE(ARRAYFORMULA(XLOOKUP(FILTER(INDIRECT(""'""&amp;DL$1&amp;""'!$C$4:$C$66""),INDIRECT(""'""&amp;DL$1&amp;""'!$D$4:$D$66"")=DL$2),$G$4:$BQ$4,$G102:$BQ102)))"),0.07142857142857142)</f>
        <v>0.07142857143</v>
      </c>
      <c r="DM102" s="207">
        <f>IFERROR(__xludf.DUMMYFUNCTION("IF(OR(DL102&gt;$BS102+$BT102*$BT$2,DL102&lt;$BS102-$BT102*$BT$2),AVEDEV(ARRAYFORMULA(XLOOKUP(FILTER(INDIRECT(""'""&amp;DL$1&amp;""'!$C$4:$C$66""),INDIRECT(""'""&amp;DL$1&amp;""'!$D$4:$D$66"")=DL$2),$G$4:$BQ$4,$G102:$BQ102))),"""")"),0.13265306122448978)</f>
        <v>0.1326530612</v>
      </c>
      <c r="DN102" s="208">
        <f t="shared" si="21"/>
        <v>0.02431342908</v>
      </c>
      <c r="DO102" s="209" t="s">
        <v>444</v>
      </c>
      <c r="DP102" s="210">
        <f>IFERROR(__xludf.DUMMYFUNCTION("AVERAGE(ARRAYFORMULA(XLOOKUP(FILTER(INDIRECT(""'""&amp;DP$1&amp;""'!$C$4:$C$66""),INDIRECT(""'""&amp;DP$1&amp;""'!$D$4:$D$66"")=DP$2),$G$4:$BQ$4,$G102:$BQ102)))"),0.0)</f>
        <v>0</v>
      </c>
      <c r="DQ102" s="207" t="str">
        <f>IFERROR(__xludf.DUMMYFUNCTION("IF(OR(DP102&gt;$BS102+$BT102*$BT$2,DP102&lt;$BS102-$BT102*$BT$2),AVEDEV(ARRAYFORMULA(XLOOKUP(FILTER(INDIRECT(""'""&amp;DP$1&amp;""'!$C$4:$C$66""),INDIRECT(""'""&amp;DP$1&amp;""'!$D$4:$D$66"")=DP$2),$G$4:$BQ$4,$G102:$BQ102))),"""")"),"")</f>
        <v/>
      </c>
      <c r="DR102" s="208" t="str">
        <f t="shared" si="22"/>
        <v/>
      </c>
      <c r="DS102" s="210">
        <f>IFERROR(__xludf.DUMMYFUNCTION("AVERAGE(ARRAYFORMULA(XLOOKUP(FILTER(INDIRECT(""'""&amp;DS$1&amp;""'!$C$4:$C$66""),INDIRECT(""'""&amp;DS$1&amp;""'!$D$4:$D$66"")=DS$2),$G$4:$BQ$4,$G102:$BQ102)))"),0.0)</f>
        <v>0</v>
      </c>
      <c r="DT102" s="207" t="str">
        <f>IFERROR(__xludf.DUMMYFUNCTION("IF(OR(DS102&gt;$BS102+$BT102*$BT$2,DS102&lt;$BS102-$BT102*$BT$2),AVEDEV(ARRAYFORMULA(XLOOKUP(FILTER(INDIRECT(""'""&amp;DS$1&amp;""'!$C$4:$C$66""),INDIRECT(""'""&amp;DS$1&amp;""'!$D$4:$D$66"")=DS$2),$G$4:$BQ$4,$G102:$BQ102))),"""")"),"")</f>
        <v/>
      </c>
      <c r="DU102" s="208" t="str">
        <f t="shared" si="23"/>
        <v/>
      </c>
      <c r="DV102" s="210">
        <f>IFERROR(__xludf.DUMMYFUNCTION("AVERAGE(ARRAYFORMULA(XLOOKUP(FILTER(INDIRECT(""'""&amp;DV$1&amp;""'!$C$4:$C$66""),INDIRECT(""'""&amp;DV$1&amp;""'!$D$4:$D$66"")=DV$2),$G$4:$BQ$4,$G102:$BQ102)))"),0.0)</f>
        <v>0</v>
      </c>
      <c r="DW102" s="207" t="str">
        <f>IFERROR(__xludf.DUMMYFUNCTION("IF(OR(DV102&gt;$BS102+$BT102*$BT$2,DV102&lt;$BS102-$BT102*$BT$2),AVEDEV(ARRAYFORMULA(XLOOKUP(FILTER(INDIRECT(""'""&amp;DV$1&amp;""'!$C$4:$C$66""),INDIRECT(""'""&amp;DV$1&amp;""'!$D$4:$D$66"")=DV$2),$G$4:$BQ$4,$G102:$BQ102))),"""")"),"")</f>
        <v/>
      </c>
      <c r="DX102" s="208" t="str">
        <f t="shared" si="24"/>
        <v/>
      </c>
      <c r="DY102" s="210">
        <f>IFERROR(__xludf.DUMMYFUNCTION("AVERAGE(ARRAYFORMULA(XLOOKUP(FILTER(INDIRECT(""'""&amp;DY$1&amp;""'!$C$4:$C$66""),INDIRECT(""'""&amp;DY$1&amp;""'!$D$4:$D$66"")=DY$2),$G$4:$BQ$4,$G102:$BQ102)))"),0.0)</f>
        <v>0</v>
      </c>
      <c r="DZ102" s="207" t="str">
        <f>IFERROR(__xludf.DUMMYFUNCTION("IF(OR(DY102&gt;$BS102+$BT102*$BT$2,DY102&lt;$BS102-$BT102*$BT$2),AVEDEV(ARRAYFORMULA(XLOOKUP(FILTER(INDIRECT(""'""&amp;DY$1&amp;""'!$C$4:$C$66""),INDIRECT(""'""&amp;DY$1&amp;""'!$D$4:$D$66"")=DY$2),$G$4:$BQ$4,$G102:$BQ102))),"""")"),"")</f>
        <v/>
      </c>
      <c r="EA102" s="208" t="str">
        <f t="shared" si="25"/>
        <v/>
      </c>
      <c r="EB102" s="191"/>
    </row>
    <row r="103" outlineLevel="1">
      <c r="A103" s="2"/>
      <c r="B103" s="204">
        <v>99.0</v>
      </c>
      <c r="C103" s="204" t="s">
        <v>540</v>
      </c>
      <c r="D103" s="204" t="s">
        <v>545</v>
      </c>
      <c r="E103" s="205" t="b">
        <f>VLOOKUP(D103,'Feature Set List'!A99:C246,2,0)</f>
        <v>1</v>
      </c>
      <c r="F103" s="205" t="b">
        <f>VLOOKUP(D103,'Feature Set List'!A99:C246,3,0)</f>
        <v>1</v>
      </c>
      <c r="G103" s="205">
        <v>0.0</v>
      </c>
      <c r="H103" s="205">
        <v>0.0</v>
      </c>
      <c r="I103" s="205">
        <v>0.0</v>
      </c>
      <c r="J103" s="205">
        <v>0.0</v>
      </c>
      <c r="K103" s="205">
        <v>0.0</v>
      </c>
      <c r="L103" s="205">
        <v>0.0</v>
      </c>
      <c r="M103" s="205">
        <v>0.0</v>
      </c>
      <c r="N103" s="205">
        <v>0.0</v>
      </c>
      <c r="O103" s="205">
        <v>0.0</v>
      </c>
      <c r="P103" s="205">
        <v>0.0</v>
      </c>
      <c r="Q103" s="205">
        <v>0.0</v>
      </c>
      <c r="R103" s="205">
        <v>0.0</v>
      </c>
      <c r="S103" s="205">
        <v>0.0</v>
      </c>
      <c r="T103" s="205">
        <v>0.0</v>
      </c>
      <c r="U103" s="205">
        <v>0.0</v>
      </c>
      <c r="V103" s="205">
        <v>0.0</v>
      </c>
      <c r="W103" s="205">
        <v>0.0</v>
      </c>
      <c r="X103" s="205">
        <v>0.0</v>
      </c>
      <c r="Y103" s="205">
        <v>0.0</v>
      </c>
      <c r="Z103" s="205">
        <v>0.0</v>
      </c>
      <c r="AA103" s="205">
        <v>0.0</v>
      </c>
      <c r="AB103" s="205">
        <v>0.0</v>
      </c>
      <c r="AC103" s="205">
        <v>0.0</v>
      </c>
      <c r="AD103" s="205">
        <v>0.0</v>
      </c>
      <c r="AE103" s="205">
        <v>0.0</v>
      </c>
      <c r="AF103" s="205">
        <v>0.0</v>
      </c>
      <c r="AG103" s="205">
        <v>0.0</v>
      </c>
      <c r="AH103" s="205">
        <v>0.0</v>
      </c>
      <c r="AI103" s="205">
        <v>0.0</v>
      </c>
      <c r="AJ103" s="205">
        <v>0.0</v>
      </c>
      <c r="AK103" s="205">
        <v>0.0</v>
      </c>
      <c r="AL103" s="205">
        <v>0.0</v>
      </c>
      <c r="AM103" s="205">
        <v>0.0</v>
      </c>
      <c r="AN103" s="205">
        <v>0.0</v>
      </c>
      <c r="AO103" s="205">
        <v>0.0</v>
      </c>
      <c r="AP103" s="205">
        <v>0.0</v>
      </c>
      <c r="AQ103" s="205">
        <v>0.0</v>
      </c>
      <c r="AR103" s="205">
        <v>0.0</v>
      </c>
      <c r="AS103" s="205">
        <v>0.0</v>
      </c>
      <c r="AT103" s="205">
        <v>0.0</v>
      </c>
      <c r="AU103" s="205">
        <v>0.0</v>
      </c>
      <c r="AV103" s="205">
        <v>0.0</v>
      </c>
      <c r="AW103" s="205">
        <v>0.0</v>
      </c>
      <c r="AX103" s="205">
        <v>0.0</v>
      </c>
      <c r="AY103" s="205">
        <v>0.0</v>
      </c>
      <c r="AZ103" s="205">
        <v>0.0</v>
      </c>
      <c r="BA103" s="205">
        <v>0.0</v>
      </c>
      <c r="BB103" s="205">
        <v>0.0</v>
      </c>
      <c r="BC103" s="205">
        <v>0.0</v>
      </c>
      <c r="BD103" s="205">
        <v>0.0</v>
      </c>
      <c r="BE103" s="205">
        <v>0.0</v>
      </c>
      <c r="BF103" s="205">
        <v>0.0</v>
      </c>
      <c r="BG103" s="205">
        <v>0.0</v>
      </c>
      <c r="BH103" s="205">
        <v>0.0</v>
      </c>
      <c r="BI103" s="205">
        <v>0.0</v>
      </c>
      <c r="BJ103" s="205">
        <v>0.0</v>
      </c>
      <c r="BK103" s="205">
        <v>1.0</v>
      </c>
      <c r="BL103" s="205">
        <v>0.0</v>
      </c>
      <c r="BM103" s="205">
        <v>0.0</v>
      </c>
      <c r="BN103" s="205">
        <v>0.0</v>
      </c>
      <c r="BO103" s="205">
        <v>0.0</v>
      </c>
      <c r="BP103" s="205">
        <v>0.0</v>
      </c>
      <c r="BQ103" s="205">
        <v>0.0</v>
      </c>
      <c r="BR103" s="206"/>
      <c r="BS103" s="207">
        <f t="shared" si="6"/>
        <v>0.01587301587</v>
      </c>
      <c r="BT103" s="207">
        <f t="shared" si="7"/>
        <v>0.03124212648</v>
      </c>
      <c r="BU103" s="206"/>
      <c r="BV103" s="207">
        <f>IFERROR(__xludf.DUMMYFUNCTION("AVERAGE(ARRAYFORMULA(XLOOKUP(FILTER(INDIRECT(""'""&amp;BV$1&amp;""'!$C$4:$C$66""),INDIRECT(""'""&amp;BV$1&amp;""'!$D$4:$D$66"")=BV$2),$G$4:$BQ$4,$G103:$BQ103)))"),0.0)</f>
        <v>0</v>
      </c>
      <c r="BW103" s="207" t="str">
        <f>IFERROR(__xludf.DUMMYFUNCTION("IF(OR(BV103&gt;$BS103+$BT103*$BT$2,BV103&lt;$BS103-$BT103*$BT$2),AVEDEV(ARRAYFORMULA(XLOOKUP(FILTER(INDIRECT(""'""&amp;BV$1&amp;""'!$C$4:$C$66""),INDIRECT(""'""&amp;BV$1&amp;""'!$D$4:$D$66"")=BV$2),$G$4:$BQ$4,$G103:$BQ103))),"""")"),"")</f>
        <v/>
      </c>
      <c r="BX103" s="208" t="str">
        <f t="shared" si="8"/>
        <v/>
      </c>
      <c r="BY103" s="207">
        <f>IFERROR(__xludf.DUMMYFUNCTION("AVERAGE(ARRAYFORMULA(XLOOKUP(FILTER(INDIRECT(""'""&amp;BY$1&amp;""'!$C$4:$C$66""),INDIRECT(""'""&amp;BY$1&amp;""'!$D$4:$D$66"")=BY$2),$G$4:$BQ$4,$G103:$BQ103)))"),0.023809523809523808)</f>
        <v>0.02380952381</v>
      </c>
      <c r="BZ103" s="207" t="str">
        <f>IFERROR(__xludf.DUMMYFUNCTION("IF(OR(BY103&gt;$BS103+$BT103*$BT$2,BY103&lt;$BS103-$BT103*$BT$2),AVEDEV(ARRAYFORMULA(XLOOKUP(FILTER(INDIRECT(""'""&amp;BY$1&amp;""'!$C$4:$C$66""),INDIRECT(""'""&amp;BY$1&amp;""'!$D$4:$D$66"")=BY$2),$G$4:$BQ$4,$G103:$BQ103))),"""")"),"")</f>
        <v/>
      </c>
      <c r="CA103" s="208" t="str">
        <f t="shared" si="9"/>
        <v/>
      </c>
      <c r="CB103" s="207">
        <f>IFERROR(__xludf.DUMMYFUNCTION("AVERAGE(ARRAYFORMULA(XLOOKUP(FILTER(INDIRECT(""'""&amp;CB$1&amp;""'!$C$4:$C$66""),INDIRECT(""'""&amp;CB$1&amp;""'!$D$4:$D$66"")=CB$2),$G$4:$BQ$4,$G103:$BQ103)))"),0.0)</f>
        <v>0</v>
      </c>
      <c r="CC103" s="207" t="str">
        <f>IFERROR(__xludf.DUMMYFUNCTION("IF(OR(CB103&gt;$BS103+$BT103*$BT$2,CB103&lt;$BS103-$BT103*$BT$2),AVEDEV(ARRAYFORMULA(XLOOKUP(FILTER(INDIRECT(""'""&amp;CB$1&amp;""'!$C$4:$C$66""),INDIRECT(""'""&amp;CB$1&amp;""'!$D$4:$D$66"")=CB$2),$G$4:$BQ$4,$G103:$BQ103))),"""")"),"")</f>
        <v/>
      </c>
      <c r="CD103" s="208" t="str">
        <f t="shared" si="10"/>
        <v/>
      </c>
      <c r="CE103" s="209" t="s">
        <v>444</v>
      </c>
      <c r="CF103" s="207">
        <f>IFERROR(__xludf.DUMMYFUNCTION("AVERAGE(ARRAYFORMULA(XLOOKUP(FILTER(INDIRECT(""'""&amp;CF$1&amp;""'!$C$4:$C$66""),INDIRECT(""'""&amp;CF$1&amp;""'!$D$4:$D$66"")=CF$2),$G$4:$BQ$4,$G103:$BQ103)))"),0.0)</f>
        <v>0</v>
      </c>
      <c r="CG103" s="207" t="str">
        <f>IFERROR(__xludf.DUMMYFUNCTION("IF(OR(CF103&gt;$BS103+$BT103*$BT$2,CF103&lt;$BS103-$BT103*$BT$2),AVEDEV(ARRAYFORMULA(XLOOKUP(FILTER(INDIRECT(""'""&amp;CF$1&amp;""'!$C$4:$C$66""),INDIRECT(""'""&amp;CF$1&amp;""'!$D$4:$D$66"")=CF$2),$G$4:$BQ$4,$G103:$BQ103))),"""")"),"")</f>
        <v/>
      </c>
      <c r="CH103" s="208" t="str">
        <f t="shared" si="11"/>
        <v/>
      </c>
      <c r="CI103" s="207">
        <f>IFERROR(__xludf.DUMMYFUNCTION("AVERAGE(ARRAYFORMULA(XLOOKUP(FILTER(INDIRECT(""'""&amp;CI$1&amp;""'!$C$4:$C$66""),INDIRECT(""'""&amp;CI$1&amp;""'!$D$4:$D$66"")=CI$2),$G$4:$BQ$4,$G103:$BQ103)))"),0.03225806451612903)</f>
        <v>0.03225806452</v>
      </c>
      <c r="CJ103" s="207" t="str">
        <f>IFERROR(__xludf.DUMMYFUNCTION("IF(OR(CI103&gt;$BS103+$BT103*$BT$2,CI103&lt;$BS103-$BT103*$BT$2),AVEDEV(ARRAYFORMULA(XLOOKUP(FILTER(INDIRECT(""'""&amp;CI$1&amp;""'!$C$4:$C$66""),INDIRECT(""'""&amp;CI$1&amp;""'!$D$4:$D$66"")=CI$2),$G$4:$BQ$4,$G103:$BQ103))),"""")"),"")</f>
        <v/>
      </c>
      <c r="CK103" s="208" t="str">
        <f t="shared" si="12"/>
        <v/>
      </c>
      <c r="CL103" s="207">
        <f>IFERROR(__xludf.DUMMYFUNCTION("AVERAGE(ARRAYFORMULA(XLOOKUP(FILTER(INDIRECT(""'""&amp;CL$1&amp;""'!$C$4:$C$66""),INDIRECT(""'""&amp;CL$1&amp;""'!$D$4:$D$66"")=CL$2),$G$4:$BQ$4,$G103:$BQ103)))"),0.0)</f>
        <v>0</v>
      </c>
      <c r="CM103" s="207" t="str">
        <f>IFERROR(__xludf.DUMMYFUNCTION("IF(OR(CL103&gt;$BS103+$BT103*$BT$2,CL103&lt;$BS103-$BT103*$BT$2),AVEDEV(ARRAYFORMULA(XLOOKUP(FILTER(INDIRECT(""'""&amp;CL$1&amp;""'!$C$4:$C$66""),INDIRECT(""'""&amp;CL$1&amp;""'!$D$4:$D$66"")=CL$2),$G$4:$BQ$4,$G103:$BQ103))),"""")"),"")</f>
        <v/>
      </c>
      <c r="CN103" s="208" t="str">
        <f t="shared" si="13"/>
        <v/>
      </c>
      <c r="CO103" s="209" t="s">
        <v>444</v>
      </c>
      <c r="CP103" s="210">
        <f>IFERROR(__xludf.DUMMYFUNCTION("AVERAGE(ARRAYFORMULA(XLOOKUP(FILTER(INDIRECT(""'""&amp;CP$1&amp;""'!$C$4:$C$66""),INDIRECT(""'""&amp;CP$1&amp;""'!$D$4:$D$66"")=CP$2),$G$4:$BQ$4,$G103:$BQ103)))"),0.0)</f>
        <v>0</v>
      </c>
      <c r="CQ103" s="207" t="str">
        <f>IFERROR(__xludf.DUMMYFUNCTION("IF(OR(CP103&gt;$BS103+$BT103*$BT$2,CP103&lt;$BS103-$BT103*$BT$2),AVEDEV(ARRAYFORMULA(XLOOKUP(FILTER(INDIRECT(""'""&amp;CP$1&amp;""'!$C$4:$C$66""),INDIRECT(""'""&amp;CP$1&amp;""'!$D$4:$D$66"")=CP$2),$G$4:$BQ$4,$G103:$BQ103))),"""")"),"")</f>
        <v/>
      </c>
      <c r="CR103" s="208" t="str">
        <f t="shared" si="14"/>
        <v/>
      </c>
      <c r="CS103" s="210">
        <f>IFERROR(__xludf.DUMMYFUNCTION("AVERAGE(ARRAYFORMULA(XLOOKUP(FILTER(INDIRECT(""'""&amp;CS$1&amp;""'!$C$4:$C$66""),INDIRECT(""'""&amp;CS$1&amp;""'!$D$4:$D$66"")=CS$2),$G$4:$BQ$4,$G103:$BQ103)))"),0.02564102564102564)</f>
        <v>0.02564102564</v>
      </c>
      <c r="CT103" s="207" t="str">
        <f>IFERROR(__xludf.DUMMYFUNCTION("IF(OR(CS103&gt;$BS103+$BT103*$BT$2,CS103&lt;$BS103-$BT103*$BT$2),AVEDEV(ARRAYFORMULA(XLOOKUP(FILTER(INDIRECT(""'""&amp;CS$1&amp;""'!$C$4:$C$66""),INDIRECT(""'""&amp;CS$1&amp;""'!$D$4:$D$66"")=CS$2),$G$4:$BQ$4,$G103:$BQ103))),"""")"),"")</f>
        <v/>
      </c>
      <c r="CU103" s="208" t="str">
        <f t="shared" si="15"/>
        <v/>
      </c>
      <c r="CV103" s="210">
        <f>IFERROR(__xludf.DUMMYFUNCTION("AVERAGE(ARRAYFORMULA(XLOOKUP(FILTER(INDIRECT(""'""&amp;CV$1&amp;""'!$C$4:$C$66""),INDIRECT(""'""&amp;CV$1&amp;""'!$D$4:$D$66"")=CV$2),$G$4:$BQ$4,$G103:$BQ103)))"),0.0)</f>
        <v>0</v>
      </c>
      <c r="CW103" s="207" t="str">
        <f>IFERROR(__xludf.DUMMYFUNCTION("IF(OR(CV103&gt;$BS103+$BT103*$BT$2,CV103&lt;$BS103-$BT103*$BT$2),AVEDEV(ARRAYFORMULA(XLOOKUP(FILTER(INDIRECT(""'""&amp;CV$1&amp;""'!$C$4:$C$66""),INDIRECT(""'""&amp;CV$1&amp;""'!$D$4:$D$66"")=CV$2),$G$4:$BQ$4,$G103:$BQ103))),"""")"),"")</f>
        <v/>
      </c>
      <c r="CX103" s="208" t="str">
        <f t="shared" si="16"/>
        <v/>
      </c>
      <c r="CY103" s="209" t="s">
        <v>444</v>
      </c>
      <c r="CZ103" s="210">
        <f>IFERROR(__xludf.DUMMYFUNCTION("AVERAGE(ARRAYFORMULA(XLOOKUP(FILTER(INDIRECT(""'""&amp;CZ$1&amp;""'!$C$4:$C$66""),INDIRECT(""'""&amp;CZ$1&amp;""'!$D$4:$D$66"")=CZ$2),$G$4:$BQ$4,$G103:$BQ103)))"),0.07142857142857142)</f>
        <v>0.07142857143</v>
      </c>
      <c r="DA103" s="207">
        <f>IFERROR(__xludf.DUMMYFUNCTION("IF(OR(CZ103&gt;$BS103+$BT103*$BT$2,CZ103&lt;$BS103-$BT103*$BT$2),AVEDEV(ARRAYFORMULA(XLOOKUP(FILTER(INDIRECT(""'""&amp;CZ$1&amp;""'!$C$4:$C$66""),INDIRECT(""'""&amp;CZ$1&amp;""'!$D$4:$D$66"")=CZ$2),$G$4:$BQ$4,$G103:$BQ103))),"""")"),0.13265306122448978)</f>
        <v>0.1326530612</v>
      </c>
      <c r="DB103" s="208">
        <f t="shared" si="17"/>
        <v>0.02431342908</v>
      </c>
      <c r="DC103" s="210">
        <f>IFERROR(__xludf.DUMMYFUNCTION("AVERAGE(ARRAYFORMULA(XLOOKUP(FILTER(INDIRECT(""'""&amp;DC$1&amp;""'!$C$4:$C$66""),INDIRECT(""'""&amp;DC$1&amp;""'!$D$4:$D$66"")=DC$2),$G$4:$BQ$4,$G103:$BQ103)))"),0.0)</f>
        <v>0</v>
      </c>
      <c r="DD103" s="207" t="str">
        <f>IFERROR(__xludf.DUMMYFUNCTION("IF(OR(DC103&gt;$BS103+$BT103*$BT$2,DC103&lt;$BS103-$BT103*$BT$2),AVEDEV(ARRAYFORMULA(XLOOKUP(FILTER(INDIRECT(""'""&amp;DC$1&amp;""'!$C$4:$C$66""),INDIRECT(""'""&amp;DC$1&amp;""'!$D$4:$D$66"")=DC$2),$G$4:$BQ$4,$G103:$BQ103))),"""")"),"")</f>
        <v/>
      </c>
      <c r="DE103" s="208" t="str">
        <f t="shared" si="18"/>
        <v/>
      </c>
      <c r="DF103" s="210">
        <f>IFERROR(__xludf.DUMMYFUNCTION("AVERAGE(ARRAYFORMULA(XLOOKUP(FILTER(INDIRECT(""'""&amp;DF$1&amp;""'!$C$4:$C$66""),INDIRECT(""'""&amp;DF$1&amp;""'!$D$4:$D$66"")=DF$2),$G$4:$BQ$4,$G103:$BQ103)))"),0.0)</f>
        <v>0</v>
      </c>
      <c r="DG103" s="207" t="str">
        <f>IFERROR(__xludf.DUMMYFUNCTION("IF(OR(DF103&gt;$BS103+$BT103*$BT$2,DF103&lt;$BS103-$BT103*$BT$2),AVEDEV(ARRAYFORMULA(XLOOKUP(FILTER(INDIRECT(""'""&amp;DF$1&amp;""'!$C$4:$C$66""),INDIRECT(""'""&amp;DF$1&amp;""'!$D$4:$D$66"")=DF$2),$G$4:$BQ$4,$G103:$BQ103))),"""")"),"")</f>
        <v/>
      </c>
      <c r="DH103" s="208" t="str">
        <f t="shared" si="19"/>
        <v/>
      </c>
      <c r="DI103" s="210">
        <f>IFERROR(__xludf.DUMMYFUNCTION("AVERAGE(ARRAYFORMULA(XLOOKUP(FILTER(INDIRECT(""'""&amp;DI$1&amp;""'!$C$4:$C$66""),INDIRECT(""'""&amp;DI$1&amp;""'!$D$4:$D$66"")=DI$2),$G$4:$BQ$4,$G103:$BQ103)))"),0.0)</f>
        <v>0</v>
      </c>
      <c r="DJ103" s="207" t="str">
        <f>IFERROR(__xludf.DUMMYFUNCTION("IF(OR(DI103&gt;$BS103+$BT103*$BT$2,DI103&lt;$BS103-$BT103*$BT$2),AVEDEV(ARRAYFORMULA(XLOOKUP(FILTER(INDIRECT(""'""&amp;DI$1&amp;""'!$C$4:$C$66""),INDIRECT(""'""&amp;DI$1&amp;""'!$D$4:$D$66"")=DI$2),$G$4:$BQ$4,$G103:$BQ103))),"""")"),"")</f>
        <v/>
      </c>
      <c r="DK103" s="208" t="str">
        <f t="shared" si="20"/>
        <v/>
      </c>
      <c r="DL103" s="210">
        <f>IFERROR(__xludf.DUMMYFUNCTION("AVERAGE(ARRAYFORMULA(XLOOKUP(FILTER(INDIRECT(""'""&amp;DL$1&amp;""'!$C$4:$C$66""),INDIRECT(""'""&amp;DL$1&amp;""'!$D$4:$D$66"")=DL$2),$G$4:$BQ$4,$G103:$BQ103)))"),0.0)</f>
        <v>0</v>
      </c>
      <c r="DM103" s="207" t="str">
        <f>IFERROR(__xludf.DUMMYFUNCTION("IF(OR(DL103&gt;$BS103+$BT103*$BT$2,DL103&lt;$BS103-$BT103*$BT$2),AVEDEV(ARRAYFORMULA(XLOOKUP(FILTER(INDIRECT(""'""&amp;DL$1&amp;""'!$C$4:$C$66""),INDIRECT(""'""&amp;DL$1&amp;""'!$D$4:$D$66"")=DL$2),$G$4:$BQ$4,$G103:$BQ103))),"""")"),"")</f>
        <v/>
      </c>
      <c r="DN103" s="208" t="str">
        <f t="shared" si="21"/>
        <v/>
      </c>
      <c r="DO103" s="209" t="s">
        <v>444</v>
      </c>
      <c r="DP103" s="210">
        <f>IFERROR(__xludf.DUMMYFUNCTION("AVERAGE(ARRAYFORMULA(XLOOKUP(FILTER(INDIRECT(""'""&amp;DP$1&amp;""'!$C$4:$C$66""),INDIRECT(""'""&amp;DP$1&amp;""'!$D$4:$D$66"")=DP$2),$G$4:$BQ$4,$G103:$BQ103)))"),0.03333333333333333)</f>
        <v>0.03333333333</v>
      </c>
      <c r="DQ103" s="207" t="str">
        <f>IFERROR(__xludf.DUMMYFUNCTION("IF(OR(DP103&gt;$BS103+$BT103*$BT$2,DP103&lt;$BS103-$BT103*$BT$2),AVEDEV(ARRAYFORMULA(XLOOKUP(FILTER(INDIRECT(""'""&amp;DP$1&amp;""'!$C$4:$C$66""),INDIRECT(""'""&amp;DP$1&amp;""'!$D$4:$D$66"")=DP$2),$G$4:$BQ$4,$G103:$BQ103))),"""")"),"")</f>
        <v/>
      </c>
      <c r="DR103" s="208" t="str">
        <f t="shared" si="22"/>
        <v/>
      </c>
      <c r="DS103" s="210">
        <f>IFERROR(__xludf.DUMMYFUNCTION("AVERAGE(ARRAYFORMULA(XLOOKUP(FILTER(INDIRECT(""'""&amp;DS$1&amp;""'!$C$4:$C$66""),INDIRECT(""'""&amp;DS$1&amp;""'!$D$4:$D$66"")=DS$2),$G$4:$BQ$4,$G103:$BQ103)))"),0.0)</f>
        <v>0</v>
      </c>
      <c r="DT103" s="207" t="str">
        <f>IFERROR(__xludf.DUMMYFUNCTION("IF(OR(DS103&gt;$BS103+$BT103*$BT$2,DS103&lt;$BS103-$BT103*$BT$2),AVEDEV(ARRAYFORMULA(XLOOKUP(FILTER(INDIRECT(""'""&amp;DS$1&amp;""'!$C$4:$C$66""),INDIRECT(""'""&amp;DS$1&amp;""'!$D$4:$D$66"")=DS$2),$G$4:$BQ$4,$G103:$BQ103))),"""")"),"")</f>
        <v/>
      </c>
      <c r="DU103" s="208" t="str">
        <f t="shared" si="23"/>
        <v/>
      </c>
      <c r="DV103" s="210">
        <f>IFERROR(__xludf.DUMMYFUNCTION("AVERAGE(ARRAYFORMULA(XLOOKUP(FILTER(INDIRECT(""'""&amp;DV$1&amp;""'!$C$4:$C$66""),INDIRECT(""'""&amp;DV$1&amp;""'!$D$4:$D$66"")=DV$2),$G$4:$BQ$4,$G103:$BQ103)))"),0.0)</f>
        <v>0</v>
      </c>
      <c r="DW103" s="207" t="str">
        <f>IFERROR(__xludf.DUMMYFUNCTION("IF(OR(DV103&gt;$BS103+$BT103*$BT$2,DV103&lt;$BS103-$BT103*$BT$2),AVEDEV(ARRAYFORMULA(XLOOKUP(FILTER(INDIRECT(""'""&amp;DV$1&amp;""'!$C$4:$C$66""),INDIRECT(""'""&amp;DV$1&amp;""'!$D$4:$D$66"")=DV$2),$G$4:$BQ$4,$G103:$BQ103))),"""")"),"")</f>
        <v/>
      </c>
      <c r="DX103" s="208" t="str">
        <f t="shared" si="24"/>
        <v/>
      </c>
      <c r="DY103" s="210">
        <f>IFERROR(__xludf.DUMMYFUNCTION("AVERAGE(ARRAYFORMULA(XLOOKUP(FILTER(INDIRECT(""'""&amp;DY$1&amp;""'!$C$4:$C$66""),INDIRECT(""'""&amp;DY$1&amp;""'!$D$4:$D$66"")=DY$2),$G$4:$BQ$4,$G103:$BQ103)))"),0.0)</f>
        <v>0</v>
      </c>
      <c r="DZ103" s="207" t="str">
        <f>IFERROR(__xludf.DUMMYFUNCTION("IF(OR(DY103&gt;$BS103+$BT103*$BT$2,DY103&lt;$BS103-$BT103*$BT$2),AVEDEV(ARRAYFORMULA(XLOOKUP(FILTER(INDIRECT(""'""&amp;DY$1&amp;""'!$C$4:$C$66""),INDIRECT(""'""&amp;DY$1&amp;""'!$D$4:$D$66"")=DY$2),$G$4:$BQ$4,$G103:$BQ103))),"""")"),"")</f>
        <v/>
      </c>
      <c r="EA103" s="208" t="str">
        <f t="shared" si="25"/>
        <v/>
      </c>
      <c r="EB103" s="191"/>
    </row>
    <row r="104" outlineLevel="1">
      <c r="A104" s="2"/>
      <c r="B104" s="204">
        <v>100.0</v>
      </c>
      <c r="C104" s="204" t="s">
        <v>540</v>
      </c>
      <c r="D104" s="204" t="s">
        <v>546</v>
      </c>
      <c r="E104" s="205" t="b">
        <f>VLOOKUP(D104,'Feature Set List'!A100:C246,2,0)</f>
        <v>1</v>
      </c>
      <c r="F104" s="205" t="b">
        <f>VLOOKUP(D104,'Feature Set List'!A100:C246,3,0)</f>
        <v>1</v>
      </c>
      <c r="G104" s="205">
        <v>0.0</v>
      </c>
      <c r="H104" s="205">
        <v>0.0</v>
      </c>
      <c r="I104" s="205">
        <v>0.0</v>
      </c>
      <c r="J104" s="205">
        <v>0.0</v>
      </c>
      <c r="K104" s="205">
        <v>-1.0</v>
      </c>
      <c r="L104" s="205">
        <v>0.0</v>
      </c>
      <c r="M104" s="205">
        <v>0.0</v>
      </c>
      <c r="N104" s="205">
        <v>0.0</v>
      </c>
      <c r="O104" s="205">
        <v>0.0</v>
      </c>
      <c r="P104" s="205">
        <v>0.0</v>
      </c>
      <c r="Q104" s="205">
        <v>0.0</v>
      </c>
      <c r="R104" s="205">
        <v>0.0</v>
      </c>
      <c r="S104" s="205">
        <v>0.0</v>
      </c>
      <c r="T104" s="205">
        <v>0.0</v>
      </c>
      <c r="U104" s="205">
        <v>0.0</v>
      </c>
      <c r="V104" s="205">
        <v>0.0</v>
      </c>
      <c r="W104" s="205">
        <v>0.0</v>
      </c>
      <c r="X104" s="205">
        <v>0.0</v>
      </c>
      <c r="Y104" s="205">
        <v>0.0</v>
      </c>
      <c r="Z104" s="205">
        <v>0.0</v>
      </c>
      <c r="AA104" s="205">
        <v>0.0</v>
      </c>
      <c r="AB104" s="205">
        <v>0.0</v>
      </c>
      <c r="AC104" s="205">
        <v>0.0</v>
      </c>
      <c r="AD104" s="205">
        <v>0.0</v>
      </c>
      <c r="AE104" s="205">
        <v>0.0</v>
      </c>
      <c r="AF104" s="205">
        <v>0.0</v>
      </c>
      <c r="AG104" s="205">
        <v>0.0</v>
      </c>
      <c r="AH104" s="205">
        <v>0.0</v>
      </c>
      <c r="AI104" s="205">
        <v>0.0</v>
      </c>
      <c r="AJ104" s="205">
        <v>0.0</v>
      </c>
      <c r="AK104" s="205">
        <v>0.0</v>
      </c>
      <c r="AL104" s="205">
        <v>0.0</v>
      </c>
      <c r="AM104" s="205">
        <v>0.0</v>
      </c>
      <c r="AN104" s="205">
        <v>0.0</v>
      </c>
      <c r="AO104" s="205">
        <v>0.0</v>
      </c>
      <c r="AP104" s="205">
        <v>0.0</v>
      </c>
      <c r="AQ104" s="205">
        <v>0.0</v>
      </c>
      <c r="AR104" s="205">
        <v>-1.0</v>
      </c>
      <c r="AS104" s="205">
        <v>0.0</v>
      </c>
      <c r="AT104" s="205">
        <v>0.0</v>
      </c>
      <c r="AU104" s="205">
        <v>0.0</v>
      </c>
      <c r="AV104" s="205">
        <v>0.0</v>
      </c>
      <c r="AW104" s="205">
        <v>0.0</v>
      </c>
      <c r="AX104" s="205">
        <v>0.0</v>
      </c>
      <c r="AY104" s="205">
        <v>0.0</v>
      </c>
      <c r="AZ104" s="205">
        <v>0.0</v>
      </c>
      <c r="BA104" s="205">
        <v>0.0</v>
      </c>
      <c r="BB104" s="205">
        <v>0.0</v>
      </c>
      <c r="BC104" s="205">
        <v>0.0</v>
      </c>
      <c r="BD104" s="205">
        <v>0.0</v>
      </c>
      <c r="BE104" s="205">
        <v>0.0</v>
      </c>
      <c r="BF104" s="205">
        <v>0.0</v>
      </c>
      <c r="BG104" s="205">
        <v>0.0</v>
      </c>
      <c r="BH104" s="205">
        <v>0.0</v>
      </c>
      <c r="BI104" s="205">
        <v>0.0</v>
      </c>
      <c r="BJ104" s="205">
        <v>0.0</v>
      </c>
      <c r="BK104" s="205">
        <v>-1.0</v>
      </c>
      <c r="BL104" s="205">
        <v>0.0</v>
      </c>
      <c r="BM104" s="205">
        <v>0.0</v>
      </c>
      <c r="BN104" s="205">
        <v>0.0</v>
      </c>
      <c r="BO104" s="205">
        <v>0.0</v>
      </c>
      <c r="BP104" s="205">
        <v>0.0</v>
      </c>
      <c r="BQ104" s="205">
        <v>0.0</v>
      </c>
      <c r="BR104" s="206"/>
      <c r="BS104" s="207">
        <f t="shared" si="6"/>
        <v>-0.04761904762</v>
      </c>
      <c r="BT104" s="207">
        <f t="shared" si="7"/>
        <v>0.09070294785</v>
      </c>
      <c r="BU104" s="206"/>
      <c r="BV104" s="207">
        <f>IFERROR(__xludf.DUMMYFUNCTION("AVERAGE(ARRAYFORMULA(XLOOKUP(FILTER(INDIRECT(""'""&amp;BV$1&amp;""'!$C$4:$C$66""),INDIRECT(""'""&amp;BV$1&amp;""'!$D$4:$D$66"")=BV$2),$G$4:$BQ$4,$G104:$BQ104)))"),0.0)</f>
        <v>0</v>
      </c>
      <c r="BW104" s="207" t="str">
        <f>IFERROR(__xludf.DUMMYFUNCTION("IF(OR(BV104&gt;$BS104+$BT104*$BT$2,BV104&lt;$BS104-$BT104*$BT$2),AVEDEV(ARRAYFORMULA(XLOOKUP(FILTER(INDIRECT(""'""&amp;BV$1&amp;""'!$C$4:$C$66""),INDIRECT(""'""&amp;BV$1&amp;""'!$D$4:$D$66"")=BV$2),$G$4:$BQ$4,$G104:$BQ104))),"""")"),"")</f>
        <v/>
      </c>
      <c r="BX104" s="208" t="str">
        <f t="shared" si="8"/>
        <v/>
      </c>
      <c r="BY104" s="207">
        <f>IFERROR(__xludf.DUMMYFUNCTION("AVERAGE(ARRAYFORMULA(XLOOKUP(FILTER(INDIRECT(""'""&amp;BY$1&amp;""'!$C$4:$C$66""),INDIRECT(""'""&amp;BY$1&amp;""'!$D$4:$D$66"")=BY$2),$G$4:$BQ$4,$G104:$BQ104)))"),-0.07142857142857142)</f>
        <v>-0.07142857143</v>
      </c>
      <c r="BZ104" s="207" t="str">
        <f>IFERROR(__xludf.DUMMYFUNCTION("IF(OR(BY104&gt;$BS104+$BT104*$BT$2,BY104&lt;$BS104-$BT104*$BT$2),AVEDEV(ARRAYFORMULA(XLOOKUP(FILTER(INDIRECT(""'""&amp;BY$1&amp;""'!$C$4:$C$66""),INDIRECT(""'""&amp;BY$1&amp;""'!$D$4:$D$66"")=BY$2),$G$4:$BQ$4,$G104:$BQ104))),"""")"),"")</f>
        <v/>
      </c>
      <c r="CA104" s="208" t="str">
        <f t="shared" si="9"/>
        <v/>
      </c>
      <c r="CB104" s="207">
        <f>IFERROR(__xludf.DUMMYFUNCTION("AVERAGE(ARRAYFORMULA(XLOOKUP(FILTER(INDIRECT(""'""&amp;CB$1&amp;""'!$C$4:$C$66""),INDIRECT(""'""&amp;CB$1&amp;""'!$D$4:$D$66"")=CB$2),$G$4:$BQ$4,$G104:$BQ104)))"),0.0)</f>
        <v>0</v>
      </c>
      <c r="CC104" s="207" t="str">
        <f>IFERROR(__xludf.DUMMYFUNCTION("IF(OR(CB104&gt;$BS104+$BT104*$BT$2,CB104&lt;$BS104-$BT104*$BT$2),AVEDEV(ARRAYFORMULA(XLOOKUP(FILTER(INDIRECT(""'""&amp;CB$1&amp;""'!$C$4:$C$66""),INDIRECT(""'""&amp;CB$1&amp;""'!$D$4:$D$66"")=CB$2),$G$4:$BQ$4,$G104:$BQ104))),"""")"),"")</f>
        <v/>
      </c>
      <c r="CD104" s="208" t="str">
        <f t="shared" si="10"/>
        <v/>
      </c>
      <c r="CE104" s="209" t="s">
        <v>444</v>
      </c>
      <c r="CF104" s="207">
        <f>IFERROR(__xludf.DUMMYFUNCTION("AVERAGE(ARRAYFORMULA(XLOOKUP(FILTER(INDIRECT(""'""&amp;CF$1&amp;""'!$C$4:$C$66""),INDIRECT(""'""&amp;CF$1&amp;""'!$D$4:$D$66"")=CF$2),$G$4:$BQ$4,$G104:$BQ104)))"),-0.0625)</f>
        <v>-0.0625</v>
      </c>
      <c r="CG104" s="207" t="str">
        <f>IFERROR(__xludf.DUMMYFUNCTION("IF(OR(CF104&gt;$BS104+$BT104*$BT$2,CF104&lt;$BS104-$BT104*$BT$2),AVEDEV(ARRAYFORMULA(XLOOKUP(FILTER(INDIRECT(""'""&amp;CF$1&amp;""'!$C$4:$C$66""),INDIRECT(""'""&amp;CF$1&amp;""'!$D$4:$D$66"")=CF$2),$G$4:$BQ$4,$G104:$BQ104))),"""")"),"")</f>
        <v/>
      </c>
      <c r="CH104" s="208" t="str">
        <f t="shared" si="11"/>
        <v/>
      </c>
      <c r="CI104" s="207">
        <f>IFERROR(__xludf.DUMMYFUNCTION("AVERAGE(ARRAYFORMULA(XLOOKUP(FILTER(INDIRECT(""'""&amp;CI$1&amp;""'!$C$4:$C$66""),INDIRECT(""'""&amp;CI$1&amp;""'!$D$4:$D$66"")=CI$2),$G$4:$BQ$4,$G104:$BQ104)))"),-0.03225806451612903)</f>
        <v>-0.03225806452</v>
      </c>
      <c r="CJ104" s="207" t="str">
        <f>IFERROR(__xludf.DUMMYFUNCTION("IF(OR(CI104&gt;$BS104+$BT104*$BT$2,CI104&lt;$BS104-$BT104*$BT$2),AVEDEV(ARRAYFORMULA(XLOOKUP(FILTER(INDIRECT(""'""&amp;CI$1&amp;""'!$C$4:$C$66""),INDIRECT(""'""&amp;CI$1&amp;""'!$D$4:$D$66"")=CI$2),$G$4:$BQ$4,$G104:$BQ104))),"""")"),"")</f>
        <v/>
      </c>
      <c r="CK104" s="208" t="str">
        <f t="shared" si="12"/>
        <v/>
      </c>
      <c r="CL104" s="207">
        <f>IFERROR(__xludf.DUMMYFUNCTION("AVERAGE(ARRAYFORMULA(XLOOKUP(FILTER(INDIRECT(""'""&amp;CL$1&amp;""'!$C$4:$C$66""),INDIRECT(""'""&amp;CL$1&amp;""'!$D$4:$D$66"")=CL$2),$G$4:$BQ$4,$G104:$BQ104)))"),0.0)</f>
        <v>0</v>
      </c>
      <c r="CM104" s="207" t="str">
        <f>IFERROR(__xludf.DUMMYFUNCTION("IF(OR(CL104&gt;$BS104+$BT104*$BT$2,CL104&lt;$BS104-$BT104*$BT$2),AVEDEV(ARRAYFORMULA(XLOOKUP(FILTER(INDIRECT(""'""&amp;CL$1&amp;""'!$C$4:$C$66""),INDIRECT(""'""&amp;CL$1&amp;""'!$D$4:$D$66"")=CL$2),$G$4:$BQ$4,$G104:$BQ104))),"""")"),"")</f>
        <v/>
      </c>
      <c r="CN104" s="208" t="str">
        <f t="shared" si="13"/>
        <v/>
      </c>
      <c r="CO104" s="209" t="s">
        <v>444</v>
      </c>
      <c r="CP104" s="210">
        <f>IFERROR(__xludf.DUMMYFUNCTION("AVERAGE(ARRAYFORMULA(XLOOKUP(FILTER(INDIRECT(""'""&amp;CP$1&amp;""'!$C$4:$C$66""),INDIRECT(""'""&amp;CP$1&amp;""'!$D$4:$D$66"")=CP$2),$G$4:$BQ$4,$G104:$BQ104)))"),0.0)</f>
        <v>0</v>
      </c>
      <c r="CQ104" s="207" t="str">
        <f>IFERROR(__xludf.DUMMYFUNCTION("IF(OR(CP104&gt;$BS104+$BT104*$BT$2,CP104&lt;$BS104-$BT104*$BT$2),AVEDEV(ARRAYFORMULA(XLOOKUP(FILTER(INDIRECT(""'""&amp;CP$1&amp;""'!$C$4:$C$66""),INDIRECT(""'""&amp;CP$1&amp;""'!$D$4:$D$66"")=CP$2),$G$4:$BQ$4,$G104:$BQ104))),"""")"),"")</f>
        <v/>
      </c>
      <c r="CR104" s="208" t="str">
        <f t="shared" si="14"/>
        <v/>
      </c>
      <c r="CS104" s="210">
        <f>IFERROR(__xludf.DUMMYFUNCTION("AVERAGE(ARRAYFORMULA(XLOOKUP(FILTER(INDIRECT(""'""&amp;CS$1&amp;""'!$C$4:$C$66""),INDIRECT(""'""&amp;CS$1&amp;""'!$D$4:$D$66"")=CS$2),$G$4:$BQ$4,$G104:$BQ104)))"),-0.07692307692307693)</f>
        <v>-0.07692307692</v>
      </c>
      <c r="CT104" s="207" t="str">
        <f>IFERROR(__xludf.DUMMYFUNCTION("IF(OR(CS104&gt;$BS104+$BT104*$BT$2,CS104&lt;$BS104-$BT104*$BT$2),AVEDEV(ARRAYFORMULA(XLOOKUP(FILTER(INDIRECT(""'""&amp;CS$1&amp;""'!$C$4:$C$66""),INDIRECT(""'""&amp;CS$1&amp;""'!$D$4:$D$66"")=CS$2),$G$4:$BQ$4,$G104:$BQ104))),"""")"),"")</f>
        <v/>
      </c>
      <c r="CU104" s="208" t="str">
        <f t="shared" si="15"/>
        <v/>
      </c>
      <c r="CV104" s="210">
        <f>IFERROR(__xludf.DUMMYFUNCTION("AVERAGE(ARRAYFORMULA(XLOOKUP(FILTER(INDIRECT(""'""&amp;CV$1&amp;""'!$C$4:$C$66""),INDIRECT(""'""&amp;CV$1&amp;""'!$D$4:$D$66"")=CV$2),$G$4:$BQ$4,$G104:$BQ104)))"),0.0)</f>
        <v>0</v>
      </c>
      <c r="CW104" s="207" t="str">
        <f>IFERROR(__xludf.DUMMYFUNCTION("IF(OR(CV104&gt;$BS104+$BT104*$BT$2,CV104&lt;$BS104-$BT104*$BT$2),AVEDEV(ARRAYFORMULA(XLOOKUP(FILTER(INDIRECT(""'""&amp;CV$1&amp;""'!$C$4:$C$66""),INDIRECT(""'""&amp;CV$1&amp;""'!$D$4:$D$66"")=CV$2),$G$4:$BQ$4,$G104:$BQ104))),"""")"),"")</f>
        <v/>
      </c>
      <c r="CX104" s="208" t="str">
        <f t="shared" si="16"/>
        <v/>
      </c>
      <c r="CY104" s="209" t="s">
        <v>444</v>
      </c>
      <c r="CZ104" s="210">
        <f>IFERROR(__xludf.DUMMYFUNCTION("AVERAGE(ARRAYFORMULA(XLOOKUP(FILTER(INDIRECT(""'""&amp;CZ$1&amp;""'!$C$4:$C$66""),INDIRECT(""'""&amp;CZ$1&amp;""'!$D$4:$D$66"")=CZ$2),$G$4:$BQ$4,$G104:$BQ104)))"),-0.07142857142857142)</f>
        <v>-0.07142857143</v>
      </c>
      <c r="DA104" s="207" t="str">
        <f>IFERROR(__xludf.DUMMYFUNCTION("IF(OR(CZ104&gt;$BS104+$BT104*$BT$2,CZ104&lt;$BS104-$BT104*$BT$2),AVEDEV(ARRAYFORMULA(XLOOKUP(FILTER(INDIRECT(""'""&amp;CZ$1&amp;""'!$C$4:$C$66""),INDIRECT(""'""&amp;CZ$1&amp;""'!$D$4:$D$66"")=CZ$2),$G$4:$BQ$4,$G104:$BQ104))),"""")"),"")</f>
        <v/>
      </c>
      <c r="DB104" s="208" t="str">
        <f t="shared" si="17"/>
        <v/>
      </c>
      <c r="DC104" s="210">
        <f>IFERROR(__xludf.DUMMYFUNCTION("AVERAGE(ARRAYFORMULA(XLOOKUP(FILTER(INDIRECT(""'""&amp;DC$1&amp;""'!$C$4:$C$66""),INDIRECT(""'""&amp;DC$1&amp;""'!$D$4:$D$66"")=DC$2),$G$4:$BQ$4,$G104:$BQ104)))"),0.0)</f>
        <v>0</v>
      </c>
      <c r="DD104" s="207" t="str">
        <f>IFERROR(__xludf.DUMMYFUNCTION("IF(OR(DC104&gt;$BS104+$BT104*$BT$2,DC104&lt;$BS104-$BT104*$BT$2),AVEDEV(ARRAYFORMULA(XLOOKUP(FILTER(INDIRECT(""'""&amp;DC$1&amp;""'!$C$4:$C$66""),INDIRECT(""'""&amp;DC$1&amp;""'!$D$4:$D$66"")=DC$2),$G$4:$BQ$4,$G104:$BQ104))),"""")"),"")</f>
        <v/>
      </c>
      <c r="DE104" s="208" t="str">
        <f t="shared" si="18"/>
        <v/>
      </c>
      <c r="DF104" s="210">
        <f>IFERROR(__xludf.DUMMYFUNCTION("AVERAGE(ARRAYFORMULA(XLOOKUP(FILTER(INDIRECT(""'""&amp;DF$1&amp;""'!$C$4:$C$66""),INDIRECT(""'""&amp;DF$1&amp;""'!$D$4:$D$66"")=DF$2),$G$4:$BQ$4,$G104:$BQ104)))"),0.0)</f>
        <v>0</v>
      </c>
      <c r="DG104" s="207" t="str">
        <f>IFERROR(__xludf.DUMMYFUNCTION("IF(OR(DF104&gt;$BS104+$BT104*$BT$2,DF104&lt;$BS104-$BT104*$BT$2),AVEDEV(ARRAYFORMULA(XLOOKUP(FILTER(INDIRECT(""'""&amp;DF$1&amp;""'!$C$4:$C$66""),INDIRECT(""'""&amp;DF$1&amp;""'!$D$4:$D$66"")=DF$2),$G$4:$BQ$4,$G104:$BQ104))),"""")"),"")</f>
        <v/>
      </c>
      <c r="DH104" s="208" t="str">
        <f t="shared" si="19"/>
        <v/>
      </c>
      <c r="DI104" s="210">
        <f>IFERROR(__xludf.DUMMYFUNCTION("AVERAGE(ARRAYFORMULA(XLOOKUP(FILTER(INDIRECT(""'""&amp;DI$1&amp;""'!$C$4:$C$66""),INDIRECT(""'""&amp;DI$1&amp;""'!$D$4:$D$66"")=DI$2),$G$4:$BQ$4,$G104:$BQ104)))"),0.0)</f>
        <v>0</v>
      </c>
      <c r="DJ104" s="207" t="str">
        <f>IFERROR(__xludf.DUMMYFUNCTION("IF(OR(DI104&gt;$BS104+$BT104*$BT$2,DI104&lt;$BS104-$BT104*$BT$2),AVEDEV(ARRAYFORMULA(XLOOKUP(FILTER(INDIRECT(""'""&amp;DI$1&amp;""'!$C$4:$C$66""),INDIRECT(""'""&amp;DI$1&amp;""'!$D$4:$D$66"")=DI$2),$G$4:$BQ$4,$G104:$BQ104))),"""")"),"")</f>
        <v/>
      </c>
      <c r="DK104" s="208" t="str">
        <f t="shared" si="20"/>
        <v/>
      </c>
      <c r="DL104" s="210">
        <f>IFERROR(__xludf.DUMMYFUNCTION("AVERAGE(ARRAYFORMULA(XLOOKUP(FILTER(INDIRECT(""'""&amp;DL$1&amp;""'!$C$4:$C$66""),INDIRECT(""'""&amp;DL$1&amp;""'!$D$4:$D$66"")=DL$2),$G$4:$BQ$4,$G104:$BQ104)))"),-0.07142857142857142)</f>
        <v>-0.07142857143</v>
      </c>
      <c r="DM104" s="207" t="str">
        <f>IFERROR(__xludf.DUMMYFUNCTION("IF(OR(DL104&gt;$BS104+$BT104*$BT$2,DL104&lt;$BS104-$BT104*$BT$2),AVEDEV(ARRAYFORMULA(XLOOKUP(FILTER(INDIRECT(""'""&amp;DL$1&amp;""'!$C$4:$C$66""),INDIRECT(""'""&amp;DL$1&amp;""'!$D$4:$D$66"")=DL$2),$G$4:$BQ$4,$G104:$BQ104))),"""")"),"")</f>
        <v/>
      </c>
      <c r="DN104" s="208" t="str">
        <f t="shared" si="21"/>
        <v/>
      </c>
      <c r="DO104" s="209" t="s">
        <v>444</v>
      </c>
      <c r="DP104" s="210">
        <f>IFERROR(__xludf.DUMMYFUNCTION("AVERAGE(ARRAYFORMULA(XLOOKUP(FILTER(INDIRECT(""'""&amp;DP$1&amp;""'!$C$4:$C$66""),INDIRECT(""'""&amp;DP$1&amp;""'!$D$4:$D$66"")=DP$2),$G$4:$BQ$4,$G104:$BQ104)))"),-0.06666666666666667)</f>
        <v>-0.06666666667</v>
      </c>
      <c r="DQ104" s="207" t="str">
        <f>IFERROR(__xludf.DUMMYFUNCTION("IF(OR(DP104&gt;$BS104+$BT104*$BT$2,DP104&lt;$BS104-$BT104*$BT$2),AVEDEV(ARRAYFORMULA(XLOOKUP(FILTER(INDIRECT(""'""&amp;DP$1&amp;""'!$C$4:$C$66""),INDIRECT(""'""&amp;DP$1&amp;""'!$D$4:$D$66"")=DP$2),$G$4:$BQ$4,$G104:$BQ104))),"""")"),"")</f>
        <v/>
      </c>
      <c r="DR104" s="208" t="str">
        <f t="shared" si="22"/>
        <v/>
      </c>
      <c r="DS104" s="210">
        <f>IFERROR(__xludf.DUMMYFUNCTION("AVERAGE(ARRAYFORMULA(XLOOKUP(FILTER(INDIRECT(""'""&amp;DS$1&amp;""'!$C$4:$C$66""),INDIRECT(""'""&amp;DS$1&amp;""'!$D$4:$D$66"")=DS$2),$G$4:$BQ$4,$G104:$BQ104)))"),0.0)</f>
        <v>0</v>
      </c>
      <c r="DT104" s="207" t="str">
        <f>IFERROR(__xludf.DUMMYFUNCTION("IF(OR(DS104&gt;$BS104+$BT104*$BT$2,DS104&lt;$BS104-$BT104*$BT$2),AVEDEV(ARRAYFORMULA(XLOOKUP(FILTER(INDIRECT(""'""&amp;DS$1&amp;""'!$C$4:$C$66""),INDIRECT(""'""&amp;DS$1&amp;""'!$D$4:$D$66"")=DS$2),$G$4:$BQ$4,$G104:$BQ104))),"""")"),"")</f>
        <v/>
      </c>
      <c r="DU104" s="208" t="str">
        <f t="shared" si="23"/>
        <v/>
      </c>
      <c r="DV104" s="210">
        <f>IFERROR(__xludf.DUMMYFUNCTION("AVERAGE(ARRAYFORMULA(XLOOKUP(FILTER(INDIRECT(""'""&amp;DV$1&amp;""'!$C$4:$C$66""),INDIRECT(""'""&amp;DV$1&amp;""'!$D$4:$D$66"")=DV$2),$G$4:$BQ$4,$G104:$BQ104)))"),0.0)</f>
        <v>0</v>
      </c>
      <c r="DW104" s="207" t="str">
        <f>IFERROR(__xludf.DUMMYFUNCTION("IF(OR(DV104&gt;$BS104+$BT104*$BT$2,DV104&lt;$BS104-$BT104*$BT$2),AVEDEV(ARRAYFORMULA(XLOOKUP(FILTER(INDIRECT(""'""&amp;DV$1&amp;""'!$C$4:$C$66""),INDIRECT(""'""&amp;DV$1&amp;""'!$D$4:$D$66"")=DV$2),$G$4:$BQ$4,$G104:$BQ104))),"""")"),"")</f>
        <v/>
      </c>
      <c r="DX104" s="208" t="str">
        <f t="shared" si="24"/>
        <v/>
      </c>
      <c r="DY104" s="210">
        <f>IFERROR(__xludf.DUMMYFUNCTION("AVERAGE(ARRAYFORMULA(XLOOKUP(FILTER(INDIRECT(""'""&amp;DY$1&amp;""'!$C$4:$C$66""),INDIRECT(""'""&amp;DY$1&amp;""'!$D$4:$D$66"")=DY$2),$G$4:$BQ$4,$G104:$BQ104)))"),0.0)</f>
        <v>0</v>
      </c>
      <c r="DZ104" s="207" t="str">
        <f>IFERROR(__xludf.DUMMYFUNCTION("IF(OR(DY104&gt;$BS104+$BT104*$BT$2,DY104&lt;$BS104-$BT104*$BT$2),AVEDEV(ARRAYFORMULA(XLOOKUP(FILTER(INDIRECT(""'""&amp;DY$1&amp;""'!$C$4:$C$66""),INDIRECT(""'""&amp;DY$1&amp;""'!$D$4:$D$66"")=DY$2),$G$4:$BQ$4,$G104:$BQ104))),"""")"),"")</f>
        <v/>
      </c>
      <c r="EA104" s="208" t="str">
        <f t="shared" si="25"/>
        <v/>
      </c>
      <c r="EB104" s="191"/>
    </row>
    <row r="105" outlineLevel="1">
      <c r="A105" s="2"/>
      <c r="B105" s="204">
        <v>101.0</v>
      </c>
      <c r="C105" s="204" t="s">
        <v>540</v>
      </c>
      <c r="D105" s="204" t="s">
        <v>547</v>
      </c>
      <c r="E105" s="205" t="b">
        <f>VLOOKUP(D105,'Feature Set List'!A101:C246,2,0)</f>
        <v>1</v>
      </c>
      <c r="F105" s="205" t="b">
        <f>VLOOKUP(D105,'Feature Set List'!A101:C246,3,0)</f>
        <v>1</v>
      </c>
      <c r="G105" s="205">
        <v>0.0</v>
      </c>
      <c r="H105" s="205">
        <v>2.0</v>
      </c>
      <c r="I105" s="205">
        <v>0.0</v>
      </c>
      <c r="J105" s="205">
        <v>2.0</v>
      </c>
      <c r="K105" s="205">
        <v>3.0</v>
      </c>
      <c r="L105" s="205">
        <v>0.0</v>
      </c>
      <c r="M105" s="205">
        <v>0.0</v>
      </c>
      <c r="N105" s="205">
        <v>1.0</v>
      </c>
      <c r="O105" s="205">
        <v>0.0</v>
      </c>
      <c r="P105" s="205">
        <v>0.0</v>
      </c>
      <c r="Q105" s="205">
        <v>1.0</v>
      </c>
      <c r="R105" s="205">
        <v>0.0</v>
      </c>
      <c r="S105" s="205">
        <v>0.0</v>
      </c>
      <c r="T105" s="205">
        <v>1.0</v>
      </c>
      <c r="U105" s="205">
        <v>0.0</v>
      </c>
      <c r="V105" s="205">
        <v>1.0</v>
      </c>
      <c r="W105" s="205">
        <v>0.0</v>
      </c>
      <c r="X105" s="205">
        <v>0.0</v>
      </c>
      <c r="Y105" s="205">
        <v>0.0</v>
      </c>
      <c r="Z105" s="205">
        <v>0.0</v>
      </c>
      <c r="AA105" s="205">
        <v>0.0</v>
      </c>
      <c r="AB105" s="205">
        <v>0.0</v>
      </c>
      <c r="AC105" s="205">
        <v>0.0</v>
      </c>
      <c r="AD105" s="205">
        <v>0.0</v>
      </c>
      <c r="AE105" s="205">
        <v>4.0</v>
      </c>
      <c r="AF105" s="205">
        <v>1.0</v>
      </c>
      <c r="AG105" s="205">
        <v>0.0</v>
      </c>
      <c r="AH105" s="205">
        <v>2.0</v>
      </c>
      <c r="AI105" s="205">
        <v>1.0</v>
      </c>
      <c r="AJ105" s="205">
        <v>0.0</v>
      </c>
      <c r="AK105" s="205">
        <v>2.0</v>
      </c>
      <c r="AL105" s="205">
        <v>0.0</v>
      </c>
      <c r="AM105" s="205">
        <v>0.0</v>
      </c>
      <c r="AN105" s="205">
        <v>0.0</v>
      </c>
      <c r="AO105" s="205">
        <v>0.0</v>
      </c>
      <c r="AP105" s="205">
        <v>0.0</v>
      </c>
      <c r="AQ105" s="205">
        <v>0.0</v>
      </c>
      <c r="AR105" s="205">
        <v>0.0</v>
      </c>
      <c r="AS105" s="205">
        <v>1.0</v>
      </c>
      <c r="AT105" s="205">
        <v>0.0</v>
      </c>
      <c r="AU105" s="205">
        <v>0.0</v>
      </c>
      <c r="AV105" s="205">
        <v>0.0</v>
      </c>
      <c r="AW105" s="205">
        <v>0.0</v>
      </c>
      <c r="AX105" s="205">
        <v>0.0</v>
      </c>
      <c r="AY105" s="205">
        <v>0.0</v>
      </c>
      <c r="AZ105" s="205">
        <v>1.0</v>
      </c>
      <c r="BA105" s="205">
        <v>1.0</v>
      </c>
      <c r="BB105" s="205">
        <v>0.0</v>
      </c>
      <c r="BC105" s="205">
        <v>0.0</v>
      </c>
      <c r="BD105" s="205">
        <v>0.0</v>
      </c>
      <c r="BE105" s="205">
        <v>1.0</v>
      </c>
      <c r="BF105" s="205">
        <v>1.0</v>
      </c>
      <c r="BG105" s="205">
        <v>0.0</v>
      </c>
      <c r="BH105" s="205">
        <v>0.0</v>
      </c>
      <c r="BI105" s="205">
        <v>0.0</v>
      </c>
      <c r="BJ105" s="205">
        <v>0.0</v>
      </c>
      <c r="BK105" s="205">
        <v>0.0</v>
      </c>
      <c r="BL105" s="205">
        <v>0.0</v>
      </c>
      <c r="BM105" s="205">
        <v>0.0</v>
      </c>
      <c r="BN105" s="205">
        <v>0.0</v>
      </c>
      <c r="BO105" s="205">
        <v>0.0</v>
      </c>
      <c r="BP105" s="205">
        <v>1.0</v>
      </c>
      <c r="BQ105" s="205">
        <v>0.0</v>
      </c>
      <c r="BR105" s="206"/>
      <c r="BS105" s="207">
        <f t="shared" si="6"/>
        <v>0.4285714286</v>
      </c>
      <c r="BT105" s="207">
        <f t="shared" si="7"/>
        <v>0.612244898</v>
      </c>
      <c r="BU105" s="206"/>
      <c r="BV105" s="207">
        <f>IFERROR(__xludf.DUMMYFUNCTION("AVERAGE(ARRAYFORMULA(XLOOKUP(FILTER(INDIRECT(""'""&amp;BV$1&amp;""'!$C$4:$C$66""),INDIRECT(""'""&amp;BV$1&amp;""'!$D$4:$D$66"")=BV$2),$G$4:$BQ$4,$G105:$BQ105)))"),0.14285714285714285)</f>
        <v>0.1428571429</v>
      </c>
      <c r="BW105" s="207" t="str">
        <f>IFERROR(__xludf.DUMMYFUNCTION("IF(OR(BV105&gt;$BS105+$BT105*$BT$2,BV105&lt;$BS105-$BT105*$BT$2),AVEDEV(ARRAYFORMULA(XLOOKUP(FILTER(INDIRECT(""'""&amp;BV$1&amp;""'!$C$4:$C$66""),INDIRECT(""'""&amp;BV$1&amp;""'!$D$4:$D$66"")=BV$2),$G$4:$BQ$4,$G105:$BQ105))),"""")"),"")</f>
        <v/>
      </c>
      <c r="BX105" s="208" t="str">
        <f t="shared" si="8"/>
        <v/>
      </c>
      <c r="BY105" s="207">
        <f>IFERROR(__xludf.DUMMYFUNCTION("AVERAGE(ARRAYFORMULA(XLOOKUP(FILTER(INDIRECT(""'""&amp;BY$1&amp;""'!$C$4:$C$66""),INDIRECT(""'""&amp;BY$1&amp;""'!$D$4:$D$66"")=BY$2),$G$4:$BQ$4,$G105:$BQ105)))"),0.5238095238095238)</f>
        <v>0.5238095238</v>
      </c>
      <c r="BZ105" s="207" t="str">
        <f>IFERROR(__xludf.DUMMYFUNCTION("IF(OR(BY105&gt;$BS105+$BT105*$BT$2,BY105&lt;$BS105-$BT105*$BT$2),AVEDEV(ARRAYFORMULA(XLOOKUP(FILTER(INDIRECT(""'""&amp;BY$1&amp;""'!$C$4:$C$66""),INDIRECT(""'""&amp;BY$1&amp;""'!$D$4:$D$66"")=BY$2),$G$4:$BQ$4,$G105:$BQ105))),"""")"),"")</f>
        <v/>
      </c>
      <c r="CA105" s="208" t="str">
        <f t="shared" si="9"/>
        <v/>
      </c>
      <c r="CB105" s="207">
        <f>IFERROR(__xludf.DUMMYFUNCTION("AVERAGE(ARRAYFORMULA(XLOOKUP(FILTER(INDIRECT(""'""&amp;CB$1&amp;""'!$C$4:$C$66""),INDIRECT(""'""&amp;CB$1&amp;""'!$D$4:$D$66"")=CB$2),$G$4:$BQ$4,$G105:$BQ105)))"),0.36363636363636365)</f>
        <v>0.3636363636</v>
      </c>
      <c r="CC105" s="207" t="str">
        <f>IFERROR(__xludf.DUMMYFUNCTION("IF(OR(CB105&gt;$BS105+$BT105*$BT$2,CB105&lt;$BS105-$BT105*$BT$2),AVEDEV(ARRAYFORMULA(XLOOKUP(FILTER(INDIRECT(""'""&amp;CB$1&amp;""'!$C$4:$C$66""),INDIRECT(""'""&amp;CB$1&amp;""'!$D$4:$D$66"")=CB$2),$G$4:$BQ$4,$G105:$BQ105))),"""")"),"")</f>
        <v/>
      </c>
      <c r="CD105" s="208" t="str">
        <f t="shared" si="10"/>
        <v/>
      </c>
      <c r="CE105" s="209" t="s">
        <v>444</v>
      </c>
      <c r="CF105" s="207">
        <f>IFERROR(__xludf.DUMMYFUNCTION("AVERAGE(ARRAYFORMULA(XLOOKUP(FILTER(INDIRECT(""'""&amp;CF$1&amp;""'!$C$4:$C$66""),INDIRECT(""'""&amp;CF$1&amp;""'!$D$4:$D$66"")=CF$2),$G$4:$BQ$4,$G105:$BQ105)))"),1.0625)</f>
        <v>1.0625</v>
      </c>
      <c r="CG105" s="207">
        <f>IFERROR(__xludf.DUMMYFUNCTION("IF(OR(CF105&gt;$BS105+$BT105*$BT$2,CF105&lt;$BS105-$BT105*$BT$2),AVEDEV(ARRAYFORMULA(XLOOKUP(FILTER(INDIRECT(""'""&amp;CF$1&amp;""'!$C$4:$C$66""),INDIRECT(""'""&amp;CF$1&amp;""'!$D$4:$D$66"")=CF$2),$G$4:$BQ$4,$G105:$BQ105))),"""")"),0.9609375)</f>
        <v>0.9609375</v>
      </c>
      <c r="CH105" s="208">
        <f t="shared" si="11"/>
        <v>0.02168367347</v>
      </c>
      <c r="CI105" s="207">
        <f>IFERROR(__xludf.DUMMYFUNCTION("AVERAGE(ARRAYFORMULA(XLOOKUP(FILTER(INDIRECT(""'""&amp;CI$1&amp;""'!$C$4:$C$66""),INDIRECT(""'""&amp;CI$1&amp;""'!$D$4:$D$66"")=CI$2),$G$4:$BQ$4,$G105:$BQ105)))"),0.22580645161290322)</f>
        <v>0.2258064516</v>
      </c>
      <c r="CJ105" s="207" t="str">
        <f>IFERROR(__xludf.DUMMYFUNCTION("IF(OR(CI105&gt;$BS105+$BT105*$BT$2,CI105&lt;$BS105-$BT105*$BT$2),AVEDEV(ARRAYFORMULA(XLOOKUP(FILTER(INDIRECT(""'""&amp;CI$1&amp;""'!$C$4:$C$66""),INDIRECT(""'""&amp;CI$1&amp;""'!$D$4:$D$66"")=CI$2),$G$4:$BQ$4,$G105:$BQ105))),"""")"),"")</f>
        <v/>
      </c>
      <c r="CK105" s="208" t="str">
        <f t="shared" si="12"/>
        <v/>
      </c>
      <c r="CL105" s="207">
        <f>IFERROR(__xludf.DUMMYFUNCTION("AVERAGE(ARRAYFORMULA(XLOOKUP(FILTER(INDIRECT(""'""&amp;CL$1&amp;""'!$C$4:$C$66""),INDIRECT(""'""&amp;CL$1&amp;""'!$D$4:$D$66"")=CL$2),$G$4:$BQ$4,$G105:$BQ105)))"),0.6)</f>
        <v>0.6</v>
      </c>
      <c r="CM105" s="207" t="str">
        <f>IFERROR(__xludf.DUMMYFUNCTION("IF(OR(CL105&gt;$BS105+$BT105*$BT$2,CL105&lt;$BS105-$BT105*$BT$2),AVEDEV(ARRAYFORMULA(XLOOKUP(FILTER(INDIRECT(""'""&amp;CL$1&amp;""'!$C$4:$C$66""),INDIRECT(""'""&amp;CL$1&amp;""'!$D$4:$D$66"")=CL$2),$G$4:$BQ$4,$G105:$BQ105))),"""")"),"")</f>
        <v/>
      </c>
      <c r="CN105" s="208" t="str">
        <f t="shared" si="13"/>
        <v/>
      </c>
      <c r="CO105" s="209" t="s">
        <v>444</v>
      </c>
      <c r="CP105" s="210">
        <f>IFERROR(__xludf.DUMMYFUNCTION("AVERAGE(ARRAYFORMULA(XLOOKUP(FILTER(INDIRECT(""'""&amp;CP$1&amp;""'!$C$4:$C$66""),INDIRECT(""'""&amp;CP$1&amp;""'!$D$4:$D$66"")=CP$2),$G$4:$BQ$4,$G105:$BQ105)))"),0.5333333333333333)</f>
        <v>0.5333333333</v>
      </c>
      <c r="CQ105" s="207" t="str">
        <f>IFERROR(__xludf.DUMMYFUNCTION("IF(OR(CP105&gt;$BS105+$BT105*$BT$2,CP105&lt;$BS105-$BT105*$BT$2),AVEDEV(ARRAYFORMULA(XLOOKUP(FILTER(INDIRECT(""'""&amp;CP$1&amp;""'!$C$4:$C$66""),INDIRECT(""'""&amp;CP$1&amp;""'!$D$4:$D$66"")=CP$2),$G$4:$BQ$4,$G105:$BQ105))),"""")"),"")</f>
        <v/>
      </c>
      <c r="CR105" s="208" t="str">
        <f t="shared" si="14"/>
        <v/>
      </c>
      <c r="CS105" s="210">
        <f>IFERROR(__xludf.DUMMYFUNCTION("AVERAGE(ARRAYFORMULA(XLOOKUP(FILTER(INDIRECT(""'""&amp;CS$1&amp;""'!$C$4:$C$66""),INDIRECT(""'""&amp;CS$1&amp;""'!$D$4:$D$66"")=CS$2),$G$4:$BQ$4,$G105:$BQ105)))"),0.41025641025641024)</f>
        <v>0.4102564103</v>
      </c>
      <c r="CT105" s="207" t="str">
        <f>IFERROR(__xludf.DUMMYFUNCTION("IF(OR(CS105&gt;$BS105+$BT105*$BT$2,CS105&lt;$BS105-$BT105*$BT$2),AVEDEV(ARRAYFORMULA(XLOOKUP(FILTER(INDIRECT(""'""&amp;CS$1&amp;""'!$C$4:$C$66""),INDIRECT(""'""&amp;CS$1&amp;""'!$D$4:$D$66"")=CS$2),$G$4:$BQ$4,$G105:$BQ105))),"""")"),"")</f>
        <v/>
      </c>
      <c r="CU105" s="208" t="str">
        <f t="shared" si="15"/>
        <v/>
      </c>
      <c r="CV105" s="212">
        <f>IFERROR(__xludf.DUMMYFUNCTION("AVERAGE(ARRAYFORMULA(XLOOKUP(FILTER(INDIRECT(""'""&amp;CV$1&amp;""'!$C$4:$C$66""),INDIRECT(""'""&amp;CV$1&amp;""'!$D$4:$D$66"")=CV$2),$G$4:$BQ$4,$G105:$BQ105)))"),0.6)</f>
        <v>0.6</v>
      </c>
      <c r="CW105" s="207" t="str">
        <f>IFERROR(__xludf.DUMMYFUNCTION("IF(OR(CV105&gt;$BS105+$BT105*$BT$2,CV105&lt;$BS105-$BT105*$BT$2),AVEDEV(ARRAYFORMULA(XLOOKUP(FILTER(INDIRECT(""'""&amp;CV$1&amp;""'!$C$4:$C$66""),INDIRECT(""'""&amp;CV$1&amp;""'!$D$4:$D$66"")=CV$2),$G$4:$BQ$4,$G105:$BQ105))),"""")"),"")</f>
        <v/>
      </c>
      <c r="CX105" s="208" t="str">
        <f t="shared" si="16"/>
        <v/>
      </c>
      <c r="CY105" s="209" t="s">
        <v>444</v>
      </c>
      <c r="CZ105" s="210">
        <f>IFERROR(__xludf.DUMMYFUNCTION("AVERAGE(ARRAYFORMULA(XLOOKUP(FILTER(INDIRECT(""'""&amp;CZ$1&amp;""'!$C$4:$C$66""),INDIRECT(""'""&amp;CZ$1&amp;""'!$D$4:$D$66"")=CZ$2),$G$4:$BQ$4,$G105:$BQ105)))"),1.0)</f>
        <v>1</v>
      </c>
      <c r="DA105" s="207" t="str">
        <f>IFERROR(__xludf.DUMMYFUNCTION("IF(OR(CZ105&gt;$BS105+$BT105*$BT$2,CZ105&lt;$BS105-$BT105*$BT$2),AVEDEV(ARRAYFORMULA(XLOOKUP(FILTER(INDIRECT(""'""&amp;CZ$1&amp;""'!$C$4:$C$66""),INDIRECT(""'""&amp;CZ$1&amp;""'!$D$4:$D$66"")=CZ$2),$G$4:$BQ$4,$G105:$BQ105))),"""")"),"")</f>
        <v/>
      </c>
      <c r="DB105" s="208" t="str">
        <f t="shared" si="17"/>
        <v/>
      </c>
      <c r="DC105" s="210">
        <f>IFERROR(__xludf.DUMMYFUNCTION("AVERAGE(ARRAYFORMULA(XLOOKUP(FILTER(INDIRECT(""'""&amp;DC$1&amp;""'!$C$4:$C$66""),INDIRECT(""'""&amp;DC$1&amp;""'!$D$4:$D$66"")=DC$2),$G$4:$BQ$4,$G105:$BQ105)))"),0.3333333333333333)</f>
        <v>0.3333333333</v>
      </c>
      <c r="DD105" s="207" t="str">
        <f>IFERROR(__xludf.DUMMYFUNCTION("IF(OR(DC105&gt;$BS105+$BT105*$BT$2,DC105&lt;$BS105-$BT105*$BT$2),AVEDEV(ARRAYFORMULA(XLOOKUP(FILTER(INDIRECT(""'""&amp;DC$1&amp;""'!$C$4:$C$66""),INDIRECT(""'""&amp;DC$1&amp;""'!$D$4:$D$66"")=DC$2),$G$4:$BQ$4,$G105:$BQ105))),"""")"),"")</f>
        <v/>
      </c>
      <c r="DE105" s="208" t="str">
        <f t="shared" si="18"/>
        <v/>
      </c>
      <c r="DF105" s="210">
        <f>IFERROR(__xludf.DUMMYFUNCTION("AVERAGE(ARRAYFORMULA(XLOOKUP(FILTER(INDIRECT(""'""&amp;DF$1&amp;""'!$C$4:$C$66""),INDIRECT(""'""&amp;DF$1&amp;""'!$D$4:$D$66"")=DF$2),$G$4:$BQ$4,$G105:$BQ105)))"),0.2727272727272727)</f>
        <v>0.2727272727</v>
      </c>
      <c r="DG105" s="207" t="str">
        <f>IFERROR(__xludf.DUMMYFUNCTION("IF(OR(DF105&gt;$BS105+$BT105*$BT$2,DF105&lt;$BS105-$BT105*$BT$2),AVEDEV(ARRAYFORMULA(XLOOKUP(FILTER(INDIRECT(""'""&amp;DF$1&amp;""'!$C$4:$C$66""),INDIRECT(""'""&amp;DF$1&amp;""'!$D$4:$D$66"")=DF$2),$G$4:$BQ$4,$G105:$BQ105))),"""")"),"")</f>
        <v/>
      </c>
      <c r="DH105" s="208" t="str">
        <f t="shared" si="19"/>
        <v/>
      </c>
      <c r="DI105" s="210">
        <f>IFERROR(__xludf.DUMMYFUNCTION("AVERAGE(ARRAYFORMULA(XLOOKUP(FILTER(INDIRECT(""'""&amp;DI$1&amp;""'!$C$4:$C$66""),INDIRECT(""'""&amp;DI$1&amp;""'!$D$4:$D$66"")=DI$2),$G$4:$BQ$4,$G105:$BQ105)))"),0.0)</f>
        <v>0</v>
      </c>
      <c r="DJ105" s="207" t="str">
        <f>IFERROR(__xludf.DUMMYFUNCTION("IF(OR(DI105&gt;$BS105+$BT105*$BT$2,DI105&lt;$BS105-$BT105*$BT$2),AVEDEV(ARRAYFORMULA(XLOOKUP(FILTER(INDIRECT(""'""&amp;DI$1&amp;""'!$C$4:$C$66""),INDIRECT(""'""&amp;DI$1&amp;""'!$D$4:$D$66"")=DI$2),$G$4:$BQ$4,$G105:$BQ105))),"""")"),"")</f>
        <v/>
      </c>
      <c r="DK105" s="208" t="str">
        <f t="shared" si="20"/>
        <v/>
      </c>
      <c r="DL105" s="212">
        <f>IFERROR(__xludf.DUMMYFUNCTION("AVERAGE(ARRAYFORMULA(XLOOKUP(FILTER(INDIRECT(""'""&amp;DL$1&amp;""'!$C$4:$C$66""),INDIRECT(""'""&amp;DL$1&amp;""'!$D$4:$D$66"")=DL$2),$G$4:$BQ$4,$G105:$BQ105)))"),0.14285714285714285)</f>
        <v>0.1428571429</v>
      </c>
      <c r="DM105" s="207" t="str">
        <f>IFERROR(__xludf.DUMMYFUNCTION("IF(OR(DL105&gt;$BS105+$BT105*$BT$2,DL105&lt;$BS105-$BT105*$BT$2),AVEDEV(ARRAYFORMULA(XLOOKUP(FILTER(INDIRECT(""'""&amp;DL$1&amp;""'!$C$4:$C$66""),INDIRECT(""'""&amp;DL$1&amp;""'!$D$4:$D$66"")=DL$2),$G$4:$BQ$4,$G105:$BQ105))),"""")"),"")</f>
        <v/>
      </c>
      <c r="DN105" s="208" t="str">
        <f t="shared" si="21"/>
        <v/>
      </c>
      <c r="DO105" s="209" t="s">
        <v>444</v>
      </c>
      <c r="DP105" s="210">
        <f>IFERROR(__xludf.DUMMYFUNCTION("AVERAGE(ARRAYFORMULA(XLOOKUP(FILTER(INDIRECT(""'""&amp;DP$1&amp;""'!$C$4:$C$66""),INDIRECT(""'""&amp;DP$1&amp;""'!$D$4:$D$66"")=DP$2),$G$4:$BQ$4,$G105:$BQ105)))"),0.7333333333333333)</f>
        <v>0.7333333333</v>
      </c>
      <c r="DQ105" s="207" t="str">
        <f>IFERROR(__xludf.DUMMYFUNCTION("IF(OR(DP105&gt;$BS105+$BT105*$BT$2,DP105&lt;$BS105-$BT105*$BT$2),AVEDEV(ARRAYFORMULA(XLOOKUP(FILTER(INDIRECT(""'""&amp;DP$1&amp;""'!$C$4:$C$66""),INDIRECT(""'""&amp;DP$1&amp;""'!$D$4:$D$66"")=DP$2),$G$4:$BQ$4,$G105:$BQ105))),"""")"),"")</f>
        <v/>
      </c>
      <c r="DR105" s="208" t="str">
        <f t="shared" si="22"/>
        <v/>
      </c>
      <c r="DS105" s="210">
        <f>IFERROR(__xludf.DUMMYFUNCTION("AVERAGE(ARRAYFORMULA(XLOOKUP(FILTER(INDIRECT(""'""&amp;DS$1&amp;""'!$C$4:$C$66""),INDIRECT(""'""&amp;DS$1&amp;""'!$D$4:$D$66"")=DS$2),$G$4:$BQ$4,$G105:$BQ105)))"),0.2222222222222222)</f>
        <v>0.2222222222</v>
      </c>
      <c r="DT105" s="207" t="str">
        <f>IFERROR(__xludf.DUMMYFUNCTION("IF(OR(DS105&gt;$BS105+$BT105*$BT$2,DS105&lt;$BS105-$BT105*$BT$2),AVEDEV(ARRAYFORMULA(XLOOKUP(FILTER(INDIRECT(""'""&amp;DS$1&amp;""'!$C$4:$C$66""),INDIRECT(""'""&amp;DS$1&amp;""'!$D$4:$D$66"")=DS$2),$G$4:$BQ$4,$G105:$BQ105))),"""")"),"")</f>
        <v/>
      </c>
      <c r="DU105" s="208" t="str">
        <f t="shared" si="23"/>
        <v/>
      </c>
      <c r="DV105" s="210">
        <f>IFERROR(__xludf.DUMMYFUNCTION("AVERAGE(ARRAYFORMULA(XLOOKUP(FILTER(INDIRECT(""'""&amp;DV$1&amp;""'!$C$4:$C$66""),INDIRECT(""'""&amp;DV$1&amp;""'!$D$4:$D$66"")=DV$2),$G$4:$BQ$4,$G105:$BQ105)))"),0.125)</f>
        <v>0.125</v>
      </c>
      <c r="DW105" s="207" t="str">
        <f>IFERROR(__xludf.DUMMYFUNCTION("IF(OR(DV105&gt;$BS105+$BT105*$BT$2,DV105&lt;$BS105-$BT105*$BT$2),AVEDEV(ARRAYFORMULA(XLOOKUP(FILTER(INDIRECT(""'""&amp;DV$1&amp;""'!$C$4:$C$66""),INDIRECT(""'""&amp;DV$1&amp;""'!$D$4:$D$66"")=DV$2),$G$4:$BQ$4,$G105:$BQ105))),"""")"),"")</f>
        <v/>
      </c>
      <c r="DX105" s="208" t="str">
        <f t="shared" si="24"/>
        <v/>
      </c>
      <c r="DY105" s="210">
        <f>IFERROR(__xludf.DUMMYFUNCTION("AVERAGE(ARRAYFORMULA(XLOOKUP(FILTER(INDIRECT(""'""&amp;DY$1&amp;""'!$C$4:$C$66""),INDIRECT(""'""&amp;DY$1&amp;""'!$D$4:$D$66"")=DY$2),$G$4:$BQ$4,$G105:$BQ105)))"),0.2222222222222222)</f>
        <v>0.2222222222</v>
      </c>
      <c r="DZ105" s="207" t="str">
        <f>IFERROR(__xludf.DUMMYFUNCTION("IF(OR(DY105&gt;$BS105+$BT105*$BT$2,DY105&lt;$BS105-$BT105*$BT$2),AVEDEV(ARRAYFORMULA(XLOOKUP(FILTER(INDIRECT(""'""&amp;DY$1&amp;""'!$C$4:$C$66""),INDIRECT(""'""&amp;DY$1&amp;""'!$D$4:$D$66"")=DY$2),$G$4:$BQ$4,$G105:$BQ105))),"""")"),"")</f>
        <v/>
      </c>
      <c r="EA105" s="208" t="str">
        <f t="shared" si="25"/>
        <v/>
      </c>
      <c r="EB105" s="191"/>
    </row>
    <row r="106" outlineLevel="1">
      <c r="A106" s="2"/>
      <c r="B106" s="204">
        <v>102.0</v>
      </c>
      <c r="C106" s="204" t="s">
        <v>540</v>
      </c>
      <c r="D106" s="204" t="s">
        <v>548</v>
      </c>
      <c r="E106" s="205" t="b">
        <f>VLOOKUP(D106,'Feature Set List'!A102:C246,2,0)</f>
        <v>1</v>
      </c>
      <c r="F106" s="205" t="b">
        <f>VLOOKUP(D106,'Feature Set List'!A102:C246,3,0)</f>
        <v>1</v>
      </c>
      <c r="G106" s="205">
        <v>0.1253907</v>
      </c>
      <c r="H106" s="205">
        <v>-0.3673469</v>
      </c>
      <c r="I106" s="205">
        <v>-0.6405589</v>
      </c>
      <c r="J106" s="205">
        <v>-0.1548079</v>
      </c>
      <c r="K106" s="205">
        <v>-1.287369</v>
      </c>
      <c r="L106" s="205">
        <v>0.27137341</v>
      </c>
      <c r="M106" s="205">
        <v>-0.0522155</v>
      </c>
      <c r="N106" s="205">
        <v>-0.0044126</v>
      </c>
      <c r="O106" s="205">
        <v>0.92002206</v>
      </c>
      <c r="P106" s="205">
        <v>0.14451186</v>
      </c>
      <c r="Q106" s="205">
        <v>-1.1465343</v>
      </c>
      <c r="R106" s="205">
        <v>0.22357051</v>
      </c>
      <c r="S106" s="205">
        <v>2.1529693</v>
      </c>
      <c r="T106" s="205">
        <v>-0.145615</v>
      </c>
      <c r="U106" s="205">
        <v>0.0551572</v>
      </c>
      <c r="V106" s="205">
        <v>-0.6287921</v>
      </c>
      <c r="W106" s="205">
        <v>1.07519765</v>
      </c>
      <c r="X106" s="205">
        <v>1.36164736</v>
      </c>
      <c r="Y106" s="205">
        <v>0.33462033</v>
      </c>
      <c r="Z106" s="205">
        <v>0.54237911</v>
      </c>
      <c r="AA106" s="205">
        <v>0.28019857</v>
      </c>
      <c r="AB106" s="205">
        <v>0.03603604</v>
      </c>
      <c r="AC106" s="205">
        <v>0.65269351</v>
      </c>
      <c r="AD106" s="205">
        <v>-0.0820004</v>
      </c>
      <c r="AE106" s="205">
        <v>0.4467733</v>
      </c>
      <c r="AF106" s="205">
        <v>-0.1996691</v>
      </c>
      <c r="AG106" s="205">
        <v>0.24453024</v>
      </c>
      <c r="AH106" s="205">
        <v>0.70637985</v>
      </c>
      <c r="AI106" s="205">
        <v>-0.191947</v>
      </c>
      <c r="AJ106" s="205">
        <v>1.43923515</v>
      </c>
      <c r="AK106" s="205">
        <v>-1.0641662</v>
      </c>
      <c r="AL106" s="205">
        <v>-0.1669425</v>
      </c>
      <c r="AM106" s="205">
        <v>0.15002758</v>
      </c>
      <c r="AN106" s="205">
        <v>-0.2754183</v>
      </c>
      <c r="AO106" s="205">
        <v>-1.1994852</v>
      </c>
      <c r="AP106" s="205">
        <v>-1.3653245</v>
      </c>
      <c r="AQ106" s="205">
        <v>0.68799412</v>
      </c>
      <c r="AR106" s="205">
        <v>-0.6776981</v>
      </c>
      <c r="AS106" s="205">
        <v>-0.400809</v>
      </c>
      <c r="AT106" s="205">
        <v>-0.0731752</v>
      </c>
      <c r="AU106" s="205">
        <v>-1.4914506</v>
      </c>
      <c r="AV106" s="205">
        <v>1.04872219</v>
      </c>
      <c r="AW106" s="205">
        <v>0.4567016</v>
      </c>
      <c r="AX106" s="205">
        <v>-0.4287553</v>
      </c>
      <c r="AY106" s="205">
        <v>0.48317705</v>
      </c>
      <c r="AZ106" s="205">
        <v>0.0</v>
      </c>
      <c r="BA106" s="205">
        <v>0.710057</v>
      </c>
      <c r="BB106" s="205">
        <v>-0.4254459</v>
      </c>
      <c r="BC106" s="205">
        <v>0.2107005</v>
      </c>
      <c r="BD106" s="205">
        <v>-0.7012318</v>
      </c>
      <c r="BE106" s="205">
        <v>0.50854937</v>
      </c>
      <c r="BF106" s="205">
        <v>0.48391248</v>
      </c>
      <c r="BG106" s="205">
        <v>0.00808972</v>
      </c>
      <c r="BH106" s="205">
        <v>-0.2658577</v>
      </c>
      <c r="BI106" s="205">
        <v>-0.6512227</v>
      </c>
      <c r="BJ106" s="205">
        <v>0.75050561</v>
      </c>
      <c r="BK106" s="205">
        <v>-0.8420666</v>
      </c>
      <c r="BL106" s="205">
        <v>-1.0560765</v>
      </c>
      <c r="BM106" s="205">
        <v>-0.6041552</v>
      </c>
      <c r="BN106" s="205">
        <v>-0.7729362</v>
      </c>
      <c r="BO106" s="205">
        <v>1.40172826</v>
      </c>
      <c r="BP106" s="205">
        <v>-0.6512227</v>
      </c>
      <c r="BQ106" s="205">
        <v>0.84096341</v>
      </c>
      <c r="BR106" s="206"/>
      <c r="BS106" s="207">
        <f t="shared" si="6"/>
        <v>0.01173184349</v>
      </c>
      <c r="BT106" s="207">
        <f t="shared" si="7"/>
        <v>0.5839292068</v>
      </c>
      <c r="BU106" s="206"/>
      <c r="BV106" s="207">
        <f>IFERROR(__xludf.DUMMYFUNCTION("AVERAGE(ARRAYFORMULA(XLOOKUP(FILTER(INDIRECT(""'""&amp;BV$1&amp;""'!$C$4:$C$66""),INDIRECT(""'""&amp;BV$1&amp;""'!$D$4:$D$66"")=BV$2),$G$4:$BQ$4,$G106:$BQ106)))"),-0.03892523142857142)</f>
        <v>-0.03892523143</v>
      </c>
      <c r="BW106" s="207" t="str">
        <f>IFERROR(__xludf.DUMMYFUNCTION("IF(OR(BV106&gt;$BS106+$BT106*$BT$2,BV106&lt;$BS106-$BT106*$BT$2),AVEDEV(ARRAYFORMULA(XLOOKUP(FILTER(INDIRECT(""'""&amp;BV$1&amp;""'!$C$4:$C$66""),INDIRECT(""'""&amp;BV$1&amp;""'!$D$4:$D$66"")=BV$2),$G$4:$BQ$4,$G106:$BQ106))),"""")"),"")</f>
        <v/>
      </c>
      <c r="BX106" s="208" t="str">
        <f t="shared" si="8"/>
        <v/>
      </c>
      <c r="BY106" s="207">
        <f>IFERROR(__xludf.DUMMYFUNCTION("AVERAGE(ARRAYFORMULA(XLOOKUP(FILTER(INDIRECT(""'""&amp;BY$1&amp;""'!$C$4:$C$66""),INDIRECT(""'""&amp;BY$1&amp;""'!$D$4:$D$66"")=BY$2),$G$4:$BQ$4,$G106:$BQ106)))"),0.0520316169047619)</f>
        <v>0.0520316169</v>
      </c>
      <c r="BZ106" s="207" t="str">
        <f>IFERROR(__xludf.DUMMYFUNCTION("IF(OR(BY106&gt;$BS106+$BT106*$BT$2,BY106&lt;$BS106-$BT106*$BT$2),AVEDEV(ARRAYFORMULA(XLOOKUP(FILTER(INDIRECT(""'""&amp;BY$1&amp;""'!$C$4:$C$66""),INDIRECT(""'""&amp;BY$1&amp;""'!$D$4:$D$66"")=BY$2),$G$4:$BQ$4,$G106:$BQ106))),"""")"),"")</f>
        <v/>
      </c>
      <c r="CA106" s="208" t="str">
        <f t="shared" si="9"/>
        <v/>
      </c>
      <c r="CB106" s="207">
        <f>IFERROR(__xludf.DUMMYFUNCTION("AVERAGE(ARRAYFORMULA(XLOOKUP(FILTER(INDIRECT(""'""&amp;CB$1&amp;""'!$C$4:$C$66""),INDIRECT(""'""&amp;CB$1&amp;""'!$D$4:$D$66"")=CB$2),$G$4:$BQ$4,$G106:$BQ106)))"),0.15086328636363638)</f>
        <v>0.1508632864</v>
      </c>
      <c r="CC106" s="207" t="str">
        <f>IFERROR(__xludf.DUMMYFUNCTION("IF(OR(CB106&gt;$BS106+$BT106*$BT$2,CB106&lt;$BS106-$BT106*$BT$2),AVEDEV(ARRAYFORMULA(XLOOKUP(FILTER(INDIRECT(""'""&amp;CB$1&amp;""'!$C$4:$C$66""),INDIRECT(""'""&amp;CB$1&amp;""'!$D$4:$D$66"")=CB$2),$G$4:$BQ$4,$G106:$BQ106))),"""")"),"")</f>
        <v/>
      </c>
      <c r="CD106" s="208" t="str">
        <f t="shared" si="10"/>
        <v/>
      </c>
      <c r="CE106" s="209" t="s">
        <v>444</v>
      </c>
      <c r="CF106" s="207">
        <f>IFERROR(__xludf.DUMMYFUNCTION("AVERAGE(ARRAYFORMULA(XLOOKUP(FILTER(INDIRECT(""'""&amp;CF$1&amp;""'!$C$4:$C$66""),INDIRECT(""'""&amp;CF$1&amp;""'!$D$4:$D$66"")=CF$2),$G$4:$BQ$4,$G106:$BQ106)))"),-0.19923239750000002)</f>
        <v>-0.1992323975</v>
      </c>
      <c r="CG106" s="207" t="str">
        <f>IFERROR(__xludf.DUMMYFUNCTION("IF(OR(CF106&gt;$BS106+$BT106*$BT$2,CF106&lt;$BS106-$BT106*$BT$2),AVEDEV(ARRAYFORMULA(XLOOKUP(FILTER(INDIRECT(""'""&amp;CF$1&amp;""'!$C$4:$C$66""),INDIRECT(""'""&amp;CF$1&amp;""'!$D$4:$D$66"")=CF$2),$G$4:$BQ$4,$G106:$BQ106))),"""")"),"")</f>
        <v/>
      </c>
      <c r="CH106" s="208" t="str">
        <f t="shared" si="11"/>
        <v/>
      </c>
      <c r="CI106" s="207">
        <f>IFERROR(__xludf.DUMMYFUNCTION("AVERAGE(ARRAYFORMULA(XLOOKUP(FILTER(INDIRECT(""'""&amp;CI$1&amp;""'!$C$4:$C$66""),INDIRECT(""'""&amp;CI$1&amp;""'!$D$4:$D$66"")=CI$2),$G$4:$BQ$4,$G106:$BQ106)))"),0.24262049032258057)</f>
        <v>0.2426204903</v>
      </c>
      <c r="CJ106" s="207" t="str">
        <f>IFERROR(__xludf.DUMMYFUNCTION("IF(OR(CI106&gt;$BS106+$BT106*$BT$2,CI106&lt;$BS106-$BT106*$BT$2),AVEDEV(ARRAYFORMULA(XLOOKUP(FILTER(INDIRECT(""'""&amp;CI$1&amp;""'!$C$4:$C$66""),INDIRECT(""'""&amp;CI$1&amp;""'!$D$4:$D$66"")=CI$2),$G$4:$BQ$4,$G106:$BQ106))),"""")"),"")</f>
        <v/>
      </c>
      <c r="CK106" s="208" t="str">
        <f t="shared" si="12"/>
        <v/>
      </c>
      <c r="CL106" s="207">
        <f>IFERROR(__xludf.DUMMYFUNCTION("AVERAGE(ARRAYFORMULA(XLOOKUP(FILTER(INDIRECT(""'""&amp;CL$1&amp;""'!$C$4:$C$66""),INDIRECT(""'""&amp;CL$1&amp;""'!$D$4:$D$66"")=CL$2),$G$4:$BQ$4,$G106:$BQ106)))"),0.06324691600000001)</f>
        <v>0.063246916</v>
      </c>
      <c r="CM106" s="207" t="str">
        <f>IFERROR(__xludf.DUMMYFUNCTION("IF(OR(CL106&gt;$BS106+$BT106*$BT$2,CL106&lt;$BS106-$BT106*$BT$2),AVEDEV(ARRAYFORMULA(XLOOKUP(FILTER(INDIRECT(""'""&amp;CL$1&amp;""'!$C$4:$C$66""),INDIRECT(""'""&amp;CL$1&amp;""'!$D$4:$D$66"")=CL$2),$G$4:$BQ$4,$G106:$BQ106))),"""")"),"")</f>
        <v/>
      </c>
      <c r="CN106" s="208" t="str">
        <f t="shared" si="13"/>
        <v/>
      </c>
      <c r="CO106" s="209" t="s">
        <v>444</v>
      </c>
      <c r="CP106" s="210">
        <f>IFERROR(__xludf.DUMMYFUNCTION("AVERAGE(ARRAYFORMULA(XLOOKUP(FILTER(INDIRECT(""'""&amp;CP$1&amp;""'!$C$4:$C$66""),INDIRECT(""'""&amp;CP$1&amp;""'!$D$4:$D$66"")=CP$2),$G$4:$BQ$4,$G106:$BQ106)))"),0.3201323726666666)</f>
        <v>0.3201323727</v>
      </c>
      <c r="CQ106" s="207" t="str">
        <f>IFERROR(__xludf.DUMMYFUNCTION("IF(OR(CP106&gt;$BS106+$BT106*$BT$2,CP106&lt;$BS106-$BT106*$BT$2),AVEDEV(ARRAYFORMULA(XLOOKUP(FILTER(INDIRECT(""'""&amp;CP$1&amp;""'!$C$4:$C$66""),INDIRECT(""'""&amp;CP$1&amp;""'!$D$4:$D$66"")=CP$2),$G$4:$BQ$4,$G106:$BQ106))),"""")"),"")</f>
        <v/>
      </c>
      <c r="CR106" s="208" t="str">
        <f t="shared" si="14"/>
        <v/>
      </c>
      <c r="CS106" s="210">
        <f>IFERROR(__xludf.DUMMYFUNCTION("AVERAGE(ARRAYFORMULA(XLOOKUP(FILTER(INDIRECT(""'""&amp;CS$1&amp;""'!$C$4:$C$66""),INDIRECT(""'""&amp;CS$1&amp;""'!$D$4:$D$66"")=CS$2),$G$4:$BQ$4,$G106:$BQ106)))"),-0.012558877692307693)</f>
        <v>-0.01255887769</v>
      </c>
      <c r="CT106" s="207" t="str">
        <f>IFERROR(__xludf.DUMMYFUNCTION("IF(OR(CS106&gt;$BS106+$BT106*$BT$2,CS106&lt;$BS106-$BT106*$BT$2),AVEDEV(ARRAYFORMULA(XLOOKUP(FILTER(INDIRECT(""'""&amp;CS$1&amp;""'!$C$4:$C$66""),INDIRECT(""'""&amp;CS$1&amp;""'!$D$4:$D$66"")=CS$2),$G$4:$BQ$4,$G106:$BQ106))),"""")"),"")</f>
        <v/>
      </c>
      <c r="CU106" s="208" t="str">
        <f t="shared" si="15"/>
        <v/>
      </c>
      <c r="CV106" s="210">
        <f>IFERROR(__xludf.DUMMYFUNCTION("AVERAGE(ARRAYFORMULA(XLOOKUP(FILTER(INDIRECT(""'""&amp;CV$1&amp;""'!$C$4:$C$66""),INDIRECT(""'""&amp;CV$1&amp;""'!$D$4:$D$66"")=CV$2),$G$4:$BQ$4,$G106:$BQ106)))"),0.06324691600000001)</f>
        <v>0.063246916</v>
      </c>
      <c r="CW106" s="207" t="str">
        <f>IFERROR(__xludf.DUMMYFUNCTION("IF(OR(CV106&gt;$BS106+$BT106*$BT$2,CV106&lt;$BS106-$BT106*$BT$2),AVEDEV(ARRAYFORMULA(XLOOKUP(FILTER(INDIRECT(""'""&amp;CV$1&amp;""'!$C$4:$C$66""),INDIRECT(""'""&amp;CV$1&amp;""'!$D$4:$D$66"")=CV$2),$G$4:$BQ$4,$G106:$BQ106))),"""")"),"")</f>
        <v/>
      </c>
      <c r="CX106" s="208" t="str">
        <f t="shared" si="16"/>
        <v/>
      </c>
      <c r="CY106" s="209" t="s">
        <v>444</v>
      </c>
      <c r="CZ106" s="210">
        <f>IFERROR(__xludf.DUMMYFUNCTION("AVERAGE(ARRAYFORMULA(XLOOKUP(FILTER(INDIRECT(""'""&amp;CZ$1&amp;""'!$C$4:$C$66""),INDIRECT(""'""&amp;CZ$1&amp;""'!$D$4:$D$66"")=CZ$2),$G$4:$BQ$4,$G106:$BQ106)))"),-0.17613532571428575)</f>
        <v>-0.1761353257</v>
      </c>
      <c r="DA106" s="207" t="str">
        <f>IFERROR(__xludf.DUMMYFUNCTION("IF(OR(CZ106&gt;$BS106+$BT106*$BT$2,CZ106&lt;$BS106-$BT106*$BT$2),AVEDEV(ARRAYFORMULA(XLOOKUP(FILTER(INDIRECT(""'""&amp;CZ$1&amp;""'!$C$4:$C$66""),INDIRECT(""'""&amp;CZ$1&amp;""'!$D$4:$D$66"")=CZ$2),$G$4:$BQ$4,$G106:$BQ106))),"""")"),"")</f>
        <v/>
      </c>
      <c r="DB106" s="208" t="str">
        <f t="shared" si="17"/>
        <v/>
      </c>
      <c r="DC106" s="210">
        <f>IFERROR(__xludf.DUMMYFUNCTION("AVERAGE(ARRAYFORMULA(XLOOKUP(FILTER(INDIRECT(""'""&amp;DC$1&amp;""'!$C$4:$C$66""),INDIRECT(""'""&amp;DC$1&amp;""'!$D$4:$D$66"")=DC$2),$G$4:$BQ$4,$G106:$BQ106)))"),0.2515168166666667)</f>
        <v>0.2515168167</v>
      </c>
      <c r="DD106" s="207" t="str">
        <f>IFERROR(__xludf.DUMMYFUNCTION("IF(OR(DC106&gt;$BS106+$BT106*$BT$2,DC106&lt;$BS106-$BT106*$BT$2),AVEDEV(ARRAYFORMULA(XLOOKUP(FILTER(INDIRECT(""'""&amp;DC$1&amp;""'!$C$4:$C$66""),INDIRECT(""'""&amp;DC$1&amp;""'!$D$4:$D$66"")=DC$2),$G$4:$BQ$4,$G106:$BQ106))),"""")"),"")</f>
        <v/>
      </c>
      <c r="DE106" s="208" t="str">
        <f t="shared" si="18"/>
        <v/>
      </c>
      <c r="DF106" s="210">
        <f>IFERROR(__xludf.DUMMYFUNCTION("AVERAGE(ARRAYFORMULA(XLOOKUP(FILTER(INDIRECT(""'""&amp;DF$1&amp;""'!$C$4:$C$66""),INDIRECT(""'""&amp;DF$1&amp;""'!$D$4:$D$66"")=DF$2),$G$4:$BQ$4,$G106:$BQ106)))"),0.5785154381818182)</f>
        <v>0.5785154382</v>
      </c>
      <c r="DG106" s="207" t="str">
        <f>IFERROR(__xludf.DUMMYFUNCTION("IF(OR(DF106&gt;$BS106+$BT106*$BT$2,DF106&lt;$BS106-$BT106*$BT$2),AVEDEV(ARRAYFORMULA(XLOOKUP(FILTER(INDIRECT(""'""&amp;DF$1&amp;""'!$C$4:$C$66""),INDIRECT(""'""&amp;DF$1&amp;""'!$D$4:$D$66"")=DF$2),$G$4:$BQ$4,$G106:$BQ106))),"""")"),"")</f>
        <v/>
      </c>
      <c r="DH106" s="208" t="str">
        <f t="shared" si="19"/>
        <v/>
      </c>
      <c r="DI106" s="210">
        <f>IFERROR(__xludf.DUMMYFUNCTION("AVERAGE(ARRAYFORMULA(XLOOKUP(FILTER(INDIRECT(""'""&amp;DI$1&amp;""'!$C$4:$C$66""),INDIRECT(""'""&amp;DI$1&amp;""'!$D$4:$D$66"")=DI$2),$G$4:$BQ$4,$G106:$BQ106)))"),-0.17392904999999997)</f>
        <v>-0.17392905</v>
      </c>
      <c r="DJ106" s="207" t="str">
        <f>IFERROR(__xludf.DUMMYFUNCTION("IF(OR(DI106&gt;$BS106+$BT106*$BT$2,DI106&lt;$BS106-$BT106*$BT$2),AVEDEV(ARRAYFORMULA(XLOOKUP(FILTER(INDIRECT(""'""&amp;DI$1&amp;""'!$C$4:$C$66""),INDIRECT(""'""&amp;DI$1&amp;""'!$D$4:$D$66"")=DI$2),$G$4:$BQ$4,$G106:$BQ106))),"""")"),"")</f>
        <v/>
      </c>
      <c r="DK106" s="208" t="str">
        <f t="shared" si="20"/>
        <v/>
      </c>
      <c r="DL106" s="210">
        <f>IFERROR(__xludf.DUMMYFUNCTION("AVERAGE(ARRAYFORMULA(XLOOKUP(FILTER(INDIRECT(""'""&amp;DL$1&amp;""'!$C$4:$C$66""),INDIRECT(""'""&amp;DL$1&amp;""'!$D$4:$D$66"")=DL$2),$G$4:$BQ$4,$G106:$BQ106)))"),0.023113482142857165)</f>
        <v>0.02311348214</v>
      </c>
      <c r="DM106" s="207" t="str">
        <f>IFERROR(__xludf.DUMMYFUNCTION("IF(OR(DL106&gt;$BS106+$BT106*$BT$2,DL106&lt;$BS106-$BT106*$BT$2),AVEDEV(ARRAYFORMULA(XLOOKUP(FILTER(INDIRECT(""'""&amp;DL$1&amp;""'!$C$4:$C$66""),INDIRECT(""'""&amp;DL$1&amp;""'!$D$4:$D$66"")=DL$2),$G$4:$BQ$4,$G106:$BQ106))),"""")"),"")</f>
        <v/>
      </c>
      <c r="DN106" s="208" t="str">
        <f t="shared" si="21"/>
        <v/>
      </c>
      <c r="DO106" s="209" t="s">
        <v>444</v>
      </c>
      <c r="DP106" s="210">
        <f>IFERROR(__xludf.DUMMYFUNCTION("AVERAGE(ARRAYFORMULA(XLOOKUP(FILTER(INDIRECT(""'""&amp;DP$1&amp;""'!$C$4:$C$66""),INDIRECT(""'""&amp;DP$1&amp;""'!$D$4:$D$66"")=DP$2),$G$4:$BQ$4,$G106:$BQ106)))"),-0.1201814146666667)</f>
        <v>-0.1201814147</v>
      </c>
      <c r="DQ106" s="207" t="str">
        <f>IFERROR(__xludf.DUMMYFUNCTION("IF(OR(DP106&gt;$BS106+$BT106*$BT$2,DP106&lt;$BS106-$BT106*$BT$2),AVEDEV(ARRAYFORMULA(XLOOKUP(FILTER(INDIRECT(""'""&amp;DP$1&amp;""'!$C$4:$C$66""),INDIRECT(""'""&amp;DP$1&amp;""'!$D$4:$D$66"")=DP$2),$G$4:$BQ$4,$G106:$BQ106))),"""")"),"")</f>
        <v/>
      </c>
      <c r="DR106" s="208" t="str">
        <f t="shared" si="22"/>
        <v/>
      </c>
      <c r="DS106" s="210">
        <f>IFERROR(__xludf.DUMMYFUNCTION("AVERAGE(ARRAYFORMULA(XLOOKUP(FILTER(INDIRECT(""'""&amp;DS$1&amp;""'!$C$4:$C$66""),INDIRECT(""'""&amp;DS$1&amp;""'!$D$4:$D$66"")=DS$2),$G$4:$BQ$4,$G106:$BQ106)))"),0.28591856777777785)</f>
        <v>0.2859185678</v>
      </c>
      <c r="DT106" s="207" t="str">
        <f>IFERROR(__xludf.DUMMYFUNCTION("IF(OR(DS106&gt;$BS106+$BT106*$BT$2,DS106&lt;$BS106-$BT106*$BT$2),AVEDEV(ARRAYFORMULA(XLOOKUP(FILTER(INDIRECT(""'""&amp;DS$1&amp;""'!$C$4:$C$66""),INDIRECT(""'""&amp;DS$1&amp;""'!$D$4:$D$66"")=DS$2),$G$4:$BQ$4,$G106:$BQ106))),"""")"),"")</f>
        <v/>
      </c>
      <c r="DU106" s="208" t="str">
        <f t="shared" si="23"/>
        <v/>
      </c>
      <c r="DV106" s="210">
        <f>IFERROR(__xludf.DUMMYFUNCTION("AVERAGE(ARRAYFORMULA(XLOOKUP(FILTER(INDIRECT(""'""&amp;DV$1&amp;""'!$C$4:$C$66""),INDIRECT(""'""&amp;DV$1&amp;""'!$D$4:$D$66"")=DV$2),$G$4:$BQ$4,$G106:$BQ106)))"),0.69429123)</f>
        <v>0.69429123</v>
      </c>
      <c r="DW106" s="207">
        <f>IFERROR(__xludf.DUMMYFUNCTION("IF(OR(DV106&gt;$BS106+$BT106*$BT$2,DV106&lt;$BS106-$BT106*$BT$2),AVEDEV(ARRAYFORMULA(XLOOKUP(FILTER(INDIRECT(""'""&amp;DV$1&amp;""'!$C$4:$C$66""),INDIRECT(""'""&amp;DV$1&amp;""'!$D$4:$D$66"")=DV$2),$G$4:$BQ$4,$G106:$BQ106))),"""")"),0.607338205)</f>
        <v>0.607338205</v>
      </c>
      <c r="DX106" s="208">
        <f t="shared" si="24"/>
        <v>0.09863017967</v>
      </c>
      <c r="DY106" s="210">
        <f>IFERROR(__xludf.DUMMYFUNCTION("AVERAGE(ARRAYFORMULA(XLOOKUP(FILTER(INDIRECT(""'""&amp;DY$1&amp;""'!$C$4:$C$66""),INDIRECT(""'""&amp;DY$1&amp;""'!$D$4:$D$66"")=DY$2),$G$4:$BQ$4,$G106:$BQ106)))"),0.06908948555555557)</f>
        <v>0.06908948556</v>
      </c>
      <c r="DZ106" s="207" t="str">
        <f>IFERROR(__xludf.DUMMYFUNCTION("IF(OR(DY106&gt;$BS106+$BT106*$BT$2,DY106&lt;$BS106-$BT106*$BT$2),AVEDEV(ARRAYFORMULA(XLOOKUP(FILTER(INDIRECT(""'""&amp;DY$1&amp;""'!$C$4:$C$66""),INDIRECT(""'""&amp;DY$1&amp;""'!$D$4:$D$66"")=DY$2),$G$4:$BQ$4,$G106:$BQ106))),"""")"),"")</f>
        <v/>
      </c>
      <c r="EA106" s="208" t="str">
        <f t="shared" si="25"/>
        <v/>
      </c>
      <c r="EB106" s="191"/>
    </row>
    <row r="107" outlineLevel="1">
      <c r="A107" s="2"/>
      <c r="B107" s="204">
        <v>103.0</v>
      </c>
      <c r="C107" s="204" t="s">
        <v>540</v>
      </c>
      <c r="D107" s="204" t="s">
        <v>549</v>
      </c>
      <c r="E107" s="205" t="b">
        <f>VLOOKUP(D107,'Feature Set List'!A103:C246,2,0)</f>
        <v>1</v>
      </c>
      <c r="F107" s="205" t="b">
        <f>VLOOKUP(D107,'Feature Set List'!A103:C246,3,0)</f>
        <v>1</v>
      </c>
      <c r="G107" s="205">
        <v>-0.4585332</v>
      </c>
      <c r="H107" s="205">
        <v>-0.2589777</v>
      </c>
      <c r="I107" s="205">
        <v>-0.540882</v>
      </c>
      <c r="J107" s="205">
        <v>-0.4416891</v>
      </c>
      <c r="K107" s="205">
        <v>-1.2169844</v>
      </c>
      <c r="L107" s="205">
        <v>0.17311966</v>
      </c>
      <c r="M107" s="205">
        <v>-0.7832495</v>
      </c>
      <c r="N107" s="205">
        <v>0.03743128</v>
      </c>
      <c r="O107" s="205">
        <v>2.38624401</v>
      </c>
      <c r="P107" s="205">
        <v>-0.6190198</v>
      </c>
      <c r="Q107" s="205">
        <v>-1.1475026</v>
      </c>
      <c r="R107" s="205">
        <v>1.51128787</v>
      </c>
      <c r="S107" s="205">
        <v>2.50321675</v>
      </c>
      <c r="T107" s="205">
        <v>-0.2519593</v>
      </c>
      <c r="U107" s="205">
        <v>0.3322026</v>
      </c>
      <c r="V107" s="205">
        <v>0.0</v>
      </c>
      <c r="W107" s="205">
        <v>0.69481811</v>
      </c>
      <c r="X107" s="205">
        <v>0.56614809</v>
      </c>
      <c r="Y107" s="205">
        <v>0.10995438</v>
      </c>
      <c r="Z107" s="205">
        <v>-0.6597263</v>
      </c>
      <c r="AA107" s="205">
        <v>0.02105509</v>
      </c>
      <c r="AB107" s="205">
        <v>0.06316528</v>
      </c>
      <c r="AC107" s="205">
        <v>-0.1483214</v>
      </c>
      <c r="AD107" s="205">
        <v>-0.296175</v>
      </c>
      <c r="AE107" s="205">
        <v>-0.1263306</v>
      </c>
      <c r="AF107" s="205">
        <v>0.24330331</v>
      </c>
      <c r="AG107" s="205">
        <v>0.01637618</v>
      </c>
      <c r="AH107" s="205">
        <v>0.62931337</v>
      </c>
      <c r="AI107" s="205">
        <v>-0.6761025</v>
      </c>
      <c r="AJ107" s="205">
        <v>1.94642648</v>
      </c>
      <c r="AK107" s="205">
        <v>-0.9774243</v>
      </c>
      <c r="AL107" s="205">
        <v>0.03509182</v>
      </c>
      <c r="AM107" s="205">
        <v>0.3579366</v>
      </c>
      <c r="AN107" s="205">
        <v>0.24096386</v>
      </c>
      <c r="AO107" s="205">
        <v>-1.3150076</v>
      </c>
      <c r="AP107" s="205">
        <v>-1.3889344</v>
      </c>
      <c r="AQ107" s="205">
        <v>0.31582641</v>
      </c>
      <c r="AR107" s="205">
        <v>0.13568838</v>
      </c>
      <c r="AS107" s="205">
        <v>-0.0998947</v>
      </c>
      <c r="AT107" s="205">
        <v>1.13229617</v>
      </c>
      <c r="AU107" s="205">
        <v>-2.2012165</v>
      </c>
      <c r="AV107" s="205">
        <v>0.62229501</v>
      </c>
      <c r="AW107" s="205">
        <v>-0.1462159</v>
      </c>
      <c r="AX107" s="205">
        <v>0.19885367</v>
      </c>
      <c r="AY107" s="205">
        <v>0.77669903</v>
      </c>
      <c r="AZ107" s="205">
        <v>0.7626623</v>
      </c>
      <c r="BA107" s="205">
        <v>-0.1777986</v>
      </c>
      <c r="BB107" s="205">
        <v>-1.2780442</v>
      </c>
      <c r="BC107" s="205">
        <v>0.61995555</v>
      </c>
      <c r="BD107" s="205">
        <v>-1.9506375</v>
      </c>
      <c r="BE107" s="205">
        <v>0.5240379</v>
      </c>
      <c r="BF107" s="205">
        <v>0.39536788</v>
      </c>
      <c r="BG107" s="205">
        <v>-0.2542987</v>
      </c>
      <c r="BH107" s="205">
        <v>-0.5397122</v>
      </c>
      <c r="BI107" s="205">
        <v>-0.3745467</v>
      </c>
      <c r="BJ107" s="205">
        <v>0.94747924</v>
      </c>
      <c r="BK107" s="205">
        <v>-0.3497485</v>
      </c>
      <c r="BL107" s="205">
        <v>-0.0657387</v>
      </c>
      <c r="BM107" s="205">
        <v>-1.2626038</v>
      </c>
      <c r="BN107" s="205">
        <v>-0.8946076</v>
      </c>
      <c r="BO107" s="205">
        <v>0.55912972</v>
      </c>
      <c r="BP107" s="205">
        <v>-1.1456311</v>
      </c>
      <c r="BQ107" s="205">
        <v>1.75927009</v>
      </c>
      <c r="BR107" s="206"/>
      <c r="BS107" s="207">
        <f t="shared" si="6"/>
        <v>-0.02269679857</v>
      </c>
      <c r="BT107" s="207">
        <f t="shared" si="7"/>
        <v>0.6775845601</v>
      </c>
      <c r="BU107" s="206"/>
      <c r="BV107" s="207">
        <f>IFERROR(__xludf.DUMMYFUNCTION("AVERAGE(ARRAYFORMULA(XLOOKUP(FILTER(INDIRECT(""'""&amp;BV$1&amp;""'!$C$4:$C$66""),INDIRECT(""'""&amp;BV$1&amp;""'!$D$4:$D$66"")=BV$2),$G$4:$BQ$4,$G107:$BQ107)))"),-0.06567183999999997)</f>
        <v>-0.06567184</v>
      </c>
      <c r="BW107" s="207" t="str">
        <f>IFERROR(__xludf.DUMMYFUNCTION("IF(OR(BV107&gt;$BS107+$BT107*$BT$2,BV107&lt;$BS107-$BT107*$BT$2),AVEDEV(ARRAYFORMULA(XLOOKUP(FILTER(INDIRECT(""'""&amp;BV$1&amp;""'!$C$4:$C$66""),INDIRECT(""'""&amp;BV$1&amp;""'!$D$4:$D$66"")=BV$2),$G$4:$BQ$4,$G107:$BQ107))),"""")"),"")</f>
        <v/>
      </c>
      <c r="BX107" s="208" t="str">
        <f t="shared" si="8"/>
        <v/>
      </c>
      <c r="BY107" s="207">
        <f>IFERROR(__xludf.DUMMYFUNCTION("AVERAGE(ARRAYFORMULA(XLOOKUP(FILTER(INDIRECT(""'""&amp;BY$1&amp;""'!$C$4:$C$66""),INDIRECT(""'""&amp;BY$1&amp;""'!$D$4:$D$66"")=BY$2),$G$4:$BQ$4,$G107:$BQ107)))"),0.12599635738095238)</f>
        <v>0.1259963574</v>
      </c>
      <c r="BZ107" s="207" t="str">
        <f>IFERROR(__xludf.DUMMYFUNCTION("IF(OR(BY107&gt;$BS107+$BT107*$BT$2,BY107&lt;$BS107-$BT107*$BT$2),AVEDEV(ARRAYFORMULA(XLOOKUP(FILTER(INDIRECT(""'""&amp;BY$1&amp;""'!$C$4:$C$66""),INDIRECT(""'""&amp;BY$1&amp;""'!$D$4:$D$66"")=BY$2),$G$4:$BQ$4,$G107:$BQ107))),"""")"),"")</f>
        <v/>
      </c>
      <c r="CA107" s="208" t="str">
        <f t="shared" si="9"/>
        <v/>
      </c>
      <c r="CB107" s="207">
        <f>IFERROR(__xludf.DUMMYFUNCTION("AVERAGE(ARRAYFORMULA(XLOOKUP(FILTER(INDIRECT(""'""&amp;CB$1&amp;""'!$C$4:$C$66""),INDIRECT(""'""&amp;CB$1&amp;""'!$D$4:$D$66"")=CB$2),$G$4:$BQ$4,$G107:$BQ107)))"),-0.14266422181818184)</f>
        <v>-0.1426642218</v>
      </c>
      <c r="CC107" s="207" t="str">
        <f>IFERROR(__xludf.DUMMYFUNCTION("IF(OR(CB107&gt;$BS107+$BT107*$BT$2,CB107&lt;$BS107-$BT107*$BT$2),AVEDEV(ARRAYFORMULA(XLOOKUP(FILTER(INDIRECT(""'""&amp;CB$1&amp;""'!$C$4:$C$66""),INDIRECT(""'""&amp;CB$1&amp;""'!$D$4:$D$66"")=CB$2),$G$4:$BQ$4,$G107:$BQ107))),"""")"),"")</f>
        <v/>
      </c>
      <c r="CD107" s="208" t="str">
        <f t="shared" si="10"/>
        <v/>
      </c>
      <c r="CE107" s="209" t="s">
        <v>444</v>
      </c>
      <c r="CF107" s="207">
        <f>IFERROR(__xludf.DUMMYFUNCTION("AVERAGE(ARRAYFORMULA(XLOOKUP(FILTER(INDIRECT(""'""&amp;CF$1&amp;""'!$C$4:$C$66""),INDIRECT(""'""&amp;CF$1&amp;""'!$D$4:$D$66"")=CF$2),$G$4:$BQ$4,$G107:$BQ107)))"),-0.26757516125)</f>
        <v>-0.2675751613</v>
      </c>
      <c r="CG107" s="207" t="str">
        <f>IFERROR(__xludf.DUMMYFUNCTION("IF(OR(CF107&gt;$BS107+$BT107*$BT$2,CF107&lt;$BS107-$BT107*$BT$2),AVEDEV(ARRAYFORMULA(XLOOKUP(FILTER(INDIRECT(""'""&amp;CF$1&amp;""'!$C$4:$C$66""),INDIRECT(""'""&amp;CF$1&amp;""'!$D$4:$D$66"")=CF$2),$G$4:$BQ$4,$G107:$BQ107))),"""")"),"")</f>
        <v/>
      </c>
      <c r="CH107" s="208" t="str">
        <f t="shared" si="11"/>
        <v/>
      </c>
      <c r="CI107" s="207">
        <f>IFERROR(__xludf.DUMMYFUNCTION("AVERAGE(ARRAYFORMULA(XLOOKUP(FILTER(INDIRECT(""'""&amp;CI$1&amp;""'!$C$4:$C$66""),INDIRECT(""'""&amp;CI$1&amp;""'!$D$4:$D$66"")=CI$2),$G$4:$BQ$4,$G107:$BQ107)))"),0.3415830583870968)</f>
        <v>0.3415830584</v>
      </c>
      <c r="CJ107" s="207" t="str">
        <f>IFERROR(__xludf.DUMMYFUNCTION("IF(OR(CI107&gt;$BS107+$BT107*$BT$2,CI107&lt;$BS107-$BT107*$BT$2),AVEDEV(ARRAYFORMULA(XLOOKUP(FILTER(INDIRECT(""'""&amp;CI$1&amp;""'!$C$4:$C$66""),INDIRECT(""'""&amp;CI$1&amp;""'!$D$4:$D$66"")=CI$2),$G$4:$BQ$4,$G107:$BQ107))),"""")"),"")</f>
        <v/>
      </c>
      <c r="CK107" s="208" t="str">
        <f t="shared" si="12"/>
        <v/>
      </c>
      <c r="CL107" s="207">
        <f>IFERROR(__xludf.DUMMYFUNCTION("AVERAGE(ARRAYFORMULA(XLOOKUP(FILTER(INDIRECT(""'""&amp;CL$1&amp;""'!$C$4:$C$66""),INDIRECT(""'""&amp;CL$1&amp;""'!$D$4:$D$66"")=CL$2),$G$4:$BQ$4,$G107:$BQ107)))"),-0.28059422000000006)</f>
        <v>-0.28059422</v>
      </c>
      <c r="CM107" s="207" t="str">
        <f>IFERROR(__xludf.DUMMYFUNCTION("IF(OR(CL107&gt;$BS107+$BT107*$BT$2,CL107&lt;$BS107-$BT107*$BT$2),AVEDEV(ARRAYFORMULA(XLOOKUP(FILTER(INDIRECT(""'""&amp;CL$1&amp;""'!$C$4:$C$66""),INDIRECT(""'""&amp;CL$1&amp;""'!$D$4:$D$66"")=CL$2),$G$4:$BQ$4,$G107:$BQ107))),"""")"),"")</f>
        <v/>
      </c>
      <c r="CN107" s="208" t="str">
        <f t="shared" si="13"/>
        <v/>
      </c>
      <c r="CO107" s="209" t="s">
        <v>444</v>
      </c>
      <c r="CP107" s="210">
        <f>IFERROR(__xludf.DUMMYFUNCTION("AVERAGE(ARRAYFORMULA(XLOOKUP(FILTER(INDIRECT(""'""&amp;CP$1&amp;""'!$C$4:$C$66""),INDIRECT(""'""&amp;CP$1&amp;""'!$D$4:$D$66"")=CP$2),$G$4:$BQ$4,$G107:$BQ107)))"),0.046726712000000004)</f>
        <v>0.046726712</v>
      </c>
      <c r="CQ107" s="207" t="str">
        <f>IFERROR(__xludf.DUMMYFUNCTION("IF(OR(CP107&gt;$BS107+$BT107*$BT$2,CP107&lt;$BS107-$BT107*$BT$2),AVEDEV(ARRAYFORMULA(XLOOKUP(FILTER(INDIRECT(""'""&amp;CP$1&amp;""'!$C$4:$C$66""),INDIRECT(""'""&amp;CP$1&amp;""'!$D$4:$D$66"")=CP$2),$G$4:$BQ$4,$G107:$BQ107))),"""")"),"")</f>
        <v/>
      </c>
      <c r="CR107" s="208" t="str">
        <f t="shared" si="14"/>
        <v/>
      </c>
      <c r="CS107" s="210">
        <f>IFERROR(__xludf.DUMMYFUNCTION("AVERAGE(ARRAYFORMULA(XLOOKUP(FILTER(INDIRECT(""'""&amp;CS$1&amp;""'!$C$4:$C$66""),INDIRECT(""'""&amp;CS$1&amp;""'!$D$4:$D$66"")=CS$2),$G$4:$BQ$4,$G107:$BQ107)))"),0.10334991820512822)</f>
        <v>0.1033499182</v>
      </c>
      <c r="CT107" s="207" t="str">
        <f>IFERROR(__xludf.DUMMYFUNCTION("IF(OR(CS107&gt;$BS107+$BT107*$BT$2,CS107&lt;$BS107-$BT107*$BT$2),AVEDEV(ARRAYFORMULA(XLOOKUP(FILTER(INDIRECT(""'""&amp;CS$1&amp;""'!$C$4:$C$66""),INDIRECT(""'""&amp;CS$1&amp;""'!$D$4:$D$66"")=CS$2),$G$4:$BQ$4,$G107:$BQ107))),"""")"),"")</f>
        <v/>
      </c>
      <c r="CU107" s="208" t="str">
        <f t="shared" si="15"/>
        <v/>
      </c>
      <c r="CV107" s="210">
        <f>IFERROR(__xludf.DUMMYFUNCTION("AVERAGE(ARRAYFORMULA(XLOOKUP(FILTER(INDIRECT(""'""&amp;CV$1&amp;""'!$C$4:$C$66""),INDIRECT(""'""&amp;CV$1&amp;""'!$D$4:$D$66"")=CV$2),$G$4:$BQ$4,$G107:$BQ107)))"),-0.28059422000000006)</f>
        <v>-0.28059422</v>
      </c>
      <c r="CW107" s="207" t="str">
        <f>IFERROR(__xludf.DUMMYFUNCTION("IF(OR(CV107&gt;$BS107+$BT107*$BT$2,CV107&lt;$BS107-$BT107*$BT$2),AVEDEV(ARRAYFORMULA(XLOOKUP(FILTER(INDIRECT(""'""&amp;CV$1&amp;""'!$C$4:$C$66""),INDIRECT(""'""&amp;CV$1&amp;""'!$D$4:$D$66"")=CV$2),$G$4:$BQ$4,$G107:$BQ107))),"""")"),"")</f>
        <v/>
      </c>
      <c r="CX107" s="208" t="str">
        <f t="shared" si="16"/>
        <v/>
      </c>
      <c r="CY107" s="209" t="s">
        <v>444</v>
      </c>
      <c r="CZ107" s="210">
        <f>IFERROR(__xludf.DUMMYFUNCTION("AVERAGE(ARRAYFORMULA(XLOOKUP(FILTER(INDIRECT(""'""&amp;CZ$1&amp;""'!$C$4:$C$66""),INDIRECT(""'""&amp;CZ$1&amp;""'!$D$4:$D$66"")=CZ$2),$G$4:$BQ$4,$G107:$BQ107)))"),-0.25466638785714285)</f>
        <v>-0.2546663879</v>
      </c>
      <c r="DA107" s="207" t="str">
        <f>IFERROR(__xludf.DUMMYFUNCTION("IF(OR(CZ107&gt;$BS107+$BT107*$BT$2,CZ107&lt;$BS107-$BT107*$BT$2),AVEDEV(ARRAYFORMULA(XLOOKUP(FILTER(INDIRECT(""'""&amp;CZ$1&amp;""'!$C$4:$C$66""),INDIRECT(""'""&amp;CZ$1&amp;""'!$D$4:$D$66"")=CZ$2),$G$4:$BQ$4,$G107:$BQ107))),"""")"),"")</f>
        <v/>
      </c>
      <c r="DB107" s="208" t="str">
        <f t="shared" si="17"/>
        <v/>
      </c>
      <c r="DC107" s="210">
        <f>IFERROR(__xludf.DUMMYFUNCTION("AVERAGE(ARRAYFORMULA(XLOOKUP(FILTER(INDIRECT(""'""&amp;DC$1&amp;""'!$C$4:$C$66""),INDIRECT(""'""&amp;DC$1&amp;""'!$D$4:$D$66"")=DC$2),$G$4:$BQ$4,$G107:$BQ107)))"),-0.11881832666666667)</f>
        <v>-0.1188183267</v>
      </c>
      <c r="DD107" s="207" t="str">
        <f>IFERROR(__xludf.DUMMYFUNCTION("IF(OR(DC107&gt;$BS107+$BT107*$BT$2,DC107&lt;$BS107-$BT107*$BT$2),AVEDEV(ARRAYFORMULA(XLOOKUP(FILTER(INDIRECT(""'""&amp;DC$1&amp;""'!$C$4:$C$66""),INDIRECT(""'""&amp;DC$1&amp;""'!$D$4:$D$66"")=DC$2),$G$4:$BQ$4,$G107:$BQ107))),"""")"),"")</f>
        <v/>
      </c>
      <c r="DE107" s="208" t="str">
        <f t="shared" si="18"/>
        <v/>
      </c>
      <c r="DF107" s="210">
        <f>IFERROR(__xludf.DUMMYFUNCTION("AVERAGE(ARRAYFORMULA(XLOOKUP(FILTER(INDIRECT(""'""&amp;DF$1&amp;""'!$C$4:$C$66""),INDIRECT(""'""&amp;DF$1&amp;""'!$D$4:$D$66"")=DF$2),$G$4:$BQ$4,$G107:$BQ107)))"),0.5680409263636363)</f>
        <v>0.5680409264</v>
      </c>
      <c r="DG107" s="207" t="str">
        <f>IFERROR(__xludf.DUMMYFUNCTION("IF(OR(DF107&gt;$BS107+$BT107*$BT$2,DF107&lt;$BS107-$BT107*$BT$2),AVEDEV(ARRAYFORMULA(XLOOKUP(FILTER(INDIRECT(""'""&amp;DF$1&amp;""'!$C$4:$C$66""),INDIRECT(""'""&amp;DF$1&amp;""'!$D$4:$D$66"")=DF$2),$G$4:$BQ$4,$G107:$BQ107))),"""")"),"")</f>
        <v/>
      </c>
      <c r="DH107" s="208" t="str">
        <f t="shared" si="19"/>
        <v/>
      </c>
      <c r="DI107" s="210">
        <f>IFERROR(__xludf.DUMMYFUNCTION("AVERAGE(ARRAYFORMULA(XLOOKUP(FILTER(INDIRECT(""'""&amp;DI$1&amp;""'!$C$4:$C$66""),INDIRECT(""'""&amp;DI$1&amp;""'!$D$4:$D$66"")=DI$2),$G$4:$BQ$4,$G107:$BQ107)))"),-0.41794359999999997)</f>
        <v>-0.4179436</v>
      </c>
      <c r="DJ107" s="207" t="str">
        <f>IFERROR(__xludf.DUMMYFUNCTION("IF(OR(DI107&gt;$BS107+$BT107*$BT$2,DI107&lt;$BS107-$BT107*$BT$2),AVEDEV(ARRAYFORMULA(XLOOKUP(FILTER(INDIRECT(""'""&amp;DI$1&amp;""'!$C$4:$C$66""),INDIRECT(""'""&amp;DI$1&amp;""'!$D$4:$D$66"")=DI$2),$G$4:$BQ$4,$G107:$BQ107))),"""")"),"")</f>
        <v/>
      </c>
      <c r="DK107" s="208" t="str">
        <f t="shared" si="20"/>
        <v/>
      </c>
      <c r="DL107" s="210">
        <f>IFERROR(__xludf.DUMMYFUNCTION("AVERAGE(ARRAYFORMULA(XLOOKUP(FILTER(INDIRECT(""'""&amp;DL$1&amp;""'!$C$4:$C$66""),INDIRECT(""'""&amp;DL$1&amp;""'!$D$4:$D$66"")=DL$2),$G$4:$BQ$4,$G107:$BQ107)))"),0.3945824892857143)</f>
        <v>0.3945824893</v>
      </c>
      <c r="DM107" s="207" t="str">
        <f>IFERROR(__xludf.DUMMYFUNCTION("IF(OR(DL107&gt;$BS107+$BT107*$BT$2,DL107&lt;$BS107-$BT107*$BT$2),AVEDEV(ARRAYFORMULA(XLOOKUP(FILTER(INDIRECT(""'""&amp;DL$1&amp;""'!$C$4:$C$66""),INDIRECT(""'""&amp;DL$1&amp;""'!$D$4:$D$66"")=DL$2),$G$4:$BQ$4,$G107:$BQ107))),"""")"),"")</f>
        <v/>
      </c>
      <c r="DN107" s="208" t="str">
        <f t="shared" si="21"/>
        <v/>
      </c>
      <c r="DO107" s="209" t="s">
        <v>444</v>
      </c>
      <c r="DP107" s="210">
        <f>IFERROR(__xludf.DUMMYFUNCTION("AVERAGE(ARRAYFORMULA(XLOOKUP(FILTER(INDIRECT(""'""&amp;DP$1&amp;""'!$C$4:$C$66""),INDIRECT(""'""&amp;DP$1&amp;""'!$D$4:$D$66"")=DP$2),$G$4:$BQ$4,$G107:$BQ107)))"),-0.11762779333333331)</f>
        <v>-0.1176277933</v>
      </c>
      <c r="DQ107" s="207" t="str">
        <f>IFERROR(__xludf.DUMMYFUNCTION("IF(OR(DP107&gt;$BS107+$BT107*$BT$2,DP107&lt;$BS107-$BT107*$BT$2),AVEDEV(ARRAYFORMULA(XLOOKUP(FILTER(INDIRECT(""'""&amp;DP$1&amp;""'!$C$4:$C$66""),INDIRECT(""'""&amp;DP$1&amp;""'!$D$4:$D$66"")=DP$2),$G$4:$BQ$4,$G107:$BQ107))),"""")"),"")</f>
        <v/>
      </c>
      <c r="DR107" s="208" t="str">
        <f t="shared" si="22"/>
        <v/>
      </c>
      <c r="DS107" s="210">
        <f>IFERROR(__xludf.DUMMYFUNCTION("AVERAGE(ARRAYFORMULA(XLOOKUP(FILTER(INDIRECT(""'""&amp;DS$1&amp;""'!$C$4:$C$66""),INDIRECT(""'""&amp;DS$1&amp;""'!$D$4:$D$66"")=DS$2),$G$4:$BQ$4,$G107:$BQ107)))"),-0.22921460222222223)</f>
        <v>-0.2292146022</v>
      </c>
      <c r="DT107" s="207" t="str">
        <f>IFERROR(__xludf.DUMMYFUNCTION("IF(OR(DS107&gt;$BS107+$BT107*$BT$2,DS107&lt;$BS107-$BT107*$BT$2),AVEDEV(ARRAYFORMULA(XLOOKUP(FILTER(INDIRECT(""'""&amp;DS$1&amp;""'!$C$4:$C$66""),INDIRECT(""'""&amp;DS$1&amp;""'!$D$4:$D$66"")=DS$2),$G$4:$BQ$4,$G107:$BQ107))),"""")"),"")</f>
        <v/>
      </c>
      <c r="DU107" s="208" t="str">
        <f t="shared" si="23"/>
        <v/>
      </c>
      <c r="DV107" s="210">
        <f>IFERROR(__xludf.DUMMYFUNCTION("AVERAGE(ARRAYFORMULA(XLOOKUP(FILTER(INDIRECT(""'""&amp;DV$1&amp;""'!$C$4:$C$66""),INDIRECT(""'""&amp;DV$1&amp;""'!$D$4:$D$66"")=DV$2),$G$4:$BQ$4,$G107:$BQ107)))"),1.27997426625)</f>
        <v>1.279974266</v>
      </c>
      <c r="DW107" s="207">
        <f>IFERROR(__xludf.DUMMYFUNCTION("IF(OR(DV107&gt;$BS107+$BT107*$BT$2,DV107&lt;$BS107-$BT107*$BT$2),AVEDEV(ARRAYFORMULA(XLOOKUP(FILTER(INDIRECT(""'""&amp;DV$1&amp;""'!$C$4:$C$66""),INDIRECT(""'""&amp;DV$1&amp;""'!$D$4:$D$66"")=DV$2),$G$4:$BQ$4,$G107:$BQ107))),"""")"),0.8068195112500001)</f>
        <v>0.8068195113</v>
      </c>
      <c r="DX107" s="208">
        <f t="shared" si="24"/>
        <v>0.6250865047</v>
      </c>
      <c r="DY107" s="210">
        <f>IFERROR(__xludf.DUMMYFUNCTION("AVERAGE(ARRAYFORMULA(XLOOKUP(FILTER(INDIRECT(""'""&amp;DY$1&amp;""'!$C$4:$C$66""),INDIRECT(""'""&amp;DY$1&amp;""'!$D$4:$D$66"")=DY$2),$G$4:$BQ$4,$G107:$BQ107)))"),-0.07847571)</f>
        <v>-0.07847571</v>
      </c>
      <c r="DZ107" s="207" t="str">
        <f>IFERROR(__xludf.DUMMYFUNCTION("IF(OR(DY107&gt;$BS107+$BT107*$BT$2,DY107&lt;$BS107-$BT107*$BT$2),AVEDEV(ARRAYFORMULA(XLOOKUP(FILTER(INDIRECT(""'""&amp;DY$1&amp;""'!$C$4:$C$66""),INDIRECT(""'""&amp;DY$1&amp;""'!$D$4:$D$66"")=DY$2),$G$4:$BQ$4,$G107:$BQ107))),"""")"),"")</f>
        <v/>
      </c>
      <c r="EA107" s="208" t="str">
        <f t="shared" si="25"/>
        <v/>
      </c>
      <c r="EB107" s="191"/>
    </row>
    <row r="108" outlineLevel="1">
      <c r="A108" s="2"/>
      <c r="B108" s="204">
        <v>104.0</v>
      </c>
      <c r="C108" s="204" t="s">
        <v>540</v>
      </c>
      <c r="D108" s="204" t="s">
        <v>550</v>
      </c>
      <c r="E108" s="205" t="b">
        <f>VLOOKUP(D108,'Feature Set List'!A104:C246,2,0)</f>
        <v>1</v>
      </c>
      <c r="F108" s="205" t="b">
        <f>VLOOKUP(D108,'Feature Set List'!A104:C246,3,0)</f>
        <v>1</v>
      </c>
      <c r="G108" s="205">
        <v>-0.6312906</v>
      </c>
      <c r="H108" s="205">
        <v>-0.4054383</v>
      </c>
      <c r="I108" s="205">
        <v>-0.3674919</v>
      </c>
      <c r="J108" s="205">
        <v>-0.7725244</v>
      </c>
      <c r="K108" s="205">
        <v>-0.9786932</v>
      </c>
      <c r="L108" s="205">
        <v>0.39853896</v>
      </c>
      <c r="M108" s="205">
        <v>0.50608766</v>
      </c>
      <c r="N108" s="205">
        <v>-0.3234578</v>
      </c>
      <c r="O108" s="205">
        <v>1.36038961</v>
      </c>
      <c r="P108" s="205">
        <v>0.74350649</v>
      </c>
      <c r="Q108" s="205">
        <v>-0.4748377</v>
      </c>
      <c r="R108" s="205">
        <v>3.82183442</v>
      </c>
      <c r="S108" s="205">
        <v>1.71144481</v>
      </c>
      <c r="T108" s="205">
        <v>-0.2810471</v>
      </c>
      <c r="U108" s="205">
        <v>0.53652597</v>
      </c>
      <c r="V108" s="205">
        <v>0.24837662</v>
      </c>
      <c r="W108" s="205">
        <v>1.14935065</v>
      </c>
      <c r="X108" s="205">
        <v>0.73944805</v>
      </c>
      <c r="Y108" s="205">
        <v>-0.382914</v>
      </c>
      <c r="Z108" s="205">
        <v>1.18790584</v>
      </c>
      <c r="AA108" s="205">
        <v>0.79220779</v>
      </c>
      <c r="AB108" s="205">
        <v>-0.4092938</v>
      </c>
      <c r="AC108" s="205">
        <v>-0.4389205</v>
      </c>
      <c r="AD108" s="205">
        <v>-0.174513</v>
      </c>
      <c r="AE108" s="205">
        <v>-0.4253247</v>
      </c>
      <c r="AF108" s="205">
        <v>-0.0710227</v>
      </c>
      <c r="AG108" s="205">
        <v>0.26258117</v>
      </c>
      <c r="AH108" s="205">
        <v>0.04261364</v>
      </c>
      <c r="AI108" s="205">
        <v>-0.5876623</v>
      </c>
      <c r="AJ108" s="205">
        <v>2.88027597</v>
      </c>
      <c r="AK108" s="205">
        <v>-0.8053977</v>
      </c>
      <c r="AL108" s="205">
        <v>-0.0730519</v>
      </c>
      <c r="AM108" s="205">
        <v>-0.1258117</v>
      </c>
      <c r="AN108" s="205">
        <v>0.71306818</v>
      </c>
      <c r="AO108" s="205">
        <v>1.30965909</v>
      </c>
      <c r="AP108" s="205">
        <v>-0.7364042</v>
      </c>
      <c r="AQ108" s="205">
        <v>1.11282468</v>
      </c>
      <c r="AR108" s="205">
        <v>0.91599026</v>
      </c>
      <c r="AS108" s="205">
        <v>-0.0198864</v>
      </c>
      <c r="AT108" s="205">
        <v>0.08116883</v>
      </c>
      <c r="AU108" s="205">
        <v>-0.0886769</v>
      </c>
      <c r="AV108" s="205">
        <v>1.08035714</v>
      </c>
      <c r="AW108" s="205">
        <v>0.12155032</v>
      </c>
      <c r="AX108" s="205">
        <v>0.21387987</v>
      </c>
      <c r="AY108" s="205">
        <v>3.68181818</v>
      </c>
      <c r="AZ108" s="205">
        <v>0.27678571</v>
      </c>
      <c r="BA108" s="205">
        <v>-0.2274756</v>
      </c>
      <c r="BB108" s="205">
        <v>-0.2100244</v>
      </c>
      <c r="BC108" s="205">
        <v>0.34983766</v>
      </c>
      <c r="BD108" s="205">
        <v>-1.3455763</v>
      </c>
      <c r="BE108" s="205">
        <v>0.27881494</v>
      </c>
      <c r="BF108" s="205">
        <v>-0.2175325</v>
      </c>
      <c r="BG108" s="205">
        <v>-0.1416396</v>
      </c>
      <c r="BH108" s="205">
        <v>-0.3666802</v>
      </c>
      <c r="BI108" s="205">
        <v>-0.0765016</v>
      </c>
      <c r="BJ108" s="205">
        <v>0.10125812</v>
      </c>
      <c r="BK108" s="205">
        <v>0.14285714</v>
      </c>
      <c r="BL108" s="205">
        <v>0.19135552</v>
      </c>
      <c r="BM108" s="205">
        <v>-0.7368101</v>
      </c>
      <c r="BN108" s="205">
        <v>-0.9013799</v>
      </c>
      <c r="BO108" s="205">
        <v>0.0</v>
      </c>
      <c r="BP108" s="205">
        <v>-0.9969562</v>
      </c>
      <c r="BQ108" s="205">
        <v>0.74350649</v>
      </c>
      <c r="BR108" s="206"/>
      <c r="BS108" s="207">
        <f t="shared" si="6"/>
        <v>0.220660041</v>
      </c>
      <c r="BT108" s="207">
        <f t="shared" si="7"/>
        <v>0.6827077891</v>
      </c>
      <c r="BU108" s="206"/>
      <c r="BV108" s="207">
        <f>IFERROR(__xludf.DUMMYFUNCTION("AVERAGE(ARRAYFORMULA(XLOOKUP(FILTER(INDIRECT(""'""&amp;BV$1&amp;""'!$C$4:$C$66""),INDIRECT(""'""&amp;BV$1&amp;""'!$D$4:$D$66"")=BV$2),$G$4:$BQ$4,$G108:$BQ108)))"),0.9325139071428572)</f>
        <v>0.9325139071</v>
      </c>
      <c r="BW108" s="207">
        <f>IFERROR(__xludf.DUMMYFUNCTION("IF(OR(BV108&gt;$BS108+$BT108*$BT$2,BV108&lt;$BS108-$BT108*$BT$2),AVEDEV(ARRAYFORMULA(XLOOKUP(FILTER(INDIRECT(""'""&amp;BV$1&amp;""'!$C$4:$C$66""),INDIRECT(""'""&amp;BV$1&amp;""'!$D$4:$D$66"")=BV$2),$G$4:$BQ$4,$G108:$BQ108))),"""")"),0.8932712730612246)</f>
        <v>0.8932712731</v>
      </c>
      <c r="BX108" s="208">
        <f t="shared" si="8"/>
        <v>0.02914607707</v>
      </c>
      <c r="BY108" s="207">
        <f>IFERROR(__xludf.DUMMYFUNCTION("AVERAGE(ARRAYFORMULA(XLOOKUP(FILTER(INDIRECT(""'""&amp;BY$1&amp;""'!$C$4:$C$66""),INDIRECT(""'""&amp;BY$1&amp;""'!$D$4:$D$66"")=BY$2),$G$4:$BQ$4,$G108:$BQ108)))"),0.20076240380952376)</f>
        <v>0.2007624038</v>
      </c>
      <c r="BZ108" s="207" t="str">
        <f>IFERROR(__xludf.DUMMYFUNCTION("IF(OR(BY108&gt;$BS108+$BT108*$BT$2,BY108&lt;$BS108-$BT108*$BT$2),AVEDEV(ARRAYFORMULA(XLOOKUP(FILTER(INDIRECT(""'""&amp;BY$1&amp;""'!$C$4:$C$66""),INDIRECT(""'""&amp;BY$1&amp;""'!$D$4:$D$66"")=BY$2),$G$4:$BQ$4,$G108:$BQ108))),"""")"),"")</f>
        <v/>
      </c>
      <c r="CA108" s="208" t="str">
        <f t="shared" si="9"/>
        <v/>
      </c>
      <c r="CB108" s="207">
        <f>IFERROR(__xludf.DUMMYFUNCTION("AVERAGE(ARRAYFORMULA(XLOOKUP(FILTER(INDIRECT(""'""&amp;CB$1&amp;""'!$C$4:$C$66""),INDIRECT(""'""&amp;CB$1&amp;""'!$D$4:$D$66"")=CB$2),$G$4:$BQ$4,$G108:$BQ108)))"),0.06760994272727272)</f>
        <v>0.06760994273</v>
      </c>
      <c r="CC108" s="207" t="str">
        <f>IFERROR(__xludf.DUMMYFUNCTION("IF(OR(CB108&gt;$BS108+$BT108*$BT$2,CB108&lt;$BS108-$BT108*$BT$2),AVEDEV(ARRAYFORMULA(XLOOKUP(FILTER(INDIRECT(""'""&amp;CB$1&amp;""'!$C$4:$C$66""),INDIRECT(""'""&amp;CB$1&amp;""'!$D$4:$D$66"")=CB$2),$G$4:$BQ$4,$G108:$BQ108))),"""")"),"")</f>
        <v/>
      </c>
      <c r="CD108" s="208" t="str">
        <f t="shared" si="10"/>
        <v/>
      </c>
      <c r="CE108" s="209" t="s">
        <v>444</v>
      </c>
      <c r="CF108" s="207">
        <f>IFERROR(__xludf.DUMMYFUNCTION("AVERAGE(ARRAYFORMULA(XLOOKUP(FILTER(INDIRECT(""'""&amp;CF$1&amp;""'!$C$4:$C$66""),INDIRECT(""'""&amp;CF$1&amp;""'!$D$4:$D$66"")=CF$2),$G$4:$BQ$4,$G108:$BQ108)))"),-0.193714494375)</f>
        <v>-0.1937144944</v>
      </c>
      <c r="CG108" s="207" t="str">
        <f>IFERROR(__xludf.DUMMYFUNCTION("IF(OR(CF108&gt;$BS108+$BT108*$BT$2,CF108&lt;$BS108-$BT108*$BT$2),AVEDEV(ARRAYFORMULA(XLOOKUP(FILTER(INDIRECT(""'""&amp;CF$1&amp;""'!$C$4:$C$66""),INDIRECT(""'""&amp;CF$1&amp;""'!$D$4:$D$66"")=CF$2),$G$4:$BQ$4,$G108:$BQ108))),"""")"),"")</f>
        <v/>
      </c>
      <c r="CH108" s="208" t="str">
        <f t="shared" si="11"/>
        <v/>
      </c>
      <c r="CI108" s="207">
        <f>IFERROR(__xludf.DUMMYFUNCTION("AVERAGE(ARRAYFORMULA(XLOOKUP(FILTER(INDIRECT(""'""&amp;CI$1&amp;""'!$C$4:$C$66""),INDIRECT(""'""&amp;CI$1&amp;""'!$D$4:$D$66"")=CI$2),$G$4:$BQ$4,$G108:$BQ108)))"),0.5395828938709678)</f>
        <v>0.5395828939</v>
      </c>
      <c r="CJ108" s="207" t="str">
        <f>IFERROR(__xludf.DUMMYFUNCTION("IF(OR(CI108&gt;$BS108+$BT108*$BT$2,CI108&lt;$BS108-$BT108*$BT$2),AVEDEV(ARRAYFORMULA(XLOOKUP(FILTER(INDIRECT(""'""&amp;CI$1&amp;""'!$C$4:$C$66""),INDIRECT(""'""&amp;CI$1&amp;""'!$D$4:$D$66"")=CI$2),$G$4:$BQ$4,$G108:$BQ108))),"""")"),"")</f>
        <v/>
      </c>
      <c r="CK108" s="208" t="str">
        <f t="shared" si="12"/>
        <v/>
      </c>
      <c r="CL108" s="207">
        <f>IFERROR(__xludf.DUMMYFUNCTION("AVERAGE(ARRAYFORMULA(XLOOKUP(FILTER(INDIRECT(""'""&amp;CL$1&amp;""'!$C$4:$C$66""),INDIRECT(""'""&amp;CL$1&amp;""'!$D$4:$D$66"")=CL$2),$G$4:$BQ$4,$G108:$BQ108)))"),0.01469155800000001)</f>
        <v>0.014691558</v>
      </c>
      <c r="CM108" s="207" t="str">
        <f>IFERROR(__xludf.DUMMYFUNCTION("IF(OR(CL108&gt;$BS108+$BT108*$BT$2,CL108&lt;$BS108-$BT108*$BT$2),AVEDEV(ARRAYFORMULA(XLOOKUP(FILTER(INDIRECT(""'""&amp;CL$1&amp;""'!$C$4:$C$66""),INDIRECT(""'""&amp;CL$1&amp;""'!$D$4:$D$66"")=CL$2),$G$4:$BQ$4,$G108:$BQ108))),"""")"),"")</f>
        <v/>
      </c>
      <c r="CN108" s="208" t="str">
        <f t="shared" si="13"/>
        <v/>
      </c>
      <c r="CO108" s="209" t="s">
        <v>444</v>
      </c>
      <c r="CP108" s="210">
        <f>IFERROR(__xludf.DUMMYFUNCTION("AVERAGE(ARRAYFORMULA(XLOOKUP(FILTER(INDIRECT(""'""&amp;CP$1&amp;""'!$C$4:$C$66""),INDIRECT(""'""&amp;CP$1&amp;""'!$D$4:$D$66"")=CP$2),$G$4:$BQ$4,$G108:$BQ108)))"),-0.07248377866666668)</f>
        <v>-0.07248377867</v>
      </c>
      <c r="CQ108" s="207" t="str">
        <f>IFERROR(__xludf.DUMMYFUNCTION("IF(OR(CP108&gt;$BS108+$BT108*$BT$2,CP108&lt;$BS108-$BT108*$BT$2),AVEDEV(ARRAYFORMULA(XLOOKUP(FILTER(INDIRECT(""'""&amp;CP$1&amp;""'!$C$4:$C$66""),INDIRECT(""'""&amp;CP$1&amp;""'!$D$4:$D$66"")=CP$2),$G$4:$BQ$4,$G108:$BQ108))),"""")"),"")</f>
        <v/>
      </c>
      <c r="CR108" s="208" t="str">
        <f t="shared" si="14"/>
        <v/>
      </c>
      <c r="CS108" s="210">
        <f>IFERROR(__xludf.DUMMYFUNCTION("AVERAGE(ARRAYFORMULA(XLOOKUP(FILTER(INDIRECT(""'""&amp;CS$1&amp;""'!$C$4:$C$66""),INDIRECT(""'""&amp;CS$1&amp;""'!$D$4:$D$66"")=CS$2),$G$4:$BQ$4,$G108:$BQ108)))"),0.4237377192307693)</f>
        <v>0.4237377192</v>
      </c>
      <c r="CT108" s="207" t="str">
        <f>IFERROR(__xludf.DUMMYFUNCTION("IF(OR(CS108&gt;$BS108+$BT108*$BT$2,CS108&lt;$BS108-$BT108*$BT$2),AVEDEV(ARRAYFORMULA(XLOOKUP(FILTER(INDIRECT(""'""&amp;CS$1&amp;""'!$C$4:$C$66""),INDIRECT(""'""&amp;CS$1&amp;""'!$D$4:$D$66"")=CS$2),$G$4:$BQ$4,$G108:$BQ108))),"""")"),"")</f>
        <v/>
      </c>
      <c r="CU108" s="208" t="str">
        <f t="shared" si="15"/>
        <v/>
      </c>
      <c r="CV108" s="210">
        <f>IFERROR(__xludf.DUMMYFUNCTION("AVERAGE(ARRAYFORMULA(XLOOKUP(FILTER(INDIRECT(""'""&amp;CV$1&amp;""'!$C$4:$C$66""),INDIRECT(""'""&amp;CV$1&amp;""'!$D$4:$D$66"")=CV$2),$G$4:$BQ$4,$G108:$BQ108)))"),0.01469155800000001)</f>
        <v>0.014691558</v>
      </c>
      <c r="CW108" s="207" t="str">
        <f>IFERROR(__xludf.DUMMYFUNCTION("IF(OR(CV108&gt;$BS108+$BT108*$BT$2,CV108&lt;$BS108-$BT108*$BT$2),AVEDEV(ARRAYFORMULA(XLOOKUP(FILTER(INDIRECT(""'""&amp;CV$1&amp;""'!$C$4:$C$66""),INDIRECT(""'""&amp;CV$1&amp;""'!$D$4:$D$66"")=CV$2),$G$4:$BQ$4,$G108:$BQ108))),"""")"),"")</f>
        <v/>
      </c>
      <c r="CX108" s="208" t="str">
        <f t="shared" si="16"/>
        <v/>
      </c>
      <c r="CY108" s="209" t="s">
        <v>444</v>
      </c>
      <c r="CZ108" s="210">
        <f>IFERROR(__xludf.DUMMYFUNCTION("AVERAGE(ARRAYFORMULA(XLOOKUP(FILTER(INDIRECT(""'""&amp;CZ$1&amp;""'!$C$4:$C$66""),INDIRECT(""'""&amp;CZ$1&amp;""'!$D$4:$D$66"")=CZ$2),$G$4:$BQ$4,$G108:$BQ108)))"),-0.17561456214285712)</f>
        <v>-0.1756145621</v>
      </c>
      <c r="DA108" s="207" t="str">
        <f>IFERROR(__xludf.DUMMYFUNCTION("IF(OR(CZ108&gt;$BS108+$BT108*$BT$2,CZ108&lt;$BS108-$BT108*$BT$2),AVEDEV(ARRAYFORMULA(XLOOKUP(FILTER(INDIRECT(""'""&amp;CZ$1&amp;""'!$C$4:$C$66""),INDIRECT(""'""&amp;CZ$1&amp;""'!$D$4:$D$66"")=CZ$2),$G$4:$BQ$4,$G108:$BQ108))),"""")"),"")</f>
        <v/>
      </c>
      <c r="DB108" s="208" t="str">
        <f t="shared" si="17"/>
        <v/>
      </c>
      <c r="DC108" s="210">
        <f>IFERROR(__xludf.DUMMYFUNCTION("AVERAGE(ARRAYFORMULA(XLOOKUP(FILTER(INDIRECT(""'""&amp;DC$1&amp;""'!$C$4:$C$66""),INDIRECT(""'""&amp;DC$1&amp;""'!$D$4:$D$66"")=DC$2),$G$4:$BQ$4,$G108:$BQ108)))"),0.13374819555555556)</f>
        <v>0.1337481956</v>
      </c>
      <c r="DD108" s="207" t="str">
        <f>IFERROR(__xludf.DUMMYFUNCTION("IF(OR(DC108&gt;$BS108+$BT108*$BT$2,DC108&lt;$BS108-$BT108*$BT$2),AVEDEV(ARRAYFORMULA(XLOOKUP(FILTER(INDIRECT(""'""&amp;DC$1&amp;""'!$C$4:$C$66""),INDIRECT(""'""&amp;DC$1&amp;""'!$D$4:$D$66"")=DC$2),$G$4:$BQ$4,$G108:$BQ108))),"""")"),"")</f>
        <v/>
      </c>
      <c r="DE108" s="208" t="str">
        <f t="shared" si="18"/>
        <v/>
      </c>
      <c r="DF108" s="210">
        <f>IFERROR(__xludf.DUMMYFUNCTION("AVERAGE(ARRAYFORMULA(XLOOKUP(FILTER(INDIRECT(""'""&amp;DF$1&amp;""'!$C$4:$C$66""),INDIRECT(""'""&amp;DF$1&amp;""'!$D$4:$D$66"")=DF$2),$G$4:$BQ$4,$G108:$BQ108)))"),0.2608102109090909)</f>
        <v>0.2608102109</v>
      </c>
      <c r="DG108" s="207" t="str">
        <f>IFERROR(__xludf.DUMMYFUNCTION("IF(OR(DF108&gt;$BS108+$BT108*$BT$2,DF108&lt;$BS108-$BT108*$BT$2),AVEDEV(ARRAYFORMULA(XLOOKUP(FILTER(INDIRECT(""'""&amp;DF$1&amp;""'!$C$4:$C$66""),INDIRECT(""'""&amp;DF$1&amp;""'!$D$4:$D$66"")=DF$2),$G$4:$BQ$4,$G108:$BQ108))),"""")"),"")</f>
        <v/>
      </c>
      <c r="DH108" s="208" t="str">
        <f t="shared" si="19"/>
        <v/>
      </c>
      <c r="DI108" s="210">
        <f>IFERROR(__xludf.DUMMYFUNCTION("AVERAGE(ARRAYFORMULA(XLOOKUP(FILTER(INDIRECT(""'""&amp;DI$1&amp;""'!$C$4:$C$66""),INDIRECT(""'""&amp;DI$1&amp;""'!$D$4:$D$66"")=DI$2),$G$4:$BQ$4,$G108:$BQ108)))"),-0.2705966)</f>
        <v>-0.2705966</v>
      </c>
      <c r="DJ108" s="207" t="str">
        <f>IFERROR(__xludf.DUMMYFUNCTION("IF(OR(DI108&gt;$BS108+$BT108*$BT$2,DI108&lt;$BS108-$BT108*$BT$2),AVEDEV(ARRAYFORMULA(XLOOKUP(FILTER(INDIRECT(""'""&amp;DI$1&amp;""'!$C$4:$C$66""),INDIRECT(""'""&amp;DI$1&amp;""'!$D$4:$D$66"")=DI$2),$G$4:$BQ$4,$G108:$BQ108))),"""")"),"")</f>
        <v/>
      </c>
      <c r="DK108" s="208" t="str">
        <f t="shared" si="20"/>
        <v/>
      </c>
      <c r="DL108" s="210">
        <f>IFERROR(__xludf.DUMMYFUNCTION("AVERAGE(ARRAYFORMULA(XLOOKUP(FILTER(INDIRECT(""'""&amp;DL$1&amp;""'!$C$4:$C$66""),INDIRECT(""'""&amp;DL$1&amp;""'!$D$4:$D$66"")=DL$2),$G$4:$BQ$4,$G108:$BQ108)))"),0.7027336442857142)</f>
        <v>0.7027336443</v>
      </c>
      <c r="DM108" s="207" t="str">
        <f>IFERROR(__xludf.DUMMYFUNCTION("IF(OR(DL108&gt;$BS108+$BT108*$BT$2,DL108&lt;$BS108-$BT108*$BT$2),AVEDEV(ARRAYFORMULA(XLOOKUP(FILTER(INDIRECT(""'""&amp;DL$1&amp;""'!$C$4:$C$66""),INDIRECT(""'""&amp;DL$1&amp;""'!$D$4:$D$66"")=DL$2),$G$4:$BQ$4,$G108:$BQ108))),"""")"),"")</f>
        <v/>
      </c>
      <c r="DN108" s="208" t="str">
        <f t="shared" si="21"/>
        <v/>
      </c>
      <c r="DO108" s="209" t="s">
        <v>444</v>
      </c>
      <c r="DP108" s="210">
        <f>IFERROR(__xludf.DUMMYFUNCTION("AVERAGE(ARRAYFORMULA(XLOOKUP(FILTER(INDIRECT(""'""&amp;DP$1&amp;""'!$C$4:$C$66""),INDIRECT(""'""&amp;DP$1&amp;""'!$D$4:$D$66"")=DP$2),$G$4:$BQ$4,$G108:$BQ108)))"),-0.08649892066666666)</f>
        <v>-0.08649892067</v>
      </c>
      <c r="DQ108" s="207" t="str">
        <f>IFERROR(__xludf.DUMMYFUNCTION("IF(OR(DP108&gt;$BS108+$BT108*$BT$2,DP108&lt;$BS108-$BT108*$BT$2),AVEDEV(ARRAYFORMULA(XLOOKUP(FILTER(INDIRECT(""'""&amp;DP$1&amp;""'!$C$4:$C$66""),INDIRECT(""'""&amp;DP$1&amp;""'!$D$4:$D$66"")=DP$2),$G$4:$BQ$4,$G108:$BQ108))),"""")"),"")</f>
        <v/>
      </c>
      <c r="DR108" s="208" t="str">
        <f t="shared" si="22"/>
        <v/>
      </c>
      <c r="DS108" s="210">
        <f>IFERROR(__xludf.DUMMYFUNCTION("AVERAGE(ARRAYFORMULA(XLOOKUP(FILTER(INDIRECT(""'""&amp;DS$1&amp;""'!$C$4:$C$66""),INDIRECT(""'""&amp;DS$1&amp;""'!$D$4:$D$66"")=DS$2),$G$4:$BQ$4,$G108:$BQ108)))"),0.22235750000000007)</f>
        <v>0.2223575</v>
      </c>
      <c r="DT108" s="207" t="str">
        <f>IFERROR(__xludf.DUMMYFUNCTION("IF(OR(DS108&gt;$BS108+$BT108*$BT$2,DS108&lt;$BS108-$BT108*$BT$2),AVEDEV(ARRAYFORMULA(XLOOKUP(FILTER(INDIRECT(""'""&amp;DS$1&amp;""'!$C$4:$C$66""),INDIRECT(""'""&amp;DS$1&amp;""'!$D$4:$D$66"")=DS$2),$G$4:$BQ$4,$G108:$BQ108))),"""")"),"")</f>
        <v/>
      </c>
      <c r="DU108" s="208" t="str">
        <f t="shared" si="23"/>
        <v/>
      </c>
      <c r="DV108" s="210">
        <f>IFERROR(__xludf.DUMMYFUNCTION("AVERAGE(ARRAYFORMULA(XLOOKUP(FILTER(INDIRECT(""'""&amp;DV$1&amp;""'!$C$4:$C$66""),INDIRECT(""'""&amp;DV$1&amp;""'!$D$4:$D$66"")=DV$2),$G$4:$BQ$4,$G108:$BQ108)))"),1.8826603075000001)</f>
        <v>1.882660308</v>
      </c>
      <c r="DW108" s="207">
        <f>IFERROR(__xludf.DUMMYFUNCTION("IF(OR(DV108&gt;$BS108+$BT108*$BT$2,DV108&lt;$BS108-$BT108*$BT$2),AVEDEV(ARRAYFORMULA(XLOOKUP(FILTER(INDIRECT(""'""&amp;DV$1&amp;""'!$C$4:$C$66""),INDIRECT(""'""&amp;DV$1&amp;""'!$D$4:$D$66"")=DV$2),$G$4:$BQ$4,$G108:$BQ108))),"""")"),1.183986911875)</f>
        <v>1.183986912</v>
      </c>
      <c r="DX108" s="208">
        <f t="shared" si="24"/>
        <v>0.9792924774</v>
      </c>
      <c r="DY108" s="210">
        <f>IFERROR(__xludf.DUMMYFUNCTION("AVERAGE(ARRAYFORMULA(XLOOKUP(FILTER(INDIRECT(""'""&amp;DY$1&amp;""'!$C$4:$C$66""),INDIRECT(""'""&amp;DY$1&amp;""'!$D$4:$D$66"")=DY$2),$G$4:$BQ$4,$G108:$BQ108)))"),-0.21340639777777778)</f>
        <v>-0.2134063978</v>
      </c>
      <c r="DZ108" s="207" t="str">
        <f>IFERROR(__xludf.DUMMYFUNCTION("IF(OR(DY108&gt;$BS108+$BT108*$BT$2,DY108&lt;$BS108-$BT108*$BT$2),AVEDEV(ARRAYFORMULA(XLOOKUP(FILTER(INDIRECT(""'""&amp;DY$1&amp;""'!$C$4:$C$66""),INDIRECT(""'""&amp;DY$1&amp;""'!$D$4:$D$66"")=DY$2),$G$4:$BQ$4,$G108:$BQ108))),"""")"),"")</f>
        <v/>
      </c>
      <c r="EA108" s="208" t="str">
        <f t="shared" si="25"/>
        <v/>
      </c>
      <c r="EB108" s="191"/>
    </row>
    <row r="109" outlineLevel="1">
      <c r="A109" s="2"/>
      <c r="B109" s="204">
        <v>105.0</v>
      </c>
      <c r="C109" s="204" t="s">
        <v>540</v>
      </c>
      <c r="D109" s="204" t="s">
        <v>551</v>
      </c>
      <c r="E109" s="205" t="b">
        <f>VLOOKUP(D109,'Feature Set List'!A105:C246,2,0)</f>
        <v>1</v>
      </c>
      <c r="F109" s="205" t="b">
        <f>VLOOKUP(D109,'Feature Set List'!A105:C246,3,0)</f>
        <v>1</v>
      </c>
      <c r="G109" s="205">
        <v>0.0</v>
      </c>
      <c r="H109" s="205">
        <v>0.0</v>
      </c>
      <c r="I109" s="205">
        <v>0.0</v>
      </c>
      <c r="J109" s="205">
        <v>0.0</v>
      </c>
      <c r="K109" s="205">
        <v>-1.0</v>
      </c>
      <c r="L109" s="205">
        <v>0.0</v>
      </c>
      <c r="M109" s="205">
        <v>-2.0</v>
      </c>
      <c r="N109" s="205">
        <v>0.0</v>
      </c>
      <c r="O109" s="205">
        <v>-1.0</v>
      </c>
      <c r="P109" s="205">
        <v>0.0</v>
      </c>
      <c r="Q109" s="205">
        <v>-1.0</v>
      </c>
      <c r="R109" s="205">
        <v>-1.0</v>
      </c>
      <c r="S109" s="205">
        <v>0.0</v>
      </c>
      <c r="T109" s="205">
        <v>0.0</v>
      </c>
      <c r="U109" s="205">
        <v>-4.0</v>
      </c>
      <c r="V109" s="205">
        <v>0.0</v>
      </c>
      <c r="W109" s="205">
        <v>0.0</v>
      </c>
      <c r="X109" s="205">
        <v>0.0</v>
      </c>
      <c r="Y109" s="205">
        <v>0.0</v>
      </c>
      <c r="Z109" s="205">
        <v>0.0</v>
      </c>
      <c r="AA109" s="205">
        <v>0.0</v>
      </c>
      <c r="AB109" s="205">
        <v>0.0</v>
      </c>
      <c r="AC109" s="205">
        <v>0.0</v>
      </c>
      <c r="AD109" s="205">
        <v>0.0</v>
      </c>
      <c r="AE109" s="205">
        <v>0.0</v>
      </c>
      <c r="AF109" s="205">
        <v>0.0</v>
      </c>
      <c r="AG109" s="205">
        <v>0.0</v>
      </c>
      <c r="AH109" s="205">
        <v>0.0</v>
      </c>
      <c r="AI109" s="205">
        <v>0.0</v>
      </c>
      <c r="AJ109" s="205">
        <v>0.0</v>
      </c>
      <c r="AK109" s="205">
        <v>0.0</v>
      </c>
      <c r="AL109" s="205">
        <v>0.0</v>
      </c>
      <c r="AM109" s="205">
        <v>0.0</v>
      </c>
      <c r="AN109" s="205">
        <v>0.0</v>
      </c>
      <c r="AO109" s="205">
        <v>-3.0</v>
      </c>
      <c r="AP109" s="205">
        <v>0.0</v>
      </c>
      <c r="AQ109" s="205">
        <v>0.0</v>
      </c>
      <c r="AR109" s="205">
        <v>-1.0</v>
      </c>
      <c r="AS109" s="205">
        <v>0.0</v>
      </c>
      <c r="AT109" s="205">
        <v>-1.0</v>
      </c>
      <c r="AU109" s="205">
        <v>-1.0</v>
      </c>
      <c r="AV109" s="205">
        <v>0.0</v>
      </c>
      <c r="AW109" s="205">
        <v>0.0</v>
      </c>
      <c r="AX109" s="205">
        <v>-1.0</v>
      </c>
      <c r="AY109" s="205">
        <v>-3.0</v>
      </c>
      <c r="AZ109" s="205">
        <v>0.0</v>
      </c>
      <c r="BA109" s="205">
        <v>0.0</v>
      </c>
      <c r="BB109" s="205">
        <v>0.0</v>
      </c>
      <c r="BC109" s="205">
        <v>0.0</v>
      </c>
      <c r="BD109" s="205">
        <v>0.0</v>
      </c>
      <c r="BE109" s="205">
        <v>0.0</v>
      </c>
      <c r="BF109" s="205">
        <v>0.0</v>
      </c>
      <c r="BG109" s="205">
        <v>0.0</v>
      </c>
      <c r="BH109" s="205">
        <v>0.0</v>
      </c>
      <c r="BI109" s="205">
        <v>0.0</v>
      </c>
      <c r="BJ109" s="205">
        <v>0.0</v>
      </c>
      <c r="BK109" s="205">
        <v>-1.0</v>
      </c>
      <c r="BL109" s="205">
        <v>0.0</v>
      </c>
      <c r="BM109" s="205">
        <v>0.0</v>
      </c>
      <c r="BN109" s="205">
        <v>0.0</v>
      </c>
      <c r="BO109" s="205">
        <v>0.0</v>
      </c>
      <c r="BP109" s="205">
        <v>0.0</v>
      </c>
      <c r="BQ109" s="205">
        <v>0.0</v>
      </c>
      <c r="BR109" s="206"/>
      <c r="BS109" s="207">
        <f t="shared" si="6"/>
        <v>-0.3333333333</v>
      </c>
      <c r="BT109" s="207">
        <f t="shared" si="7"/>
        <v>0.5291005291</v>
      </c>
      <c r="BU109" s="206"/>
      <c r="BV109" s="207">
        <f>IFERROR(__xludf.DUMMYFUNCTION("AVERAGE(ARRAYFORMULA(XLOOKUP(FILTER(INDIRECT(""'""&amp;BV$1&amp;""'!$C$4:$C$66""),INDIRECT(""'""&amp;BV$1&amp;""'!$D$4:$D$66"")=BV$2),$G$4:$BQ$4,$G109:$BQ109)))"),-1.4285714285714286)</f>
        <v>-1.428571429</v>
      </c>
      <c r="BW109" s="207">
        <f>IFERROR(__xludf.DUMMYFUNCTION("IF(OR(BV109&gt;$BS109+$BT109*$BT$2,BV109&lt;$BS109-$BT109*$BT$2),AVEDEV(ARRAYFORMULA(XLOOKUP(FILTER(INDIRECT(""'""&amp;BV$1&amp;""'!$C$4:$C$66""),INDIRECT(""'""&amp;BV$1&amp;""'!$D$4:$D$66"")=BV$2),$G$4:$BQ$4,$G109:$BQ109))),"""")"),1.6326530612244898)</f>
        <v>1.632653061</v>
      </c>
      <c r="BX109" s="208">
        <f t="shared" si="8"/>
        <v>-0.5661375661</v>
      </c>
      <c r="BY109" s="207">
        <f>IFERROR(__xludf.DUMMYFUNCTION("AVERAGE(ARRAYFORMULA(XLOOKUP(FILTER(INDIRECT(""'""&amp;BY$1&amp;""'!$C$4:$C$66""),INDIRECT(""'""&amp;BY$1&amp;""'!$D$4:$D$66"")=BY$2),$G$4:$BQ$4,$G109:$BQ109)))"),-0.19047619047619047)</f>
        <v>-0.1904761905</v>
      </c>
      <c r="BZ109" s="207" t="str">
        <f>IFERROR(__xludf.DUMMYFUNCTION("IF(OR(BY109&gt;$BS109+$BT109*$BT$2,BY109&lt;$BS109-$BT109*$BT$2),AVEDEV(ARRAYFORMULA(XLOOKUP(FILTER(INDIRECT(""'""&amp;BY$1&amp;""'!$C$4:$C$66""),INDIRECT(""'""&amp;BY$1&amp;""'!$D$4:$D$66"")=BY$2),$G$4:$BQ$4,$G109:$BQ109))),"""")"),"")</f>
        <v/>
      </c>
      <c r="CA109" s="208" t="str">
        <f t="shared" si="9"/>
        <v/>
      </c>
      <c r="CB109" s="207">
        <f>IFERROR(__xludf.DUMMYFUNCTION("AVERAGE(ARRAYFORMULA(XLOOKUP(FILTER(INDIRECT(""'""&amp;CB$1&amp;""'!$C$4:$C$66""),INDIRECT(""'""&amp;CB$1&amp;""'!$D$4:$D$66"")=CB$2),$G$4:$BQ$4,$G109:$BQ109)))"),-0.18181818181818182)</f>
        <v>-0.1818181818</v>
      </c>
      <c r="CC109" s="207" t="str">
        <f>IFERROR(__xludf.DUMMYFUNCTION("IF(OR(CB109&gt;$BS109+$BT109*$BT$2,CB109&lt;$BS109-$BT109*$BT$2),AVEDEV(ARRAYFORMULA(XLOOKUP(FILTER(INDIRECT(""'""&amp;CB$1&amp;""'!$C$4:$C$66""),INDIRECT(""'""&amp;CB$1&amp;""'!$D$4:$D$66"")=CB$2),$G$4:$BQ$4,$G109:$BQ109))),"""")"),"")</f>
        <v/>
      </c>
      <c r="CD109" s="208" t="str">
        <f t="shared" si="10"/>
        <v/>
      </c>
      <c r="CE109" s="209" t="s">
        <v>444</v>
      </c>
      <c r="CF109" s="207">
        <f>IFERROR(__xludf.DUMMYFUNCTION("AVERAGE(ARRAYFORMULA(XLOOKUP(FILTER(INDIRECT(""'""&amp;CF$1&amp;""'!$C$4:$C$66""),INDIRECT(""'""&amp;CF$1&amp;""'!$D$4:$D$66"")=CF$2),$G$4:$BQ$4,$G109:$BQ109)))"),-0.375)</f>
        <v>-0.375</v>
      </c>
      <c r="CG109" s="207" t="str">
        <f>IFERROR(__xludf.DUMMYFUNCTION("IF(OR(CF109&gt;$BS109+$BT109*$BT$2,CF109&lt;$BS109-$BT109*$BT$2),AVEDEV(ARRAYFORMULA(XLOOKUP(FILTER(INDIRECT(""'""&amp;CF$1&amp;""'!$C$4:$C$66""),INDIRECT(""'""&amp;CF$1&amp;""'!$D$4:$D$66"")=CF$2),$G$4:$BQ$4,$G109:$BQ109))),"""")"),"")</f>
        <v/>
      </c>
      <c r="CH109" s="208" t="str">
        <f t="shared" si="11"/>
        <v/>
      </c>
      <c r="CI109" s="207">
        <f>IFERROR(__xludf.DUMMYFUNCTION("AVERAGE(ARRAYFORMULA(XLOOKUP(FILTER(INDIRECT(""'""&amp;CI$1&amp;""'!$C$4:$C$66""),INDIRECT(""'""&amp;CI$1&amp;""'!$D$4:$D$66"")=CI$2),$G$4:$BQ$4,$G109:$BQ109)))"),-0.2903225806451613)</f>
        <v>-0.2903225806</v>
      </c>
      <c r="CJ109" s="207" t="str">
        <f>IFERROR(__xludf.DUMMYFUNCTION("IF(OR(CI109&gt;$BS109+$BT109*$BT$2,CI109&lt;$BS109-$BT109*$BT$2),AVEDEV(ARRAYFORMULA(XLOOKUP(FILTER(INDIRECT(""'""&amp;CI$1&amp;""'!$C$4:$C$66""),INDIRECT(""'""&amp;CI$1&amp;""'!$D$4:$D$66"")=CI$2),$G$4:$BQ$4,$G109:$BQ109))),"""")"),"")</f>
        <v/>
      </c>
      <c r="CK109" s="208" t="str">
        <f t="shared" si="12"/>
        <v/>
      </c>
      <c r="CL109" s="207">
        <f>IFERROR(__xludf.DUMMYFUNCTION("AVERAGE(ARRAYFORMULA(XLOOKUP(FILTER(INDIRECT(""'""&amp;CL$1&amp;""'!$C$4:$C$66""),INDIRECT(""'""&amp;CL$1&amp;""'!$D$4:$D$66"")=CL$2),$G$4:$BQ$4,$G109:$BQ109)))"),0.0)</f>
        <v>0</v>
      </c>
      <c r="CM109" s="207" t="str">
        <f>IFERROR(__xludf.DUMMYFUNCTION("IF(OR(CL109&gt;$BS109+$BT109*$BT$2,CL109&lt;$BS109-$BT109*$BT$2),AVEDEV(ARRAYFORMULA(XLOOKUP(FILTER(INDIRECT(""'""&amp;CL$1&amp;""'!$C$4:$C$66""),INDIRECT(""'""&amp;CL$1&amp;""'!$D$4:$D$66"")=CL$2),$G$4:$BQ$4,$G109:$BQ109))),"""")"),"")</f>
        <v/>
      </c>
      <c r="CN109" s="208" t="str">
        <f t="shared" si="13"/>
        <v/>
      </c>
      <c r="CO109" s="209" t="s">
        <v>444</v>
      </c>
      <c r="CP109" s="210">
        <f>IFERROR(__xludf.DUMMYFUNCTION("AVERAGE(ARRAYFORMULA(XLOOKUP(FILTER(INDIRECT(""'""&amp;CP$1&amp;""'!$C$4:$C$66""),INDIRECT(""'""&amp;CP$1&amp;""'!$D$4:$D$66"")=CP$2),$G$4:$BQ$4,$G109:$BQ109)))"),-0.3333333333333333)</f>
        <v>-0.3333333333</v>
      </c>
      <c r="CQ109" s="207" t="str">
        <f>IFERROR(__xludf.DUMMYFUNCTION("IF(OR(CP109&gt;$BS109+$BT109*$BT$2,CP109&lt;$BS109-$BT109*$BT$2),AVEDEV(ARRAYFORMULA(XLOOKUP(FILTER(INDIRECT(""'""&amp;CP$1&amp;""'!$C$4:$C$66""),INDIRECT(""'""&amp;CP$1&amp;""'!$D$4:$D$66"")=CP$2),$G$4:$BQ$4,$G109:$BQ109))),"""")"),"")</f>
        <v/>
      </c>
      <c r="CR109" s="208" t="str">
        <f t="shared" si="14"/>
        <v/>
      </c>
      <c r="CS109" s="210">
        <f>IFERROR(__xludf.DUMMYFUNCTION("AVERAGE(ARRAYFORMULA(XLOOKUP(FILTER(INDIRECT(""'""&amp;CS$1&amp;""'!$C$4:$C$66""),INDIRECT(""'""&amp;CS$1&amp;""'!$D$4:$D$66"")=CS$2),$G$4:$BQ$4,$G109:$BQ109)))"),-0.38461538461538464)</f>
        <v>-0.3846153846</v>
      </c>
      <c r="CT109" s="207" t="str">
        <f>IFERROR(__xludf.DUMMYFUNCTION("IF(OR(CS109&gt;$BS109+$BT109*$BT$2,CS109&lt;$BS109-$BT109*$BT$2),AVEDEV(ARRAYFORMULA(XLOOKUP(FILTER(INDIRECT(""'""&amp;CS$1&amp;""'!$C$4:$C$66""),INDIRECT(""'""&amp;CS$1&amp;""'!$D$4:$D$66"")=CS$2),$G$4:$BQ$4,$G109:$BQ109))),"""")"),"")</f>
        <v/>
      </c>
      <c r="CU109" s="208" t="str">
        <f t="shared" si="15"/>
        <v/>
      </c>
      <c r="CV109" s="212">
        <f>IFERROR(__xludf.DUMMYFUNCTION("AVERAGE(ARRAYFORMULA(XLOOKUP(FILTER(INDIRECT(""'""&amp;CV$1&amp;""'!$C$4:$C$66""),INDIRECT(""'""&amp;CV$1&amp;""'!$D$4:$D$66"")=CV$2),$G$4:$BQ$4,$G109:$BQ109)))"),0.0)</f>
        <v>0</v>
      </c>
      <c r="CW109" s="207" t="str">
        <f>IFERROR(__xludf.DUMMYFUNCTION("IF(OR(CV109&gt;$BS109+$BT109*$BT$2,CV109&lt;$BS109-$BT109*$BT$2),AVEDEV(ARRAYFORMULA(XLOOKUP(FILTER(INDIRECT(""'""&amp;CV$1&amp;""'!$C$4:$C$66""),INDIRECT(""'""&amp;CV$1&amp;""'!$D$4:$D$66"")=CV$2),$G$4:$BQ$4,$G109:$BQ109))),"""")"),"")</f>
        <v/>
      </c>
      <c r="CX109" s="208" t="str">
        <f t="shared" si="16"/>
        <v/>
      </c>
      <c r="CY109" s="209" t="s">
        <v>444</v>
      </c>
      <c r="CZ109" s="210">
        <f>IFERROR(__xludf.DUMMYFUNCTION("AVERAGE(ARRAYFORMULA(XLOOKUP(FILTER(INDIRECT(""'""&amp;CZ$1&amp;""'!$C$4:$C$66""),INDIRECT(""'""&amp;CZ$1&amp;""'!$D$4:$D$66"")=CZ$2),$G$4:$BQ$4,$G109:$BQ109)))"),-0.07142857142857142)</f>
        <v>-0.07142857143</v>
      </c>
      <c r="DA109" s="207" t="str">
        <f>IFERROR(__xludf.DUMMYFUNCTION("IF(OR(CZ109&gt;$BS109+$BT109*$BT$2,CZ109&lt;$BS109-$BT109*$BT$2),AVEDEV(ARRAYFORMULA(XLOOKUP(FILTER(INDIRECT(""'""&amp;CZ$1&amp;""'!$C$4:$C$66""),INDIRECT(""'""&amp;CZ$1&amp;""'!$D$4:$D$66"")=CZ$2),$G$4:$BQ$4,$G109:$BQ109))),"""")"),"")</f>
        <v/>
      </c>
      <c r="DB109" s="208" t="str">
        <f t="shared" si="17"/>
        <v/>
      </c>
      <c r="DC109" s="210">
        <f>IFERROR(__xludf.DUMMYFUNCTION("AVERAGE(ARRAYFORMULA(XLOOKUP(FILTER(INDIRECT(""'""&amp;DC$1&amp;""'!$C$4:$C$66""),INDIRECT(""'""&amp;DC$1&amp;""'!$D$4:$D$66"")=DC$2),$G$4:$BQ$4,$G109:$BQ109)))"),-0.2222222222222222)</f>
        <v>-0.2222222222</v>
      </c>
      <c r="DD109" s="207" t="str">
        <f>IFERROR(__xludf.DUMMYFUNCTION("IF(OR(DC109&gt;$BS109+$BT109*$BT$2,DC109&lt;$BS109-$BT109*$BT$2),AVEDEV(ARRAYFORMULA(XLOOKUP(FILTER(INDIRECT(""'""&amp;DC$1&amp;""'!$C$4:$C$66""),INDIRECT(""'""&amp;DC$1&amp;""'!$D$4:$D$66"")=DC$2),$G$4:$BQ$4,$G109:$BQ109))),"""")"),"")</f>
        <v/>
      </c>
      <c r="DE109" s="208" t="str">
        <f t="shared" si="18"/>
        <v/>
      </c>
      <c r="DF109" s="210">
        <f>IFERROR(__xludf.DUMMYFUNCTION("AVERAGE(ARRAYFORMULA(XLOOKUP(FILTER(INDIRECT(""'""&amp;DF$1&amp;""'!$C$4:$C$66""),INDIRECT(""'""&amp;DF$1&amp;""'!$D$4:$D$66"")=DF$2),$G$4:$BQ$4,$G109:$BQ109)))"),-0.09090909090909091)</f>
        <v>-0.09090909091</v>
      </c>
      <c r="DG109" s="207" t="str">
        <f>IFERROR(__xludf.DUMMYFUNCTION("IF(OR(DF109&gt;$BS109+$BT109*$BT$2,DF109&lt;$BS109-$BT109*$BT$2),AVEDEV(ARRAYFORMULA(XLOOKUP(FILTER(INDIRECT(""'""&amp;DF$1&amp;""'!$C$4:$C$66""),INDIRECT(""'""&amp;DF$1&amp;""'!$D$4:$D$66"")=DF$2),$G$4:$BQ$4,$G109:$BQ109))),"""")"),"")</f>
        <v/>
      </c>
      <c r="DH109" s="208" t="str">
        <f t="shared" si="19"/>
        <v/>
      </c>
      <c r="DI109" s="210">
        <f>IFERROR(__xludf.DUMMYFUNCTION("AVERAGE(ARRAYFORMULA(XLOOKUP(FILTER(INDIRECT(""'""&amp;DI$1&amp;""'!$C$4:$C$66""),INDIRECT(""'""&amp;DI$1&amp;""'!$D$4:$D$66"")=DI$2),$G$4:$BQ$4,$G109:$BQ109)))"),0.0)</f>
        <v>0</v>
      </c>
      <c r="DJ109" s="207" t="str">
        <f>IFERROR(__xludf.DUMMYFUNCTION("IF(OR(DI109&gt;$BS109+$BT109*$BT$2,DI109&lt;$BS109-$BT109*$BT$2),AVEDEV(ARRAYFORMULA(XLOOKUP(FILTER(INDIRECT(""'""&amp;DI$1&amp;""'!$C$4:$C$66""),INDIRECT(""'""&amp;DI$1&amp;""'!$D$4:$D$66"")=DI$2),$G$4:$BQ$4,$G109:$BQ109))),"""")"),"")</f>
        <v/>
      </c>
      <c r="DK109" s="208" t="str">
        <f t="shared" si="20"/>
        <v/>
      </c>
      <c r="DL109" s="212">
        <f>IFERROR(__xludf.DUMMYFUNCTION("AVERAGE(ARRAYFORMULA(XLOOKUP(FILTER(INDIRECT(""'""&amp;DL$1&amp;""'!$C$4:$C$66""),INDIRECT(""'""&amp;DL$1&amp;""'!$D$4:$D$66"")=DL$2),$G$4:$BQ$4,$G109:$BQ109)))"),-0.35714285714285715)</f>
        <v>-0.3571428571</v>
      </c>
      <c r="DM109" s="207" t="str">
        <f>IFERROR(__xludf.DUMMYFUNCTION("IF(OR(DL109&gt;$BS109+$BT109*$BT$2,DL109&lt;$BS109-$BT109*$BT$2),AVEDEV(ARRAYFORMULA(XLOOKUP(FILTER(INDIRECT(""'""&amp;DL$1&amp;""'!$C$4:$C$66""),INDIRECT(""'""&amp;DL$1&amp;""'!$D$4:$D$66"")=DL$2),$G$4:$BQ$4,$G109:$BQ109))),"""")"),"")</f>
        <v/>
      </c>
      <c r="DN109" s="208" t="str">
        <f t="shared" si="21"/>
        <v/>
      </c>
      <c r="DO109" s="209" t="s">
        <v>444</v>
      </c>
      <c r="DP109" s="210">
        <f>IFERROR(__xludf.DUMMYFUNCTION("AVERAGE(ARRAYFORMULA(XLOOKUP(FILTER(INDIRECT(""'""&amp;DP$1&amp;""'!$C$4:$C$66""),INDIRECT(""'""&amp;DP$1&amp;""'!$D$4:$D$66"")=DP$2),$G$4:$BQ$4,$G109:$BQ109)))"),-0.16666666666666666)</f>
        <v>-0.1666666667</v>
      </c>
      <c r="DQ109" s="207" t="str">
        <f>IFERROR(__xludf.DUMMYFUNCTION("IF(OR(DP109&gt;$BS109+$BT109*$BT$2,DP109&lt;$BS109-$BT109*$BT$2),AVEDEV(ARRAYFORMULA(XLOOKUP(FILTER(INDIRECT(""'""&amp;DP$1&amp;""'!$C$4:$C$66""),INDIRECT(""'""&amp;DP$1&amp;""'!$D$4:$D$66"")=DP$2),$G$4:$BQ$4,$G109:$BQ109))),"""")"),"")</f>
        <v/>
      </c>
      <c r="DR109" s="208" t="str">
        <f t="shared" si="22"/>
        <v/>
      </c>
      <c r="DS109" s="210">
        <f>IFERROR(__xludf.DUMMYFUNCTION("AVERAGE(ARRAYFORMULA(XLOOKUP(FILTER(INDIRECT(""'""&amp;DS$1&amp;""'!$C$4:$C$66""),INDIRECT(""'""&amp;DS$1&amp;""'!$D$4:$D$66"")=DS$2),$G$4:$BQ$4,$G109:$BQ109)))"),-0.2222222222222222)</f>
        <v>-0.2222222222</v>
      </c>
      <c r="DT109" s="207" t="str">
        <f>IFERROR(__xludf.DUMMYFUNCTION("IF(OR(DS109&gt;$BS109+$BT109*$BT$2,DS109&lt;$BS109-$BT109*$BT$2),AVEDEV(ARRAYFORMULA(XLOOKUP(FILTER(INDIRECT(""'""&amp;DS$1&amp;""'!$C$4:$C$66""),INDIRECT(""'""&amp;DS$1&amp;""'!$D$4:$D$66"")=DS$2),$G$4:$BQ$4,$G109:$BQ109))),"""")"),"")</f>
        <v/>
      </c>
      <c r="DU109" s="208" t="str">
        <f t="shared" si="23"/>
        <v/>
      </c>
      <c r="DV109" s="210">
        <f>IFERROR(__xludf.DUMMYFUNCTION("AVERAGE(ARRAYFORMULA(XLOOKUP(FILTER(INDIRECT(""'""&amp;DV$1&amp;""'!$C$4:$C$66""),INDIRECT(""'""&amp;DV$1&amp;""'!$D$4:$D$66"")=DV$2),$G$4:$BQ$4,$G109:$BQ109)))"),-1.125)</f>
        <v>-1.125</v>
      </c>
      <c r="DW109" s="207">
        <f>IFERROR(__xludf.DUMMYFUNCTION("IF(OR(DV109&gt;$BS109+$BT109*$BT$2,DV109&lt;$BS109-$BT109*$BT$2),AVEDEV(ARRAYFORMULA(XLOOKUP(FILTER(INDIRECT(""'""&amp;DV$1&amp;""'!$C$4:$C$66""),INDIRECT(""'""&amp;DV$1&amp;""'!$D$4:$D$66"")=DV$2),$G$4:$BQ$4,$G109:$BQ109))),"""")"),1.1875)</f>
        <v>1.1875</v>
      </c>
      <c r="DX109" s="208">
        <f t="shared" si="24"/>
        <v>-0.2625661376</v>
      </c>
      <c r="DY109" s="210">
        <f>IFERROR(__xludf.DUMMYFUNCTION("AVERAGE(ARRAYFORMULA(XLOOKUP(FILTER(INDIRECT(""'""&amp;DY$1&amp;""'!$C$4:$C$66""),INDIRECT(""'""&amp;DY$1&amp;""'!$D$4:$D$66"")=DY$2),$G$4:$BQ$4,$G109:$BQ109)))"),0.0)</f>
        <v>0</v>
      </c>
      <c r="DZ109" s="207" t="str">
        <f>IFERROR(__xludf.DUMMYFUNCTION("IF(OR(DY109&gt;$BS109+$BT109*$BT$2,DY109&lt;$BS109-$BT109*$BT$2),AVEDEV(ARRAYFORMULA(XLOOKUP(FILTER(INDIRECT(""'""&amp;DY$1&amp;""'!$C$4:$C$66""),INDIRECT(""'""&amp;DY$1&amp;""'!$D$4:$D$66"")=DY$2),$G$4:$BQ$4,$G109:$BQ109))),"""")"),"")</f>
        <v/>
      </c>
      <c r="EA109" s="208" t="str">
        <f t="shared" si="25"/>
        <v/>
      </c>
      <c r="EB109" s="191"/>
    </row>
    <row r="110" outlineLevel="1">
      <c r="A110" s="2"/>
      <c r="B110" s="204">
        <v>106.0</v>
      </c>
      <c r="C110" s="204" t="s">
        <v>540</v>
      </c>
      <c r="D110" s="204" t="s">
        <v>552</v>
      </c>
      <c r="E110" s="205" t="b">
        <f>VLOOKUP(D110,'Feature Set List'!A106:C246,2,0)</f>
        <v>1</v>
      </c>
      <c r="F110" s="205" t="b">
        <f>VLOOKUP(D110,'Feature Set List'!A106:C246,3,0)</f>
        <v>1</v>
      </c>
      <c r="G110" s="205">
        <v>0.0</v>
      </c>
      <c r="H110" s="205">
        <v>0.0</v>
      </c>
      <c r="I110" s="205">
        <v>0.0</v>
      </c>
      <c r="J110" s="205">
        <v>0.0</v>
      </c>
      <c r="K110" s="205">
        <v>-1.0</v>
      </c>
      <c r="L110" s="205">
        <v>0.0</v>
      </c>
      <c r="M110" s="205">
        <v>-2.0</v>
      </c>
      <c r="N110" s="205">
        <v>0.0</v>
      </c>
      <c r="O110" s="205">
        <v>-1.0</v>
      </c>
      <c r="P110" s="205">
        <v>0.0</v>
      </c>
      <c r="Q110" s="205">
        <v>-1.0</v>
      </c>
      <c r="R110" s="205">
        <v>-1.0</v>
      </c>
      <c r="S110" s="205">
        <v>0.0</v>
      </c>
      <c r="T110" s="205">
        <v>-2.0</v>
      </c>
      <c r="U110" s="205">
        <v>-4.0</v>
      </c>
      <c r="V110" s="205">
        <v>-1.0</v>
      </c>
      <c r="W110" s="205">
        <v>0.0</v>
      </c>
      <c r="X110" s="205">
        <v>0.0</v>
      </c>
      <c r="Y110" s="205">
        <v>0.0</v>
      </c>
      <c r="Z110" s="205">
        <v>0.0</v>
      </c>
      <c r="AA110" s="205">
        <v>0.0</v>
      </c>
      <c r="AB110" s="205">
        <v>0.0</v>
      </c>
      <c r="AC110" s="205">
        <v>0.0</v>
      </c>
      <c r="AD110" s="205">
        <v>0.0</v>
      </c>
      <c r="AE110" s="205">
        <v>0.0</v>
      </c>
      <c r="AF110" s="205">
        <v>0.0</v>
      </c>
      <c r="AG110" s="205">
        <v>0.0</v>
      </c>
      <c r="AH110" s="205">
        <v>0.0</v>
      </c>
      <c r="AI110" s="205">
        <v>0.0</v>
      </c>
      <c r="AJ110" s="205">
        <v>-1.0</v>
      </c>
      <c r="AK110" s="205">
        <v>-1.0</v>
      </c>
      <c r="AL110" s="205">
        <v>0.0</v>
      </c>
      <c r="AM110" s="205">
        <v>0.0</v>
      </c>
      <c r="AN110" s="205">
        <v>-1.0</v>
      </c>
      <c r="AO110" s="205">
        <v>-3.0</v>
      </c>
      <c r="AP110" s="205">
        <v>0.0</v>
      </c>
      <c r="AQ110" s="205">
        <v>0.0</v>
      </c>
      <c r="AR110" s="205">
        <v>-2.0</v>
      </c>
      <c r="AS110" s="205">
        <v>-2.0</v>
      </c>
      <c r="AT110" s="205">
        <v>-1.0</v>
      </c>
      <c r="AU110" s="205">
        <v>-1.0</v>
      </c>
      <c r="AV110" s="205">
        <v>0.0</v>
      </c>
      <c r="AW110" s="205">
        <v>0.0</v>
      </c>
      <c r="AX110" s="205">
        <v>-1.0</v>
      </c>
      <c r="AY110" s="205">
        <v>-3.0</v>
      </c>
      <c r="AZ110" s="205">
        <v>0.0</v>
      </c>
      <c r="BA110" s="205">
        <v>0.0</v>
      </c>
      <c r="BB110" s="205">
        <v>0.0</v>
      </c>
      <c r="BC110" s="205">
        <v>0.0</v>
      </c>
      <c r="BD110" s="205">
        <v>0.0</v>
      </c>
      <c r="BE110" s="205">
        <v>0.0</v>
      </c>
      <c r="BF110" s="205">
        <v>0.0</v>
      </c>
      <c r="BG110" s="205">
        <v>0.0</v>
      </c>
      <c r="BH110" s="205">
        <v>0.0</v>
      </c>
      <c r="BI110" s="205">
        <v>0.0</v>
      </c>
      <c r="BJ110" s="205">
        <v>0.0</v>
      </c>
      <c r="BK110" s="205">
        <v>-1.0</v>
      </c>
      <c r="BL110" s="205">
        <v>-1.0</v>
      </c>
      <c r="BM110" s="205">
        <v>0.0</v>
      </c>
      <c r="BN110" s="205">
        <v>0.0</v>
      </c>
      <c r="BO110" s="205">
        <v>0.0</v>
      </c>
      <c r="BP110" s="205">
        <v>0.0</v>
      </c>
      <c r="BQ110" s="205">
        <v>0.0</v>
      </c>
      <c r="BR110" s="206"/>
      <c r="BS110" s="207">
        <f t="shared" si="6"/>
        <v>-0.4920634921</v>
      </c>
      <c r="BT110" s="207">
        <f t="shared" si="7"/>
        <v>0.6717057193</v>
      </c>
      <c r="BU110" s="206"/>
      <c r="BV110" s="207">
        <f>IFERROR(__xludf.DUMMYFUNCTION("AVERAGE(ARRAYFORMULA(XLOOKUP(FILTER(INDIRECT(""'""&amp;BV$1&amp;""'!$C$4:$C$66""),INDIRECT(""'""&amp;BV$1&amp;""'!$D$4:$D$66"")=BV$2),$G$4:$BQ$4,$G110:$BQ110)))"),-1.5714285714285714)</f>
        <v>-1.571428571</v>
      </c>
      <c r="BW110" s="207">
        <f>IFERROR(__xludf.DUMMYFUNCTION("IF(OR(BV110&gt;$BS110+$BT110*$BT$2,BV110&lt;$BS110-$BT110*$BT$2),AVEDEV(ARRAYFORMULA(XLOOKUP(FILTER(INDIRECT(""'""&amp;BV$1&amp;""'!$C$4:$C$66""),INDIRECT(""'""&amp;BV$1&amp;""'!$D$4:$D$66"")=BV$2),$G$4:$BQ$4,$G110:$BQ110))),"""")"),1.510204081632653)</f>
        <v>1.510204082</v>
      </c>
      <c r="BX110" s="208">
        <f t="shared" si="8"/>
        <v>-0.40765936</v>
      </c>
      <c r="BY110" s="207">
        <f>IFERROR(__xludf.DUMMYFUNCTION("AVERAGE(ARRAYFORMULA(XLOOKUP(FILTER(INDIRECT(""'""&amp;BY$1&amp;""'!$C$4:$C$66""),INDIRECT(""'""&amp;BY$1&amp;""'!$D$4:$D$66"")=BY$2),$G$4:$BQ$4,$G110:$BQ110)))"),-0.35714285714285715)</f>
        <v>-0.3571428571</v>
      </c>
      <c r="BZ110" s="207" t="str">
        <f>IFERROR(__xludf.DUMMYFUNCTION("IF(OR(BY110&gt;$BS110+$BT110*$BT$2,BY110&lt;$BS110-$BT110*$BT$2),AVEDEV(ARRAYFORMULA(XLOOKUP(FILTER(INDIRECT(""'""&amp;BY$1&amp;""'!$C$4:$C$66""),INDIRECT(""'""&amp;BY$1&amp;""'!$D$4:$D$66"")=BY$2),$G$4:$BQ$4,$G110:$BQ110))),"""")"),"")</f>
        <v/>
      </c>
      <c r="CA110" s="208" t="str">
        <f t="shared" si="9"/>
        <v/>
      </c>
      <c r="CB110" s="207">
        <f>IFERROR(__xludf.DUMMYFUNCTION("AVERAGE(ARRAYFORMULA(XLOOKUP(FILTER(INDIRECT(""'""&amp;CB$1&amp;""'!$C$4:$C$66""),INDIRECT(""'""&amp;CB$1&amp;""'!$D$4:$D$66"")=CB$2),$G$4:$BQ$4,$G110:$BQ110)))"),-0.36363636363636365)</f>
        <v>-0.3636363636</v>
      </c>
      <c r="CC110" s="207" t="str">
        <f>IFERROR(__xludf.DUMMYFUNCTION("IF(OR(CB110&gt;$BS110+$BT110*$BT$2,CB110&lt;$BS110-$BT110*$BT$2),AVEDEV(ARRAYFORMULA(XLOOKUP(FILTER(INDIRECT(""'""&amp;CB$1&amp;""'!$C$4:$C$66""),INDIRECT(""'""&amp;CB$1&amp;""'!$D$4:$D$66"")=CB$2),$G$4:$BQ$4,$G110:$BQ110))),"""")"),"")</f>
        <v/>
      </c>
      <c r="CD110" s="208" t="str">
        <f t="shared" si="10"/>
        <v/>
      </c>
      <c r="CE110" s="209" t="s">
        <v>444</v>
      </c>
      <c r="CF110" s="207">
        <f>IFERROR(__xludf.DUMMYFUNCTION("AVERAGE(ARRAYFORMULA(XLOOKUP(FILTER(INDIRECT(""'""&amp;CF$1&amp;""'!$C$4:$C$66""),INDIRECT(""'""&amp;CF$1&amp;""'!$D$4:$D$66"")=CF$2),$G$4:$BQ$4,$G110:$BQ110)))"),-0.5)</f>
        <v>-0.5</v>
      </c>
      <c r="CG110" s="207" t="str">
        <f>IFERROR(__xludf.DUMMYFUNCTION("IF(OR(CF110&gt;$BS110+$BT110*$BT$2,CF110&lt;$BS110-$BT110*$BT$2),AVEDEV(ARRAYFORMULA(XLOOKUP(FILTER(INDIRECT(""'""&amp;CF$1&amp;""'!$C$4:$C$66""),INDIRECT(""'""&amp;CF$1&amp;""'!$D$4:$D$66"")=CF$2),$G$4:$BQ$4,$G110:$BQ110))),"""")"),"")</f>
        <v/>
      </c>
      <c r="CH110" s="208" t="str">
        <f t="shared" si="11"/>
        <v/>
      </c>
      <c r="CI110" s="207">
        <f>IFERROR(__xludf.DUMMYFUNCTION("AVERAGE(ARRAYFORMULA(XLOOKUP(FILTER(INDIRECT(""'""&amp;CI$1&amp;""'!$C$4:$C$66""),INDIRECT(""'""&amp;CI$1&amp;""'!$D$4:$D$66"")=CI$2),$G$4:$BQ$4,$G110:$BQ110)))"),-0.3548387096774194)</f>
        <v>-0.3548387097</v>
      </c>
      <c r="CJ110" s="207" t="str">
        <f>IFERROR(__xludf.DUMMYFUNCTION("IF(OR(CI110&gt;$BS110+$BT110*$BT$2,CI110&lt;$BS110-$BT110*$BT$2),AVEDEV(ARRAYFORMULA(XLOOKUP(FILTER(INDIRECT(""'""&amp;CI$1&amp;""'!$C$4:$C$66""),INDIRECT(""'""&amp;CI$1&amp;""'!$D$4:$D$66"")=CI$2),$G$4:$BQ$4,$G110:$BQ110))),"""")"),"")</f>
        <v/>
      </c>
      <c r="CK110" s="208" t="str">
        <f t="shared" si="12"/>
        <v/>
      </c>
      <c r="CL110" s="207">
        <f>IFERROR(__xludf.DUMMYFUNCTION("AVERAGE(ARRAYFORMULA(XLOOKUP(FILTER(INDIRECT(""'""&amp;CL$1&amp;""'!$C$4:$C$66""),INDIRECT(""'""&amp;CL$1&amp;""'!$D$4:$D$66"")=CL$2),$G$4:$BQ$4,$G110:$BQ110)))"),-0.8)</f>
        <v>-0.8</v>
      </c>
      <c r="CM110" s="207" t="str">
        <f>IFERROR(__xludf.DUMMYFUNCTION("IF(OR(CL110&gt;$BS110+$BT110*$BT$2,CL110&lt;$BS110-$BT110*$BT$2),AVEDEV(ARRAYFORMULA(XLOOKUP(FILTER(INDIRECT(""'""&amp;CL$1&amp;""'!$C$4:$C$66""),INDIRECT(""'""&amp;CL$1&amp;""'!$D$4:$D$66"")=CL$2),$G$4:$BQ$4,$G110:$BQ110))),"""")"),"")</f>
        <v/>
      </c>
      <c r="CN110" s="208" t="str">
        <f t="shared" si="13"/>
        <v/>
      </c>
      <c r="CO110" s="209" t="s">
        <v>444</v>
      </c>
      <c r="CP110" s="210">
        <f>IFERROR(__xludf.DUMMYFUNCTION("AVERAGE(ARRAYFORMULA(XLOOKUP(FILTER(INDIRECT(""'""&amp;CP$1&amp;""'!$C$4:$C$66""),INDIRECT(""'""&amp;CP$1&amp;""'!$D$4:$D$66"")=CP$2),$G$4:$BQ$4,$G110:$BQ110)))"),-0.3333333333333333)</f>
        <v>-0.3333333333</v>
      </c>
      <c r="CQ110" s="207" t="str">
        <f>IFERROR(__xludf.DUMMYFUNCTION("IF(OR(CP110&gt;$BS110+$BT110*$BT$2,CP110&lt;$BS110-$BT110*$BT$2),AVEDEV(ARRAYFORMULA(XLOOKUP(FILTER(INDIRECT(""'""&amp;CP$1&amp;""'!$C$4:$C$66""),INDIRECT(""'""&amp;CP$1&amp;""'!$D$4:$D$66"")=CP$2),$G$4:$BQ$4,$G110:$BQ110))),"""")"),"")</f>
        <v/>
      </c>
      <c r="CR110" s="208" t="str">
        <f t="shared" si="14"/>
        <v/>
      </c>
      <c r="CS110" s="210">
        <f>IFERROR(__xludf.DUMMYFUNCTION("AVERAGE(ARRAYFORMULA(XLOOKUP(FILTER(INDIRECT(""'""&amp;CS$1&amp;""'!$C$4:$C$66""),INDIRECT(""'""&amp;CS$1&amp;""'!$D$4:$D$66"")=CS$2),$G$4:$BQ$4,$G110:$BQ110)))"),-0.5128205128205128)</f>
        <v>-0.5128205128</v>
      </c>
      <c r="CT110" s="207" t="str">
        <f>IFERROR(__xludf.DUMMYFUNCTION("IF(OR(CS110&gt;$BS110+$BT110*$BT$2,CS110&lt;$BS110-$BT110*$BT$2),AVEDEV(ARRAYFORMULA(XLOOKUP(FILTER(INDIRECT(""'""&amp;CS$1&amp;""'!$C$4:$C$66""),INDIRECT(""'""&amp;CS$1&amp;""'!$D$4:$D$66"")=CS$2),$G$4:$BQ$4,$G110:$BQ110))),"""")"),"")</f>
        <v/>
      </c>
      <c r="CU110" s="208" t="str">
        <f t="shared" si="15"/>
        <v/>
      </c>
      <c r="CV110" s="210">
        <f>IFERROR(__xludf.DUMMYFUNCTION("AVERAGE(ARRAYFORMULA(XLOOKUP(FILTER(INDIRECT(""'""&amp;CV$1&amp;""'!$C$4:$C$66""),INDIRECT(""'""&amp;CV$1&amp;""'!$D$4:$D$66"")=CV$2),$G$4:$BQ$4,$G110:$BQ110)))"),-0.8)</f>
        <v>-0.8</v>
      </c>
      <c r="CW110" s="207" t="str">
        <f>IFERROR(__xludf.DUMMYFUNCTION("IF(OR(CV110&gt;$BS110+$BT110*$BT$2,CV110&lt;$BS110-$BT110*$BT$2),AVEDEV(ARRAYFORMULA(XLOOKUP(FILTER(INDIRECT(""'""&amp;CV$1&amp;""'!$C$4:$C$66""),INDIRECT(""'""&amp;CV$1&amp;""'!$D$4:$D$66"")=CV$2),$G$4:$BQ$4,$G110:$BQ110))),"""")"),"")</f>
        <v/>
      </c>
      <c r="CX110" s="208" t="str">
        <f t="shared" si="16"/>
        <v/>
      </c>
      <c r="CY110" s="209" t="s">
        <v>444</v>
      </c>
      <c r="CZ110" s="210">
        <f>IFERROR(__xludf.DUMMYFUNCTION("AVERAGE(ARRAYFORMULA(XLOOKUP(FILTER(INDIRECT(""'""&amp;CZ$1&amp;""'!$C$4:$C$66""),INDIRECT(""'""&amp;CZ$1&amp;""'!$D$4:$D$66"")=CZ$2),$G$4:$BQ$4,$G110:$BQ110)))"),-0.21428571428571427)</f>
        <v>-0.2142857143</v>
      </c>
      <c r="DA110" s="207" t="str">
        <f>IFERROR(__xludf.DUMMYFUNCTION("IF(OR(CZ110&gt;$BS110+$BT110*$BT$2,CZ110&lt;$BS110-$BT110*$BT$2),AVEDEV(ARRAYFORMULA(XLOOKUP(FILTER(INDIRECT(""'""&amp;CZ$1&amp;""'!$C$4:$C$66""),INDIRECT(""'""&amp;CZ$1&amp;""'!$D$4:$D$66"")=CZ$2),$G$4:$BQ$4,$G110:$BQ110))),"""")"),"")</f>
        <v/>
      </c>
      <c r="DB110" s="208" t="str">
        <f t="shared" si="17"/>
        <v/>
      </c>
      <c r="DC110" s="210">
        <f>IFERROR(__xludf.DUMMYFUNCTION("AVERAGE(ARRAYFORMULA(XLOOKUP(FILTER(INDIRECT(""'""&amp;DC$1&amp;""'!$C$4:$C$66""),INDIRECT(""'""&amp;DC$1&amp;""'!$D$4:$D$66"")=DC$2),$G$4:$BQ$4,$G110:$BQ110)))"),-0.4444444444444444)</f>
        <v>-0.4444444444</v>
      </c>
      <c r="DD110" s="207" t="str">
        <f>IFERROR(__xludf.DUMMYFUNCTION("IF(OR(DC110&gt;$BS110+$BT110*$BT$2,DC110&lt;$BS110-$BT110*$BT$2),AVEDEV(ARRAYFORMULA(XLOOKUP(FILTER(INDIRECT(""'""&amp;DC$1&amp;""'!$C$4:$C$66""),INDIRECT(""'""&amp;DC$1&amp;""'!$D$4:$D$66"")=DC$2),$G$4:$BQ$4,$G110:$BQ110))),"""")"),"")</f>
        <v/>
      </c>
      <c r="DE110" s="208" t="str">
        <f t="shared" si="18"/>
        <v/>
      </c>
      <c r="DF110" s="210">
        <f>IFERROR(__xludf.DUMMYFUNCTION("AVERAGE(ARRAYFORMULA(XLOOKUP(FILTER(INDIRECT(""'""&amp;DF$1&amp;""'!$C$4:$C$66""),INDIRECT(""'""&amp;DF$1&amp;""'!$D$4:$D$66"")=DF$2),$G$4:$BQ$4,$G110:$BQ110)))"),-0.09090909090909091)</f>
        <v>-0.09090909091</v>
      </c>
      <c r="DG110" s="207" t="str">
        <f>IFERROR(__xludf.DUMMYFUNCTION("IF(OR(DF110&gt;$BS110+$BT110*$BT$2,DF110&lt;$BS110-$BT110*$BT$2),AVEDEV(ARRAYFORMULA(XLOOKUP(FILTER(INDIRECT(""'""&amp;DF$1&amp;""'!$C$4:$C$66""),INDIRECT(""'""&amp;DF$1&amp;""'!$D$4:$D$66"")=DF$2),$G$4:$BQ$4,$G110:$BQ110))),"""")"),"")</f>
        <v/>
      </c>
      <c r="DH110" s="208" t="str">
        <f t="shared" si="19"/>
        <v/>
      </c>
      <c r="DI110" s="210">
        <f>IFERROR(__xludf.DUMMYFUNCTION("AVERAGE(ARRAYFORMULA(XLOOKUP(FILTER(INDIRECT(""'""&amp;DI$1&amp;""'!$C$4:$C$66""),INDIRECT(""'""&amp;DI$1&amp;""'!$D$4:$D$66"")=DI$2),$G$4:$BQ$4,$G110:$BQ110)))"),0.0)</f>
        <v>0</v>
      </c>
      <c r="DJ110" s="207" t="str">
        <f>IFERROR(__xludf.DUMMYFUNCTION("IF(OR(DI110&gt;$BS110+$BT110*$BT$2,DI110&lt;$BS110-$BT110*$BT$2),AVEDEV(ARRAYFORMULA(XLOOKUP(FILTER(INDIRECT(""'""&amp;DI$1&amp;""'!$C$4:$C$66""),INDIRECT(""'""&amp;DI$1&amp;""'!$D$4:$D$66"")=DI$2),$G$4:$BQ$4,$G110:$BQ110))),"""")"),"")</f>
        <v/>
      </c>
      <c r="DK110" s="208" t="str">
        <f t="shared" si="20"/>
        <v/>
      </c>
      <c r="DL110" s="210">
        <f>IFERROR(__xludf.DUMMYFUNCTION("AVERAGE(ARRAYFORMULA(XLOOKUP(FILTER(INDIRECT(""'""&amp;DL$1&amp;""'!$C$4:$C$66""),INDIRECT(""'""&amp;DL$1&amp;""'!$D$4:$D$66"")=DL$2),$G$4:$BQ$4,$G110:$BQ110)))"),-0.5714285714285714)</f>
        <v>-0.5714285714</v>
      </c>
      <c r="DM110" s="207" t="str">
        <f>IFERROR(__xludf.DUMMYFUNCTION("IF(OR(DL110&gt;$BS110+$BT110*$BT$2,DL110&lt;$BS110-$BT110*$BT$2),AVEDEV(ARRAYFORMULA(XLOOKUP(FILTER(INDIRECT(""'""&amp;DL$1&amp;""'!$C$4:$C$66""),INDIRECT(""'""&amp;DL$1&amp;""'!$D$4:$D$66"")=DL$2),$G$4:$BQ$4,$G110:$BQ110))),"""")"),"")</f>
        <v/>
      </c>
      <c r="DN110" s="208" t="str">
        <f t="shared" si="21"/>
        <v/>
      </c>
      <c r="DO110" s="209" t="s">
        <v>444</v>
      </c>
      <c r="DP110" s="210">
        <f>IFERROR(__xludf.DUMMYFUNCTION("AVERAGE(ARRAYFORMULA(XLOOKUP(FILTER(INDIRECT(""'""&amp;DP$1&amp;""'!$C$4:$C$66""),INDIRECT(""'""&amp;DP$1&amp;""'!$D$4:$D$66"")=DP$2),$G$4:$BQ$4,$G110:$BQ110)))"),-0.26666666666666666)</f>
        <v>-0.2666666667</v>
      </c>
      <c r="DQ110" s="207" t="str">
        <f>IFERROR(__xludf.DUMMYFUNCTION("IF(OR(DP110&gt;$BS110+$BT110*$BT$2,DP110&lt;$BS110-$BT110*$BT$2),AVEDEV(ARRAYFORMULA(XLOOKUP(FILTER(INDIRECT(""'""&amp;DP$1&amp;""'!$C$4:$C$66""),INDIRECT(""'""&amp;DP$1&amp;""'!$D$4:$D$66"")=DP$2),$G$4:$BQ$4,$G110:$BQ110))),"""")"),"")</f>
        <v/>
      </c>
      <c r="DR110" s="208" t="str">
        <f t="shared" si="22"/>
        <v/>
      </c>
      <c r="DS110" s="210">
        <f>IFERROR(__xludf.DUMMYFUNCTION("AVERAGE(ARRAYFORMULA(XLOOKUP(FILTER(INDIRECT(""'""&amp;DS$1&amp;""'!$C$4:$C$66""),INDIRECT(""'""&amp;DS$1&amp;""'!$D$4:$D$66"")=DS$2),$G$4:$BQ$4,$G110:$BQ110)))"),-0.4444444444444444)</f>
        <v>-0.4444444444</v>
      </c>
      <c r="DT110" s="207" t="str">
        <f>IFERROR(__xludf.DUMMYFUNCTION("IF(OR(DS110&gt;$BS110+$BT110*$BT$2,DS110&lt;$BS110-$BT110*$BT$2),AVEDEV(ARRAYFORMULA(XLOOKUP(FILTER(INDIRECT(""'""&amp;DS$1&amp;""'!$C$4:$C$66""),INDIRECT(""'""&amp;DS$1&amp;""'!$D$4:$D$66"")=DS$2),$G$4:$BQ$4,$G110:$BQ110))),"""")"),"")</f>
        <v/>
      </c>
      <c r="DU110" s="208" t="str">
        <f t="shared" si="23"/>
        <v/>
      </c>
      <c r="DV110" s="210">
        <f>IFERROR(__xludf.DUMMYFUNCTION("AVERAGE(ARRAYFORMULA(XLOOKUP(FILTER(INDIRECT(""'""&amp;DV$1&amp;""'!$C$4:$C$66""),INDIRECT(""'""&amp;DV$1&amp;""'!$D$4:$D$66"")=DV$2),$G$4:$BQ$4,$G110:$BQ110)))"),-1.25)</f>
        <v>-1.25</v>
      </c>
      <c r="DW110" s="207">
        <f>IFERROR(__xludf.DUMMYFUNCTION("IF(OR(DV110&gt;$BS110+$BT110*$BT$2,DV110&lt;$BS110-$BT110*$BT$2),AVEDEV(ARRAYFORMULA(XLOOKUP(FILTER(INDIRECT(""'""&amp;DV$1&amp;""'!$C$4:$C$66""),INDIRECT(""'""&amp;DV$1&amp;""'!$D$4:$D$66"")=DV$2),$G$4:$BQ$4,$G110:$BQ110))),"""")"),1.125)</f>
        <v>1.125</v>
      </c>
      <c r="DX110" s="208">
        <f t="shared" si="24"/>
        <v>-0.08623078861</v>
      </c>
      <c r="DY110" s="210">
        <f>IFERROR(__xludf.DUMMYFUNCTION("AVERAGE(ARRAYFORMULA(XLOOKUP(FILTER(INDIRECT(""'""&amp;DY$1&amp;""'!$C$4:$C$66""),INDIRECT(""'""&amp;DY$1&amp;""'!$D$4:$D$66"")=DY$2),$G$4:$BQ$4,$G110:$BQ110)))"),-0.2222222222222222)</f>
        <v>-0.2222222222</v>
      </c>
      <c r="DZ110" s="207" t="str">
        <f>IFERROR(__xludf.DUMMYFUNCTION("IF(OR(DY110&gt;$BS110+$BT110*$BT$2,DY110&lt;$BS110-$BT110*$BT$2),AVEDEV(ARRAYFORMULA(XLOOKUP(FILTER(INDIRECT(""'""&amp;DY$1&amp;""'!$C$4:$C$66""),INDIRECT(""'""&amp;DY$1&amp;""'!$D$4:$D$66"")=DY$2),$G$4:$BQ$4,$G110:$BQ110))),"""")"),"")</f>
        <v/>
      </c>
      <c r="EA110" s="208" t="str">
        <f t="shared" si="25"/>
        <v/>
      </c>
      <c r="EB110" s="191"/>
    </row>
    <row r="111" outlineLevel="1">
      <c r="A111" s="2"/>
      <c r="B111" s="204">
        <v>107.0</v>
      </c>
      <c r="C111" s="204" t="s">
        <v>540</v>
      </c>
      <c r="D111" s="204" t="s">
        <v>553</v>
      </c>
      <c r="E111" s="205" t="b">
        <f>VLOOKUP(D111,'Feature Set List'!A107:C246,2,0)</f>
        <v>1</v>
      </c>
      <c r="F111" s="205" t="b">
        <f>VLOOKUP(D111,'Feature Set List'!A107:C246,3,0)</f>
        <v>1</v>
      </c>
      <c r="G111" s="205">
        <v>0.0</v>
      </c>
      <c r="H111" s="205">
        <v>0.0</v>
      </c>
      <c r="I111" s="205">
        <v>0.0</v>
      </c>
      <c r="J111" s="205">
        <v>1.0</v>
      </c>
      <c r="K111" s="205">
        <v>1.0</v>
      </c>
      <c r="L111" s="205">
        <v>1.0</v>
      </c>
      <c r="M111" s="205">
        <v>1.0</v>
      </c>
      <c r="N111" s="205">
        <v>1.0</v>
      </c>
      <c r="O111" s="205">
        <v>1.0</v>
      </c>
      <c r="P111" s="205">
        <v>1.0</v>
      </c>
      <c r="Q111" s="205">
        <v>1.0</v>
      </c>
      <c r="R111" s="205">
        <v>1.0</v>
      </c>
      <c r="S111" s="205">
        <v>1.0</v>
      </c>
      <c r="T111" s="205">
        <v>0.0</v>
      </c>
      <c r="U111" s="205">
        <v>0.0</v>
      </c>
      <c r="V111" s="205">
        <v>0.0</v>
      </c>
      <c r="W111" s="205">
        <v>0.0</v>
      </c>
      <c r="X111" s="205">
        <v>1.0</v>
      </c>
      <c r="Y111" s="205">
        <v>-1.0</v>
      </c>
      <c r="Z111" s="205">
        <v>-1.0</v>
      </c>
      <c r="AA111" s="205">
        <v>0.0</v>
      </c>
      <c r="AB111" s="205">
        <v>0.0</v>
      </c>
      <c r="AC111" s="205">
        <v>0.0</v>
      </c>
      <c r="AD111" s="205">
        <v>-1.0</v>
      </c>
      <c r="AE111" s="205">
        <v>0.0</v>
      </c>
      <c r="AF111" s="205">
        <v>0.0</v>
      </c>
      <c r="AG111" s="205">
        <v>-1.0</v>
      </c>
      <c r="AH111" s="205">
        <v>0.0</v>
      </c>
      <c r="AI111" s="205">
        <v>1.0</v>
      </c>
      <c r="AJ111" s="205">
        <v>0.0</v>
      </c>
      <c r="AK111" s="205">
        <v>0.0</v>
      </c>
      <c r="AL111" s="205">
        <v>0.0</v>
      </c>
      <c r="AM111" s="205">
        <v>-1.0</v>
      </c>
      <c r="AN111" s="205">
        <v>-1.0</v>
      </c>
      <c r="AO111" s="205">
        <v>0.0</v>
      </c>
      <c r="AP111" s="205">
        <v>-1.0</v>
      </c>
      <c r="AQ111" s="205">
        <v>-1.0</v>
      </c>
      <c r="AR111" s="205">
        <v>0.0</v>
      </c>
      <c r="AS111" s="205">
        <v>1.0</v>
      </c>
      <c r="AT111" s="205">
        <v>0.0</v>
      </c>
      <c r="AU111" s="205">
        <v>0.0</v>
      </c>
      <c r="AV111" s="205">
        <v>0.0</v>
      </c>
      <c r="AW111" s="205">
        <v>0.0</v>
      </c>
      <c r="AX111" s="205">
        <v>0.0</v>
      </c>
      <c r="AY111" s="205">
        <v>0.0</v>
      </c>
      <c r="AZ111" s="205">
        <v>0.0</v>
      </c>
      <c r="BA111" s="205">
        <v>1.0</v>
      </c>
      <c r="BB111" s="205">
        <v>1.0</v>
      </c>
      <c r="BC111" s="205">
        <v>1.0</v>
      </c>
      <c r="BD111" s="205">
        <v>-1.0</v>
      </c>
      <c r="BE111" s="205">
        <v>-1.0</v>
      </c>
      <c r="BF111" s="205">
        <v>0.0</v>
      </c>
      <c r="BG111" s="205">
        <v>0.0</v>
      </c>
      <c r="BH111" s="205">
        <v>-1.0</v>
      </c>
      <c r="BI111" s="205">
        <v>0.0</v>
      </c>
      <c r="BJ111" s="205">
        <v>0.0</v>
      </c>
      <c r="BK111" s="205">
        <v>1.0</v>
      </c>
      <c r="BL111" s="205">
        <v>0.0</v>
      </c>
      <c r="BM111" s="205">
        <v>0.0</v>
      </c>
      <c r="BN111" s="205">
        <v>-1.0</v>
      </c>
      <c r="BO111" s="205">
        <v>0.0</v>
      </c>
      <c r="BP111" s="205">
        <v>-1.0</v>
      </c>
      <c r="BQ111" s="205">
        <v>0.0</v>
      </c>
      <c r="BR111" s="206"/>
      <c r="BS111" s="207">
        <f t="shared" si="6"/>
        <v>0.06349206349</v>
      </c>
      <c r="BT111" s="207">
        <f t="shared" si="7"/>
        <v>0.5054169816</v>
      </c>
      <c r="BU111" s="206"/>
      <c r="BV111" s="207">
        <f>IFERROR(__xludf.DUMMYFUNCTION("AVERAGE(ARRAYFORMULA(XLOOKUP(FILTER(INDIRECT(""'""&amp;BV$1&amp;""'!$C$4:$C$66""),INDIRECT(""'""&amp;BV$1&amp;""'!$D$4:$D$66"")=BV$2),$G$4:$BQ$4,$G111:$BQ111)))"),0.14285714285714285)</f>
        <v>0.1428571429</v>
      </c>
      <c r="BW111" s="207" t="str">
        <f>IFERROR(__xludf.DUMMYFUNCTION("IF(OR(BV111&gt;$BS111+$BT111*$BT$2,BV111&lt;$BS111-$BT111*$BT$2),AVEDEV(ARRAYFORMULA(XLOOKUP(FILTER(INDIRECT(""'""&amp;BV$1&amp;""'!$C$4:$C$66""),INDIRECT(""'""&amp;BV$1&amp;""'!$D$4:$D$66"")=BV$2),$G$4:$BQ$4,$G111:$BQ111))),"""")"),"")</f>
        <v/>
      </c>
      <c r="BX111" s="208" t="str">
        <f t="shared" si="8"/>
        <v/>
      </c>
      <c r="BY111" s="207">
        <f>IFERROR(__xludf.DUMMYFUNCTION("AVERAGE(ARRAYFORMULA(XLOOKUP(FILTER(INDIRECT(""'""&amp;BY$1&amp;""'!$C$4:$C$66""),INDIRECT(""'""&amp;BY$1&amp;""'!$D$4:$D$66"")=BY$2),$G$4:$BQ$4,$G111:$BQ111)))"),0.023809523809523808)</f>
        <v>0.02380952381</v>
      </c>
      <c r="BZ111" s="207" t="str">
        <f>IFERROR(__xludf.DUMMYFUNCTION("IF(OR(BY111&gt;$BS111+$BT111*$BT$2,BY111&lt;$BS111-$BT111*$BT$2),AVEDEV(ARRAYFORMULA(XLOOKUP(FILTER(INDIRECT(""'""&amp;BY$1&amp;""'!$C$4:$C$66""),INDIRECT(""'""&amp;BY$1&amp;""'!$D$4:$D$66"")=BY$2),$G$4:$BQ$4,$G111:$BQ111))),"""")"),"")</f>
        <v/>
      </c>
      <c r="CA111" s="208" t="str">
        <f t="shared" si="9"/>
        <v/>
      </c>
      <c r="CB111" s="207">
        <f>IFERROR(__xludf.DUMMYFUNCTION("AVERAGE(ARRAYFORMULA(XLOOKUP(FILTER(INDIRECT(""'""&amp;CB$1&amp;""'!$C$4:$C$66""),INDIRECT(""'""&amp;CB$1&amp;""'!$D$4:$D$66"")=CB$2),$G$4:$BQ$4,$G111:$BQ111)))"),0.2727272727272727)</f>
        <v>0.2727272727</v>
      </c>
      <c r="CC111" s="207" t="str">
        <f>IFERROR(__xludf.DUMMYFUNCTION("IF(OR(CB111&gt;$BS111+$BT111*$BT$2,CB111&lt;$BS111-$BT111*$BT$2),AVEDEV(ARRAYFORMULA(XLOOKUP(FILTER(INDIRECT(""'""&amp;CB$1&amp;""'!$C$4:$C$66""),INDIRECT(""'""&amp;CB$1&amp;""'!$D$4:$D$66"")=CB$2),$G$4:$BQ$4,$G111:$BQ111))),"""")"),"")</f>
        <v/>
      </c>
      <c r="CD111" s="208" t="str">
        <f t="shared" si="10"/>
        <v/>
      </c>
      <c r="CE111" s="209" t="s">
        <v>444</v>
      </c>
      <c r="CF111" s="207">
        <f>IFERROR(__xludf.DUMMYFUNCTION("AVERAGE(ARRAYFORMULA(XLOOKUP(FILTER(INDIRECT(""'""&amp;CF$1&amp;""'!$C$4:$C$66""),INDIRECT(""'""&amp;CF$1&amp;""'!$D$4:$D$66"")=CF$2),$G$4:$BQ$4,$G111:$BQ111)))"),0.125)</f>
        <v>0.125</v>
      </c>
      <c r="CG111" s="207" t="str">
        <f>IFERROR(__xludf.DUMMYFUNCTION("IF(OR(CF111&gt;$BS111+$BT111*$BT$2,CF111&lt;$BS111-$BT111*$BT$2),AVEDEV(ARRAYFORMULA(XLOOKUP(FILTER(INDIRECT(""'""&amp;CF$1&amp;""'!$C$4:$C$66""),INDIRECT(""'""&amp;CF$1&amp;""'!$D$4:$D$66"")=CF$2),$G$4:$BQ$4,$G111:$BQ111))),"""")"),"")</f>
        <v/>
      </c>
      <c r="CH111" s="208" t="str">
        <f t="shared" si="11"/>
        <v/>
      </c>
      <c r="CI111" s="207">
        <f>IFERROR(__xludf.DUMMYFUNCTION("AVERAGE(ARRAYFORMULA(XLOOKUP(FILTER(INDIRECT(""'""&amp;CI$1&amp;""'!$C$4:$C$66""),INDIRECT(""'""&amp;CI$1&amp;""'!$D$4:$D$66"")=CI$2),$G$4:$BQ$4,$G111:$BQ111)))"),-0.03225806451612903)</f>
        <v>-0.03225806452</v>
      </c>
      <c r="CJ111" s="207" t="str">
        <f>IFERROR(__xludf.DUMMYFUNCTION("IF(OR(CI111&gt;$BS111+$BT111*$BT$2,CI111&lt;$BS111-$BT111*$BT$2),AVEDEV(ARRAYFORMULA(XLOOKUP(FILTER(INDIRECT(""'""&amp;CI$1&amp;""'!$C$4:$C$66""),INDIRECT(""'""&amp;CI$1&amp;""'!$D$4:$D$66"")=CI$2),$G$4:$BQ$4,$G111:$BQ111))),"""")"),"")</f>
        <v/>
      </c>
      <c r="CK111" s="208" t="str">
        <f t="shared" si="12"/>
        <v/>
      </c>
      <c r="CL111" s="207">
        <f>IFERROR(__xludf.DUMMYFUNCTION("AVERAGE(ARRAYFORMULA(XLOOKUP(FILTER(INDIRECT(""'""&amp;CL$1&amp;""'!$C$4:$C$66""),INDIRECT(""'""&amp;CL$1&amp;""'!$D$4:$D$66"")=CL$2),$G$4:$BQ$4,$G111:$BQ111)))"),0.6)</f>
        <v>0.6</v>
      </c>
      <c r="CM111" s="207">
        <f>IFERROR(__xludf.DUMMYFUNCTION("IF(OR(CL111&gt;$BS111+$BT111*$BT$2,CL111&lt;$BS111-$BT111*$BT$2),AVEDEV(ARRAYFORMULA(XLOOKUP(FILTER(INDIRECT(""'""&amp;CL$1&amp;""'!$C$4:$C$66""),INDIRECT(""'""&amp;CL$1&amp;""'!$D$4:$D$66"")=CL$2),$G$4:$BQ$4,$G111:$BQ111))),"""")"),0.4800000000000001)</f>
        <v>0.48</v>
      </c>
      <c r="CN111" s="208">
        <f t="shared" si="13"/>
        <v>0.0310909549</v>
      </c>
      <c r="CO111" s="209" t="s">
        <v>444</v>
      </c>
      <c r="CP111" s="210">
        <f>IFERROR(__xludf.DUMMYFUNCTION("AVERAGE(ARRAYFORMULA(XLOOKUP(FILTER(INDIRECT(""'""&amp;CP$1&amp;""'!$C$4:$C$66""),INDIRECT(""'""&amp;CP$1&amp;""'!$D$4:$D$66"")=CP$2),$G$4:$BQ$4,$G111:$BQ111)))"),0.06666666666666667)</f>
        <v>0.06666666667</v>
      </c>
      <c r="CQ111" s="207" t="str">
        <f>IFERROR(__xludf.DUMMYFUNCTION("IF(OR(CP111&gt;$BS111+$BT111*$BT$2,CP111&lt;$BS111-$BT111*$BT$2),AVEDEV(ARRAYFORMULA(XLOOKUP(FILTER(INDIRECT(""'""&amp;CP$1&amp;""'!$C$4:$C$66""),INDIRECT(""'""&amp;CP$1&amp;""'!$D$4:$D$66"")=CP$2),$G$4:$BQ$4,$G111:$BQ111))),"""")"),"")</f>
        <v/>
      </c>
      <c r="CR111" s="208" t="str">
        <f t="shared" si="14"/>
        <v/>
      </c>
      <c r="CS111" s="210">
        <f>IFERROR(__xludf.DUMMYFUNCTION("AVERAGE(ARRAYFORMULA(XLOOKUP(FILTER(INDIRECT(""'""&amp;CS$1&amp;""'!$C$4:$C$66""),INDIRECT(""'""&amp;CS$1&amp;""'!$D$4:$D$66"")=CS$2),$G$4:$BQ$4,$G111:$BQ111)))"),0.02564102564102564)</f>
        <v>0.02564102564</v>
      </c>
      <c r="CT111" s="207" t="str">
        <f>IFERROR(__xludf.DUMMYFUNCTION("IF(OR(CS111&gt;$BS111+$BT111*$BT$2,CS111&lt;$BS111-$BT111*$BT$2),AVEDEV(ARRAYFORMULA(XLOOKUP(FILTER(INDIRECT(""'""&amp;CS$1&amp;""'!$C$4:$C$66""),INDIRECT(""'""&amp;CS$1&amp;""'!$D$4:$D$66"")=CS$2),$G$4:$BQ$4,$G111:$BQ111))),"""")"),"")</f>
        <v/>
      </c>
      <c r="CU111" s="208" t="str">
        <f t="shared" si="15"/>
        <v/>
      </c>
      <c r="CV111" s="210">
        <f>IFERROR(__xludf.DUMMYFUNCTION("AVERAGE(ARRAYFORMULA(XLOOKUP(FILTER(INDIRECT(""'""&amp;CV$1&amp;""'!$C$4:$C$66""),INDIRECT(""'""&amp;CV$1&amp;""'!$D$4:$D$66"")=CV$2),$G$4:$BQ$4,$G111:$BQ111)))"),0.6)</f>
        <v>0.6</v>
      </c>
      <c r="CW111" s="207">
        <f>IFERROR(__xludf.DUMMYFUNCTION("IF(OR(CV111&gt;$BS111+$BT111*$BT$2,CV111&lt;$BS111-$BT111*$BT$2),AVEDEV(ARRAYFORMULA(XLOOKUP(FILTER(INDIRECT(""'""&amp;CV$1&amp;""'!$C$4:$C$66""),INDIRECT(""'""&amp;CV$1&amp;""'!$D$4:$D$66"")=CV$2),$G$4:$BQ$4,$G111:$BQ111))),"""")"),0.4800000000000001)</f>
        <v>0.48</v>
      </c>
      <c r="CX111" s="208">
        <f t="shared" si="16"/>
        <v>0.0310909549</v>
      </c>
      <c r="CY111" s="209" t="s">
        <v>444</v>
      </c>
      <c r="CZ111" s="210">
        <f>IFERROR(__xludf.DUMMYFUNCTION("AVERAGE(ARRAYFORMULA(XLOOKUP(FILTER(INDIRECT(""'""&amp;CZ$1&amp;""'!$C$4:$C$66""),INDIRECT(""'""&amp;CZ$1&amp;""'!$D$4:$D$66"")=CZ$2),$G$4:$BQ$4,$G111:$BQ111)))"),0.07142857142857142)</f>
        <v>0.07142857143</v>
      </c>
      <c r="DA111" s="207" t="str">
        <f>IFERROR(__xludf.DUMMYFUNCTION("IF(OR(CZ111&gt;$BS111+$BT111*$BT$2,CZ111&lt;$BS111-$BT111*$BT$2),AVEDEV(ARRAYFORMULA(XLOOKUP(FILTER(INDIRECT(""'""&amp;CZ$1&amp;""'!$C$4:$C$66""),INDIRECT(""'""&amp;CZ$1&amp;""'!$D$4:$D$66"")=CZ$2),$G$4:$BQ$4,$G111:$BQ111))),"""")"),"")</f>
        <v/>
      </c>
      <c r="DB111" s="208" t="str">
        <f t="shared" si="17"/>
        <v/>
      </c>
      <c r="DC111" s="210">
        <f>IFERROR(__xludf.DUMMYFUNCTION("AVERAGE(ARRAYFORMULA(XLOOKUP(FILTER(INDIRECT(""'""&amp;DC$1&amp;""'!$C$4:$C$66""),INDIRECT(""'""&amp;DC$1&amp;""'!$D$4:$D$66"")=DC$2),$G$4:$BQ$4,$G111:$BQ111)))"),0.3333333333333333)</f>
        <v>0.3333333333</v>
      </c>
      <c r="DD111" s="207" t="str">
        <f>IFERROR(__xludf.DUMMYFUNCTION("IF(OR(DC111&gt;$BS111+$BT111*$BT$2,DC111&lt;$BS111-$BT111*$BT$2),AVEDEV(ARRAYFORMULA(XLOOKUP(FILTER(INDIRECT(""'""&amp;DC$1&amp;""'!$C$4:$C$66""),INDIRECT(""'""&amp;DC$1&amp;""'!$D$4:$D$66"")=DC$2),$G$4:$BQ$4,$G111:$BQ111))),"""")"),"")</f>
        <v/>
      </c>
      <c r="DE111" s="208" t="str">
        <f t="shared" si="18"/>
        <v/>
      </c>
      <c r="DF111" s="210">
        <f>IFERROR(__xludf.DUMMYFUNCTION("AVERAGE(ARRAYFORMULA(XLOOKUP(FILTER(INDIRECT(""'""&amp;DF$1&amp;""'!$C$4:$C$66""),INDIRECT(""'""&amp;DF$1&amp;""'!$D$4:$D$66"")=DF$2),$G$4:$BQ$4,$G111:$BQ111)))"),0.0)</f>
        <v>0</v>
      </c>
      <c r="DG111" s="207" t="str">
        <f>IFERROR(__xludf.DUMMYFUNCTION("IF(OR(DF111&gt;$BS111+$BT111*$BT$2,DF111&lt;$BS111-$BT111*$BT$2),AVEDEV(ARRAYFORMULA(XLOOKUP(FILTER(INDIRECT(""'""&amp;DF$1&amp;""'!$C$4:$C$66""),INDIRECT(""'""&amp;DF$1&amp;""'!$D$4:$D$66"")=DF$2),$G$4:$BQ$4,$G111:$BQ111))),"""")"),"")</f>
        <v/>
      </c>
      <c r="DH111" s="208" t="str">
        <f t="shared" si="19"/>
        <v/>
      </c>
      <c r="DI111" s="210">
        <f>IFERROR(__xludf.DUMMYFUNCTION("AVERAGE(ARRAYFORMULA(XLOOKUP(FILTER(INDIRECT(""'""&amp;DI$1&amp;""'!$C$4:$C$66""),INDIRECT(""'""&amp;DI$1&amp;""'!$D$4:$D$66"")=DI$2),$G$4:$BQ$4,$G111:$BQ111)))"),-1.0)</f>
        <v>-1</v>
      </c>
      <c r="DJ111" s="207">
        <f>IFERROR(__xludf.DUMMYFUNCTION("IF(OR(DI111&gt;$BS111+$BT111*$BT$2,DI111&lt;$BS111-$BT111*$BT$2),AVEDEV(ARRAYFORMULA(XLOOKUP(FILTER(INDIRECT(""'""&amp;DI$1&amp;""'!$C$4:$C$66""),INDIRECT(""'""&amp;DI$1&amp;""'!$D$4:$D$66"")=DI$2),$G$4:$BQ$4,$G111:$BQ111))),"""")"),0.0)</f>
        <v>0</v>
      </c>
      <c r="DK111" s="208">
        <f t="shared" si="20"/>
        <v>-0.5580750819</v>
      </c>
      <c r="DL111" s="210">
        <f>IFERROR(__xludf.DUMMYFUNCTION("AVERAGE(ARRAYFORMULA(XLOOKUP(FILTER(INDIRECT(""'""&amp;DL$1&amp;""'!$C$4:$C$66""),INDIRECT(""'""&amp;DL$1&amp;""'!$D$4:$D$66"")=DL$2),$G$4:$BQ$4,$G111:$BQ111)))"),0.0)</f>
        <v>0</v>
      </c>
      <c r="DM111" s="207" t="str">
        <f>IFERROR(__xludf.DUMMYFUNCTION("IF(OR(DL111&gt;$BS111+$BT111*$BT$2,DL111&lt;$BS111-$BT111*$BT$2),AVEDEV(ARRAYFORMULA(XLOOKUP(FILTER(INDIRECT(""'""&amp;DL$1&amp;""'!$C$4:$C$66""),INDIRECT(""'""&amp;DL$1&amp;""'!$D$4:$D$66"")=DL$2),$G$4:$BQ$4,$G111:$BQ111))),"""")"),"")</f>
        <v/>
      </c>
      <c r="DN111" s="208" t="str">
        <f t="shared" si="21"/>
        <v/>
      </c>
      <c r="DO111" s="209" t="s">
        <v>444</v>
      </c>
      <c r="DP111" s="210">
        <f>IFERROR(__xludf.DUMMYFUNCTION("AVERAGE(ARRAYFORMULA(XLOOKUP(FILTER(INDIRECT(""'""&amp;DP$1&amp;""'!$C$4:$C$66""),INDIRECT(""'""&amp;DP$1&amp;""'!$D$4:$D$66"")=DP$2),$G$4:$BQ$4,$G111:$BQ111)))"),0.03333333333333333)</f>
        <v>0.03333333333</v>
      </c>
      <c r="DQ111" s="207" t="str">
        <f>IFERROR(__xludf.DUMMYFUNCTION("IF(OR(DP111&gt;$BS111+$BT111*$BT$2,DP111&lt;$BS111-$BT111*$BT$2),AVEDEV(ARRAYFORMULA(XLOOKUP(FILTER(INDIRECT(""'""&amp;DP$1&amp;""'!$C$4:$C$66""),INDIRECT(""'""&amp;DP$1&amp;""'!$D$4:$D$66"")=DP$2),$G$4:$BQ$4,$G111:$BQ111))),"""")"),"")</f>
        <v/>
      </c>
      <c r="DR111" s="208" t="str">
        <f t="shared" si="22"/>
        <v/>
      </c>
      <c r="DS111" s="210">
        <f>IFERROR(__xludf.DUMMYFUNCTION("AVERAGE(ARRAYFORMULA(XLOOKUP(FILTER(INDIRECT(""'""&amp;DS$1&amp;""'!$C$4:$C$66""),INDIRECT(""'""&amp;DS$1&amp;""'!$D$4:$D$66"")=DS$2),$G$4:$BQ$4,$G111:$BQ111)))"),0.4444444444444444)</f>
        <v>0.4444444444</v>
      </c>
      <c r="DT111" s="207" t="str">
        <f>IFERROR(__xludf.DUMMYFUNCTION("IF(OR(DS111&gt;$BS111+$BT111*$BT$2,DS111&lt;$BS111-$BT111*$BT$2),AVEDEV(ARRAYFORMULA(XLOOKUP(FILTER(INDIRECT(""'""&amp;DS$1&amp;""'!$C$4:$C$66""),INDIRECT(""'""&amp;DS$1&amp;""'!$D$4:$D$66"")=DS$2),$G$4:$BQ$4,$G111:$BQ111))),"""")"),"")</f>
        <v/>
      </c>
      <c r="DU111" s="208" t="str">
        <f t="shared" si="23"/>
        <v/>
      </c>
      <c r="DV111" s="210">
        <f>IFERROR(__xludf.DUMMYFUNCTION("AVERAGE(ARRAYFORMULA(XLOOKUP(FILTER(INDIRECT(""'""&amp;DV$1&amp;""'!$C$4:$C$66""),INDIRECT(""'""&amp;DV$1&amp;""'!$D$4:$D$66"")=DV$2),$G$4:$BQ$4,$G111:$BQ111)))"),0.375)</f>
        <v>0.375</v>
      </c>
      <c r="DW111" s="207" t="str">
        <f>IFERROR(__xludf.DUMMYFUNCTION("IF(OR(DV111&gt;$BS111+$BT111*$BT$2,DV111&lt;$BS111-$BT111*$BT$2),AVEDEV(ARRAYFORMULA(XLOOKUP(FILTER(INDIRECT(""'""&amp;DV$1&amp;""'!$C$4:$C$66""),INDIRECT(""'""&amp;DV$1&amp;""'!$D$4:$D$66"")=DV$2),$G$4:$BQ$4,$G111:$BQ111))),"""")"),"")</f>
        <v/>
      </c>
      <c r="DX111" s="208" t="str">
        <f t="shared" si="24"/>
        <v/>
      </c>
      <c r="DY111" s="210">
        <f>IFERROR(__xludf.DUMMYFUNCTION("AVERAGE(ARRAYFORMULA(XLOOKUP(FILTER(INDIRECT(""'""&amp;DY$1&amp;""'!$C$4:$C$66""),INDIRECT(""'""&amp;DY$1&amp;""'!$D$4:$D$66"")=DY$2),$G$4:$BQ$4,$G111:$BQ111)))"),-0.4444444444444444)</f>
        <v>-0.4444444444</v>
      </c>
      <c r="DZ111" s="207">
        <f>IFERROR(__xludf.DUMMYFUNCTION("IF(OR(DY111&gt;$BS111+$BT111*$BT$2,DY111&lt;$BS111-$BT111*$BT$2),AVEDEV(ARRAYFORMULA(XLOOKUP(FILTER(INDIRECT(""'""&amp;DY$1&amp;""'!$C$4:$C$66""),INDIRECT(""'""&amp;DY$1&amp;""'!$D$4:$D$66"")=DY$2),$G$4:$BQ$4,$G111:$BQ111))),"""")"),0.6172839506172839)</f>
        <v>0.6172839506</v>
      </c>
      <c r="EA111" s="208">
        <f t="shared" si="25"/>
        <v>-0.002519526329</v>
      </c>
      <c r="EB111" s="191"/>
    </row>
    <row r="112" outlineLevel="1">
      <c r="A112" s="2"/>
      <c r="B112" s="204">
        <v>108.0</v>
      </c>
      <c r="C112" s="204" t="s">
        <v>540</v>
      </c>
      <c r="D112" s="204" t="s">
        <v>554</v>
      </c>
      <c r="E112" s="205" t="b">
        <f>VLOOKUP(D112,'Feature Set List'!A108:C246,2,0)</f>
        <v>1</v>
      </c>
      <c r="F112" s="205" t="b">
        <f>VLOOKUP(D112,'Feature Set List'!A108:C246,3,0)</f>
        <v>1</v>
      </c>
      <c r="G112" s="205">
        <v>0.43879361</v>
      </c>
      <c r="H112" s="205">
        <v>0.12832643</v>
      </c>
      <c r="I112" s="205">
        <v>1.07037256</v>
      </c>
      <c r="J112" s="205">
        <v>-0.6664695</v>
      </c>
      <c r="K112" s="205">
        <v>-0.1655825</v>
      </c>
      <c r="L112" s="205">
        <v>0.21348315</v>
      </c>
      <c r="M112" s="205">
        <v>-0.5996452</v>
      </c>
      <c r="N112" s="205">
        <v>-0.0479007</v>
      </c>
      <c r="O112" s="205">
        <v>0.16913069</v>
      </c>
      <c r="P112" s="205">
        <v>0.35304554</v>
      </c>
      <c r="Q112" s="205">
        <v>-0.8187463</v>
      </c>
      <c r="R112" s="205">
        <v>0.16351271</v>
      </c>
      <c r="S112" s="205">
        <v>0.37049083</v>
      </c>
      <c r="T112" s="205">
        <v>0.0</v>
      </c>
      <c r="U112" s="205">
        <v>0.88409225</v>
      </c>
      <c r="V112" s="205">
        <v>-1.1948551</v>
      </c>
      <c r="W112" s="205">
        <v>0.41691307</v>
      </c>
      <c r="X112" s="205">
        <v>-0.5943229</v>
      </c>
      <c r="Y112" s="205">
        <v>0.43435837</v>
      </c>
      <c r="Z112" s="205">
        <v>-1.4382614</v>
      </c>
      <c r="AA112" s="205">
        <v>-0.2060911</v>
      </c>
      <c r="AB112" s="205">
        <v>1.02927262</v>
      </c>
      <c r="AC112" s="205">
        <v>0.39000591</v>
      </c>
      <c r="AD112" s="205">
        <v>-1.2879066</v>
      </c>
      <c r="AE112" s="205">
        <v>-0.614725</v>
      </c>
      <c r="AF112" s="205">
        <v>-0.1774098</v>
      </c>
      <c r="AG112" s="205">
        <v>-1.4036665</v>
      </c>
      <c r="AH112" s="205">
        <v>0.11709048</v>
      </c>
      <c r="AI112" s="205">
        <v>-0.1505027</v>
      </c>
      <c r="AJ112" s="205">
        <v>1.25221762</v>
      </c>
      <c r="AK112" s="205">
        <v>-1.0487877</v>
      </c>
      <c r="AL112" s="205">
        <v>-0.0697812</v>
      </c>
      <c r="AM112" s="205">
        <v>0.66321703</v>
      </c>
      <c r="AN112" s="205">
        <v>0.05174453</v>
      </c>
      <c r="AO112" s="205">
        <v>0.8397398</v>
      </c>
      <c r="AP112" s="205">
        <v>-1.2905973</v>
      </c>
      <c r="AQ112" s="205">
        <v>-1.2224423</v>
      </c>
      <c r="AR112" s="205">
        <v>-1.2548788</v>
      </c>
      <c r="AS112" s="205">
        <v>0.3187463</v>
      </c>
      <c r="AT112" s="205">
        <v>0.24778238</v>
      </c>
      <c r="AU112" s="205">
        <v>-0.9062685</v>
      </c>
      <c r="AV112" s="205">
        <v>0.87344766</v>
      </c>
      <c r="AW112" s="205">
        <v>-0.2918391</v>
      </c>
      <c r="AX112" s="205">
        <v>-1.096984</v>
      </c>
      <c r="AY112" s="205">
        <v>0.3746304</v>
      </c>
      <c r="AZ112" s="205">
        <v>0.55322295</v>
      </c>
      <c r="BA112" s="205">
        <v>0.19810763</v>
      </c>
      <c r="BB112" s="205">
        <v>-0.1635127</v>
      </c>
      <c r="BC112" s="205">
        <v>-0.1428149</v>
      </c>
      <c r="BD112" s="205">
        <v>0.62418687</v>
      </c>
      <c r="BE112" s="205">
        <v>0.7909521</v>
      </c>
      <c r="BF112" s="205">
        <v>0.12773507</v>
      </c>
      <c r="BG112" s="205">
        <v>0.76788882</v>
      </c>
      <c r="BH112" s="205">
        <v>-1.3306919</v>
      </c>
      <c r="BI112" s="205">
        <v>-0.4908338</v>
      </c>
      <c r="BJ112" s="205">
        <v>0.36073329</v>
      </c>
      <c r="BK112" s="205">
        <v>-0.5079834</v>
      </c>
      <c r="BL112" s="205">
        <v>0.94382022</v>
      </c>
      <c r="BM112" s="205">
        <v>-0.2099349</v>
      </c>
      <c r="BN112" s="205">
        <v>-0.2534004</v>
      </c>
      <c r="BO112" s="205">
        <v>0.578356</v>
      </c>
      <c r="BP112" s="205">
        <v>-0.1933767</v>
      </c>
      <c r="BQ112" s="205">
        <v>-0.5987581</v>
      </c>
      <c r="BR112" s="206"/>
      <c r="BS112" s="207">
        <f t="shared" si="6"/>
        <v>-0.07450085889</v>
      </c>
      <c r="BT112" s="207">
        <f t="shared" si="7"/>
        <v>0.5765321966</v>
      </c>
      <c r="BU112" s="206"/>
      <c r="BV112" s="207">
        <f>IFERROR(__xludf.DUMMYFUNCTION("AVERAGE(ARRAYFORMULA(XLOOKUP(FILTER(INDIRECT(""'""&amp;BV$1&amp;""'!$C$4:$C$66""),INDIRECT(""'""&amp;BV$1&amp;""'!$D$4:$D$66"")=BV$2),$G$4:$BQ$4,$G112:$BQ112)))"),0.43934273857142864)</f>
        <v>0.4393427386</v>
      </c>
      <c r="BW112" s="207" t="str">
        <f>IFERROR(__xludf.DUMMYFUNCTION("IF(OR(BV112&gt;$BS112+$BT112*$BT$2,BV112&lt;$BS112-$BT112*$BT$2),AVEDEV(ARRAYFORMULA(XLOOKUP(FILTER(INDIRECT(""'""&amp;BV$1&amp;""'!$C$4:$C$66""),INDIRECT(""'""&amp;BV$1&amp;""'!$D$4:$D$66"")=BV$2),$G$4:$BQ$4,$G112:$BQ112))),"""")"),"")</f>
        <v/>
      </c>
      <c r="BX112" s="208" t="str">
        <f t="shared" si="8"/>
        <v/>
      </c>
      <c r="BY112" s="207">
        <f>IFERROR(__xludf.DUMMYFUNCTION("AVERAGE(ARRAYFORMULA(XLOOKUP(FILTER(INDIRECT(""'""&amp;BY$1&amp;""'!$C$4:$C$66""),INDIRECT(""'""&amp;BY$1&amp;""'!$D$4:$D$66"")=BY$2),$G$4:$BQ$4,$G112:$BQ112)))"),-0.24233758642857145)</f>
        <v>-0.2423375864</v>
      </c>
      <c r="BZ112" s="207" t="str">
        <f>IFERROR(__xludf.DUMMYFUNCTION("IF(OR(BY112&gt;$BS112+$BT112*$BT$2,BY112&lt;$BS112-$BT112*$BT$2),AVEDEV(ARRAYFORMULA(XLOOKUP(FILTER(INDIRECT(""'""&amp;BY$1&amp;""'!$C$4:$C$66""),INDIRECT(""'""&amp;BY$1&amp;""'!$D$4:$D$66"")=BY$2),$G$4:$BQ$4,$G112:$BQ112))),"""")"),"")</f>
        <v/>
      </c>
      <c r="CA112" s="208" t="str">
        <f t="shared" si="9"/>
        <v/>
      </c>
      <c r="CB112" s="207">
        <f>IFERROR(__xludf.DUMMYFUNCTION("AVERAGE(ARRAYFORMULA(XLOOKUP(FILTER(INDIRECT(""'""&amp;CB$1&amp;""'!$C$4:$C$66""),INDIRECT(""'""&amp;CB$1&amp;""'!$D$4:$D$66"")=CB$2),$G$4:$BQ$4,$G112:$BQ112)))"),0.14735767454545454)</f>
        <v>0.1473576745</v>
      </c>
      <c r="CC112" s="207" t="str">
        <f>IFERROR(__xludf.DUMMYFUNCTION("IF(OR(CB112&gt;$BS112+$BT112*$BT$2,CB112&lt;$BS112-$BT112*$BT$2),AVEDEV(ARRAYFORMULA(XLOOKUP(FILTER(INDIRECT(""'""&amp;CB$1&amp;""'!$C$4:$C$66""),INDIRECT(""'""&amp;CB$1&amp;""'!$D$4:$D$66"")=CB$2),$G$4:$BQ$4,$G112:$BQ112))),"""")"),"")</f>
        <v/>
      </c>
      <c r="CD112" s="208" t="str">
        <f t="shared" si="10"/>
        <v/>
      </c>
      <c r="CE112" s="209" t="s">
        <v>444</v>
      </c>
      <c r="CF112" s="207">
        <f>IFERROR(__xludf.DUMMYFUNCTION("AVERAGE(ARRAYFORMULA(XLOOKUP(FILTER(INDIRECT(""'""&amp;CF$1&amp;""'!$C$4:$C$66""),INDIRECT(""'""&amp;CF$1&amp;""'!$D$4:$D$66"")=CF$2),$G$4:$BQ$4,$G112:$BQ112)))"),-0.429559060625)</f>
        <v>-0.4295590606</v>
      </c>
      <c r="CG112" s="207" t="str">
        <f>IFERROR(__xludf.DUMMYFUNCTION("IF(OR(CF112&gt;$BS112+$BT112*$BT$2,CF112&lt;$BS112-$BT112*$BT$2),AVEDEV(ARRAYFORMULA(XLOOKUP(FILTER(INDIRECT(""'""&amp;CF$1&amp;""'!$C$4:$C$66""),INDIRECT(""'""&amp;CF$1&amp;""'!$D$4:$D$66"")=CF$2),$G$4:$BQ$4,$G112:$BQ112))),"""")"),"")</f>
        <v/>
      </c>
      <c r="CH112" s="208" t="str">
        <f t="shared" si="11"/>
        <v/>
      </c>
      <c r="CI112" s="207">
        <f>IFERROR(__xludf.DUMMYFUNCTION("AVERAGE(ARRAYFORMULA(XLOOKUP(FILTER(INDIRECT(""'""&amp;CI$1&amp;""'!$C$4:$C$66""),INDIRECT(""'""&amp;CI$1&amp;""'!$D$4:$D$66"")=CI$2),$G$4:$BQ$4,$G112:$BQ112)))"),0.0035071809677419373)</f>
        <v>0.003507180968</v>
      </c>
      <c r="CJ112" s="207" t="str">
        <f>IFERROR(__xludf.DUMMYFUNCTION("IF(OR(CI112&gt;$BS112+$BT112*$BT$2,CI112&lt;$BS112-$BT112*$BT$2),AVEDEV(ARRAYFORMULA(XLOOKUP(FILTER(INDIRECT(""'""&amp;CI$1&amp;""'!$C$4:$C$66""),INDIRECT(""'""&amp;CI$1&amp;""'!$D$4:$D$66"")=CI$2),$G$4:$BQ$4,$G112:$BQ112))),"""")"),"")</f>
        <v/>
      </c>
      <c r="CK112" s="208" t="str">
        <f t="shared" si="12"/>
        <v/>
      </c>
      <c r="CL112" s="207">
        <f>IFERROR(__xludf.DUMMYFUNCTION("AVERAGE(ARRAYFORMULA(XLOOKUP(FILTER(INDIRECT(""'""&amp;CL$1&amp;""'!$C$4:$C$66""),INDIRECT(""'""&amp;CL$1&amp;""'!$D$4:$D$66"")=CL$2),$G$4:$BQ$4,$G112:$BQ112)))"),0.32755765800000003)</f>
        <v>0.327557658</v>
      </c>
      <c r="CM112" s="207" t="str">
        <f>IFERROR(__xludf.DUMMYFUNCTION("IF(OR(CL112&gt;$BS112+$BT112*$BT$2,CL112&lt;$BS112-$BT112*$BT$2),AVEDEV(ARRAYFORMULA(XLOOKUP(FILTER(INDIRECT(""'""&amp;CL$1&amp;""'!$C$4:$C$66""),INDIRECT(""'""&amp;CL$1&amp;""'!$D$4:$D$66"")=CL$2),$G$4:$BQ$4,$G112:$BQ112))),"""")"),"")</f>
        <v/>
      </c>
      <c r="CN112" s="208" t="str">
        <f t="shared" si="13"/>
        <v/>
      </c>
      <c r="CO112" s="209" t="s">
        <v>444</v>
      </c>
      <c r="CP112" s="210">
        <f>IFERROR(__xludf.DUMMYFUNCTION("AVERAGE(ARRAYFORMULA(XLOOKUP(FILTER(INDIRECT(""'""&amp;CP$1&amp;""'!$C$4:$C$66""),INDIRECT(""'""&amp;CP$1&amp;""'!$D$4:$D$66"")=CP$2),$G$4:$BQ$4,$G112:$BQ112)))"),0.20494776133333334)</f>
        <v>0.2049477613</v>
      </c>
      <c r="CQ112" s="207" t="str">
        <f>IFERROR(__xludf.DUMMYFUNCTION("IF(OR(CP112&gt;$BS112+$BT112*$BT$2,CP112&lt;$BS112-$BT112*$BT$2),AVEDEV(ARRAYFORMULA(XLOOKUP(FILTER(INDIRECT(""'""&amp;CP$1&amp;""'!$C$4:$C$66""),INDIRECT(""'""&amp;CP$1&amp;""'!$D$4:$D$66"")=CP$2),$G$4:$BQ$4,$G112:$BQ112))),"""")"),"")</f>
        <v/>
      </c>
      <c r="CR112" s="208" t="str">
        <f t="shared" si="14"/>
        <v/>
      </c>
      <c r="CS112" s="210">
        <f>IFERROR(__xludf.DUMMYFUNCTION("AVERAGE(ARRAYFORMULA(XLOOKUP(FILTER(INDIRECT(""'""&amp;CS$1&amp;""'!$C$4:$C$66""),INDIRECT(""'""&amp;CS$1&amp;""'!$D$4:$D$66"")=CS$2),$G$4:$BQ$4,$G112:$BQ112)))"),-0.2855812812820513)</f>
        <v>-0.2855812813</v>
      </c>
      <c r="CT112" s="207" t="str">
        <f>IFERROR(__xludf.DUMMYFUNCTION("IF(OR(CS112&gt;$BS112+$BT112*$BT$2,CS112&lt;$BS112-$BT112*$BT$2),AVEDEV(ARRAYFORMULA(XLOOKUP(FILTER(INDIRECT(""'""&amp;CS$1&amp;""'!$C$4:$C$66""),INDIRECT(""'""&amp;CS$1&amp;""'!$D$4:$D$66"")=CS$2),$G$4:$BQ$4,$G112:$BQ112))),"""")"),"")</f>
        <v/>
      </c>
      <c r="CU112" s="208" t="str">
        <f t="shared" si="15"/>
        <v/>
      </c>
      <c r="CV112" s="210">
        <f>IFERROR(__xludf.DUMMYFUNCTION("AVERAGE(ARRAYFORMULA(XLOOKUP(FILTER(INDIRECT(""'""&amp;CV$1&amp;""'!$C$4:$C$66""),INDIRECT(""'""&amp;CV$1&amp;""'!$D$4:$D$66"")=CV$2),$G$4:$BQ$4,$G112:$BQ112)))"),0.32755765800000003)</f>
        <v>0.327557658</v>
      </c>
      <c r="CW112" s="207" t="str">
        <f>IFERROR(__xludf.DUMMYFUNCTION("IF(OR(CV112&gt;$BS112+$BT112*$BT$2,CV112&lt;$BS112-$BT112*$BT$2),AVEDEV(ARRAYFORMULA(XLOOKUP(FILTER(INDIRECT(""'""&amp;CV$1&amp;""'!$C$4:$C$66""),INDIRECT(""'""&amp;CV$1&amp;""'!$D$4:$D$66"")=CV$2),$G$4:$BQ$4,$G112:$BQ112))),"""")"),"")</f>
        <v/>
      </c>
      <c r="CX112" s="208" t="str">
        <f t="shared" si="16"/>
        <v/>
      </c>
      <c r="CY112" s="209" t="s">
        <v>444</v>
      </c>
      <c r="CZ112" s="210">
        <f>IFERROR(__xludf.DUMMYFUNCTION("AVERAGE(ARRAYFORMULA(XLOOKUP(FILTER(INDIRECT(""'""&amp;CZ$1&amp;""'!$C$4:$C$66""),INDIRECT(""'""&amp;CZ$1&amp;""'!$D$4:$D$66"")=CZ$2),$G$4:$BQ$4,$G112:$BQ112)))"),-0.5895349285714284)</f>
        <v>-0.5895349286</v>
      </c>
      <c r="DA112" s="207" t="str">
        <f>IFERROR(__xludf.DUMMYFUNCTION("IF(OR(CZ112&gt;$BS112+$BT112*$BT$2,CZ112&lt;$BS112-$BT112*$BT$2),AVEDEV(ARRAYFORMULA(XLOOKUP(FILTER(INDIRECT(""'""&amp;CZ$1&amp;""'!$C$4:$C$66""),INDIRECT(""'""&amp;CZ$1&amp;""'!$D$4:$D$66"")=CZ$2),$G$4:$BQ$4,$G112:$BQ112))),"""")"),"")</f>
        <v/>
      </c>
      <c r="DB112" s="208" t="str">
        <f t="shared" si="17"/>
        <v/>
      </c>
      <c r="DC112" s="210">
        <f>IFERROR(__xludf.DUMMYFUNCTION("AVERAGE(ARRAYFORMULA(XLOOKUP(FILTER(INDIRECT(""'""&amp;DC$1&amp;""'!$C$4:$C$66""),INDIRECT(""'""&amp;DC$1&amp;""'!$D$4:$D$66"")=DC$2),$G$4:$BQ$4,$G112:$BQ112)))"),0.14196070777777778)</f>
        <v>0.1419607078</v>
      </c>
      <c r="DD112" s="207" t="str">
        <f>IFERROR(__xludf.DUMMYFUNCTION("IF(OR(DC112&gt;$BS112+$BT112*$BT$2,DC112&lt;$BS112-$BT112*$BT$2),AVEDEV(ARRAYFORMULA(XLOOKUP(FILTER(INDIRECT(""'""&amp;DC$1&amp;""'!$C$4:$C$66""),INDIRECT(""'""&amp;DC$1&amp;""'!$D$4:$D$66"")=DC$2),$G$4:$BQ$4,$G112:$BQ112))),"""")"),"")</f>
        <v/>
      </c>
      <c r="DE112" s="208" t="str">
        <f t="shared" si="18"/>
        <v/>
      </c>
      <c r="DF112" s="210">
        <f>IFERROR(__xludf.DUMMYFUNCTION("AVERAGE(ARRAYFORMULA(XLOOKUP(FILTER(INDIRECT(""'""&amp;DF$1&amp;""'!$C$4:$C$66""),INDIRECT(""'""&amp;DF$1&amp;""'!$D$4:$D$66"")=DF$2),$G$4:$BQ$4,$G112:$BQ112)))"),0.4895166890909092)</f>
        <v>0.4895166891</v>
      </c>
      <c r="DG112" s="207" t="str">
        <f>IFERROR(__xludf.DUMMYFUNCTION("IF(OR(DF112&gt;$BS112+$BT112*$BT$2,DF112&lt;$BS112-$BT112*$BT$2),AVEDEV(ARRAYFORMULA(XLOOKUP(FILTER(INDIRECT(""'""&amp;DF$1&amp;""'!$C$4:$C$66""),INDIRECT(""'""&amp;DF$1&amp;""'!$D$4:$D$66"")=DF$2),$G$4:$BQ$4,$G112:$BQ112))),"""")"),"")</f>
        <v/>
      </c>
      <c r="DH112" s="208" t="str">
        <f t="shared" si="19"/>
        <v/>
      </c>
      <c r="DI112" s="210">
        <f>IFERROR(__xludf.DUMMYFUNCTION("AVERAGE(ARRAYFORMULA(XLOOKUP(FILTER(INDIRECT(""'""&amp;DI$1&amp;""'!$C$4:$C$66""),INDIRECT(""'""&amp;DI$1&amp;""'!$D$4:$D$66"")=DI$2),$G$4:$BQ$4,$G112:$BQ112)))"),-1.30929925)</f>
        <v>-1.30929925</v>
      </c>
      <c r="DJ112" s="207">
        <f>IFERROR(__xludf.DUMMYFUNCTION("IF(OR(DI112&gt;$BS112+$BT112*$BT$2,DI112&lt;$BS112-$BT112*$BT$2),AVEDEV(ARRAYFORMULA(XLOOKUP(FILTER(INDIRECT(""'""&amp;DI$1&amp;""'!$C$4:$C$66""),INDIRECT(""'""&amp;DI$1&amp;""'!$D$4:$D$66"")=DI$2),$G$4:$BQ$4,$G112:$BQ112))),"""")"),0.021392650000000013)</f>
        <v>0.02139265</v>
      </c>
      <c r="DK112" s="208">
        <f t="shared" si="20"/>
        <v>-0.6582661945</v>
      </c>
      <c r="DL112" s="210">
        <f>IFERROR(__xludf.DUMMYFUNCTION("AVERAGE(ARRAYFORMULA(XLOOKUP(FILTER(INDIRECT(""'""&amp;DL$1&amp;""'!$C$4:$C$66""),INDIRECT(""'""&amp;DL$1&amp;""'!$D$4:$D$66"")=DL$2),$G$4:$BQ$4,$G112:$BQ112)))"),-0.3064796828571429)</f>
        <v>-0.3064796829</v>
      </c>
      <c r="DM112" s="207" t="str">
        <f>IFERROR(__xludf.DUMMYFUNCTION("IF(OR(DL112&gt;$BS112+$BT112*$BT$2,DL112&lt;$BS112-$BT112*$BT$2),AVEDEV(ARRAYFORMULA(XLOOKUP(FILTER(INDIRECT(""'""&amp;DL$1&amp;""'!$C$4:$C$66""),INDIRECT(""'""&amp;DL$1&amp;""'!$D$4:$D$66"")=DL$2),$G$4:$BQ$4,$G112:$BQ112))),"""")"),"")</f>
        <v/>
      </c>
      <c r="DN112" s="208" t="str">
        <f t="shared" si="21"/>
        <v/>
      </c>
      <c r="DO112" s="209" t="s">
        <v>444</v>
      </c>
      <c r="DP112" s="210">
        <f>IFERROR(__xludf.DUMMYFUNCTION("AVERAGE(ARRAYFORMULA(XLOOKUP(FILTER(INDIRECT(""'""&amp;DP$1&amp;""'!$C$4:$C$66""),INDIRECT(""'""&amp;DP$1&amp;""'!$D$4:$D$66"")=DP$2),$G$4:$BQ$4,$G112:$BQ112)))"),-0.3105016723333334)</f>
        <v>-0.3105016723</v>
      </c>
      <c r="DQ112" s="207" t="str">
        <f>IFERROR(__xludf.DUMMYFUNCTION("IF(OR(DP112&gt;$BS112+$BT112*$BT$2,DP112&lt;$BS112-$BT112*$BT$2),AVEDEV(ARRAYFORMULA(XLOOKUP(FILTER(INDIRECT(""'""&amp;DP$1&amp;""'!$C$4:$C$66""),INDIRECT(""'""&amp;DP$1&amp;""'!$D$4:$D$66"")=DP$2),$G$4:$BQ$4,$G112:$BQ112))),"""")"),"")</f>
        <v/>
      </c>
      <c r="DR112" s="208" t="str">
        <f t="shared" si="22"/>
        <v/>
      </c>
      <c r="DS112" s="210">
        <f>IFERROR(__xludf.DUMMYFUNCTION("AVERAGE(ARRAYFORMULA(XLOOKUP(FILTER(INDIRECT(""'""&amp;DS$1&amp;""'!$C$4:$C$66""),INDIRECT(""'""&amp;DS$1&amp;""'!$D$4:$D$66"")=DS$2),$G$4:$BQ$4,$G112:$BQ112)))"),0.18713450666666667)</f>
        <v>0.1871345067</v>
      </c>
      <c r="DT112" s="207" t="str">
        <f>IFERROR(__xludf.DUMMYFUNCTION("IF(OR(DS112&gt;$BS112+$BT112*$BT$2,DS112&lt;$BS112-$BT112*$BT$2),AVEDEV(ARRAYFORMULA(XLOOKUP(FILTER(INDIRECT(""'""&amp;DS$1&amp;""'!$C$4:$C$66""),INDIRECT(""'""&amp;DS$1&amp;""'!$D$4:$D$66"")=DS$2),$G$4:$BQ$4,$G112:$BQ112))),"""")"),"")</f>
        <v/>
      </c>
      <c r="DU112" s="208" t="str">
        <f t="shared" si="23"/>
        <v/>
      </c>
      <c r="DV112" s="210">
        <f>IFERROR(__xludf.DUMMYFUNCTION("AVERAGE(ARRAYFORMULA(XLOOKUP(FILTER(INDIRECT(""'""&amp;DV$1&amp;""'!$C$4:$C$66""),INDIRECT(""'""&amp;DV$1&amp;""'!$D$4:$D$66"")=DV$2),$G$4:$BQ$4,$G112:$BQ112)))"),0.44515079375)</f>
        <v>0.4451507938</v>
      </c>
      <c r="DW112" s="207" t="str">
        <f>IFERROR(__xludf.DUMMYFUNCTION("IF(OR(DV112&gt;$BS112+$BT112*$BT$2,DV112&lt;$BS112-$BT112*$BT$2),AVEDEV(ARRAYFORMULA(XLOOKUP(FILTER(INDIRECT(""'""&amp;DV$1&amp;""'!$C$4:$C$66""),INDIRECT(""'""&amp;DV$1&amp;""'!$D$4:$D$66"")=DV$2),$G$4:$BQ$4,$G112:$BQ112))),"""")"),"")</f>
        <v/>
      </c>
      <c r="DX112" s="208" t="str">
        <f t="shared" si="24"/>
        <v/>
      </c>
      <c r="DY112" s="210">
        <f>IFERROR(__xludf.DUMMYFUNCTION("AVERAGE(ARRAYFORMULA(XLOOKUP(FILTER(INDIRECT(""'""&amp;DY$1&amp;""'!$C$4:$C$66""),INDIRECT(""'""&amp;DY$1&amp;""'!$D$4:$D$66"")=DY$2),$G$4:$BQ$4,$G112:$BQ112)))"),-0.14961889999999997)</f>
        <v>-0.1496189</v>
      </c>
      <c r="DZ112" s="207" t="str">
        <f>IFERROR(__xludf.DUMMYFUNCTION("IF(OR(DY112&gt;$BS112+$BT112*$BT$2,DY112&lt;$BS112-$BT112*$BT$2),AVEDEV(ARRAYFORMULA(XLOOKUP(FILTER(INDIRECT(""'""&amp;DY$1&amp;""'!$C$4:$C$66""),INDIRECT(""'""&amp;DY$1&amp;""'!$D$4:$D$66"")=DY$2),$G$4:$BQ$4,$G112:$BQ112))),"""")"),"")</f>
        <v/>
      </c>
      <c r="EA112" s="208" t="str">
        <f t="shared" si="25"/>
        <v/>
      </c>
      <c r="EB112" s="191"/>
    </row>
    <row r="113" outlineLevel="1">
      <c r="A113" s="2"/>
      <c r="B113" s="204">
        <v>109.0</v>
      </c>
      <c r="C113" s="204" t="s">
        <v>540</v>
      </c>
      <c r="D113" s="204" t="s">
        <v>555</v>
      </c>
      <c r="E113" s="205" t="b">
        <f>VLOOKUP(D113,'Feature Set List'!A109:C246,2,0)</f>
        <v>1</v>
      </c>
      <c r="F113" s="205" t="b">
        <f>VLOOKUP(D113,'Feature Set List'!A109:C246,3,0)</f>
        <v>1</v>
      </c>
      <c r="G113" s="205">
        <v>0.69456553</v>
      </c>
      <c r="H113" s="205">
        <v>0.03952339</v>
      </c>
      <c r="I113" s="205">
        <v>1.20430108</v>
      </c>
      <c r="J113" s="205">
        <v>-0.4411508</v>
      </c>
      <c r="K113" s="205">
        <v>-0.8311537</v>
      </c>
      <c r="L113" s="205">
        <v>0.0</v>
      </c>
      <c r="M113" s="205">
        <v>-1.101424</v>
      </c>
      <c r="N113" s="205">
        <v>-0.2290032</v>
      </c>
      <c r="O113" s="205">
        <v>0.15286254</v>
      </c>
      <c r="P113" s="205">
        <v>0.30281895</v>
      </c>
      <c r="Q113" s="205">
        <v>-1.2874164</v>
      </c>
      <c r="R113" s="205">
        <v>0.03254868</v>
      </c>
      <c r="S113" s="205">
        <v>0.43475734</v>
      </c>
      <c r="T113" s="205">
        <v>-0.2324906</v>
      </c>
      <c r="U113" s="205">
        <v>0.83173496</v>
      </c>
      <c r="V113" s="205">
        <v>-0.1662307</v>
      </c>
      <c r="W113" s="205">
        <v>0.1871549</v>
      </c>
      <c r="X113" s="205">
        <v>0.25690206</v>
      </c>
      <c r="Y113" s="205">
        <v>-0.0848591</v>
      </c>
      <c r="Z113" s="205">
        <v>-0.3353676</v>
      </c>
      <c r="AA113" s="205">
        <v>0.49404243</v>
      </c>
      <c r="AB113" s="205">
        <v>0.90671316</v>
      </c>
      <c r="AC113" s="205">
        <v>-0.1255449</v>
      </c>
      <c r="AD113" s="205">
        <v>-0.5376344</v>
      </c>
      <c r="AE113" s="205">
        <v>0.26736414</v>
      </c>
      <c r="AF113" s="205">
        <v>-0.3963964</v>
      </c>
      <c r="AG113" s="205">
        <v>0.480093</v>
      </c>
      <c r="AH113" s="205">
        <v>-0.4318512</v>
      </c>
      <c r="AI113" s="205">
        <v>-0.5614647</v>
      </c>
      <c r="AJ113" s="205">
        <v>1.27637315</v>
      </c>
      <c r="AK113" s="205">
        <v>-1.5925603</v>
      </c>
      <c r="AL113" s="205">
        <v>-0.43127</v>
      </c>
      <c r="AM113" s="205">
        <v>0.28073235</v>
      </c>
      <c r="AN113" s="205">
        <v>-0.5213601</v>
      </c>
      <c r="AO113" s="205">
        <v>0.90787562</v>
      </c>
      <c r="AP113" s="205">
        <v>-0.3074688</v>
      </c>
      <c r="AQ113" s="205">
        <v>0.51264167</v>
      </c>
      <c r="AR113" s="205">
        <v>-1.2920663</v>
      </c>
      <c r="AS113" s="205">
        <v>0.33653008</v>
      </c>
      <c r="AT113" s="205">
        <v>0.13368207</v>
      </c>
      <c r="AU113" s="205">
        <v>-2.6742226</v>
      </c>
      <c r="AV113" s="205">
        <v>0.50566696</v>
      </c>
      <c r="AW113" s="205">
        <v>0.54925894</v>
      </c>
      <c r="AX113" s="205">
        <v>-1.5536181</v>
      </c>
      <c r="AY113" s="205">
        <v>0.63644289</v>
      </c>
      <c r="AZ113" s="205">
        <v>0.52136007</v>
      </c>
      <c r="BA113" s="205">
        <v>0.12961348</v>
      </c>
      <c r="BB113" s="205">
        <v>-0.5213601</v>
      </c>
      <c r="BC113" s="205">
        <v>-1.0607382</v>
      </c>
      <c r="BD113" s="205">
        <v>0.1034583</v>
      </c>
      <c r="BE113" s="205">
        <v>0.82417902</v>
      </c>
      <c r="BF113" s="205">
        <v>0.04301075</v>
      </c>
      <c r="BG113" s="205">
        <v>0.46091253</v>
      </c>
      <c r="BH113" s="205">
        <v>-0.1819239</v>
      </c>
      <c r="BI113" s="205">
        <v>-1.5222319</v>
      </c>
      <c r="BJ113" s="205">
        <v>-0.1313572</v>
      </c>
      <c r="BK113" s="205">
        <v>-1.273467</v>
      </c>
      <c r="BL113" s="205">
        <v>0.82766638</v>
      </c>
      <c r="BM113" s="205">
        <v>-0.628887</v>
      </c>
      <c r="BN113" s="205">
        <v>-1.1380413</v>
      </c>
      <c r="BO113" s="205">
        <v>0.70619006</v>
      </c>
      <c r="BP113" s="205">
        <v>-0.9840163</v>
      </c>
      <c r="BQ113" s="205">
        <v>-0.5573961</v>
      </c>
      <c r="BR113" s="206"/>
      <c r="BS113" s="207">
        <f t="shared" si="6"/>
        <v>-0.1284602606</v>
      </c>
      <c r="BT113" s="207">
        <f t="shared" si="7"/>
        <v>0.6094673442</v>
      </c>
      <c r="BU113" s="206"/>
      <c r="BV113" s="207">
        <f>IFERROR(__xludf.DUMMYFUNCTION("AVERAGE(ARRAYFORMULA(XLOOKUP(FILTER(INDIRECT(""'""&amp;BV$1&amp;""'!$C$4:$C$66""),INDIRECT(""'""&amp;BV$1&amp;""'!$D$4:$D$66"")=BV$2),$G$4:$BQ$4,$G113:$BQ113)))"),0.5376344042857143)</f>
        <v>0.5376344043</v>
      </c>
      <c r="BW113" s="207">
        <f>IFERROR(__xludf.DUMMYFUNCTION("IF(OR(BV113&gt;$BS113+$BT113*$BT$2,BV113&lt;$BS113-$BT113*$BT$2),AVEDEV(ARRAYFORMULA(XLOOKUP(FILTER(INDIRECT(""'""&amp;BV$1&amp;""'!$C$4:$C$66""),INDIRECT(""'""&amp;BV$1&amp;""'!$D$4:$D$66"")=BV$2),$G$4:$BQ$4,$G113:$BQ113))),"""")"),0.3827790995918367)</f>
        <v>0.3827790996</v>
      </c>
      <c r="BX113" s="208">
        <f t="shared" si="8"/>
        <v>0.05662732074</v>
      </c>
      <c r="BY113" s="207">
        <f>IFERROR(__xludf.DUMMYFUNCTION("AVERAGE(ARRAYFORMULA(XLOOKUP(FILTER(INDIRECT(""'""&amp;BY$1&amp;""'!$C$4:$C$66""),INDIRECT(""'""&amp;BY$1&amp;""'!$D$4:$D$66"")=BY$2),$G$4:$BQ$4,$G113:$BQ113)))"),-0.2352721395238095)</f>
        <v>-0.2352721395</v>
      </c>
      <c r="BZ113" s="207" t="str">
        <f>IFERROR(__xludf.DUMMYFUNCTION("IF(OR(BY113&gt;$BS113+$BT113*$BT$2,BY113&lt;$BS113-$BT113*$BT$2),AVEDEV(ARRAYFORMULA(XLOOKUP(FILTER(INDIRECT(""'""&amp;BY$1&amp;""'!$C$4:$C$66""),INDIRECT(""'""&amp;BY$1&amp;""'!$D$4:$D$66"")=BY$2),$G$4:$BQ$4,$G113:$BQ113))),"""")"),"")</f>
        <v/>
      </c>
      <c r="CA113" s="208" t="str">
        <f t="shared" si="9"/>
        <v/>
      </c>
      <c r="CB113" s="207">
        <f>IFERROR(__xludf.DUMMYFUNCTION("AVERAGE(ARRAYFORMULA(XLOOKUP(FILTER(INDIRECT(""'""&amp;CB$1&amp;""'!$C$4:$C$66""),INDIRECT(""'""&amp;CB$1&amp;""'!$D$4:$D$66"")=CB$2),$G$4:$BQ$4,$G113:$BQ113)))"),-0.055322197272727254)</f>
        <v>-0.05532219727</v>
      </c>
      <c r="CC113" s="207" t="str">
        <f>IFERROR(__xludf.DUMMYFUNCTION("IF(OR(CB113&gt;$BS113+$BT113*$BT$2,CB113&lt;$BS113-$BT113*$BT$2),AVEDEV(ARRAYFORMULA(XLOOKUP(FILTER(INDIRECT(""'""&amp;CB$1&amp;""'!$C$4:$C$66""),INDIRECT(""'""&amp;CB$1&amp;""'!$D$4:$D$66"")=CB$2),$G$4:$BQ$4,$G113:$BQ113))),"""")"),"")</f>
        <v/>
      </c>
      <c r="CD113" s="208" t="str">
        <f t="shared" si="10"/>
        <v/>
      </c>
      <c r="CE113" s="209" t="s">
        <v>444</v>
      </c>
      <c r="CF113" s="207">
        <f>IFERROR(__xludf.DUMMYFUNCTION("AVERAGE(ARRAYFORMULA(XLOOKUP(FILTER(INDIRECT(""'""&amp;CF$1&amp;""'!$C$4:$C$66""),INDIRECT(""'""&amp;CF$1&amp;""'!$D$4:$D$66"")=CF$2),$G$4:$BQ$4,$G113:$BQ113)))"),-0.11206771124999998)</f>
        <v>-0.1120677113</v>
      </c>
      <c r="CG113" s="207" t="str">
        <f>IFERROR(__xludf.DUMMYFUNCTION("IF(OR(CF113&gt;$BS113+$BT113*$BT$2,CF113&lt;$BS113-$BT113*$BT$2),AVEDEV(ARRAYFORMULA(XLOOKUP(FILTER(INDIRECT(""'""&amp;CF$1&amp;""'!$C$4:$C$66""),INDIRECT(""'""&amp;CF$1&amp;""'!$D$4:$D$66"")=CF$2),$G$4:$BQ$4,$G113:$BQ113))),"""")"),"")</f>
        <v/>
      </c>
      <c r="CH113" s="208" t="str">
        <f t="shared" si="11"/>
        <v/>
      </c>
      <c r="CI113" s="207">
        <f>IFERROR(__xludf.DUMMYFUNCTION("AVERAGE(ARRAYFORMULA(XLOOKUP(FILTER(INDIRECT(""'""&amp;CI$1&amp;""'!$C$4:$C$66""),INDIRECT(""'""&amp;CI$1&amp;""'!$D$4:$D$66"")=CI$2),$G$4:$BQ$4,$G113:$BQ113)))"),-0.18869233903225802)</f>
        <v>-0.188692339</v>
      </c>
      <c r="CJ113" s="207" t="str">
        <f>IFERROR(__xludf.DUMMYFUNCTION("IF(OR(CI113&gt;$BS113+$BT113*$BT$2,CI113&lt;$BS113-$BT113*$BT$2),AVEDEV(ARRAYFORMULA(XLOOKUP(FILTER(INDIRECT(""'""&amp;CI$1&amp;""'!$C$4:$C$66""),INDIRECT(""'""&amp;CI$1&amp;""'!$D$4:$D$66"")=CI$2),$G$4:$BQ$4,$G113:$BQ113))),"""")"),"")</f>
        <v/>
      </c>
      <c r="CK113" s="208" t="str">
        <f t="shared" si="12"/>
        <v/>
      </c>
      <c r="CL113" s="207">
        <f>IFERROR(__xludf.DUMMYFUNCTION("AVERAGE(ARRAYFORMULA(XLOOKUP(FILTER(INDIRECT(""'""&amp;CL$1&amp;""'!$C$4:$C$66""),INDIRECT(""'""&amp;CL$1&amp;""'!$D$4:$D$66"")=CL$2),$G$4:$BQ$4,$G113:$BQ113)))"),0.199476888)</f>
        <v>0.199476888</v>
      </c>
      <c r="CM113" s="207" t="str">
        <f>IFERROR(__xludf.DUMMYFUNCTION("IF(OR(CL113&gt;$BS113+$BT113*$BT$2,CL113&lt;$BS113-$BT113*$BT$2),AVEDEV(ARRAYFORMULA(XLOOKUP(FILTER(INDIRECT(""'""&amp;CL$1&amp;""'!$C$4:$C$66""),INDIRECT(""'""&amp;CL$1&amp;""'!$D$4:$D$66"")=CL$2),$G$4:$BQ$4,$G113:$BQ113))),"""")"),"")</f>
        <v/>
      </c>
      <c r="CN113" s="208" t="str">
        <f t="shared" si="13"/>
        <v/>
      </c>
      <c r="CO113" s="209" t="s">
        <v>444</v>
      </c>
      <c r="CP113" s="210">
        <f>IFERROR(__xludf.DUMMYFUNCTION("AVERAGE(ARRAYFORMULA(XLOOKUP(FILTER(INDIRECT(""'""&amp;CP$1&amp;""'!$C$4:$C$66""),INDIRECT(""'""&amp;CP$1&amp;""'!$D$4:$D$66"")=CP$2),$G$4:$BQ$4,$G113:$BQ113)))"),0.206257862)</f>
        <v>0.206257862</v>
      </c>
      <c r="CQ113" s="207" t="str">
        <f>IFERROR(__xludf.DUMMYFUNCTION("IF(OR(CP113&gt;$BS113+$BT113*$BT$2,CP113&lt;$BS113-$BT113*$BT$2),AVEDEV(ARRAYFORMULA(XLOOKUP(FILTER(INDIRECT(""'""&amp;CP$1&amp;""'!$C$4:$C$66""),INDIRECT(""'""&amp;CP$1&amp;""'!$D$4:$D$66"")=CP$2),$G$4:$BQ$4,$G113:$BQ113))),"""")"),"")</f>
        <v/>
      </c>
      <c r="CR113" s="208" t="str">
        <f t="shared" si="14"/>
        <v/>
      </c>
      <c r="CS113" s="210">
        <f>IFERROR(__xludf.DUMMYFUNCTION("AVERAGE(ARRAYFORMULA(XLOOKUP(FILTER(INDIRECT(""'""&amp;CS$1&amp;""'!$C$4:$C$66""),INDIRECT(""'""&amp;CS$1&amp;""'!$D$4:$D$66"")=CS$2),$G$4:$BQ$4,$G113:$BQ113)))"),-0.29860133205128203)</f>
        <v>-0.2986013321</v>
      </c>
      <c r="CT113" s="207" t="str">
        <f>IFERROR(__xludf.DUMMYFUNCTION("IF(OR(CS113&gt;$BS113+$BT113*$BT$2,CS113&lt;$BS113-$BT113*$BT$2),AVEDEV(ARRAYFORMULA(XLOOKUP(FILTER(INDIRECT(""'""&amp;CS$1&amp;""'!$C$4:$C$66""),INDIRECT(""'""&amp;CS$1&amp;""'!$D$4:$D$66"")=CS$2),$G$4:$BQ$4,$G113:$BQ113))),"""")"),"")</f>
        <v/>
      </c>
      <c r="CU113" s="208" t="str">
        <f t="shared" si="15"/>
        <v/>
      </c>
      <c r="CV113" s="210">
        <f>IFERROR(__xludf.DUMMYFUNCTION("AVERAGE(ARRAYFORMULA(XLOOKUP(FILTER(INDIRECT(""'""&amp;CV$1&amp;""'!$C$4:$C$66""),INDIRECT(""'""&amp;CV$1&amp;""'!$D$4:$D$66"")=CV$2),$G$4:$BQ$4,$G113:$BQ113)))"),0.199476888)</f>
        <v>0.199476888</v>
      </c>
      <c r="CW113" s="207" t="str">
        <f>IFERROR(__xludf.DUMMYFUNCTION("IF(OR(CV113&gt;$BS113+$BT113*$BT$2,CV113&lt;$BS113-$BT113*$BT$2),AVEDEV(ARRAYFORMULA(XLOOKUP(FILTER(INDIRECT(""'""&amp;CV$1&amp;""'!$C$4:$C$66""),INDIRECT(""'""&amp;CV$1&amp;""'!$D$4:$D$66"")=CV$2),$G$4:$BQ$4,$G113:$BQ113))),"""")"),"")</f>
        <v/>
      </c>
      <c r="CX113" s="208" t="str">
        <f t="shared" si="16"/>
        <v/>
      </c>
      <c r="CY113" s="209" t="s">
        <v>444</v>
      </c>
      <c r="CZ113" s="210">
        <f>IFERROR(__xludf.DUMMYFUNCTION("AVERAGE(ARRAYFORMULA(XLOOKUP(FILTER(INDIRECT(""'""&amp;CZ$1&amp;""'!$C$4:$C$66""),INDIRECT(""'""&amp;CZ$1&amp;""'!$D$4:$D$66"")=CZ$2),$G$4:$BQ$4,$G113:$BQ113)))"),-0.22219454357142854)</f>
        <v>-0.2221945436</v>
      </c>
      <c r="DA113" s="207" t="str">
        <f>IFERROR(__xludf.DUMMYFUNCTION("IF(OR(CZ113&gt;$BS113+$BT113*$BT$2,CZ113&lt;$BS113-$BT113*$BT$2),AVEDEV(ARRAYFORMULA(XLOOKUP(FILTER(INDIRECT(""'""&amp;CZ$1&amp;""'!$C$4:$C$66""),INDIRECT(""'""&amp;CZ$1&amp;""'!$D$4:$D$66"")=CZ$2),$G$4:$BQ$4,$G113:$BQ113))),"""")"),"")</f>
        <v/>
      </c>
      <c r="DB113" s="208" t="str">
        <f t="shared" si="17"/>
        <v/>
      </c>
      <c r="DC113" s="210">
        <f>IFERROR(__xludf.DUMMYFUNCTION("AVERAGE(ARRAYFORMULA(XLOOKUP(FILTER(INDIRECT(""'""&amp;DC$1&amp;""'!$C$4:$C$66""),INDIRECT(""'""&amp;DC$1&amp;""'!$D$4:$D$66"")=DC$2),$G$4:$BQ$4,$G113:$BQ113)))"),-0.055668582222222214)</f>
        <v>-0.05566858222</v>
      </c>
      <c r="DD113" s="207" t="str">
        <f>IFERROR(__xludf.DUMMYFUNCTION("IF(OR(DC113&gt;$BS113+$BT113*$BT$2,DC113&lt;$BS113-$BT113*$BT$2),AVEDEV(ARRAYFORMULA(XLOOKUP(FILTER(INDIRECT(""'""&amp;DC$1&amp;""'!$C$4:$C$66""),INDIRECT(""'""&amp;DC$1&amp;""'!$D$4:$D$66"")=DC$2),$G$4:$BQ$4,$G113:$BQ113))),"""")"),"")</f>
        <v/>
      </c>
      <c r="DE113" s="208" t="str">
        <f t="shared" si="18"/>
        <v/>
      </c>
      <c r="DF113" s="210">
        <f>IFERROR(__xludf.DUMMYFUNCTION("AVERAGE(ARRAYFORMULA(XLOOKUP(FILTER(INDIRECT(""'""&amp;DF$1&amp;""'!$C$4:$C$66""),INDIRECT(""'""&amp;DF$1&amp;""'!$D$4:$D$66"")=DF$2),$G$4:$BQ$4,$G113:$BQ113)))"),0.35333280636363634)</f>
        <v>0.3533328064</v>
      </c>
      <c r="DG113" s="207" t="str">
        <f>IFERROR(__xludf.DUMMYFUNCTION("IF(OR(DF113&gt;$BS113+$BT113*$BT$2,DF113&lt;$BS113-$BT113*$BT$2),AVEDEV(ARRAYFORMULA(XLOOKUP(FILTER(INDIRECT(""'""&amp;DF$1&amp;""'!$C$4:$C$66""),INDIRECT(""'""&amp;DF$1&amp;""'!$D$4:$D$66"")=DF$2),$G$4:$BQ$4,$G113:$BQ113))),"""")"),"")</f>
        <v/>
      </c>
      <c r="DH113" s="208" t="str">
        <f t="shared" si="19"/>
        <v/>
      </c>
      <c r="DI113" s="210">
        <f>IFERROR(__xludf.DUMMYFUNCTION("AVERAGE(ARRAYFORMULA(XLOOKUP(FILTER(INDIRECT(""'""&amp;DI$1&amp;""'!$C$4:$C$66""),INDIRECT(""'""&amp;DI$1&amp;""'!$D$4:$D$66"")=DI$2),$G$4:$BQ$4,$G113:$BQ113)))"),-0.35977915)</f>
        <v>-0.35977915</v>
      </c>
      <c r="DJ113" s="207" t="str">
        <f>IFERROR(__xludf.DUMMYFUNCTION("IF(OR(DI113&gt;$BS113+$BT113*$BT$2,DI113&lt;$BS113-$BT113*$BT$2),AVEDEV(ARRAYFORMULA(XLOOKUP(FILTER(INDIRECT(""'""&amp;DI$1&amp;""'!$C$4:$C$66""),INDIRECT(""'""&amp;DI$1&amp;""'!$D$4:$D$66"")=DI$2),$G$4:$BQ$4,$G113:$BQ113))),"""")"),"")</f>
        <v/>
      </c>
      <c r="DK113" s="208" t="str">
        <f t="shared" si="20"/>
        <v/>
      </c>
      <c r="DL113" s="210">
        <f>IFERROR(__xludf.DUMMYFUNCTION("AVERAGE(ARRAYFORMULA(XLOOKUP(FILTER(INDIRECT(""'""&amp;DL$1&amp;""'!$C$4:$C$66""),INDIRECT(""'""&amp;DL$1&amp;""'!$D$4:$D$66"")=DL$2),$G$4:$BQ$4,$G113:$BQ113)))"),-0.6372732235714286)</f>
        <v>-0.6372732236</v>
      </c>
      <c r="DM113" s="207" t="str">
        <f>IFERROR(__xludf.DUMMYFUNCTION("IF(OR(DL113&gt;$BS113+$BT113*$BT$2,DL113&lt;$BS113-$BT113*$BT$2),AVEDEV(ARRAYFORMULA(XLOOKUP(FILTER(INDIRECT(""'""&amp;DL$1&amp;""'!$C$4:$C$66""),INDIRECT(""'""&amp;DL$1&amp;""'!$D$4:$D$66"")=DL$2),$G$4:$BQ$4,$G113:$BQ113))),"""")"),"")</f>
        <v/>
      </c>
      <c r="DN113" s="208" t="str">
        <f t="shared" si="21"/>
        <v/>
      </c>
      <c r="DO113" s="209" t="s">
        <v>444</v>
      </c>
      <c r="DP113" s="210">
        <f>IFERROR(__xludf.DUMMYFUNCTION("AVERAGE(ARRAYFORMULA(XLOOKUP(FILTER(INDIRECT(""'""&amp;DP$1&amp;""'!$C$4:$C$66""),INDIRECT(""'""&amp;DP$1&amp;""'!$D$4:$D$66"")=DP$2),$G$4:$BQ$4,$G113:$BQ113)))"),-0.3732635856666666)</f>
        <v>-0.3732635857</v>
      </c>
      <c r="DQ113" s="207" t="str">
        <f>IFERROR(__xludf.DUMMYFUNCTION("IF(OR(DP113&gt;$BS113+$BT113*$BT$2,DP113&lt;$BS113-$BT113*$BT$2),AVEDEV(ARRAYFORMULA(XLOOKUP(FILTER(INDIRECT(""'""&amp;DP$1&amp;""'!$C$4:$C$66""),INDIRECT(""'""&amp;DP$1&amp;""'!$D$4:$D$66"")=DP$2),$G$4:$BQ$4,$G113:$BQ113))),"""")"),"")</f>
        <v/>
      </c>
      <c r="DR113" s="208" t="str">
        <f t="shared" si="22"/>
        <v/>
      </c>
      <c r="DS113" s="210">
        <f>IFERROR(__xludf.DUMMYFUNCTION("AVERAGE(ARRAYFORMULA(XLOOKUP(FILTER(INDIRECT(""'""&amp;DS$1&amp;""'!$C$4:$C$66""),INDIRECT(""'""&amp;DS$1&amp;""'!$D$4:$D$66"")=DS$2),$G$4:$BQ$4,$G113:$BQ113)))"),-0.01588686444444445)</f>
        <v>-0.01588686444</v>
      </c>
      <c r="DT113" s="207" t="str">
        <f>IFERROR(__xludf.DUMMYFUNCTION("IF(OR(DS113&gt;$BS113+$BT113*$BT$2,DS113&lt;$BS113-$BT113*$BT$2),AVEDEV(ARRAYFORMULA(XLOOKUP(FILTER(INDIRECT(""'""&amp;DS$1&amp;""'!$C$4:$C$66""),INDIRECT(""'""&amp;DS$1&amp;""'!$D$4:$D$66"")=DS$2),$G$4:$BQ$4,$G113:$BQ113))),"""")"),"")</f>
        <v/>
      </c>
      <c r="DU113" s="208" t="str">
        <f t="shared" si="23"/>
        <v/>
      </c>
      <c r="DV113" s="210">
        <f>IFERROR(__xludf.DUMMYFUNCTION("AVERAGE(ARRAYFORMULA(XLOOKUP(FILTER(INDIRECT(""'""&amp;DV$1&amp;""'!$C$4:$C$66""),INDIRECT(""'""&amp;DV$1&amp;""'!$D$4:$D$66"")=DV$2),$G$4:$BQ$4,$G113:$BQ113)))"),0.5475152575)</f>
        <v>0.5475152575</v>
      </c>
      <c r="DW113" s="207">
        <f>IFERROR(__xludf.DUMMYFUNCTION("IF(OR(DV113&gt;$BS113+$BT113*$BT$2,DV113&lt;$BS113-$BT113*$BT$2),AVEDEV(ARRAYFORMULA(XLOOKUP(FILTER(INDIRECT(""'""&amp;DV$1&amp;""'!$C$4:$C$66""),INDIRECT(""'""&amp;DV$1&amp;""'!$D$4:$D$66"")=DV$2),$G$4:$BQ$4,$G113:$BQ113))),"""")"),0.2755013068750001)</f>
        <v>0.2755013069</v>
      </c>
      <c r="DX113" s="208">
        <f t="shared" si="24"/>
        <v>0.06650817396</v>
      </c>
      <c r="DY113" s="210">
        <f>IFERROR(__xludf.DUMMYFUNCTION("AVERAGE(ARRAYFORMULA(XLOOKUP(FILTER(INDIRECT(""'""&amp;DY$1&amp;""'!$C$4:$C$66""),INDIRECT(""'""&amp;DY$1&amp;""'!$D$4:$D$66"")=DY$2),$G$4:$BQ$4,$G113:$BQ113)))"),-0.0517937411111111)</f>
        <v>-0.05179374111</v>
      </c>
      <c r="DZ113" s="207" t="str">
        <f>IFERROR(__xludf.DUMMYFUNCTION("IF(OR(DY113&gt;$BS113+$BT113*$BT$2,DY113&lt;$BS113-$BT113*$BT$2),AVEDEV(ARRAYFORMULA(XLOOKUP(FILTER(INDIRECT(""'""&amp;DY$1&amp;""'!$C$4:$C$66""),INDIRECT(""'""&amp;DY$1&amp;""'!$D$4:$D$66"")=DY$2),$G$4:$BQ$4,$G113:$BQ113))),"""")"),"")</f>
        <v/>
      </c>
      <c r="EA113" s="208" t="str">
        <f t="shared" si="25"/>
        <v/>
      </c>
      <c r="EB113" s="191"/>
    </row>
    <row r="114" outlineLevel="1">
      <c r="A114" s="2"/>
      <c r="B114" s="204">
        <v>110.0</v>
      </c>
      <c r="C114" s="204" t="s">
        <v>540</v>
      </c>
      <c r="D114" s="204" t="s">
        <v>556</v>
      </c>
      <c r="E114" s="205" t="b">
        <f>VLOOKUP(D114,'Feature Set List'!A110:C246,2,0)</f>
        <v>1</v>
      </c>
      <c r="F114" s="205" t="b">
        <f>VLOOKUP(D114,'Feature Set List'!A110:C246,3,0)</f>
        <v>1</v>
      </c>
      <c r="G114" s="205">
        <v>-0.4306513</v>
      </c>
      <c r="H114" s="205">
        <v>-0.0754023</v>
      </c>
      <c r="I114" s="205">
        <v>-0.8839847</v>
      </c>
      <c r="J114" s="205">
        <v>0.79478927</v>
      </c>
      <c r="K114" s="205">
        <v>-0.3561686</v>
      </c>
      <c r="L114" s="205">
        <v>-0.0481226</v>
      </c>
      <c r="M114" s="205">
        <v>0.89961686</v>
      </c>
      <c r="N114" s="205">
        <v>0.08582375</v>
      </c>
      <c r="O114" s="205">
        <v>0.0640613</v>
      </c>
      <c r="P114" s="205">
        <v>-0.1416092</v>
      </c>
      <c r="Q114" s="205">
        <v>0.60934866</v>
      </c>
      <c r="R114" s="205">
        <v>0.0</v>
      </c>
      <c r="S114" s="205">
        <v>-0.1964751</v>
      </c>
      <c r="T114" s="205">
        <v>0.20199234</v>
      </c>
      <c r="U114" s="205">
        <v>-0.6485824</v>
      </c>
      <c r="V114" s="205">
        <v>1.4583908</v>
      </c>
      <c r="W114" s="205">
        <v>-0.1881992</v>
      </c>
      <c r="X114" s="205">
        <v>0.82727969</v>
      </c>
      <c r="Y114" s="205">
        <v>-0.6384674</v>
      </c>
      <c r="Z114" s="205">
        <v>1.5451341</v>
      </c>
      <c r="AA114" s="205">
        <v>0.33716475</v>
      </c>
      <c r="AB114" s="205">
        <v>-0.8744828</v>
      </c>
      <c r="AC114" s="205">
        <v>-0.3362452</v>
      </c>
      <c r="AD114" s="205">
        <v>1.29318008</v>
      </c>
      <c r="AE114" s="205">
        <v>0.651341</v>
      </c>
      <c r="AF114" s="205">
        <v>0.32582375</v>
      </c>
      <c r="AG114" s="205">
        <v>1.61961686</v>
      </c>
      <c r="AH114" s="205">
        <v>0.03157088</v>
      </c>
      <c r="AI114" s="205">
        <v>0.15785441</v>
      </c>
      <c r="AJ114" s="205">
        <v>-1.0701609</v>
      </c>
      <c r="AK114" s="205">
        <v>1.20429119</v>
      </c>
      <c r="AL114" s="205">
        <v>0.12383142</v>
      </c>
      <c r="AM114" s="205">
        <v>-0.6366284</v>
      </c>
      <c r="AN114" s="205">
        <v>-0.0327969</v>
      </c>
      <c r="AO114" s="205">
        <v>-0.6479693</v>
      </c>
      <c r="AP114" s="205">
        <v>1.09333333</v>
      </c>
      <c r="AQ114" s="205">
        <v>1.47034483</v>
      </c>
      <c r="AR114" s="205">
        <v>1.32321839</v>
      </c>
      <c r="AS114" s="205">
        <v>-0.1281226</v>
      </c>
      <c r="AT114" s="205">
        <v>-0.1345594</v>
      </c>
      <c r="AU114" s="205">
        <v>0.75157088</v>
      </c>
      <c r="AV114" s="205">
        <v>-0.8704981</v>
      </c>
      <c r="AW114" s="205">
        <v>0.39203065</v>
      </c>
      <c r="AX114" s="205">
        <v>1.2662069</v>
      </c>
      <c r="AY114" s="205">
        <v>-0.1523372</v>
      </c>
      <c r="AZ114" s="205">
        <v>-0.48</v>
      </c>
      <c r="BA114" s="205">
        <v>-0.0116475</v>
      </c>
      <c r="BB114" s="205">
        <v>0.36659004</v>
      </c>
      <c r="BC114" s="205">
        <v>0.00398467</v>
      </c>
      <c r="BD114" s="205">
        <v>-0.514636</v>
      </c>
      <c r="BE114" s="205">
        <v>-0.5691954</v>
      </c>
      <c r="BF114" s="205">
        <v>-0.04659</v>
      </c>
      <c r="BG114" s="205">
        <v>-0.6381609</v>
      </c>
      <c r="BH114" s="205">
        <v>1.43478927</v>
      </c>
      <c r="BI114" s="205">
        <v>0.65624521</v>
      </c>
      <c r="BJ114" s="205">
        <v>-0.2470498</v>
      </c>
      <c r="BK114" s="205">
        <v>0.48398467</v>
      </c>
      <c r="BL114" s="205">
        <v>-0.7126437</v>
      </c>
      <c r="BM114" s="205">
        <v>0.33195402</v>
      </c>
      <c r="BN114" s="205">
        <v>-0.1336398</v>
      </c>
      <c r="BO114" s="205">
        <v>-0.5633716</v>
      </c>
      <c r="BP114" s="205">
        <v>-0.0076628</v>
      </c>
      <c r="BQ114" s="205">
        <v>0.81501916</v>
      </c>
      <c r="BR114" s="206"/>
      <c r="BS114" s="207">
        <f t="shared" si="6"/>
        <v>0.1619733656</v>
      </c>
      <c r="BT114" s="207">
        <f t="shared" si="7"/>
        <v>0.5747277004</v>
      </c>
      <c r="BU114" s="206"/>
      <c r="BV114" s="207">
        <f>IFERROR(__xludf.DUMMYFUNCTION("AVERAGE(ARRAYFORMULA(XLOOKUP(FILTER(INDIRECT(""'""&amp;BV$1&amp;""'!$C$4:$C$66""),INDIRECT(""'""&amp;BV$1&amp;""'!$D$4:$D$66"")=BV$2),$G$4:$BQ$4,$G114:$BQ114)))"),-0.21955118142857138)</f>
        <v>-0.2195511814</v>
      </c>
      <c r="BW114" s="207" t="str">
        <f>IFERROR(__xludf.DUMMYFUNCTION("IF(OR(BV114&gt;$BS114+$BT114*$BT$2,BV114&lt;$BS114-$BT114*$BT$2),AVEDEV(ARRAYFORMULA(XLOOKUP(FILTER(INDIRECT(""'""&amp;BV$1&amp;""'!$C$4:$C$66""),INDIRECT(""'""&amp;BV$1&amp;""'!$D$4:$D$66"")=BV$2),$G$4:$BQ$4,$G114:$BQ114))),"""")"),"")</f>
        <v/>
      </c>
      <c r="BX114" s="208" t="str">
        <f t="shared" si="8"/>
        <v/>
      </c>
      <c r="BY114" s="207">
        <f>IFERROR(__xludf.DUMMYFUNCTION("AVERAGE(ARRAYFORMULA(XLOOKUP(FILTER(INDIRECT(""'""&amp;BY$1&amp;""'!$C$4:$C$66""),INDIRECT(""'""&amp;BY$1&amp;""'!$D$4:$D$66"")=BY$2),$G$4:$BQ$4,$G114:$BQ114)))"),0.2992271511904762)</f>
        <v>0.2992271512</v>
      </c>
      <c r="BZ114" s="207" t="str">
        <f>IFERROR(__xludf.DUMMYFUNCTION("IF(OR(BY114&gt;$BS114+$BT114*$BT$2,BY114&lt;$BS114-$BT114*$BT$2),AVEDEV(ARRAYFORMULA(XLOOKUP(FILTER(INDIRECT(""'""&amp;BY$1&amp;""'!$C$4:$C$66""),INDIRECT(""'""&amp;BY$1&amp;""'!$D$4:$D$66"")=BY$2),$G$4:$BQ$4,$G114:$BQ114))),"""")"),"")</f>
        <v/>
      </c>
      <c r="CA114" s="208" t="str">
        <f t="shared" si="9"/>
        <v/>
      </c>
      <c r="CB114" s="207">
        <f>IFERROR(__xludf.DUMMYFUNCTION("AVERAGE(ARRAYFORMULA(XLOOKUP(FILTER(INDIRECT(""'""&amp;CB$1&amp;""'!$C$4:$C$66""),INDIRECT(""'""&amp;CB$1&amp;""'!$D$4:$D$66"")=CB$2),$G$4:$BQ$4,$G114:$BQ114)))"),-0.016300930000000016)</f>
        <v>-0.01630093</v>
      </c>
      <c r="CC114" s="207" t="str">
        <f>IFERROR(__xludf.DUMMYFUNCTION("IF(OR(CB114&gt;$BS114+$BT114*$BT$2,CB114&lt;$BS114-$BT114*$BT$2),AVEDEV(ARRAYFORMULA(XLOOKUP(FILTER(INDIRECT(""'""&amp;CB$1&amp;""'!$C$4:$C$66""),INDIRECT(""'""&amp;CB$1&amp;""'!$D$4:$D$66"")=CB$2),$G$4:$BQ$4,$G114:$BQ114))),"""")"),"")</f>
        <v/>
      </c>
      <c r="CD114" s="208" t="str">
        <f t="shared" si="10"/>
        <v/>
      </c>
      <c r="CE114" s="209" t="s">
        <v>444</v>
      </c>
      <c r="CF114" s="207">
        <f>IFERROR(__xludf.DUMMYFUNCTION("AVERAGE(ARRAYFORMULA(XLOOKUP(FILTER(INDIRECT(""'""&amp;CF$1&amp;""'!$C$4:$C$66""),INDIRECT(""'""&amp;CF$1&amp;""'!$D$4:$D$66"")=CF$2),$G$4:$BQ$4,$G114:$BQ114)))"),0.502068964375)</f>
        <v>0.5020689644</v>
      </c>
      <c r="CG114" s="207" t="str">
        <f>IFERROR(__xludf.DUMMYFUNCTION("IF(OR(CF114&gt;$BS114+$BT114*$BT$2,CF114&lt;$BS114-$BT114*$BT$2),AVEDEV(ARRAYFORMULA(XLOOKUP(FILTER(INDIRECT(""'""&amp;CF$1&amp;""'!$C$4:$C$66""),INDIRECT(""'""&amp;CF$1&amp;""'!$D$4:$D$66"")=CF$2),$G$4:$BQ$4,$G114:$BQ114))),"""")"),"")</f>
        <v/>
      </c>
      <c r="CH114" s="208" t="str">
        <f t="shared" si="11"/>
        <v/>
      </c>
      <c r="CI114" s="207">
        <f>IFERROR(__xludf.DUMMYFUNCTION("AVERAGE(ARRAYFORMULA(XLOOKUP(FILTER(INDIRECT(""'""&amp;CI$1&amp;""'!$C$4:$C$66""),INDIRECT(""'""&amp;CI$1&amp;""'!$D$4:$D$66"")=CI$2),$G$4:$BQ$4,$G114:$BQ114)))"),0.06909010258064514)</f>
        <v>0.06909010258</v>
      </c>
      <c r="CJ114" s="207" t="str">
        <f>IFERROR(__xludf.DUMMYFUNCTION("IF(OR(CI114&gt;$BS114+$BT114*$BT$2,CI114&lt;$BS114-$BT114*$BT$2),AVEDEV(ARRAYFORMULA(XLOOKUP(FILTER(INDIRECT(""'""&amp;CI$1&amp;""'!$C$4:$C$66""),INDIRECT(""'""&amp;CI$1&amp;""'!$D$4:$D$66"")=CI$2),$G$4:$BQ$4,$G114:$BQ114))),"""")"),"")</f>
        <v/>
      </c>
      <c r="CK114" s="208" t="str">
        <f t="shared" si="12"/>
        <v/>
      </c>
      <c r="CL114" s="207">
        <f>IFERROR(__xludf.DUMMYFUNCTION("AVERAGE(ARRAYFORMULA(XLOOKUP(FILTER(INDIRECT(""'""&amp;CL$1&amp;""'!$C$4:$C$66""),INDIRECT(""'""&amp;CL$1&amp;""'!$D$4:$D$66"")=CL$2),$G$4:$BQ$4,$G114:$BQ114)))"),-0.143509572)</f>
        <v>-0.143509572</v>
      </c>
      <c r="CM114" s="207" t="str">
        <f>IFERROR(__xludf.DUMMYFUNCTION("IF(OR(CL114&gt;$BS114+$BT114*$BT$2,CL114&lt;$BS114-$BT114*$BT$2),AVEDEV(ARRAYFORMULA(XLOOKUP(FILTER(INDIRECT(""'""&amp;CL$1&amp;""'!$C$4:$C$66""),INDIRECT(""'""&amp;CL$1&amp;""'!$D$4:$D$66"")=CL$2),$G$4:$BQ$4,$G114:$BQ114))),"""")"),"")</f>
        <v/>
      </c>
      <c r="CN114" s="208" t="str">
        <f t="shared" si="13"/>
        <v/>
      </c>
      <c r="CO114" s="209" t="s">
        <v>444</v>
      </c>
      <c r="CP114" s="210">
        <f>IFERROR(__xludf.DUMMYFUNCTION("AVERAGE(ARRAYFORMULA(XLOOKUP(FILTER(INDIRECT(""'""&amp;CP$1&amp;""'!$C$4:$C$66""),INDIRECT(""'""&amp;CP$1&amp;""'!$D$4:$D$66"")=CP$2),$G$4:$BQ$4,$G114:$BQ114)))"),-0.10425542466666667)</f>
        <v>-0.1042554247</v>
      </c>
      <c r="CQ114" s="207" t="str">
        <f>IFERROR(__xludf.DUMMYFUNCTION("IF(OR(CP114&gt;$BS114+$BT114*$BT$2,CP114&lt;$BS114-$BT114*$BT$2),AVEDEV(ARRAYFORMULA(XLOOKUP(FILTER(INDIRECT(""'""&amp;CP$1&amp;""'!$C$4:$C$66""),INDIRECT(""'""&amp;CP$1&amp;""'!$D$4:$D$66"")=CP$2),$G$4:$BQ$4,$G114:$BQ114))),"""")"),"")</f>
        <v/>
      </c>
      <c r="CR114" s="208" t="str">
        <f t="shared" si="14"/>
        <v/>
      </c>
      <c r="CS114" s="210">
        <f>IFERROR(__xludf.DUMMYFUNCTION("AVERAGE(ARRAYFORMULA(XLOOKUP(FILTER(INDIRECT(""'""&amp;CS$1&amp;""'!$C$4:$C$66""),INDIRECT(""'""&amp;CS$1&amp;""'!$D$4:$D$66"")=CS$2),$G$4:$BQ$4,$G114:$BQ114)))"),0.35501012256410264)</f>
        <v>0.3550101226</v>
      </c>
      <c r="CT114" s="207" t="str">
        <f>IFERROR(__xludf.DUMMYFUNCTION("IF(OR(CS114&gt;$BS114+$BT114*$BT$2,CS114&lt;$BS114-$BT114*$BT$2),AVEDEV(ARRAYFORMULA(XLOOKUP(FILTER(INDIRECT(""'""&amp;CS$1&amp;""'!$C$4:$C$66""),INDIRECT(""'""&amp;CS$1&amp;""'!$D$4:$D$66"")=CS$2),$G$4:$BQ$4,$G114:$BQ114))),"""")"),"")</f>
        <v/>
      </c>
      <c r="CU114" s="208" t="str">
        <f t="shared" si="15"/>
        <v/>
      </c>
      <c r="CV114" s="210">
        <f>IFERROR(__xludf.DUMMYFUNCTION("AVERAGE(ARRAYFORMULA(XLOOKUP(FILTER(INDIRECT(""'""&amp;CV$1&amp;""'!$C$4:$C$66""),INDIRECT(""'""&amp;CV$1&amp;""'!$D$4:$D$66"")=CV$2),$G$4:$BQ$4,$G114:$BQ114)))"),-0.143509572)</f>
        <v>-0.143509572</v>
      </c>
      <c r="CW114" s="207" t="str">
        <f>IFERROR(__xludf.DUMMYFUNCTION("IF(OR(CV114&gt;$BS114+$BT114*$BT$2,CV114&lt;$BS114-$BT114*$BT$2),AVEDEV(ARRAYFORMULA(XLOOKUP(FILTER(INDIRECT(""'""&amp;CV$1&amp;""'!$C$4:$C$66""),INDIRECT(""'""&amp;CV$1&amp;""'!$D$4:$D$66"")=CV$2),$G$4:$BQ$4,$G114:$BQ114))),"""")"),"")</f>
        <v/>
      </c>
      <c r="CX114" s="208" t="str">
        <f t="shared" si="16"/>
        <v/>
      </c>
      <c r="CY114" s="209" t="s">
        <v>444</v>
      </c>
      <c r="CZ114" s="210">
        <f>IFERROR(__xludf.DUMMYFUNCTION("AVERAGE(ARRAYFORMULA(XLOOKUP(FILTER(INDIRECT(""'""&amp;CZ$1&amp;""'!$C$4:$C$66""),INDIRECT(""'""&amp;CZ$1&amp;""'!$D$4:$D$66"")=CZ$2),$G$4:$BQ$4,$G114:$BQ114)))"),0.6724028485714285)</f>
        <v>0.6724028486</v>
      </c>
      <c r="DA114" s="207" t="str">
        <f>IFERROR(__xludf.DUMMYFUNCTION("IF(OR(CZ114&gt;$BS114+$BT114*$BT$2,CZ114&lt;$BS114-$BT114*$BT$2),AVEDEV(ARRAYFORMULA(XLOOKUP(FILTER(INDIRECT(""'""&amp;CZ$1&amp;""'!$C$4:$C$66""),INDIRECT(""'""&amp;CZ$1&amp;""'!$D$4:$D$66"")=CZ$2),$G$4:$BQ$4,$G114:$BQ114))),"""")"),"")</f>
        <v/>
      </c>
      <c r="DB114" s="208" t="str">
        <f t="shared" si="17"/>
        <v/>
      </c>
      <c r="DC114" s="210">
        <f>IFERROR(__xludf.DUMMYFUNCTION("AVERAGE(ARRAYFORMULA(XLOOKUP(FILTER(INDIRECT(""'""&amp;DC$1&amp;""'!$C$4:$C$66""),INDIRECT(""'""&amp;DC$1&amp;""'!$D$4:$D$66"")=DC$2),$G$4:$BQ$4,$G114:$BQ114)))"),-0.003473805555555567)</f>
        <v>-0.003473805556</v>
      </c>
      <c r="DD114" s="207" t="str">
        <f>IFERROR(__xludf.DUMMYFUNCTION("IF(OR(DC114&gt;$BS114+$BT114*$BT$2,DC114&lt;$BS114-$BT114*$BT$2),AVEDEV(ARRAYFORMULA(XLOOKUP(FILTER(INDIRECT(""'""&amp;DC$1&amp;""'!$C$4:$C$66""),INDIRECT(""'""&amp;DC$1&amp;""'!$D$4:$D$66"")=DC$2),$G$4:$BQ$4,$G114:$BQ114))),"""")"),"")</f>
        <v/>
      </c>
      <c r="DE114" s="208" t="str">
        <f t="shared" si="18"/>
        <v/>
      </c>
      <c r="DF114" s="210">
        <f>IFERROR(__xludf.DUMMYFUNCTION("AVERAGE(ARRAYFORMULA(XLOOKUP(FILTER(INDIRECT(""'""&amp;DF$1&amp;""'!$C$4:$C$66""),INDIRECT(""'""&amp;DF$1&amp;""'!$D$4:$D$66"")=DF$2),$G$4:$BQ$4,$G114:$BQ114)))"),-0.39651689727272726)</f>
        <v>-0.3965168973</v>
      </c>
      <c r="DG114" s="207" t="str">
        <f>IFERROR(__xludf.DUMMYFUNCTION("IF(OR(DF114&gt;$BS114+$BT114*$BT$2,DF114&lt;$BS114-$BT114*$BT$2),AVEDEV(ARRAYFORMULA(XLOOKUP(FILTER(INDIRECT(""'""&amp;DF$1&amp;""'!$C$4:$C$66""),INDIRECT(""'""&amp;DF$1&amp;""'!$D$4:$D$66"")=DF$2),$G$4:$BQ$4,$G114:$BQ114))),"""")"),"")</f>
        <v/>
      </c>
      <c r="DH114" s="208" t="str">
        <f t="shared" si="19"/>
        <v/>
      </c>
      <c r="DI114" s="210">
        <f>IFERROR(__xludf.DUMMYFUNCTION("AVERAGE(ARRAYFORMULA(XLOOKUP(FILTER(INDIRECT(""'""&amp;DI$1&amp;""'!$C$4:$C$66""),INDIRECT(""'""&amp;DI$1&amp;""'!$D$4:$D$66"")=DI$2),$G$4:$BQ$4,$G114:$BQ114)))"),1.363984675)</f>
        <v>1.363984675</v>
      </c>
      <c r="DJ114" s="207">
        <f>IFERROR(__xludf.DUMMYFUNCTION("IF(OR(DI114&gt;$BS114+$BT114*$BT$2,DI114&lt;$BS114-$BT114*$BT$2),AVEDEV(ARRAYFORMULA(XLOOKUP(FILTER(INDIRECT(""'""&amp;DI$1&amp;""'!$C$4:$C$66""),INDIRECT(""'""&amp;DI$1&amp;""'!$D$4:$D$66"")=DI$2),$G$4:$BQ$4,$G114:$BQ114))),"""")"),0.07080459500000003)</f>
        <v>0.070804595</v>
      </c>
      <c r="DK114" s="208">
        <f t="shared" si="20"/>
        <v>0.6272836091</v>
      </c>
      <c r="DL114" s="210">
        <f>IFERROR(__xludf.DUMMYFUNCTION("AVERAGE(ARRAYFORMULA(XLOOKUP(FILTER(INDIRECT(""'""&amp;DL$1&amp;""'!$C$4:$C$66""),INDIRECT(""'""&amp;DL$1&amp;""'!$D$4:$D$66"")=DL$2),$G$4:$BQ$4,$G114:$BQ114)))"),0.34227915642857143)</f>
        <v>0.3422791564</v>
      </c>
      <c r="DM114" s="207" t="str">
        <f>IFERROR(__xludf.DUMMYFUNCTION("IF(OR(DL114&gt;$BS114+$BT114*$BT$2,DL114&lt;$BS114-$BT114*$BT$2),AVEDEV(ARRAYFORMULA(XLOOKUP(FILTER(INDIRECT(""'""&amp;DL$1&amp;""'!$C$4:$C$66""),INDIRECT(""'""&amp;DL$1&amp;""'!$D$4:$D$66"")=DL$2),$G$4:$BQ$4,$G114:$BQ114))),"""")"),"")</f>
        <v/>
      </c>
      <c r="DN114" s="208" t="str">
        <f t="shared" si="21"/>
        <v/>
      </c>
      <c r="DO114" s="209" t="s">
        <v>444</v>
      </c>
      <c r="DP114" s="210">
        <f>IFERROR(__xludf.DUMMYFUNCTION("AVERAGE(ARRAYFORMULA(XLOOKUP(FILTER(INDIRECT(""'""&amp;DP$1&amp;""'!$C$4:$C$66""),INDIRECT(""'""&amp;DP$1&amp;""'!$D$4:$D$66"")=DP$2),$G$4:$BQ$4,$G114:$BQ114)))"),0.37064623500000005)</f>
        <v>0.370646235</v>
      </c>
      <c r="DQ114" s="207" t="str">
        <f>IFERROR(__xludf.DUMMYFUNCTION("IF(OR(DP114&gt;$BS114+$BT114*$BT$2,DP114&lt;$BS114-$BT114*$BT$2),AVEDEV(ARRAYFORMULA(XLOOKUP(FILTER(INDIRECT(""'""&amp;DP$1&amp;""'!$C$4:$C$66""),INDIRECT(""'""&amp;DP$1&amp;""'!$D$4:$D$66"")=DP$2),$G$4:$BQ$4,$G114:$BQ114))),"""")"),"")</f>
        <v/>
      </c>
      <c r="DR114" s="208" t="str">
        <f t="shared" si="22"/>
        <v/>
      </c>
      <c r="DS114" s="210">
        <f>IFERROR(__xludf.DUMMYFUNCTION("AVERAGE(ARRAYFORMULA(XLOOKUP(FILTER(INDIRECT(""'""&amp;DS$1&amp;""'!$C$4:$C$66""),INDIRECT(""'""&amp;DS$1&amp;""'!$D$4:$D$66"")=DS$2),$G$4:$BQ$4,$G114:$BQ114)))"),-0.028573853333333357)</f>
        <v>-0.02857385333</v>
      </c>
      <c r="DT114" s="207" t="str">
        <f>IFERROR(__xludf.DUMMYFUNCTION("IF(OR(DS114&gt;$BS114+$BT114*$BT$2,DS114&lt;$BS114-$BT114*$BT$2),AVEDEV(ARRAYFORMULA(XLOOKUP(FILTER(INDIRECT(""'""&amp;DS$1&amp;""'!$C$4:$C$66""),INDIRECT(""'""&amp;DS$1&amp;""'!$D$4:$D$66"")=DS$2),$G$4:$BQ$4,$G114:$BQ114))),"""")"),"")</f>
        <v/>
      </c>
      <c r="DU114" s="208" t="str">
        <f t="shared" si="23"/>
        <v/>
      </c>
      <c r="DV114" s="210">
        <f>IFERROR(__xludf.DUMMYFUNCTION("AVERAGE(ARRAYFORMULA(XLOOKUP(FILTER(INDIRECT(""'""&amp;DV$1&amp;""'!$C$4:$C$66""),INDIRECT(""'""&amp;DV$1&amp;""'!$D$4:$D$66"")=DV$2),$G$4:$BQ$4,$G114:$BQ114)))"),-0.26829119375)</f>
        <v>-0.2682911938</v>
      </c>
      <c r="DW114" s="207" t="str">
        <f>IFERROR(__xludf.DUMMYFUNCTION("IF(OR(DV114&gt;$BS114+$BT114*$BT$2,DV114&lt;$BS114-$BT114*$BT$2),AVEDEV(ARRAYFORMULA(XLOOKUP(FILTER(INDIRECT(""'""&amp;DV$1&amp;""'!$C$4:$C$66""),INDIRECT(""'""&amp;DV$1&amp;""'!$D$4:$D$66"")=DV$2),$G$4:$BQ$4,$G114:$BQ114))),"""")"),"")</f>
        <v/>
      </c>
      <c r="DX114" s="208" t="str">
        <f t="shared" si="24"/>
        <v/>
      </c>
      <c r="DY114" s="210">
        <f>IFERROR(__xludf.DUMMYFUNCTION("AVERAGE(ARRAYFORMULA(XLOOKUP(FILTER(INDIRECT(""'""&amp;DY$1&amp;""'!$C$4:$C$66""),INDIRECT(""'""&amp;DY$1&amp;""'!$D$4:$D$66"")=DY$2),$G$4:$BQ$4,$G114:$BQ114)))"),0.14951043888888887)</f>
        <v>0.1495104389</v>
      </c>
      <c r="DZ114" s="207" t="str">
        <f>IFERROR(__xludf.DUMMYFUNCTION("IF(OR(DY114&gt;$BS114+$BT114*$BT$2,DY114&lt;$BS114-$BT114*$BT$2),AVEDEV(ARRAYFORMULA(XLOOKUP(FILTER(INDIRECT(""'""&amp;DY$1&amp;""'!$C$4:$C$66""),INDIRECT(""'""&amp;DY$1&amp;""'!$D$4:$D$66"")=DY$2),$G$4:$BQ$4,$G114:$BQ114))),"""")"),"")</f>
        <v/>
      </c>
      <c r="EA114" s="208" t="str">
        <f t="shared" si="25"/>
        <v/>
      </c>
      <c r="EB114" s="191"/>
    </row>
    <row r="115" outlineLevel="1">
      <c r="A115" s="2"/>
      <c r="B115" s="204">
        <v>111.0</v>
      </c>
      <c r="C115" s="204" t="s">
        <v>540</v>
      </c>
      <c r="D115" s="204" t="s">
        <v>557</v>
      </c>
      <c r="E115" s="205" t="b">
        <f>VLOOKUP(D115,'Feature Set List'!A111:C246,2,0)</f>
        <v>1</v>
      </c>
      <c r="F115" s="205" t="b">
        <f>VLOOKUP(D115,'Feature Set List'!A111:C246,3,0)</f>
        <v>1</v>
      </c>
      <c r="G115" s="205">
        <v>0.12390512</v>
      </c>
      <c r="H115" s="205">
        <v>-0.185538</v>
      </c>
      <c r="I115" s="205">
        <v>-0.8729621</v>
      </c>
      <c r="J115" s="205">
        <v>0.25752829</v>
      </c>
      <c r="K115" s="205">
        <v>2.97730324</v>
      </c>
      <c r="L115" s="205">
        <v>-0.3025382</v>
      </c>
      <c r="M115" s="205">
        <v>-1.0707244</v>
      </c>
      <c r="N115" s="205">
        <v>0.41736462</v>
      </c>
      <c r="O115" s="205">
        <v>-0.0905313</v>
      </c>
      <c r="P115" s="205">
        <v>-0.756857</v>
      </c>
      <c r="Q115" s="205">
        <v>2.16021993</v>
      </c>
      <c r="R115" s="205">
        <v>-0.2664791</v>
      </c>
      <c r="S115" s="205">
        <v>-0.4884598</v>
      </c>
      <c r="T115" s="205">
        <v>0.41608593</v>
      </c>
      <c r="U115" s="205">
        <v>-0.9796049</v>
      </c>
      <c r="V115" s="205">
        <v>-0.5557189</v>
      </c>
      <c r="W115" s="205">
        <v>-0.3585449</v>
      </c>
      <c r="X115" s="205">
        <v>-0.7856275</v>
      </c>
      <c r="Y115" s="205">
        <v>1.14749696</v>
      </c>
      <c r="Z115" s="205">
        <v>0.81248002</v>
      </c>
      <c r="AA115" s="205">
        <v>-0.2749185</v>
      </c>
      <c r="AB115" s="205">
        <v>-0.4820664</v>
      </c>
      <c r="AC115" s="205">
        <v>0.23834793</v>
      </c>
      <c r="AD115" s="205">
        <v>0.40713509</v>
      </c>
      <c r="AE115" s="205">
        <v>0.13234448</v>
      </c>
      <c r="AF115" s="205">
        <v>0.75110287</v>
      </c>
      <c r="AG115" s="205">
        <v>-0.531296</v>
      </c>
      <c r="AH115" s="205">
        <v>-0.2476824</v>
      </c>
      <c r="AI115" s="205">
        <v>0.64880762</v>
      </c>
      <c r="AJ115" s="205">
        <v>-0.8729621</v>
      </c>
      <c r="AK115" s="205">
        <v>0.27159389</v>
      </c>
      <c r="AL115" s="205">
        <v>0.76900454</v>
      </c>
      <c r="AM115" s="205">
        <v>0.47874177</v>
      </c>
      <c r="AN115" s="205">
        <v>0.63090595</v>
      </c>
      <c r="AO115" s="205">
        <v>-0.5893485</v>
      </c>
      <c r="AP115" s="205">
        <v>1.39812032</v>
      </c>
      <c r="AQ115" s="205">
        <v>-0.4559811</v>
      </c>
      <c r="AR115" s="205">
        <v>0.08810178</v>
      </c>
      <c r="AS115" s="205">
        <v>-0.4343712</v>
      </c>
      <c r="AT115" s="205">
        <v>-0.1519084</v>
      </c>
      <c r="AU115" s="205">
        <v>5.03343776</v>
      </c>
      <c r="AV115" s="205">
        <v>0.32274151</v>
      </c>
      <c r="AW115" s="205">
        <v>-0.0084394</v>
      </c>
      <c r="AX115" s="205">
        <v>1.060546</v>
      </c>
      <c r="AY115" s="205">
        <v>-0.9302474</v>
      </c>
      <c r="AZ115" s="205">
        <v>-0.0318394</v>
      </c>
      <c r="BA115" s="205">
        <v>-0.5590435</v>
      </c>
      <c r="BB115" s="205">
        <v>0.22556103</v>
      </c>
      <c r="BC115" s="205">
        <v>1.16539863</v>
      </c>
      <c r="BD115" s="205">
        <v>0.21916757</v>
      </c>
      <c r="BE115" s="205">
        <v>-0.9757688</v>
      </c>
      <c r="BF115" s="205">
        <v>0.06892142</v>
      </c>
      <c r="BG115" s="205">
        <v>-0.0343968</v>
      </c>
      <c r="BH115" s="205">
        <v>0.0</v>
      </c>
      <c r="BI115" s="205">
        <v>1.70244869</v>
      </c>
      <c r="BJ115" s="205">
        <v>0.1264625</v>
      </c>
      <c r="BK115" s="205">
        <v>1.02346397</v>
      </c>
      <c r="BL115" s="205">
        <v>-1.0228758</v>
      </c>
      <c r="BM115" s="205">
        <v>-0.0359312</v>
      </c>
      <c r="BN115" s="205">
        <v>3.09110671</v>
      </c>
      <c r="BO115" s="205">
        <v>-0.0756985</v>
      </c>
      <c r="BP115" s="205">
        <v>1.62316987</v>
      </c>
      <c r="BQ115" s="205">
        <v>-0.3121284</v>
      </c>
      <c r="BR115" s="206"/>
      <c r="BS115" s="207">
        <f t="shared" si="6"/>
        <v>0.2388654938</v>
      </c>
      <c r="BT115" s="207">
        <f t="shared" si="7"/>
        <v>0.7324538991</v>
      </c>
      <c r="BU115" s="206"/>
      <c r="BV115" s="207">
        <f>IFERROR(__xludf.DUMMYFUNCTION("AVERAGE(ARRAYFORMULA(XLOOKUP(FILTER(INDIRECT(""'""&amp;BV$1&amp;""'!$C$4:$C$66""),INDIRECT(""'""&amp;BV$1&amp;""'!$D$4:$D$66"")=BV$2),$G$4:$BQ$4,$G115:$BQ115)))"),-0.7225588385714286)</f>
        <v>-0.7225588386</v>
      </c>
      <c r="BW115" s="207">
        <f>IFERROR(__xludf.DUMMYFUNCTION("IF(OR(BV115&gt;$BS115+$BT115*$BT$2,BV115&lt;$BS115-$BT115*$BT$2),AVEDEV(ARRAYFORMULA(XLOOKUP(FILTER(INDIRECT(""'""&amp;BV$1&amp;""'!$C$4:$C$66""),INDIRECT(""'""&amp;BV$1&amp;""'!$D$4:$D$66"")=BV$2),$G$4:$BQ$4,$G115:$BQ115))),"""")"),0.308951487755102)</f>
        <v>0.3089514878</v>
      </c>
      <c r="BX115" s="208">
        <f t="shared" si="8"/>
        <v>-0.2289704333</v>
      </c>
      <c r="BY115" s="207">
        <f>IFERROR(__xludf.DUMMYFUNCTION("AVERAGE(ARRAYFORMULA(XLOOKUP(FILTER(INDIRECT(""'""&amp;BY$1&amp;""'!$C$4:$C$66""),INDIRECT(""'""&amp;BY$1&amp;""'!$D$4:$D$66"")=BY$2),$G$4:$BQ$4,$G115:$BQ115)))"),0.39056386833333334)</f>
        <v>0.3905638683</v>
      </c>
      <c r="BZ115" s="207" t="str">
        <f>IFERROR(__xludf.DUMMYFUNCTION("IF(OR(BY115&gt;$BS115+$BT115*$BT$2,BY115&lt;$BS115-$BT115*$BT$2),AVEDEV(ARRAYFORMULA(XLOOKUP(FILTER(INDIRECT(""'""&amp;BY$1&amp;""'!$C$4:$C$66""),INDIRECT(""'""&amp;BY$1&amp;""'!$D$4:$D$66"")=BY$2),$G$4:$BQ$4,$G115:$BQ115))),"""")"),"")</f>
        <v/>
      </c>
      <c r="CA115" s="208" t="str">
        <f t="shared" si="9"/>
        <v/>
      </c>
      <c r="CB115" s="207">
        <f>IFERROR(__xludf.DUMMYFUNCTION("AVERAGE(ARRAYFORMULA(XLOOKUP(FILTER(INDIRECT(""'""&amp;CB$1&amp;""'!$C$4:$C$66""),INDIRECT(""'""&amp;CB$1&amp;""'!$D$4:$D$66"")=CB$2),$G$4:$BQ$4,$G115:$BQ115)))"),-0.06153524727272732)</f>
        <v>-0.06153524727</v>
      </c>
      <c r="CC115" s="207" t="str">
        <f>IFERROR(__xludf.DUMMYFUNCTION("IF(OR(CB115&gt;$BS115+$BT115*$BT$2,CB115&lt;$BS115-$BT115*$BT$2),AVEDEV(ARRAYFORMULA(XLOOKUP(FILTER(INDIRECT(""'""&amp;CB$1&amp;""'!$C$4:$C$66""),INDIRECT(""'""&amp;CB$1&amp;""'!$D$4:$D$66"")=CB$2),$G$4:$BQ$4,$G115:$BQ115))),"""")"),"")</f>
        <v/>
      </c>
      <c r="CD115" s="208" t="str">
        <f t="shared" si="10"/>
        <v/>
      </c>
      <c r="CE115" s="209" t="s">
        <v>444</v>
      </c>
      <c r="CF115" s="207">
        <f>IFERROR(__xludf.DUMMYFUNCTION("AVERAGE(ARRAYFORMULA(XLOOKUP(FILTER(INDIRECT(""'""&amp;CF$1&amp;""'!$C$4:$C$66""),INDIRECT(""'""&amp;CF$1&amp;""'!$D$4:$D$66"")=CF$2),$G$4:$BQ$4,$G115:$BQ115)))"),0.22056613812499998)</f>
        <v>0.2205661381</v>
      </c>
      <c r="CG115" s="207" t="str">
        <f>IFERROR(__xludf.DUMMYFUNCTION("IF(OR(CF115&gt;$BS115+$BT115*$BT$2,CF115&lt;$BS115-$BT115*$BT$2),AVEDEV(ARRAYFORMULA(XLOOKUP(FILTER(INDIRECT(""'""&amp;CF$1&amp;""'!$C$4:$C$66""),INDIRECT(""'""&amp;CF$1&amp;""'!$D$4:$D$66"")=CF$2),$G$4:$BQ$4,$G115:$BQ115))),"""")"),"")</f>
        <v/>
      </c>
      <c r="CH115" s="208" t="str">
        <f t="shared" si="11"/>
        <v/>
      </c>
      <c r="CI115" s="207">
        <f>IFERROR(__xludf.DUMMYFUNCTION("AVERAGE(ARRAYFORMULA(XLOOKUP(FILTER(INDIRECT(""'""&amp;CI$1&amp;""'!$C$4:$C$66""),INDIRECT(""'""&amp;CI$1&amp;""'!$D$4:$D$66"")=CI$2),$G$4:$BQ$4,$G115:$BQ115)))"),0.3143656722580645)</f>
        <v>0.3143656723</v>
      </c>
      <c r="CJ115" s="207" t="str">
        <f>IFERROR(__xludf.DUMMYFUNCTION("IF(OR(CI115&gt;$BS115+$BT115*$BT$2,CI115&lt;$BS115-$BT115*$BT$2),AVEDEV(ARRAYFORMULA(XLOOKUP(FILTER(INDIRECT(""'""&amp;CI$1&amp;""'!$C$4:$C$66""),INDIRECT(""'""&amp;CI$1&amp;""'!$D$4:$D$66"")=CI$2),$G$4:$BQ$4,$G115:$BQ115))),"""")"),"")</f>
        <v/>
      </c>
      <c r="CK115" s="208" t="str">
        <f t="shared" si="12"/>
        <v/>
      </c>
      <c r="CL115" s="207">
        <f>IFERROR(__xludf.DUMMYFUNCTION("AVERAGE(ARRAYFORMULA(XLOOKUP(FILTER(INDIRECT(""'""&amp;CL$1&amp;""'!$C$4:$C$66""),INDIRECT(""'""&amp;CL$1&amp;""'!$D$4:$D$66"")=CL$2),$G$4:$BQ$4,$G115:$BQ115)))"),-0.273716514)</f>
        <v>-0.273716514</v>
      </c>
      <c r="CM115" s="207" t="str">
        <f>IFERROR(__xludf.DUMMYFUNCTION("IF(OR(CL115&gt;$BS115+$BT115*$BT$2,CL115&lt;$BS115-$BT115*$BT$2),AVEDEV(ARRAYFORMULA(XLOOKUP(FILTER(INDIRECT(""'""&amp;CL$1&amp;""'!$C$4:$C$66""),INDIRECT(""'""&amp;CL$1&amp;""'!$D$4:$D$66"")=CL$2),$G$4:$BQ$4,$G115:$BQ115))),"""")"),"")</f>
        <v/>
      </c>
      <c r="CN115" s="208" t="str">
        <f t="shared" si="13"/>
        <v/>
      </c>
      <c r="CO115" s="209" t="s">
        <v>444</v>
      </c>
      <c r="CP115" s="210">
        <f>IFERROR(__xludf.DUMMYFUNCTION("AVERAGE(ARRAYFORMULA(XLOOKUP(FILTER(INDIRECT(""'""&amp;CP$1&amp;""'!$C$4:$C$66""),INDIRECT(""'""&amp;CP$1&amp;""'!$D$4:$D$66"")=CP$2),$G$4:$BQ$4,$G115:$BQ115)))"),-0.11494576400000002)</f>
        <v>-0.114945764</v>
      </c>
      <c r="CQ115" s="207" t="str">
        <f>IFERROR(__xludf.DUMMYFUNCTION("IF(OR(CP115&gt;$BS115+$BT115*$BT$2,CP115&lt;$BS115-$BT115*$BT$2),AVEDEV(ARRAYFORMULA(XLOOKUP(FILTER(INDIRECT(""'""&amp;CP$1&amp;""'!$C$4:$C$66""),INDIRECT(""'""&amp;CP$1&amp;""'!$D$4:$D$66"")=CP$2),$G$4:$BQ$4,$G115:$BQ115))),"""")"),"")</f>
        <v/>
      </c>
      <c r="CR115" s="208" t="str">
        <f t="shared" si="14"/>
        <v/>
      </c>
      <c r="CS115" s="210">
        <f>IFERROR(__xludf.DUMMYFUNCTION("AVERAGE(ARRAYFORMULA(XLOOKUP(FILTER(INDIRECT(""'""&amp;CS$1&amp;""'!$C$4:$C$66""),INDIRECT(""'""&amp;CS$1&amp;""'!$D$4:$D$66"")=CS$2),$G$4:$BQ$4,$G115:$BQ115)))"),0.3790904541025641)</f>
        <v>0.3790904541</v>
      </c>
      <c r="CT115" s="207" t="str">
        <f>IFERROR(__xludf.DUMMYFUNCTION("IF(OR(CS115&gt;$BS115+$BT115*$BT$2,CS115&lt;$BS115-$BT115*$BT$2),AVEDEV(ARRAYFORMULA(XLOOKUP(FILTER(INDIRECT(""'""&amp;CS$1&amp;""'!$C$4:$C$66""),INDIRECT(""'""&amp;CS$1&amp;""'!$D$4:$D$66"")=CS$2),$G$4:$BQ$4,$G115:$BQ115))),"""")"),"")</f>
        <v/>
      </c>
      <c r="CU115" s="208" t="str">
        <f t="shared" si="15"/>
        <v/>
      </c>
      <c r="CV115" s="210">
        <f>IFERROR(__xludf.DUMMYFUNCTION("AVERAGE(ARRAYFORMULA(XLOOKUP(FILTER(INDIRECT(""'""&amp;CV$1&amp;""'!$C$4:$C$66""),INDIRECT(""'""&amp;CV$1&amp;""'!$D$4:$D$66"")=CV$2),$G$4:$BQ$4,$G115:$BQ115)))"),-0.273716514)</f>
        <v>-0.273716514</v>
      </c>
      <c r="CW115" s="207" t="str">
        <f>IFERROR(__xludf.DUMMYFUNCTION("IF(OR(CV115&gt;$BS115+$BT115*$BT$2,CV115&lt;$BS115-$BT115*$BT$2),AVEDEV(ARRAYFORMULA(XLOOKUP(FILTER(INDIRECT(""'""&amp;CV$1&amp;""'!$C$4:$C$66""),INDIRECT(""'""&amp;CV$1&amp;""'!$D$4:$D$66"")=CV$2),$G$4:$BQ$4,$G115:$BQ115))),"""")"),"")</f>
        <v/>
      </c>
      <c r="CX115" s="208" t="str">
        <f t="shared" si="16"/>
        <v/>
      </c>
      <c r="CY115" s="209" t="s">
        <v>444</v>
      </c>
      <c r="CZ115" s="210">
        <f>IFERROR(__xludf.DUMMYFUNCTION("AVERAGE(ARRAYFORMULA(XLOOKUP(FILTER(INDIRECT(""'""&amp;CZ$1&amp;""'!$C$4:$C$66""),INDIRECT(""'""&amp;CZ$1&amp;""'!$D$4:$D$66"")=CZ$2),$G$4:$BQ$4,$G115:$BQ115)))"),0.23215541071428575)</f>
        <v>0.2321554107</v>
      </c>
      <c r="DA115" s="207" t="str">
        <f>IFERROR(__xludf.DUMMYFUNCTION("IF(OR(CZ115&gt;$BS115+$BT115*$BT$2,CZ115&lt;$BS115-$BT115*$BT$2),AVEDEV(ARRAYFORMULA(XLOOKUP(FILTER(INDIRECT(""'""&amp;CZ$1&amp;""'!$C$4:$C$66""),INDIRECT(""'""&amp;CZ$1&amp;""'!$D$4:$D$66"")=CZ$2),$G$4:$BQ$4,$G115:$BQ115))),"""")"),"")</f>
        <v/>
      </c>
      <c r="DB115" s="208" t="str">
        <f t="shared" si="17"/>
        <v/>
      </c>
      <c r="DC115" s="210">
        <f>IFERROR(__xludf.DUMMYFUNCTION("AVERAGE(ARRAYFORMULA(XLOOKUP(FILTER(INDIRECT(""'""&amp;DC$1&amp;""'!$C$4:$C$66""),INDIRECT(""'""&amp;DC$1&amp;""'!$D$4:$D$66"")=DC$2),$G$4:$BQ$4,$G115:$BQ115)))"),-0.06767968000000003)</f>
        <v>-0.06767968</v>
      </c>
      <c r="DD115" s="207" t="str">
        <f>IFERROR(__xludf.DUMMYFUNCTION("IF(OR(DC115&gt;$BS115+$BT115*$BT$2,DC115&lt;$BS115-$BT115*$BT$2),AVEDEV(ARRAYFORMULA(XLOOKUP(FILTER(INDIRECT(""'""&amp;DC$1&amp;""'!$C$4:$C$66""),INDIRECT(""'""&amp;DC$1&amp;""'!$D$4:$D$66"")=DC$2),$G$4:$BQ$4,$G115:$BQ115))),"""")"),"")</f>
        <v/>
      </c>
      <c r="DE115" s="208" t="str">
        <f t="shared" si="18"/>
        <v/>
      </c>
      <c r="DF115" s="210">
        <f>IFERROR(__xludf.DUMMYFUNCTION("AVERAGE(ARRAYFORMULA(XLOOKUP(FILTER(INDIRECT(""'""&amp;DF$1&amp;""'!$C$4:$C$66""),INDIRECT(""'""&amp;DF$1&amp;""'!$D$4:$D$66"")=DF$2),$G$4:$BQ$4,$G115:$BQ115)))"),-0.06792172636363636)</f>
        <v>-0.06792172636</v>
      </c>
      <c r="DG115" s="207" t="str">
        <f>IFERROR(__xludf.DUMMYFUNCTION("IF(OR(DF115&gt;$BS115+$BT115*$BT$2,DF115&lt;$BS115-$BT115*$BT$2),AVEDEV(ARRAYFORMULA(XLOOKUP(FILTER(INDIRECT(""'""&amp;DF$1&amp;""'!$C$4:$C$66""),INDIRECT(""'""&amp;DF$1&amp;""'!$D$4:$D$66"")=DF$2),$G$4:$BQ$4,$G115:$BQ115))),"""")"),"")</f>
        <v/>
      </c>
      <c r="DH115" s="208" t="str">
        <f t="shared" si="19"/>
        <v/>
      </c>
      <c r="DI115" s="210">
        <f>IFERROR(__xludf.DUMMYFUNCTION("AVERAGE(ARRAYFORMULA(XLOOKUP(FILTER(INDIRECT(""'""&amp;DI$1&amp;""'!$C$4:$C$66""),INDIRECT(""'""&amp;DI$1&amp;""'!$D$4:$D$66"")=DI$2),$G$4:$BQ$4,$G115:$BQ115)))"),0.203567545)</f>
        <v>0.203567545</v>
      </c>
      <c r="DJ115" s="207" t="str">
        <f>IFERROR(__xludf.DUMMYFUNCTION("IF(OR(DI115&gt;$BS115+$BT115*$BT$2,DI115&lt;$BS115-$BT115*$BT$2),AVEDEV(ARRAYFORMULA(XLOOKUP(FILTER(INDIRECT(""'""&amp;DI$1&amp;""'!$C$4:$C$66""),INDIRECT(""'""&amp;DI$1&amp;""'!$D$4:$D$66"")=DI$2),$G$4:$BQ$4,$G115:$BQ115))),"""")"),"")</f>
        <v/>
      </c>
      <c r="DK115" s="208" t="str">
        <f t="shared" si="20"/>
        <v/>
      </c>
      <c r="DL115" s="210">
        <f>IFERROR(__xludf.DUMMYFUNCTION("AVERAGE(ARRAYFORMULA(XLOOKUP(FILTER(INDIRECT(""'""&amp;DL$1&amp;""'!$C$4:$C$66""),INDIRECT(""'""&amp;DL$1&amp;""'!$D$4:$D$66"")=DL$2),$G$4:$BQ$4,$G115:$BQ115)))"),0.7799099414285715)</f>
        <v>0.7799099414</v>
      </c>
      <c r="DM115" s="207" t="str">
        <f>IFERROR(__xludf.DUMMYFUNCTION("IF(OR(DL115&gt;$BS115+$BT115*$BT$2,DL115&lt;$BS115-$BT115*$BT$2),AVEDEV(ARRAYFORMULA(XLOOKUP(FILTER(INDIRECT(""'""&amp;DL$1&amp;""'!$C$4:$C$66""),INDIRECT(""'""&amp;DL$1&amp;""'!$D$4:$D$66"")=DL$2),$G$4:$BQ$4,$G115:$BQ115))),"""")"),"")</f>
        <v/>
      </c>
      <c r="DN115" s="208" t="str">
        <f t="shared" si="21"/>
        <v/>
      </c>
      <c r="DO115" s="209" t="s">
        <v>444</v>
      </c>
      <c r="DP115" s="210">
        <f>IFERROR(__xludf.DUMMYFUNCTION("AVERAGE(ARRAYFORMULA(XLOOKUP(FILTER(INDIRECT(""'""&amp;DP$1&amp;""'!$C$4:$C$66""),INDIRECT(""'""&amp;DP$1&amp;""'!$D$4:$D$66"")=DP$2),$G$4:$BQ$4,$G115:$BQ115)))"),0.4592502580000001)</f>
        <v>0.459250258</v>
      </c>
      <c r="DQ115" s="207" t="str">
        <f>IFERROR(__xludf.DUMMYFUNCTION("IF(OR(DP115&gt;$BS115+$BT115*$BT$2,DP115&lt;$BS115-$BT115*$BT$2),AVEDEV(ARRAYFORMULA(XLOOKUP(FILTER(INDIRECT(""'""&amp;DP$1&amp;""'!$C$4:$C$66""),INDIRECT(""'""&amp;DP$1&amp;""'!$D$4:$D$66"")=DP$2),$G$4:$BQ$4,$G115:$BQ115))),"""")"),"")</f>
        <v/>
      </c>
      <c r="DR115" s="208" t="str">
        <f t="shared" si="22"/>
        <v/>
      </c>
      <c r="DS115" s="210">
        <f>IFERROR(__xludf.DUMMYFUNCTION("AVERAGE(ARRAYFORMULA(XLOOKUP(FILTER(INDIRECT(""'""&amp;DS$1&amp;""'!$C$4:$C$66""),INDIRECT(""'""&amp;DS$1&amp;""'!$D$4:$D$66"")=DS$2),$G$4:$BQ$4,$G115:$BQ115)))"),-0.24676740444444448)</f>
        <v>-0.2467674044</v>
      </c>
      <c r="DT115" s="207" t="str">
        <f>IFERROR(__xludf.DUMMYFUNCTION("IF(OR(DS115&gt;$BS115+$BT115*$BT$2,DS115&lt;$BS115-$BT115*$BT$2),AVEDEV(ARRAYFORMULA(XLOOKUP(FILTER(INDIRECT(""'""&amp;DS$1&amp;""'!$C$4:$C$66""),INDIRECT(""'""&amp;DS$1&amp;""'!$D$4:$D$66"")=DS$2),$G$4:$BQ$4,$G115:$BQ115))),"""")"),"")</f>
        <v/>
      </c>
      <c r="DU115" s="208" t="str">
        <f t="shared" si="23"/>
        <v/>
      </c>
      <c r="DV115" s="210">
        <f>IFERROR(__xludf.DUMMYFUNCTION("AVERAGE(ARRAYFORMULA(XLOOKUP(FILTER(INDIRECT(""'""&amp;DV$1&amp;""'!$C$4:$C$66""),INDIRECT(""'""&amp;DV$1&amp;""'!$D$4:$D$66"")=DV$2),$G$4:$BQ$4,$G115:$BQ115)))"),-0.49188031249999997)</f>
        <v>-0.4918803125</v>
      </c>
      <c r="DW115" s="207" t="str">
        <f>IFERROR(__xludf.DUMMYFUNCTION("IF(OR(DV115&gt;$BS115+$BT115*$BT$2,DV115&lt;$BS115-$BT115*$BT$2),AVEDEV(ARRAYFORMULA(XLOOKUP(FILTER(INDIRECT(""'""&amp;DV$1&amp;""'!$C$4:$C$66""),INDIRECT(""'""&amp;DV$1&amp;""'!$D$4:$D$66"")=DV$2),$G$4:$BQ$4,$G115:$BQ115))),"""")"),"")</f>
        <v/>
      </c>
      <c r="DX115" s="208" t="str">
        <f t="shared" si="24"/>
        <v/>
      </c>
      <c r="DY115" s="210">
        <f>IFERROR(__xludf.DUMMYFUNCTION("AVERAGE(ARRAYFORMULA(XLOOKUP(FILTER(INDIRECT(""'""&amp;DY$1&amp;""'!$C$4:$C$66""),INDIRECT(""'""&amp;DY$1&amp;""'!$D$4:$D$66"")=DY$2),$G$4:$BQ$4,$G115:$BQ115)))"),0.5952304777777778)</f>
        <v>0.5952304778</v>
      </c>
      <c r="DZ115" s="207" t="str">
        <f>IFERROR(__xludf.DUMMYFUNCTION("IF(OR(DY115&gt;$BS115+$BT115*$BT$2,DY115&lt;$BS115-$BT115*$BT$2),AVEDEV(ARRAYFORMULA(XLOOKUP(FILTER(INDIRECT(""'""&amp;DY$1&amp;""'!$C$4:$C$66""),INDIRECT(""'""&amp;DY$1&amp;""'!$D$4:$D$66"")=DY$2),$G$4:$BQ$4,$G115:$BQ115))),"""")"),"")</f>
        <v/>
      </c>
      <c r="EA115" s="208" t="str">
        <f t="shared" si="25"/>
        <v/>
      </c>
      <c r="EB115" s="191"/>
    </row>
    <row r="116" outlineLevel="1">
      <c r="A116" s="2"/>
      <c r="B116" s="204">
        <v>112.0</v>
      </c>
      <c r="C116" s="204" t="s">
        <v>540</v>
      </c>
      <c r="D116" s="204" t="s">
        <v>558</v>
      </c>
      <c r="E116" s="205" t="b">
        <f>VLOOKUP(D116,'Feature Set List'!A112:C246,2,0)</f>
        <v>1</v>
      </c>
      <c r="F116" s="205" t="b">
        <f>VLOOKUP(D116,'Feature Set List'!A112:C246,3,0)</f>
        <v>1</v>
      </c>
      <c r="G116" s="205">
        <v>2.4656062</v>
      </c>
      <c r="H116" s="205">
        <v>0.0</v>
      </c>
      <c r="I116" s="205">
        <v>0.0326077</v>
      </c>
      <c r="J116" s="205">
        <v>0.28076817</v>
      </c>
      <c r="K116" s="205">
        <v>1.98137575</v>
      </c>
      <c r="L116" s="205">
        <v>-0.256404</v>
      </c>
      <c r="M116" s="205">
        <v>-0.4783379</v>
      </c>
      <c r="N116" s="205">
        <v>-0.3182609</v>
      </c>
      <c r="O116" s="205">
        <v>-0.3084908</v>
      </c>
      <c r="P116" s="205">
        <v>-0.348304</v>
      </c>
      <c r="Q116" s="205">
        <v>2.0766342</v>
      </c>
      <c r="R116" s="205">
        <v>-0.3679052</v>
      </c>
      <c r="S116" s="205">
        <v>-0.387079</v>
      </c>
      <c r="T116" s="205">
        <v>-0.5043813</v>
      </c>
      <c r="U116" s="205">
        <v>-0.5338137</v>
      </c>
      <c r="V116" s="205">
        <v>-0.4692089</v>
      </c>
      <c r="W116" s="205">
        <v>-0.3539218</v>
      </c>
      <c r="X116" s="205">
        <v>-0.1340335</v>
      </c>
      <c r="Y116" s="205">
        <v>3.75342717</v>
      </c>
      <c r="Z116" s="205">
        <v>0.42976216</v>
      </c>
      <c r="AA116" s="205">
        <v>-0.3612494</v>
      </c>
      <c r="AB116" s="205">
        <v>-0.1524135</v>
      </c>
      <c r="AC116" s="205">
        <v>0.28748512</v>
      </c>
      <c r="AD116" s="205">
        <v>2.68726529</v>
      </c>
      <c r="AE116" s="205">
        <v>1.23640583</v>
      </c>
      <c r="AF116" s="205">
        <v>0.27466186</v>
      </c>
      <c r="AG116" s="205">
        <v>0.49754221</v>
      </c>
      <c r="AH116" s="205">
        <v>-0.1182792</v>
      </c>
      <c r="AI116" s="205">
        <v>0.71065246</v>
      </c>
      <c r="AJ116" s="205">
        <v>0.07987055</v>
      </c>
      <c r="AK116" s="205">
        <v>-0.2749061</v>
      </c>
      <c r="AL116" s="205">
        <v>-0.2203768</v>
      </c>
      <c r="AM116" s="205">
        <v>2.47415504</v>
      </c>
      <c r="AN116" s="205">
        <v>0.10979147</v>
      </c>
      <c r="AO116" s="205">
        <v>-0.5338137</v>
      </c>
      <c r="AP116" s="205">
        <v>2.40210057</v>
      </c>
      <c r="AQ116" s="205">
        <v>-0.2292309</v>
      </c>
      <c r="AR116" s="205">
        <v>-0.3304125</v>
      </c>
      <c r="AS116" s="205">
        <v>-0.516142</v>
      </c>
      <c r="AT116" s="205">
        <v>-0.2668458</v>
      </c>
      <c r="AU116" s="205">
        <v>2.83748054</v>
      </c>
      <c r="AV116" s="205">
        <v>2.1572375</v>
      </c>
      <c r="AW116" s="205">
        <v>2.04060697</v>
      </c>
      <c r="AX116" s="205">
        <v>-0.2446799</v>
      </c>
      <c r="AY116" s="205">
        <v>-0.5338137</v>
      </c>
      <c r="AZ116" s="205">
        <v>0.11101273</v>
      </c>
      <c r="BA116" s="205">
        <v>-0.3263823</v>
      </c>
      <c r="BB116" s="205">
        <v>0.18734162</v>
      </c>
      <c r="BC116" s="205">
        <v>-0.4622477</v>
      </c>
      <c r="BD116" s="205">
        <v>0.46151498</v>
      </c>
      <c r="BE116" s="205">
        <v>-0.2659909</v>
      </c>
      <c r="BF116" s="205">
        <v>0.17451836</v>
      </c>
      <c r="BG116" s="205">
        <v>0.29542332</v>
      </c>
      <c r="BH116" s="205">
        <v>1.38356792</v>
      </c>
      <c r="BI116" s="205">
        <v>-0.0935487</v>
      </c>
      <c r="BJ116" s="205">
        <v>-0.0145941</v>
      </c>
      <c r="BK116" s="205">
        <v>0.08903001</v>
      </c>
      <c r="BL116" s="205">
        <v>-0.4243275</v>
      </c>
      <c r="BM116" s="205">
        <v>0.6447043</v>
      </c>
      <c r="BN116" s="205">
        <v>3.04021006</v>
      </c>
      <c r="BO116" s="205">
        <v>3.14157482</v>
      </c>
      <c r="BP116" s="205">
        <v>3.75892285</v>
      </c>
      <c r="BQ116" s="205">
        <v>-0.2567704</v>
      </c>
      <c r="BR116" s="206"/>
      <c r="BS116" s="207">
        <f t="shared" si="6"/>
        <v>0.5082078037</v>
      </c>
      <c r="BT116" s="207">
        <f t="shared" si="7"/>
        <v>0.9572188828</v>
      </c>
      <c r="BU116" s="206"/>
      <c r="BV116" s="207">
        <f>IFERROR(__xludf.DUMMYFUNCTION("AVERAGE(ARRAYFORMULA(XLOOKUP(FILTER(INDIRECT(""'""&amp;BV$1&amp;""'!$C$4:$C$66""),INDIRECT(""'""&amp;BV$1&amp;""'!$D$4:$D$66"")=BV$2),$G$4:$BQ$4,$G116:$BQ116)))"),-0.31977876857142856)</f>
        <v>-0.3197787686</v>
      </c>
      <c r="BW116" s="207" t="str">
        <f>IFERROR(__xludf.DUMMYFUNCTION("IF(OR(BV116&gt;$BS116+$BT116*$BT$2,BV116&lt;$BS116-$BT116*$BT$2),AVEDEV(ARRAYFORMULA(XLOOKUP(FILTER(INDIRECT(""'""&amp;BV$1&amp;""'!$C$4:$C$66""),INDIRECT(""'""&amp;BV$1&amp;""'!$D$4:$D$66"")=BV$2),$G$4:$BQ$4,$G116:$BQ116))),"""")"),"")</f>
        <v/>
      </c>
      <c r="BX116" s="208" t="str">
        <f t="shared" si="8"/>
        <v/>
      </c>
      <c r="BY116" s="207">
        <f>IFERROR(__xludf.DUMMYFUNCTION("AVERAGE(ARRAYFORMULA(XLOOKUP(FILTER(INDIRECT(""'""&amp;BY$1&amp;""'!$C$4:$C$66""),INDIRECT(""'""&amp;BY$1&amp;""'!$D$4:$D$66"")=BY$2),$G$4:$BQ$4,$G116:$BQ116)))"),0.6176728292857142)</f>
        <v>0.6176728293</v>
      </c>
      <c r="BZ116" s="207" t="str">
        <f>IFERROR(__xludf.DUMMYFUNCTION("IF(OR(BY116&gt;$BS116+$BT116*$BT$2,BY116&lt;$BS116-$BT116*$BT$2),AVEDEV(ARRAYFORMULA(XLOOKUP(FILTER(INDIRECT(""'""&amp;BY$1&amp;""'!$C$4:$C$66""),INDIRECT(""'""&amp;BY$1&amp;""'!$D$4:$D$66"")=BY$2),$G$4:$BQ$4,$G116:$BQ116))),"""")"),"")</f>
        <v/>
      </c>
      <c r="CA116" s="208" t="str">
        <f t="shared" si="9"/>
        <v/>
      </c>
      <c r="CB116" s="207">
        <f>IFERROR(__xludf.DUMMYFUNCTION("AVERAGE(ARRAYFORMULA(XLOOKUP(FILTER(INDIRECT(""'""&amp;CB$1&amp;""'!$C$4:$C$66""),INDIRECT(""'""&amp;CB$1&amp;""'!$D$4:$D$66"")=CB$2),$G$4:$BQ$4,$G116:$BQ116)))"),0.45288008727272727)</f>
        <v>0.4528800873</v>
      </c>
      <c r="CC116" s="207" t="str">
        <f>IFERROR(__xludf.DUMMYFUNCTION("IF(OR(CB116&gt;$BS116+$BT116*$BT$2,CB116&lt;$BS116-$BT116*$BT$2),AVEDEV(ARRAYFORMULA(XLOOKUP(FILTER(INDIRECT(""'""&amp;CB$1&amp;""'!$C$4:$C$66""),INDIRECT(""'""&amp;CB$1&amp;""'!$D$4:$D$66"")=CB$2),$G$4:$BQ$4,$G116:$BQ116))),"""")"),"")</f>
        <v/>
      </c>
      <c r="CD116" s="208" t="str">
        <f t="shared" si="10"/>
        <v/>
      </c>
      <c r="CE116" s="209" t="s">
        <v>444</v>
      </c>
      <c r="CF116" s="207">
        <f>IFERROR(__xludf.DUMMYFUNCTION("AVERAGE(ARRAYFORMULA(XLOOKUP(FILTER(INDIRECT(""'""&amp;CF$1&amp;""'!$C$4:$C$66""),INDIRECT(""'""&amp;CF$1&amp;""'!$D$4:$D$66"")=CF$2),$G$4:$BQ$4,$G116:$BQ116)))"),0.46369035249999996)</f>
        <v>0.4636903525</v>
      </c>
      <c r="CG116" s="207" t="str">
        <f>IFERROR(__xludf.DUMMYFUNCTION("IF(OR(CF116&gt;$BS116+$BT116*$BT$2,CF116&lt;$BS116-$BT116*$BT$2),AVEDEV(ARRAYFORMULA(XLOOKUP(FILTER(INDIRECT(""'""&amp;CF$1&amp;""'!$C$4:$C$66""),INDIRECT(""'""&amp;CF$1&amp;""'!$D$4:$D$66"")=CF$2),$G$4:$BQ$4,$G116:$BQ116))),"""")"),"")</f>
        <v/>
      </c>
      <c r="CH116" s="208" t="str">
        <f t="shared" si="11"/>
        <v/>
      </c>
      <c r="CI116" s="207">
        <f>IFERROR(__xludf.DUMMYFUNCTION("AVERAGE(ARRAYFORMULA(XLOOKUP(FILTER(INDIRECT(""'""&amp;CI$1&amp;""'!$C$4:$C$66""),INDIRECT(""'""&amp;CI$1&amp;""'!$D$4:$D$66"")=CI$2),$G$4:$BQ$4,$G116:$BQ116)))"),0.5832777687096774)</f>
        <v>0.5832777687</v>
      </c>
      <c r="CJ116" s="207" t="str">
        <f>IFERROR(__xludf.DUMMYFUNCTION("IF(OR(CI116&gt;$BS116+$BT116*$BT$2,CI116&lt;$BS116-$BT116*$BT$2),AVEDEV(ARRAYFORMULA(XLOOKUP(FILTER(INDIRECT(""'""&amp;CI$1&amp;""'!$C$4:$C$66""),INDIRECT(""'""&amp;CI$1&amp;""'!$D$4:$D$66"")=CI$2),$G$4:$BQ$4,$G116:$BQ116))),"""")"),"")</f>
        <v/>
      </c>
      <c r="CK116" s="208" t="str">
        <f t="shared" si="12"/>
        <v/>
      </c>
      <c r="CL116" s="207">
        <f>IFERROR(__xludf.DUMMYFUNCTION("AVERAGE(ARRAYFORMULA(XLOOKUP(FILTER(INDIRECT(""'""&amp;CL$1&amp;""'!$C$4:$C$66""),INDIRECT(""'""&amp;CL$1&amp;""'!$D$4:$D$66"")=CL$2),$G$4:$BQ$4,$G116:$BQ116)))"),-0.279957256)</f>
        <v>-0.279957256</v>
      </c>
      <c r="CM116" s="207" t="str">
        <f>IFERROR(__xludf.DUMMYFUNCTION("IF(OR(CL116&gt;$BS116+$BT116*$BT$2,CL116&lt;$BS116-$BT116*$BT$2),AVEDEV(ARRAYFORMULA(XLOOKUP(FILTER(INDIRECT(""'""&amp;CL$1&amp;""'!$C$4:$C$66""),INDIRECT(""'""&amp;CL$1&amp;""'!$D$4:$D$66"")=CL$2),$G$4:$BQ$4,$G116:$BQ116))),"""")"),"")</f>
        <v/>
      </c>
      <c r="CN116" s="208" t="str">
        <f t="shared" si="13"/>
        <v/>
      </c>
      <c r="CO116" s="209" t="s">
        <v>444</v>
      </c>
      <c r="CP116" s="210">
        <f>IFERROR(__xludf.DUMMYFUNCTION("AVERAGE(ARRAYFORMULA(XLOOKUP(FILTER(INDIRECT(""'""&amp;CP$1&amp;""'!$C$4:$C$66""),INDIRECT(""'""&amp;CP$1&amp;""'!$D$4:$D$66"")=CP$2),$G$4:$BQ$4,$G116:$BQ116)))"),0.637710544)</f>
        <v>0.637710544</v>
      </c>
      <c r="CQ116" s="207" t="str">
        <f>IFERROR(__xludf.DUMMYFUNCTION("IF(OR(CP116&gt;$BS116+$BT116*$BT$2,CP116&lt;$BS116-$BT116*$BT$2),AVEDEV(ARRAYFORMULA(XLOOKUP(FILTER(INDIRECT(""'""&amp;CP$1&amp;""'!$C$4:$C$66""),INDIRECT(""'""&amp;CP$1&amp;""'!$D$4:$D$66"")=CP$2),$G$4:$BQ$4,$G116:$BQ116))),"""")"),"")</f>
        <v/>
      </c>
      <c r="CR116" s="208" t="str">
        <f t="shared" si="14"/>
        <v/>
      </c>
      <c r="CS116" s="210">
        <f>IFERROR(__xludf.DUMMYFUNCTION("AVERAGE(ARRAYFORMULA(XLOOKUP(FILTER(INDIRECT(""'""&amp;CS$1&amp;""'!$C$4:$C$66""),INDIRECT(""'""&amp;CS$1&amp;""'!$D$4:$D$66"")=CS$2),$G$4:$BQ$4,$G116:$BQ116)))"),0.5370242058974358)</f>
        <v>0.5370242059</v>
      </c>
      <c r="CT116" s="207" t="str">
        <f>IFERROR(__xludf.DUMMYFUNCTION("IF(OR(CS116&gt;$BS116+$BT116*$BT$2,CS116&lt;$BS116-$BT116*$BT$2),AVEDEV(ARRAYFORMULA(XLOOKUP(FILTER(INDIRECT(""'""&amp;CS$1&amp;""'!$C$4:$C$66""),INDIRECT(""'""&amp;CS$1&amp;""'!$D$4:$D$66"")=CS$2),$G$4:$BQ$4,$G116:$BQ116))),"""")"),"")</f>
        <v/>
      </c>
      <c r="CU116" s="208" t="str">
        <f t="shared" si="15"/>
        <v/>
      </c>
      <c r="CV116" s="210">
        <f>IFERROR(__xludf.DUMMYFUNCTION("AVERAGE(ARRAYFORMULA(XLOOKUP(FILTER(INDIRECT(""'""&amp;CV$1&amp;""'!$C$4:$C$66""),INDIRECT(""'""&amp;CV$1&amp;""'!$D$4:$D$66"")=CV$2),$G$4:$BQ$4,$G116:$BQ116)))"),-0.279957256)</f>
        <v>-0.279957256</v>
      </c>
      <c r="CW116" s="207" t="str">
        <f>IFERROR(__xludf.DUMMYFUNCTION("IF(OR(CV116&gt;$BS116+$BT116*$BT$2,CV116&lt;$BS116-$BT116*$BT$2),AVEDEV(ARRAYFORMULA(XLOOKUP(FILTER(INDIRECT(""'""&amp;CV$1&amp;""'!$C$4:$C$66""),INDIRECT(""'""&amp;CV$1&amp;""'!$D$4:$D$66"")=CV$2),$G$4:$BQ$4,$G116:$BQ116))),"""")"),"")</f>
        <v/>
      </c>
      <c r="CX116" s="208" t="str">
        <f t="shared" si="16"/>
        <v/>
      </c>
      <c r="CY116" s="209" t="s">
        <v>444</v>
      </c>
      <c r="CZ116" s="210">
        <f>IFERROR(__xludf.DUMMYFUNCTION("AVERAGE(ARRAYFORMULA(XLOOKUP(FILTER(INDIRECT(""'""&amp;CZ$1&amp;""'!$C$4:$C$66""),INDIRECT(""'""&amp;CZ$1&amp;""'!$D$4:$D$66"")=CZ$2),$G$4:$BQ$4,$G116:$BQ116)))"),0.42283149857142854)</f>
        <v>0.4228314986</v>
      </c>
      <c r="DA116" s="207" t="str">
        <f>IFERROR(__xludf.DUMMYFUNCTION("IF(OR(CZ116&gt;$BS116+$BT116*$BT$2,CZ116&lt;$BS116-$BT116*$BT$2),AVEDEV(ARRAYFORMULA(XLOOKUP(FILTER(INDIRECT(""'""&amp;CZ$1&amp;""'!$C$4:$C$66""),INDIRECT(""'""&amp;CZ$1&amp;""'!$D$4:$D$66"")=CZ$2),$G$4:$BQ$4,$G116:$BQ116))),"""")"),"")</f>
        <v/>
      </c>
      <c r="DB116" s="208" t="str">
        <f t="shared" si="17"/>
        <v/>
      </c>
      <c r="DC116" s="210">
        <f>IFERROR(__xludf.DUMMYFUNCTION("AVERAGE(ARRAYFORMULA(XLOOKUP(FILTER(INDIRECT(""'""&amp;DC$1&amp;""'!$C$4:$C$66""),INDIRECT(""'""&amp;DC$1&amp;""'!$D$4:$D$66"")=DC$2),$G$4:$BQ$4,$G116:$BQ116)))"),0.46955154777777774)</f>
        <v>0.4695515478</v>
      </c>
      <c r="DD116" s="207" t="str">
        <f>IFERROR(__xludf.DUMMYFUNCTION("IF(OR(DC116&gt;$BS116+$BT116*$BT$2,DC116&lt;$BS116-$BT116*$BT$2),AVEDEV(ARRAYFORMULA(XLOOKUP(FILTER(INDIRECT(""'""&amp;DC$1&amp;""'!$C$4:$C$66""),INDIRECT(""'""&amp;DC$1&amp;""'!$D$4:$D$66"")=DC$2),$G$4:$BQ$4,$G116:$BQ116))),"""")"),"")</f>
        <v/>
      </c>
      <c r="DE116" s="208" t="str">
        <f t="shared" si="18"/>
        <v/>
      </c>
      <c r="DF116" s="210">
        <f>IFERROR(__xludf.DUMMYFUNCTION("AVERAGE(ARRAYFORMULA(XLOOKUP(FILTER(INDIRECT(""'""&amp;DF$1&amp;""'!$C$4:$C$66""),INDIRECT(""'""&amp;DF$1&amp;""'!$D$4:$D$66"")=DF$2),$G$4:$BQ$4,$G116:$BQ116)))"),0.6528201481818182)</f>
        <v>0.6528201482</v>
      </c>
      <c r="DG116" s="207" t="str">
        <f>IFERROR(__xludf.DUMMYFUNCTION("IF(OR(DF116&gt;$BS116+$BT116*$BT$2,DF116&lt;$BS116-$BT116*$BT$2),AVEDEV(ARRAYFORMULA(XLOOKUP(FILTER(INDIRECT(""'""&amp;DF$1&amp;""'!$C$4:$C$66""),INDIRECT(""'""&amp;DF$1&amp;""'!$D$4:$D$66"")=DF$2),$G$4:$BQ$4,$G116:$BQ116))),"""")"),"")</f>
        <v/>
      </c>
      <c r="DH116" s="208" t="str">
        <f t="shared" si="19"/>
        <v/>
      </c>
      <c r="DI116" s="210">
        <f>IFERROR(__xludf.DUMMYFUNCTION("AVERAGE(ARRAYFORMULA(XLOOKUP(FILTER(INDIRECT(""'""&amp;DI$1&amp;""'!$C$4:$C$66""),INDIRECT(""'""&amp;DI$1&amp;""'!$D$4:$D$66"")=DI$2),$G$4:$BQ$4,$G116:$BQ116)))"),2.035416605)</f>
        <v>2.035416605</v>
      </c>
      <c r="DJ116" s="207">
        <f>IFERROR(__xludf.DUMMYFUNCTION("IF(OR(DI116&gt;$BS116+$BT116*$BT$2,DI116&lt;$BS116-$BT116*$BT$2),AVEDEV(ARRAYFORMULA(XLOOKUP(FILTER(INDIRECT(""'""&amp;DI$1&amp;""'!$C$4:$C$66""),INDIRECT(""'""&amp;DI$1&amp;""'!$D$4:$D$66"")=DI$2),$G$4:$BQ$4,$G116:$BQ116))),"""")"),0.651848685)</f>
        <v>0.651848685</v>
      </c>
      <c r="DK116" s="208">
        <f t="shared" si="20"/>
        <v>0.5699899186</v>
      </c>
      <c r="DL116" s="210">
        <f>IFERROR(__xludf.DUMMYFUNCTION("AVERAGE(ARRAYFORMULA(XLOOKUP(FILTER(INDIRECT(""'""&amp;DL$1&amp;""'!$C$4:$C$66""),INDIRECT(""'""&amp;DL$1&amp;""'!$D$4:$D$66"")=DL$2),$G$4:$BQ$4,$G116:$BQ116)))"),0.5297529992857143)</f>
        <v>0.5297529993</v>
      </c>
      <c r="DM116" s="207" t="str">
        <f>IFERROR(__xludf.DUMMYFUNCTION("IF(OR(DL116&gt;$BS116+$BT116*$BT$2,DL116&lt;$BS116-$BT116*$BT$2),AVEDEV(ARRAYFORMULA(XLOOKUP(FILTER(INDIRECT(""'""&amp;DL$1&amp;""'!$C$4:$C$66""),INDIRECT(""'""&amp;DL$1&amp;""'!$D$4:$D$66"")=DL$2),$G$4:$BQ$4,$G116:$BQ116))),"""")"),"")</f>
        <v/>
      </c>
      <c r="DN116" s="208" t="str">
        <f t="shared" si="21"/>
        <v/>
      </c>
      <c r="DO116" s="209" t="s">
        <v>444</v>
      </c>
      <c r="DP116" s="210">
        <f>IFERROR(__xludf.DUMMYFUNCTION("AVERAGE(ARRAYFORMULA(XLOOKUP(FILTER(INDIRECT(""'""&amp;DP$1&amp;""'!$C$4:$C$66""),INDIRECT(""'""&amp;DP$1&amp;""'!$D$4:$D$66"")=DP$2),$G$4:$BQ$4,$G116:$BQ116)))"),0.37101334333333325)</f>
        <v>0.3710133433</v>
      </c>
      <c r="DQ116" s="207" t="str">
        <f>IFERROR(__xludf.DUMMYFUNCTION("IF(OR(DP116&gt;$BS116+$BT116*$BT$2,DP116&lt;$BS116-$BT116*$BT$2),AVEDEV(ARRAYFORMULA(XLOOKUP(FILTER(INDIRECT(""'""&amp;DP$1&amp;""'!$C$4:$C$66""),INDIRECT(""'""&amp;DP$1&amp;""'!$D$4:$D$66"")=DP$2),$G$4:$BQ$4,$G116:$BQ116))),"""")"),"")</f>
        <v/>
      </c>
      <c r="DR116" s="208" t="str">
        <f t="shared" si="22"/>
        <v/>
      </c>
      <c r="DS116" s="210">
        <f>IFERROR(__xludf.DUMMYFUNCTION("AVERAGE(ARRAYFORMULA(XLOOKUP(FILTER(INDIRECT(""'""&amp;DS$1&amp;""'!$C$4:$C$66""),INDIRECT(""'""&amp;DS$1&amp;""'!$D$4:$D$66"")=DS$2),$G$4:$BQ$4,$G116:$BQ116)))"),0.33331296666666665)</f>
        <v>0.3333129667</v>
      </c>
      <c r="DT116" s="207" t="str">
        <f>IFERROR(__xludf.DUMMYFUNCTION("IF(OR(DS116&gt;$BS116+$BT116*$BT$2,DS116&lt;$BS116-$BT116*$BT$2),AVEDEV(ARRAYFORMULA(XLOOKUP(FILTER(INDIRECT(""'""&amp;DS$1&amp;""'!$C$4:$C$66""),INDIRECT(""'""&amp;DS$1&amp;""'!$D$4:$D$66"")=DS$2),$G$4:$BQ$4,$G116:$BQ116))),"""")"),"")</f>
        <v/>
      </c>
      <c r="DU116" s="208" t="str">
        <f t="shared" si="23"/>
        <v/>
      </c>
      <c r="DV116" s="210">
        <f>IFERROR(__xludf.DUMMYFUNCTION("AVERAGE(ARRAYFORMULA(XLOOKUP(FILTER(INDIRECT(""'""&amp;DV$1&amp;""'!$C$4:$C$66""),INDIRECT(""'""&amp;DV$1&amp;""'!$D$4:$D$66"")=DV$2),$G$4:$BQ$4,$G116:$BQ116)))"),-0.287683565)</f>
        <v>-0.287683565</v>
      </c>
      <c r="DW116" s="207" t="str">
        <f>IFERROR(__xludf.DUMMYFUNCTION("IF(OR(DV116&gt;$BS116+$BT116*$BT$2,DV116&lt;$BS116-$BT116*$BT$2),AVEDEV(ARRAYFORMULA(XLOOKUP(FILTER(INDIRECT(""'""&amp;DV$1&amp;""'!$C$4:$C$66""),INDIRECT(""'""&amp;DV$1&amp;""'!$D$4:$D$66"")=DV$2),$G$4:$BQ$4,$G116:$BQ116))),"""")"),"")</f>
        <v/>
      </c>
      <c r="DX116" s="208" t="str">
        <f t="shared" si="24"/>
        <v/>
      </c>
      <c r="DY116" s="210">
        <f>IFERROR(__xludf.DUMMYFUNCTION("AVERAGE(ARRAYFORMULA(XLOOKUP(FILTER(INDIRECT(""'""&amp;DY$1&amp;""'!$C$4:$C$66""),INDIRECT(""'""&amp;DY$1&amp;""'!$D$4:$D$66"")=DY$2),$G$4:$BQ$4,$G116:$BQ116)))"),2.0310363477777775)</f>
        <v>2.031036348</v>
      </c>
      <c r="DZ116" s="207">
        <f>IFERROR(__xludf.DUMMYFUNCTION("IF(OR(DY116&gt;$BS116+$BT116*$BT$2,DY116&lt;$BS116-$BT116*$BT$2),AVEDEV(ARRAYFORMULA(XLOOKUP(FILTER(INDIRECT(""'""&amp;DY$1&amp;""'!$C$4:$C$66""),INDIRECT(""'""&amp;DY$1&amp;""'!$D$4:$D$66"")=DY$2),$G$4:$BQ$4,$G116:$BQ116))),"""")"),1.1002269474074078)</f>
        <v>1.100226947</v>
      </c>
      <c r="EA116" s="208">
        <f t="shared" si="25"/>
        <v>0.5656096613</v>
      </c>
      <c r="EB116" s="191"/>
    </row>
    <row r="117" outlineLevel="1">
      <c r="A117" s="2"/>
      <c r="B117" s="204">
        <v>113.0</v>
      </c>
      <c r="C117" s="204" t="s">
        <v>540</v>
      </c>
      <c r="D117" s="204" t="s">
        <v>559</v>
      </c>
      <c r="E117" s="205" t="b">
        <f>VLOOKUP(D117,'Feature Set List'!A113:C246,2,0)</f>
        <v>1</v>
      </c>
      <c r="F117" s="205" t="b">
        <f>VLOOKUP(D117,'Feature Set List'!A113:C246,3,0)</f>
        <v>1</v>
      </c>
      <c r="G117" s="205">
        <v>-0.7950265</v>
      </c>
      <c r="H117" s="205">
        <v>1.22910536</v>
      </c>
      <c r="I117" s="205">
        <v>-1.1539141</v>
      </c>
      <c r="J117" s="205">
        <v>-0.525309</v>
      </c>
      <c r="K117" s="205">
        <v>0.28443202</v>
      </c>
      <c r="L117" s="205">
        <v>0.10785756</v>
      </c>
      <c r="M117" s="205">
        <v>1.38655091</v>
      </c>
      <c r="N117" s="205">
        <v>0.21085933</v>
      </c>
      <c r="O117" s="205">
        <v>0.0</v>
      </c>
      <c r="P117" s="205">
        <v>-0.1494997</v>
      </c>
      <c r="Q117" s="205">
        <v>-0.2263096</v>
      </c>
      <c r="R117" s="205">
        <v>0.18437316</v>
      </c>
      <c r="S117" s="205">
        <v>-0.6658328</v>
      </c>
      <c r="T117" s="205">
        <v>-0.1478811</v>
      </c>
      <c r="U117" s="205">
        <v>-0.4512949</v>
      </c>
      <c r="V117" s="205">
        <v>-0.5086816</v>
      </c>
      <c r="W117" s="205">
        <v>0.52869335</v>
      </c>
      <c r="X117" s="205">
        <v>-1.1656857</v>
      </c>
      <c r="Y117" s="205">
        <v>0.45364921</v>
      </c>
      <c r="Z117" s="205">
        <v>-0.4199529</v>
      </c>
      <c r="AA117" s="205">
        <v>0.18584461</v>
      </c>
      <c r="AB117" s="205">
        <v>-0.8931725</v>
      </c>
      <c r="AC117" s="205">
        <v>0.60079459</v>
      </c>
      <c r="AD117" s="205">
        <v>0.63758093</v>
      </c>
      <c r="AE117" s="205">
        <v>-0.814744</v>
      </c>
      <c r="AF117" s="205">
        <v>0.31238964</v>
      </c>
      <c r="AG117" s="205">
        <v>-1.2320483</v>
      </c>
      <c r="AH117" s="205">
        <v>-0.2438199</v>
      </c>
      <c r="AI117" s="205">
        <v>1.35270747</v>
      </c>
      <c r="AJ117" s="205">
        <v>-1.3053267</v>
      </c>
      <c r="AK117" s="205">
        <v>0.19467334</v>
      </c>
      <c r="AL117" s="205">
        <v>0.47130665</v>
      </c>
      <c r="AM117" s="205">
        <v>-0.2664803</v>
      </c>
      <c r="AN117" s="205">
        <v>0.92451442</v>
      </c>
      <c r="AO117" s="205">
        <v>-0.7296939</v>
      </c>
      <c r="AP117" s="205">
        <v>-0.3847852</v>
      </c>
      <c r="AQ117" s="205">
        <v>-0.6564155</v>
      </c>
      <c r="AR117" s="205">
        <v>3.39949971</v>
      </c>
      <c r="AS117" s="205">
        <v>0.16377281</v>
      </c>
      <c r="AT117" s="205">
        <v>0.07989994</v>
      </c>
      <c r="AU117" s="205">
        <v>1.81621542</v>
      </c>
      <c r="AV117" s="205">
        <v>-0.5286933</v>
      </c>
      <c r="AW117" s="205">
        <v>-0.3271042</v>
      </c>
      <c r="AX117" s="205">
        <v>-0.1877575</v>
      </c>
      <c r="AY117" s="205">
        <v>-0.9889641</v>
      </c>
      <c r="AZ117" s="205">
        <v>-0.3369629</v>
      </c>
      <c r="BA117" s="205">
        <v>0.31827546</v>
      </c>
      <c r="BB117" s="205">
        <v>-0.1043261</v>
      </c>
      <c r="BC117" s="205">
        <v>0.88772808</v>
      </c>
      <c r="BD117" s="205">
        <v>0.01957034</v>
      </c>
      <c r="BE117" s="205">
        <v>-1.3370659</v>
      </c>
      <c r="BF117" s="205">
        <v>-0.8736021</v>
      </c>
      <c r="BG117" s="205">
        <v>-0.5744556</v>
      </c>
      <c r="BH117" s="205">
        <v>0.1608299</v>
      </c>
      <c r="BI117" s="205">
        <v>1.3424073</v>
      </c>
      <c r="BJ117" s="205">
        <v>0.26530312</v>
      </c>
      <c r="BK117" s="205">
        <v>2.92716304</v>
      </c>
      <c r="BL117" s="205">
        <v>-1.0503237</v>
      </c>
      <c r="BM117" s="205">
        <v>2.06047675</v>
      </c>
      <c r="BN117" s="205">
        <v>0.33740436</v>
      </c>
      <c r="BO117" s="205">
        <v>-0.5463508</v>
      </c>
      <c r="BP117" s="205">
        <v>2.18113596</v>
      </c>
      <c r="BQ117" s="205">
        <v>1.70732784</v>
      </c>
      <c r="BR117" s="206"/>
      <c r="BS117" s="207">
        <f t="shared" si="6"/>
        <v>0.1133470187</v>
      </c>
      <c r="BT117" s="207">
        <f t="shared" si="7"/>
        <v>0.7413110545</v>
      </c>
      <c r="BU117" s="206"/>
      <c r="BV117" s="207">
        <f>IFERROR(__xludf.DUMMYFUNCTION("AVERAGE(ARRAYFORMULA(XLOOKUP(FILTER(INDIRECT(""'""&amp;BV$1&amp;""'!$C$4:$C$66""),INDIRECT(""'""&amp;BV$1&amp;""'!$D$4:$D$66"")=BV$2),$G$4:$BQ$4,$G117:$BQ117)))"),-0.8324791857142858)</f>
        <v>-0.8324791857</v>
      </c>
      <c r="BW117" s="207">
        <f>IFERROR(__xludf.DUMMYFUNCTION("IF(OR(BV117&gt;$BS117+$BT117*$BT$2,BV117&lt;$BS117-$BT117*$BT$2),AVEDEV(ARRAYFORMULA(XLOOKUP(FILTER(INDIRECT(""'""&amp;BV$1&amp;""'!$C$4:$C$66""),INDIRECT(""'""&amp;BV$1&amp;""'!$D$4:$D$66"")=BV$2),$G$4:$BQ$4,$G117:$BQ117))),"""")"),0.3463207591836735)</f>
        <v>0.3463207592</v>
      </c>
      <c r="BX117" s="208">
        <f t="shared" si="8"/>
        <v>-0.20451515</v>
      </c>
      <c r="BY117" s="207">
        <f>IFERROR(__xludf.DUMMYFUNCTION("AVERAGE(ARRAYFORMULA(XLOOKUP(FILTER(INDIRECT(""'""&amp;BY$1&amp;""'!$C$4:$C$66""),INDIRECT(""'""&amp;BY$1&amp;""'!$D$4:$D$66"")=BY$2),$G$4:$BQ$4,$G117:$BQ117)))"),0.2035195747619048)</f>
        <v>0.2035195748</v>
      </c>
      <c r="BZ117" s="207" t="str">
        <f>IFERROR(__xludf.DUMMYFUNCTION("IF(OR(BY117&gt;$BS117+$BT117*$BT$2,BY117&lt;$BS117-$BT117*$BT$2),AVEDEV(ARRAYFORMULA(XLOOKUP(FILTER(INDIRECT(""'""&amp;BY$1&amp;""'!$C$4:$C$66""),INDIRECT(""'""&amp;BY$1&amp;""'!$D$4:$D$66"")=BY$2),$G$4:$BQ$4,$G117:$BQ117))),"""")"),"")</f>
        <v/>
      </c>
      <c r="CA117" s="208" t="str">
        <f t="shared" si="9"/>
        <v/>
      </c>
      <c r="CB117" s="207">
        <f>IFERROR(__xludf.DUMMYFUNCTION("AVERAGE(ARRAYFORMULA(XLOOKUP(FILTER(INDIRECT(""'""&amp;CB$1&amp;""'!$C$4:$C$66""),INDIRECT(""'""&amp;CB$1&amp;""'!$D$4:$D$66"")=CB$2),$G$4:$BQ$4,$G117:$BQ117)))"),0.33986569818181817)</f>
        <v>0.3398656982</v>
      </c>
      <c r="CC117" s="207" t="str">
        <f>IFERROR(__xludf.DUMMYFUNCTION("IF(OR(CB117&gt;$BS117+$BT117*$BT$2,CB117&lt;$BS117-$BT117*$BT$2),AVEDEV(ARRAYFORMULA(XLOOKUP(FILTER(INDIRECT(""'""&amp;CB$1&amp;""'!$C$4:$C$66""),INDIRECT(""'""&amp;CB$1&amp;""'!$D$4:$D$66"")=CB$2),$G$4:$BQ$4,$G117:$BQ117))),"""")"),"")</f>
        <v/>
      </c>
      <c r="CD117" s="208" t="str">
        <f t="shared" si="10"/>
        <v/>
      </c>
      <c r="CE117" s="209" t="s">
        <v>444</v>
      </c>
      <c r="CF117" s="207">
        <f>IFERROR(__xludf.DUMMYFUNCTION("AVERAGE(ARRAYFORMULA(XLOOKUP(FILTER(INDIRECT(""'""&amp;CF$1&amp;""'!$C$4:$C$66""),INDIRECT(""'""&amp;CF$1&amp;""'!$D$4:$D$66"")=CF$2),$G$4:$BQ$4,$G117:$BQ117)))"),-0.15791459000000002)</f>
        <v>-0.15791459</v>
      </c>
      <c r="CG117" s="207" t="str">
        <f>IFERROR(__xludf.DUMMYFUNCTION("IF(OR(CF117&gt;$BS117+$BT117*$BT$2,CF117&lt;$BS117-$BT117*$BT$2),AVEDEV(ARRAYFORMULA(XLOOKUP(FILTER(INDIRECT(""'""&amp;CF$1&amp;""'!$C$4:$C$66""),INDIRECT(""'""&amp;CF$1&amp;""'!$D$4:$D$66"")=CF$2),$G$4:$BQ$4,$G117:$BQ117))),"""")"),"")</f>
        <v/>
      </c>
      <c r="CH117" s="208" t="str">
        <f t="shared" si="11"/>
        <v/>
      </c>
      <c r="CI117" s="207">
        <f>IFERROR(__xludf.DUMMYFUNCTION("AVERAGE(ARRAYFORMULA(XLOOKUP(FILTER(INDIRECT(""'""&amp;CI$1&amp;""'!$C$4:$C$66""),INDIRECT(""'""&amp;CI$1&amp;""'!$D$4:$D$66"")=CI$2),$G$4:$BQ$4,$G117:$BQ117)))"),0.2706539912903225)</f>
        <v>0.2706539913</v>
      </c>
      <c r="CJ117" s="207" t="str">
        <f>IFERROR(__xludf.DUMMYFUNCTION("IF(OR(CI117&gt;$BS117+$BT117*$BT$2,CI117&lt;$BS117-$BT117*$BT$2),AVEDEV(ARRAYFORMULA(XLOOKUP(FILTER(INDIRECT(""'""&amp;CI$1&amp;""'!$C$4:$C$66""),INDIRECT(""'""&amp;CI$1&amp;""'!$D$4:$D$66"")=CI$2),$G$4:$BQ$4,$G117:$BQ117))),"""")"),"")</f>
        <v/>
      </c>
      <c r="CK117" s="208" t="str">
        <f t="shared" si="12"/>
        <v/>
      </c>
      <c r="CL117" s="207">
        <f>IFERROR(__xludf.DUMMYFUNCTION("AVERAGE(ARRAYFORMULA(XLOOKUP(FILTER(INDIRECT(""'""&amp;CL$1&amp;""'!$C$4:$C$66""),INDIRECT(""'""&amp;CL$1&amp;""'!$D$4:$D$66"")=CL$2),$G$4:$BQ$4,$G117:$BQ117)))"),-0.07795762599999999)</f>
        <v>-0.077957626</v>
      </c>
      <c r="CM117" s="207" t="str">
        <f>IFERROR(__xludf.DUMMYFUNCTION("IF(OR(CL117&gt;$BS117+$BT117*$BT$2,CL117&lt;$BS117-$BT117*$BT$2),AVEDEV(ARRAYFORMULA(XLOOKUP(FILTER(INDIRECT(""'""&amp;CL$1&amp;""'!$C$4:$C$66""),INDIRECT(""'""&amp;CL$1&amp;""'!$D$4:$D$66"")=CL$2),$G$4:$BQ$4,$G117:$BQ117))),"""")"),"")</f>
        <v/>
      </c>
      <c r="CN117" s="208" t="str">
        <f t="shared" si="13"/>
        <v/>
      </c>
      <c r="CO117" s="209" t="s">
        <v>444</v>
      </c>
      <c r="CP117" s="210">
        <f>IFERROR(__xludf.DUMMYFUNCTION("AVERAGE(ARRAYFORMULA(XLOOKUP(FILTER(INDIRECT(""'""&amp;CP$1&amp;""'!$C$4:$C$66""),INDIRECT(""'""&amp;CP$1&amp;""'!$D$4:$D$66"")=CP$2),$G$4:$BQ$4,$G117:$BQ117)))"),-0.183997458)</f>
        <v>-0.183997458</v>
      </c>
      <c r="CQ117" s="207" t="str">
        <f>IFERROR(__xludf.DUMMYFUNCTION("IF(OR(CP117&gt;$BS117+$BT117*$BT$2,CP117&lt;$BS117-$BT117*$BT$2),AVEDEV(ARRAYFORMULA(XLOOKUP(FILTER(INDIRECT(""'""&amp;CP$1&amp;""'!$C$4:$C$66""),INDIRECT(""'""&amp;CP$1&amp;""'!$D$4:$D$66"")=CP$2),$G$4:$BQ$4,$G117:$BQ117))),"""")"),"")</f>
        <v/>
      </c>
      <c r="CR117" s="208" t="str">
        <f t="shared" si="14"/>
        <v/>
      </c>
      <c r="CS117" s="210">
        <f>IFERROR(__xludf.DUMMYFUNCTION("AVERAGE(ARRAYFORMULA(XLOOKUP(FILTER(INDIRECT(""'""&amp;CS$1&amp;""'!$C$4:$C$66""),INDIRECT(""'""&amp;CS$1&amp;""'!$D$4:$D$66"")=CS$2),$G$4:$BQ$4,$G117:$BQ117)))"),0.27330933897435894)</f>
        <v>0.273309339</v>
      </c>
      <c r="CT117" s="207" t="str">
        <f>IFERROR(__xludf.DUMMYFUNCTION("IF(OR(CS117&gt;$BS117+$BT117*$BT$2,CS117&lt;$BS117-$BT117*$BT$2),AVEDEV(ARRAYFORMULA(XLOOKUP(FILTER(INDIRECT(""'""&amp;CS$1&amp;""'!$C$4:$C$66""),INDIRECT(""'""&amp;CS$1&amp;""'!$D$4:$D$66"")=CS$2),$G$4:$BQ$4,$G117:$BQ117))),"""")"),"")</f>
        <v/>
      </c>
      <c r="CU117" s="208" t="str">
        <f t="shared" si="15"/>
        <v/>
      </c>
      <c r="CV117" s="210">
        <f>IFERROR(__xludf.DUMMYFUNCTION("AVERAGE(ARRAYFORMULA(XLOOKUP(FILTER(INDIRECT(""'""&amp;CV$1&amp;""'!$C$4:$C$66""),INDIRECT(""'""&amp;CV$1&amp;""'!$D$4:$D$66"")=CV$2),$G$4:$BQ$4,$G117:$BQ117)))"),-0.07795762599999999)</f>
        <v>-0.077957626</v>
      </c>
      <c r="CW117" s="207" t="str">
        <f>IFERROR(__xludf.DUMMYFUNCTION("IF(OR(CV117&gt;$BS117+$BT117*$BT$2,CV117&lt;$BS117-$BT117*$BT$2),AVEDEV(ARRAYFORMULA(XLOOKUP(FILTER(INDIRECT(""'""&amp;CV$1&amp;""'!$C$4:$C$66""),INDIRECT(""'""&amp;CV$1&amp;""'!$D$4:$D$66"")=CV$2),$G$4:$BQ$4,$G117:$BQ117))),"""")"),"")</f>
        <v/>
      </c>
      <c r="CX117" s="208" t="str">
        <f t="shared" si="16"/>
        <v/>
      </c>
      <c r="CY117" s="209" t="s">
        <v>444</v>
      </c>
      <c r="CZ117" s="210">
        <f>IFERROR(__xludf.DUMMYFUNCTION("AVERAGE(ARRAYFORMULA(XLOOKUP(FILTER(INDIRECT(""'""&amp;CZ$1&amp;""'!$C$4:$C$66""),INDIRECT(""'""&amp;CZ$1&amp;""'!$D$4:$D$66"")=CZ$2),$G$4:$BQ$4,$G117:$BQ117)))"),0.07593752071428568)</f>
        <v>0.07593752071</v>
      </c>
      <c r="DA117" s="207" t="str">
        <f>IFERROR(__xludf.DUMMYFUNCTION("IF(OR(CZ117&gt;$BS117+$BT117*$BT$2,CZ117&lt;$BS117-$BT117*$BT$2),AVEDEV(ARRAYFORMULA(XLOOKUP(FILTER(INDIRECT(""'""&amp;CZ$1&amp;""'!$C$4:$C$66""),INDIRECT(""'""&amp;CZ$1&amp;""'!$D$4:$D$66"")=CZ$2),$G$4:$BQ$4,$G117:$BQ117))),"""")"),"")</f>
        <v/>
      </c>
      <c r="DB117" s="208" t="str">
        <f t="shared" si="17"/>
        <v/>
      </c>
      <c r="DC117" s="210">
        <f>IFERROR(__xludf.DUMMYFUNCTION("AVERAGE(ARRAYFORMULA(XLOOKUP(FILTER(INDIRECT(""'""&amp;DC$1&amp;""'!$C$4:$C$66""),INDIRECT(""'""&amp;DC$1&amp;""'!$D$4:$D$66"")=DC$2),$G$4:$BQ$4,$G117:$BQ117)))"),0.22388987000000002)</f>
        <v>0.22388987</v>
      </c>
      <c r="DD117" s="207" t="str">
        <f>IFERROR(__xludf.DUMMYFUNCTION("IF(OR(DC117&gt;$BS117+$BT117*$BT$2,DC117&lt;$BS117-$BT117*$BT$2),AVEDEV(ARRAYFORMULA(XLOOKUP(FILTER(INDIRECT(""'""&amp;DC$1&amp;""'!$C$4:$C$66""),INDIRECT(""'""&amp;DC$1&amp;""'!$D$4:$D$66"")=DC$2),$G$4:$BQ$4,$G117:$BQ117))),"""")"),"")</f>
        <v/>
      </c>
      <c r="DE117" s="208" t="str">
        <f t="shared" si="18"/>
        <v/>
      </c>
      <c r="DF117" s="210">
        <f>IFERROR(__xludf.DUMMYFUNCTION("AVERAGE(ARRAYFORMULA(XLOOKUP(FILTER(INDIRECT(""'""&amp;DF$1&amp;""'!$C$4:$C$66""),INDIRECT(""'""&amp;DF$1&amp;""'!$D$4:$D$66"")=DF$2),$G$4:$BQ$4,$G117:$BQ117)))"),-0.28992990545454544)</f>
        <v>-0.2899299055</v>
      </c>
      <c r="DG117" s="207" t="str">
        <f>IFERROR(__xludf.DUMMYFUNCTION("IF(OR(DF117&gt;$BS117+$BT117*$BT$2,DF117&lt;$BS117-$BT117*$BT$2),AVEDEV(ARRAYFORMULA(XLOOKUP(FILTER(INDIRECT(""'""&amp;DF$1&amp;""'!$C$4:$C$66""),INDIRECT(""'""&amp;DF$1&amp;""'!$D$4:$D$66"")=DF$2),$G$4:$BQ$4,$G117:$BQ117))),"""")"),"")</f>
        <v/>
      </c>
      <c r="DH117" s="208" t="str">
        <f t="shared" si="19"/>
        <v/>
      </c>
      <c r="DI117" s="210">
        <f>IFERROR(__xludf.DUMMYFUNCTION("AVERAGE(ARRAYFORMULA(XLOOKUP(FILTER(INDIRECT(""'""&amp;DI$1&amp;""'!$C$4:$C$66""),INDIRECT(""'""&amp;DI$1&amp;""'!$D$4:$D$66"")=DI$2),$G$4:$BQ$4,$G117:$BQ117)))"),0.399205415)</f>
        <v>0.399205415</v>
      </c>
      <c r="DJ117" s="207" t="str">
        <f>IFERROR(__xludf.DUMMYFUNCTION("IF(OR(DI117&gt;$BS117+$BT117*$BT$2,DI117&lt;$BS117-$BT117*$BT$2),AVEDEV(ARRAYFORMULA(XLOOKUP(FILTER(INDIRECT(""'""&amp;DI$1&amp;""'!$C$4:$C$66""),INDIRECT(""'""&amp;DI$1&amp;""'!$D$4:$D$66"")=DI$2),$G$4:$BQ$4,$G117:$BQ117))),"""")"),"")</f>
        <v/>
      </c>
      <c r="DK117" s="208" t="str">
        <f t="shared" si="20"/>
        <v/>
      </c>
      <c r="DL117" s="210">
        <f>IFERROR(__xludf.DUMMYFUNCTION("AVERAGE(ARRAYFORMULA(XLOOKUP(FILTER(INDIRECT(""'""&amp;DL$1&amp;""'!$C$4:$C$66""),INDIRECT(""'""&amp;DL$1&amp;""'!$D$4:$D$66"")=DL$2),$G$4:$BQ$4,$G117:$BQ117)))"),0.6493105178571429)</f>
        <v>0.6493105179</v>
      </c>
      <c r="DM117" s="207" t="str">
        <f>IFERROR(__xludf.DUMMYFUNCTION("IF(OR(DL117&gt;$BS117+$BT117*$BT$2,DL117&lt;$BS117-$BT117*$BT$2),AVEDEV(ARRAYFORMULA(XLOOKUP(FILTER(INDIRECT(""'""&amp;DL$1&amp;""'!$C$4:$C$66""),INDIRECT(""'""&amp;DL$1&amp;""'!$D$4:$D$66"")=DL$2),$G$4:$BQ$4,$G117:$BQ117))),"""")"),"")</f>
        <v/>
      </c>
      <c r="DN117" s="208" t="str">
        <f t="shared" si="21"/>
        <v/>
      </c>
      <c r="DO117" s="209" t="s">
        <v>444</v>
      </c>
      <c r="DP117" s="210">
        <f>IFERROR(__xludf.DUMMYFUNCTION("AVERAGE(ARRAYFORMULA(XLOOKUP(FILTER(INDIRECT(""'""&amp;DP$1&amp;""'!$C$4:$C$66""),INDIRECT(""'""&amp;DP$1&amp;""'!$D$4:$D$66"")=DP$2),$G$4:$BQ$4,$G117:$BQ117)))"),0.18923042533333329)</f>
        <v>0.1892304253</v>
      </c>
      <c r="DQ117" s="207" t="str">
        <f>IFERROR(__xludf.DUMMYFUNCTION("IF(OR(DP117&gt;$BS117+$BT117*$BT$2,DP117&lt;$BS117-$BT117*$BT$2),AVEDEV(ARRAYFORMULA(XLOOKUP(FILTER(INDIRECT(""'""&amp;DP$1&amp;""'!$C$4:$C$66""),INDIRECT(""'""&amp;DP$1&amp;""'!$D$4:$D$66"")=DP$2),$G$4:$BQ$4,$G117:$BQ117))),"""")"),"")</f>
        <v/>
      </c>
      <c r="DR117" s="208" t="str">
        <f t="shared" si="22"/>
        <v/>
      </c>
      <c r="DS117" s="210">
        <f>IFERROR(__xludf.DUMMYFUNCTION("AVERAGE(ARRAYFORMULA(XLOOKUP(FILTER(INDIRECT(""'""&amp;DS$1&amp;""'!$C$4:$C$66""),INDIRECT(""'""&amp;DS$1&amp;""'!$D$4:$D$66"")=DS$2),$G$4:$BQ$4,$G117:$BQ117)))"),0.3089726033333332)</f>
        <v>0.3089726033</v>
      </c>
      <c r="DT117" s="207" t="str">
        <f>IFERROR(__xludf.DUMMYFUNCTION("IF(OR(DS117&gt;$BS117+$BT117*$BT$2,DS117&lt;$BS117-$BT117*$BT$2),AVEDEV(ARRAYFORMULA(XLOOKUP(FILTER(INDIRECT(""'""&amp;DS$1&amp;""'!$C$4:$C$66""),INDIRECT(""'""&amp;DS$1&amp;""'!$D$4:$D$66"")=DS$2),$G$4:$BQ$4,$G117:$BQ117))),"""")"),"")</f>
        <v/>
      </c>
      <c r="DU117" s="208" t="str">
        <f t="shared" si="23"/>
        <v/>
      </c>
      <c r="DV117" s="210">
        <f>IFERROR(__xludf.DUMMYFUNCTION("AVERAGE(ARRAYFORMULA(XLOOKUP(FILTER(INDIRECT(""'""&amp;DV$1&amp;""'!$C$4:$C$66""),INDIRECT(""'""&amp;DV$1&amp;""'!$D$4:$D$66"")=DV$2),$G$4:$BQ$4,$G117:$BQ117)))"),-0.42227045375000005)</f>
        <v>-0.4222704538</v>
      </c>
      <c r="DW117" s="207" t="str">
        <f>IFERROR(__xludf.DUMMYFUNCTION("IF(OR(DV117&gt;$BS117+$BT117*$BT$2,DV117&lt;$BS117-$BT117*$BT$2),AVEDEV(ARRAYFORMULA(XLOOKUP(FILTER(INDIRECT(""'""&amp;DV$1&amp;""'!$C$4:$C$66""),INDIRECT(""'""&amp;DV$1&amp;""'!$D$4:$D$66"")=DV$2),$G$4:$BQ$4,$G117:$BQ117))),"""")"),"")</f>
        <v/>
      </c>
      <c r="DX117" s="208" t="str">
        <f t="shared" si="24"/>
        <v/>
      </c>
      <c r="DY117" s="210">
        <f>IFERROR(__xludf.DUMMYFUNCTION("AVERAGE(ARRAYFORMULA(XLOOKUP(FILTER(INDIRECT(""'""&amp;DY$1&amp;""'!$C$4:$C$66""),INDIRECT(""'""&amp;DY$1&amp;""'!$D$4:$D$66"")=DY$2),$G$4:$BQ$4,$G117:$BQ117)))"),0.10285461666666668)</f>
        <v>0.1028546167</v>
      </c>
      <c r="DZ117" s="207" t="str">
        <f>IFERROR(__xludf.DUMMYFUNCTION("IF(OR(DY117&gt;$BS117+$BT117*$BT$2,DY117&lt;$BS117-$BT117*$BT$2),AVEDEV(ARRAYFORMULA(XLOOKUP(FILTER(INDIRECT(""'""&amp;DY$1&amp;""'!$C$4:$C$66""),INDIRECT(""'""&amp;DY$1&amp;""'!$D$4:$D$66"")=DY$2),$G$4:$BQ$4,$G117:$BQ117))),"""")"),"")</f>
        <v/>
      </c>
      <c r="EA117" s="208" t="str">
        <f t="shared" si="25"/>
        <v/>
      </c>
      <c r="EB117" s="191"/>
    </row>
    <row r="118" outlineLevel="1">
      <c r="A118" s="2"/>
      <c r="B118" s="204">
        <v>114.0</v>
      </c>
      <c r="C118" s="204" t="s">
        <v>540</v>
      </c>
      <c r="D118" s="204" t="s">
        <v>560</v>
      </c>
      <c r="E118" s="205" t="b">
        <f>VLOOKUP(D118,'Feature Set List'!A114:C246,2,0)</f>
        <v>1</v>
      </c>
      <c r="F118" s="205" t="b">
        <f>VLOOKUP(D118,'Feature Set List'!A114:C246,3,0)</f>
        <v>1</v>
      </c>
      <c r="G118" s="205">
        <v>0.0</v>
      </c>
      <c r="H118" s="205">
        <v>0.0</v>
      </c>
      <c r="I118" s="205">
        <v>0.0</v>
      </c>
      <c r="J118" s="205">
        <v>0.0</v>
      </c>
      <c r="K118" s="205">
        <v>0.0</v>
      </c>
      <c r="L118" s="205">
        <v>0.0</v>
      </c>
      <c r="M118" s="205">
        <v>0.0</v>
      </c>
      <c r="N118" s="205">
        <v>0.0</v>
      </c>
      <c r="O118" s="205">
        <v>0.0</v>
      </c>
      <c r="P118" s="205">
        <v>0.0</v>
      </c>
      <c r="Q118" s="205">
        <v>0.0</v>
      </c>
      <c r="R118" s="205">
        <v>0.0</v>
      </c>
      <c r="S118" s="205">
        <v>0.0</v>
      </c>
      <c r="T118" s="205">
        <v>0.0</v>
      </c>
      <c r="U118" s="205">
        <v>0.0</v>
      </c>
      <c r="V118" s="205">
        <v>0.0</v>
      </c>
      <c r="W118" s="205">
        <v>0.0</v>
      </c>
      <c r="X118" s="205">
        <v>0.0</v>
      </c>
      <c r="Y118" s="205">
        <v>0.0</v>
      </c>
      <c r="Z118" s="205">
        <v>0.0</v>
      </c>
      <c r="AA118" s="205">
        <v>0.0</v>
      </c>
      <c r="AB118" s="205">
        <v>0.0</v>
      </c>
      <c r="AC118" s="205">
        <v>0.0</v>
      </c>
      <c r="AD118" s="205">
        <v>0.0</v>
      </c>
      <c r="AE118" s="205">
        <v>0.0</v>
      </c>
      <c r="AF118" s="205">
        <v>0.0</v>
      </c>
      <c r="AG118" s="205">
        <v>0.0</v>
      </c>
      <c r="AH118" s="205">
        <v>0.0</v>
      </c>
      <c r="AI118" s="205">
        <v>0.0</v>
      </c>
      <c r="AJ118" s="205">
        <v>0.0</v>
      </c>
      <c r="AK118" s="205">
        <v>0.0</v>
      </c>
      <c r="AL118" s="205">
        <v>0.0</v>
      </c>
      <c r="AM118" s="205">
        <v>0.0</v>
      </c>
      <c r="AN118" s="205">
        <v>0.0</v>
      </c>
      <c r="AO118" s="205">
        <v>0.0</v>
      </c>
      <c r="AP118" s="205">
        <v>0.0</v>
      </c>
      <c r="AQ118" s="205">
        <v>0.0</v>
      </c>
      <c r="AR118" s="205">
        <v>0.0</v>
      </c>
      <c r="AS118" s="205">
        <v>0.0</v>
      </c>
      <c r="AT118" s="205">
        <v>0.0</v>
      </c>
      <c r="AU118" s="205">
        <v>0.125</v>
      </c>
      <c r="AV118" s="205">
        <v>0.0</v>
      </c>
      <c r="AW118" s="205">
        <v>0.0</v>
      </c>
      <c r="AX118" s="205">
        <v>0.0</v>
      </c>
      <c r="AY118" s="205">
        <v>0.0</v>
      </c>
      <c r="AZ118" s="205">
        <v>0.0</v>
      </c>
      <c r="BA118" s="205">
        <v>0.0</v>
      </c>
      <c r="BB118" s="205">
        <v>0.0</v>
      </c>
      <c r="BC118" s="205">
        <v>0.0</v>
      </c>
      <c r="BD118" s="205">
        <v>0.0</v>
      </c>
      <c r="BE118" s="205">
        <v>0.0</v>
      </c>
      <c r="BF118" s="205">
        <v>0.0</v>
      </c>
      <c r="BG118" s="205">
        <v>0.0</v>
      </c>
      <c r="BH118" s="205">
        <v>0.0</v>
      </c>
      <c r="BI118" s="205">
        <v>0.0</v>
      </c>
      <c r="BJ118" s="205">
        <v>0.0</v>
      </c>
      <c r="BK118" s="205">
        <v>0.0</v>
      </c>
      <c r="BL118" s="205">
        <v>0.0</v>
      </c>
      <c r="BM118" s="205">
        <v>0.0</v>
      </c>
      <c r="BN118" s="205">
        <v>0.0</v>
      </c>
      <c r="BO118" s="205">
        <v>0.0</v>
      </c>
      <c r="BP118" s="205">
        <v>0.0</v>
      </c>
      <c r="BQ118" s="205">
        <v>0.0</v>
      </c>
      <c r="BR118" s="206"/>
      <c r="BS118" s="207">
        <f t="shared" si="6"/>
        <v>0.001984126984</v>
      </c>
      <c r="BT118" s="207">
        <f t="shared" si="7"/>
        <v>0.00390526581</v>
      </c>
      <c r="BU118" s="206"/>
      <c r="BV118" s="207">
        <f>IFERROR(__xludf.DUMMYFUNCTION("AVERAGE(ARRAYFORMULA(XLOOKUP(FILTER(INDIRECT(""'""&amp;BV$1&amp;""'!$C$4:$C$66""),INDIRECT(""'""&amp;BV$1&amp;""'!$D$4:$D$66"")=BV$2),$G$4:$BQ$4,$G118:$BQ118)))"),0.0)</f>
        <v>0</v>
      </c>
      <c r="BW118" s="207" t="str">
        <f>IFERROR(__xludf.DUMMYFUNCTION("IF(OR(BV118&gt;$BS118+$BT118*$BT$2,BV118&lt;$BS118-$BT118*$BT$2),AVEDEV(ARRAYFORMULA(XLOOKUP(FILTER(INDIRECT(""'""&amp;BV$1&amp;""'!$C$4:$C$66""),INDIRECT(""'""&amp;BV$1&amp;""'!$D$4:$D$66"")=BV$2),$G$4:$BQ$4,$G118:$BQ118))),"""")"),"")</f>
        <v/>
      </c>
      <c r="BX118" s="208" t="str">
        <f t="shared" si="8"/>
        <v/>
      </c>
      <c r="BY118" s="207">
        <f>IFERROR(__xludf.DUMMYFUNCTION("AVERAGE(ARRAYFORMULA(XLOOKUP(FILTER(INDIRECT(""'""&amp;BY$1&amp;""'!$C$4:$C$66""),INDIRECT(""'""&amp;BY$1&amp;""'!$D$4:$D$66"")=BY$2),$G$4:$BQ$4,$G118:$BQ118)))"),0.0)</f>
        <v>0</v>
      </c>
      <c r="BZ118" s="207" t="str">
        <f>IFERROR(__xludf.DUMMYFUNCTION("IF(OR(BY118&gt;$BS118+$BT118*$BT$2,BY118&lt;$BS118-$BT118*$BT$2),AVEDEV(ARRAYFORMULA(XLOOKUP(FILTER(INDIRECT(""'""&amp;BY$1&amp;""'!$C$4:$C$66""),INDIRECT(""'""&amp;BY$1&amp;""'!$D$4:$D$66"")=BY$2),$G$4:$BQ$4,$G118:$BQ118))),"""")"),"")</f>
        <v/>
      </c>
      <c r="CA118" s="208" t="str">
        <f t="shared" si="9"/>
        <v/>
      </c>
      <c r="CB118" s="207">
        <f>IFERROR(__xludf.DUMMYFUNCTION("AVERAGE(ARRAYFORMULA(XLOOKUP(FILTER(INDIRECT(""'""&amp;CB$1&amp;""'!$C$4:$C$66""),INDIRECT(""'""&amp;CB$1&amp;""'!$D$4:$D$66"")=CB$2),$G$4:$BQ$4,$G118:$BQ118)))"),0.0)</f>
        <v>0</v>
      </c>
      <c r="CC118" s="207" t="str">
        <f>IFERROR(__xludf.DUMMYFUNCTION("IF(OR(CB118&gt;$BS118+$BT118*$BT$2,CB118&lt;$BS118-$BT118*$BT$2),AVEDEV(ARRAYFORMULA(XLOOKUP(FILTER(INDIRECT(""'""&amp;CB$1&amp;""'!$C$4:$C$66""),INDIRECT(""'""&amp;CB$1&amp;""'!$D$4:$D$66"")=CB$2),$G$4:$BQ$4,$G118:$BQ118))),"""")"),"")</f>
        <v/>
      </c>
      <c r="CD118" s="208" t="str">
        <f t="shared" si="10"/>
        <v/>
      </c>
      <c r="CE118" s="209" t="s">
        <v>444</v>
      </c>
      <c r="CF118" s="207">
        <f>IFERROR(__xludf.DUMMYFUNCTION("AVERAGE(ARRAYFORMULA(XLOOKUP(FILTER(INDIRECT(""'""&amp;CF$1&amp;""'!$C$4:$C$66""),INDIRECT(""'""&amp;CF$1&amp;""'!$D$4:$D$66"")=CF$2),$G$4:$BQ$4,$G118:$BQ118)))"),0.0)</f>
        <v>0</v>
      </c>
      <c r="CG118" s="207" t="str">
        <f>IFERROR(__xludf.DUMMYFUNCTION("IF(OR(CF118&gt;$BS118+$BT118*$BT$2,CF118&lt;$BS118-$BT118*$BT$2),AVEDEV(ARRAYFORMULA(XLOOKUP(FILTER(INDIRECT(""'""&amp;CF$1&amp;""'!$C$4:$C$66""),INDIRECT(""'""&amp;CF$1&amp;""'!$D$4:$D$66"")=CF$2),$G$4:$BQ$4,$G118:$BQ118))),"""")"),"")</f>
        <v/>
      </c>
      <c r="CH118" s="208" t="str">
        <f t="shared" si="11"/>
        <v/>
      </c>
      <c r="CI118" s="207">
        <f>IFERROR(__xludf.DUMMYFUNCTION("AVERAGE(ARRAYFORMULA(XLOOKUP(FILTER(INDIRECT(""'""&amp;CI$1&amp;""'!$C$4:$C$66""),INDIRECT(""'""&amp;CI$1&amp;""'!$D$4:$D$66"")=CI$2),$G$4:$BQ$4,$G118:$BQ118)))"),0.0)</f>
        <v>0</v>
      </c>
      <c r="CJ118" s="207" t="str">
        <f>IFERROR(__xludf.DUMMYFUNCTION("IF(OR(CI118&gt;$BS118+$BT118*$BT$2,CI118&lt;$BS118-$BT118*$BT$2),AVEDEV(ARRAYFORMULA(XLOOKUP(FILTER(INDIRECT(""'""&amp;CI$1&amp;""'!$C$4:$C$66""),INDIRECT(""'""&amp;CI$1&amp;""'!$D$4:$D$66"")=CI$2),$G$4:$BQ$4,$G118:$BQ118))),"""")"),"")</f>
        <v/>
      </c>
      <c r="CK118" s="208" t="str">
        <f t="shared" si="12"/>
        <v/>
      </c>
      <c r="CL118" s="207">
        <f>IFERROR(__xludf.DUMMYFUNCTION("AVERAGE(ARRAYFORMULA(XLOOKUP(FILTER(INDIRECT(""'""&amp;CL$1&amp;""'!$C$4:$C$66""),INDIRECT(""'""&amp;CL$1&amp;""'!$D$4:$D$66"")=CL$2),$G$4:$BQ$4,$G118:$BQ118)))"),0.0)</f>
        <v>0</v>
      </c>
      <c r="CM118" s="207" t="str">
        <f>IFERROR(__xludf.DUMMYFUNCTION("IF(OR(CL118&gt;$BS118+$BT118*$BT$2,CL118&lt;$BS118-$BT118*$BT$2),AVEDEV(ARRAYFORMULA(XLOOKUP(FILTER(INDIRECT(""'""&amp;CL$1&amp;""'!$C$4:$C$66""),INDIRECT(""'""&amp;CL$1&amp;""'!$D$4:$D$66"")=CL$2),$G$4:$BQ$4,$G118:$BQ118))),"""")"),"")</f>
        <v/>
      </c>
      <c r="CN118" s="208" t="str">
        <f t="shared" si="13"/>
        <v/>
      </c>
      <c r="CO118" s="209" t="s">
        <v>444</v>
      </c>
      <c r="CP118" s="210">
        <f>IFERROR(__xludf.DUMMYFUNCTION("AVERAGE(ARRAYFORMULA(XLOOKUP(FILTER(INDIRECT(""'""&amp;CP$1&amp;""'!$C$4:$C$66""),INDIRECT(""'""&amp;CP$1&amp;""'!$D$4:$D$66"")=CP$2),$G$4:$BQ$4,$G118:$BQ118)))"),0.0)</f>
        <v>0</v>
      </c>
      <c r="CQ118" s="207" t="str">
        <f>IFERROR(__xludf.DUMMYFUNCTION("IF(OR(CP118&gt;$BS118+$BT118*$BT$2,CP118&lt;$BS118-$BT118*$BT$2),AVEDEV(ARRAYFORMULA(XLOOKUP(FILTER(INDIRECT(""'""&amp;CP$1&amp;""'!$C$4:$C$66""),INDIRECT(""'""&amp;CP$1&amp;""'!$D$4:$D$66"")=CP$2),$G$4:$BQ$4,$G118:$BQ118))),"""")"),"")</f>
        <v/>
      </c>
      <c r="CR118" s="208" t="str">
        <f t="shared" si="14"/>
        <v/>
      </c>
      <c r="CS118" s="210">
        <f>IFERROR(__xludf.DUMMYFUNCTION("AVERAGE(ARRAYFORMULA(XLOOKUP(FILTER(INDIRECT(""'""&amp;CS$1&amp;""'!$C$4:$C$66""),INDIRECT(""'""&amp;CS$1&amp;""'!$D$4:$D$66"")=CS$2),$G$4:$BQ$4,$G118:$BQ118)))"),0.0)</f>
        <v>0</v>
      </c>
      <c r="CT118" s="207" t="str">
        <f>IFERROR(__xludf.DUMMYFUNCTION("IF(OR(CS118&gt;$BS118+$BT118*$BT$2,CS118&lt;$BS118-$BT118*$BT$2),AVEDEV(ARRAYFORMULA(XLOOKUP(FILTER(INDIRECT(""'""&amp;CS$1&amp;""'!$C$4:$C$66""),INDIRECT(""'""&amp;CS$1&amp;""'!$D$4:$D$66"")=CS$2),$G$4:$BQ$4,$G118:$BQ118))),"""")"),"")</f>
        <v/>
      </c>
      <c r="CU118" s="208" t="str">
        <f t="shared" si="15"/>
        <v/>
      </c>
      <c r="CV118" s="210">
        <f>IFERROR(__xludf.DUMMYFUNCTION("AVERAGE(ARRAYFORMULA(XLOOKUP(FILTER(INDIRECT(""'""&amp;CV$1&amp;""'!$C$4:$C$66""),INDIRECT(""'""&amp;CV$1&amp;""'!$D$4:$D$66"")=CV$2),$G$4:$BQ$4,$G118:$BQ118)))"),0.0)</f>
        <v>0</v>
      </c>
      <c r="CW118" s="207" t="str">
        <f>IFERROR(__xludf.DUMMYFUNCTION("IF(OR(CV118&gt;$BS118+$BT118*$BT$2,CV118&lt;$BS118-$BT118*$BT$2),AVEDEV(ARRAYFORMULA(XLOOKUP(FILTER(INDIRECT(""'""&amp;CV$1&amp;""'!$C$4:$C$66""),INDIRECT(""'""&amp;CV$1&amp;""'!$D$4:$D$66"")=CV$2),$G$4:$BQ$4,$G118:$BQ118))),"""")"),"")</f>
        <v/>
      </c>
      <c r="CX118" s="208" t="str">
        <f t="shared" si="16"/>
        <v/>
      </c>
      <c r="CY118" s="209" t="s">
        <v>444</v>
      </c>
      <c r="CZ118" s="210">
        <f>IFERROR(__xludf.DUMMYFUNCTION("AVERAGE(ARRAYFORMULA(XLOOKUP(FILTER(INDIRECT(""'""&amp;CZ$1&amp;""'!$C$4:$C$66""),INDIRECT(""'""&amp;CZ$1&amp;""'!$D$4:$D$66"")=CZ$2),$G$4:$BQ$4,$G118:$BQ118)))"),0.0)</f>
        <v>0</v>
      </c>
      <c r="DA118" s="207" t="str">
        <f>IFERROR(__xludf.DUMMYFUNCTION("IF(OR(CZ118&gt;$BS118+$BT118*$BT$2,CZ118&lt;$BS118-$BT118*$BT$2),AVEDEV(ARRAYFORMULA(XLOOKUP(FILTER(INDIRECT(""'""&amp;CZ$1&amp;""'!$C$4:$C$66""),INDIRECT(""'""&amp;CZ$1&amp;""'!$D$4:$D$66"")=CZ$2),$G$4:$BQ$4,$G118:$BQ118))),"""")"),"")</f>
        <v/>
      </c>
      <c r="DB118" s="208" t="str">
        <f t="shared" si="17"/>
        <v/>
      </c>
      <c r="DC118" s="210">
        <f>IFERROR(__xludf.DUMMYFUNCTION("AVERAGE(ARRAYFORMULA(XLOOKUP(FILTER(INDIRECT(""'""&amp;DC$1&amp;""'!$C$4:$C$66""),INDIRECT(""'""&amp;DC$1&amp;""'!$D$4:$D$66"")=DC$2),$G$4:$BQ$4,$G118:$BQ118)))"),0.0)</f>
        <v>0</v>
      </c>
      <c r="DD118" s="207" t="str">
        <f>IFERROR(__xludf.DUMMYFUNCTION("IF(OR(DC118&gt;$BS118+$BT118*$BT$2,DC118&lt;$BS118-$BT118*$BT$2),AVEDEV(ARRAYFORMULA(XLOOKUP(FILTER(INDIRECT(""'""&amp;DC$1&amp;""'!$C$4:$C$66""),INDIRECT(""'""&amp;DC$1&amp;""'!$D$4:$D$66"")=DC$2),$G$4:$BQ$4,$G118:$BQ118))),"""")"),"")</f>
        <v/>
      </c>
      <c r="DE118" s="208" t="str">
        <f t="shared" si="18"/>
        <v/>
      </c>
      <c r="DF118" s="210">
        <f>IFERROR(__xludf.DUMMYFUNCTION("AVERAGE(ARRAYFORMULA(XLOOKUP(FILTER(INDIRECT(""'""&amp;DF$1&amp;""'!$C$4:$C$66""),INDIRECT(""'""&amp;DF$1&amp;""'!$D$4:$D$66"")=DF$2),$G$4:$BQ$4,$G118:$BQ118)))"),0.0)</f>
        <v>0</v>
      </c>
      <c r="DG118" s="207" t="str">
        <f>IFERROR(__xludf.DUMMYFUNCTION("IF(OR(DF118&gt;$BS118+$BT118*$BT$2,DF118&lt;$BS118-$BT118*$BT$2),AVEDEV(ARRAYFORMULA(XLOOKUP(FILTER(INDIRECT(""'""&amp;DF$1&amp;""'!$C$4:$C$66""),INDIRECT(""'""&amp;DF$1&amp;""'!$D$4:$D$66"")=DF$2),$G$4:$BQ$4,$G118:$BQ118))),"""")"),"")</f>
        <v/>
      </c>
      <c r="DH118" s="208" t="str">
        <f t="shared" si="19"/>
        <v/>
      </c>
      <c r="DI118" s="210">
        <f>IFERROR(__xludf.DUMMYFUNCTION("AVERAGE(ARRAYFORMULA(XLOOKUP(FILTER(INDIRECT(""'""&amp;DI$1&amp;""'!$C$4:$C$66""),INDIRECT(""'""&amp;DI$1&amp;""'!$D$4:$D$66"")=DI$2),$G$4:$BQ$4,$G118:$BQ118)))"),0.0)</f>
        <v>0</v>
      </c>
      <c r="DJ118" s="207" t="str">
        <f>IFERROR(__xludf.DUMMYFUNCTION("IF(OR(DI118&gt;$BS118+$BT118*$BT$2,DI118&lt;$BS118-$BT118*$BT$2),AVEDEV(ARRAYFORMULA(XLOOKUP(FILTER(INDIRECT(""'""&amp;DI$1&amp;""'!$C$4:$C$66""),INDIRECT(""'""&amp;DI$1&amp;""'!$D$4:$D$66"")=DI$2),$G$4:$BQ$4,$G118:$BQ118))),"""")"),"")</f>
        <v/>
      </c>
      <c r="DK118" s="208" t="str">
        <f t="shared" si="20"/>
        <v/>
      </c>
      <c r="DL118" s="210">
        <f>IFERROR(__xludf.DUMMYFUNCTION("AVERAGE(ARRAYFORMULA(XLOOKUP(FILTER(INDIRECT(""'""&amp;DL$1&amp;""'!$C$4:$C$66""),INDIRECT(""'""&amp;DL$1&amp;""'!$D$4:$D$66"")=DL$2),$G$4:$BQ$4,$G118:$BQ118)))"),0.0)</f>
        <v>0</v>
      </c>
      <c r="DM118" s="207" t="str">
        <f>IFERROR(__xludf.DUMMYFUNCTION("IF(OR(DL118&gt;$BS118+$BT118*$BT$2,DL118&lt;$BS118-$BT118*$BT$2),AVEDEV(ARRAYFORMULA(XLOOKUP(FILTER(INDIRECT(""'""&amp;DL$1&amp;""'!$C$4:$C$66""),INDIRECT(""'""&amp;DL$1&amp;""'!$D$4:$D$66"")=DL$2),$G$4:$BQ$4,$G118:$BQ118))),"""")"),"")</f>
        <v/>
      </c>
      <c r="DN118" s="208" t="str">
        <f t="shared" si="21"/>
        <v/>
      </c>
      <c r="DO118" s="209" t="s">
        <v>444</v>
      </c>
      <c r="DP118" s="210">
        <f>IFERROR(__xludf.DUMMYFUNCTION("AVERAGE(ARRAYFORMULA(XLOOKUP(FILTER(INDIRECT(""'""&amp;DP$1&amp;""'!$C$4:$C$66""),INDIRECT(""'""&amp;DP$1&amp;""'!$D$4:$D$66"")=DP$2),$G$4:$BQ$4,$G118:$BQ118)))"),0.0)</f>
        <v>0</v>
      </c>
      <c r="DQ118" s="207" t="str">
        <f>IFERROR(__xludf.DUMMYFUNCTION("IF(OR(DP118&gt;$BS118+$BT118*$BT$2,DP118&lt;$BS118-$BT118*$BT$2),AVEDEV(ARRAYFORMULA(XLOOKUP(FILTER(INDIRECT(""'""&amp;DP$1&amp;""'!$C$4:$C$66""),INDIRECT(""'""&amp;DP$1&amp;""'!$D$4:$D$66"")=DP$2),$G$4:$BQ$4,$G118:$BQ118))),"""")"),"")</f>
        <v/>
      </c>
      <c r="DR118" s="208" t="str">
        <f t="shared" si="22"/>
        <v/>
      </c>
      <c r="DS118" s="210">
        <f>IFERROR(__xludf.DUMMYFUNCTION("AVERAGE(ARRAYFORMULA(XLOOKUP(FILTER(INDIRECT(""'""&amp;DS$1&amp;""'!$C$4:$C$66""),INDIRECT(""'""&amp;DS$1&amp;""'!$D$4:$D$66"")=DS$2),$G$4:$BQ$4,$G118:$BQ118)))"),0.0)</f>
        <v>0</v>
      </c>
      <c r="DT118" s="207" t="str">
        <f>IFERROR(__xludf.DUMMYFUNCTION("IF(OR(DS118&gt;$BS118+$BT118*$BT$2,DS118&lt;$BS118-$BT118*$BT$2),AVEDEV(ARRAYFORMULA(XLOOKUP(FILTER(INDIRECT(""'""&amp;DS$1&amp;""'!$C$4:$C$66""),INDIRECT(""'""&amp;DS$1&amp;""'!$D$4:$D$66"")=DS$2),$G$4:$BQ$4,$G118:$BQ118))),"""")"),"")</f>
        <v/>
      </c>
      <c r="DU118" s="208" t="str">
        <f t="shared" si="23"/>
        <v/>
      </c>
      <c r="DV118" s="210">
        <f>IFERROR(__xludf.DUMMYFUNCTION("AVERAGE(ARRAYFORMULA(XLOOKUP(FILTER(INDIRECT(""'""&amp;DV$1&amp;""'!$C$4:$C$66""),INDIRECT(""'""&amp;DV$1&amp;""'!$D$4:$D$66"")=DV$2),$G$4:$BQ$4,$G118:$BQ118)))"),0.0)</f>
        <v>0</v>
      </c>
      <c r="DW118" s="207" t="str">
        <f>IFERROR(__xludf.DUMMYFUNCTION("IF(OR(DV118&gt;$BS118+$BT118*$BT$2,DV118&lt;$BS118-$BT118*$BT$2),AVEDEV(ARRAYFORMULA(XLOOKUP(FILTER(INDIRECT(""'""&amp;DV$1&amp;""'!$C$4:$C$66""),INDIRECT(""'""&amp;DV$1&amp;""'!$D$4:$D$66"")=DV$2),$G$4:$BQ$4,$G118:$BQ118))),"""")"),"")</f>
        <v/>
      </c>
      <c r="DX118" s="208" t="str">
        <f t="shared" si="24"/>
        <v/>
      </c>
      <c r="DY118" s="210">
        <f>IFERROR(__xludf.DUMMYFUNCTION("AVERAGE(ARRAYFORMULA(XLOOKUP(FILTER(INDIRECT(""'""&amp;DY$1&amp;""'!$C$4:$C$66""),INDIRECT(""'""&amp;DY$1&amp;""'!$D$4:$D$66"")=DY$2),$G$4:$BQ$4,$G118:$BQ118)))"),0.0)</f>
        <v>0</v>
      </c>
      <c r="DZ118" s="207" t="str">
        <f>IFERROR(__xludf.DUMMYFUNCTION("IF(OR(DY118&gt;$BS118+$BT118*$BT$2,DY118&lt;$BS118-$BT118*$BT$2),AVEDEV(ARRAYFORMULA(XLOOKUP(FILTER(INDIRECT(""'""&amp;DY$1&amp;""'!$C$4:$C$66""),INDIRECT(""'""&amp;DY$1&amp;""'!$D$4:$D$66"")=DY$2),$G$4:$BQ$4,$G118:$BQ118))),"""")"),"")</f>
        <v/>
      </c>
      <c r="EA118" s="208" t="str">
        <f t="shared" si="25"/>
        <v/>
      </c>
      <c r="EB118" s="191"/>
    </row>
    <row r="119" outlineLevel="1">
      <c r="A119" s="2"/>
      <c r="B119" s="204">
        <v>115.0</v>
      </c>
      <c r="C119" s="204" t="s">
        <v>540</v>
      </c>
      <c r="D119" s="204" t="s">
        <v>561</v>
      </c>
      <c r="E119" s="205" t="b">
        <f>VLOOKUP(D119,'Feature Set List'!A115:C246,2,0)</f>
        <v>1</v>
      </c>
      <c r="F119" s="205" t="b">
        <f>VLOOKUP(D119,'Feature Set List'!A115:C246,3,0)</f>
        <v>1</v>
      </c>
      <c r="G119" s="205">
        <v>0.0</v>
      </c>
      <c r="H119" s="205">
        <v>0.0</v>
      </c>
      <c r="I119" s="205">
        <v>0.0</v>
      </c>
      <c r="J119" s="205">
        <v>0.0</v>
      </c>
      <c r="K119" s="205">
        <v>-4.0</v>
      </c>
      <c r="L119" s="205">
        <v>0.0</v>
      </c>
      <c r="M119" s="205">
        <v>-6.0</v>
      </c>
      <c r="N119" s="205">
        <v>0.0</v>
      </c>
      <c r="O119" s="205">
        <v>-4.0</v>
      </c>
      <c r="P119" s="205">
        <v>0.0</v>
      </c>
      <c r="Q119" s="205">
        <v>-4.0</v>
      </c>
      <c r="R119" s="205">
        <v>-4.0</v>
      </c>
      <c r="S119" s="205">
        <v>0.0</v>
      </c>
      <c r="T119" s="205">
        <v>0.0</v>
      </c>
      <c r="U119" s="205">
        <v>-9.0</v>
      </c>
      <c r="V119" s="205">
        <v>0.0</v>
      </c>
      <c r="W119" s="205">
        <v>0.0</v>
      </c>
      <c r="X119" s="205">
        <v>0.0</v>
      </c>
      <c r="Y119" s="205">
        <v>0.0</v>
      </c>
      <c r="Z119" s="205">
        <v>0.0</v>
      </c>
      <c r="AA119" s="205">
        <v>0.0</v>
      </c>
      <c r="AB119" s="205">
        <v>0.0</v>
      </c>
      <c r="AC119" s="205">
        <v>0.0</v>
      </c>
      <c r="AD119" s="205">
        <v>0.0</v>
      </c>
      <c r="AE119" s="205">
        <v>0.0</v>
      </c>
      <c r="AF119" s="205">
        <v>0.0</v>
      </c>
      <c r="AG119" s="205">
        <v>0.0</v>
      </c>
      <c r="AH119" s="205">
        <v>0.0</v>
      </c>
      <c r="AI119" s="205">
        <v>0.0</v>
      </c>
      <c r="AJ119" s="205">
        <v>0.0</v>
      </c>
      <c r="AK119" s="205">
        <v>0.0</v>
      </c>
      <c r="AL119" s="205">
        <v>0.0</v>
      </c>
      <c r="AM119" s="205">
        <v>0.0</v>
      </c>
      <c r="AN119" s="205">
        <v>0.0</v>
      </c>
      <c r="AO119" s="205">
        <v>-8.0</v>
      </c>
      <c r="AP119" s="205">
        <v>0.0</v>
      </c>
      <c r="AQ119" s="205">
        <v>0.0</v>
      </c>
      <c r="AR119" s="205">
        <v>-4.0</v>
      </c>
      <c r="AS119" s="205">
        <v>0.0</v>
      </c>
      <c r="AT119" s="205">
        <v>-4.0</v>
      </c>
      <c r="AU119" s="205">
        <v>0.0</v>
      </c>
      <c r="AV119" s="205">
        <v>0.0</v>
      </c>
      <c r="AW119" s="205">
        <v>0.0</v>
      </c>
      <c r="AX119" s="205">
        <v>-4.0</v>
      </c>
      <c r="AY119" s="205">
        <v>-8.0</v>
      </c>
      <c r="AZ119" s="205">
        <v>0.0</v>
      </c>
      <c r="BA119" s="205">
        <v>0.0</v>
      </c>
      <c r="BB119" s="205">
        <v>0.0</v>
      </c>
      <c r="BC119" s="205">
        <v>0.0</v>
      </c>
      <c r="BD119" s="205">
        <v>0.0</v>
      </c>
      <c r="BE119" s="205">
        <v>0.0</v>
      </c>
      <c r="BF119" s="205">
        <v>0.0</v>
      </c>
      <c r="BG119" s="205">
        <v>0.0</v>
      </c>
      <c r="BH119" s="205">
        <v>0.0</v>
      </c>
      <c r="BI119" s="205">
        <v>0.0</v>
      </c>
      <c r="BJ119" s="205">
        <v>0.0</v>
      </c>
      <c r="BK119" s="205">
        <v>-4.0</v>
      </c>
      <c r="BL119" s="205">
        <v>0.0</v>
      </c>
      <c r="BM119" s="205">
        <v>0.0</v>
      </c>
      <c r="BN119" s="205">
        <v>0.0</v>
      </c>
      <c r="BO119" s="205">
        <v>0.0</v>
      </c>
      <c r="BP119" s="205">
        <v>0.0</v>
      </c>
      <c r="BQ119" s="205">
        <v>0.0</v>
      </c>
      <c r="BR119" s="206"/>
      <c r="BS119" s="207">
        <f t="shared" si="6"/>
        <v>-1</v>
      </c>
      <c r="BT119" s="207">
        <f t="shared" si="7"/>
        <v>1.619047619</v>
      </c>
      <c r="BU119" s="206"/>
      <c r="BV119" s="207">
        <f>IFERROR(__xludf.DUMMYFUNCTION("AVERAGE(ARRAYFORMULA(XLOOKUP(FILTER(INDIRECT(""'""&amp;BV$1&amp;""'!$C$4:$C$66""),INDIRECT(""'""&amp;BV$1&amp;""'!$D$4:$D$66"")=BV$2),$G$4:$BQ$4,$G119:$BQ119)))"),-3.5714285714285716)</f>
        <v>-3.571428571</v>
      </c>
      <c r="BW119" s="207">
        <f>IFERROR(__xludf.DUMMYFUNCTION("IF(OR(BV119&gt;$BS119+$BT119*$BT$2,BV119&lt;$BS119-$BT119*$BT$2),AVEDEV(ARRAYFORMULA(XLOOKUP(FILTER(INDIRECT(""'""&amp;BV$1&amp;""'!$C$4:$C$66""),INDIRECT(""'""&amp;BV$1&amp;""'!$D$4:$D$66"")=BV$2),$G$4:$BQ$4,$G119:$BQ119))),"""")"),4.0816326530612255)</f>
        <v>4.081632653</v>
      </c>
      <c r="BX119" s="208" t="str">
        <f t="shared" si="8"/>
        <v/>
      </c>
      <c r="BY119" s="207">
        <f>IFERROR(__xludf.DUMMYFUNCTION("AVERAGE(ARRAYFORMULA(XLOOKUP(FILTER(INDIRECT(""'""&amp;BY$1&amp;""'!$C$4:$C$66""),INDIRECT(""'""&amp;BY$1&amp;""'!$D$4:$D$66"")=BY$2),$G$4:$BQ$4,$G119:$BQ119)))"),-0.7619047619047619)</f>
        <v>-0.7619047619</v>
      </c>
      <c r="BZ119" s="207" t="str">
        <f>IFERROR(__xludf.DUMMYFUNCTION("IF(OR(BY119&gt;$BS119+$BT119*$BT$2,BY119&lt;$BS119-$BT119*$BT$2),AVEDEV(ARRAYFORMULA(XLOOKUP(FILTER(INDIRECT(""'""&amp;BY$1&amp;""'!$C$4:$C$66""),INDIRECT(""'""&amp;BY$1&amp;""'!$D$4:$D$66"")=BY$2),$G$4:$BQ$4,$G119:$BQ119))),"""")"),"")</f>
        <v/>
      </c>
      <c r="CA119" s="208" t="str">
        <f t="shared" si="9"/>
        <v/>
      </c>
      <c r="CB119" s="207">
        <f>IFERROR(__xludf.DUMMYFUNCTION("AVERAGE(ARRAYFORMULA(XLOOKUP(FILTER(INDIRECT(""'""&amp;CB$1&amp;""'!$C$4:$C$66""),INDIRECT(""'""&amp;CB$1&amp;""'!$D$4:$D$66"")=CB$2),$G$4:$BQ$4,$G119:$BQ119)))"),-0.5454545454545454)</f>
        <v>-0.5454545455</v>
      </c>
      <c r="CC119" s="207" t="str">
        <f>IFERROR(__xludf.DUMMYFUNCTION("IF(OR(CB119&gt;$BS119+$BT119*$BT$2,CB119&lt;$BS119-$BT119*$BT$2),AVEDEV(ARRAYFORMULA(XLOOKUP(FILTER(INDIRECT(""'""&amp;CB$1&amp;""'!$C$4:$C$66""),INDIRECT(""'""&amp;CB$1&amp;""'!$D$4:$D$66"")=CB$2),$G$4:$BQ$4,$G119:$BQ119))),"""")"),"")</f>
        <v/>
      </c>
      <c r="CD119" s="208" t="str">
        <f t="shared" si="10"/>
        <v/>
      </c>
      <c r="CE119" s="209" t="s">
        <v>444</v>
      </c>
      <c r="CF119" s="207">
        <f>IFERROR(__xludf.DUMMYFUNCTION("AVERAGE(ARRAYFORMULA(XLOOKUP(FILTER(INDIRECT(""'""&amp;CF$1&amp;""'!$C$4:$C$66""),INDIRECT(""'""&amp;CF$1&amp;""'!$D$4:$D$66"")=CF$2),$G$4:$BQ$4,$G119:$BQ119)))"),-1.0625)</f>
        <v>-1.0625</v>
      </c>
      <c r="CG119" s="207" t="str">
        <f>IFERROR(__xludf.DUMMYFUNCTION("IF(OR(CF119&gt;$BS119+$BT119*$BT$2,CF119&lt;$BS119-$BT119*$BT$2),AVEDEV(ARRAYFORMULA(XLOOKUP(FILTER(INDIRECT(""'""&amp;CF$1&amp;""'!$C$4:$C$66""),INDIRECT(""'""&amp;CF$1&amp;""'!$D$4:$D$66"")=CF$2),$G$4:$BQ$4,$G119:$BQ119))),"""")"),"")</f>
        <v/>
      </c>
      <c r="CH119" s="208" t="str">
        <f t="shared" si="11"/>
        <v/>
      </c>
      <c r="CI119" s="207">
        <f>IFERROR(__xludf.DUMMYFUNCTION("AVERAGE(ARRAYFORMULA(XLOOKUP(FILTER(INDIRECT(""'""&amp;CI$1&amp;""'!$C$4:$C$66""),INDIRECT(""'""&amp;CI$1&amp;""'!$D$4:$D$66"")=CI$2),$G$4:$BQ$4,$G119:$BQ119)))"),-0.967741935483871)</f>
        <v>-0.9677419355</v>
      </c>
      <c r="CJ119" s="207" t="str">
        <f>IFERROR(__xludf.DUMMYFUNCTION("IF(OR(CI119&gt;$BS119+$BT119*$BT$2,CI119&lt;$BS119-$BT119*$BT$2),AVEDEV(ARRAYFORMULA(XLOOKUP(FILTER(INDIRECT(""'""&amp;CI$1&amp;""'!$C$4:$C$66""),INDIRECT(""'""&amp;CI$1&amp;""'!$D$4:$D$66"")=CI$2),$G$4:$BQ$4,$G119:$BQ119))),"""")"),"")</f>
        <v/>
      </c>
      <c r="CK119" s="208" t="str">
        <f t="shared" si="12"/>
        <v/>
      </c>
      <c r="CL119" s="207">
        <f>IFERROR(__xludf.DUMMYFUNCTION("AVERAGE(ARRAYFORMULA(XLOOKUP(FILTER(INDIRECT(""'""&amp;CL$1&amp;""'!$C$4:$C$66""),INDIRECT(""'""&amp;CL$1&amp;""'!$D$4:$D$66"")=CL$2),$G$4:$BQ$4,$G119:$BQ119)))"),0.0)</f>
        <v>0</v>
      </c>
      <c r="CM119" s="207" t="str">
        <f>IFERROR(__xludf.DUMMYFUNCTION("IF(OR(CL119&gt;$BS119+$BT119*$BT$2,CL119&lt;$BS119-$BT119*$BT$2),AVEDEV(ARRAYFORMULA(XLOOKUP(FILTER(INDIRECT(""'""&amp;CL$1&amp;""'!$C$4:$C$66""),INDIRECT(""'""&amp;CL$1&amp;""'!$D$4:$D$66"")=CL$2),$G$4:$BQ$4,$G119:$BQ119))),"""")"),"")</f>
        <v/>
      </c>
      <c r="CN119" s="208" t="str">
        <f t="shared" si="13"/>
        <v/>
      </c>
      <c r="CO119" s="209" t="s">
        <v>444</v>
      </c>
      <c r="CP119" s="210">
        <f>IFERROR(__xludf.DUMMYFUNCTION("AVERAGE(ARRAYFORMULA(XLOOKUP(FILTER(INDIRECT(""'""&amp;CP$1&amp;""'!$C$4:$C$66""),INDIRECT(""'""&amp;CP$1&amp;""'!$D$4:$D$66"")=CP$2),$G$4:$BQ$4,$G119:$BQ119)))"),-0.8666666666666667)</f>
        <v>-0.8666666667</v>
      </c>
      <c r="CQ119" s="207" t="str">
        <f>IFERROR(__xludf.DUMMYFUNCTION("IF(OR(CP119&gt;$BS119+$BT119*$BT$2,CP119&lt;$BS119-$BT119*$BT$2),AVEDEV(ARRAYFORMULA(XLOOKUP(FILTER(INDIRECT(""'""&amp;CP$1&amp;""'!$C$4:$C$66""),INDIRECT(""'""&amp;CP$1&amp;""'!$D$4:$D$66"")=CP$2),$G$4:$BQ$4,$G119:$BQ119))),"""")"),"")</f>
        <v/>
      </c>
      <c r="CR119" s="208" t="str">
        <f t="shared" si="14"/>
        <v/>
      </c>
      <c r="CS119" s="210">
        <f>IFERROR(__xludf.DUMMYFUNCTION("AVERAGE(ARRAYFORMULA(XLOOKUP(FILTER(INDIRECT(""'""&amp;CS$1&amp;""'!$C$4:$C$66""),INDIRECT(""'""&amp;CS$1&amp;""'!$D$4:$D$66"")=CS$2),$G$4:$BQ$4,$G119:$BQ119)))"),-1.2820512820512822)</f>
        <v>-1.282051282</v>
      </c>
      <c r="CT119" s="207" t="str">
        <f>IFERROR(__xludf.DUMMYFUNCTION("IF(OR(CS119&gt;$BS119+$BT119*$BT$2,CS119&lt;$BS119-$BT119*$BT$2),AVEDEV(ARRAYFORMULA(XLOOKUP(FILTER(INDIRECT(""'""&amp;CS$1&amp;""'!$C$4:$C$66""),INDIRECT(""'""&amp;CS$1&amp;""'!$D$4:$D$66"")=CS$2),$G$4:$BQ$4,$G119:$BQ119))),"""")"),"")</f>
        <v/>
      </c>
      <c r="CU119" s="208" t="str">
        <f t="shared" si="15"/>
        <v/>
      </c>
      <c r="CV119" s="210">
        <f>IFERROR(__xludf.DUMMYFUNCTION("AVERAGE(ARRAYFORMULA(XLOOKUP(FILTER(INDIRECT(""'""&amp;CV$1&amp;""'!$C$4:$C$66""),INDIRECT(""'""&amp;CV$1&amp;""'!$D$4:$D$66"")=CV$2),$G$4:$BQ$4,$G119:$BQ119)))"),0.0)</f>
        <v>0</v>
      </c>
      <c r="CW119" s="207" t="str">
        <f>IFERROR(__xludf.DUMMYFUNCTION("IF(OR(CV119&gt;$BS119+$BT119*$BT$2,CV119&lt;$BS119-$BT119*$BT$2),AVEDEV(ARRAYFORMULA(XLOOKUP(FILTER(INDIRECT(""'""&amp;CV$1&amp;""'!$C$4:$C$66""),INDIRECT(""'""&amp;CV$1&amp;""'!$D$4:$D$66"")=CV$2),$G$4:$BQ$4,$G119:$BQ119))),"""")"),"")</f>
        <v/>
      </c>
      <c r="CX119" s="208" t="str">
        <f t="shared" si="16"/>
        <v/>
      </c>
      <c r="CY119" s="209" t="s">
        <v>444</v>
      </c>
      <c r="CZ119" s="210">
        <f>IFERROR(__xludf.DUMMYFUNCTION("AVERAGE(ARRAYFORMULA(XLOOKUP(FILTER(INDIRECT(""'""&amp;CZ$1&amp;""'!$C$4:$C$66""),INDIRECT(""'""&amp;CZ$1&amp;""'!$D$4:$D$66"")=CZ$2),$G$4:$BQ$4,$G119:$BQ119)))"),-0.2857142857142857)</f>
        <v>-0.2857142857</v>
      </c>
      <c r="DA119" s="207" t="str">
        <f>IFERROR(__xludf.DUMMYFUNCTION("IF(OR(CZ119&gt;$BS119+$BT119*$BT$2,CZ119&lt;$BS119-$BT119*$BT$2),AVEDEV(ARRAYFORMULA(XLOOKUP(FILTER(INDIRECT(""'""&amp;CZ$1&amp;""'!$C$4:$C$66""),INDIRECT(""'""&amp;CZ$1&amp;""'!$D$4:$D$66"")=CZ$2),$G$4:$BQ$4,$G119:$BQ119))),"""")"),"")</f>
        <v/>
      </c>
      <c r="DB119" s="208" t="str">
        <f t="shared" si="17"/>
        <v/>
      </c>
      <c r="DC119" s="210">
        <f>IFERROR(__xludf.DUMMYFUNCTION("AVERAGE(ARRAYFORMULA(XLOOKUP(FILTER(INDIRECT(""'""&amp;DC$1&amp;""'!$C$4:$C$66""),INDIRECT(""'""&amp;DC$1&amp;""'!$D$4:$D$66"")=DC$2),$G$4:$BQ$4,$G119:$BQ119)))"),-0.6666666666666666)</f>
        <v>-0.6666666667</v>
      </c>
      <c r="DD119" s="207" t="str">
        <f>IFERROR(__xludf.DUMMYFUNCTION("IF(OR(DC119&gt;$BS119+$BT119*$BT$2,DC119&lt;$BS119-$BT119*$BT$2),AVEDEV(ARRAYFORMULA(XLOOKUP(FILTER(INDIRECT(""'""&amp;DC$1&amp;""'!$C$4:$C$66""),INDIRECT(""'""&amp;DC$1&amp;""'!$D$4:$D$66"")=DC$2),$G$4:$BQ$4,$G119:$BQ119))),"""")"),"")</f>
        <v/>
      </c>
      <c r="DE119" s="208" t="str">
        <f t="shared" si="18"/>
        <v/>
      </c>
      <c r="DF119" s="210">
        <f>IFERROR(__xludf.DUMMYFUNCTION("AVERAGE(ARRAYFORMULA(XLOOKUP(FILTER(INDIRECT(""'""&amp;DF$1&amp;""'!$C$4:$C$66""),INDIRECT(""'""&amp;DF$1&amp;""'!$D$4:$D$66"")=DF$2),$G$4:$BQ$4,$G119:$BQ119)))"),-0.36363636363636365)</f>
        <v>-0.3636363636</v>
      </c>
      <c r="DG119" s="207" t="str">
        <f>IFERROR(__xludf.DUMMYFUNCTION("IF(OR(DF119&gt;$BS119+$BT119*$BT$2,DF119&lt;$BS119-$BT119*$BT$2),AVEDEV(ARRAYFORMULA(XLOOKUP(FILTER(INDIRECT(""'""&amp;DF$1&amp;""'!$C$4:$C$66""),INDIRECT(""'""&amp;DF$1&amp;""'!$D$4:$D$66"")=DF$2),$G$4:$BQ$4,$G119:$BQ119))),"""")"),"")</f>
        <v/>
      </c>
      <c r="DH119" s="208" t="str">
        <f t="shared" si="19"/>
        <v/>
      </c>
      <c r="DI119" s="210">
        <f>IFERROR(__xludf.DUMMYFUNCTION("AVERAGE(ARRAYFORMULA(XLOOKUP(FILTER(INDIRECT(""'""&amp;DI$1&amp;""'!$C$4:$C$66""),INDIRECT(""'""&amp;DI$1&amp;""'!$D$4:$D$66"")=DI$2),$G$4:$BQ$4,$G119:$BQ119)))"),0.0)</f>
        <v>0</v>
      </c>
      <c r="DJ119" s="207" t="str">
        <f>IFERROR(__xludf.DUMMYFUNCTION("IF(OR(DI119&gt;$BS119+$BT119*$BT$2,DI119&lt;$BS119-$BT119*$BT$2),AVEDEV(ARRAYFORMULA(XLOOKUP(FILTER(INDIRECT(""'""&amp;DI$1&amp;""'!$C$4:$C$66""),INDIRECT(""'""&amp;DI$1&amp;""'!$D$4:$D$66"")=DI$2),$G$4:$BQ$4,$G119:$BQ119))),"""")"),"")</f>
        <v/>
      </c>
      <c r="DK119" s="208" t="str">
        <f t="shared" si="20"/>
        <v/>
      </c>
      <c r="DL119" s="210">
        <f>IFERROR(__xludf.DUMMYFUNCTION("AVERAGE(ARRAYFORMULA(XLOOKUP(FILTER(INDIRECT(""'""&amp;DL$1&amp;""'!$C$4:$C$66""),INDIRECT(""'""&amp;DL$1&amp;""'!$D$4:$D$66"")=DL$2),$G$4:$BQ$4,$G119:$BQ119)))"),-1.4285714285714286)</f>
        <v>-1.428571429</v>
      </c>
      <c r="DM119" s="207" t="str">
        <f>IFERROR(__xludf.DUMMYFUNCTION("IF(OR(DL119&gt;$BS119+$BT119*$BT$2,DL119&lt;$BS119-$BT119*$BT$2),AVEDEV(ARRAYFORMULA(XLOOKUP(FILTER(INDIRECT(""'""&amp;DL$1&amp;""'!$C$4:$C$66""),INDIRECT(""'""&amp;DL$1&amp;""'!$D$4:$D$66"")=DL$2),$G$4:$BQ$4,$G119:$BQ119))),"""")"),"")</f>
        <v/>
      </c>
      <c r="DN119" s="208" t="str">
        <f t="shared" si="21"/>
        <v/>
      </c>
      <c r="DO119" s="209" t="s">
        <v>444</v>
      </c>
      <c r="DP119" s="210">
        <f>IFERROR(__xludf.DUMMYFUNCTION("AVERAGE(ARRAYFORMULA(XLOOKUP(FILTER(INDIRECT(""'""&amp;DP$1&amp;""'!$C$4:$C$66""),INDIRECT(""'""&amp;DP$1&amp;""'!$D$4:$D$66"")=DP$2),$G$4:$BQ$4,$G119:$BQ119)))"),-0.6666666666666666)</f>
        <v>-0.6666666667</v>
      </c>
      <c r="DQ119" s="207" t="str">
        <f>IFERROR(__xludf.DUMMYFUNCTION("IF(OR(DP119&gt;$BS119+$BT119*$BT$2,DP119&lt;$BS119-$BT119*$BT$2),AVEDEV(ARRAYFORMULA(XLOOKUP(FILTER(INDIRECT(""'""&amp;DP$1&amp;""'!$C$4:$C$66""),INDIRECT(""'""&amp;DP$1&amp;""'!$D$4:$D$66"")=DP$2),$G$4:$BQ$4,$G119:$BQ119))),"""")"),"")</f>
        <v/>
      </c>
      <c r="DR119" s="208" t="str">
        <f t="shared" si="22"/>
        <v/>
      </c>
      <c r="DS119" s="210">
        <f>IFERROR(__xludf.DUMMYFUNCTION("AVERAGE(ARRAYFORMULA(XLOOKUP(FILTER(INDIRECT(""'""&amp;DS$1&amp;""'!$C$4:$C$66""),INDIRECT(""'""&amp;DS$1&amp;""'!$D$4:$D$66"")=DS$2),$G$4:$BQ$4,$G119:$BQ119)))"),-0.6666666666666666)</f>
        <v>-0.6666666667</v>
      </c>
      <c r="DT119" s="207" t="str">
        <f>IFERROR(__xludf.DUMMYFUNCTION("IF(OR(DS119&gt;$BS119+$BT119*$BT$2,DS119&lt;$BS119-$BT119*$BT$2),AVEDEV(ARRAYFORMULA(XLOOKUP(FILTER(INDIRECT(""'""&amp;DS$1&amp;""'!$C$4:$C$66""),INDIRECT(""'""&amp;DS$1&amp;""'!$D$4:$D$66"")=DS$2),$G$4:$BQ$4,$G119:$BQ119))),"""")"),"")</f>
        <v/>
      </c>
      <c r="DU119" s="208" t="str">
        <f t="shared" si="23"/>
        <v/>
      </c>
      <c r="DV119" s="210">
        <f>IFERROR(__xludf.DUMMYFUNCTION("AVERAGE(ARRAYFORMULA(XLOOKUP(FILTER(INDIRECT(""'""&amp;DV$1&amp;""'!$C$4:$C$66""),INDIRECT(""'""&amp;DV$1&amp;""'!$D$4:$D$66"")=DV$2),$G$4:$BQ$4,$G119:$BQ119)))"),-3.125)</f>
        <v>-3.125</v>
      </c>
      <c r="DW119" s="207">
        <f>IFERROR(__xludf.DUMMYFUNCTION("IF(OR(DV119&gt;$BS119+$BT119*$BT$2,DV119&lt;$BS119-$BT119*$BT$2),AVEDEV(ARRAYFORMULA(XLOOKUP(FILTER(INDIRECT(""'""&amp;DV$1&amp;""'!$C$4:$C$66""),INDIRECT(""'""&amp;DV$1&amp;""'!$D$4:$D$66"")=DV$2),$G$4:$BQ$4,$G119:$BQ119))),"""")"),3.125)</f>
        <v>3.125</v>
      </c>
      <c r="DX119" s="208" t="str">
        <f t="shared" si="24"/>
        <v/>
      </c>
      <c r="DY119" s="210">
        <f>IFERROR(__xludf.DUMMYFUNCTION("AVERAGE(ARRAYFORMULA(XLOOKUP(FILTER(INDIRECT(""'""&amp;DY$1&amp;""'!$C$4:$C$66""),INDIRECT(""'""&amp;DY$1&amp;""'!$D$4:$D$66"")=DY$2),$G$4:$BQ$4,$G119:$BQ119)))"),0.0)</f>
        <v>0</v>
      </c>
      <c r="DZ119" s="207" t="str">
        <f>IFERROR(__xludf.DUMMYFUNCTION("IF(OR(DY119&gt;$BS119+$BT119*$BT$2,DY119&lt;$BS119-$BT119*$BT$2),AVEDEV(ARRAYFORMULA(XLOOKUP(FILTER(INDIRECT(""'""&amp;DY$1&amp;""'!$C$4:$C$66""),INDIRECT(""'""&amp;DY$1&amp;""'!$D$4:$D$66"")=DY$2),$G$4:$BQ$4,$G119:$BQ119))),"""")"),"")</f>
        <v/>
      </c>
      <c r="EA119" s="208" t="str">
        <f t="shared" si="25"/>
        <v/>
      </c>
      <c r="EB119" s="191"/>
    </row>
    <row r="120" outlineLevel="1">
      <c r="A120" s="2"/>
      <c r="B120" s="204">
        <v>116.0</v>
      </c>
      <c r="C120" s="204" t="s">
        <v>540</v>
      </c>
      <c r="D120" s="204" t="s">
        <v>562</v>
      </c>
      <c r="E120" s="205" t="b">
        <f>VLOOKUP(D120,'Feature Set List'!A116:C246,2,0)</f>
        <v>1</v>
      </c>
      <c r="F120" s="205" t="b">
        <f>VLOOKUP(D120,'Feature Set List'!A116:C246,3,0)</f>
        <v>1</v>
      </c>
      <c r="G120" s="205">
        <v>0.19270679</v>
      </c>
      <c r="H120" s="205">
        <v>0.0</v>
      </c>
      <c r="I120" s="205">
        <v>-1.1443819</v>
      </c>
      <c r="J120" s="205">
        <v>0.28935666</v>
      </c>
      <c r="K120" s="205">
        <v>2.2158316</v>
      </c>
      <c r="L120" s="205">
        <v>-0.4838423</v>
      </c>
      <c r="M120" s="205">
        <v>-0.2769048</v>
      </c>
      <c r="N120" s="205">
        <v>0.04298844</v>
      </c>
      <c r="O120" s="205">
        <v>-0.4728728</v>
      </c>
      <c r="P120" s="205">
        <v>-0.7871331</v>
      </c>
      <c r="Q120" s="205">
        <v>2.02608953</v>
      </c>
      <c r="R120" s="205">
        <v>-0.50252</v>
      </c>
      <c r="S120" s="205">
        <v>-0.6732879</v>
      </c>
      <c r="T120" s="205">
        <v>-0.2490365</v>
      </c>
      <c r="U120" s="205">
        <v>-1.2792766</v>
      </c>
      <c r="V120" s="205">
        <v>-0.1019864</v>
      </c>
      <c r="W120" s="205">
        <v>-0.6359324</v>
      </c>
      <c r="X120" s="205">
        <v>-0.354877</v>
      </c>
      <c r="Y120" s="205">
        <v>1.06255559</v>
      </c>
      <c r="Z120" s="205">
        <v>0.8846724</v>
      </c>
      <c r="AA120" s="205">
        <v>-0.3640676</v>
      </c>
      <c r="AB120" s="205">
        <v>-1.0400237</v>
      </c>
      <c r="AC120" s="205">
        <v>-0.0032612</v>
      </c>
      <c r="AD120" s="205">
        <v>1.45686333</v>
      </c>
      <c r="AE120" s="205">
        <v>0.42276905</v>
      </c>
      <c r="AF120" s="205">
        <v>0.1597984</v>
      </c>
      <c r="AG120" s="205">
        <v>0.08419804</v>
      </c>
      <c r="AH120" s="205">
        <v>-0.2795731</v>
      </c>
      <c r="AI120" s="205">
        <v>0.47909873</v>
      </c>
      <c r="AJ120" s="205">
        <v>-1.2822413</v>
      </c>
      <c r="AK120" s="205">
        <v>0.56418618</v>
      </c>
      <c r="AL120" s="205">
        <v>0.32582271</v>
      </c>
      <c r="AM120" s="205">
        <v>0.2158316</v>
      </c>
      <c r="AN120" s="205">
        <v>0.37563</v>
      </c>
      <c r="AO120" s="205">
        <v>-1.0192707</v>
      </c>
      <c r="AP120" s="205">
        <v>1.72368811</v>
      </c>
      <c r="AQ120" s="205">
        <v>-0.1491254</v>
      </c>
      <c r="AR120" s="205">
        <v>0.89060184</v>
      </c>
      <c r="AS120" s="205">
        <v>-0.7331752</v>
      </c>
      <c r="AT120" s="205">
        <v>-0.4473762</v>
      </c>
      <c r="AU120" s="205">
        <v>3.20308331</v>
      </c>
      <c r="AV120" s="205">
        <v>0.15801957</v>
      </c>
      <c r="AW120" s="205">
        <v>0.16128076</v>
      </c>
      <c r="AX120" s="205">
        <v>0.83723688</v>
      </c>
      <c r="AY120" s="205">
        <v>-0.8123332</v>
      </c>
      <c r="AZ120" s="205">
        <v>-0.4619034</v>
      </c>
      <c r="BA120" s="205">
        <v>-0.6279277</v>
      </c>
      <c r="BB120" s="205">
        <v>0.10495108</v>
      </c>
      <c r="BC120" s="205">
        <v>0.78387192</v>
      </c>
      <c r="BD120" s="205">
        <v>-0.3029944</v>
      </c>
      <c r="BE120" s="205">
        <v>-1.2448859</v>
      </c>
      <c r="BF120" s="205">
        <v>-0.0922028</v>
      </c>
      <c r="BG120" s="205">
        <v>-0.5250519</v>
      </c>
      <c r="BH120" s="205">
        <v>0.82834272</v>
      </c>
      <c r="BI120" s="205">
        <v>0.77823896</v>
      </c>
      <c r="BJ120" s="205">
        <v>-0.0643344</v>
      </c>
      <c r="BK120" s="205">
        <v>0.7957308</v>
      </c>
      <c r="BL120" s="205">
        <v>-1.2686036</v>
      </c>
      <c r="BM120" s="205">
        <v>0.32226505</v>
      </c>
      <c r="BN120" s="205">
        <v>2.47969167</v>
      </c>
      <c r="BO120" s="205">
        <v>0.06996739</v>
      </c>
      <c r="BP120" s="205">
        <v>1.57545212</v>
      </c>
      <c r="BQ120" s="205">
        <v>-0.0933887</v>
      </c>
      <c r="BR120" s="206"/>
      <c r="BS120" s="207">
        <f t="shared" si="6"/>
        <v>0.1228099862</v>
      </c>
      <c r="BT120" s="207">
        <f t="shared" si="7"/>
        <v>0.6950110049</v>
      </c>
      <c r="BU120" s="206"/>
      <c r="BV120" s="207">
        <f>IFERROR(__xludf.DUMMYFUNCTION("AVERAGE(ARRAYFORMULA(XLOOKUP(FILTER(INDIRECT(""'""&amp;BV$1&amp;""'!$C$4:$C$66""),INDIRECT(""'""&amp;BV$1&amp;""'!$D$4:$D$66"")=BV$2),$G$4:$BQ$4,$G120:$BQ120)))"),-0.8391851314285715)</f>
        <v>-0.8391851314</v>
      </c>
      <c r="BW120" s="207">
        <f>IFERROR(__xludf.DUMMYFUNCTION("IF(OR(BV120&gt;$BS120+$BT120*$BT$2,BV120&lt;$BS120-$BT120*$BT$2),AVEDEV(ARRAYFORMULA(XLOOKUP(FILTER(INDIRECT(""'""&amp;BV$1&amp;""'!$C$4:$C$66""),INDIRECT(""'""&amp;BV$1&amp;""'!$D$4:$D$66"")=BV$2),$G$4:$BQ$4,$G120:$BQ120))),"""")"),0.41579893551020414)</f>
        <v>0.4157989355</v>
      </c>
      <c r="BX120" s="208">
        <f t="shared" si="8"/>
        <v>-0.2669841128</v>
      </c>
      <c r="BY120" s="207">
        <f>IFERROR(__xludf.DUMMYFUNCTION("AVERAGE(ARRAYFORMULA(XLOOKUP(FILTER(INDIRECT(""'""&amp;BY$1&amp;""'!$C$4:$C$66""),INDIRECT(""'""&amp;BY$1&amp;""'!$D$4:$D$66"")=BY$2),$G$4:$BQ$4,$G120:$BQ120)))"),0.32478505738095237)</f>
        <v>0.3247850574</v>
      </c>
      <c r="BZ120" s="207" t="str">
        <f>IFERROR(__xludf.DUMMYFUNCTION("IF(OR(BY120&gt;$BS120+$BT120*$BT$2,BY120&lt;$BS120-$BT120*$BT$2),AVEDEV(ARRAYFORMULA(XLOOKUP(FILTER(INDIRECT(""'""&amp;BY$1&amp;""'!$C$4:$C$66""),INDIRECT(""'""&amp;BY$1&amp;""'!$D$4:$D$66"")=BY$2),$G$4:$BQ$4,$G120:$BQ120))),"""")"),"")</f>
        <v/>
      </c>
      <c r="CA120" s="208" t="str">
        <f t="shared" si="9"/>
        <v/>
      </c>
      <c r="CB120" s="207">
        <f>IFERROR(__xludf.DUMMYFUNCTION("AVERAGE(ARRAYFORMULA(XLOOKUP(FILTER(INDIRECT(""'""&amp;CB$1&amp;""'!$C$4:$C$66""),INDIRECT(""'""&amp;CB$1&amp;""'!$D$4:$D$66"")=CB$2),$G$4:$BQ$4,$G120:$BQ120)))"),-0.16230494272727275)</f>
        <v>-0.1623049427</v>
      </c>
      <c r="CC120" s="207" t="str">
        <f>IFERROR(__xludf.DUMMYFUNCTION("IF(OR(CB120&gt;$BS120+$BT120*$BT$2,CB120&lt;$BS120-$BT120*$BT$2),AVEDEV(ARRAYFORMULA(XLOOKUP(FILTER(INDIRECT(""'""&amp;CB$1&amp;""'!$C$4:$C$66""),INDIRECT(""'""&amp;CB$1&amp;""'!$D$4:$D$66"")=CB$2),$G$4:$BQ$4,$G120:$BQ120))),"""")"),"")</f>
        <v/>
      </c>
      <c r="CD120" s="208" t="str">
        <f t="shared" si="10"/>
        <v/>
      </c>
      <c r="CE120" s="209" t="s">
        <v>444</v>
      </c>
      <c r="CF120" s="207">
        <f>IFERROR(__xludf.DUMMYFUNCTION("AVERAGE(ARRAYFORMULA(XLOOKUP(FILTER(INDIRECT(""'""&amp;CF$1&amp;""'!$C$4:$C$66""),INDIRECT(""'""&amp;CF$1&amp;""'!$D$4:$D$66"")=CF$2),$G$4:$BQ$4,$G120:$BQ120)))"),0.251148828125)</f>
        <v>0.2511488281</v>
      </c>
      <c r="CG120" s="207" t="str">
        <f>IFERROR(__xludf.DUMMYFUNCTION("IF(OR(CF120&gt;$BS120+$BT120*$BT$2,CF120&lt;$BS120-$BT120*$BT$2),AVEDEV(ARRAYFORMULA(XLOOKUP(FILTER(INDIRECT(""'""&amp;CF$1&amp;""'!$C$4:$C$66""),INDIRECT(""'""&amp;CF$1&amp;""'!$D$4:$D$66"")=CF$2),$G$4:$BQ$4,$G120:$BQ120))),"""")"),"")</f>
        <v/>
      </c>
      <c r="CH120" s="208" t="str">
        <f t="shared" si="11"/>
        <v/>
      </c>
      <c r="CI120" s="207">
        <f>IFERROR(__xludf.DUMMYFUNCTION("AVERAGE(ARRAYFORMULA(XLOOKUP(FILTER(INDIRECT(""'""&amp;CI$1&amp;""'!$C$4:$C$66""),INDIRECT(""'""&amp;CI$1&amp;""'!$D$4:$D$66"")=CI$2),$G$4:$BQ$4,$G120:$BQ120)))"),0.16823350387096775)</f>
        <v>0.1682335039</v>
      </c>
      <c r="CJ120" s="207" t="str">
        <f>IFERROR(__xludf.DUMMYFUNCTION("IF(OR(CI120&gt;$BS120+$BT120*$BT$2,CI120&lt;$BS120-$BT120*$BT$2),AVEDEV(ARRAYFORMULA(XLOOKUP(FILTER(INDIRECT(""'""&amp;CI$1&amp;""'!$C$4:$C$66""),INDIRECT(""'""&amp;CI$1&amp;""'!$D$4:$D$66"")=CI$2),$G$4:$BQ$4,$G120:$BQ120))),"""")"),"")</f>
        <v/>
      </c>
      <c r="CK120" s="208" t="str">
        <f t="shared" si="12"/>
        <v/>
      </c>
      <c r="CL120" s="207">
        <f>IFERROR(__xludf.DUMMYFUNCTION("AVERAGE(ARRAYFORMULA(XLOOKUP(FILTER(INDIRECT(""'""&amp;CL$1&amp;""'!$C$4:$C$66""),INDIRECT(""'""&amp;CL$1&amp;""'!$D$4:$D$66"")=CL$2),$G$4:$BQ$4,$G120:$BQ120)))"),-0.58446488)</f>
        <v>-0.58446488</v>
      </c>
      <c r="CM120" s="207">
        <f>IFERROR(__xludf.DUMMYFUNCTION("IF(OR(CL120&gt;$BS120+$BT120*$BT$2,CL120&lt;$BS120-$BT120*$BT$2),AVEDEV(ARRAYFORMULA(XLOOKUP(FILTER(INDIRECT(""'""&amp;CL$1&amp;""'!$C$4:$C$66""),INDIRECT(""'""&amp;CL$1&amp;""'!$D$4:$D$66"")=CL$2),$G$4:$BQ$4,$G120:$BQ120))),"""")"),0.157936544)</f>
        <v>0.157936544</v>
      </c>
      <c r="CN120" s="208">
        <f t="shared" si="13"/>
        <v>-0.01226386134</v>
      </c>
      <c r="CO120" s="209" t="s">
        <v>444</v>
      </c>
      <c r="CP120" s="210">
        <f>IFERROR(__xludf.DUMMYFUNCTION("AVERAGE(ARRAYFORMULA(XLOOKUP(FILTER(INDIRECT(""'""&amp;CP$1&amp;""'!$C$4:$C$66""),INDIRECT(""'""&amp;CP$1&amp;""'!$D$4:$D$66"")=CP$2),$G$4:$BQ$4,$G120:$BQ120)))"),-0.1863425273333333)</f>
        <v>-0.1863425273</v>
      </c>
      <c r="CQ120" s="207" t="str">
        <f>IFERROR(__xludf.DUMMYFUNCTION("IF(OR(CP120&gt;$BS120+$BT120*$BT$2,CP120&lt;$BS120-$BT120*$BT$2),AVEDEV(ARRAYFORMULA(XLOOKUP(FILTER(INDIRECT(""'""&amp;CP$1&amp;""'!$C$4:$C$66""),INDIRECT(""'""&amp;CP$1&amp;""'!$D$4:$D$66"")=CP$2),$G$4:$BQ$4,$G120:$BQ120))),"""")"),"")</f>
        <v/>
      </c>
      <c r="CR120" s="208" t="str">
        <f t="shared" si="14"/>
        <v/>
      </c>
      <c r="CS120" s="210">
        <f>IFERROR(__xludf.DUMMYFUNCTION("AVERAGE(ARRAYFORMULA(XLOOKUP(FILTER(INDIRECT(""'""&amp;CS$1&amp;""'!$C$4:$C$66""),INDIRECT(""'""&amp;CS$1&amp;""'!$D$4:$D$66"")=CS$2),$G$4:$BQ$4,$G120:$BQ120)))"),0.33249712897435896)</f>
        <v>0.332497129</v>
      </c>
      <c r="CT120" s="207" t="str">
        <f>IFERROR(__xludf.DUMMYFUNCTION("IF(OR(CS120&gt;$BS120+$BT120*$BT$2,CS120&lt;$BS120-$BT120*$BT$2),AVEDEV(ARRAYFORMULA(XLOOKUP(FILTER(INDIRECT(""'""&amp;CS$1&amp;""'!$C$4:$C$66""),INDIRECT(""'""&amp;CS$1&amp;""'!$D$4:$D$66"")=CS$2),$G$4:$BQ$4,$G120:$BQ120))),"""")"),"")</f>
        <v/>
      </c>
      <c r="CU120" s="208" t="str">
        <f t="shared" si="15"/>
        <v/>
      </c>
      <c r="CV120" s="210">
        <f>IFERROR(__xludf.DUMMYFUNCTION("AVERAGE(ARRAYFORMULA(XLOOKUP(FILTER(INDIRECT(""'""&amp;CV$1&amp;""'!$C$4:$C$66""),INDIRECT(""'""&amp;CV$1&amp;""'!$D$4:$D$66"")=CV$2),$G$4:$BQ$4,$G120:$BQ120)))"),-0.58446488)</f>
        <v>-0.58446488</v>
      </c>
      <c r="CW120" s="207">
        <f>IFERROR(__xludf.DUMMYFUNCTION("IF(OR(CV120&gt;$BS120+$BT120*$BT$2,CV120&lt;$BS120-$BT120*$BT$2),AVEDEV(ARRAYFORMULA(XLOOKUP(FILTER(INDIRECT(""'""&amp;CV$1&amp;""'!$C$4:$C$66""),INDIRECT(""'""&amp;CV$1&amp;""'!$D$4:$D$66"")=CV$2),$G$4:$BQ$4,$G120:$BQ120))),"""")"),0.157936544)</f>
        <v>0.157936544</v>
      </c>
      <c r="CX120" s="208">
        <f t="shared" si="16"/>
        <v>-0.01226386134</v>
      </c>
      <c r="CY120" s="209" t="s">
        <v>444</v>
      </c>
      <c r="CZ120" s="210">
        <f>IFERROR(__xludf.DUMMYFUNCTION("AVERAGE(ARRAYFORMULA(XLOOKUP(FILTER(INDIRECT(""'""&amp;CZ$1&amp;""'!$C$4:$C$66""),INDIRECT(""'""&amp;CZ$1&amp;""'!$D$4:$D$66"")=CZ$2),$G$4:$BQ$4,$G120:$BQ120)))"),0.3247003485714286)</f>
        <v>0.3247003486</v>
      </c>
      <c r="DA120" s="207" t="str">
        <f>IFERROR(__xludf.DUMMYFUNCTION("IF(OR(CZ120&gt;$BS120+$BT120*$BT$2,CZ120&lt;$BS120-$BT120*$BT$2),AVEDEV(ARRAYFORMULA(XLOOKUP(FILTER(INDIRECT(""'""&amp;CZ$1&amp;""'!$C$4:$C$66""),INDIRECT(""'""&amp;CZ$1&amp;""'!$D$4:$D$66"")=CZ$2),$G$4:$BQ$4,$G120:$BQ120))),"""")"),"")</f>
        <v/>
      </c>
      <c r="DB120" s="208" t="str">
        <f t="shared" si="17"/>
        <v/>
      </c>
      <c r="DC120" s="210">
        <f>IFERROR(__xludf.DUMMYFUNCTION("AVERAGE(ARRAYFORMULA(XLOOKUP(FILTER(INDIRECT(""'""&amp;DC$1&amp;""'!$C$4:$C$66""),INDIRECT(""'""&amp;DC$1&amp;""'!$D$4:$D$66"")=DC$2),$G$4:$BQ$4,$G120:$BQ120)))"),-0.18285733555555556)</f>
        <v>-0.1828573356</v>
      </c>
      <c r="DD120" s="207" t="str">
        <f>IFERROR(__xludf.DUMMYFUNCTION("IF(OR(DC120&gt;$BS120+$BT120*$BT$2,DC120&lt;$BS120-$BT120*$BT$2),AVEDEV(ARRAYFORMULA(XLOOKUP(FILTER(INDIRECT(""'""&amp;DC$1&amp;""'!$C$4:$C$66""),INDIRECT(""'""&amp;DC$1&amp;""'!$D$4:$D$66"")=DC$2),$G$4:$BQ$4,$G120:$BQ120))),"""")"),"")</f>
        <v/>
      </c>
      <c r="DE120" s="208" t="str">
        <f t="shared" si="18"/>
        <v/>
      </c>
      <c r="DF120" s="210">
        <f>IFERROR(__xludf.DUMMYFUNCTION("AVERAGE(ARRAYFORMULA(XLOOKUP(FILTER(INDIRECT(""'""&amp;DF$1&amp;""'!$C$4:$C$66""),INDIRECT(""'""&amp;DF$1&amp;""'!$D$4:$D$66"")=DF$2),$G$4:$BQ$4,$G120:$BQ120)))"),-0.30461149454545455)</f>
        <v>-0.3046114945</v>
      </c>
      <c r="DG120" s="207" t="str">
        <f>IFERROR(__xludf.DUMMYFUNCTION("IF(OR(DF120&gt;$BS120+$BT120*$BT$2,DF120&lt;$BS120-$BT120*$BT$2),AVEDEV(ARRAYFORMULA(XLOOKUP(FILTER(INDIRECT(""'""&amp;DF$1&amp;""'!$C$4:$C$66""),INDIRECT(""'""&amp;DF$1&amp;""'!$D$4:$D$66"")=DF$2),$G$4:$BQ$4,$G120:$BQ120))),"""")"),"")</f>
        <v/>
      </c>
      <c r="DH120" s="208" t="str">
        <f t="shared" si="19"/>
        <v/>
      </c>
      <c r="DI120" s="210">
        <f>IFERROR(__xludf.DUMMYFUNCTION("AVERAGE(ARRAYFORMULA(XLOOKUP(FILTER(INDIRECT(""'""&amp;DI$1&amp;""'!$C$4:$C$66""),INDIRECT(""'""&amp;DI$1&amp;""'!$D$4:$D$66"")=DI$2),$G$4:$BQ$4,$G120:$BQ120)))"),1.142603025)</f>
        <v>1.142603025</v>
      </c>
      <c r="DJ120" s="207">
        <f>IFERROR(__xludf.DUMMYFUNCTION("IF(OR(DI120&gt;$BS120+$BT120*$BT$2,DI120&lt;$BS120-$BT120*$BT$2),AVEDEV(ARRAYFORMULA(XLOOKUP(FILTER(INDIRECT(""'""&amp;DI$1&amp;""'!$C$4:$C$66""),INDIRECT(""'""&amp;DI$1&amp;""'!$D$4:$D$66"")=DI$2),$G$4:$BQ$4,$G120:$BQ120))),"""")"),0.314260305)</f>
        <v>0.314260305</v>
      </c>
      <c r="DK120" s="208">
        <f t="shared" si="20"/>
        <v>0.324782034</v>
      </c>
      <c r="DL120" s="210">
        <f>IFERROR(__xludf.DUMMYFUNCTION("AVERAGE(ARRAYFORMULA(XLOOKUP(FILTER(INDIRECT(""'""&amp;DL$1&amp;""'!$C$4:$C$66""),INDIRECT(""'""&amp;DL$1&amp;""'!$D$4:$D$66"")=DL$2),$G$4:$BQ$4,$G120:$BQ120)))"),0.586866294285714)</f>
        <v>0.5868662943</v>
      </c>
      <c r="DM120" s="207" t="str">
        <f>IFERROR(__xludf.DUMMYFUNCTION("IF(OR(DL120&gt;$BS120+$BT120*$BT$2,DL120&lt;$BS120-$BT120*$BT$2),AVEDEV(ARRAYFORMULA(XLOOKUP(FILTER(INDIRECT(""'""&amp;DL$1&amp;""'!$C$4:$C$66""),INDIRECT(""'""&amp;DL$1&amp;""'!$D$4:$D$66"")=DL$2),$G$4:$BQ$4,$G120:$BQ120))),"""")"),"")</f>
        <v/>
      </c>
      <c r="DN120" s="208" t="str">
        <f t="shared" si="21"/>
        <v/>
      </c>
      <c r="DO120" s="209" t="s">
        <v>444</v>
      </c>
      <c r="DP120" s="210">
        <f>IFERROR(__xludf.DUMMYFUNCTION("AVERAGE(ARRAYFORMULA(XLOOKUP(FILTER(INDIRECT(""'""&amp;DP$1&amp;""'!$C$4:$C$66""),INDIRECT(""'""&amp;DP$1&amp;""'!$D$4:$D$66"")=DP$2),$G$4:$BQ$4,$G120:$BQ120)))"),0.3422867836666666)</f>
        <v>0.3422867837</v>
      </c>
      <c r="DQ120" s="207" t="str">
        <f>IFERROR(__xludf.DUMMYFUNCTION("IF(OR(DP120&gt;$BS120+$BT120*$BT$2,DP120&lt;$BS120-$BT120*$BT$2),AVEDEV(ARRAYFORMULA(XLOOKUP(FILTER(INDIRECT(""'""&amp;DP$1&amp;""'!$C$4:$C$66""),INDIRECT(""'""&amp;DP$1&amp;""'!$D$4:$D$66"")=DP$2),$G$4:$BQ$4,$G120:$BQ120))),"""")"),"")</f>
        <v/>
      </c>
      <c r="DR120" s="208" t="str">
        <f t="shared" si="22"/>
        <v/>
      </c>
      <c r="DS120" s="210">
        <f>IFERROR(__xludf.DUMMYFUNCTION("AVERAGE(ARRAYFORMULA(XLOOKUP(FILTER(INDIRECT(""'""&amp;DS$1&amp;""'!$C$4:$C$66""),INDIRECT(""'""&amp;DS$1&amp;""'!$D$4:$D$66"")=DS$2),$G$4:$BQ$4,$G120:$BQ120)))"),-0.26530948777777774)</f>
        <v>-0.2653094878</v>
      </c>
      <c r="DT120" s="207" t="str">
        <f>IFERROR(__xludf.DUMMYFUNCTION("IF(OR(DS120&gt;$BS120+$BT120*$BT$2,DS120&lt;$BS120-$BT120*$BT$2),AVEDEV(ARRAYFORMULA(XLOOKUP(FILTER(INDIRECT(""'""&amp;DS$1&amp;""'!$C$4:$C$66""),INDIRECT(""'""&amp;DS$1&amp;""'!$D$4:$D$66"")=DS$2),$G$4:$BQ$4,$G120:$BQ120))),"""")"),"")</f>
        <v/>
      </c>
      <c r="DU120" s="208" t="str">
        <f t="shared" si="23"/>
        <v/>
      </c>
      <c r="DV120" s="210">
        <f>IFERROR(__xludf.DUMMYFUNCTION("AVERAGE(ARRAYFORMULA(XLOOKUP(FILTER(INDIRECT(""'""&amp;DV$1&amp;""'!$C$4:$C$66""),INDIRECT(""'""&amp;DV$1&amp;""'!$D$4:$D$66"")=DV$2),$G$4:$BQ$4,$G120:$BQ120)))"),-0.7310628499999999)</f>
        <v>-0.73106285</v>
      </c>
      <c r="DW120" s="207">
        <f>IFERROR(__xludf.DUMMYFUNCTION("IF(OR(DV120&gt;$BS120+$BT120*$BT$2,DV120&lt;$BS120-$BT120*$BT$2),AVEDEV(ARRAYFORMULA(XLOOKUP(FILTER(INDIRECT(""'""&amp;DV$1&amp;""'!$C$4:$C$66""),INDIRECT(""'""&amp;DV$1&amp;""'!$D$4:$D$66"")=DV$2),$G$4:$BQ$4,$G120:$BQ120))),"""")"),0.29516563749999997)</f>
        <v>0.2951656375</v>
      </c>
      <c r="DX120" s="208">
        <f t="shared" si="24"/>
        <v>-0.1588618313</v>
      </c>
      <c r="DY120" s="210">
        <f>IFERROR(__xludf.DUMMYFUNCTION("AVERAGE(ARRAYFORMULA(XLOOKUP(FILTER(INDIRECT(""'""&amp;DY$1&amp;""'!$C$4:$C$66""),INDIRECT(""'""&amp;DY$1&amp;""'!$D$4:$D$66"")=DY$2),$G$4:$BQ$4,$G120:$BQ120)))"),0.6334618066666666)</f>
        <v>0.6334618067</v>
      </c>
      <c r="DZ120" s="207" t="str">
        <f>IFERROR(__xludf.DUMMYFUNCTION("IF(OR(DY120&gt;$BS120+$BT120*$BT$2,DY120&lt;$BS120-$BT120*$BT$2),AVEDEV(ARRAYFORMULA(XLOOKUP(FILTER(INDIRECT(""'""&amp;DY$1&amp;""'!$C$4:$C$66""),INDIRECT(""'""&amp;DY$1&amp;""'!$D$4:$D$66"")=DY$2),$G$4:$BQ$4,$G120:$BQ120))),"""")"),"")</f>
        <v/>
      </c>
      <c r="EA120" s="208" t="str">
        <f t="shared" si="25"/>
        <v/>
      </c>
      <c r="EB120" s="191"/>
    </row>
    <row r="121" outlineLevel="1">
      <c r="A121" s="2"/>
      <c r="B121" s="204">
        <v>117.0</v>
      </c>
      <c r="C121" s="204" t="s">
        <v>540</v>
      </c>
      <c r="D121" s="204" t="s">
        <v>563</v>
      </c>
      <c r="E121" s="205" t="b">
        <f>VLOOKUP(D121,'Feature Set List'!A117:C246,2,0)</f>
        <v>1</v>
      </c>
      <c r="F121" s="205" t="b">
        <f>VLOOKUP(D121,'Feature Set List'!A117:C246,3,0)</f>
        <v>1</v>
      </c>
      <c r="G121" s="205">
        <v>-0.3333333</v>
      </c>
      <c r="H121" s="205">
        <v>0.0</v>
      </c>
      <c r="I121" s="205">
        <v>-0.3333333</v>
      </c>
      <c r="J121" s="205">
        <v>0.66666667</v>
      </c>
      <c r="K121" s="205">
        <v>0.0</v>
      </c>
      <c r="L121" s="205">
        <v>-0.3333333</v>
      </c>
      <c r="M121" s="205">
        <v>0.66666667</v>
      </c>
      <c r="N121" s="205">
        <v>-0.3333333</v>
      </c>
      <c r="O121" s="205">
        <v>0.0</v>
      </c>
      <c r="P121" s="205">
        <v>-0.3333333</v>
      </c>
      <c r="Q121" s="205">
        <v>0.66666667</v>
      </c>
      <c r="R121" s="205">
        <v>-0.3333333</v>
      </c>
      <c r="S121" s="205">
        <v>0.0</v>
      </c>
      <c r="T121" s="205">
        <v>-0.3333333</v>
      </c>
      <c r="U121" s="205">
        <v>-0.3333333</v>
      </c>
      <c r="V121" s="205">
        <v>0.66666667</v>
      </c>
      <c r="W121" s="205">
        <v>-0.3333333</v>
      </c>
      <c r="X121" s="205">
        <v>0.66666667</v>
      </c>
      <c r="Y121" s="205">
        <v>-0.3333333</v>
      </c>
      <c r="Z121" s="205">
        <v>0.66666667</v>
      </c>
      <c r="AA121" s="205">
        <v>0.66666667</v>
      </c>
      <c r="AB121" s="205">
        <v>-0.3333333</v>
      </c>
      <c r="AC121" s="205">
        <v>0.0</v>
      </c>
      <c r="AD121" s="205">
        <v>0.66666667</v>
      </c>
      <c r="AE121" s="205">
        <v>0.66666667</v>
      </c>
      <c r="AF121" s="205">
        <v>-0.3333333</v>
      </c>
      <c r="AG121" s="205">
        <v>0.66666667</v>
      </c>
      <c r="AH121" s="205">
        <v>-0.3333333</v>
      </c>
      <c r="AI121" s="205">
        <v>-0.3333333</v>
      </c>
      <c r="AJ121" s="205">
        <v>-0.3333333</v>
      </c>
      <c r="AK121" s="205">
        <v>2.0</v>
      </c>
      <c r="AL121" s="205">
        <v>0.0</v>
      </c>
      <c r="AM121" s="205">
        <v>-0.3333333</v>
      </c>
      <c r="AN121" s="205">
        <v>-0.3333333</v>
      </c>
      <c r="AO121" s="205">
        <v>0.0</v>
      </c>
      <c r="AP121" s="205">
        <v>0.66666667</v>
      </c>
      <c r="AQ121" s="205">
        <v>0.66666667</v>
      </c>
      <c r="AR121" s="205">
        <v>0.66666667</v>
      </c>
      <c r="AS121" s="205">
        <v>-0.3333333</v>
      </c>
      <c r="AT121" s="205">
        <v>-0.3333333</v>
      </c>
      <c r="AU121" s="205">
        <v>4.66666667</v>
      </c>
      <c r="AV121" s="205">
        <v>0.0</v>
      </c>
      <c r="AW121" s="205">
        <v>0.66666667</v>
      </c>
      <c r="AX121" s="205">
        <v>0.66666667</v>
      </c>
      <c r="AY121" s="205">
        <v>0.0</v>
      </c>
      <c r="AZ121" s="205">
        <v>-0.3333333</v>
      </c>
      <c r="BA121" s="205">
        <v>-0.3333333</v>
      </c>
      <c r="BB121" s="205">
        <v>0.0</v>
      </c>
      <c r="BC121" s="205">
        <v>-0.3333333</v>
      </c>
      <c r="BD121" s="205">
        <v>-0.3333333</v>
      </c>
      <c r="BE121" s="205">
        <v>-0.3333333</v>
      </c>
      <c r="BF121" s="205">
        <v>-0.3333333</v>
      </c>
      <c r="BG121" s="205">
        <v>-0.3333333</v>
      </c>
      <c r="BH121" s="205">
        <v>0.66666667</v>
      </c>
      <c r="BI121" s="205">
        <v>0.0</v>
      </c>
      <c r="BJ121" s="205">
        <v>0.0</v>
      </c>
      <c r="BK121" s="205">
        <v>-0.3333333</v>
      </c>
      <c r="BL121" s="205">
        <v>-0.3333333</v>
      </c>
      <c r="BM121" s="205">
        <v>0.0</v>
      </c>
      <c r="BN121" s="205">
        <v>-0.3333333</v>
      </c>
      <c r="BO121" s="205">
        <v>-0.3333333</v>
      </c>
      <c r="BP121" s="205">
        <v>-0.3333333</v>
      </c>
      <c r="BQ121" s="205">
        <v>0.66666667</v>
      </c>
      <c r="BR121" s="206"/>
      <c r="BS121" s="207">
        <f t="shared" si="6"/>
        <v>0.121693139</v>
      </c>
      <c r="BT121" s="207">
        <f t="shared" si="7"/>
        <v>0.4980263625</v>
      </c>
      <c r="BU121" s="206"/>
      <c r="BV121" s="207">
        <f>IFERROR(__xludf.DUMMYFUNCTION("AVERAGE(ARRAYFORMULA(XLOOKUP(FILTER(INDIRECT(""'""&amp;BV$1&amp;""'!$C$4:$C$66""),INDIRECT(""'""&amp;BV$1&amp;""'!$D$4:$D$66"")=BV$2),$G$4:$BQ$4,$G121:$BQ121)))"),-0.04761903285714285)</f>
        <v>-0.04761903286</v>
      </c>
      <c r="BW121" s="207" t="str">
        <f>IFERROR(__xludf.DUMMYFUNCTION("IF(OR(BV121&gt;$BS121+$BT121*$BT$2,BV121&lt;$BS121-$BT121*$BT$2),AVEDEV(ARRAYFORMULA(XLOOKUP(FILTER(INDIRECT(""'""&amp;BV$1&amp;""'!$C$4:$C$66""),INDIRECT(""'""&amp;BV$1&amp;""'!$D$4:$D$66"")=BV$2),$G$4:$BQ$4,$G121:$BQ121))),"""")"),"")</f>
        <v/>
      </c>
      <c r="BX121" s="208" t="str">
        <f t="shared" si="8"/>
        <v/>
      </c>
      <c r="BY121" s="207">
        <f>IFERROR(__xludf.DUMMYFUNCTION("AVERAGE(ARRAYFORMULA(XLOOKUP(FILTER(INDIRECT(""'""&amp;BY$1&amp;""'!$C$4:$C$66""),INDIRECT(""'""&amp;BY$1&amp;""'!$D$4:$D$66"")=BY$2),$G$4:$BQ$4,$G121:$BQ121)))"),0.1507936654761905)</f>
        <v>0.1507936655</v>
      </c>
      <c r="BZ121" s="207" t="str">
        <f>IFERROR(__xludf.DUMMYFUNCTION("IF(OR(BY121&gt;$BS121+$BT121*$BT$2,BY121&lt;$BS121-$BT121*$BT$2),AVEDEV(ARRAYFORMULA(XLOOKUP(FILTER(INDIRECT(""'""&amp;BY$1&amp;""'!$C$4:$C$66""),INDIRECT(""'""&amp;BY$1&amp;""'!$D$4:$D$66"")=BY$2),$G$4:$BQ$4,$G121:$BQ121))),"""")"),"")</f>
        <v/>
      </c>
      <c r="CA121" s="208" t="str">
        <f t="shared" si="9"/>
        <v/>
      </c>
      <c r="CB121" s="207">
        <f>IFERROR(__xludf.DUMMYFUNCTION("AVERAGE(ARRAYFORMULA(XLOOKUP(FILTER(INDIRECT(""'""&amp;CB$1&amp;""'!$C$4:$C$66""),INDIRECT(""'""&amp;CB$1&amp;""'!$D$4:$D$66"")=CB$2),$G$4:$BQ$4,$G121:$BQ121)))"),-0.21212118454545453)</f>
        <v>-0.2121211845</v>
      </c>
      <c r="CC121" s="207" t="str">
        <f>IFERROR(__xludf.DUMMYFUNCTION("IF(OR(CB121&gt;$BS121+$BT121*$BT$2,CB121&lt;$BS121-$BT121*$BT$2),AVEDEV(ARRAYFORMULA(XLOOKUP(FILTER(INDIRECT(""'""&amp;CB$1&amp;""'!$C$4:$C$66""),INDIRECT(""'""&amp;CB$1&amp;""'!$D$4:$D$66"")=CB$2),$G$4:$BQ$4,$G121:$BQ121))),"""")"),"")</f>
        <v/>
      </c>
      <c r="CD121" s="208" t="str">
        <f t="shared" si="10"/>
        <v/>
      </c>
      <c r="CE121" s="209" t="s">
        <v>444</v>
      </c>
      <c r="CF121" s="207">
        <f>IFERROR(__xludf.DUMMYFUNCTION("AVERAGE(ARRAYFORMULA(XLOOKUP(FILTER(INDIRECT(""'""&amp;CF$1&amp;""'!$C$4:$C$66""),INDIRECT(""'""&amp;CF$1&amp;""'!$D$4:$D$66"")=CF$2),$G$4:$BQ$4,$G121:$BQ121)))"),0.312500011875)</f>
        <v>0.3125000119</v>
      </c>
      <c r="CG121" s="207" t="str">
        <f>IFERROR(__xludf.DUMMYFUNCTION("IF(OR(CF121&gt;$BS121+$BT121*$BT$2,CF121&lt;$BS121-$BT121*$BT$2),AVEDEV(ARRAYFORMULA(XLOOKUP(FILTER(INDIRECT(""'""&amp;CF$1&amp;""'!$C$4:$C$66""),INDIRECT(""'""&amp;CF$1&amp;""'!$D$4:$D$66"")=CF$2),$G$4:$BQ$4,$G121:$BQ121))),"""")"),"")</f>
        <v/>
      </c>
      <c r="CH121" s="208" t="str">
        <f t="shared" si="11"/>
        <v/>
      </c>
      <c r="CI121" s="207">
        <f>IFERROR(__xludf.DUMMYFUNCTION("AVERAGE(ARRAYFORMULA(XLOOKUP(FILTER(INDIRECT(""'""&amp;CI$1&amp;""'!$C$4:$C$66""),INDIRECT(""'""&amp;CI$1&amp;""'!$D$4:$D$66"")=CI$2),$G$4:$BQ$4,$G121:$BQ121)))"),-0.021505358387096777)</f>
        <v>-0.02150535839</v>
      </c>
      <c r="CJ121" s="207" t="str">
        <f>IFERROR(__xludf.DUMMYFUNCTION("IF(OR(CI121&gt;$BS121+$BT121*$BT$2,CI121&lt;$BS121-$BT121*$BT$2),AVEDEV(ARRAYFORMULA(XLOOKUP(FILTER(INDIRECT(""'""&amp;CI$1&amp;""'!$C$4:$C$66""),INDIRECT(""'""&amp;CI$1&amp;""'!$D$4:$D$66"")=CI$2),$G$4:$BQ$4,$G121:$BQ121))),"""")"),"")</f>
        <v/>
      </c>
      <c r="CK121" s="208" t="str">
        <f t="shared" si="12"/>
        <v/>
      </c>
      <c r="CL121" s="207">
        <f>IFERROR(__xludf.DUMMYFUNCTION("AVERAGE(ARRAYFORMULA(XLOOKUP(FILTER(INDIRECT(""'""&amp;CL$1&amp;""'!$C$4:$C$66""),INDIRECT(""'""&amp;CL$1&amp;""'!$D$4:$D$66"")=CL$2),$G$4:$BQ$4,$G121:$BQ121)))"),-0.3333333)</f>
        <v>-0.3333333</v>
      </c>
      <c r="CM121" s="207" t="str">
        <f>IFERROR(__xludf.DUMMYFUNCTION("IF(OR(CL121&gt;$BS121+$BT121*$BT$2,CL121&lt;$BS121-$BT121*$BT$2),AVEDEV(ARRAYFORMULA(XLOOKUP(FILTER(INDIRECT(""'""&amp;CL$1&amp;""'!$C$4:$C$66""),INDIRECT(""'""&amp;CL$1&amp;""'!$D$4:$D$66"")=CL$2),$G$4:$BQ$4,$G121:$BQ121))),"""")"),"")</f>
        <v/>
      </c>
      <c r="CN121" s="208" t="str">
        <f t="shared" si="13"/>
        <v/>
      </c>
      <c r="CO121" s="209" t="s">
        <v>444</v>
      </c>
      <c r="CP121" s="210">
        <f>IFERROR(__xludf.DUMMYFUNCTION("AVERAGE(ARRAYFORMULA(XLOOKUP(FILTER(INDIRECT(""'""&amp;CP$1&amp;""'!$C$4:$C$66""),INDIRECT(""'""&amp;CP$1&amp;""'!$D$4:$D$66"")=CP$2),$G$4:$BQ$4,$G121:$BQ121)))"),-0.06666664600000002)</f>
        <v>-0.066666646</v>
      </c>
      <c r="CQ121" s="207" t="str">
        <f>IFERROR(__xludf.DUMMYFUNCTION("IF(OR(CP121&gt;$BS121+$BT121*$BT$2,CP121&lt;$BS121-$BT121*$BT$2),AVEDEV(ARRAYFORMULA(XLOOKUP(FILTER(INDIRECT(""'""&amp;CP$1&amp;""'!$C$4:$C$66""),INDIRECT(""'""&amp;CP$1&amp;""'!$D$4:$D$66"")=CP$2),$G$4:$BQ$4,$G121:$BQ121))),"""")"),"")</f>
        <v/>
      </c>
      <c r="CR121" s="208" t="str">
        <f t="shared" si="14"/>
        <v/>
      </c>
      <c r="CS121" s="210">
        <f>IFERROR(__xludf.DUMMYFUNCTION("AVERAGE(ARRAYFORMULA(XLOOKUP(FILTER(INDIRECT(""'""&amp;CS$1&amp;""'!$C$4:$C$66""),INDIRECT(""'""&amp;CS$1&amp;""'!$D$4:$D$66"")=CS$2),$G$4:$BQ$4,$G121:$BQ121)))"),0.17094018410256412)</f>
        <v>0.1709401841</v>
      </c>
      <c r="CT121" s="207" t="str">
        <f>IFERROR(__xludf.DUMMYFUNCTION("IF(OR(CS121&gt;$BS121+$BT121*$BT$2,CS121&lt;$BS121-$BT121*$BT$2),AVEDEV(ARRAYFORMULA(XLOOKUP(FILTER(INDIRECT(""'""&amp;CS$1&amp;""'!$C$4:$C$66""),INDIRECT(""'""&amp;CS$1&amp;""'!$D$4:$D$66"")=CS$2),$G$4:$BQ$4,$G121:$BQ121))),"""")"),"")</f>
        <v/>
      </c>
      <c r="CU121" s="208" t="str">
        <f t="shared" si="15"/>
        <v/>
      </c>
      <c r="CV121" s="210">
        <f>IFERROR(__xludf.DUMMYFUNCTION("AVERAGE(ARRAYFORMULA(XLOOKUP(FILTER(INDIRECT(""'""&amp;CV$1&amp;""'!$C$4:$C$66""),INDIRECT(""'""&amp;CV$1&amp;""'!$D$4:$D$66"")=CV$2),$G$4:$BQ$4,$G121:$BQ121)))"),-0.3333333)</f>
        <v>-0.3333333</v>
      </c>
      <c r="CW121" s="207" t="str">
        <f>IFERROR(__xludf.DUMMYFUNCTION("IF(OR(CV121&gt;$BS121+$BT121*$BT$2,CV121&lt;$BS121-$BT121*$BT$2),AVEDEV(ARRAYFORMULA(XLOOKUP(FILTER(INDIRECT(""'""&amp;CV$1&amp;""'!$C$4:$C$66""),INDIRECT(""'""&amp;CV$1&amp;""'!$D$4:$D$66"")=CV$2),$G$4:$BQ$4,$G121:$BQ121))),"""")"),"")</f>
        <v/>
      </c>
      <c r="CX121" s="208" t="str">
        <f t="shared" si="16"/>
        <v/>
      </c>
      <c r="CY121" s="209" t="s">
        <v>444</v>
      </c>
      <c r="CZ121" s="210">
        <f>IFERROR(__xludf.DUMMYFUNCTION("AVERAGE(ARRAYFORMULA(XLOOKUP(FILTER(INDIRECT(""'""&amp;CZ$1&amp;""'!$C$4:$C$66""),INDIRECT(""'""&amp;CZ$1&amp;""'!$D$4:$D$66"")=CZ$2),$G$4:$BQ$4,$G121:$BQ121)))"),0.38095239214285714)</f>
        <v>0.3809523921</v>
      </c>
      <c r="DA121" s="207" t="str">
        <f>IFERROR(__xludf.DUMMYFUNCTION("IF(OR(CZ121&gt;$BS121+$BT121*$BT$2,CZ121&lt;$BS121-$BT121*$BT$2),AVEDEV(ARRAYFORMULA(XLOOKUP(FILTER(INDIRECT(""'""&amp;CZ$1&amp;""'!$C$4:$C$66""),INDIRECT(""'""&amp;CZ$1&amp;""'!$D$4:$D$66"")=CZ$2),$G$4:$BQ$4,$G121:$BQ121))),"""")"),"")</f>
        <v/>
      </c>
      <c r="DB121" s="208" t="str">
        <f t="shared" si="17"/>
        <v/>
      </c>
      <c r="DC121" s="210">
        <f>IFERROR(__xludf.DUMMYFUNCTION("AVERAGE(ARRAYFORMULA(XLOOKUP(FILTER(INDIRECT(""'""&amp;DC$1&amp;""'!$C$4:$C$66""),INDIRECT(""'""&amp;DC$1&amp;""'!$D$4:$D$66"")=DC$2),$G$4:$BQ$4,$G121:$BQ121)))"),-0.22222219222222223)</f>
        <v>-0.2222221922</v>
      </c>
      <c r="DD121" s="207" t="str">
        <f>IFERROR(__xludf.DUMMYFUNCTION("IF(OR(DC121&gt;$BS121+$BT121*$BT$2,DC121&lt;$BS121-$BT121*$BT$2),AVEDEV(ARRAYFORMULA(XLOOKUP(FILTER(INDIRECT(""'""&amp;DC$1&amp;""'!$C$4:$C$66""),INDIRECT(""'""&amp;DC$1&amp;""'!$D$4:$D$66"")=DC$2),$G$4:$BQ$4,$G121:$BQ121))),"""")"),"")</f>
        <v/>
      </c>
      <c r="DE121" s="208" t="str">
        <f t="shared" si="18"/>
        <v/>
      </c>
      <c r="DF121" s="210">
        <f>IFERROR(__xludf.DUMMYFUNCTION("AVERAGE(ARRAYFORMULA(XLOOKUP(FILTER(INDIRECT(""'""&amp;DF$1&amp;""'!$C$4:$C$66""),INDIRECT(""'""&amp;DF$1&amp;""'!$D$4:$D$66"")=DF$2),$G$4:$BQ$4,$G121:$BQ121)))"),-0.15151513)</f>
        <v>-0.15151513</v>
      </c>
      <c r="DG121" s="207" t="str">
        <f>IFERROR(__xludf.DUMMYFUNCTION("IF(OR(DF121&gt;$BS121+$BT121*$BT$2,DF121&lt;$BS121-$BT121*$BT$2),AVEDEV(ARRAYFORMULA(XLOOKUP(FILTER(INDIRECT(""'""&amp;DF$1&amp;""'!$C$4:$C$66""),INDIRECT(""'""&amp;DF$1&amp;""'!$D$4:$D$66"")=DF$2),$G$4:$BQ$4,$G121:$BQ121))),"""")"),"")</f>
        <v/>
      </c>
      <c r="DH121" s="208" t="str">
        <f t="shared" si="19"/>
        <v/>
      </c>
      <c r="DI121" s="210">
        <f>IFERROR(__xludf.DUMMYFUNCTION("AVERAGE(ARRAYFORMULA(XLOOKUP(FILTER(INDIRECT(""'""&amp;DI$1&amp;""'!$C$4:$C$66""),INDIRECT(""'""&amp;DI$1&amp;""'!$D$4:$D$66"")=DI$2),$G$4:$BQ$4,$G121:$BQ121)))"),0.66666667)</f>
        <v>0.66666667</v>
      </c>
      <c r="DJ121" s="207">
        <f>IFERROR(__xludf.DUMMYFUNCTION("IF(OR(DI121&gt;$BS121+$BT121*$BT$2,DI121&lt;$BS121-$BT121*$BT$2),AVEDEV(ARRAYFORMULA(XLOOKUP(FILTER(INDIRECT(""'""&amp;DI$1&amp;""'!$C$4:$C$66""),INDIRECT(""'""&amp;DI$1&amp;""'!$D$4:$D$66"")=DI$2),$G$4:$BQ$4,$G121:$BQ121))),"""")"),0.0)</f>
        <v>0</v>
      </c>
      <c r="DK121" s="208">
        <f t="shared" si="20"/>
        <v>0.04694716847</v>
      </c>
      <c r="DL121" s="210">
        <f>IFERROR(__xludf.DUMMYFUNCTION("AVERAGE(ARRAYFORMULA(XLOOKUP(FILTER(INDIRECT(""'""&amp;DL$1&amp;""'!$C$4:$C$66""),INDIRECT(""'""&amp;DL$1&amp;""'!$D$4:$D$66"")=DL$2),$G$4:$BQ$4,$G121:$BQ121)))"),0.0952381107142857)</f>
        <v>0.09523811071</v>
      </c>
      <c r="DM121" s="207" t="str">
        <f>IFERROR(__xludf.DUMMYFUNCTION("IF(OR(DL121&gt;$BS121+$BT121*$BT$2,DL121&lt;$BS121-$BT121*$BT$2),AVEDEV(ARRAYFORMULA(XLOOKUP(FILTER(INDIRECT(""'""&amp;DL$1&amp;""'!$C$4:$C$66""),INDIRECT(""'""&amp;DL$1&amp;""'!$D$4:$D$66"")=DL$2),$G$4:$BQ$4,$G121:$BQ121))),"""")"),"")</f>
        <v/>
      </c>
      <c r="DN121" s="208" t="str">
        <f t="shared" si="21"/>
        <v/>
      </c>
      <c r="DO121" s="209" t="s">
        <v>444</v>
      </c>
      <c r="DP121" s="210">
        <f>IFERROR(__xludf.DUMMYFUNCTION("AVERAGE(ARRAYFORMULA(XLOOKUP(FILTER(INDIRECT(""'""&amp;DP$1&amp;""'!$C$4:$C$66""),INDIRECT(""'""&amp;DP$1&amp;""'!$D$4:$D$66"")=DP$2),$G$4:$BQ$4,$G121:$BQ121)))"),0.15555557000000003)</f>
        <v>0.15555557</v>
      </c>
      <c r="DQ121" s="207" t="str">
        <f>IFERROR(__xludf.DUMMYFUNCTION("IF(OR(DP121&gt;$BS121+$BT121*$BT$2,DP121&lt;$BS121-$BT121*$BT$2),AVEDEV(ARRAYFORMULA(XLOOKUP(FILTER(INDIRECT(""'""&amp;DP$1&amp;""'!$C$4:$C$66""),INDIRECT(""'""&amp;DP$1&amp;""'!$D$4:$D$66"")=DP$2),$G$4:$BQ$4,$G121:$BQ121))),"""")"),"")</f>
        <v/>
      </c>
      <c r="DR121" s="208" t="str">
        <f t="shared" si="22"/>
        <v/>
      </c>
      <c r="DS121" s="210">
        <f>IFERROR(__xludf.DUMMYFUNCTION("AVERAGE(ARRAYFORMULA(XLOOKUP(FILTER(INDIRECT(""'""&amp;DS$1&amp;""'!$C$4:$C$66""),INDIRECT(""'""&amp;DS$1&amp;""'!$D$4:$D$66"")=DS$2),$G$4:$BQ$4,$G121:$BQ121)))"),-0.14814812555555557)</f>
        <v>-0.1481481256</v>
      </c>
      <c r="DT121" s="207" t="str">
        <f>IFERROR(__xludf.DUMMYFUNCTION("IF(OR(DS121&gt;$BS121+$BT121*$BT$2,DS121&lt;$BS121-$BT121*$BT$2),AVEDEV(ARRAYFORMULA(XLOOKUP(FILTER(INDIRECT(""'""&amp;DS$1&amp;""'!$C$4:$C$66""),INDIRECT(""'""&amp;DS$1&amp;""'!$D$4:$D$66"")=DS$2),$G$4:$BQ$4,$G121:$BQ121))),"""")"),"")</f>
        <v/>
      </c>
      <c r="DU121" s="208" t="str">
        <f t="shared" si="23"/>
        <v/>
      </c>
      <c r="DV121" s="210">
        <f>IFERROR(__xludf.DUMMYFUNCTION("AVERAGE(ARRAYFORMULA(XLOOKUP(FILTER(INDIRECT(""'""&amp;DV$1&amp;""'!$C$4:$C$66""),INDIRECT(""'""&amp;DV$1&amp;""'!$D$4:$D$66"")=DV$2),$G$4:$BQ$4,$G121:$BQ121)))"),-0.08333331624999998)</f>
        <v>-0.08333331625</v>
      </c>
      <c r="DW121" s="207" t="str">
        <f>IFERROR(__xludf.DUMMYFUNCTION("IF(OR(DV121&gt;$BS121+$BT121*$BT$2,DV121&lt;$BS121-$BT121*$BT$2),AVEDEV(ARRAYFORMULA(XLOOKUP(FILTER(INDIRECT(""'""&amp;DV$1&amp;""'!$C$4:$C$66""),INDIRECT(""'""&amp;DV$1&amp;""'!$D$4:$D$66"")=DV$2),$G$4:$BQ$4,$G121:$BQ121))),"""")"),"")</f>
        <v/>
      </c>
      <c r="DX121" s="208" t="str">
        <f t="shared" si="24"/>
        <v/>
      </c>
      <c r="DY121" s="210">
        <f>IFERROR(__xludf.DUMMYFUNCTION("AVERAGE(ARRAYFORMULA(XLOOKUP(FILTER(INDIRECT(""'""&amp;DY$1&amp;""'!$C$4:$C$66""),INDIRECT(""'""&amp;DY$1&amp;""'!$D$4:$D$66"")=DY$2),$G$4:$BQ$4,$G121:$BQ121)))"),2.3333333327219602E-8)</f>
        <v>0.00000002333333333</v>
      </c>
      <c r="DZ121" s="207" t="str">
        <f>IFERROR(__xludf.DUMMYFUNCTION("IF(OR(DY121&gt;$BS121+$BT121*$BT$2,DY121&lt;$BS121-$BT121*$BT$2),AVEDEV(ARRAYFORMULA(XLOOKUP(FILTER(INDIRECT(""'""&amp;DY$1&amp;""'!$C$4:$C$66""),INDIRECT(""'""&amp;DY$1&amp;""'!$D$4:$D$66"")=DY$2),$G$4:$BQ$4,$G121:$BQ121))),"""")"),"")</f>
        <v/>
      </c>
      <c r="EA121" s="208" t="str">
        <f t="shared" si="25"/>
        <v/>
      </c>
      <c r="EB121" s="191"/>
    </row>
    <row r="122" outlineLevel="1">
      <c r="A122" s="2"/>
      <c r="B122" s="204">
        <v>118.0</v>
      </c>
      <c r="C122" s="204" t="s">
        <v>540</v>
      </c>
      <c r="D122" s="204" t="s">
        <v>564</v>
      </c>
      <c r="E122" s="205" t="b">
        <f>VLOOKUP(D122,'Feature Set List'!A118:C246,2,0)</f>
        <v>1</v>
      </c>
      <c r="F122" s="205" t="b">
        <f>VLOOKUP(D122,'Feature Set List'!A118:C246,3,0)</f>
        <v>1</v>
      </c>
      <c r="G122" s="205">
        <v>0.62638172</v>
      </c>
      <c r="H122" s="205">
        <v>0.21714566</v>
      </c>
      <c r="I122" s="205">
        <v>0.8676001</v>
      </c>
      <c r="J122" s="205">
        <v>-0.1881602</v>
      </c>
      <c r="K122" s="205">
        <v>-0.8926554</v>
      </c>
      <c r="L122" s="205">
        <v>-0.0810612</v>
      </c>
      <c r="M122" s="205">
        <v>-0.8567919</v>
      </c>
      <c r="N122" s="205">
        <v>-0.5438467</v>
      </c>
      <c r="O122" s="205">
        <v>-0.0540408</v>
      </c>
      <c r="P122" s="205">
        <v>-0.3355441</v>
      </c>
      <c r="Q122" s="205">
        <v>-0.6499632</v>
      </c>
      <c r="R122" s="205">
        <v>-0.5276345</v>
      </c>
      <c r="S122" s="205">
        <v>-0.3276836</v>
      </c>
      <c r="T122" s="205">
        <v>-0.1473839</v>
      </c>
      <c r="U122" s="205">
        <v>0.13952346</v>
      </c>
      <c r="V122" s="205">
        <v>0.92262343</v>
      </c>
      <c r="W122" s="205">
        <v>-0.0363547</v>
      </c>
      <c r="X122" s="205">
        <v>0.28248588</v>
      </c>
      <c r="Y122" s="205">
        <v>0.48734955</v>
      </c>
      <c r="Z122" s="205">
        <v>1.18398428</v>
      </c>
      <c r="AA122" s="205">
        <v>-0.1621223</v>
      </c>
      <c r="AB122" s="205">
        <v>0.80471629</v>
      </c>
      <c r="AC122" s="205">
        <v>-0.4888234</v>
      </c>
      <c r="AD122" s="205">
        <v>0.7629575</v>
      </c>
      <c r="AE122" s="205">
        <v>0.32473594</v>
      </c>
      <c r="AF122" s="205">
        <v>-0.5541636</v>
      </c>
      <c r="AG122" s="205">
        <v>1.81577008</v>
      </c>
      <c r="AH122" s="205">
        <v>-0.0628838</v>
      </c>
      <c r="AI122" s="205">
        <v>-0.7831</v>
      </c>
      <c r="AJ122" s="205">
        <v>1.56128715</v>
      </c>
      <c r="AK122" s="205">
        <v>-0.4298698</v>
      </c>
      <c r="AL122" s="205">
        <v>0.0</v>
      </c>
      <c r="AM122" s="205">
        <v>1.06165561</v>
      </c>
      <c r="AN122" s="205">
        <v>-0.0997298</v>
      </c>
      <c r="AO122" s="205">
        <v>0.37975927</v>
      </c>
      <c r="AP122" s="205">
        <v>0.9624171</v>
      </c>
      <c r="AQ122" s="205">
        <v>1.54261852</v>
      </c>
      <c r="AR122" s="205">
        <v>0.07074429</v>
      </c>
      <c r="AS122" s="205">
        <v>0.21763694</v>
      </c>
      <c r="AT122" s="205">
        <v>0.19454679</v>
      </c>
      <c r="AU122" s="205">
        <v>-0.4613117</v>
      </c>
      <c r="AV122" s="205">
        <v>0.41267502</v>
      </c>
      <c r="AW122" s="205">
        <v>0.02652911</v>
      </c>
      <c r="AX122" s="205">
        <v>-0.4121837</v>
      </c>
      <c r="AY122" s="205">
        <v>1.03463522</v>
      </c>
      <c r="AZ122" s="205">
        <v>0.09923852</v>
      </c>
      <c r="BA122" s="205">
        <v>-0.2122329</v>
      </c>
      <c r="BB122" s="205">
        <v>-0.0338983</v>
      </c>
      <c r="BC122" s="205">
        <v>-0.7973471</v>
      </c>
      <c r="BD122" s="205">
        <v>0.98305085</v>
      </c>
      <c r="BE122" s="205">
        <v>1.69786293</v>
      </c>
      <c r="BF122" s="205">
        <v>0.14836649</v>
      </c>
      <c r="BG122" s="205">
        <v>0.56251535</v>
      </c>
      <c r="BH122" s="205">
        <v>1.1348563</v>
      </c>
      <c r="BI122" s="205">
        <v>-0.5433554</v>
      </c>
      <c r="BJ122" s="205">
        <v>-0.0599361</v>
      </c>
      <c r="BK122" s="205">
        <v>-0.7998035</v>
      </c>
      <c r="BL122" s="205">
        <v>0.48489315</v>
      </c>
      <c r="BM122" s="205">
        <v>-0.5463031</v>
      </c>
      <c r="BN122" s="205">
        <v>-0.3851634</v>
      </c>
      <c r="BO122" s="205">
        <v>0.7629575</v>
      </c>
      <c r="BP122" s="205">
        <v>-0.6175387</v>
      </c>
      <c r="BQ122" s="205">
        <v>-0.3989192</v>
      </c>
      <c r="BR122" s="206"/>
      <c r="BS122" s="207">
        <f t="shared" si="6"/>
        <v>0.1473605397</v>
      </c>
      <c r="BT122" s="207">
        <f t="shared" si="7"/>
        <v>0.5542460333</v>
      </c>
      <c r="BU122" s="206"/>
      <c r="BV122" s="207">
        <f>IFERROR(__xludf.DUMMYFUNCTION("AVERAGE(ARRAYFORMULA(XLOOKUP(FILTER(INDIRECT(""'""&amp;BV$1&amp;""'!$C$4:$C$66""),INDIRECT(""'""&amp;BV$1&amp;""'!$D$4:$D$66"")=BV$2),$G$4:$BQ$4,$G122:$BQ122)))"),0.5693230871428571)</f>
        <v>0.5693230871</v>
      </c>
      <c r="BW122" s="207" t="str">
        <f>IFERROR(__xludf.DUMMYFUNCTION("IF(OR(BV122&gt;$BS122+$BT122*$BT$2,BV122&lt;$BS122-$BT122*$BT$2),AVEDEV(ARRAYFORMULA(XLOOKUP(FILTER(INDIRECT(""'""&amp;BV$1&amp;""'!$C$4:$C$66""),INDIRECT(""'""&amp;BV$1&amp;""'!$D$4:$D$66"")=BV$2),$G$4:$BQ$4,$G122:$BQ122))),"""")"),"")</f>
        <v/>
      </c>
      <c r="BX122" s="208" t="str">
        <f t="shared" si="8"/>
        <v/>
      </c>
      <c r="BY122" s="207">
        <f>IFERROR(__xludf.DUMMYFUNCTION("AVERAGE(ARRAYFORMULA(XLOOKUP(FILTER(INDIRECT(""'""&amp;BY$1&amp;""'!$C$4:$C$66""),INDIRECT(""'""&amp;BY$1&amp;""'!$D$4:$D$66"")=BY$2),$G$4:$BQ$4,$G122:$BQ122)))"),0.13014235119047618)</f>
        <v>0.1301423512</v>
      </c>
      <c r="BZ122" s="207" t="str">
        <f>IFERROR(__xludf.DUMMYFUNCTION("IF(OR(BY122&gt;$BS122+$BT122*$BT$2,BY122&lt;$BS122-$BT122*$BT$2),AVEDEV(ARRAYFORMULA(XLOOKUP(FILTER(INDIRECT(""'""&amp;BY$1&amp;""'!$C$4:$C$66""),INDIRECT(""'""&amp;BY$1&amp;""'!$D$4:$D$66"")=BY$2),$G$4:$BQ$4,$G122:$BQ122))),"""")"),"")</f>
        <v/>
      </c>
      <c r="CA122" s="208" t="str">
        <f t="shared" si="9"/>
        <v/>
      </c>
      <c r="CB122" s="207">
        <f>IFERROR(__xludf.DUMMYFUNCTION("AVERAGE(ARRAYFORMULA(XLOOKUP(FILTER(INDIRECT(""'""&amp;CB$1&amp;""'!$C$4:$C$66""),INDIRECT(""'""&amp;CB$1&amp;""'!$D$4:$D$66"")=CB$2),$G$4:$BQ$4,$G122:$BQ122)))"),-0.14153323727272726)</f>
        <v>-0.1415332373</v>
      </c>
      <c r="CC122" s="207" t="str">
        <f>IFERROR(__xludf.DUMMYFUNCTION("IF(OR(CB122&gt;$BS122+$BT122*$BT$2,CB122&lt;$BS122-$BT122*$BT$2),AVEDEV(ARRAYFORMULA(XLOOKUP(FILTER(INDIRECT(""'""&amp;CB$1&amp;""'!$C$4:$C$66""),INDIRECT(""'""&amp;CB$1&amp;""'!$D$4:$D$66"")=CB$2),$G$4:$BQ$4,$G122:$BQ122))),"""")"),"")</f>
        <v/>
      </c>
      <c r="CD122" s="208" t="str">
        <f t="shared" si="10"/>
        <v/>
      </c>
      <c r="CE122" s="209" t="s">
        <v>444</v>
      </c>
      <c r="CF122" s="207">
        <f>IFERROR(__xludf.DUMMYFUNCTION("AVERAGE(ARRAYFORMULA(XLOOKUP(FILTER(INDIRECT(""'""&amp;CF$1&amp;""'!$C$4:$C$66""),INDIRECT(""'""&amp;CF$1&amp;""'!$D$4:$D$66"")=CF$2),$G$4:$BQ$4,$G122:$BQ122)))"),0.21392163625)</f>
        <v>0.2139216363</v>
      </c>
      <c r="CG122" s="207" t="str">
        <f>IFERROR(__xludf.DUMMYFUNCTION("IF(OR(CF122&gt;$BS122+$BT122*$BT$2,CF122&lt;$BS122-$BT122*$BT$2),AVEDEV(ARRAYFORMULA(XLOOKUP(FILTER(INDIRECT(""'""&amp;CF$1&amp;""'!$C$4:$C$66""),INDIRECT(""'""&amp;CF$1&amp;""'!$D$4:$D$66"")=CF$2),$G$4:$BQ$4,$G122:$BQ122))),"""")"),"")</f>
        <v/>
      </c>
      <c r="CH122" s="208" t="str">
        <f t="shared" si="11"/>
        <v/>
      </c>
      <c r="CI122" s="207">
        <f>IFERROR(__xludf.DUMMYFUNCTION("AVERAGE(ARRAYFORMULA(XLOOKUP(FILTER(INDIRECT(""'""&amp;CI$1&amp;""'!$C$4:$C$66""),INDIRECT(""'""&amp;CI$1&amp;""'!$D$4:$D$66"")=CI$2),$G$4:$BQ$4,$G122:$BQ122)))"),0.0883194248387097)</f>
        <v>0.08831942484</v>
      </c>
      <c r="CJ122" s="207" t="str">
        <f>IFERROR(__xludf.DUMMYFUNCTION("IF(OR(CI122&gt;$BS122+$BT122*$BT$2,CI122&lt;$BS122-$BT122*$BT$2),AVEDEV(ARRAYFORMULA(XLOOKUP(FILTER(INDIRECT(""'""&amp;CI$1&amp;""'!$C$4:$C$66""),INDIRECT(""'""&amp;CI$1&amp;""'!$D$4:$D$66"")=CI$2),$G$4:$BQ$4,$G122:$BQ122))),"""")"),"")</f>
        <v/>
      </c>
      <c r="CK122" s="208" t="str">
        <f t="shared" si="12"/>
        <v/>
      </c>
      <c r="CL122" s="207">
        <f>IFERROR(__xludf.DUMMYFUNCTION("AVERAGE(ARRAYFORMULA(XLOOKUP(FILTER(INDIRECT(""'""&amp;CL$1&amp;""'!$C$4:$C$66""),INDIRECT(""'""&amp;CL$1&amp;""'!$D$4:$D$66"")=CL$2),$G$4:$BQ$4,$G122:$BQ122)))"),0.016998278)</f>
        <v>0.016998278</v>
      </c>
      <c r="CM122" s="207" t="str">
        <f>IFERROR(__xludf.DUMMYFUNCTION("IF(OR(CL122&gt;$BS122+$BT122*$BT$2,CL122&lt;$BS122-$BT122*$BT$2),AVEDEV(ARRAYFORMULA(XLOOKUP(FILTER(INDIRECT(""'""&amp;CL$1&amp;""'!$C$4:$C$66""),INDIRECT(""'""&amp;CL$1&amp;""'!$D$4:$D$66"")=CL$2),$G$4:$BQ$4,$G122:$BQ122))),"""")"),"")</f>
        <v/>
      </c>
      <c r="CN122" s="208" t="str">
        <f t="shared" si="13"/>
        <v/>
      </c>
      <c r="CO122" s="209" t="s">
        <v>444</v>
      </c>
      <c r="CP122" s="210">
        <f>IFERROR(__xludf.DUMMYFUNCTION("AVERAGE(ARRAYFORMULA(XLOOKUP(FILTER(INDIRECT(""'""&amp;CP$1&amp;""'!$C$4:$C$66""),INDIRECT(""'""&amp;CP$1&amp;""'!$D$4:$D$66"")=CP$2),$G$4:$BQ$4,$G122:$BQ122)))"),0.23217883066666664)</f>
        <v>0.2321788307</v>
      </c>
      <c r="CQ122" s="207" t="str">
        <f>IFERROR(__xludf.DUMMYFUNCTION("IF(OR(CP122&gt;$BS122+$BT122*$BT$2,CP122&lt;$BS122-$BT122*$BT$2),AVEDEV(ARRAYFORMULA(XLOOKUP(FILTER(INDIRECT(""'""&amp;CP$1&amp;""'!$C$4:$C$66""),INDIRECT(""'""&amp;CP$1&amp;""'!$D$4:$D$66"")=CP$2),$G$4:$BQ$4,$G122:$BQ122))),"""")"),"")</f>
        <v/>
      </c>
      <c r="CR122" s="208" t="str">
        <f t="shared" si="14"/>
        <v/>
      </c>
      <c r="CS122" s="210">
        <f>IFERROR(__xludf.DUMMYFUNCTION("AVERAGE(ARRAYFORMULA(XLOOKUP(FILTER(INDIRECT(""'""&amp;CS$1&amp;""'!$C$4:$C$66""),INDIRECT(""'""&amp;CS$1&amp;""'!$D$4:$D$66"")=CS$2),$G$4:$BQ$4,$G122:$BQ122)))"),0.09850789102564103)</f>
        <v>0.09850789103</v>
      </c>
      <c r="CT122" s="207" t="str">
        <f>IFERROR(__xludf.DUMMYFUNCTION("IF(OR(CS122&gt;$BS122+$BT122*$BT$2,CS122&lt;$BS122-$BT122*$BT$2),AVEDEV(ARRAYFORMULA(XLOOKUP(FILTER(INDIRECT(""'""&amp;CS$1&amp;""'!$C$4:$C$66""),INDIRECT(""'""&amp;CS$1&amp;""'!$D$4:$D$66"")=CS$2),$G$4:$BQ$4,$G122:$BQ122))),"""")"),"")</f>
        <v/>
      </c>
      <c r="CU122" s="208" t="str">
        <f t="shared" si="15"/>
        <v/>
      </c>
      <c r="CV122" s="210">
        <f>IFERROR(__xludf.DUMMYFUNCTION("AVERAGE(ARRAYFORMULA(XLOOKUP(FILTER(INDIRECT(""'""&amp;CV$1&amp;""'!$C$4:$C$66""),INDIRECT(""'""&amp;CV$1&amp;""'!$D$4:$D$66"")=CV$2),$G$4:$BQ$4,$G122:$BQ122)))"),0.016998278)</f>
        <v>0.016998278</v>
      </c>
      <c r="CW122" s="207" t="str">
        <f>IFERROR(__xludf.DUMMYFUNCTION("IF(OR(CV122&gt;$BS122+$BT122*$BT$2,CV122&lt;$BS122-$BT122*$BT$2),AVEDEV(ARRAYFORMULA(XLOOKUP(FILTER(INDIRECT(""'""&amp;CV$1&amp;""'!$C$4:$C$66""),INDIRECT(""'""&amp;CV$1&amp;""'!$D$4:$D$66"")=CV$2),$G$4:$BQ$4,$G122:$BQ122))),"""")"),"")</f>
        <v/>
      </c>
      <c r="CX122" s="208" t="str">
        <f t="shared" si="16"/>
        <v/>
      </c>
      <c r="CY122" s="209" t="s">
        <v>444</v>
      </c>
      <c r="CZ122" s="210">
        <f>IFERROR(__xludf.DUMMYFUNCTION("AVERAGE(ARRAYFORMULA(XLOOKUP(FILTER(INDIRECT(""'""&amp;CZ$1&amp;""'!$C$4:$C$66""),INDIRECT(""'""&amp;CZ$1&amp;""'!$D$4:$D$66"")=CZ$2),$G$4:$BQ$4,$G122:$BQ122)))"),0.229673295)</f>
        <v>0.229673295</v>
      </c>
      <c r="DA122" s="207" t="str">
        <f>IFERROR(__xludf.DUMMYFUNCTION("IF(OR(CZ122&gt;$BS122+$BT122*$BT$2,CZ122&lt;$BS122-$BT122*$BT$2),AVEDEV(ARRAYFORMULA(XLOOKUP(FILTER(INDIRECT(""'""&amp;CZ$1&amp;""'!$C$4:$C$66""),INDIRECT(""'""&amp;CZ$1&amp;""'!$D$4:$D$66"")=CZ$2),$G$4:$BQ$4,$G122:$BQ122))),"""")"),"")</f>
        <v/>
      </c>
      <c r="DB122" s="208" t="str">
        <f t="shared" si="17"/>
        <v/>
      </c>
      <c r="DC122" s="210">
        <f>IFERROR(__xludf.DUMMYFUNCTION("AVERAGE(ARRAYFORMULA(XLOOKUP(FILTER(INDIRECT(""'""&amp;DC$1&amp;""'!$C$4:$C$66""),INDIRECT(""'""&amp;DC$1&amp;""'!$D$4:$D$66"")=DC$2),$G$4:$BQ$4,$G122:$BQ122)))"),-0.12331122555555557)</f>
        <v>-0.1233112256</v>
      </c>
      <c r="DD122" s="207" t="str">
        <f>IFERROR(__xludf.DUMMYFUNCTION("IF(OR(DC122&gt;$BS122+$BT122*$BT$2,DC122&lt;$BS122-$BT122*$BT$2),AVEDEV(ARRAYFORMULA(XLOOKUP(FILTER(INDIRECT(""'""&amp;DC$1&amp;""'!$C$4:$C$66""),INDIRECT(""'""&amp;DC$1&amp;""'!$D$4:$D$66"")=DC$2),$G$4:$BQ$4,$G122:$BQ122))),"""")"),"")</f>
        <v/>
      </c>
      <c r="DE122" s="208" t="str">
        <f t="shared" si="18"/>
        <v/>
      </c>
      <c r="DF122" s="210">
        <f>IFERROR(__xludf.DUMMYFUNCTION("AVERAGE(ARRAYFORMULA(XLOOKUP(FILTER(INDIRECT(""'""&amp;DF$1&amp;""'!$C$4:$C$66""),INDIRECT(""'""&amp;DF$1&amp;""'!$D$4:$D$66"")=DF$2),$G$4:$BQ$4,$G122:$BQ122)))"),0.2597083618181818)</f>
        <v>0.2597083618</v>
      </c>
      <c r="DG122" s="207" t="str">
        <f>IFERROR(__xludf.DUMMYFUNCTION("IF(OR(DF122&gt;$BS122+$BT122*$BT$2,DF122&lt;$BS122-$BT122*$BT$2),AVEDEV(ARRAYFORMULA(XLOOKUP(FILTER(INDIRECT(""'""&amp;DF$1&amp;""'!$C$4:$C$66""),INDIRECT(""'""&amp;DF$1&amp;""'!$D$4:$D$66"")=DF$2),$G$4:$BQ$4,$G122:$BQ122))),"""")"),"")</f>
        <v/>
      </c>
      <c r="DH122" s="208" t="str">
        <f t="shared" si="19"/>
        <v/>
      </c>
      <c r="DI122" s="210">
        <f>IFERROR(__xludf.DUMMYFUNCTION("AVERAGE(ARRAYFORMULA(XLOOKUP(FILTER(INDIRECT(""'""&amp;DI$1&amp;""'!$C$4:$C$66""),INDIRECT(""'""&amp;DI$1&amp;""'!$D$4:$D$66"")=DI$2),$G$4:$BQ$4,$G122:$BQ122)))"),0.9489069)</f>
        <v>0.9489069</v>
      </c>
      <c r="DJ122" s="207">
        <f>IFERROR(__xludf.DUMMYFUNCTION("IF(OR(DI122&gt;$BS122+$BT122*$BT$2,DI122&lt;$BS122-$BT122*$BT$2),AVEDEV(ARRAYFORMULA(XLOOKUP(FILTER(INDIRECT(""'""&amp;DI$1&amp;""'!$C$4:$C$66""),INDIRECT(""'""&amp;DI$1&amp;""'!$D$4:$D$66"")=DI$2),$G$4:$BQ$4,$G122:$BQ122))),"""")"),0.18594940000000004)</f>
        <v>0.1859494</v>
      </c>
      <c r="DK122" s="208">
        <f t="shared" si="20"/>
        <v>0.247300327</v>
      </c>
      <c r="DL122" s="210">
        <f>IFERROR(__xludf.DUMMYFUNCTION("AVERAGE(ARRAYFORMULA(XLOOKUP(FILTER(INDIRECT(""'""&amp;DL$1&amp;""'!$C$4:$C$66""),INDIRECT(""'""&amp;DL$1&amp;""'!$D$4:$D$66"")=DL$2),$G$4:$BQ$4,$G122:$BQ122)))"),-0.12355687000000001)</f>
        <v>-0.12355687</v>
      </c>
      <c r="DM122" s="207" t="str">
        <f>IFERROR(__xludf.DUMMYFUNCTION("IF(OR(DL122&gt;$BS122+$BT122*$BT$2,DL122&lt;$BS122-$BT122*$BT$2),AVEDEV(ARRAYFORMULA(XLOOKUP(FILTER(INDIRECT(""'""&amp;DL$1&amp;""'!$C$4:$C$66""),INDIRECT(""'""&amp;DL$1&amp;""'!$D$4:$D$66"")=DL$2),$G$4:$BQ$4,$G122:$BQ122))),"""")"),"")</f>
        <v/>
      </c>
      <c r="DN122" s="208" t="str">
        <f t="shared" si="21"/>
        <v/>
      </c>
      <c r="DO122" s="209" t="s">
        <v>444</v>
      </c>
      <c r="DP122" s="210">
        <f>IFERROR(__xludf.DUMMYFUNCTION("AVERAGE(ARRAYFORMULA(XLOOKUP(FILTER(INDIRECT(""'""&amp;DP$1&amp;""'!$C$4:$C$66""),INDIRECT(""'""&amp;DP$1&amp;""'!$D$4:$D$66"")=DP$2),$G$4:$BQ$4,$G122:$BQ122)))"),0.08584295199999999)</f>
        <v>0.085842952</v>
      </c>
      <c r="DQ122" s="207" t="str">
        <f>IFERROR(__xludf.DUMMYFUNCTION("IF(OR(DP122&gt;$BS122+$BT122*$BT$2,DP122&lt;$BS122-$BT122*$BT$2),AVEDEV(ARRAYFORMULA(XLOOKUP(FILTER(INDIRECT(""'""&amp;DP$1&amp;""'!$C$4:$C$66""),INDIRECT(""'""&amp;DP$1&amp;""'!$D$4:$D$66"")=DP$2),$G$4:$BQ$4,$G122:$BQ122))),"""")"),"")</f>
        <v/>
      </c>
      <c r="DR122" s="208" t="str">
        <f t="shared" si="22"/>
        <v/>
      </c>
      <c r="DS122" s="210">
        <f>IFERROR(__xludf.DUMMYFUNCTION("AVERAGE(ARRAYFORMULA(XLOOKUP(FILTER(INDIRECT(""'""&amp;DS$1&amp;""'!$C$4:$C$66""),INDIRECT(""'""&amp;DS$1&amp;""'!$D$4:$D$66"")=DS$2),$G$4:$BQ$4,$G122:$BQ122)))"),-0.13073500666666668)</f>
        <v>-0.1307350067</v>
      </c>
      <c r="DT122" s="207" t="str">
        <f>IFERROR(__xludf.DUMMYFUNCTION("IF(OR(DS122&gt;$BS122+$BT122*$BT$2,DS122&lt;$BS122-$BT122*$BT$2),AVEDEV(ARRAYFORMULA(XLOOKUP(FILTER(INDIRECT(""'""&amp;DS$1&amp;""'!$C$4:$C$66""),INDIRECT(""'""&amp;DS$1&amp;""'!$D$4:$D$66"")=DS$2),$G$4:$BQ$4,$G122:$BQ122))),"""")"),"")</f>
        <v/>
      </c>
      <c r="DU122" s="208" t="str">
        <f t="shared" si="23"/>
        <v/>
      </c>
      <c r="DV122" s="210">
        <f>IFERROR(__xludf.DUMMYFUNCTION("AVERAGE(ARRAYFORMULA(XLOOKUP(FILTER(INDIRECT(""'""&amp;DV$1&amp;""'!$C$4:$C$66""),INDIRECT(""'""&amp;DV$1&amp;""'!$D$4:$D$66"")=DV$2),$G$4:$BQ$4,$G122:$BQ122)))"),0.22040039374999998)</f>
        <v>0.2204003938</v>
      </c>
      <c r="DW122" s="207" t="str">
        <f>IFERROR(__xludf.DUMMYFUNCTION("IF(OR(DV122&gt;$BS122+$BT122*$BT$2,DV122&lt;$BS122-$BT122*$BT$2),AVEDEV(ARRAYFORMULA(XLOOKUP(FILTER(INDIRECT(""'""&amp;DV$1&amp;""'!$C$4:$C$66""),INDIRECT(""'""&amp;DV$1&amp;""'!$D$4:$D$66"")=DV$2),$G$4:$BQ$4,$G122:$BQ122))),"""")"),"")</f>
        <v/>
      </c>
      <c r="DX122" s="208" t="str">
        <f t="shared" si="24"/>
        <v/>
      </c>
      <c r="DY122" s="210">
        <f>IFERROR(__xludf.DUMMYFUNCTION("AVERAGE(ARRAYFORMULA(XLOOKUP(FILTER(INDIRECT(""'""&amp;DY$1&amp;""'!$C$4:$C$66""),INDIRECT(""'""&amp;DY$1&amp;""'!$D$4:$D$66"")=DY$2),$G$4:$BQ$4,$G122:$BQ122)))"),0.3905128344444444)</f>
        <v>0.3905128344</v>
      </c>
      <c r="DZ122" s="207" t="str">
        <f>IFERROR(__xludf.DUMMYFUNCTION("IF(OR(DY122&gt;$BS122+$BT122*$BT$2,DY122&lt;$BS122-$BT122*$BT$2),AVEDEV(ARRAYFORMULA(XLOOKUP(FILTER(INDIRECT(""'""&amp;DY$1&amp;""'!$C$4:$C$66""),INDIRECT(""'""&amp;DY$1&amp;""'!$D$4:$D$66"")=DY$2),$G$4:$BQ$4,$G122:$BQ122))),"""")"),"")</f>
        <v/>
      </c>
      <c r="EA122" s="208" t="str">
        <f t="shared" si="25"/>
        <v/>
      </c>
      <c r="EB122" s="191"/>
    </row>
    <row r="123" outlineLevel="1">
      <c r="A123" s="2"/>
      <c r="B123" s="204">
        <v>119.0</v>
      </c>
      <c r="C123" s="204" t="s">
        <v>540</v>
      </c>
      <c r="D123" s="204" t="s">
        <v>565</v>
      </c>
      <c r="E123" s="205" t="b">
        <f>VLOOKUP(D123,'Feature Set List'!A119:C246,2,0)</f>
        <v>1</v>
      </c>
      <c r="F123" s="205" t="b">
        <f>VLOOKUP(D123,'Feature Set List'!A119:C246,3,0)</f>
        <v>1</v>
      </c>
      <c r="G123" s="205">
        <v>0.03063711</v>
      </c>
      <c r="H123" s="205">
        <v>-1.3027736</v>
      </c>
      <c r="I123" s="205">
        <v>0.03063711</v>
      </c>
      <c r="J123" s="205">
        <v>-0.9594987</v>
      </c>
      <c r="K123" s="205">
        <v>-0.2365092</v>
      </c>
      <c r="L123" s="205">
        <v>0.03063711</v>
      </c>
      <c r="M123" s="205">
        <v>-0.0011605</v>
      </c>
      <c r="N123" s="205">
        <v>0.03063711</v>
      </c>
      <c r="O123" s="205">
        <v>-1.1386794</v>
      </c>
      <c r="P123" s="205">
        <v>0.03063711</v>
      </c>
      <c r="Q123" s="205">
        <v>-0.6573053</v>
      </c>
      <c r="R123" s="205">
        <v>0.03063711</v>
      </c>
      <c r="S123" s="205">
        <v>-0.467216</v>
      </c>
      <c r="T123" s="205">
        <v>0.03063711</v>
      </c>
      <c r="U123" s="205">
        <v>0.03063711</v>
      </c>
      <c r="V123" s="205">
        <v>-1.5975397</v>
      </c>
      <c r="W123" s="205">
        <v>0.03063711</v>
      </c>
      <c r="X123" s="205">
        <v>-1.1233608</v>
      </c>
      <c r="Y123" s="205">
        <v>0.03063711</v>
      </c>
      <c r="Z123" s="205">
        <v>-1.9234072</v>
      </c>
      <c r="AA123" s="205">
        <v>-0.5154926</v>
      </c>
      <c r="AB123" s="205">
        <v>0.03063711</v>
      </c>
      <c r="AC123" s="205">
        <v>0.0</v>
      </c>
      <c r="AD123" s="205">
        <v>-1.8382268</v>
      </c>
      <c r="AE123" s="205">
        <v>-1.418127</v>
      </c>
      <c r="AF123" s="205">
        <v>0.03063711</v>
      </c>
      <c r="AG123" s="205">
        <v>-1.9554369</v>
      </c>
      <c r="AH123" s="205">
        <v>0.03063711</v>
      </c>
      <c r="AI123" s="205">
        <v>0.03063711</v>
      </c>
      <c r="AJ123" s="205">
        <v>0.03063711</v>
      </c>
      <c r="AK123" s="205">
        <v>-0.1035163</v>
      </c>
      <c r="AL123" s="205">
        <v>-1.2767785</v>
      </c>
      <c r="AM123" s="205">
        <v>0.03063711</v>
      </c>
      <c r="AN123" s="205">
        <v>0.03063711</v>
      </c>
      <c r="AO123" s="205">
        <v>-0.9237554</v>
      </c>
      <c r="AP123" s="205">
        <v>-1.9118023</v>
      </c>
      <c r="AQ123" s="205">
        <v>-2.0685157</v>
      </c>
      <c r="AR123" s="205">
        <v>-0.9708715</v>
      </c>
      <c r="AS123" s="205">
        <v>0.03063711</v>
      </c>
      <c r="AT123" s="205">
        <v>0.03063711</v>
      </c>
      <c r="AU123" s="205">
        <v>-0.8487873</v>
      </c>
      <c r="AV123" s="205">
        <v>-0.920506</v>
      </c>
      <c r="AW123" s="205">
        <v>-0.6563769</v>
      </c>
      <c r="AX123" s="205">
        <v>-0.3581293</v>
      </c>
      <c r="AY123" s="205">
        <v>-1.4907741</v>
      </c>
      <c r="AZ123" s="205">
        <v>0.03063711</v>
      </c>
      <c r="BA123" s="205">
        <v>0.03063711</v>
      </c>
      <c r="BB123" s="205">
        <v>-1.1693165</v>
      </c>
      <c r="BC123" s="205">
        <v>0.03063711</v>
      </c>
      <c r="BD123" s="205">
        <v>0.03063711</v>
      </c>
      <c r="BE123" s="205">
        <v>0.03063711</v>
      </c>
      <c r="BF123" s="205">
        <v>0.03063711</v>
      </c>
      <c r="BG123" s="205">
        <v>0.03063711</v>
      </c>
      <c r="BH123" s="205">
        <v>-1.9106418</v>
      </c>
      <c r="BI123" s="205">
        <v>-0.9678542</v>
      </c>
      <c r="BJ123" s="205">
        <v>-1.0353951</v>
      </c>
      <c r="BK123" s="205">
        <v>0.03063711</v>
      </c>
      <c r="BL123" s="205">
        <v>0.03063711</v>
      </c>
      <c r="BM123" s="205">
        <v>-0.8155971</v>
      </c>
      <c r="BN123" s="205">
        <v>0.03063711</v>
      </c>
      <c r="BO123" s="205">
        <v>0.03063711</v>
      </c>
      <c r="BP123" s="205">
        <v>0.03063711</v>
      </c>
      <c r="BQ123" s="205">
        <v>-0.9659974</v>
      </c>
      <c r="BR123" s="206"/>
      <c r="BS123" s="207">
        <f t="shared" si="6"/>
        <v>-0.5171364871</v>
      </c>
      <c r="BT123" s="207">
        <f t="shared" si="7"/>
        <v>0.6006004134</v>
      </c>
      <c r="BU123" s="206"/>
      <c r="BV123" s="207">
        <f>IFERROR(__xludf.DUMMYFUNCTION("AVERAGE(ARRAYFORMULA(XLOOKUP(FILTER(INDIRECT(""'""&amp;BV$1&amp;""'!$C$4:$C$66""),INDIRECT(""'""&amp;BV$1&amp;""'!$D$4:$D$66"")=BV$2),$G$4:$BQ$4,$G123:$BQ123)))"),-0.6593279242857145)</f>
        <v>-0.6593279243</v>
      </c>
      <c r="BW123" s="207" t="str">
        <f>IFERROR(__xludf.DUMMYFUNCTION("IF(OR(BV123&gt;$BS123+$BT123*$BT$2,BV123&lt;$BS123-$BT123*$BT$2),AVEDEV(ARRAYFORMULA(XLOOKUP(FILTER(INDIRECT(""'""&amp;BV$1&amp;""'!$C$4:$C$66""),INDIRECT(""'""&amp;BV$1&amp;""'!$D$4:$D$66"")=BV$2),$G$4:$BQ$4,$G123:$BQ123))),"""")"),"")</f>
        <v/>
      </c>
      <c r="BX123" s="208" t="str">
        <f t="shared" si="8"/>
        <v/>
      </c>
      <c r="BY123" s="207">
        <f>IFERROR(__xludf.DUMMYFUNCTION("AVERAGE(ARRAYFORMULA(XLOOKUP(FILTER(INDIRECT(""'""&amp;BY$1&amp;""'!$C$4:$C$66""),INDIRECT(""'""&amp;BY$1&amp;""'!$D$4:$D$66"")=BY$2),$G$4:$BQ$4,$G123:$BQ123)))"),-0.6341849173809521)</f>
        <v>-0.6341849174</v>
      </c>
      <c r="BZ123" s="207" t="str">
        <f>IFERROR(__xludf.DUMMYFUNCTION("IF(OR(BY123&gt;$BS123+$BT123*$BT$2,BY123&lt;$BS123-$BT123*$BT$2),AVEDEV(ARRAYFORMULA(XLOOKUP(FILTER(INDIRECT(""'""&amp;BY$1&amp;""'!$C$4:$C$66""),INDIRECT(""'""&amp;BY$1&amp;""'!$D$4:$D$66"")=BY$2),$G$4:$BQ$4,$G123:$BQ123))),"""")"),"")</f>
        <v/>
      </c>
      <c r="CA123" s="208" t="str">
        <f t="shared" si="9"/>
        <v/>
      </c>
      <c r="CB123" s="207">
        <f>IFERROR(__xludf.DUMMYFUNCTION("AVERAGE(ARRAYFORMULA(XLOOKUP(FILTER(INDIRECT(""'""&amp;CB$1&amp;""'!$C$4:$C$66""),INDIRECT(""'""&amp;CB$1&amp;""'!$D$4:$D$66"")=CB$2),$G$4:$BQ$4,$G123:$BQ123)))"),-0.04918396454545453)</f>
        <v>-0.04918396455</v>
      </c>
      <c r="CC123" s="207" t="str">
        <f>IFERROR(__xludf.DUMMYFUNCTION("IF(OR(CB123&gt;$BS123+$BT123*$BT$2,CB123&lt;$BS123-$BT123*$BT$2),AVEDEV(ARRAYFORMULA(XLOOKUP(FILTER(INDIRECT(""'""&amp;CB$1&amp;""'!$C$4:$C$66""),INDIRECT(""'""&amp;CB$1&amp;""'!$D$4:$D$66"")=CB$2),$G$4:$BQ$4,$G123:$BQ123))),"""")"),"")</f>
        <v/>
      </c>
      <c r="CD123" s="208" t="str">
        <f t="shared" si="10"/>
        <v/>
      </c>
      <c r="CE123" s="209" t="s">
        <v>444</v>
      </c>
      <c r="CF123" s="207">
        <f>IFERROR(__xludf.DUMMYFUNCTION("AVERAGE(ARRAYFORMULA(XLOOKUP(FILTER(INDIRECT(""'""&amp;CF$1&amp;""'!$C$4:$C$66""),INDIRECT(""'""&amp;CF$1&amp;""'!$D$4:$D$66"")=CF$2),$G$4:$BQ$4,$G123:$BQ123)))"),-0.8266392031250002)</f>
        <v>-0.8266392031</v>
      </c>
      <c r="CG123" s="207" t="str">
        <f>IFERROR(__xludf.DUMMYFUNCTION("IF(OR(CF123&gt;$BS123+$BT123*$BT$2,CF123&lt;$BS123-$BT123*$BT$2),AVEDEV(ARRAYFORMULA(XLOOKUP(FILTER(INDIRECT(""'""&amp;CF$1&amp;""'!$C$4:$C$66""),INDIRECT(""'""&amp;CF$1&amp;""'!$D$4:$D$66"")=CF$2),$G$4:$BQ$4,$G123:$BQ123))),"""")"),"")</f>
        <v/>
      </c>
      <c r="CH123" s="208" t="str">
        <f t="shared" si="11"/>
        <v/>
      </c>
      <c r="CI123" s="207">
        <f>IFERROR(__xludf.DUMMYFUNCTION("AVERAGE(ARRAYFORMULA(XLOOKUP(FILTER(INDIRECT(""'""&amp;CI$1&amp;""'!$C$4:$C$66""),INDIRECT(""'""&amp;CI$1&amp;""'!$D$4:$D$66"")=CI$2),$G$4:$BQ$4,$G123:$BQ123)))"),-0.4715884238709677)</f>
        <v>-0.4715884239</v>
      </c>
      <c r="CJ123" s="207" t="str">
        <f>IFERROR(__xludf.DUMMYFUNCTION("IF(OR(CI123&gt;$BS123+$BT123*$BT$2,CI123&lt;$BS123-$BT123*$BT$2),AVEDEV(ARRAYFORMULA(XLOOKUP(FILTER(INDIRECT(""'""&amp;CI$1&amp;""'!$C$4:$C$66""),INDIRECT(""'""&amp;CI$1&amp;""'!$D$4:$D$66"")=CI$2),$G$4:$BQ$4,$G123:$BQ123))),"""")"),"")</f>
        <v/>
      </c>
      <c r="CK123" s="208" t="str">
        <f t="shared" si="12"/>
        <v/>
      </c>
      <c r="CL123" s="207">
        <f>IFERROR(__xludf.DUMMYFUNCTION("AVERAGE(ARRAYFORMULA(XLOOKUP(FILTER(INDIRECT(""'""&amp;CL$1&amp;""'!$C$4:$C$66""),INDIRECT(""'""&amp;CL$1&amp;""'!$D$4:$D$66"")=CL$2),$G$4:$BQ$4,$G123:$BQ123)))"),0.030637110000000002)</f>
        <v>0.03063711</v>
      </c>
      <c r="CM123" s="207" t="str">
        <f>IFERROR(__xludf.DUMMYFUNCTION("IF(OR(CL123&gt;$BS123+$BT123*$BT$2,CL123&lt;$BS123-$BT123*$BT$2),AVEDEV(ARRAYFORMULA(XLOOKUP(FILTER(INDIRECT(""'""&amp;CL$1&amp;""'!$C$4:$C$66""),INDIRECT(""'""&amp;CL$1&amp;""'!$D$4:$D$66"")=CL$2),$G$4:$BQ$4,$G123:$BQ123))),"""")"),"")</f>
        <v/>
      </c>
      <c r="CN123" s="208" t="str">
        <f t="shared" si="13"/>
        <v/>
      </c>
      <c r="CO123" s="209" t="s">
        <v>444</v>
      </c>
      <c r="CP123" s="210">
        <f>IFERROR(__xludf.DUMMYFUNCTION("AVERAGE(ARRAYFORMULA(XLOOKUP(FILTER(INDIRECT(""'""&amp;CP$1&amp;""'!$C$4:$C$66""),INDIRECT(""'""&amp;CP$1&amp;""'!$D$4:$D$66"")=CP$2),$G$4:$BQ$4,$G123:$BQ123)))"),-0.3177440006666667)</f>
        <v>-0.3177440007</v>
      </c>
      <c r="CQ123" s="207" t="str">
        <f>IFERROR(__xludf.DUMMYFUNCTION("IF(OR(CP123&gt;$BS123+$BT123*$BT$2,CP123&lt;$BS123-$BT123*$BT$2),AVEDEV(ARRAYFORMULA(XLOOKUP(FILTER(INDIRECT(""'""&amp;CP$1&amp;""'!$C$4:$C$66""),INDIRECT(""'""&amp;CP$1&amp;""'!$D$4:$D$66"")=CP$2),$G$4:$BQ$4,$G123:$BQ123))),"""")"),"")</f>
        <v/>
      </c>
      <c r="CR123" s="208" t="str">
        <f t="shared" si="14"/>
        <v/>
      </c>
      <c r="CS123" s="210">
        <f>IFERROR(__xludf.DUMMYFUNCTION("AVERAGE(ARRAYFORMULA(XLOOKUP(FILTER(INDIRECT(""'""&amp;CS$1&amp;""'!$C$4:$C$66""),INDIRECT(""'""&amp;CS$1&amp;""'!$D$4:$D$66"")=CS$2),$G$4:$BQ$4,$G123:$BQ123)))"),-0.6976858528205127)</f>
        <v>-0.6976858528</v>
      </c>
      <c r="CT123" s="207" t="str">
        <f>IFERROR(__xludf.DUMMYFUNCTION("IF(OR(CS123&gt;$BS123+$BT123*$BT$2,CS123&lt;$BS123-$BT123*$BT$2),AVEDEV(ARRAYFORMULA(XLOOKUP(FILTER(INDIRECT(""'""&amp;CS$1&amp;""'!$C$4:$C$66""),INDIRECT(""'""&amp;CS$1&amp;""'!$D$4:$D$66"")=CS$2),$G$4:$BQ$4,$G123:$BQ123))),"""")"),"")</f>
        <v/>
      </c>
      <c r="CU123" s="208" t="str">
        <f t="shared" si="15"/>
        <v/>
      </c>
      <c r="CV123" s="212">
        <f>IFERROR(__xludf.DUMMYFUNCTION("AVERAGE(ARRAYFORMULA(XLOOKUP(FILTER(INDIRECT(""'""&amp;CV$1&amp;""'!$C$4:$C$66""),INDIRECT(""'""&amp;CV$1&amp;""'!$D$4:$D$66"")=CV$2),$G$4:$BQ$4,$G123:$BQ123)))"),0.030637110000000002)</f>
        <v>0.03063711</v>
      </c>
      <c r="CW123" s="207" t="str">
        <f>IFERROR(__xludf.DUMMYFUNCTION("IF(OR(CV123&gt;$BS123+$BT123*$BT$2,CV123&lt;$BS123-$BT123*$BT$2),AVEDEV(ARRAYFORMULA(XLOOKUP(FILTER(INDIRECT(""'""&amp;CV$1&amp;""'!$C$4:$C$66""),INDIRECT(""'""&amp;CV$1&amp;""'!$D$4:$D$66"")=CV$2),$G$4:$BQ$4,$G123:$BQ123))),"""")"),"")</f>
        <v/>
      </c>
      <c r="CX123" s="208" t="str">
        <f t="shared" si="16"/>
        <v/>
      </c>
      <c r="CY123" s="209" t="s">
        <v>444</v>
      </c>
      <c r="CZ123" s="210">
        <f>IFERROR(__xludf.DUMMYFUNCTION("AVERAGE(ARRAYFORMULA(XLOOKUP(FILTER(INDIRECT(""'""&amp;CZ$1&amp;""'!$C$4:$C$66""),INDIRECT(""'""&amp;CZ$1&amp;""'!$D$4:$D$66"")=CZ$2),$G$4:$BQ$4,$G123:$BQ123)))"),-0.9377012257142858)</f>
        <v>-0.9377012257</v>
      </c>
      <c r="DA123" s="207" t="str">
        <f>IFERROR(__xludf.DUMMYFUNCTION("IF(OR(CZ123&gt;$BS123+$BT123*$BT$2,CZ123&lt;$BS123-$BT123*$BT$2),AVEDEV(ARRAYFORMULA(XLOOKUP(FILTER(INDIRECT(""'""&amp;CZ$1&amp;""'!$C$4:$C$66""),INDIRECT(""'""&amp;CZ$1&amp;""'!$D$4:$D$66"")=CZ$2),$G$4:$BQ$4,$G123:$BQ123))),"""")"),"")</f>
        <v/>
      </c>
      <c r="DB123" s="208" t="str">
        <f t="shared" si="17"/>
        <v/>
      </c>
      <c r="DC123" s="210">
        <f>IFERROR(__xludf.DUMMYFUNCTION("AVERAGE(ARRAYFORMULA(XLOOKUP(FILTER(INDIRECT(""'""&amp;DC$1&amp;""'!$C$4:$C$66""),INDIRECT(""'""&amp;DC$1&amp;""'!$D$4:$D$66"")=DC$2),$G$4:$BQ$4,$G123:$BQ123)))"),0.02710404222222222)</f>
        <v>0.02710404222</v>
      </c>
      <c r="DD123" s="207" t="str">
        <f>IFERROR(__xludf.DUMMYFUNCTION("IF(OR(DC123&gt;$BS123+$BT123*$BT$2,DC123&lt;$BS123-$BT123*$BT$2),AVEDEV(ARRAYFORMULA(XLOOKUP(FILTER(INDIRECT(""'""&amp;DC$1&amp;""'!$C$4:$C$66""),INDIRECT(""'""&amp;DC$1&amp;""'!$D$4:$D$66"")=DC$2),$G$4:$BQ$4,$G123:$BQ123))),"""")"),"")</f>
        <v/>
      </c>
      <c r="DE123" s="208" t="str">
        <f t="shared" si="18"/>
        <v/>
      </c>
      <c r="DF123" s="210">
        <f>IFERROR(__xludf.DUMMYFUNCTION("AVERAGE(ARRAYFORMULA(XLOOKUP(FILTER(INDIRECT(""'""&amp;DF$1&amp;""'!$C$4:$C$66""),INDIRECT(""'""&amp;DF$1&amp;""'!$D$4:$D$66"")=DF$2),$G$4:$BQ$4,$G123:$BQ123)))"),-0.15352316636363636)</f>
        <v>-0.1535231664</v>
      </c>
      <c r="DG123" s="207" t="str">
        <f>IFERROR(__xludf.DUMMYFUNCTION("IF(OR(DF123&gt;$BS123+$BT123*$BT$2,DF123&lt;$BS123-$BT123*$BT$2),AVEDEV(ARRAYFORMULA(XLOOKUP(FILTER(INDIRECT(""'""&amp;DF$1&amp;""'!$C$4:$C$66""),INDIRECT(""'""&amp;DF$1&amp;""'!$D$4:$D$66"")=DF$2),$G$4:$BQ$4,$G123:$BQ123))),"""")"),"")</f>
        <v/>
      </c>
      <c r="DH123" s="208" t="str">
        <f t="shared" si="19"/>
        <v/>
      </c>
      <c r="DI123" s="210">
        <f>IFERROR(__xludf.DUMMYFUNCTION("AVERAGE(ARRAYFORMULA(XLOOKUP(FILTER(INDIRECT(""'""&amp;DI$1&amp;""'!$C$4:$C$66""),INDIRECT(""'""&amp;DI$1&amp;""'!$D$4:$D$66"")=DI$2),$G$4:$BQ$4,$G123:$BQ123)))"),-1.8744342999999999)</f>
        <v>-1.8744343</v>
      </c>
      <c r="DJ123" s="207">
        <f>IFERROR(__xludf.DUMMYFUNCTION("IF(OR(DI123&gt;$BS123+$BT123*$BT$2,DI123&lt;$BS123-$BT123*$BT$2),AVEDEV(ARRAYFORMULA(XLOOKUP(FILTER(INDIRECT(""'""&amp;DI$1&amp;""'!$C$4:$C$66""),INDIRECT(""'""&amp;DI$1&amp;""'!$D$4:$D$66"")=DI$2),$G$4:$BQ$4,$G123:$BQ123))),"""")"),0.03620750000000006)</f>
        <v>0.0362075</v>
      </c>
      <c r="DK123" s="208">
        <f t="shared" si="20"/>
        <v>-0.7566973995</v>
      </c>
      <c r="DL123" s="212">
        <f>IFERROR(__xludf.DUMMYFUNCTION("AVERAGE(ARRAYFORMULA(XLOOKUP(FILTER(INDIRECT(""'""&amp;DL$1&amp;""'!$C$4:$C$66""),INDIRECT(""'""&amp;DL$1&amp;""'!$D$4:$D$66"")=DL$2),$G$4:$BQ$4,$G123:$BQ123)))"),-0.5595583385714286)</f>
        <v>-0.5595583386</v>
      </c>
      <c r="DM123" s="207" t="str">
        <f>IFERROR(__xludf.DUMMYFUNCTION("IF(OR(DL123&gt;$BS123+$BT123*$BT$2,DL123&lt;$BS123-$BT123*$BT$2),AVEDEV(ARRAYFORMULA(XLOOKUP(FILTER(INDIRECT(""'""&amp;DL$1&amp;""'!$C$4:$C$66""),INDIRECT(""'""&amp;DL$1&amp;""'!$D$4:$D$66"")=DL$2),$G$4:$BQ$4,$G123:$BQ123))),"""")"),"")</f>
        <v/>
      </c>
      <c r="DN123" s="208" t="str">
        <f t="shared" si="21"/>
        <v/>
      </c>
      <c r="DO123" s="209" t="s">
        <v>444</v>
      </c>
      <c r="DP123" s="210">
        <f>IFERROR(__xludf.DUMMYFUNCTION("AVERAGE(ARRAYFORMULA(XLOOKUP(FILTER(INDIRECT(""'""&amp;DP$1&amp;""'!$C$4:$C$66""),INDIRECT(""'""&amp;DP$1&amp;""'!$D$4:$D$66"")=DP$2),$G$4:$BQ$4,$G123:$BQ123)))"),-0.6513419193333333)</f>
        <v>-0.6513419193</v>
      </c>
      <c r="DQ123" s="207" t="str">
        <f>IFERROR(__xludf.DUMMYFUNCTION("IF(OR(DP123&gt;$BS123+$BT123*$BT$2,DP123&lt;$BS123-$BT123*$BT$2),AVEDEV(ARRAYFORMULA(XLOOKUP(FILTER(INDIRECT(""'""&amp;DP$1&amp;""'!$C$4:$C$66""),INDIRECT(""'""&amp;DP$1&amp;""'!$D$4:$D$66"")=DP$2),$G$4:$BQ$4,$G123:$BQ123))),"""")"),"")</f>
        <v/>
      </c>
      <c r="DR123" s="208" t="str">
        <f t="shared" si="22"/>
        <v/>
      </c>
      <c r="DS123" s="210">
        <f>IFERROR(__xludf.DUMMYFUNCTION("AVERAGE(ARRAYFORMULA(XLOOKUP(FILTER(INDIRECT(""'""&amp;DS$1&amp;""'!$C$4:$C$66""),INDIRECT(""'""&amp;DS$1&amp;""'!$D$4:$D$66"")=DS$2),$G$4:$BQ$4,$G123:$BQ123)))"),-0.17260454888888888)</f>
        <v>-0.1726045489</v>
      </c>
      <c r="DT123" s="207" t="str">
        <f>IFERROR(__xludf.DUMMYFUNCTION("IF(OR(DS123&gt;$BS123+$BT123*$BT$2,DS123&lt;$BS123-$BT123*$BT$2),AVEDEV(ARRAYFORMULA(XLOOKUP(FILTER(INDIRECT(""'""&amp;DS$1&amp;""'!$C$4:$C$66""),INDIRECT(""'""&amp;DS$1&amp;""'!$D$4:$D$66"")=DS$2),$G$4:$BQ$4,$G123:$BQ123))),"""")"),"")</f>
        <v/>
      </c>
      <c r="DU123" s="208" t="str">
        <f t="shared" si="23"/>
        <v/>
      </c>
      <c r="DV123" s="210">
        <f>IFERROR(__xludf.DUMMYFUNCTION("AVERAGE(ARRAYFORMULA(XLOOKUP(FILTER(INDIRECT(""'""&amp;DV$1&amp;""'!$C$4:$C$66""),INDIRECT(""'""&amp;DV$1&amp;""'!$D$4:$D$66"")=DV$2),$G$4:$BQ$4,$G123:$BQ123)))"),-0.4362017075000001)</f>
        <v>-0.4362017075</v>
      </c>
      <c r="DW123" s="207" t="str">
        <f>IFERROR(__xludf.DUMMYFUNCTION("IF(OR(DV123&gt;$BS123+$BT123*$BT$2,DV123&lt;$BS123-$BT123*$BT$2),AVEDEV(ARRAYFORMULA(XLOOKUP(FILTER(INDIRECT(""'""&amp;DV$1&amp;""'!$C$4:$C$66""),INDIRECT(""'""&amp;DV$1&amp;""'!$D$4:$D$66"")=DV$2),$G$4:$BQ$4,$G123:$BQ123))),"""")"),"")</f>
        <v/>
      </c>
      <c r="DX123" s="208" t="str">
        <f t="shared" si="24"/>
        <v/>
      </c>
      <c r="DY123" s="210">
        <f>IFERROR(__xludf.DUMMYFUNCTION("AVERAGE(ARRAYFORMULA(XLOOKUP(FILTER(INDIRECT(""'""&amp;DY$1&amp;""'!$C$4:$C$66""),INDIRECT(""'""&amp;DY$1&amp;""'!$D$4:$D$66"")=DY$2),$G$4:$BQ$4,$G123:$BQ123)))"),-0.4690469822222223)</f>
        <v>-0.4690469822</v>
      </c>
      <c r="DZ123" s="207" t="str">
        <f>IFERROR(__xludf.DUMMYFUNCTION("IF(OR(DY123&gt;$BS123+$BT123*$BT$2,DY123&lt;$BS123-$BT123*$BT$2),AVEDEV(ARRAYFORMULA(XLOOKUP(FILTER(INDIRECT(""'""&amp;DY$1&amp;""'!$C$4:$C$66""),INDIRECT(""'""&amp;DY$1&amp;""'!$D$4:$D$66"")=DY$2),$G$4:$BQ$4,$G123:$BQ123))),"""")"),"")</f>
        <v/>
      </c>
      <c r="EA123" s="208" t="str">
        <f t="shared" si="25"/>
        <v/>
      </c>
      <c r="EB123" s="191"/>
    </row>
    <row r="124" outlineLevel="1">
      <c r="A124" s="2"/>
      <c r="B124" s="204">
        <v>120.0</v>
      </c>
      <c r="C124" s="204" t="s">
        <v>540</v>
      </c>
      <c r="D124" s="204" t="s">
        <v>566</v>
      </c>
      <c r="E124" s="205" t="b">
        <f>VLOOKUP(D124,'Feature Set List'!A120:C246,2,0)</f>
        <v>1</v>
      </c>
      <c r="F124" s="205" t="b">
        <f>VLOOKUP(D124,'Feature Set List'!A120:C246,3,0)</f>
        <v>1</v>
      </c>
      <c r="G124" s="205">
        <v>-0.5</v>
      </c>
      <c r="H124" s="205">
        <v>0.0</v>
      </c>
      <c r="I124" s="205">
        <v>-0.5</v>
      </c>
      <c r="J124" s="205">
        <v>0.5</v>
      </c>
      <c r="K124" s="205">
        <v>0.0</v>
      </c>
      <c r="L124" s="205">
        <v>-0.5</v>
      </c>
      <c r="M124" s="205">
        <v>0.5</v>
      </c>
      <c r="N124" s="205">
        <v>-0.5</v>
      </c>
      <c r="O124" s="205">
        <v>0.0</v>
      </c>
      <c r="P124" s="205">
        <v>-0.5</v>
      </c>
      <c r="Q124" s="205">
        <v>0.5</v>
      </c>
      <c r="R124" s="205">
        <v>-0.5</v>
      </c>
      <c r="S124" s="205">
        <v>0.0</v>
      </c>
      <c r="T124" s="205">
        <v>-0.5</v>
      </c>
      <c r="U124" s="205">
        <v>-0.5</v>
      </c>
      <c r="V124" s="205">
        <v>0.5</v>
      </c>
      <c r="W124" s="205">
        <v>-0.5</v>
      </c>
      <c r="X124" s="205">
        <v>0.0</v>
      </c>
      <c r="Y124" s="205">
        <v>-0.5</v>
      </c>
      <c r="Z124" s="205">
        <v>0.5</v>
      </c>
      <c r="AA124" s="205">
        <v>0.0</v>
      </c>
      <c r="AB124" s="205">
        <v>-0.5</v>
      </c>
      <c r="AC124" s="205">
        <v>0.0</v>
      </c>
      <c r="AD124" s="205">
        <v>1.0</v>
      </c>
      <c r="AE124" s="205">
        <v>0.5</v>
      </c>
      <c r="AF124" s="205">
        <v>-0.5</v>
      </c>
      <c r="AG124" s="205">
        <v>0.5</v>
      </c>
      <c r="AH124" s="205">
        <v>-0.5</v>
      </c>
      <c r="AI124" s="205">
        <v>-0.5</v>
      </c>
      <c r="AJ124" s="205">
        <v>-0.5</v>
      </c>
      <c r="AK124" s="205">
        <v>0.5</v>
      </c>
      <c r="AL124" s="205">
        <v>0.0</v>
      </c>
      <c r="AM124" s="205">
        <v>-0.5</v>
      </c>
      <c r="AN124" s="205">
        <v>-0.5</v>
      </c>
      <c r="AO124" s="205">
        <v>0.0</v>
      </c>
      <c r="AP124" s="205">
        <v>2.5</v>
      </c>
      <c r="AQ124" s="205">
        <v>0.5</v>
      </c>
      <c r="AR124" s="205">
        <v>1.0</v>
      </c>
      <c r="AS124" s="205">
        <v>-0.5</v>
      </c>
      <c r="AT124" s="205">
        <v>-0.5</v>
      </c>
      <c r="AU124" s="205">
        <v>2.0</v>
      </c>
      <c r="AV124" s="205">
        <v>0.0</v>
      </c>
      <c r="AW124" s="205">
        <v>0.5</v>
      </c>
      <c r="AX124" s="205">
        <v>0.5</v>
      </c>
      <c r="AY124" s="205">
        <v>0.0</v>
      </c>
      <c r="AZ124" s="205">
        <v>-0.5</v>
      </c>
      <c r="BA124" s="205">
        <v>-0.5</v>
      </c>
      <c r="BB124" s="205">
        <v>0.0</v>
      </c>
      <c r="BC124" s="205">
        <v>-0.5</v>
      </c>
      <c r="BD124" s="205">
        <v>-0.5</v>
      </c>
      <c r="BE124" s="205">
        <v>-0.5</v>
      </c>
      <c r="BF124" s="205">
        <v>-0.5</v>
      </c>
      <c r="BG124" s="205">
        <v>-0.5</v>
      </c>
      <c r="BH124" s="205">
        <v>0.5</v>
      </c>
      <c r="BI124" s="205">
        <v>2.0</v>
      </c>
      <c r="BJ124" s="205">
        <v>0.0</v>
      </c>
      <c r="BK124" s="205">
        <v>-0.5</v>
      </c>
      <c r="BL124" s="205">
        <v>-0.5</v>
      </c>
      <c r="BM124" s="205">
        <v>0.0</v>
      </c>
      <c r="BN124" s="205">
        <v>-0.5</v>
      </c>
      <c r="BO124" s="205">
        <v>-0.5</v>
      </c>
      <c r="BP124" s="205">
        <v>-0.5</v>
      </c>
      <c r="BQ124" s="205">
        <v>0.0</v>
      </c>
      <c r="BR124" s="206"/>
      <c r="BS124" s="207">
        <f t="shared" si="6"/>
        <v>-0.01587301587</v>
      </c>
      <c r="BT124" s="207">
        <f t="shared" si="7"/>
        <v>0.4764424288</v>
      </c>
      <c r="BU124" s="206"/>
      <c r="BV124" s="207">
        <f>IFERROR(__xludf.DUMMYFUNCTION("AVERAGE(ARRAYFORMULA(XLOOKUP(FILTER(INDIRECT(""'""&amp;BV$1&amp;""'!$C$4:$C$66""),INDIRECT(""'""&amp;BV$1&amp;""'!$D$4:$D$66"")=BV$2),$G$4:$BQ$4,$G124:$BQ124)))"),-0.21428571428571427)</f>
        <v>-0.2142857143</v>
      </c>
      <c r="BW124" s="207" t="str">
        <f>IFERROR(__xludf.DUMMYFUNCTION("IF(OR(BV124&gt;$BS124+$BT124*$BT$2,BV124&lt;$BS124-$BT124*$BT$2),AVEDEV(ARRAYFORMULA(XLOOKUP(FILTER(INDIRECT(""'""&amp;BV$1&amp;""'!$C$4:$C$66""),INDIRECT(""'""&amp;BV$1&amp;""'!$D$4:$D$66"")=BV$2),$G$4:$BQ$4,$G124:$BQ124))),"""")"),"")</f>
        <v/>
      </c>
      <c r="BX124" s="208" t="str">
        <f t="shared" si="8"/>
        <v/>
      </c>
      <c r="BY124" s="207">
        <f>IFERROR(__xludf.DUMMYFUNCTION("AVERAGE(ARRAYFORMULA(XLOOKUP(FILTER(INDIRECT(""'""&amp;BY$1&amp;""'!$C$4:$C$66""),INDIRECT(""'""&amp;BY$1&amp;""'!$D$4:$D$66"")=BY$2),$G$4:$BQ$4,$G124:$BQ124)))"),0.08333333333333333)</f>
        <v>0.08333333333</v>
      </c>
      <c r="BZ124" s="207" t="str">
        <f>IFERROR(__xludf.DUMMYFUNCTION("IF(OR(BY124&gt;$BS124+$BT124*$BT$2,BY124&lt;$BS124-$BT124*$BT$2),AVEDEV(ARRAYFORMULA(XLOOKUP(FILTER(INDIRECT(""'""&amp;BY$1&amp;""'!$C$4:$C$66""),INDIRECT(""'""&amp;BY$1&amp;""'!$D$4:$D$66"")=BY$2),$G$4:$BQ$4,$G124:$BQ124))),"""")"),"")</f>
        <v/>
      </c>
      <c r="CA124" s="208" t="str">
        <f t="shared" si="9"/>
        <v/>
      </c>
      <c r="CB124" s="207">
        <f>IFERROR(__xludf.DUMMYFUNCTION("AVERAGE(ARRAYFORMULA(XLOOKUP(FILTER(INDIRECT(""'""&amp;CB$1&amp;""'!$C$4:$C$66""),INDIRECT(""'""&amp;CB$1&amp;""'!$D$4:$D$66"")=CB$2),$G$4:$BQ$4,$G124:$BQ124)))"),-0.36363636363636365)</f>
        <v>-0.3636363636</v>
      </c>
      <c r="CC124" s="207" t="str">
        <f>IFERROR(__xludf.DUMMYFUNCTION("IF(OR(CB124&gt;$BS124+$BT124*$BT$2,CB124&lt;$BS124-$BT124*$BT$2),AVEDEV(ARRAYFORMULA(XLOOKUP(FILTER(INDIRECT(""'""&amp;CB$1&amp;""'!$C$4:$C$66""),INDIRECT(""'""&amp;CB$1&amp;""'!$D$4:$D$66"")=CB$2),$G$4:$BQ$4,$G124:$BQ124))),"""")"),"")</f>
        <v/>
      </c>
      <c r="CD124" s="208" t="str">
        <f t="shared" si="10"/>
        <v/>
      </c>
      <c r="CE124" s="209" t="s">
        <v>444</v>
      </c>
      <c r="CF124" s="207">
        <f>IFERROR(__xludf.DUMMYFUNCTION("AVERAGE(ARRAYFORMULA(XLOOKUP(FILTER(INDIRECT(""'""&amp;CF$1&amp;""'!$C$4:$C$66""),INDIRECT(""'""&amp;CF$1&amp;""'!$D$4:$D$66"")=CF$2),$G$4:$BQ$4,$G124:$BQ124)))"),0.21875)</f>
        <v>0.21875</v>
      </c>
      <c r="CG124" s="207" t="str">
        <f>IFERROR(__xludf.DUMMYFUNCTION("IF(OR(CF124&gt;$BS124+$BT124*$BT$2,CF124&lt;$BS124-$BT124*$BT$2),AVEDEV(ARRAYFORMULA(XLOOKUP(FILTER(INDIRECT(""'""&amp;CF$1&amp;""'!$C$4:$C$66""),INDIRECT(""'""&amp;CF$1&amp;""'!$D$4:$D$66"")=CF$2),$G$4:$BQ$4,$G124:$BQ124))),"""")"),"")</f>
        <v/>
      </c>
      <c r="CH124" s="208" t="str">
        <f t="shared" si="11"/>
        <v/>
      </c>
      <c r="CI124" s="207">
        <f>IFERROR(__xludf.DUMMYFUNCTION("AVERAGE(ARRAYFORMULA(XLOOKUP(FILTER(INDIRECT(""'""&amp;CI$1&amp;""'!$C$4:$C$66""),INDIRECT(""'""&amp;CI$1&amp;""'!$D$4:$D$66"")=CI$2),$G$4:$BQ$4,$G124:$BQ124)))"),-0.0967741935483871)</f>
        <v>-0.09677419355</v>
      </c>
      <c r="CJ124" s="207" t="str">
        <f>IFERROR(__xludf.DUMMYFUNCTION("IF(OR(CI124&gt;$BS124+$BT124*$BT$2,CI124&lt;$BS124-$BT124*$BT$2),AVEDEV(ARRAYFORMULA(XLOOKUP(FILTER(INDIRECT(""'""&amp;CI$1&amp;""'!$C$4:$C$66""),INDIRECT(""'""&amp;CI$1&amp;""'!$D$4:$D$66"")=CI$2),$G$4:$BQ$4,$G124:$BQ124))),"""")"),"")</f>
        <v/>
      </c>
      <c r="CK124" s="208" t="str">
        <f t="shared" si="12"/>
        <v/>
      </c>
      <c r="CL124" s="207">
        <f>IFERROR(__xludf.DUMMYFUNCTION("AVERAGE(ARRAYFORMULA(XLOOKUP(FILTER(INDIRECT(""'""&amp;CL$1&amp;""'!$C$4:$C$66""),INDIRECT(""'""&amp;CL$1&amp;""'!$D$4:$D$66"")=CL$2),$G$4:$BQ$4,$G124:$BQ124)))"),-0.5)</f>
        <v>-0.5</v>
      </c>
      <c r="CM124" s="207">
        <f>IFERROR(__xludf.DUMMYFUNCTION("IF(OR(CL124&gt;$BS124+$BT124*$BT$2,CL124&lt;$BS124-$BT124*$BT$2),AVEDEV(ARRAYFORMULA(XLOOKUP(FILTER(INDIRECT(""'""&amp;CL$1&amp;""'!$C$4:$C$66""),INDIRECT(""'""&amp;CL$1&amp;""'!$D$4:$D$66"")=CL$2),$G$4:$BQ$4,$G124:$BQ124))),"""")"),0.0)</f>
        <v>0</v>
      </c>
      <c r="CN124" s="208">
        <f t="shared" si="13"/>
        <v>-0.007684555304</v>
      </c>
      <c r="CO124" s="209" t="s">
        <v>444</v>
      </c>
      <c r="CP124" s="210">
        <f>IFERROR(__xludf.DUMMYFUNCTION("AVERAGE(ARRAYFORMULA(XLOOKUP(FILTER(INDIRECT(""'""&amp;CP$1&amp;""'!$C$4:$C$66""),INDIRECT(""'""&amp;CP$1&amp;""'!$D$4:$D$66"")=CP$2),$G$4:$BQ$4,$G124:$BQ124)))"),-0.26666666666666666)</f>
        <v>-0.2666666667</v>
      </c>
      <c r="CQ124" s="207" t="str">
        <f>IFERROR(__xludf.DUMMYFUNCTION("IF(OR(CP124&gt;$BS124+$BT124*$BT$2,CP124&lt;$BS124-$BT124*$BT$2),AVEDEV(ARRAYFORMULA(XLOOKUP(FILTER(INDIRECT(""'""&amp;CP$1&amp;""'!$C$4:$C$66""),INDIRECT(""'""&amp;CP$1&amp;""'!$D$4:$D$66"")=CP$2),$G$4:$BQ$4,$G124:$BQ124))),"""")"),"")</f>
        <v/>
      </c>
      <c r="CR124" s="208" t="str">
        <f t="shared" si="14"/>
        <v/>
      </c>
      <c r="CS124" s="210">
        <f>IFERROR(__xludf.DUMMYFUNCTION("AVERAGE(ARRAYFORMULA(XLOOKUP(FILTER(INDIRECT(""'""&amp;CS$1&amp;""'!$C$4:$C$66""),INDIRECT(""'""&amp;CS$1&amp;""'!$D$4:$D$66"")=CS$2),$G$4:$BQ$4,$G124:$BQ124)))"),0.1282051282051282)</f>
        <v>0.1282051282</v>
      </c>
      <c r="CT124" s="207" t="str">
        <f>IFERROR(__xludf.DUMMYFUNCTION("IF(OR(CS124&gt;$BS124+$BT124*$BT$2,CS124&lt;$BS124-$BT124*$BT$2),AVEDEV(ARRAYFORMULA(XLOOKUP(FILTER(INDIRECT(""'""&amp;CS$1&amp;""'!$C$4:$C$66""),INDIRECT(""'""&amp;CS$1&amp;""'!$D$4:$D$66"")=CS$2),$G$4:$BQ$4,$G124:$BQ124))),"""")"),"")</f>
        <v/>
      </c>
      <c r="CU124" s="208" t="str">
        <f t="shared" si="15"/>
        <v/>
      </c>
      <c r="CV124" s="210">
        <f>IFERROR(__xludf.DUMMYFUNCTION("AVERAGE(ARRAYFORMULA(XLOOKUP(FILTER(INDIRECT(""'""&amp;CV$1&amp;""'!$C$4:$C$66""),INDIRECT(""'""&amp;CV$1&amp;""'!$D$4:$D$66"")=CV$2),$G$4:$BQ$4,$G124:$BQ124)))"),-0.5)</f>
        <v>-0.5</v>
      </c>
      <c r="CW124" s="207">
        <f>IFERROR(__xludf.DUMMYFUNCTION("IF(OR(CV124&gt;$BS124+$BT124*$BT$2,CV124&lt;$BS124-$BT124*$BT$2),AVEDEV(ARRAYFORMULA(XLOOKUP(FILTER(INDIRECT(""'""&amp;CV$1&amp;""'!$C$4:$C$66""),INDIRECT(""'""&amp;CV$1&amp;""'!$D$4:$D$66"")=CV$2),$G$4:$BQ$4,$G124:$BQ124))),"""")"),0.0)</f>
        <v>0</v>
      </c>
      <c r="CX124" s="208">
        <f t="shared" si="16"/>
        <v>-0.007684555304</v>
      </c>
      <c r="CY124" s="209" t="s">
        <v>444</v>
      </c>
      <c r="CZ124" s="210">
        <f>IFERROR(__xludf.DUMMYFUNCTION("AVERAGE(ARRAYFORMULA(XLOOKUP(FILTER(INDIRECT(""'""&amp;CZ$1&amp;""'!$C$4:$C$66""),INDIRECT(""'""&amp;CZ$1&amp;""'!$D$4:$D$66"")=CZ$2),$G$4:$BQ$4,$G124:$BQ124)))"),0.2857142857142857)</f>
        <v>0.2857142857</v>
      </c>
      <c r="DA124" s="207" t="str">
        <f>IFERROR(__xludf.DUMMYFUNCTION("IF(OR(CZ124&gt;$BS124+$BT124*$BT$2,CZ124&lt;$BS124-$BT124*$BT$2),AVEDEV(ARRAYFORMULA(XLOOKUP(FILTER(INDIRECT(""'""&amp;CZ$1&amp;""'!$C$4:$C$66""),INDIRECT(""'""&amp;CZ$1&amp;""'!$D$4:$D$66"")=CZ$2),$G$4:$BQ$4,$G124:$BQ124))),"""")"),"")</f>
        <v/>
      </c>
      <c r="DB124" s="208" t="str">
        <f t="shared" si="17"/>
        <v/>
      </c>
      <c r="DC124" s="210">
        <f>IFERROR(__xludf.DUMMYFUNCTION("AVERAGE(ARRAYFORMULA(XLOOKUP(FILTER(INDIRECT(""'""&amp;DC$1&amp;""'!$C$4:$C$66""),INDIRECT(""'""&amp;DC$1&amp;""'!$D$4:$D$66"")=DC$2),$G$4:$BQ$4,$G124:$BQ124)))"),-0.3888888888888889)</f>
        <v>-0.3888888889</v>
      </c>
      <c r="DD124" s="207" t="str">
        <f>IFERROR(__xludf.DUMMYFUNCTION("IF(OR(DC124&gt;$BS124+$BT124*$BT$2,DC124&lt;$BS124-$BT124*$BT$2),AVEDEV(ARRAYFORMULA(XLOOKUP(FILTER(INDIRECT(""'""&amp;DC$1&amp;""'!$C$4:$C$66""),INDIRECT(""'""&amp;DC$1&amp;""'!$D$4:$D$66"")=DC$2),$G$4:$BQ$4,$G124:$BQ124))),"""")"),"")</f>
        <v/>
      </c>
      <c r="DE124" s="208" t="str">
        <f t="shared" si="18"/>
        <v/>
      </c>
      <c r="DF124" s="210">
        <f>IFERROR(__xludf.DUMMYFUNCTION("AVERAGE(ARRAYFORMULA(XLOOKUP(FILTER(INDIRECT(""'""&amp;DF$1&amp;""'!$C$4:$C$66""),INDIRECT(""'""&amp;DF$1&amp;""'!$D$4:$D$66"")=DF$2),$G$4:$BQ$4,$G124:$BQ124)))"),-0.3181818181818182)</f>
        <v>-0.3181818182</v>
      </c>
      <c r="DG124" s="207" t="str">
        <f>IFERROR(__xludf.DUMMYFUNCTION("IF(OR(DF124&gt;$BS124+$BT124*$BT$2,DF124&lt;$BS124-$BT124*$BT$2),AVEDEV(ARRAYFORMULA(XLOOKUP(FILTER(INDIRECT(""'""&amp;DF$1&amp;""'!$C$4:$C$66""),INDIRECT(""'""&amp;DF$1&amp;""'!$D$4:$D$66"")=DF$2),$G$4:$BQ$4,$G124:$BQ124))),"""")"),"")</f>
        <v/>
      </c>
      <c r="DH124" s="208" t="str">
        <f t="shared" si="19"/>
        <v/>
      </c>
      <c r="DI124" s="210">
        <f>IFERROR(__xludf.DUMMYFUNCTION("AVERAGE(ARRAYFORMULA(XLOOKUP(FILTER(INDIRECT(""'""&amp;DI$1&amp;""'!$C$4:$C$66""),INDIRECT(""'""&amp;DI$1&amp;""'!$D$4:$D$66"")=DI$2),$G$4:$BQ$4,$G124:$BQ124)))"),0.75)</f>
        <v>0.75</v>
      </c>
      <c r="DJ124" s="207">
        <f>IFERROR(__xludf.DUMMYFUNCTION("IF(OR(DI124&gt;$BS124+$BT124*$BT$2,DI124&lt;$BS124-$BT124*$BT$2),AVEDEV(ARRAYFORMULA(XLOOKUP(FILTER(INDIRECT(""'""&amp;DI$1&amp;""'!$C$4:$C$66""),INDIRECT(""'""&amp;DI$1&amp;""'!$D$4:$D$66"")=DI$2),$G$4:$BQ$4,$G124:$BQ124))),"""")"),0.25)</f>
        <v>0.25</v>
      </c>
      <c r="DK124" s="208">
        <f t="shared" si="20"/>
        <v>0.289430587</v>
      </c>
      <c r="DL124" s="210">
        <f>IFERROR(__xludf.DUMMYFUNCTION("AVERAGE(ARRAYFORMULA(XLOOKUP(FILTER(INDIRECT(""'""&amp;DL$1&amp;""'!$C$4:$C$66""),INDIRECT(""'""&amp;DL$1&amp;""'!$D$4:$D$66"")=DL$2),$G$4:$BQ$4,$G124:$BQ124)))"),0.10714285714285714)</f>
        <v>0.1071428571</v>
      </c>
      <c r="DM124" s="207" t="str">
        <f>IFERROR(__xludf.DUMMYFUNCTION("IF(OR(DL124&gt;$BS124+$BT124*$BT$2,DL124&lt;$BS124-$BT124*$BT$2),AVEDEV(ARRAYFORMULA(XLOOKUP(FILTER(INDIRECT(""'""&amp;DL$1&amp;""'!$C$4:$C$66""),INDIRECT(""'""&amp;DL$1&amp;""'!$D$4:$D$66"")=DL$2),$G$4:$BQ$4,$G124:$BQ124))),"""")"),"")</f>
        <v/>
      </c>
      <c r="DN124" s="208" t="str">
        <f t="shared" si="21"/>
        <v/>
      </c>
      <c r="DO124" s="209" t="s">
        <v>444</v>
      </c>
      <c r="DP124" s="210">
        <f>IFERROR(__xludf.DUMMYFUNCTION("AVERAGE(ARRAYFORMULA(XLOOKUP(FILTER(INDIRECT(""'""&amp;DP$1&amp;""'!$C$4:$C$66""),INDIRECT(""'""&amp;DP$1&amp;""'!$D$4:$D$66"")=DP$2),$G$4:$BQ$4,$G124:$BQ124)))"),0.1)</f>
        <v>0.1</v>
      </c>
      <c r="DQ124" s="207" t="str">
        <f>IFERROR(__xludf.DUMMYFUNCTION("IF(OR(DP124&gt;$BS124+$BT124*$BT$2,DP124&lt;$BS124-$BT124*$BT$2),AVEDEV(ARRAYFORMULA(XLOOKUP(FILTER(INDIRECT(""'""&amp;DP$1&amp;""'!$C$4:$C$66""),INDIRECT(""'""&amp;DP$1&amp;""'!$D$4:$D$66"")=DP$2),$G$4:$BQ$4,$G124:$BQ124))),"""")"),"")</f>
        <v/>
      </c>
      <c r="DR124" s="208" t="str">
        <f t="shared" si="22"/>
        <v/>
      </c>
      <c r="DS124" s="210">
        <f>IFERROR(__xludf.DUMMYFUNCTION("AVERAGE(ARRAYFORMULA(XLOOKUP(FILTER(INDIRECT(""'""&amp;DS$1&amp;""'!$C$4:$C$66""),INDIRECT(""'""&amp;DS$1&amp;""'!$D$4:$D$66"")=DS$2),$G$4:$BQ$4,$G124:$BQ124)))"),-0.2777777777777778)</f>
        <v>-0.2777777778</v>
      </c>
      <c r="DT124" s="207" t="str">
        <f>IFERROR(__xludf.DUMMYFUNCTION("IF(OR(DS124&gt;$BS124+$BT124*$BT$2,DS124&lt;$BS124-$BT124*$BT$2),AVEDEV(ARRAYFORMULA(XLOOKUP(FILTER(INDIRECT(""'""&amp;DS$1&amp;""'!$C$4:$C$66""),INDIRECT(""'""&amp;DS$1&amp;""'!$D$4:$D$66"")=DS$2),$G$4:$BQ$4,$G124:$BQ124))),"""")"),"")</f>
        <v/>
      </c>
      <c r="DU124" s="208" t="str">
        <f t="shared" si="23"/>
        <v/>
      </c>
      <c r="DV124" s="210">
        <f>IFERROR(__xludf.DUMMYFUNCTION("AVERAGE(ARRAYFORMULA(XLOOKUP(FILTER(INDIRECT(""'""&amp;DV$1&amp;""'!$C$4:$C$66""),INDIRECT(""'""&amp;DV$1&amp;""'!$D$4:$D$66"")=DV$2),$G$4:$BQ$4,$G124:$BQ124)))"),-0.25)</f>
        <v>-0.25</v>
      </c>
      <c r="DW124" s="207" t="str">
        <f>IFERROR(__xludf.DUMMYFUNCTION("IF(OR(DV124&gt;$BS124+$BT124*$BT$2,DV124&lt;$BS124-$BT124*$BT$2),AVEDEV(ARRAYFORMULA(XLOOKUP(FILTER(INDIRECT(""'""&amp;DV$1&amp;""'!$C$4:$C$66""),INDIRECT(""'""&amp;DV$1&amp;""'!$D$4:$D$66"")=DV$2),$G$4:$BQ$4,$G124:$BQ124))),"""")"),"")</f>
        <v/>
      </c>
      <c r="DX124" s="208" t="str">
        <f t="shared" si="24"/>
        <v/>
      </c>
      <c r="DY124" s="210">
        <f>IFERROR(__xludf.DUMMYFUNCTION("AVERAGE(ARRAYFORMULA(XLOOKUP(FILTER(INDIRECT(""'""&amp;DY$1&amp;""'!$C$4:$C$66""),INDIRECT(""'""&amp;DY$1&amp;""'!$D$4:$D$66"")=DY$2),$G$4:$BQ$4,$G124:$BQ124)))"),-0.1111111111111111)</f>
        <v>-0.1111111111</v>
      </c>
      <c r="DZ124" s="207" t="str">
        <f>IFERROR(__xludf.DUMMYFUNCTION("IF(OR(DY124&gt;$BS124+$BT124*$BT$2,DY124&lt;$BS124-$BT124*$BT$2),AVEDEV(ARRAYFORMULA(XLOOKUP(FILTER(INDIRECT(""'""&amp;DY$1&amp;""'!$C$4:$C$66""),INDIRECT(""'""&amp;DY$1&amp;""'!$D$4:$D$66"")=DY$2),$G$4:$BQ$4,$G124:$BQ124))),"""")"),"")</f>
        <v/>
      </c>
      <c r="EA124" s="208" t="str">
        <f t="shared" si="25"/>
        <v/>
      </c>
      <c r="EB124" s="191"/>
    </row>
    <row r="125" outlineLevel="1">
      <c r="A125" s="2"/>
      <c r="B125" s="204">
        <v>121.0</v>
      </c>
      <c r="C125" s="204" t="s">
        <v>540</v>
      </c>
      <c r="D125" s="204" t="s">
        <v>567</v>
      </c>
      <c r="E125" s="205" t="b">
        <f>VLOOKUP(D125,'Feature Set List'!A121:C246,2,0)</f>
        <v>1</v>
      </c>
      <c r="F125" s="205" t="b">
        <f>VLOOKUP(D125,'Feature Set List'!A121:C246,3,0)</f>
        <v>1</v>
      </c>
      <c r="G125" s="205">
        <v>1.53610419</v>
      </c>
      <c r="H125" s="205">
        <v>-0.1168359</v>
      </c>
      <c r="I125" s="205">
        <v>0.06895231</v>
      </c>
      <c r="J125" s="205">
        <v>0.06129094</v>
      </c>
      <c r="K125" s="205">
        <v>1.43842176</v>
      </c>
      <c r="L125" s="205">
        <v>-0.4303773</v>
      </c>
      <c r="M125" s="205">
        <v>-1.1762115</v>
      </c>
      <c r="N125" s="205">
        <v>-0.0459682</v>
      </c>
      <c r="O125" s="205">
        <v>-0.6797548</v>
      </c>
      <c r="P125" s="205">
        <v>-0.8015706</v>
      </c>
      <c r="Q125" s="205">
        <v>1.39819958</v>
      </c>
      <c r="R125" s="205">
        <v>-0.5726872</v>
      </c>
      <c r="S125" s="205">
        <v>-0.5619613</v>
      </c>
      <c r="T125" s="205">
        <v>-0.4817085</v>
      </c>
      <c r="U125" s="205">
        <v>-1.409117</v>
      </c>
      <c r="V125" s="205">
        <v>-0.8460065</v>
      </c>
      <c r="W125" s="205">
        <v>-0.5529592</v>
      </c>
      <c r="X125" s="205">
        <v>-0.5389772</v>
      </c>
      <c r="Y125" s="205">
        <v>1.65102471</v>
      </c>
      <c r="Z125" s="205">
        <v>0.42903658</v>
      </c>
      <c r="AA125" s="205">
        <v>-0.4305689</v>
      </c>
      <c r="AB125" s="205">
        <v>-0.4353572</v>
      </c>
      <c r="AC125" s="205">
        <v>0.29687799</v>
      </c>
      <c r="AD125" s="205">
        <v>1.32924727</v>
      </c>
      <c r="AE125" s="205">
        <v>0.69143842</v>
      </c>
      <c r="AF125" s="205">
        <v>0.11300517</v>
      </c>
      <c r="AG125" s="205">
        <v>0.0</v>
      </c>
      <c r="AH125" s="205">
        <v>-0.072783</v>
      </c>
      <c r="AI125" s="205">
        <v>0.49607355</v>
      </c>
      <c r="AJ125" s="205">
        <v>-0.1557173</v>
      </c>
      <c r="AK125" s="205">
        <v>-0.2986018</v>
      </c>
      <c r="AL125" s="205">
        <v>0.03830684</v>
      </c>
      <c r="AM125" s="205">
        <v>1.41352231</v>
      </c>
      <c r="AN125" s="205">
        <v>0.38498372</v>
      </c>
      <c r="AO125" s="205">
        <v>-0.9486688</v>
      </c>
      <c r="AP125" s="205">
        <v>1.42118368</v>
      </c>
      <c r="AQ125" s="205">
        <v>-0.6682628</v>
      </c>
      <c r="AR125" s="205">
        <v>-0.3880483</v>
      </c>
      <c r="AS125" s="205">
        <v>-0.7423865</v>
      </c>
      <c r="AT125" s="205">
        <v>-0.2876844</v>
      </c>
      <c r="AU125" s="205">
        <v>1.71423099</v>
      </c>
      <c r="AV125" s="205">
        <v>1.20666539</v>
      </c>
      <c r="AW125" s="205">
        <v>0.8504118</v>
      </c>
      <c r="AX125" s="205">
        <v>-0.3003256</v>
      </c>
      <c r="AY125" s="205">
        <v>-1.1714231</v>
      </c>
      <c r="AZ125" s="205">
        <v>0.13598927</v>
      </c>
      <c r="BA125" s="205">
        <v>-0.7192109</v>
      </c>
      <c r="BB125" s="205">
        <v>-0.2239035</v>
      </c>
      <c r="BC125" s="205">
        <v>0.18195748</v>
      </c>
      <c r="BD125" s="205">
        <v>0.3888144</v>
      </c>
      <c r="BE125" s="205">
        <v>-0.8594139</v>
      </c>
      <c r="BF125" s="205">
        <v>0.29304731</v>
      </c>
      <c r="BG125" s="205">
        <v>0.08044436</v>
      </c>
      <c r="BH125" s="205">
        <v>0.69335376</v>
      </c>
      <c r="BI125" s="205">
        <v>0.03447615</v>
      </c>
      <c r="BJ125" s="205">
        <v>0.01149205</v>
      </c>
      <c r="BK125" s="205">
        <v>-0.0153227</v>
      </c>
      <c r="BL125" s="205">
        <v>-1.0743153</v>
      </c>
      <c r="BM125" s="205">
        <v>0.34093086</v>
      </c>
      <c r="BN125" s="205">
        <v>2.06473856</v>
      </c>
      <c r="BO125" s="205">
        <v>1.42118368</v>
      </c>
      <c r="BP125" s="205">
        <v>1.46715189</v>
      </c>
      <c r="BQ125" s="205">
        <v>-0.5359127</v>
      </c>
      <c r="BR125" s="213"/>
      <c r="BS125" s="207">
        <f t="shared" si="6"/>
        <v>0.0969923027</v>
      </c>
      <c r="BT125" s="207">
        <f t="shared" si="7"/>
        <v>0.6645329128</v>
      </c>
      <c r="BU125" s="213"/>
      <c r="BV125" s="207">
        <f>IFERROR(__xludf.DUMMYFUNCTION("AVERAGE(ARRAYFORMULA(XLOOKUP(FILTER(INDIRECT(""'""&amp;BV$1&amp;""'!$C$4:$C$66""),INDIRECT(""'""&amp;BV$1&amp;""'!$D$4:$D$66"")=BV$2),$G$4:$BQ$4,$G125:$BQ125)))"),-0.8894026857142857)</f>
        <v>-0.8894026857</v>
      </c>
      <c r="BW125" s="207">
        <f>IFERROR(__xludf.DUMMYFUNCTION("IF(OR(BV125&gt;$BS125+$BT125*$BT$2,BV125&lt;$BS125-$BT125*$BT$2),AVEDEV(ARRAYFORMULA(XLOOKUP(FILTER(INDIRECT(""'""&amp;BV$1&amp;""'!$C$4:$C$66""),INDIRECT(""'""&amp;BV$1&amp;""'!$D$4:$D$66"")=BV$2),$G$4:$BQ$4,$G125:$BQ125))),"""")"),0.29883241632653057)</f>
        <v>0.2988324163</v>
      </c>
      <c r="BX125" s="208">
        <f t="shared" si="8"/>
        <v>-0.3218620756</v>
      </c>
      <c r="BY125" s="207">
        <f>IFERROR(__xludf.DUMMYFUNCTION("AVERAGE(ARRAYFORMULA(XLOOKUP(FILTER(INDIRECT(""'""&amp;BY$1&amp;""'!$C$4:$C$66""),INDIRECT(""'""&amp;BY$1&amp;""'!$D$4:$D$66"")=BY$2),$G$4:$BQ$4,$G125:$BQ125)))"),0.251174285)</f>
        <v>0.251174285</v>
      </c>
      <c r="BZ125" s="207" t="str">
        <f>IFERROR(__xludf.DUMMYFUNCTION("IF(OR(BY125&gt;$BS125+$BT125*$BT$2,BY125&lt;$BS125-$BT125*$BT$2),AVEDEV(ARRAYFORMULA(XLOOKUP(FILTER(INDIRECT(""'""&amp;BY$1&amp;""'!$C$4:$C$66""),INDIRECT(""'""&amp;BY$1&amp;""'!$D$4:$D$66"")=BY$2),$G$4:$BQ$4,$G125:$BQ125))),"""")"),"")</f>
        <v/>
      </c>
      <c r="CA125" s="208" t="str">
        <f t="shared" si="9"/>
        <v/>
      </c>
      <c r="CB125" s="207">
        <f>IFERROR(__xludf.DUMMYFUNCTION("AVERAGE(ARRAYFORMULA(XLOOKUP(FILTER(INDIRECT(""'""&amp;CB$1&amp;""'!$C$4:$C$66""),INDIRECT(""'""&amp;CB$1&amp;""'!$D$4:$D$66"")=CB$2),$G$4:$BQ$4,$G125:$BQ125)))"),-0.03499852727272726)</f>
        <v>-0.03499852727</v>
      </c>
      <c r="CC125" s="207" t="str">
        <f>IFERROR(__xludf.DUMMYFUNCTION("IF(OR(CB125&gt;$BS125+$BT125*$BT$2,CB125&lt;$BS125-$BT125*$BT$2),AVEDEV(ARRAYFORMULA(XLOOKUP(FILTER(INDIRECT(""'""&amp;CB$1&amp;""'!$C$4:$C$66""),INDIRECT(""'""&amp;CB$1&amp;""'!$D$4:$D$66"")=CB$2),$G$4:$BQ$4,$G125:$BQ125))),"""")"),"")</f>
        <v/>
      </c>
      <c r="CD125" s="208" t="str">
        <f t="shared" si="10"/>
        <v/>
      </c>
      <c r="CE125" s="209" t="s">
        <v>444</v>
      </c>
      <c r="CF125" s="207">
        <f>IFERROR(__xludf.DUMMYFUNCTION("AVERAGE(ARRAYFORMULA(XLOOKUP(FILTER(INDIRECT(""'""&amp;CF$1&amp;""'!$C$4:$C$66""),INDIRECT(""'""&amp;CF$1&amp;""'!$D$4:$D$66"")=CF$2),$G$4:$BQ$4,$G125:$BQ125)))"),0.08471795999999998)</f>
        <v>0.08471796</v>
      </c>
      <c r="CG125" s="207" t="str">
        <f>IFERROR(__xludf.DUMMYFUNCTION("IF(OR(CF125&gt;$BS125+$BT125*$BT$2,CF125&lt;$BS125-$BT125*$BT$2),AVEDEV(ARRAYFORMULA(XLOOKUP(FILTER(INDIRECT(""'""&amp;CF$1&amp;""'!$C$4:$C$66""),INDIRECT(""'""&amp;CF$1&amp;""'!$D$4:$D$66"")=CF$2),$G$4:$BQ$4,$G125:$BQ125))),"""")"),"")</f>
        <v/>
      </c>
      <c r="CH125" s="208" t="str">
        <f t="shared" si="11"/>
        <v/>
      </c>
      <c r="CI125" s="207">
        <f>IFERROR(__xludf.DUMMYFUNCTION("AVERAGE(ARRAYFORMULA(XLOOKUP(FILTER(INDIRECT(""'""&amp;CI$1&amp;""'!$C$4:$C$66""),INDIRECT(""'""&amp;CI$1&amp;""'!$D$4:$D$66"")=CI$2),$G$4:$BQ$4,$G125:$BQ125)))"),0.16772834258064517)</f>
        <v>0.1677283426</v>
      </c>
      <c r="CJ125" s="207" t="str">
        <f>IFERROR(__xludf.DUMMYFUNCTION("IF(OR(CI125&gt;$BS125+$BT125*$BT$2,CI125&lt;$BS125-$BT125*$BT$2),AVEDEV(ARRAYFORMULA(XLOOKUP(FILTER(INDIRECT(""'""&amp;CI$1&amp;""'!$C$4:$C$66""),INDIRECT(""'""&amp;CI$1&amp;""'!$D$4:$D$66"")=CI$2),$G$4:$BQ$4,$G125:$BQ125))),"""")"),"")</f>
        <v/>
      </c>
      <c r="CK125" s="208" t="str">
        <f t="shared" si="12"/>
        <v/>
      </c>
      <c r="CL125" s="207">
        <f>IFERROR(__xludf.DUMMYFUNCTION("AVERAGE(ARRAYFORMULA(XLOOKUP(FILTER(INDIRECT(""'""&amp;CL$1&amp;""'!$C$4:$C$66""),INDIRECT(""'""&amp;CL$1&amp;""'!$D$4:$D$66"")=CL$2),$G$4:$BQ$4,$G125:$BQ125)))"),-0.532886428)</f>
        <v>-0.532886428</v>
      </c>
      <c r="CM125" s="207" t="str">
        <f>IFERROR(__xludf.DUMMYFUNCTION("IF(OR(CL125&gt;$BS125+$BT125*$BT$2,CL125&lt;$BS125-$BT125*$BT$2),AVEDEV(ARRAYFORMULA(XLOOKUP(FILTER(INDIRECT(""'""&amp;CL$1&amp;""'!$C$4:$C$66""),INDIRECT(""'""&amp;CL$1&amp;""'!$D$4:$D$66"")=CL$2),$G$4:$BQ$4,$G125:$BQ125))),"""")"),"")</f>
        <v/>
      </c>
      <c r="CN125" s="208" t="str">
        <f t="shared" si="13"/>
        <v/>
      </c>
      <c r="CO125" s="209" t="s">
        <v>444</v>
      </c>
      <c r="CP125" s="210">
        <f>IFERROR(__xludf.DUMMYFUNCTION("AVERAGE(ARRAYFORMULA(XLOOKUP(FILTER(INDIRECT(""'""&amp;CP$1&amp;""'!$C$4:$C$66""),INDIRECT(""'""&amp;CP$1&amp;""'!$D$4:$D$66"")=CP$2),$G$4:$BQ$4,$G125:$BQ125)))"),0.10891910333333331)</f>
        <v>0.1089191033</v>
      </c>
      <c r="CQ125" s="207" t="str">
        <f>IFERROR(__xludf.DUMMYFUNCTION("IF(OR(CP125&gt;$BS125+$BT125*$BT$2,CP125&lt;$BS125-$BT125*$BT$2),AVEDEV(ARRAYFORMULA(XLOOKUP(FILTER(INDIRECT(""'""&amp;CP$1&amp;""'!$C$4:$C$66""),INDIRECT(""'""&amp;CP$1&amp;""'!$D$4:$D$66"")=CP$2),$G$4:$BQ$4,$G125:$BQ125))),"""")"),"")</f>
        <v/>
      </c>
      <c r="CR125" s="208" t="str">
        <f t="shared" si="14"/>
        <v/>
      </c>
      <c r="CS125" s="210">
        <f>IFERROR(__xludf.DUMMYFUNCTION("AVERAGE(ARRAYFORMULA(XLOOKUP(FILTER(INDIRECT(""'""&amp;CS$1&amp;""'!$C$4:$C$66""),INDIRECT(""'""&amp;CS$1&amp;""'!$D$4:$D$66"")=CS$2),$G$4:$BQ$4,$G125:$BQ125)))"),0.15496098102564101)</f>
        <v>0.154960981</v>
      </c>
      <c r="CT125" s="207" t="str">
        <f>IFERROR(__xludf.DUMMYFUNCTION("IF(OR(CS125&gt;$BS125+$BT125*$BT$2,CS125&lt;$BS125-$BT125*$BT$2),AVEDEV(ARRAYFORMULA(XLOOKUP(FILTER(INDIRECT(""'""&amp;CS$1&amp;""'!$C$4:$C$66""),INDIRECT(""'""&amp;CS$1&amp;""'!$D$4:$D$66"")=CS$2),$G$4:$BQ$4,$G125:$BQ125))),"""")"),"")</f>
        <v/>
      </c>
      <c r="CU125" s="208" t="str">
        <f t="shared" si="15"/>
        <v/>
      </c>
      <c r="CV125" s="210">
        <f>IFERROR(__xludf.DUMMYFUNCTION("AVERAGE(ARRAYFORMULA(XLOOKUP(FILTER(INDIRECT(""'""&amp;CV$1&amp;""'!$C$4:$C$66""),INDIRECT(""'""&amp;CV$1&amp;""'!$D$4:$D$66"")=CV$2),$G$4:$BQ$4,$G125:$BQ125)))"),-0.532886428)</f>
        <v>-0.532886428</v>
      </c>
      <c r="CW125" s="207" t="str">
        <f>IFERROR(__xludf.DUMMYFUNCTION("IF(OR(CV125&gt;$BS125+$BT125*$BT$2,CV125&lt;$BS125-$BT125*$BT$2),AVEDEV(ARRAYFORMULA(XLOOKUP(FILTER(INDIRECT(""'""&amp;CV$1&amp;""'!$C$4:$C$66""),INDIRECT(""'""&amp;CV$1&amp;""'!$D$4:$D$66"")=CV$2),$G$4:$BQ$4,$G125:$BQ125))),"""")"),"")</f>
        <v/>
      </c>
      <c r="CX125" s="208" t="str">
        <f t="shared" si="16"/>
        <v/>
      </c>
      <c r="CY125" s="209" t="s">
        <v>444</v>
      </c>
      <c r="CZ125" s="210">
        <f>IFERROR(__xludf.DUMMYFUNCTION("AVERAGE(ARRAYFORMULA(XLOOKUP(FILTER(INDIRECT(""'""&amp;CZ$1&amp;""'!$C$4:$C$66""),INDIRECT(""'""&amp;CZ$1&amp;""'!$D$4:$D$66"")=CZ$2),$G$4:$BQ$4,$G125:$BQ125)))"),0.13291104571428572)</f>
        <v>0.1329110457</v>
      </c>
      <c r="DA125" s="207" t="str">
        <f>IFERROR(__xludf.DUMMYFUNCTION("IF(OR(CZ125&gt;$BS125+$BT125*$BT$2,CZ125&lt;$BS125-$BT125*$BT$2),AVEDEV(ARRAYFORMULA(XLOOKUP(FILTER(INDIRECT(""'""&amp;CZ$1&amp;""'!$C$4:$C$66""),INDIRECT(""'""&amp;CZ$1&amp;""'!$D$4:$D$66"")=CZ$2),$G$4:$BQ$4,$G125:$BQ125))),"""")"),"")</f>
        <v/>
      </c>
      <c r="DB125" s="208" t="str">
        <f t="shared" si="17"/>
        <v/>
      </c>
      <c r="DC125" s="210">
        <f>IFERROR(__xludf.DUMMYFUNCTION("AVERAGE(ARRAYFORMULA(XLOOKUP(FILTER(INDIRECT(""'""&amp;DC$1&amp;""'!$C$4:$C$66""),INDIRECT(""'""&amp;DC$1&amp;""'!$D$4:$D$66"")=DC$2),$G$4:$BQ$4,$G125:$BQ125)))"),-0.09576710333333331)</f>
        <v>-0.09576710333</v>
      </c>
      <c r="DD125" s="207" t="str">
        <f>IFERROR(__xludf.DUMMYFUNCTION("IF(OR(DC125&gt;$BS125+$BT125*$BT$2,DC125&lt;$BS125-$BT125*$BT$2),AVEDEV(ARRAYFORMULA(XLOOKUP(FILTER(INDIRECT(""'""&amp;DC$1&amp;""'!$C$4:$C$66""),INDIRECT(""'""&amp;DC$1&amp;""'!$D$4:$D$66"")=DC$2),$G$4:$BQ$4,$G125:$BQ125))),"""")"),"")</f>
        <v/>
      </c>
      <c r="DE125" s="208" t="str">
        <f t="shared" si="18"/>
        <v/>
      </c>
      <c r="DF125" s="210">
        <f>IFERROR(__xludf.DUMMYFUNCTION("AVERAGE(ARRAYFORMULA(XLOOKUP(FILTER(INDIRECT(""'""&amp;DF$1&amp;""'!$C$4:$C$66""),INDIRECT(""'""&amp;DF$1&amp;""'!$D$4:$D$66"")=DF$2),$G$4:$BQ$4,$G125:$BQ125)))"),0.25148438181818183)</f>
        <v>0.2514843818</v>
      </c>
      <c r="DG125" s="207" t="str">
        <f>IFERROR(__xludf.DUMMYFUNCTION("IF(OR(DF125&gt;$BS125+$BT125*$BT$2,DF125&lt;$BS125-$BT125*$BT$2),AVEDEV(ARRAYFORMULA(XLOOKUP(FILTER(INDIRECT(""'""&amp;DF$1&amp;""'!$C$4:$C$66""),INDIRECT(""'""&amp;DF$1&amp;""'!$D$4:$D$66"")=DF$2),$G$4:$BQ$4,$G125:$BQ125))),"""")"),"")</f>
        <v/>
      </c>
      <c r="DH125" s="208" t="str">
        <f t="shared" si="19"/>
        <v/>
      </c>
      <c r="DI125" s="210">
        <f>IFERROR(__xludf.DUMMYFUNCTION("AVERAGE(ARRAYFORMULA(XLOOKUP(FILTER(INDIRECT(""'""&amp;DI$1&amp;""'!$C$4:$C$66""),INDIRECT(""'""&amp;DI$1&amp;""'!$D$4:$D$66"")=DI$2),$G$4:$BQ$4,$G125:$BQ125)))"),1.011300515)</f>
        <v>1.011300515</v>
      </c>
      <c r="DJ125" s="207">
        <f>IFERROR(__xludf.DUMMYFUNCTION("IF(OR(DI125&gt;$BS125+$BT125*$BT$2,DI125&lt;$BS125-$BT125*$BT$2),AVEDEV(ARRAYFORMULA(XLOOKUP(FILTER(INDIRECT(""'""&amp;DI$1&amp;""'!$C$4:$C$66""),INDIRECT(""'""&amp;DI$1&amp;""'!$D$4:$D$66"")=DI$2),$G$4:$BQ$4,$G125:$BQ125))),"""")"),0.31794675499999997)</f>
        <v>0.317946755</v>
      </c>
      <c r="DK125" s="208">
        <f t="shared" si="20"/>
        <v>0.2497752995</v>
      </c>
      <c r="DL125" s="210">
        <f>IFERROR(__xludf.DUMMYFUNCTION("AVERAGE(ARRAYFORMULA(XLOOKUP(FILTER(INDIRECT(""'""&amp;DL$1&amp;""'!$C$4:$C$66""),INDIRECT(""'""&amp;DL$1&amp;""'!$D$4:$D$66"")=DL$2),$G$4:$BQ$4,$G125:$BQ125)))"),0.23854215071428572)</f>
        <v>0.2385421507</v>
      </c>
      <c r="DM125" s="207" t="str">
        <f>IFERROR(__xludf.DUMMYFUNCTION("IF(OR(DL125&gt;$BS125+$BT125*$BT$2,DL125&lt;$BS125-$BT125*$BT$2),AVEDEV(ARRAYFORMULA(XLOOKUP(FILTER(INDIRECT(""'""&amp;DL$1&amp;""'!$C$4:$C$66""),INDIRECT(""'""&amp;DL$1&amp;""'!$D$4:$D$66"")=DL$2),$G$4:$BQ$4,$G125:$BQ125))),"""")"),"")</f>
        <v/>
      </c>
      <c r="DN125" s="208" t="str">
        <f t="shared" si="21"/>
        <v/>
      </c>
      <c r="DO125" s="209" t="s">
        <v>444</v>
      </c>
      <c r="DP125" s="210">
        <f>IFERROR(__xludf.DUMMYFUNCTION("AVERAGE(ARRAYFORMULA(XLOOKUP(FILTER(INDIRECT(""'""&amp;DP$1&amp;""'!$C$4:$C$66""),INDIRECT(""'""&amp;DP$1&amp;""'!$D$4:$D$66"")=DP$2),$G$4:$BQ$4,$G125:$BQ125)))"),0.13393347000000003)</f>
        <v>0.13393347</v>
      </c>
      <c r="DQ125" s="207" t="str">
        <f>IFERROR(__xludf.DUMMYFUNCTION("IF(OR(DP125&gt;$BS125+$BT125*$BT$2,DP125&lt;$BS125-$BT125*$BT$2),AVEDEV(ARRAYFORMULA(XLOOKUP(FILTER(INDIRECT(""'""&amp;DP$1&amp;""'!$C$4:$C$66""),INDIRECT(""'""&amp;DP$1&amp;""'!$D$4:$D$66"")=DP$2),$G$4:$BQ$4,$G125:$BQ125))),"""")"),"")</f>
        <v/>
      </c>
      <c r="DR125" s="208" t="str">
        <f t="shared" si="22"/>
        <v/>
      </c>
      <c r="DS125" s="210">
        <f>IFERROR(__xludf.DUMMYFUNCTION("AVERAGE(ARRAYFORMULA(XLOOKUP(FILTER(INDIRECT(""'""&amp;DS$1&amp;""'!$C$4:$C$66""),INDIRECT(""'""&amp;DS$1&amp;""'!$D$4:$D$66"")=DS$2),$G$4:$BQ$4,$G125:$BQ125)))"),-0.11981528444444439)</f>
        <v>-0.1198152844</v>
      </c>
      <c r="DT125" s="207" t="str">
        <f>IFERROR(__xludf.DUMMYFUNCTION("IF(OR(DS125&gt;$BS125+$BT125*$BT$2,DS125&lt;$BS125-$BT125*$BT$2),AVEDEV(ARRAYFORMULA(XLOOKUP(FILTER(INDIRECT(""'""&amp;DS$1&amp;""'!$C$4:$C$66""),INDIRECT(""'""&amp;DS$1&amp;""'!$D$4:$D$66"")=DS$2),$G$4:$BQ$4,$G125:$BQ125))),"""")"),"")</f>
        <v/>
      </c>
      <c r="DU125" s="208" t="str">
        <f t="shared" si="23"/>
        <v/>
      </c>
      <c r="DV125" s="210">
        <f>IFERROR(__xludf.DUMMYFUNCTION("AVERAGE(ARRAYFORMULA(XLOOKUP(FILTER(INDIRECT(""'""&amp;DV$1&amp;""'!$C$4:$C$66""),INDIRECT(""'""&amp;DV$1&amp;""'!$D$4:$D$66"")=DV$2),$G$4:$BQ$4,$G125:$BQ125)))"),-0.60565504125)</f>
        <v>-0.6056550413</v>
      </c>
      <c r="DW125" s="207">
        <f>IFERROR(__xludf.DUMMYFUNCTION("IF(OR(DV125&gt;$BS125+$BT125*$BT$2,DV125&lt;$BS125-$BT125*$BT$2),AVEDEV(ARRAYFORMULA(XLOOKUP(FILTER(INDIRECT(""'""&amp;DV$1&amp;""'!$C$4:$C$66""),INDIRECT(""'""&amp;DV$1&amp;""'!$D$4:$D$66"")=DV$2),$G$4:$BQ$4,$G125:$BQ125))),"""")"),0.3608324440625)</f>
        <v>0.3608324441</v>
      </c>
      <c r="DX125" s="208">
        <f t="shared" si="24"/>
        <v>-0.03811443117</v>
      </c>
      <c r="DY125" s="210">
        <f>IFERROR(__xludf.DUMMYFUNCTION("AVERAGE(ARRAYFORMULA(XLOOKUP(FILTER(INDIRECT(""'""&amp;DY$1&amp;""'!$C$4:$C$66""),INDIRECT(""'""&amp;DY$1&amp;""'!$D$4:$D$66"")=DY$2),$G$4:$BQ$4,$G125:$BQ125)))"),0.9771223066666666)</f>
        <v>0.9771223067</v>
      </c>
      <c r="DZ125" s="207">
        <f>IFERROR(__xludf.DUMMYFUNCTION("IF(OR(DY125&gt;$BS125+$BT125*$BT$2,DY125&lt;$BS125-$BT125*$BT$2),AVEDEV(ARRAYFORMULA(XLOOKUP(FILTER(INDIRECT(""'""&amp;DY$1&amp;""'!$C$4:$C$66""),INDIRECT(""'""&amp;DY$1&amp;""'!$D$4:$D$66"")=DY$2),$G$4:$BQ$4,$G125:$BQ125))),"""")"),0.665356665925926)</f>
        <v>0.6653566659</v>
      </c>
      <c r="EA125" s="208">
        <f t="shared" si="25"/>
        <v>0.2155970912</v>
      </c>
      <c r="EB125" s="214"/>
    </row>
    <row r="126" outlineLevel="1">
      <c r="A126" s="2"/>
      <c r="B126" s="204">
        <v>122.0</v>
      </c>
      <c r="C126" s="204" t="s">
        <v>540</v>
      </c>
      <c r="D126" s="204" t="s">
        <v>568</v>
      </c>
      <c r="E126" s="205" t="b">
        <f>VLOOKUP(D126,'Feature Set List'!A122:C246,2,0)</f>
        <v>1</v>
      </c>
      <c r="F126" s="205" t="b">
        <f>VLOOKUP(D126,'Feature Set List'!A122:C246,3,0)</f>
        <v>1</v>
      </c>
      <c r="G126" s="205">
        <v>0.08958811</v>
      </c>
      <c r="H126" s="205">
        <v>0.87621545</v>
      </c>
      <c r="I126" s="205">
        <v>-0.9544412</v>
      </c>
      <c r="J126" s="205">
        <v>-0.3006664</v>
      </c>
      <c r="K126" s="205">
        <v>1.26515896</v>
      </c>
      <c r="L126" s="205">
        <v>0.21632252</v>
      </c>
      <c r="M126" s="205">
        <v>-0.2589315</v>
      </c>
      <c r="N126" s="205">
        <v>-0.718453</v>
      </c>
      <c r="O126" s="205">
        <v>0.70577953</v>
      </c>
      <c r="P126" s="205">
        <v>-0.0764777</v>
      </c>
      <c r="Q126" s="205">
        <v>1.07287228</v>
      </c>
      <c r="R126" s="205">
        <v>0.40205397</v>
      </c>
      <c r="S126" s="205">
        <v>-0.1057577</v>
      </c>
      <c r="T126" s="205">
        <v>0.9352125</v>
      </c>
      <c r="U126" s="205">
        <v>-1.2714957</v>
      </c>
      <c r="V126" s="205">
        <v>-0.1940347</v>
      </c>
      <c r="W126" s="205">
        <v>-0.0131105</v>
      </c>
      <c r="X126" s="205">
        <v>-1.3318038</v>
      </c>
      <c r="Y126" s="205">
        <v>1.01387523</v>
      </c>
      <c r="Z126" s="205">
        <v>0.42827488</v>
      </c>
      <c r="AA126" s="205">
        <v>-1.4189883</v>
      </c>
      <c r="AB126" s="205">
        <v>-0.2661422</v>
      </c>
      <c r="AC126" s="205">
        <v>0.31465093</v>
      </c>
      <c r="AD126" s="205">
        <v>0.42608981</v>
      </c>
      <c r="AE126" s="205">
        <v>-0.5482356</v>
      </c>
      <c r="AF126" s="205">
        <v>-0.6032995</v>
      </c>
      <c r="AG126" s="205">
        <v>-0.6681962</v>
      </c>
      <c r="AH126" s="205">
        <v>0.20321206</v>
      </c>
      <c r="AI126" s="205">
        <v>-0.3218617</v>
      </c>
      <c r="AJ126" s="205">
        <v>-1.1078335</v>
      </c>
      <c r="AK126" s="205">
        <v>-1.0287337</v>
      </c>
      <c r="AL126" s="205">
        <v>-0.2043046</v>
      </c>
      <c r="AM126" s="205">
        <v>0.20102699</v>
      </c>
      <c r="AN126" s="205">
        <v>0.88277068</v>
      </c>
      <c r="AO126" s="205">
        <v>-0.6828362</v>
      </c>
      <c r="AP126" s="205">
        <v>0.68174369</v>
      </c>
      <c r="AQ126" s="205">
        <v>-0.6081066</v>
      </c>
      <c r="AR126" s="205">
        <v>1.77209658</v>
      </c>
      <c r="AS126" s="205">
        <v>0.0</v>
      </c>
      <c r="AT126" s="205">
        <v>0.10051349</v>
      </c>
      <c r="AU126" s="205">
        <v>-1.2251721</v>
      </c>
      <c r="AV126" s="205">
        <v>-0.1997159</v>
      </c>
      <c r="AW126" s="205">
        <v>-1.0254561</v>
      </c>
      <c r="AX126" s="205">
        <v>-2.1658473</v>
      </c>
      <c r="AY126" s="205">
        <v>0.73200044</v>
      </c>
      <c r="AZ126" s="205">
        <v>-0.3876325</v>
      </c>
      <c r="BA126" s="205">
        <v>0.29717033</v>
      </c>
      <c r="BB126" s="205">
        <v>-0.4219382</v>
      </c>
      <c r="BC126" s="205">
        <v>0.5353436</v>
      </c>
      <c r="BD126" s="205">
        <v>0.33868677</v>
      </c>
      <c r="BE126" s="205">
        <v>-0.2825303</v>
      </c>
      <c r="BF126" s="205">
        <v>0.15514039</v>
      </c>
      <c r="BG126" s="205">
        <v>0.27531957</v>
      </c>
      <c r="BH126" s="205">
        <v>0.08084781</v>
      </c>
      <c r="BI126" s="205">
        <v>-0.7909975</v>
      </c>
      <c r="BJ126" s="205">
        <v>0.54626898</v>
      </c>
      <c r="BK126" s="205">
        <v>0.83251393</v>
      </c>
      <c r="BL126" s="205">
        <v>0.05681197</v>
      </c>
      <c r="BM126" s="205">
        <v>-0.4737245</v>
      </c>
      <c r="BN126" s="205">
        <v>0.9985797</v>
      </c>
      <c r="BO126" s="205">
        <v>0.01748061</v>
      </c>
      <c r="BP126" s="205">
        <v>0.46542117</v>
      </c>
      <c r="BQ126" s="205">
        <v>-0.5973998</v>
      </c>
      <c r="BR126" s="206"/>
      <c r="BS126" s="207">
        <f t="shared" si="6"/>
        <v>-0.0529378027</v>
      </c>
      <c r="BT126" s="207">
        <f t="shared" si="7"/>
        <v>0.5921549181</v>
      </c>
      <c r="BU126" s="206"/>
      <c r="BV126" s="207">
        <f>IFERROR(__xludf.DUMMYFUNCTION("AVERAGE(ARRAYFORMULA(XLOOKUP(FILTER(INDIRECT(""'""&amp;BV$1&amp;""'!$C$4:$C$66""),INDIRECT(""'""&amp;BV$1&amp;""'!$D$4:$D$66"")=BV$2),$G$4:$BQ$4,$G126:$BQ126)))"),-0.45739882714285723)</f>
        <v>-0.4573988271</v>
      </c>
      <c r="BW126" s="207" t="str">
        <f>IFERROR(__xludf.DUMMYFUNCTION("IF(OR(BV126&gt;$BS126+$BT126*$BT$2,BV126&lt;$BS126-$BT126*$BT$2),AVEDEV(ARRAYFORMULA(XLOOKUP(FILTER(INDIRECT(""'""&amp;BV$1&amp;""'!$C$4:$C$66""),INDIRECT(""'""&amp;BV$1&amp;""'!$D$4:$D$66"")=BV$2),$G$4:$BQ$4,$G126:$BQ126))),"""")"),"")</f>
        <v/>
      </c>
      <c r="BX126" s="208" t="str">
        <f t="shared" si="8"/>
        <v/>
      </c>
      <c r="BY126" s="207">
        <f>IFERROR(__xludf.DUMMYFUNCTION("AVERAGE(ARRAYFORMULA(XLOOKUP(FILTER(INDIRECT(""'""&amp;BY$1&amp;""'!$C$4:$C$66""),INDIRECT(""'""&amp;BY$1&amp;""'!$D$4:$D$66"")=BY$2),$G$4:$BQ$4,$G126:$BQ126)))"),0.023062958571428573)</f>
        <v>0.02306295857</v>
      </c>
      <c r="BZ126" s="207" t="str">
        <f>IFERROR(__xludf.DUMMYFUNCTION("IF(OR(BY126&gt;$BS126+$BT126*$BT$2,BY126&lt;$BS126-$BT126*$BT$2),AVEDEV(ARRAYFORMULA(XLOOKUP(FILTER(INDIRECT(""'""&amp;BY$1&amp;""'!$C$4:$C$66""),INDIRECT(""'""&amp;BY$1&amp;""'!$D$4:$D$66"")=BY$2),$G$4:$BQ$4,$G126:$BQ126))),"""")"),"")</f>
        <v/>
      </c>
      <c r="CA126" s="208" t="str">
        <f t="shared" si="9"/>
        <v/>
      </c>
      <c r="CB126" s="207">
        <f>IFERROR(__xludf.DUMMYFUNCTION("AVERAGE(ARRAYFORMULA(XLOOKUP(FILTER(INDIRECT(""'""&amp;CB$1&amp;""'!$C$4:$C$66""),INDIRECT(""'""&amp;CB$1&amp;""'!$D$4:$D$66"")=CB$2),$G$4:$BQ$4,$G126:$BQ126)))"),0.06718113545454546)</f>
        <v>0.06718113545</v>
      </c>
      <c r="CC126" s="207" t="str">
        <f>IFERROR(__xludf.DUMMYFUNCTION("IF(OR(CB126&gt;$BS126+$BT126*$BT$2,CB126&lt;$BS126-$BT126*$BT$2),AVEDEV(ARRAYFORMULA(XLOOKUP(FILTER(INDIRECT(""'""&amp;CB$1&amp;""'!$C$4:$C$66""),INDIRECT(""'""&amp;CB$1&amp;""'!$D$4:$D$66"")=CB$2),$G$4:$BQ$4,$G126:$BQ126))),"""")"),"")</f>
        <v/>
      </c>
      <c r="CD126" s="208" t="str">
        <f t="shared" si="10"/>
        <v/>
      </c>
      <c r="CE126" s="209" t="s">
        <v>444</v>
      </c>
      <c r="CF126" s="207">
        <f>IFERROR(__xludf.DUMMYFUNCTION("AVERAGE(ARRAYFORMULA(XLOOKUP(FILTER(INDIRECT(""'""&amp;CF$1&amp;""'!$C$4:$C$66""),INDIRECT(""'""&amp;CF$1&amp;""'!$D$4:$D$66"")=CF$2),$G$4:$BQ$4,$G126:$BQ126)))"),-0.25177537000000005)</f>
        <v>-0.25177537</v>
      </c>
      <c r="CG126" s="207" t="str">
        <f>IFERROR(__xludf.DUMMYFUNCTION("IF(OR(CF126&gt;$BS126+$BT126*$BT$2,CF126&lt;$BS126-$BT126*$BT$2),AVEDEV(ARRAYFORMULA(XLOOKUP(FILTER(INDIRECT(""'""&amp;CF$1&amp;""'!$C$4:$C$66""),INDIRECT(""'""&amp;CF$1&amp;""'!$D$4:$D$66"")=CF$2),$G$4:$BQ$4,$G126:$BQ126))),"""")"),"")</f>
        <v/>
      </c>
      <c r="CH126" s="208" t="str">
        <f t="shared" si="11"/>
        <v/>
      </c>
      <c r="CI126" s="207">
        <f>IFERROR(__xludf.DUMMYFUNCTION("AVERAGE(ARRAYFORMULA(XLOOKUP(FILTER(INDIRECT(""'""&amp;CI$1&amp;""'!$C$4:$C$66""),INDIRECT(""'""&amp;CI$1&amp;""'!$D$4:$D$66"")=CI$2),$G$4:$BQ$4,$G126:$BQ126)))"),0.123266474516129)</f>
        <v>0.1232664745</v>
      </c>
      <c r="CJ126" s="207" t="str">
        <f>IFERROR(__xludf.DUMMYFUNCTION("IF(OR(CI126&gt;$BS126+$BT126*$BT$2,CI126&lt;$BS126-$BT126*$BT$2),AVEDEV(ARRAYFORMULA(XLOOKUP(FILTER(INDIRECT(""'""&amp;CI$1&amp;""'!$C$4:$C$66""),INDIRECT(""'""&amp;CI$1&amp;""'!$D$4:$D$66"")=CI$2),$G$4:$BQ$4,$G126:$BQ126))),"""")"),"")</f>
        <v/>
      </c>
      <c r="CK126" s="208" t="str">
        <f t="shared" si="12"/>
        <v/>
      </c>
      <c r="CL126" s="207">
        <f>IFERROR(__xludf.DUMMYFUNCTION("AVERAGE(ARRAYFORMULA(XLOOKUP(FILTER(INDIRECT(""'""&amp;CL$1&amp;""'!$C$4:$C$66""),INDIRECT(""'""&amp;CL$1&amp;""'!$D$4:$D$66"")=CL$2),$G$4:$BQ$4,$G126:$BQ126)))"),0.28624494)</f>
        <v>0.28624494</v>
      </c>
      <c r="CM126" s="207" t="str">
        <f>IFERROR(__xludf.DUMMYFUNCTION("IF(OR(CL126&gt;$BS126+$BT126*$BT$2,CL126&lt;$BS126-$BT126*$BT$2),AVEDEV(ARRAYFORMULA(XLOOKUP(FILTER(INDIRECT(""'""&amp;CL$1&amp;""'!$C$4:$C$66""),INDIRECT(""'""&amp;CL$1&amp;""'!$D$4:$D$66"")=CL$2),$G$4:$BQ$4,$G126:$BQ126))),"""")"),"")</f>
        <v/>
      </c>
      <c r="CN126" s="208" t="str">
        <f t="shared" si="13"/>
        <v/>
      </c>
      <c r="CO126" s="209" t="s">
        <v>444</v>
      </c>
      <c r="CP126" s="210">
        <f>IFERROR(__xludf.DUMMYFUNCTION("AVERAGE(ARRAYFORMULA(XLOOKUP(FILTER(INDIRECT(""'""&amp;CP$1&amp;""'!$C$4:$C$66""),INDIRECT(""'""&amp;CP$1&amp;""'!$D$4:$D$66"")=CP$2),$G$4:$BQ$4,$G126:$BQ126)))"),-0.33293274466666667)</f>
        <v>-0.3329327447</v>
      </c>
      <c r="CQ126" s="207" t="str">
        <f>IFERROR(__xludf.DUMMYFUNCTION("IF(OR(CP126&gt;$BS126+$BT126*$BT$2,CP126&lt;$BS126-$BT126*$BT$2),AVEDEV(ARRAYFORMULA(XLOOKUP(FILTER(INDIRECT(""'""&amp;CP$1&amp;""'!$C$4:$C$66""),INDIRECT(""'""&amp;CP$1&amp;""'!$D$4:$D$66"")=CP$2),$G$4:$BQ$4,$G126:$BQ126))),"""")"),"")</f>
        <v/>
      </c>
      <c r="CR126" s="208" t="str">
        <f t="shared" si="14"/>
        <v/>
      </c>
      <c r="CS126" s="210">
        <f>IFERROR(__xludf.DUMMYFUNCTION("AVERAGE(ARRAYFORMULA(XLOOKUP(FILTER(INDIRECT(""'""&amp;CS$1&amp;""'!$C$4:$C$66""),INDIRECT(""'""&amp;CS$1&amp;""'!$D$4:$D$66"")=CS$2),$G$4:$BQ$4,$G126:$BQ126)))"),0.05158460153846153)</f>
        <v>0.05158460154</v>
      </c>
      <c r="CT126" s="207" t="str">
        <f>IFERROR(__xludf.DUMMYFUNCTION("IF(OR(CS126&gt;$BS126+$BT126*$BT$2,CS126&lt;$BS126-$BT126*$BT$2),AVEDEV(ARRAYFORMULA(XLOOKUP(FILTER(INDIRECT(""'""&amp;CS$1&amp;""'!$C$4:$C$66""),INDIRECT(""'""&amp;CS$1&amp;""'!$D$4:$D$66"")=CS$2),$G$4:$BQ$4,$G126:$BQ126))),"""")"),"")</f>
        <v/>
      </c>
      <c r="CU126" s="208" t="str">
        <f t="shared" si="15"/>
        <v/>
      </c>
      <c r="CV126" s="210">
        <f>IFERROR(__xludf.DUMMYFUNCTION("AVERAGE(ARRAYFORMULA(XLOOKUP(FILTER(INDIRECT(""'""&amp;CV$1&amp;""'!$C$4:$C$66""),INDIRECT(""'""&amp;CV$1&amp;""'!$D$4:$D$66"")=CV$2),$G$4:$BQ$4,$G126:$BQ126)))"),0.28624494)</f>
        <v>0.28624494</v>
      </c>
      <c r="CW126" s="207" t="str">
        <f>IFERROR(__xludf.DUMMYFUNCTION("IF(OR(CV126&gt;$BS126+$BT126*$BT$2,CV126&lt;$BS126-$BT126*$BT$2),AVEDEV(ARRAYFORMULA(XLOOKUP(FILTER(INDIRECT(""'""&amp;CV$1&amp;""'!$C$4:$C$66""),INDIRECT(""'""&amp;CV$1&amp;""'!$D$4:$D$66"")=CV$2),$G$4:$BQ$4,$G126:$BQ126))),"""")"),"")</f>
        <v/>
      </c>
      <c r="CX126" s="208" t="str">
        <f t="shared" si="16"/>
        <v/>
      </c>
      <c r="CY126" s="209" t="s">
        <v>444</v>
      </c>
      <c r="CZ126" s="210">
        <f>IFERROR(__xludf.DUMMYFUNCTION("AVERAGE(ARRAYFORMULA(XLOOKUP(FILTER(INDIRECT(""'""&amp;CZ$1&amp;""'!$C$4:$C$66""),INDIRECT(""'""&amp;CZ$1&amp;""'!$D$4:$D$66"")=CZ$2),$G$4:$BQ$4,$G126:$BQ126)))"),-0.21945965285714286)</f>
        <v>-0.2194596529</v>
      </c>
      <c r="DA126" s="207" t="str">
        <f>IFERROR(__xludf.DUMMYFUNCTION("IF(OR(CZ126&gt;$BS126+$BT126*$BT$2,CZ126&lt;$BS126-$BT126*$BT$2),AVEDEV(ARRAYFORMULA(XLOOKUP(FILTER(INDIRECT(""'""&amp;CZ$1&amp;""'!$C$4:$C$66""),INDIRECT(""'""&amp;CZ$1&amp;""'!$D$4:$D$66"")=CZ$2),$G$4:$BQ$4,$G126:$BQ126))),"""")"),"")</f>
        <v/>
      </c>
      <c r="DB126" s="208" t="str">
        <f t="shared" si="17"/>
        <v/>
      </c>
      <c r="DC126" s="210">
        <f>IFERROR(__xludf.DUMMYFUNCTION("AVERAGE(ARRAYFORMULA(XLOOKUP(FILTER(INDIRECT(""'""&amp;DC$1&amp;""'!$C$4:$C$66""),INDIRECT(""'""&amp;DC$1&amp;""'!$D$4:$D$66"")=DC$2),$G$4:$BQ$4,$G126:$BQ126)))"),0.17781661)</f>
        <v>0.17781661</v>
      </c>
      <c r="DD126" s="207" t="str">
        <f>IFERROR(__xludf.DUMMYFUNCTION("IF(OR(DC126&gt;$BS126+$BT126*$BT$2,DC126&lt;$BS126-$BT126*$BT$2),AVEDEV(ARRAYFORMULA(XLOOKUP(FILTER(INDIRECT(""'""&amp;DC$1&amp;""'!$C$4:$C$66""),INDIRECT(""'""&amp;DC$1&amp;""'!$D$4:$D$66"")=DC$2),$G$4:$BQ$4,$G126:$BQ126))),"""")"),"")</f>
        <v/>
      </c>
      <c r="DE126" s="208" t="str">
        <f t="shared" si="18"/>
        <v/>
      </c>
      <c r="DF126" s="210">
        <f>IFERROR(__xludf.DUMMYFUNCTION("AVERAGE(ARRAYFORMULA(XLOOKUP(FILTER(INDIRECT(""'""&amp;DF$1&amp;""'!$C$4:$C$66""),INDIRECT(""'""&amp;DF$1&amp;""'!$D$4:$D$66"")=DF$2),$G$4:$BQ$4,$G126:$BQ126)))"),-0.11509390454545455)</f>
        <v>-0.1150939045</v>
      </c>
      <c r="DG126" s="207" t="str">
        <f>IFERROR(__xludf.DUMMYFUNCTION("IF(OR(DF126&gt;$BS126+$BT126*$BT$2,DF126&lt;$BS126-$BT126*$BT$2),AVEDEV(ARRAYFORMULA(XLOOKUP(FILTER(INDIRECT(""'""&amp;DF$1&amp;""'!$C$4:$C$66""),INDIRECT(""'""&amp;DF$1&amp;""'!$D$4:$D$66"")=DF$2),$G$4:$BQ$4,$G126:$BQ126))),"""")"),"")</f>
        <v/>
      </c>
      <c r="DH126" s="208" t="str">
        <f t="shared" si="19"/>
        <v/>
      </c>
      <c r="DI126" s="210">
        <f>IFERROR(__xludf.DUMMYFUNCTION("AVERAGE(ARRAYFORMULA(XLOOKUP(FILTER(INDIRECT(""'""&amp;DI$1&amp;""'!$C$4:$C$66""),INDIRECT(""'""&amp;DI$1&amp;""'!$D$4:$D$66"")=DI$2),$G$4:$BQ$4,$G126:$BQ126)))"),0.25346881)</f>
        <v>0.25346881</v>
      </c>
      <c r="DJ126" s="207" t="str">
        <f>IFERROR(__xludf.DUMMYFUNCTION("IF(OR(DI126&gt;$BS126+$BT126*$BT$2,DI126&lt;$BS126-$BT126*$BT$2),AVEDEV(ARRAYFORMULA(XLOOKUP(FILTER(INDIRECT(""'""&amp;DI$1&amp;""'!$C$4:$C$66""),INDIRECT(""'""&amp;DI$1&amp;""'!$D$4:$D$66"")=DI$2),$G$4:$BQ$4,$G126:$BQ126))),"""")"),"")</f>
        <v/>
      </c>
      <c r="DK126" s="208" t="str">
        <f t="shared" si="20"/>
        <v/>
      </c>
      <c r="DL126" s="210">
        <f>IFERROR(__xludf.DUMMYFUNCTION("AVERAGE(ARRAYFORMULA(XLOOKUP(FILTER(INDIRECT(""'""&amp;DL$1&amp;""'!$C$4:$C$66""),INDIRECT(""'""&amp;DL$1&amp;""'!$D$4:$D$66"")=DL$2),$G$4:$BQ$4,$G126:$BQ126)))"),0.22481309071428576)</f>
        <v>0.2248130907</v>
      </c>
      <c r="DM126" s="207" t="str">
        <f>IFERROR(__xludf.DUMMYFUNCTION("IF(OR(DL126&gt;$BS126+$BT126*$BT$2,DL126&lt;$BS126-$BT126*$BT$2),AVEDEV(ARRAYFORMULA(XLOOKUP(FILTER(INDIRECT(""'""&amp;DL$1&amp;""'!$C$4:$C$66""),INDIRECT(""'""&amp;DL$1&amp;""'!$D$4:$D$66"")=DL$2),$G$4:$BQ$4,$G126:$BQ126))),"""")"),"")</f>
        <v/>
      </c>
      <c r="DN126" s="208" t="str">
        <f t="shared" si="21"/>
        <v/>
      </c>
      <c r="DO126" s="209" t="s">
        <v>444</v>
      </c>
      <c r="DP126" s="210">
        <f>IFERROR(__xludf.DUMMYFUNCTION("AVERAGE(ARRAYFORMULA(XLOOKUP(FILTER(INDIRECT(""'""&amp;DP$1&amp;""'!$C$4:$C$66""),INDIRECT(""'""&amp;DP$1&amp;""'!$D$4:$D$66"")=DP$2),$G$4:$BQ$4,$G126:$BQ126)))"),-0.01606759133333331)</f>
        <v>-0.01606759133</v>
      </c>
      <c r="DQ126" s="207" t="str">
        <f>IFERROR(__xludf.DUMMYFUNCTION("IF(OR(DP126&gt;$BS126+$BT126*$BT$2,DP126&lt;$BS126-$BT126*$BT$2),AVEDEV(ARRAYFORMULA(XLOOKUP(FILTER(INDIRECT(""'""&amp;DP$1&amp;""'!$C$4:$C$66""),INDIRECT(""'""&amp;DP$1&amp;""'!$D$4:$D$66"")=DP$2),$G$4:$BQ$4,$G126:$BQ126))),"""")"),"")</f>
        <v/>
      </c>
      <c r="DR126" s="208" t="str">
        <f t="shared" si="22"/>
        <v/>
      </c>
      <c r="DS126" s="210">
        <f>IFERROR(__xludf.DUMMYFUNCTION("AVERAGE(ARRAYFORMULA(XLOOKUP(FILTER(INDIRECT(""'""&amp;DS$1&amp;""'!$C$4:$C$66""),INDIRECT(""'""&amp;DS$1&amp;""'!$D$4:$D$66"")=DS$2),$G$4:$BQ$4,$G126:$BQ126)))"),0.05737037333333333)</f>
        <v>0.05737037333</v>
      </c>
      <c r="DT126" s="207" t="str">
        <f>IFERROR(__xludf.DUMMYFUNCTION("IF(OR(DS126&gt;$BS126+$BT126*$BT$2,DS126&lt;$BS126-$BT126*$BT$2),AVEDEV(ARRAYFORMULA(XLOOKUP(FILTER(INDIRECT(""'""&amp;DS$1&amp;""'!$C$4:$C$66""),INDIRECT(""'""&amp;DS$1&amp;""'!$D$4:$D$66"")=DS$2),$G$4:$BQ$4,$G126:$BQ126))),"""")"),"")</f>
        <v/>
      </c>
      <c r="DU126" s="208" t="str">
        <f t="shared" si="23"/>
        <v/>
      </c>
      <c r="DV126" s="210">
        <f>IFERROR(__xludf.DUMMYFUNCTION("AVERAGE(ARRAYFORMULA(XLOOKUP(FILTER(INDIRECT(""'""&amp;DV$1&amp;""'!$C$4:$C$66""),INDIRECT(""'""&amp;DV$1&amp;""'!$D$4:$D$66"")=DV$2),$G$4:$BQ$4,$G126:$BQ126)))"),-0.30648422)</f>
        <v>-0.30648422</v>
      </c>
      <c r="DW126" s="207" t="str">
        <f>IFERROR(__xludf.DUMMYFUNCTION("IF(OR(DV126&gt;$BS126+$BT126*$BT$2,DV126&lt;$BS126-$BT126*$BT$2),AVEDEV(ARRAYFORMULA(XLOOKUP(FILTER(INDIRECT(""'""&amp;DV$1&amp;""'!$C$4:$C$66""),INDIRECT(""'""&amp;DV$1&amp;""'!$D$4:$D$66"")=DV$2),$G$4:$BQ$4,$G126:$BQ126))),"""")"),"")</f>
        <v/>
      </c>
      <c r="DX126" s="208" t="str">
        <f t="shared" si="24"/>
        <v/>
      </c>
      <c r="DY126" s="210">
        <f>IFERROR(__xludf.DUMMYFUNCTION("AVERAGE(ARRAYFORMULA(XLOOKUP(FILTER(INDIRECT(""'""&amp;DY$1&amp;""'!$C$4:$C$66""),INDIRECT(""'""&amp;DY$1&amp;""'!$D$4:$D$66"")=DY$2),$G$4:$BQ$4,$G126:$BQ126)))"),0.12323828333333332)</f>
        <v>0.1232382833</v>
      </c>
      <c r="DZ126" s="207" t="str">
        <f>IFERROR(__xludf.DUMMYFUNCTION("IF(OR(DY126&gt;$BS126+$BT126*$BT$2,DY126&lt;$BS126-$BT126*$BT$2),AVEDEV(ARRAYFORMULA(XLOOKUP(FILTER(INDIRECT(""'""&amp;DY$1&amp;""'!$C$4:$C$66""),INDIRECT(""'""&amp;DY$1&amp;""'!$D$4:$D$66"")=DY$2),$G$4:$BQ$4,$G126:$BQ126))),"""")"),"")</f>
        <v/>
      </c>
      <c r="EA126" s="208" t="str">
        <f t="shared" si="25"/>
        <v/>
      </c>
      <c r="EB126" s="191"/>
    </row>
    <row r="127" outlineLevel="1">
      <c r="A127" s="2"/>
      <c r="B127" s="204">
        <v>123.0</v>
      </c>
      <c r="C127" s="204" t="s">
        <v>540</v>
      </c>
      <c r="D127" s="204" t="s">
        <v>569</v>
      </c>
      <c r="E127" s="205" t="b">
        <f>VLOOKUP(D127,'Feature Set List'!A123:C246,2,0)</f>
        <v>1</v>
      </c>
      <c r="F127" s="205" t="b">
        <f>VLOOKUP(D127,'Feature Set List'!A123:C246,3,0)</f>
        <v>1</v>
      </c>
      <c r="G127" s="205">
        <v>-0.4625</v>
      </c>
      <c r="H127" s="205">
        <v>-0.4015625</v>
      </c>
      <c r="I127" s="205">
        <v>3.54427083</v>
      </c>
      <c r="J127" s="205">
        <v>0.25520833</v>
      </c>
      <c r="K127" s="205">
        <v>-1.0998958</v>
      </c>
      <c r="L127" s="205">
        <v>0.365625</v>
      </c>
      <c r="M127" s="205">
        <v>-0.2354167</v>
      </c>
      <c r="N127" s="205">
        <v>-0.3119792</v>
      </c>
      <c r="O127" s="205">
        <v>0.3078125</v>
      </c>
      <c r="P127" s="205">
        <v>1.45416667</v>
      </c>
      <c r="Q127" s="205">
        <v>-0.9135417</v>
      </c>
      <c r="R127" s="205">
        <v>-0.2291667</v>
      </c>
      <c r="S127" s="205">
        <v>1.23229167</v>
      </c>
      <c r="T127" s="205">
        <v>-0.0036458</v>
      </c>
      <c r="U127" s="205">
        <v>0.14583333</v>
      </c>
      <c r="V127" s="205">
        <v>3.52239583</v>
      </c>
      <c r="W127" s="205">
        <v>2.50416667</v>
      </c>
      <c r="X127" s="205">
        <v>3.0484375</v>
      </c>
      <c r="Y127" s="205">
        <v>-0.896875</v>
      </c>
      <c r="Z127" s="205">
        <v>0.009375</v>
      </c>
      <c r="AA127" s="205">
        <v>1.29635417</v>
      </c>
      <c r="AB127" s="205">
        <v>1.0578125</v>
      </c>
      <c r="AC127" s="205">
        <v>-0.0817708</v>
      </c>
      <c r="AD127" s="205">
        <v>-0.6213542</v>
      </c>
      <c r="AE127" s="205">
        <v>-0.440625</v>
      </c>
      <c r="AF127" s="205">
        <v>-0.1463542</v>
      </c>
      <c r="AG127" s="205">
        <v>0.58177083</v>
      </c>
      <c r="AH127" s="205">
        <v>1.67447917</v>
      </c>
      <c r="AI127" s="205">
        <v>-0.2307292</v>
      </c>
      <c r="AJ127" s="205">
        <v>3.221875</v>
      </c>
      <c r="AK127" s="205">
        <v>0.84270833</v>
      </c>
      <c r="AL127" s="205">
        <v>-0.3692708</v>
      </c>
      <c r="AM127" s="205">
        <v>-0.4203125</v>
      </c>
      <c r="AN127" s="205">
        <v>-0.509375</v>
      </c>
      <c r="AO127" s="205">
        <v>-0.0640625</v>
      </c>
      <c r="AP127" s="205">
        <v>-0.8182292</v>
      </c>
      <c r="AQ127" s="205">
        <v>1.17447917</v>
      </c>
      <c r="AR127" s="205">
        <v>-0.4463542</v>
      </c>
      <c r="AS127" s="205">
        <v>0.54947917</v>
      </c>
      <c r="AT127" s="205">
        <v>-0.2265625</v>
      </c>
      <c r="AU127" s="205">
        <v>-0.596875</v>
      </c>
      <c r="AV127" s="205">
        <v>-0.484375</v>
      </c>
      <c r="AW127" s="205">
        <v>-0.1833333</v>
      </c>
      <c r="AX127" s="205">
        <v>-0.3848958</v>
      </c>
      <c r="AY127" s="205">
        <v>0.04270833</v>
      </c>
      <c r="AZ127" s="205">
        <v>0.33385417</v>
      </c>
      <c r="BA127" s="205">
        <v>0.5234375</v>
      </c>
      <c r="BB127" s="205">
        <v>0.4734375</v>
      </c>
      <c r="BC127" s="205">
        <v>-1.0159375</v>
      </c>
      <c r="BD127" s="205">
        <v>0.55729167</v>
      </c>
      <c r="BE127" s="205">
        <v>4.6890625</v>
      </c>
      <c r="BF127" s="205">
        <v>0.0</v>
      </c>
      <c r="BG127" s="205">
        <v>0.18541667</v>
      </c>
      <c r="BH127" s="205">
        <v>-0.2526042</v>
      </c>
      <c r="BI127" s="205">
        <v>0.19791667</v>
      </c>
      <c r="BJ127" s="205">
        <v>0.05052083</v>
      </c>
      <c r="BK127" s="205">
        <v>-0.8307292</v>
      </c>
      <c r="BL127" s="205">
        <v>10.4651042</v>
      </c>
      <c r="BM127" s="205">
        <v>0.38697917</v>
      </c>
      <c r="BN127" s="205">
        <v>-0.8760417</v>
      </c>
      <c r="BO127" s="205">
        <v>-0.5098958</v>
      </c>
      <c r="BP127" s="205">
        <v>-0.84375</v>
      </c>
      <c r="BQ127" s="205">
        <v>1.12708333</v>
      </c>
      <c r="BR127" s="206"/>
      <c r="BS127" s="207">
        <f t="shared" si="6"/>
        <v>0.4906878287</v>
      </c>
      <c r="BT127" s="207">
        <f t="shared" si="7"/>
        <v>1.071225332</v>
      </c>
      <c r="BU127" s="206"/>
      <c r="BV127" s="207">
        <f>IFERROR(__xludf.DUMMYFUNCTION("AVERAGE(ARRAYFORMULA(XLOOKUP(FILTER(INDIRECT(""'""&amp;BV$1&amp;""'!$C$4:$C$66""),INDIRECT(""'""&amp;BV$1&amp;""'!$D$4:$D$66"")=BV$2),$G$4:$BQ$4,$G127:$BQ127)))"),2.6857886942857148)</f>
        <v>2.685788694</v>
      </c>
      <c r="BW127" s="207">
        <f>IFERROR(__xludf.DUMMYFUNCTION("IF(OR(BV127&gt;$BS127+$BT127*$BT$2,BV127&lt;$BS127-$BT127*$BT$2),AVEDEV(ARRAYFORMULA(XLOOKUP(FILTER(INDIRECT(""'""&amp;BV$1&amp;""'!$C$4:$C$66""),INDIRECT(""'""&amp;BV$1&amp;""'!$D$4:$D$66"")=BV$2),$G$4:$BQ$4,$G127:$BQ127))),"""")"),2.8986394620408165)</f>
        <v>2.898639462</v>
      </c>
      <c r="BX127" s="208" t="str">
        <f t="shared" si="8"/>
        <v/>
      </c>
      <c r="BY127" s="207">
        <f>IFERROR(__xludf.DUMMYFUNCTION("AVERAGE(ARRAYFORMULA(XLOOKUP(FILTER(INDIRECT(""'""&amp;BY$1&amp;""'!$C$4:$C$66""),INDIRECT(""'""&amp;BY$1&amp;""'!$D$4:$D$66"")=BY$2),$G$4:$BQ$4,$G127:$BQ127)))"),0.11392112785714283)</f>
        <v>0.1139211279</v>
      </c>
      <c r="BZ127" s="207" t="str">
        <f>IFERROR(__xludf.DUMMYFUNCTION("IF(OR(BY127&gt;$BS127+$BT127*$BT$2,BY127&lt;$BS127-$BT127*$BT$2),AVEDEV(ARRAYFORMULA(XLOOKUP(FILTER(INDIRECT(""'""&amp;BY$1&amp;""'!$C$4:$C$66""),INDIRECT(""'""&amp;BY$1&amp;""'!$D$4:$D$66"")=BY$2),$G$4:$BQ$4,$G127:$BQ127))),"""")"),"")</f>
        <v/>
      </c>
      <c r="CA127" s="208" t="str">
        <f t="shared" si="9"/>
        <v/>
      </c>
      <c r="CB127" s="207">
        <f>IFERROR(__xludf.DUMMYFUNCTION("AVERAGE(ARRAYFORMULA(XLOOKUP(FILTER(INDIRECT(""'""&amp;CB$1&amp;""'!$C$4:$C$66""),INDIRECT(""'""&amp;CB$1&amp;""'!$D$4:$D$66"")=CB$2),$G$4:$BQ$4,$G127:$BQ127)))"),0.3475852254545454)</f>
        <v>0.3475852255</v>
      </c>
      <c r="CC127" s="207" t="str">
        <f>IFERROR(__xludf.DUMMYFUNCTION("IF(OR(CB127&gt;$BS127+$BT127*$BT$2,CB127&lt;$BS127-$BT127*$BT$2),AVEDEV(ARRAYFORMULA(XLOOKUP(FILTER(INDIRECT(""'""&amp;CB$1&amp;""'!$C$4:$C$66""),INDIRECT(""'""&amp;CB$1&amp;""'!$D$4:$D$66"")=CB$2),$G$4:$BQ$4,$G127:$BQ127))),"""")"),"")</f>
        <v/>
      </c>
      <c r="CD127" s="208" t="str">
        <f t="shared" si="10"/>
        <v/>
      </c>
      <c r="CE127" s="209" t="s">
        <v>444</v>
      </c>
      <c r="CF127" s="207">
        <f>IFERROR(__xludf.DUMMYFUNCTION("AVERAGE(ARRAYFORMULA(XLOOKUP(FILTER(INDIRECT(""'""&amp;CF$1&amp;""'!$C$4:$C$66""),INDIRECT(""'""&amp;CF$1&amp;""'!$D$4:$D$66"")=CF$2),$G$4:$BQ$4,$G127:$BQ127)))"),0.20518228875000002)</f>
        <v>0.2051822888</v>
      </c>
      <c r="CG127" s="207" t="str">
        <f>IFERROR(__xludf.DUMMYFUNCTION("IF(OR(CF127&gt;$BS127+$BT127*$BT$2,CF127&lt;$BS127-$BT127*$BT$2),AVEDEV(ARRAYFORMULA(XLOOKUP(FILTER(INDIRECT(""'""&amp;CF$1&amp;""'!$C$4:$C$66""),INDIRECT(""'""&amp;CF$1&amp;""'!$D$4:$D$66"")=CF$2),$G$4:$BQ$4,$G127:$BQ127))),"""")"),"")</f>
        <v/>
      </c>
      <c r="CH127" s="208" t="str">
        <f t="shared" si="11"/>
        <v/>
      </c>
      <c r="CI127" s="207">
        <f>IFERROR(__xludf.DUMMYFUNCTION("AVERAGE(ARRAYFORMULA(XLOOKUP(FILTER(INDIRECT(""'""&amp;CI$1&amp;""'!$C$4:$C$66""),INDIRECT(""'""&amp;CI$1&amp;""'!$D$4:$D$66"")=CI$2),$G$4:$BQ$4,$G127:$BQ127)))"),0.3027116874193549)</f>
        <v>0.3027116874</v>
      </c>
      <c r="CJ127" s="207" t="str">
        <f>IFERROR(__xludf.DUMMYFUNCTION("IF(OR(CI127&gt;$BS127+$BT127*$BT$2,CI127&lt;$BS127-$BT127*$BT$2),AVEDEV(ARRAYFORMULA(XLOOKUP(FILTER(INDIRECT(""'""&amp;CI$1&amp;""'!$C$4:$C$66""),INDIRECT(""'""&amp;CI$1&amp;""'!$D$4:$D$66"")=CI$2),$G$4:$BQ$4,$G127:$BQ127))),"""")"),"")</f>
        <v/>
      </c>
      <c r="CK127" s="208" t="str">
        <f t="shared" si="12"/>
        <v/>
      </c>
      <c r="CL127" s="207">
        <f>IFERROR(__xludf.DUMMYFUNCTION("AVERAGE(ARRAYFORMULA(XLOOKUP(FILTER(INDIRECT(""'""&amp;CL$1&amp;""'!$C$4:$C$66""),INDIRECT(""'""&amp;CL$1&amp;""'!$D$4:$D$66"")=CL$2),$G$4:$BQ$4,$G127:$BQ127)))"),0.5417708419999999)</f>
        <v>0.541770842</v>
      </c>
      <c r="CM127" s="207" t="str">
        <f>IFERROR(__xludf.DUMMYFUNCTION("IF(OR(CL127&gt;$BS127+$BT127*$BT$2,CL127&lt;$BS127-$BT127*$BT$2),AVEDEV(ARRAYFORMULA(XLOOKUP(FILTER(INDIRECT(""'""&amp;CL$1&amp;""'!$C$4:$C$66""),INDIRECT(""'""&amp;CL$1&amp;""'!$D$4:$D$66"")=CL$2),$G$4:$BQ$4,$G127:$BQ127))),"""")"),"")</f>
        <v/>
      </c>
      <c r="CN127" s="208" t="str">
        <f t="shared" si="13"/>
        <v/>
      </c>
      <c r="CO127" s="209" t="s">
        <v>444</v>
      </c>
      <c r="CP127" s="210">
        <f>IFERROR(__xludf.DUMMYFUNCTION("AVERAGE(ARRAYFORMULA(XLOOKUP(FILTER(INDIRECT(""'""&amp;CP$1&amp;""'!$C$4:$C$66""),INDIRECT(""'""&amp;CP$1&amp;""'!$D$4:$D$66"")=CP$2),$G$4:$BQ$4,$G127:$BQ127)))"),0.6561458360000001)</f>
        <v>0.656145836</v>
      </c>
      <c r="CQ127" s="207" t="str">
        <f>IFERROR(__xludf.DUMMYFUNCTION("IF(OR(CP127&gt;$BS127+$BT127*$BT$2,CP127&lt;$BS127-$BT127*$BT$2),AVEDEV(ARRAYFORMULA(XLOOKUP(FILTER(INDIRECT(""'""&amp;CP$1&amp;""'!$C$4:$C$66""),INDIRECT(""'""&amp;CP$1&amp;""'!$D$4:$D$66"")=CP$2),$G$4:$BQ$4,$G127:$BQ127))),"""")"),"")</f>
        <v/>
      </c>
      <c r="CR127" s="208" t="str">
        <f t="shared" si="14"/>
        <v/>
      </c>
      <c r="CS127" s="210">
        <f>IFERROR(__xludf.DUMMYFUNCTION("AVERAGE(ARRAYFORMULA(XLOOKUP(FILTER(INDIRECT(""'""&amp;CS$1&amp;""'!$C$4:$C$66""),INDIRECT(""'""&amp;CS$1&amp;""'!$D$4:$D$66"")=CS$2),$G$4:$BQ$4,$G127:$BQ127)))"),0.11262819897435894)</f>
        <v>0.112628199</v>
      </c>
      <c r="CT127" s="207" t="str">
        <f>IFERROR(__xludf.DUMMYFUNCTION("IF(OR(CS127&gt;$BS127+$BT127*$BT$2,CS127&lt;$BS127-$BT127*$BT$2),AVEDEV(ARRAYFORMULA(XLOOKUP(FILTER(INDIRECT(""'""&amp;CS$1&amp;""'!$C$4:$C$66""),INDIRECT(""'""&amp;CS$1&amp;""'!$D$4:$D$66"")=CS$2),$G$4:$BQ$4,$G127:$BQ127))),"""")"),"")</f>
        <v/>
      </c>
      <c r="CU127" s="208" t="str">
        <f t="shared" si="15"/>
        <v/>
      </c>
      <c r="CV127" s="210">
        <f>IFERROR(__xludf.DUMMYFUNCTION("AVERAGE(ARRAYFORMULA(XLOOKUP(FILTER(INDIRECT(""'""&amp;CV$1&amp;""'!$C$4:$C$66""),INDIRECT(""'""&amp;CV$1&amp;""'!$D$4:$D$66"")=CV$2),$G$4:$BQ$4,$G127:$BQ127)))"),0.5417708419999999)</f>
        <v>0.541770842</v>
      </c>
      <c r="CW127" s="207" t="str">
        <f>IFERROR(__xludf.DUMMYFUNCTION("IF(OR(CV127&gt;$BS127+$BT127*$BT$2,CV127&lt;$BS127-$BT127*$BT$2),AVEDEV(ARRAYFORMULA(XLOOKUP(FILTER(INDIRECT(""'""&amp;CV$1&amp;""'!$C$4:$C$66""),INDIRECT(""'""&amp;CV$1&amp;""'!$D$4:$D$66"")=CV$2),$G$4:$BQ$4,$G127:$BQ127))),"""")"),"")</f>
        <v/>
      </c>
      <c r="CX127" s="208" t="str">
        <f t="shared" si="16"/>
        <v/>
      </c>
      <c r="CY127" s="209" t="s">
        <v>444</v>
      </c>
      <c r="CZ127" s="210">
        <f>IFERROR(__xludf.DUMMYFUNCTION("AVERAGE(ARRAYFORMULA(XLOOKUP(FILTER(INDIRECT(""'""&amp;CZ$1&amp;""'!$C$4:$C$66""),INDIRECT(""'""&amp;CZ$1&amp;""'!$D$4:$D$66"")=CZ$2),$G$4:$BQ$4,$G127:$BQ127)))"),0.19929314928571426)</f>
        <v>0.1992931493</v>
      </c>
      <c r="DA127" s="207" t="str">
        <f>IFERROR(__xludf.DUMMYFUNCTION("IF(OR(CZ127&gt;$BS127+$BT127*$BT$2,CZ127&lt;$BS127-$BT127*$BT$2),AVEDEV(ARRAYFORMULA(XLOOKUP(FILTER(INDIRECT(""'""&amp;CZ$1&amp;""'!$C$4:$C$66""),INDIRECT(""'""&amp;CZ$1&amp;""'!$D$4:$D$66"")=CZ$2),$G$4:$BQ$4,$G127:$BQ127))),"""")"),"")</f>
        <v/>
      </c>
      <c r="DB127" s="208" t="str">
        <f t="shared" si="17"/>
        <v/>
      </c>
      <c r="DC127" s="210">
        <f>IFERROR(__xludf.DUMMYFUNCTION("AVERAGE(ARRAYFORMULA(XLOOKUP(FILTER(INDIRECT(""'""&amp;DC$1&amp;""'!$C$4:$C$66""),INDIRECT(""'""&amp;DC$1&amp;""'!$D$4:$D$66"")=DC$2),$G$4:$BQ$4,$G127:$BQ127)))"),0.3447337933333332)</f>
        <v>0.3447337933</v>
      </c>
      <c r="DD127" s="207" t="str">
        <f>IFERROR(__xludf.DUMMYFUNCTION("IF(OR(DC127&gt;$BS127+$BT127*$BT$2,DC127&lt;$BS127-$BT127*$BT$2),AVEDEV(ARRAYFORMULA(XLOOKUP(FILTER(INDIRECT(""'""&amp;DC$1&amp;""'!$C$4:$C$66""),INDIRECT(""'""&amp;DC$1&amp;""'!$D$4:$D$66"")=DC$2),$G$4:$BQ$4,$G127:$BQ127))),"""")"),"")</f>
        <v/>
      </c>
      <c r="DE127" s="208" t="str">
        <f t="shared" si="18"/>
        <v/>
      </c>
      <c r="DF127" s="210">
        <f>IFERROR(__xludf.DUMMYFUNCTION("AVERAGE(ARRAYFORMULA(XLOOKUP(FILTER(INDIRECT(""'""&amp;DF$1&amp;""'!$C$4:$C$66""),INDIRECT(""'""&amp;DF$1&amp;""'!$D$4:$D$66"")=DF$2),$G$4:$BQ$4,$G127:$BQ127)))"),0.36884470454545465)</f>
        <v>0.3688447045</v>
      </c>
      <c r="DG127" s="207" t="str">
        <f>IFERROR(__xludf.DUMMYFUNCTION("IF(OR(DF127&gt;$BS127+$BT127*$BT$2,DF127&lt;$BS127-$BT127*$BT$2),AVEDEV(ARRAYFORMULA(XLOOKUP(FILTER(INDIRECT(""'""&amp;DF$1&amp;""'!$C$4:$C$66""),INDIRECT(""'""&amp;DF$1&amp;""'!$D$4:$D$66"")=DF$2),$G$4:$BQ$4,$G127:$BQ127))),"""")"),"")</f>
        <v/>
      </c>
      <c r="DH127" s="208" t="str">
        <f t="shared" si="19"/>
        <v/>
      </c>
      <c r="DI127" s="210">
        <f>IFERROR(__xludf.DUMMYFUNCTION("AVERAGE(ARRAYFORMULA(XLOOKUP(FILTER(INDIRECT(""'""&amp;DI$1&amp;""'!$C$4:$C$66""),INDIRECT(""'""&amp;DI$1&amp;""'!$D$4:$D$66"")=DI$2),$G$4:$BQ$4,$G127:$BQ127)))"),-0.4369792)</f>
        <v>-0.4369792</v>
      </c>
      <c r="DJ127" s="207" t="str">
        <f>IFERROR(__xludf.DUMMYFUNCTION("IF(OR(DI127&gt;$BS127+$BT127*$BT$2,DI127&lt;$BS127-$BT127*$BT$2),AVEDEV(ARRAYFORMULA(XLOOKUP(FILTER(INDIRECT(""'""&amp;DI$1&amp;""'!$C$4:$C$66""),INDIRECT(""'""&amp;DI$1&amp;""'!$D$4:$D$66"")=DI$2),$G$4:$BQ$4,$G127:$BQ127))),"""")"),"")</f>
        <v/>
      </c>
      <c r="DK127" s="208" t="str">
        <f t="shared" si="20"/>
        <v/>
      </c>
      <c r="DL127" s="210">
        <f>IFERROR(__xludf.DUMMYFUNCTION("AVERAGE(ARRAYFORMULA(XLOOKUP(FILTER(INDIRECT(""'""&amp;DL$1&amp;""'!$C$4:$C$66""),INDIRECT(""'""&amp;DL$1&amp;""'!$D$4:$D$66"")=DL$2),$G$4:$BQ$4,$G127:$BQ127)))"),-0.021748519285714276)</f>
        <v>-0.02174851929</v>
      </c>
      <c r="DM127" s="207" t="str">
        <f>IFERROR(__xludf.DUMMYFUNCTION("IF(OR(DL127&gt;$BS127+$BT127*$BT$2,DL127&lt;$BS127-$BT127*$BT$2),AVEDEV(ARRAYFORMULA(XLOOKUP(FILTER(INDIRECT(""'""&amp;DL$1&amp;""'!$C$4:$C$66""),INDIRECT(""'""&amp;DL$1&amp;""'!$D$4:$D$66"")=DL$2),$G$4:$BQ$4,$G127:$BQ127))),"""")"),"")</f>
        <v/>
      </c>
      <c r="DN127" s="208" t="str">
        <f t="shared" si="21"/>
        <v/>
      </c>
      <c r="DO127" s="209" t="s">
        <v>444</v>
      </c>
      <c r="DP127" s="210">
        <f>IFERROR(__xludf.DUMMYFUNCTION("AVERAGE(ARRAYFORMULA(XLOOKUP(FILTER(INDIRECT(""'""&amp;DP$1&amp;""'!$C$4:$C$66""),INDIRECT(""'""&amp;DP$1&amp;""'!$D$4:$D$66"")=DP$2),$G$4:$BQ$4,$G127:$BQ127)))"),0.245427082)</f>
        <v>0.245427082</v>
      </c>
      <c r="DQ127" s="207" t="str">
        <f>IFERROR(__xludf.DUMMYFUNCTION("IF(OR(DP127&gt;$BS127+$BT127*$BT$2,DP127&lt;$BS127-$BT127*$BT$2),AVEDEV(ARRAYFORMULA(XLOOKUP(FILTER(INDIRECT(""'""&amp;DP$1&amp;""'!$C$4:$C$66""),INDIRECT(""'""&amp;DP$1&amp;""'!$D$4:$D$66"")=DP$2),$G$4:$BQ$4,$G127:$BQ127))),"""")"),"")</f>
        <v/>
      </c>
      <c r="DR127" s="208" t="str">
        <f t="shared" si="22"/>
        <v/>
      </c>
      <c r="DS127" s="210">
        <f>IFERROR(__xludf.DUMMYFUNCTION("AVERAGE(ARRAYFORMULA(XLOOKUP(FILTER(INDIRECT(""'""&amp;DS$1&amp;""'!$C$4:$C$66""),INDIRECT(""'""&amp;DS$1&amp;""'!$D$4:$D$66"")=DS$2),$G$4:$BQ$4,$G127:$BQ127)))"),0.4498263899999999)</f>
        <v>0.44982639</v>
      </c>
      <c r="DT127" s="207" t="str">
        <f>IFERROR(__xludf.DUMMYFUNCTION("IF(OR(DS127&gt;$BS127+$BT127*$BT$2,DS127&lt;$BS127-$BT127*$BT$2),AVEDEV(ARRAYFORMULA(XLOOKUP(FILTER(INDIRECT(""'""&amp;DS$1&amp;""'!$C$4:$C$66""),INDIRECT(""'""&amp;DS$1&amp;""'!$D$4:$D$66"")=DS$2),$G$4:$BQ$4,$G127:$BQ127))),"""")"),"")</f>
        <v/>
      </c>
      <c r="DU127" s="208" t="str">
        <f t="shared" si="23"/>
        <v/>
      </c>
      <c r="DV127" s="210">
        <f>IFERROR(__xludf.DUMMYFUNCTION("AVERAGE(ARRAYFORMULA(XLOOKUP(FILTER(INDIRECT(""'""&amp;DV$1&amp;""'!$C$4:$C$66""),INDIRECT(""'""&amp;DV$1&amp;""'!$D$4:$D$66"")=DV$2),$G$4:$BQ$4,$G127:$BQ127)))"),0.79394530875)</f>
        <v>0.7939453088</v>
      </c>
      <c r="DW127" s="207" t="str">
        <f>IFERROR(__xludf.DUMMYFUNCTION("IF(OR(DV127&gt;$BS127+$BT127*$BT$2,DV127&lt;$BS127-$BT127*$BT$2),AVEDEV(ARRAYFORMULA(XLOOKUP(FILTER(INDIRECT(""'""&amp;DV$1&amp;""'!$C$4:$C$66""),INDIRECT(""'""&amp;DV$1&amp;""'!$D$4:$D$66"")=DV$2),$G$4:$BQ$4,$G127:$BQ127))),"""")"),"")</f>
        <v/>
      </c>
      <c r="DX127" s="208" t="str">
        <f t="shared" si="24"/>
        <v/>
      </c>
      <c r="DY127" s="210">
        <f>IFERROR(__xludf.DUMMYFUNCTION("AVERAGE(ARRAYFORMULA(XLOOKUP(FILTER(INDIRECT(""'""&amp;DY$1&amp;""'!$C$4:$C$66""),INDIRECT(""'""&amp;DY$1&amp;""'!$D$4:$D$66"")=DY$2),$G$4:$BQ$4,$G127:$BQ127)))"),-0.37303241444444446)</f>
        <v>-0.3730324144</v>
      </c>
      <c r="DZ127" s="207" t="str">
        <f>IFERROR(__xludf.DUMMYFUNCTION("IF(OR(DY127&gt;$BS127+$BT127*$BT$2,DY127&lt;$BS127-$BT127*$BT$2),AVEDEV(ARRAYFORMULA(XLOOKUP(FILTER(INDIRECT(""'""&amp;DY$1&amp;""'!$C$4:$C$66""),INDIRECT(""'""&amp;DY$1&amp;""'!$D$4:$D$66"")=DY$2),$G$4:$BQ$4,$G127:$BQ127))),"""")"),"")</f>
        <v/>
      </c>
      <c r="EA127" s="208" t="str">
        <f t="shared" si="25"/>
        <v/>
      </c>
      <c r="EB127" s="191"/>
    </row>
    <row r="128" outlineLevel="1">
      <c r="A128" s="2"/>
      <c r="B128" s="204">
        <v>124.0</v>
      </c>
      <c r="C128" s="204" t="s">
        <v>540</v>
      </c>
      <c r="D128" s="204" t="s">
        <v>570</v>
      </c>
      <c r="E128" s="205" t="b">
        <f>VLOOKUP(D128,'Feature Set List'!A124:C246,2,0)</f>
        <v>1</v>
      </c>
      <c r="F128" s="205" t="b">
        <f>VLOOKUP(D128,'Feature Set List'!A124:C246,3,0)</f>
        <v>1</v>
      </c>
      <c r="G128" s="205">
        <v>0.8389699</v>
      </c>
      <c r="H128" s="205">
        <v>0.25131865</v>
      </c>
      <c r="I128" s="205">
        <v>0.07198262</v>
      </c>
      <c r="J128" s="205">
        <v>0.55600372</v>
      </c>
      <c r="K128" s="205">
        <v>-0.1880236</v>
      </c>
      <c r="L128" s="205">
        <v>-0.2755197</v>
      </c>
      <c r="M128" s="205">
        <v>-0.4995346</v>
      </c>
      <c r="N128" s="205">
        <v>0.12100527</v>
      </c>
      <c r="O128" s="205">
        <v>0.73037543</v>
      </c>
      <c r="P128" s="205">
        <v>-0.2283587</v>
      </c>
      <c r="Q128" s="205">
        <v>-0.4039715</v>
      </c>
      <c r="R128" s="205">
        <v>-0.8147688</v>
      </c>
      <c r="S128" s="205">
        <v>1.07353397</v>
      </c>
      <c r="T128" s="205">
        <v>-0.4269314</v>
      </c>
      <c r="U128" s="205">
        <v>0.46168166</v>
      </c>
      <c r="V128" s="205">
        <v>-0.4914676</v>
      </c>
      <c r="W128" s="205">
        <v>-0.1700279</v>
      </c>
      <c r="X128" s="205">
        <v>0.89730065</v>
      </c>
      <c r="Y128" s="205">
        <v>0.58578964</v>
      </c>
      <c r="Z128" s="205">
        <v>1.09339125</v>
      </c>
      <c r="AA128" s="205">
        <v>-0.1179026</v>
      </c>
      <c r="AB128" s="205">
        <v>0.31709587</v>
      </c>
      <c r="AC128" s="205">
        <v>0.65653118</v>
      </c>
      <c r="AD128" s="205">
        <v>0.16320199</v>
      </c>
      <c r="AE128" s="205">
        <v>0.81600993</v>
      </c>
      <c r="AF128" s="205">
        <v>-0.4393422</v>
      </c>
      <c r="AG128" s="205">
        <v>0.40521253</v>
      </c>
      <c r="AH128" s="205">
        <v>0.77939808</v>
      </c>
      <c r="AI128" s="205">
        <v>-0.8296618</v>
      </c>
      <c r="AJ128" s="205">
        <v>-0.3990071</v>
      </c>
      <c r="AK128" s="205">
        <v>-0.8861309</v>
      </c>
      <c r="AL128" s="205">
        <v>-0.6081291</v>
      </c>
      <c r="AM128" s="205">
        <v>0.55228048</v>
      </c>
      <c r="AN128" s="205">
        <v>-0.2569035</v>
      </c>
      <c r="AO128" s="205">
        <v>2.17561278</v>
      </c>
      <c r="AP128" s="205">
        <v>-0.2910332</v>
      </c>
      <c r="AQ128" s="205">
        <v>0.61123177</v>
      </c>
      <c r="AR128" s="205">
        <v>0.0</v>
      </c>
      <c r="AS128" s="205">
        <v>-0.3940428</v>
      </c>
      <c r="AT128" s="205">
        <v>1.15048092</v>
      </c>
      <c r="AU128" s="205">
        <v>0.08935774</v>
      </c>
      <c r="AV128" s="205">
        <v>1.56872479</v>
      </c>
      <c r="AW128" s="205">
        <v>-0.3555693</v>
      </c>
      <c r="AX128" s="205">
        <v>-0.4083152</v>
      </c>
      <c r="AY128" s="205">
        <v>3.10952529</v>
      </c>
      <c r="AZ128" s="205">
        <v>0.22153273</v>
      </c>
      <c r="BA128" s="205">
        <v>-0.2624884</v>
      </c>
      <c r="BB128" s="205">
        <v>0.44616817</v>
      </c>
      <c r="BC128" s="205">
        <v>-0.3319888</v>
      </c>
      <c r="BD128" s="205">
        <v>-0.3146137</v>
      </c>
      <c r="BE128" s="205">
        <v>0.46602544</v>
      </c>
      <c r="BF128" s="205">
        <v>-0.2153273</v>
      </c>
      <c r="BG128" s="205">
        <v>-0.3301272</v>
      </c>
      <c r="BH128" s="205">
        <v>0.67887062</v>
      </c>
      <c r="BI128" s="205">
        <v>-0.887372</v>
      </c>
      <c r="BJ128" s="205">
        <v>0.778157</v>
      </c>
      <c r="BK128" s="205">
        <v>-0.9246044</v>
      </c>
      <c r="BL128" s="205">
        <v>1.94477195</v>
      </c>
      <c r="BM128" s="205">
        <v>-1.1070431</v>
      </c>
      <c r="BN128" s="205">
        <v>-0.4306547</v>
      </c>
      <c r="BO128" s="205">
        <v>0.05522805</v>
      </c>
      <c r="BP128" s="205">
        <v>-0.6794912</v>
      </c>
      <c r="BQ128" s="205">
        <v>-1.2851381</v>
      </c>
      <c r="BR128" s="206"/>
      <c r="BS128" s="207">
        <f t="shared" si="6"/>
        <v>0.1335441217</v>
      </c>
      <c r="BT128" s="207">
        <f t="shared" si="7"/>
        <v>0.6261430191</v>
      </c>
      <c r="BU128" s="206"/>
      <c r="BV128" s="207">
        <f>IFERROR(__xludf.DUMMYFUNCTION("AVERAGE(ARRAYFORMULA(XLOOKUP(FILTER(INDIRECT(""'""&amp;BV$1&amp;""'!$C$4:$C$66""),INDIRECT(""'""&amp;BV$1&amp;""'!$D$4:$D$66"")=BV$2),$G$4:$BQ$4,$G128:$BQ128)))"),1.3572979914285714)</f>
        <v>1.357297991</v>
      </c>
      <c r="BW128" s="207">
        <f>IFERROR(__xludf.DUMMYFUNCTION("IF(OR(BV128&gt;$BS128+$BT128*$BT$2,BV128&lt;$BS128-$BT128*$BT$2),AVEDEV(ARRAYFORMULA(XLOOKUP(FILTER(INDIRECT(""'""&amp;BV$1&amp;""'!$C$4:$C$66""),INDIRECT(""'""&amp;BV$1&amp;""'!$D$4:$D$66"")=BV$2),$G$4:$BQ$4,$G128:$BQ128))),"""")"),0.90229029877551)</f>
        <v>0.9022902988</v>
      </c>
      <c r="BX128" s="208">
        <f t="shared" si="8"/>
        <v>0.5976108505</v>
      </c>
      <c r="BY128" s="207">
        <f>IFERROR(__xludf.DUMMYFUNCTION("AVERAGE(ARRAYFORMULA(XLOOKUP(FILTER(INDIRECT(""'""&amp;BY$1&amp;""'!$C$4:$C$66""),INDIRECT(""'""&amp;BY$1&amp;""'!$D$4:$D$66"")=BY$2),$G$4:$BQ$4,$G128:$BQ128)))"),0.019724304761904756)</f>
        <v>0.01972430476</v>
      </c>
      <c r="BZ128" s="207" t="str">
        <f>IFERROR(__xludf.DUMMYFUNCTION("IF(OR(BY128&gt;$BS128+$BT128*$BT$2,BY128&lt;$BS128-$BT128*$BT$2),AVEDEV(ARRAYFORMULA(XLOOKUP(FILTER(INDIRECT(""'""&amp;BY$1&amp;""'!$C$4:$C$66""),INDIRECT(""'""&amp;BY$1&amp;""'!$D$4:$D$66"")=BY$2),$G$4:$BQ$4,$G128:$BQ128))),"""")"),"")</f>
        <v/>
      </c>
      <c r="CA128" s="208" t="str">
        <f t="shared" si="9"/>
        <v/>
      </c>
      <c r="CB128" s="207">
        <f>IFERROR(__xludf.DUMMYFUNCTION("AVERAGE(ARRAYFORMULA(XLOOKUP(FILTER(INDIRECT(""'""&amp;CB$1&amp;""'!$C$4:$C$66""),INDIRECT(""'""&amp;CB$1&amp;""'!$D$4:$D$66"")=CB$2),$G$4:$BQ$4,$G128:$BQ128)))"),-0.16026852090909094)</f>
        <v>-0.1602685209</v>
      </c>
      <c r="CC128" s="207" t="str">
        <f>IFERROR(__xludf.DUMMYFUNCTION("IF(OR(CB128&gt;$BS128+$BT128*$BT$2,CB128&lt;$BS128-$BT128*$BT$2),AVEDEV(ARRAYFORMULA(XLOOKUP(FILTER(INDIRECT(""'""&amp;CB$1&amp;""'!$C$4:$C$66""),INDIRECT(""'""&amp;CB$1&amp;""'!$D$4:$D$66"")=CB$2),$G$4:$BQ$4,$G128:$BQ128))),"""")"),"")</f>
        <v/>
      </c>
      <c r="CD128" s="208" t="str">
        <f t="shared" si="10"/>
        <v/>
      </c>
      <c r="CE128" s="209" t="s">
        <v>444</v>
      </c>
      <c r="CF128" s="207">
        <f>IFERROR(__xludf.DUMMYFUNCTION("AVERAGE(ARRAYFORMULA(XLOOKUP(FILTER(INDIRECT(""'""&amp;CF$1&amp;""'!$C$4:$C$66""),INDIRECT(""'""&amp;CF$1&amp;""'!$D$4:$D$66"")=CF$2),$G$4:$BQ$4,$G128:$BQ128)))"),0.09761868249999998)</f>
        <v>0.0976186825</v>
      </c>
      <c r="CG128" s="207" t="str">
        <f>IFERROR(__xludf.DUMMYFUNCTION("IF(OR(CF128&gt;$BS128+$BT128*$BT$2,CF128&lt;$BS128-$BT128*$BT$2),AVEDEV(ARRAYFORMULA(XLOOKUP(FILTER(INDIRECT(""'""&amp;CF$1&amp;""'!$C$4:$C$66""),INDIRECT(""'""&amp;CF$1&amp;""'!$D$4:$D$66"")=CF$2),$G$4:$BQ$4,$G128:$BQ128))),"""")"),"")</f>
        <v/>
      </c>
      <c r="CH128" s="208" t="str">
        <f t="shared" si="11"/>
        <v/>
      </c>
      <c r="CI128" s="207">
        <f>IFERROR(__xludf.DUMMYFUNCTION("AVERAGE(ARRAYFORMULA(XLOOKUP(FILTER(INDIRECT(""'""&amp;CI$1&amp;""'!$C$4:$C$66""),INDIRECT(""'""&amp;CI$1&amp;""'!$D$4:$D$66"")=CI$2),$G$4:$BQ$4,$G128:$BQ128)))"),0.13709927612903225)</f>
        <v>0.1370992761</v>
      </c>
      <c r="CJ128" s="207" t="str">
        <f>IFERROR(__xludf.DUMMYFUNCTION("IF(OR(CI128&gt;$BS128+$BT128*$BT$2,CI128&lt;$BS128-$BT128*$BT$2),AVEDEV(ARRAYFORMULA(XLOOKUP(FILTER(INDIRECT(""'""&amp;CI$1&amp;""'!$C$4:$C$66""),INDIRECT(""'""&amp;CI$1&amp;""'!$D$4:$D$66"")=CI$2),$G$4:$BQ$4,$G128:$BQ128))),"""")"),"")</f>
        <v/>
      </c>
      <c r="CK128" s="208" t="str">
        <f t="shared" si="12"/>
        <v/>
      </c>
      <c r="CL128" s="207">
        <f>IFERROR(__xludf.DUMMYFUNCTION("AVERAGE(ARRAYFORMULA(XLOOKUP(FILTER(INDIRECT(""'""&amp;CL$1&amp;""'!$C$4:$C$66""),INDIRECT(""'""&amp;CL$1&amp;""'!$D$4:$D$66"")=CL$2),$G$4:$BQ$4,$G128:$BQ128)))"),-0.3283897)</f>
        <v>-0.3283897</v>
      </c>
      <c r="CM128" s="207" t="str">
        <f>IFERROR(__xludf.DUMMYFUNCTION("IF(OR(CL128&gt;$BS128+$BT128*$BT$2,CL128&lt;$BS128-$BT128*$BT$2),AVEDEV(ARRAYFORMULA(XLOOKUP(FILTER(INDIRECT(""'""&amp;CL$1&amp;""'!$C$4:$C$66""),INDIRECT(""'""&amp;CL$1&amp;""'!$D$4:$D$66"")=CL$2),$G$4:$BQ$4,$G128:$BQ128))),"""")"),"")</f>
        <v/>
      </c>
      <c r="CN128" s="208" t="str">
        <f t="shared" si="13"/>
        <v/>
      </c>
      <c r="CO128" s="209" t="s">
        <v>444</v>
      </c>
      <c r="CP128" s="210">
        <f>IFERROR(__xludf.DUMMYFUNCTION("AVERAGE(ARRAYFORMULA(XLOOKUP(FILTER(INDIRECT(""'""&amp;CP$1&amp;""'!$C$4:$C$66""),INDIRECT(""'""&amp;CP$1&amp;""'!$D$4:$D$66"")=CP$2),$G$4:$BQ$4,$G128:$BQ128)))"),0.42444927066666666)</f>
        <v>0.4244492707</v>
      </c>
      <c r="CQ128" s="207" t="str">
        <f>IFERROR(__xludf.DUMMYFUNCTION("IF(OR(CP128&gt;$BS128+$BT128*$BT$2,CP128&lt;$BS128-$BT128*$BT$2),AVEDEV(ARRAYFORMULA(XLOOKUP(FILTER(INDIRECT(""'""&amp;CP$1&amp;""'!$C$4:$C$66""),INDIRECT(""'""&amp;CP$1&amp;""'!$D$4:$D$66"")=CP$2),$G$4:$BQ$4,$G128:$BQ128))),"""")"),"")</f>
        <v/>
      </c>
      <c r="CR128" s="208" t="str">
        <f t="shared" si="14"/>
        <v/>
      </c>
      <c r="CS128" s="210">
        <f>IFERROR(__xludf.DUMMYFUNCTION("AVERAGE(ARRAYFORMULA(XLOOKUP(FILTER(INDIRECT(""'""&amp;CS$1&amp;""'!$C$4:$C$66""),INDIRECT(""'""&amp;CS$1&amp;""'!$D$4:$D$66"")=CS$2),$G$4:$BQ$4,$G128:$BQ128)))"),0.048640782051282055)</f>
        <v>0.04864078205</v>
      </c>
      <c r="CT128" s="207" t="str">
        <f>IFERROR(__xludf.DUMMYFUNCTION("IF(OR(CS128&gt;$BS128+$BT128*$BT$2,CS128&lt;$BS128-$BT128*$BT$2),AVEDEV(ARRAYFORMULA(XLOOKUP(FILTER(INDIRECT(""'""&amp;CS$1&amp;""'!$C$4:$C$66""),INDIRECT(""'""&amp;CS$1&amp;""'!$D$4:$D$66"")=CS$2),$G$4:$BQ$4,$G128:$BQ128))),"""")"),"")</f>
        <v/>
      </c>
      <c r="CU128" s="208" t="str">
        <f t="shared" si="15"/>
        <v/>
      </c>
      <c r="CV128" s="211">
        <f>IFERROR(__xludf.DUMMYFUNCTION("AVERAGE(ARRAYFORMULA(XLOOKUP(FILTER(INDIRECT(""'""&amp;CV$1&amp;""'!$C$4:$C$66""),INDIRECT(""'""&amp;CV$1&amp;""'!$D$4:$D$66"")=CV$2),$G$4:$BQ$4,$G128:$BQ128)))"),-0.3283897)</f>
        <v>-0.3283897</v>
      </c>
      <c r="CW128" s="207" t="str">
        <f>IFERROR(__xludf.DUMMYFUNCTION("IF(OR(CV128&gt;$BS128+$BT128*$BT$2,CV128&lt;$BS128-$BT128*$BT$2),AVEDEV(ARRAYFORMULA(XLOOKUP(FILTER(INDIRECT(""'""&amp;CV$1&amp;""'!$C$4:$C$66""),INDIRECT(""'""&amp;CV$1&amp;""'!$D$4:$D$66"")=CV$2),$G$4:$BQ$4,$G128:$BQ128))),"""")"),"")</f>
        <v/>
      </c>
      <c r="CX128" s="208" t="str">
        <f t="shared" si="16"/>
        <v/>
      </c>
      <c r="CY128" s="209" t="s">
        <v>444</v>
      </c>
      <c r="CZ128" s="210">
        <f>IFERROR(__xludf.DUMMYFUNCTION("AVERAGE(ARRAYFORMULA(XLOOKUP(FILTER(INDIRECT(""'""&amp;CZ$1&amp;""'!$C$4:$C$66""),INDIRECT(""'""&amp;CZ$1&amp;""'!$D$4:$D$66"")=CZ$2),$G$4:$BQ$4,$G128:$BQ128)))"),-0.13151012357142858)</f>
        <v>-0.1315101236</v>
      </c>
      <c r="DA128" s="207" t="str">
        <f>IFERROR(__xludf.DUMMYFUNCTION("IF(OR(CZ128&gt;$BS128+$BT128*$BT$2,CZ128&lt;$BS128-$BT128*$BT$2),AVEDEV(ARRAYFORMULA(XLOOKUP(FILTER(INDIRECT(""'""&amp;CZ$1&amp;""'!$C$4:$C$66""),INDIRECT(""'""&amp;CZ$1&amp;""'!$D$4:$D$66"")=CZ$2),$G$4:$BQ$4,$G128:$BQ128))),"""")"),"")</f>
        <v/>
      </c>
      <c r="DB128" s="208" t="str">
        <f t="shared" si="17"/>
        <v/>
      </c>
      <c r="DC128" s="210">
        <f>IFERROR(__xludf.DUMMYFUNCTION("AVERAGE(ARRAYFORMULA(XLOOKUP(FILTER(INDIRECT(""'""&amp;DC$1&amp;""'!$C$4:$C$66""),INDIRECT(""'""&amp;DC$1&amp;""'!$D$4:$D$66"")=DC$2),$G$4:$BQ$4,$G128:$BQ128)))"),-0.09749370666666664)</f>
        <v>-0.09749370667</v>
      </c>
      <c r="DD128" s="207" t="str">
        <f>IFERROR(__xludf.DUMMYFUNCTION("IF(OR(DC128&gt;$BS128+$BT128*$BT$2,DC128&lt;$BS128-$BT128*$BT$2),AVEDEV(ARRAYFORMULA(XLOOKUP(FILTER(INDIRECT(""'""&amp;DC$1&amp;""'!$C$4:$C$66""),INDIRECT(""'""&amp;DC$1&amp;""'!$D$4:$D$66"")=DC$2),$G$4:$BQ$4,$G128:$BQ128))),"""")"),"")</f>
        <v/>
      </c>
      <c r="DE128" s="208" t="str">
        <f t="shared" si="18"/>
        <v/>
      </c>
      <c r="DF128" s="210">
        <f>IFERROR(__xludf.DUMMYFUNCTION("AVERAGE(ARRAYFORMULA(XLOOKUP(FILTER(INDIRECT(""'""&amp;DF$1&amp;""'!$C$4:$C$66""),INDIRECT(""'""&amp;DF$1&amp;""'!$D$4:$D$66"")=DF$2),$G$4:$BQ$4,$G128:$BQ128)))"),0.5387978427272728)</f>
        <v>0.5387978427</v>
      </c>
      <c r="DG128" s="207" t="str">
        <f>IFERROR(__xludf.DUMMYFUNCTION("IF(OR(DF128&gt;$BS128+$BT128*$BT$2,DF128&lt;$BS128-$BT128*$BT$2),AVEDEV(ARRAYFORMULA(XLOOKUP(FILTER(INDIRECT(""'""&amp;DF$1&amp;""'!$C$4:$C$66""),INDIRECT(""'""&amp;DF$1&amp;""'!$D$4:$D$66"")=DF$2),$G$4:$BQ$4,$G128:$BQ128))),"""")"),"")</f>
        <v/>
      </c>
      <c r="DH128" s="208" t="str">
        <f t="shared" si="19"/>
        <v/>
      </c>
      <c r="DI128" s="210">
        <f>IFERROR(__xludf.DUMMYFUNCTION("AVERAGE(ARRAYFORMULA(XLOOKUP(FILTER(INDIRECT(""'""&amp;DI$1&amp;""'!$C$4:$C$66""),INDIRECT(""'""&amp;DI$1&amp;""'!$D$4:$D$66"")=DI$2),$G$4:$BQ$4,$G128:$BQ128)))"),0.421036305)</f>
        <v>0.421036305</v>
      </c>
      <c r="DJ128" s="207" t="str">
        <f>IFERROR(__xludf.DUMMYFUNCTION("IF(OR(DI128&gt;$BS128+$BT128*$BT$2,DI128&lt;$BS128-$BT128*$BT$2),AVEDEV(ARRAYFORMULA(XLOOKUP(FILTER(INDIRECT(""'""&amp;DI$1&amp;""'!$C$4:$C$66""),INDIRECT(""'""&amp;DI$1&amp;""'!$D$4:$D$66"")=DI$2),$G$4:$BQ$4,$G128:$BQ128))),"""")"),"")</f>
        <v/>
      </c>
      <c r="DK128" s="208" t="str">
        <f t="shared" si="20"/>
        <v/>
      </c>
      <c r="DL128" s="211">
        <f>IFERROR(__xludf.DUMMYFUNCTION("AVERAGE(ARRAYFORMULA(XLOOKUP(FILTER(INDIRECT(""'""&amp;DL$1&amp;""'!$C$4:$C$66""),INDIRECT(""'""&amp;DL$1&amp;""'!$D$4:$D$66"")=DL$2),$G$4:$BQ$4,$G128:$BQ128)))"),-0.23540623)</f>
        <v>-0.23540623</v>
      </c>
      <c r="DM128" s="207" t="str">
        <f>IFERROR(__xludf.DUMMYFUNCTION("IF(OR(DL128&gt;$BS128+$BT128*$BT$2,DL128&lt;$BS128-$BT128*$BT$2),AVEDEV(ARRAYFORMULA(XLOOKUP(FILTER(INDIRECT(""'""&amp;DL$1&amp;""'!$C$4:$C$66""),INDIRECT(""'""&amp;DL$1&amp;""'!$D$4:$D$66"")=DL$2),$G$4:$BQ$4,$G128:$BQ128))),"""")"),"")</f>
        <v/>
      </c>
      <c r="DN128" s="208" t="str">
        <f t="shared" si="21"/>
        <v/>
      </c>
      <c r="DO128" s="209" t="s">
        <v>444</v>
      </c>
      <c r="DP128" s="210">
        <f>IFERROR(__xludf.DUMMYFUNCTION("AVERAGE(ARRAYFORMULA(XLOOKUP(FILTER(INDIRECT(""'""&amp;DP$1&amp;""'!$C$4:$C$66""),INDIRECT(""'""&amp;DP$1&amp;""'!$D$4:$D$66"")=DP$2),$G$4:$BQ$4,$G128:$BQ128)))"),-0.01898852066666666)</f>
        <v>-0.01898852067</v>
      </c>
      <c r="DQ128" s="207" t="str">
        <f>IFERROR(__xludf.DUMMYFUNCTION("IF(OR(DP128&gt;$BS128+$BT128*$BT$2,DP128&lt;$BS128-$BT128*$BT$2),AVEDEV(ARRAYFORMULA(XLOOKUP(FILTER(INDIRECT(""'""&amp;DP$1&amp;""'!$C$4:$C$66""),INDIRECT(""'""&amp;DP$1&amp;""'!$D$4:$D$66"")=DP$2),$G$4:$BQ$4,$G128:$BQ128))),"""")"),"")</f>
        <v/>
      </c>
      <c r="DR128" s="208" t="str">
        <f t="shared" si="22"/>
        <v/>
      </c>
      <c r="DS128" s="210">
        <f>IFERROR(__xludf.DUMMYFUNCTION("AVERAGE(ARRAYFORMULA(XLOOKUP(FILTER(INDIRECT(""'""&amp;DS$1&amp;""'!$C$4:$C$66""),INDIRECT(""'""&amp;DS$1&amp;""'!$D$4:$D$66"")=DS$2),$G$4:$BQ$4,$G128:$BQ128)))"),-0.062467678888888885)</f>
        <v>-0.06246767889</v>
      </c>
      <c r="DT128" s="207" t="str">
        <f>IFERROR(__xludf.DUMMYFUNCTION("IF(OR(DS128&gt;$BS128+$BT128*$BT$2,DS128&lt;$BS128-$BT128*$BT$2),AVEDEV(ARRAYFORMULA(XLOOKUP(FILTER(INDIRECT(""'""&amp;DS$1&amp;""'!$C$4:$C$66""),INDIRECT(""'""&amp;DS$1&amp;""'!$D$4:$D$66"")=DS$2),$G$4:$BQ$4,$G128:$BQ128))),"""")"),"")</f>
        <v/>
      </c>
      <c r="DU128" s="208" t="str">
        <f t="shared" si="23"/>
        <v/>
      </c>
      <c r="DV128" s="210">
        <f>IFERROR(__xludf.DUMMYFUNCTION("AVERAGE(ARRAYFORMULA(XLOOKUP(FILTER(INDIRECT(""'""&amp;DV$1&amp;""'!$C$4:$C$66""),INDIRECT(""'""&amp;DV$1&amp;""'!$D$4:$D$66"")=DV$2),$G$4:$BQ$4,$G128:$BQ128)))"),0.5331213225)</f>
        <v>0.5331213225</v>
      </c>
      <c r="DW128" s="207" t="str">
        <f>IFERROR(__xludf.DUMMYFUNCTION("IF(OR(DV128&gt;$BS128+$BT128*$BT$2,DV128&lt;$BS128-$BT128*$BT$2),AVEDEV(ARRAYFORMULA(XLOOKUP(FILTER(INDIRECT(""'""&amp;DV$1&amp;""'!$C$4:$C$66""),INDIRECT(""'""&amp;DV$1&amp;""'!$D$4:$D$66"")=DV$2),$G$4:$BQ$4,$G128:$BQ128))),"""")"),"")</f>
        <v/>
      </c>
      <c r="DX128" s="208" t="str">
        <f t="shared" si="24"/>
        <v/>
      </c>
      <c r="DY128" s="210">
        <f>IFERROR(__xludf.DUMMYFUNCTION("AVERAGE(ARRAYFORMULA(XLOOKUP(FILTER(INDIRECT(""'""&amp;DY$1&amp;""'!$C$4:$C$66""),INDIRECT(""'""&amp;DY$1&amp;""'!$D$4:$D$66"")=DY$2),$G$4:$BQ$4,$G128:$BQ128)))"),0.04619575333333333)</f>
        <v>0.04619575333</v>
      </c>
      <c r="DZ128" s="207" t="str">
        <f>IFERROR(__xludf.DUMMYFUNCTION("IF(OR(DY128&gt;$BS128+$BT128*$BT$2,DY128&lt;$BS128-$BT128*$BT$2),AVEDEV(ARRAYFORMULA(XLOOKUP(FILTER(INDIRECT(""'""&amp;DY$1&amp;""'!$C$4:$C$66""),INDIRECT(""'""&amp;DY$1&amp;""'!$D$4:$D$66"")=DY$2),$G$4:$BQ$4,$G128:$BQ128))),"""")"),"")</f>
        <v/>
      </c>
      <c r="EA128" s="208" t="str">
        <f t="shared" si="25"/>
        <v/>
      </c>
      <c r="EB128" s="191"/>
    </row>
    <row r="129" outlineLevel="1">
      <c r="A129" s="2"/>
      <c r="B129" s="204">
        <v>125.0</v>
      </c>
      <c r="C129" s="204" t="s">
        <v>540</v>
      </c>
      <c r="D129" s="204" t="s">
        <v>571</v>
      </c>
      <c r="E129" s="205" t="b">
        <f>VLOOKUP(D129,'Feature Set List'!A125:C246,2,0)</f>
        <v>1</v>
      </c>
      <c r="F129" s="205" t="b">
        <f>VLOOKUP(D129,'Feature Set List'!A125:C246,3,0)</f>
        <v>1</v>
      </c>
      <c r="G129" s="205">
        <v>0.0</v>
      </c>
      <c r="H129" s="205">
        <v>1.0</v>
      </c>
      <c r="I129" s="205">
        <v>0.0</v>
      </c>
      <c r="J129" s="205">
        <v>1.0</v>
      </c>
      <c r="K129" s="205">
        <v>1.0</v>
      </c>
      <c r="L129" s="205">
        <v>0.0</v>
      </c>
      <c r="M129" s="205">
        <v>0.0</v>
      </c>
      <c r="N129" s="205">
        <v>0.0</v>
      </c>
      <c r="O129" s="205">
        <v>0.0</v>
      </c>
      <c r="P129" s="205">
        <v>0.0</v>
      </c>
      <c r="Q129" s="205">
        <v>0.0</v>
      </c>
      <c r="R129" s="205">
        <v>0.0</v>
      </c>
      <c r="S129" s="205">
        <v>1.0</v>
      </c>
      <c r="T129" s="205">
        <v>0.0</v>
      </c>
      <c r="U129" s="205">
        <v>1.0</v>
      </c>
      <c r="V129" s="205">
        <v>0.0</v>
      </c>
      <c r="W129" s="205">
        <v>1.0</v>
      </c>
      <c r="X129" s="205">
        <v>1.0</v>
      </c>
      <c r="Y129" s="205">
        <v>0.0</v>
      </c>
      <c r="Z129" s="205">
        <v>1.0</v>
      </c>
      <c r="AA129" s="205">
        <v>1.0</v>
      </c>
      <c r="AB129" s="205">
        <v>0.0</v>
      </c>
      <c r="AC129" s="205">
        <v>0.0</v>
      </c>
      <c r="AD129" s="205">
        <v>1.0</v>
      </c>
      <c r="AE129" s="205">
        <v>1.0</v>
      </c>
      <c r="AF129" s="205">
        <v>1.0</v>
      </c>
      <c r="AG129" s="205">
        <v>1.0</v>
      </c>
      <c r="AH129" s="205">
        <v>1.0</v>
      </c>
      <c r="AI129" s="205">
        <v>0.0</v>
      </c>
      <c r="AJ129" s="205">
        <v>0.0</v>
      </c>
      <c r="AK129" s="205">
        <v>0.0</v>
      </c>
      <c r="AL129" s="205">
        <v>0.0</v>
      </c>
      <c r="AM129" s="205">
        <v>0.0</v>
      </c>
      <c r="AN129" s="205">
        <v>0.0</v>
      </c>
      <c r="AO129" s="205">
        <v>1.0</v>
      </c>
      <c r="AP129" s="205">
        <v>1.0</v>
      </c>
      <c r="AQ129" s="205">
        <v>1.0</v>
      </c>
      <c r="AR129" s="205">
        <v>2.0</v>
      </c>
      <c r="AS129" s="205">
        <v>0.0</v>
      </c>
      <c r="AT129" s="205">
        <v>1.0</v>
      </c>
      <c r="AU129" s="205">
        <v>1.0</v>
      </c>
      <c r="AV129" s="205">
        <v>0.0</v>
      </c>
      <c r="AW129" s="205">
        <v>0.0</v>
      </c>
      <c r="AX129" s="205">
        <v>1.0</v>
      </c>
      <c r="AY129" s="205">
        <v>2.0</v>
      </c>
      <c r="AZ129" s="205">
        <v>1.0</v>
      </c>
      <c r="BA129" s="205">
        <v>0.0</v>
      </c>
      <c r="BB129" s="205">
        <v>1.0</v>
      </c>
      <c r="BC129" s="205">
        <v>0.0</v>
      </c>
      <c r="BD129" s="205">
        <v>0.0</v>
      </c>
      <c r="BE129" s="205">
        <v>1.0</v>
      </c>
      <c r="BF129" s="205">
        <v>0.0</v>
      </c>
      <c r="BG129" s="205">
        <v>0.0</v>
      </c>
      <c r="BH129" s="205">
        <v>0.0</v>
      </c>
      <c r="BI129" s="205">
        <v>0.0</v>
      </c>
      <c r="BJ129" s="205">
        <v>0.0</v>
      </c>
      <c r="BK129" s="205">
        <v>0.0</v>
      </c>
      <c r="BL129" s="205">
        <v>1.0</v>
      </c>
      <c r="BM129" s="205">
        <v>0.0</v>
      </c>
      <c r="BN129" s="205">
        <v>0.0</v>
      </c>
      <c r="BO129" s="205">
        <v>0.0</v>
      </c>
      <c r="BP129" s="205">
        <v>0.0</v>
      </c>
      <c r="BQ129" s="205">
        <v>0.0</v>
      </c>
      <c r="BR129" s="206"/>
      <c r="BS129" s="207">
        <f t="shared" si="6"/>
        <v>0.4444444444</v>
      </c>
      <c r="BT129" s="207">
        <f t="shared" si="7"/>
        <v>0.5220458554</v>
      </c>
      <c r="BU129" s="206"/>
      <c r="BV129" s="207">
        <f>IFERROR(__xludf.DUMMYFUNCTION("AVERAGE(ARRAYFORMULA(XLOOKUP(FILTER(INDIRECT(""'""&amp;BV$1&amp;""'!$C$4:$C$66""),INDIRECT(""'""&amp;BV$1&amp;""'!$D$4:$D$66"")=BV$2),$G$4:$BQ$4,$G129:$BQ129)))"),1.1428571428571428)</f>
        <v>1.142857143</v>
      </c>
      <c r="BW129" s="207">
        <f>IFERROR(__xludf.DUMMYFUNCTION("IF(OR(BV129&gt;$BS129+$BT129*$BT$2,BV129&lt;$BS129-$BT129*$BT$2),AVEDEV(ARRAYFORMULA(XLOOKUP(FILTER(INDIRECT(""'""&amp;BV$1&amp;""'!$C$4:$C$66""),INDIRECT(""'""&amp;BV$1&amp;""'!$D$4:$D$66"")=BV$2),$G$4:$BQ$4,$G129:$BQ129))),"""")"),0.24489795918367344)</f>
        <v>0.2448979592</v>
      </c>
      <c r="BX129" s="208">
        <f t="shared" si="8"/>
        <v>0.176366843</v>
      </c>
      <c r="BY129" s="207">
        <f>IFERROR(__xludf.DUMMYFUNCTION("AVERAGE(ARRAYFORMULA(XLOOKUP(FILTER(INDIRECT(""'""&amp;BY$1&amp;""'!$C$4:$C$66""),INDIRECT(""'""&amp;BY$1&amp;""'!$D$4:$D$66"")=BY$2),$G$4:$BQ$4,$G129:$BQ129)))"),0.38095238095238093)</f>
        <v>0.380952381</v>
      </c>
      <c r="BZ129" s="207" t="str">
        <f>IFERROR(__xludf.DUMMYFUNCTION("IF(OR(BY129&gt;$BS129+$BT129*$BT$2,BY129&lt;$BS129-$BT129*$BT$2),AVEDEV(ARRAYFORMULA(XLOOKUP(FILTER(INDIRECT(""'""&amp;BY$1&amp;""'!$C$4:$C$66""),INDIRECT(""'""&amp;BY$1&amp;""'!$D$4:$D$66"")=BY$2),$G$4:$BQ$4,$G129:$BQ129))),"""")"),"")</f>
        <v/>
      </c>
      <c r="CA129" s="208" t="str">
        <f t="shared" si="9"/>
        <v/>
      </c>
      <c r="CB129" s="207">
        <f>IFERROR(__xludf.DUMMYFUNCTION("AVERAGE(ARRAYFORMULA(XLOOKUP(FILTER(INDIRECT(""'""&amp;CB$1&amp;""'!$C$4:$C$66""),INDIRECT(""'""&amp;CB$1&amp;""'!$D$4:$D$66"")=CB$2),$G$4:$BQ$4,$G129:$BQ129)))"),0.2727272727272727)</f>
        <v>0.2727272727</v>
      </c>
      <c r="CC129" s="207" t="str">
        <f>IFERROR(__xludf.DUMMYFUNCTION("IF(OR(CB129&gt;$BS129+$BT129*$BT$2,CB129&lt;$BS129-$BT129*$BT$2),AVEDEV(ARRAYFORMULA(XLOOKUP(FILTER(INDIRECT(""'""&amp;CB$1&amp;""'!$C$4:$C$66""),INDIRECT(""'""&amp;CB$1&amp;""'!$D$4:$D$66"")=CB$2),$G$4:$BQ$4,$G129:$BQ129))),"""")"),"")</f>
        <v/>
      </c>
      <c r="CD129" s="208" t="str">
        <f t="shared" si="10"/>
        <v/>
      </c>
      <c r="CE129" s="209" t="s">
        <v>444</v>
      </c>
      <c r="CF129" s="207">
        <f>IFERROR(__xludf.DUMMYFUNCTION("AVERAGE(ARRAYFORMULA(XLOOKUP(FILTER(INDIRECT(""'""&amp;CF$1&amp;""'!$C$4:$C$66""),INDIRECT(""'""&amp;CF$1&amp;""'!$D$4:$D$66"")=CF$2),$G$4:$BQ$4,$G129:$BQ129)))"),0.625)</f>
        <v>0.625</v>
      </c>
      <c r="CG129" s="207" t="str">
        <f>IFERROR(__xludf.DUMMYFUNCTION("IF(OR(CF129&gt;$BS129+$BT129*$BT$2,CF129&lt;$BS129-$BT129*$BT$2),AVEDEV(ARRAYFORMULA(XLOOKUP(FILTER(INDIRECT(""'""&amp;CF$1&amp;""'!$C$4:$C$66""),INDIRECT(""'""&amp;CF$1&amp;""'!$D$4:$D$66"")=CF$2),$G$4:$BQ$4,$G129:$BQ129))),"""")"),"")</f>
        <v/>
      </c>
      <c r="CH129" s="208" t="str">
        <f t="shared" si="11"/>
        <v/>
      </c>
      <c r="CI129" s="207">
        <f>IFERROR(__xludf.DUMMYFUNCTION("AVERAGE(ARRAYFORMULA(XLOOKUP(FILTER(INDIRECT(""'""&amp;CI$1&amp;""'!$C$4:$C$66""),INDIRECT(""'""&amp;CI$1&amp;""'!$D$4:$D$66"")=CI$2),$G$4:$BQ$4,$G129:$BQ129)))"),0.3548387096774194)</f>
        <v>0.3548387097</v>
      </c>
      <c r="CJ129" s="207" t="str">
        <f>IFERROR(__xludf.DUMMYFUNCTION("IF(OR(CI129&gt;$BS129+$BT129*$BT$2,CI129&lt;$BS129-$BT129*$BT$2),AVEDEV(ARRAYFORMULA(XLOOKUP(FILTER(INDIRECT(""'""&amp;CI$1&amp;""'!$C$4:$C$66""),INDIRECT(""'""&amp;CI$1&amp;""'!$D$4:$D$66"")=CI$2),$G$4:$BQ$4,$G129:$BQ129))),"""")"),"")</f>
        <v/>
      </c>
      <c r="CK129" s="208" t="str">
        <f t="shared" si="12"/>
        <v/>
      </c>
      <c r="CL129" s="207">
        <f>IFERROR(__xludf.DUMMYFUNCTION("AVERAGE(ARRAYFORMULA(XLOOKUP(FILTER(INDIRECT(""'""&amp;CL$1&amp;""'!$C$4:$C$66""),INDIRECT(""'""&amp;CL$1&amp;""'!$D$4:$D$66"")=CL$2),$G$4:$BQ$4,$G129:$BQ129)))"),0.0)</f>
        <v>0</v>
      </c>
      <c r="CM129" s="207" t="str">
        <f>IFERROR(__xludf.DUMMYFUNCTION("IF(OR(CL129&gt;$BS129+$BT129*$BT$2,CL129&lt;$BS129-$BT129*$BT$2),AVEDEV(ARRAYFORMULA(XLOOKUP(FILTER(INDIRECT(""'""&amp;CL$1&amp;""'!$C$4:$C$66""),INDIRECT(""'""&amp;CL$1&amp;""'!$D$4:$D$66"")=CL$2),$G$4:$BQ$4,$G129:$BQ129))),"""")"),"")</f>
        <v/>
      </c>
      <c r="CN129" s="208" t="str">
        <f t="shared" si="13"/>
        <v/>
      </c>
      <c r="CO129" s="209" t="s">
        <v>444</v>
      </c>
      <c r="CP129" s="210">
        <f>IFERROR(__xludf.DUMMYFUNCTION("AVERAGE(ARRAYFORMULA(XLOOKUP(FILTER(INDIRECT(""'""&amp;CP$1&amp;""'!$C$4:$C$66""),INDIRECT(""'""&amp;CP$1&amp;""'!$D$4:$D$66"")=CP$2),$G$4:$BQ$4,$G129:$BQ129)))"),0.5333333333333333)</f>
        <v>0.5333333333</v>
      </c>
      <c r="CQ129" s="207" t="str">
        <f>IFERROR(__xludf.DUMMYFUNCTION("IF(OR(CP129&gt;$BS129+$BT129*$BT$2,CP129&lt;$BS129-$BT129*$BT$2),AVEDEV(ARRAYFORMULA(XLOOKUP(FILTER(INDIRECT(""'""&amp;CP$1&amp;""'!$C$4:$C$66""),INDIRECT(""'""&amp;CP$1&amp;""'!$D$4:$D$66"")=CP$2),$G$4:$BQ$4,$G129:$BQ129))),"""")"),"")</f>
        <v/>
      </c>
      <c r="CR129" s="208" t="str">
        <f t="shared" si="14"/>
        <v/>
      </c>
      <c r="CS129" s="210">
        <f>IFERROR(__xludf.DUMMYFUNCTION("AVERAGE(ARRAYFORMULA(XLOOKUP(FILTER(INDIRECT(""'""&amp;CS$1&amp;""'!$C$4:$C$66""),INDIRECT(""'""&amp;CS$1&amp;""'!$D$4:$D$66"")=CS$2),$G$4:$BQ$4,$G129:$BQ129)))"),0.46153846153846156)</f>
        <v>0.4615384615</v>
      </c>
      <c r="CT129" s="207" t="str">
        <f>IFERROR(__xludf.DUMMYFUNCTION("IF(OR(CS129&gt;$BS129+$BT129*$BT$2,CS129&lt;$BS129-$BT129*$BT$2),AVEDEV(ARRAYFORMULA(XLOOKUP(FILTER(INDIRECT(""'""&amp;CS$1&amp;""'!$C$4:$C$66""),INDIRECT(""'""&amp;CS$1&amp;""'!$D$4:$D$66"")=CS$2),$G$4:$BQ$4,$G129:$BQ129))),"""")"),"")</f>
        <v/>
      </c>
      <c r="CU129" s="208" t="str">
        <f t="shared" si="15"/>
        <v/>
      </c>
      <c r="CV129" s="212">
        <f>IFERROR(__xludf.DUMMYFUNCTION("AVERAGE(ARRAYFORMULA(XLOOKUP(FILTER(INDIRECT(""'""&amp;CV$1&amp;""'!$C$4:$C$66""),INDIRECT(""'""&amp;CV$1&amp;""'!$D$4:$D$66"")=CV$2),$G$4:$BQ$4,$G129:$BQ129)))"),0.0)</f>
        <v>0</v>
      </c>
      <c r="CW129" s="207" t="str">
        <f>IFERROR(__xludf.DUMMYFUNCTION("IF(OR(CV129&gt;$BS129+$BT129*$BT$2,CV129&lt;$BS129-$BT129*$BT$2),AVEDEV(ARRAYFORMULA(XLOOKUP(FILTER(INDIRECT(""'""&amp;CV$1&amp;""'!$C$4:$C$66""),INDIRECT(""'""&amp;CV$1&amp;""'!$D$4:$D$66"")=CV$2),$G$4:$BQ$4,$G129:$BQ129))),"""")"),"")</f>
        <v/>
      </c>
      <c r="CX129" s="208" t="str">
        <f t="shared" si="16"/>
        <v/>
      </c>
      <c r="CY129" s="209" t="s">
        <v>444</v>
      </c>
      <c r="CZ129" s="210">
        <f>IFERROR(__xludf.DUMMYFUNCTION("AVERAGE(ARRAYFORMULA(XLOOKUP(FILTER(INDIRECT(""'""&amp;CZ$1&amp;""'!$C$4:$C$66""),INDIRECT(""'""&amp;CZ$1&amp;""'!$D$4:$D$66"")=CZ$2),$G$4:$BQ$4,$G129:$BQ129)))"),0.42857142857142855)</f>
        <v>0.4285714286</v>
      </c>
      <c r="DA129" s="207" t="str">
        <f>IFERROR(__xludf.DUMMYFUNCTION("IF(OR(CZ129&gt;$BS129+$BT129*$BT$2,CZ129&lt;$BS129-$BT129*$BT$2),AVEDEV(ARRAYFORMULA(XLOOKUP(FILTER(INDIRECT(""'""&amp;CZ$1&amp;""'!$C$4:$C$66""),INDIRECT(""'""&amp;CZ$1&amp;""'!$D$4:$D$66"")=CZ$2),$G$4:$BQ$4,$G129:$BQ129))),"""")"),"")</f>
        <v/>
      </c>
      <c r="DB129" s="208" t="str">
        <f t="shared" si="17"/>
        <v/>
      </c>
      <c r="DC129" s="210">
        <f>IFERROR(__xludf.DUMMYFUNCTION("AVERAGE(ARRAYFORMULA(XLOOKUP(FILTER(INDIRECT(""'""&amp;DC$1&amp;""'!$C$4:$C$66""),INDIRECT(""'""&amp;DC$1&amp;""'!$D$4:$D$66"")=DC$2),$G$4:$BQ$4,$G129:$BQ129)))"),0.2222222222222222)</f>
        <v>0.2222222222</v>
      </c>
      <c r="DD129" s="207" t="str">
        <f>IFERROR(__xludf.DUMMYFUNCTION("IF(OR(DC129&gt;$BS129+$BT129*$BT$2,DC129&lt;$BS129-$BT129*$BT$2),AVEDEV(ARRAYFORMULA(XLOOKUP(FILTER(INDIRECT(""'""&amp;DC$1&amp;""'!$C$4:$C$66""),INDIRECT(""'""&amp;DC$1&amp;""'!$D$4:$D$66"")=DC$2),$G$4:$BQ$4,$G129:$BQ129))),"""")"),"")</f>
        <v/>
      </c>
      <c r="DE129" s="208" t="str">
        <f t="shared" si="18"/>
        <v/>
      </c>
      <c r="DF129" s="210">
        <f>IFERROR(__xludf.DUMMYFUNCTION("AVERAGE(ARRAYFORMULA(XLOOKUP(FILTER(INDIRECT(""'""&amp;DF$1&amp;""'!$C$4:$C$66""),INDIRECT(""'""&amp;DF$1&amp;""'!$D$4:$D$66"")=DF$2),$G$4:$BQ$4,$G129:$BQ129)))"),0.45454545454545453)</f>
        <v>0.4545454545</v>
      </c>
      <c r="DG129" s="207" t="str">
        <f>IFERROR(__xludf.DUMMYFUNCTION("IF(OR(DF129&gt;$BS129+$BT129*$BT$2,DF129&lt;$BS129-$BT129*$BT$2),AVEDEV(ARRAYFORMULA(XLOOKUP(FILTER(INDIRECT(""'""&amp;DF$1&amp;""'!$C$4:$C$66""),INDIRECT(""'""&amp;DF$1&amp;""'!$D$4:$D$66"")=DF$2),$G$4:$BQ$4,$G129:$BQ129))),"""")"),"")</f>
        <v/>
      </c>
      <c r="DH129" s="208" t="str">
        <f t="shared" si="19"/>
        <v/>
      </c>
      <c r="DI129" s="210">
        <f>IFERROR(__xludf.DUMMYFUNCTION("AVERAGE(ARRAYFORMULA(XLOOKUP(FILTER(INDIRECT(""'""&amp;DI$1&amp;""'!$C$4:$C$66""),INDIRECT(""'""&amp;DI$1&amp;""'!$D$4:$D$66"")=DI$2),$G$4:$BQ$4,$G129:$BQ129)))"),0.5)</f>
        <v>0.5</v>
      </c>
      <c r="DJ129" s="207" t="str">
        <f>IFERROR(__xludf.DUMMYFUNCTION("IF(OR(DI129&gt;$BS129+$BT129*$BT$2,DI129&lt;$BS129-$BT129*$BT$2),AVEDEV(ARRAYFORMULA(XLOOKUP(FILTER(INDIRECT(""'""&amp;DI$1&amp;""'!$C$4:$C$66""),INDIRECT(""'""&amp;DI$1&amp;""'!$D$4:$D$66"")=DI$2),$G$4:$BQ$4,$G129:$BQ129))),"""")"),"")</f>
        <v/>
      </c>
      <c r="DK129" s="208" t="str">
        <f t="shared" si="20"/>
        <v/>
      </c>
      <c r="DL129" s="212">
        <f>IFERROR(__xludf.DUMMYFUNCTION("AVERAGE(ARRAYFORMULA(XLOOKUP(FILTER(INDIRECT(""'""&amp;DL$1&amp;""'!$C$4:$C$66""),INDIRECT(""'""&amp;DL$1&amp;""'!$D$4:$D$66"")=DL$2),$G$4:$BQ$4,$G129:$BQ129)))"),0.2857142857142857)</f>
        <v>0.2857142857</v>
      </c>
      <c r="DM129" s="207" t="str">
        <f>IFERROR(__xludf.DUMMYFUNCTION("IF(OR(DL129&gt;$BS129+$BT129*$BT$2,DL129&lt;$BS129-$BT129*$BT$2),AVEDEV(ARRAYFORMULA(XLOOKUP(FILTER(INDIRECT(""'""&amp;DL$1&amp;""'!$C$4:$C$66""),INDIRECT(""'""&amp;DL$1&amp;""'!$D$4:$D$66"")=DL$2),$G$4:$BQ$4,$G129:$BQ129))),"""")"),"")</f>
        <v/>
      </c>
      <c r="DN129" s="208" t="str">
        <f t="shared" si="21"/>
        <v/>
      </c>
      <c r="DO129" s="209" t="s">
        <v>444</v>
      </c>
      <c r="DP129" s="210">
        <f>IFERROR(__xludf.DUMMYFUNCTION("AVERAGE(ARRAYFORMULA(XLOOKUP(FILTER(INDIRECT(""'""&amp;DP$1&amp;""'!$C$4:$C$66""),INDIRECT(""'""&amp;DP$1&amp;""'!$D$4:$D$66"")=DP$2),$G$4:$BQ$4,$G129:$BQ129)))"),0.43333333333333335)</f>
        <v>0.4333333333</v>
      </c>
      <c r="DQ129" s="207" t="str">
        <f>IFERROR(__xludf.DUMMYFUNCTION("IF(OR(DP129&gt;$BS129+$BT129*$BT$2,DP129&lt;$BS129-$BT129*$BT$2),AVEDEV(ARRAYFORMULA(XLOOKUP(FILTER(INDIRECT(""'""&amp;DP$1&amp;""'!$C$4:$C$66""),INDIRECT(""'""&amp;DP$1&amp;""'!$D$4:$D$66"")=DP$2),$G$4:$BQ$4,$G129:$BQ129))),"""")"),"")</f>
        <v/>
      </c>
      <c r="DR129" s="208" t="str">
        <f t="shared" si="22"/>
        <v/>
      </c>
      <c r="DS129" s="210">
        <f>IFERROR(__xludf.DUMMYFUNCTION("AVERAGE(ARRAYFORMULA(XLOOKUP(FILTER(INDIRECT(""'""&amp;DS$1&amp;""'!$C$4:$C$66""),INDIRECT(""'""&amp;DS$1&amp;""'!$D$4:$D$66"")=DS$2),$G$4:$BQ$4,$G129:$BQ129)))"),0.1111111111111111)</f>
        <v>0.1111111111</v>
      </c>
      <c r="DT129" s="207" t="str">
        <f>IFERROR(__xludf.DUMMYFUNCTION("IF(OR(DS129&gt;$BS129+$BT129*$BT$2,DS129&lt;$BS129-$BT129*$BT$2),AVEDEV(ARRAYFORMULA(XLOOKUP(FILTER(INDIRECT(""'""&amp;DS$1&amp;""'!$C$4:$C$66""),INDIRECT(""'""&amp;DS$1&amp;""'!$D$4:$D$66"")=DS$2),$G$4:$BQ$4,$G129:$BQ129))),"""")"),"")</f>
        <v/>
      </c>
      <c r="DU129" s="208" t="str">
        <f t="shared" si="23"/>
        <v/>
      </c>
      <c r="DV129" s="210">
        <f>IFERROR(__xludf.DUMMYFUNCTION("AVERAGE(ARRAYFORMULA(XLOOKUP(FILTER(INDIRECT(""'""&amp;DV$1&amp;""'!$C$4:$C$66""),INDIRECT(""'""&amp;DV$1&amp;""'!$D$4:$D$66"")=DV$2),$G$4:$BQ$4,$G129:$BQ129)))"),0.75)</f>
        <v>0.75</v>
      </c>
      <c r="DW129" s="207" t="str">
        <f>IFERROR(__xludf.DUMMYFUNCTION("IF(OR(DV129&gt;$BS129+$BT129*$BT$2,DV129&lt;$BS129-$BT129*$BT$2),AVEDEV(ARRAYFORMULA(XLOOKUP(FILTER(INDIRECT(""'""&amp;DV$1&amp;""'!$C$4:$C$66""),INDIRECT(""'""&amp;DV$1&amp;""'!$D$4:$D$66"")=DV$2),$G$4:$BQ$4,$G129:$BQ129))),"""")"),"")</f>
        <v/>
      </c>
      <c r="DX129" s="208" t="str">
        <f t="shared" si="24"/>
        <v/>
      </c>
      <c r="DY129" s="210">
        <f>IFERROR(__xludf.DUMMYFUNCTION("AVERAGE(ARRAYFORMULA(XLOOKUP(FILTER(INDIRECT(""'""&amp;DY$1&amp;""'!$C$4:$C$66""),INDIRECT(""'""&amp;DY$1&amp;""'!$D$4:$D$66"")=DY$2),$G$4:$BQ$4,$G129:$BQ129)))"),0.2222222222222222)</f>
        <v>0.2222222222</v>
      </c>
      <c r="DZ129" s="207" t="str">
        <f>IFERROR(__xludf.DUMMYFUNCTION("IF(OR(DY129&gt;$BS129+$BT129*$BT$2,DY129&lt;$BS129-$BT129*$BT$2),AVEDEV(ARRAYFORMULA(XLOOKUP(FILTER(INDIRECT(""'""&amp;DY$1&amp;""'!$C$4:$C$66""),INDIRECT(""'""&amp;DY$1&amp;""'!$D$4:$D$66"")=DY$2),$G$4:$BQ$4,$G129:$BQ129))),"""")"),"")</f>
        <v/>
      </c>
      <c r="EA129" s="208" t="str">
        <f t="shared" si="25"/>
        <v/>
      </c>
      <c r="EB129" s="191"/>
    </row>
    <row r="130" outlineLevel="1">
      <c r="A130" s="2"/>
      <c r="B130" s="204">
        <v>126.0</v>
      </c>
      <c r="C130" s="204" t="s">
        <v>540</v>
      </c>
      <c r="D130" s="204" t="s">
        <v>572</v>
      </c>
      <c r="E130" s="205" t="b">
        <f>VLOOKUP(D130,'Feature Set List'!A126:C246,2,0)</f>
        <v>1</v>
      </c>
      <c r="F130" s="205" t="b">
        <f>VLOOKUP(D130,'Feature Set List'!A126:C246,3,0)</f>
        <v>1</v>
      </c>
      <c r="G130" s="205">
        <v>2.45297821</v>
      </c>
      <c r="H130" s="205">
        <v>-0.4989238</v>
      </c>
      <c r="I130" s="205">
        <v>-0.3363441</v>
      </c>
      <c r="J130" s="205">
        <v>0.34801151</v>
      </c>
      <c r="K130" s="205">
        <v>-0.7204039</v>
      </c>
      <c r="L130" s="205">
        <v>0.28122548</v>
      </c>
      <c r="M130" s="205">
        <v>0.01126511</v>
      </c>
      <c r="N130" s="205">
        <v>0.31984873</v>
      </c>
      <c r="O130" s="205">
        <v>0.22369295</v>
      </c>
      <c r="P130" s="205">
        <v>0.60871839</v>
      </c>
      <c r="Q130" s="205">
        <v>-0.64014</v>
      </c>
      <c r="R130" s="205">
        <v>0.0</v>
      </c>
      <c r="S130" s="205">
        <v>1.16151355</v>
      </c>
      <c r="T130" s="205">
        <v>0.40514172</v>
      </c>
      <c r="U130" s="205">
        <v>0.43048822</v>
      </c>
      <c r="V130" s="205">
        <v>-0.6783207</v>
      </c>
      <c r="W130" s="205">
        <v>0.48480216</v>
      </c>
      <c r="X130" s="205">
        <v>-0.3210557</v>
      </c>
      <c r="Y130" s="205">
        <v>1.65838547</v>
      </c>
      <c r="Z130" s="205">
        <v>-0.2715697</v>
      </c>
      <c r="AA130" s="205">
        <v>-0.4284766</v>
      </c>
      <c r="AB130" s="205">
        <v>0.91448573</v>
      </c>
      <c r="AC130" s="205">
        <v>1.17680192</v>
      </c>
      <c r="AD130" s="205">
        <v>-0.6992416</v>
      </c>
      <c r="AE130" s="205">
        <v>-0.4787673</v>
      </c>
      <c r="AF130" s="205">
        <v>-0.0535093</v>
      </c>
      <c r="AG130" s="205">
        <v>-0.0780511</v>
      </c>
      <c r="AH130" s="205">
        <v>1.21019493</v>
      </c>
      <c r="AI130" s="205">
        <v>0.03540464</v>
      </c>
      <c r="AJ130" s="205">
        <v>0.15569995</v>
      </c>
      <c r="AK130" s="205">
        <v>-0.8053348</v>
      </c>
      <c r="AL130" s="205">
        <v>-0.1351813</v>
      </c>
      <c r="AM130" s="205">
        <v>1.49906459</v>
      </c>
      <c r="AN130" s="205">
        <v>0.60590211</v>
      </c>
      <c r="AO130" s="205">
        <v>-0.0205186</v>
      </c>
      <c r="AP130" s="205">
        <v>-0.75432</v>
      </c>
      <c r="AQ130" s="205">
        <v>-0.2820301</v>
      </c>
      <c r="AR130" s="205">
        <v>-0.6612621</v>
      </c>
      <c r="AS130" s="205">
        <v>0.22892318</v>
      </c>
      <c r="AT130" s="205">
        <v>1.29226932</v>
      </c>
      <c r="AU130" s="205">
        <v>-0.6674579</v>
      </c>
      <c r="AV130" s="205">
        <v>2.1476132</v>
      </c>
      <c r="AW130" s="205">
        <v>-0.5563759</v>
      </c>
      <c r="AX130" s="205">
        <v>-0.7660276</v>
      </c>
      <c r="AY130" s="205">
        <v>2.30854338</v>
      </c>
      <c r="AZ130" s="205">
        <v>0.53750679</v>
      </c>
      <c r="BA130" s="205">
        <v>0.43571845</v>
      </c>
      <c r="BB130" s="205">
        <v>-0.2031743</v>
      </c>
      <c r="BC130" s="205">
        <v>0.22530225</v>
      </c>
      <c r="BD130" s="205">
        <v>-0.3797952</v>
      </c>
      <c r="BE130" s="205">
        <v>-0.5013377</v>
      </c>
      <c r="BF130" s="205">
        <v>-0.6102875</v>
      </c>
      <c r="BG130" s="205">
        <v>0.10420229</v>
      </c>
      <c r="BH130" s="205">
        <v>0.65699745</v>
      </c>
      <c r="BI130" s="205">
        <v>-0.7839311</v>
      </c>
      <c r="BJ130" s="205">
        <v>0.9615578</v>
      </c>
      <c r="BK130" s="205">
        <v>-0.2932952</v>
      </c>
      <c r="BL130" s="205">
        <v>-0.1605279</v>
      </c>
      <c r="BM130" s="205">
        <v>-0.8185713</v>
      </c>
      <c r="BN130" s="205">
        <v>-0.1106395</v>
      </c>
      <c r="BO130" s="205">
        <v>2.89513387</v>
      </c>
      <c r="BP130" s="205">
        <v>0.02454185</v>
      </c>
      <c r="BQ130" s="205">
        <v>-0.8475026</v>
      </c>
      <c r="BR130" s="206"/>
      <c r="BS130" s="207">
        <f t="shared" si="6"/>
        <v>0.178405727</v>
      </c>
      <c r="BT130" s="207">
        <f t="shared" si="7"/>
        <v>0.6613419828</v>
      </c>
      <c r="BU130" s="206"/>
      <c r="BV130" s="207">
        <f>IFERROR(__xludf.DUMMYFUNCTION("AVERAGE(ARRAYFORMULA(XLOOKUP(FILTER(INDIRECT(""'""&amp;BV$1&amp;""'!$C$4:$C$66""),INDIRECT(""'""&amp;BV$1&amp;""'!$D$4:$D$66"")=BV$2),$G$4:$BQ$4,$G130:$BQ130)))"),0.2189167714285714)</f>
        <v>0.2189167714</v>
      </c>
      <c r="BW130" s="207" t="str">
        <f>IFERROR(__xludf.DUMMYFUNCTION("IF(OR(BV130&gt;$BS130+$BT130*$BT$2,BV130&lt;$BS130-$BT130*$BT$2),AVEDEV(ARRAYFORMULA(XLOOKUP(FILTER(INDIRECT(""'""&amp;BV$1&amp;""'!$C$4:$C$66""),INDIRECT(""'""&amp;BV$1&amp;""'!$D$4:$D$66"")=BV$2),$G$4:$BQ$4,$G130:$BQ130))),"""")"),"")</f>
        <v/>
      </c>
      <c r="BX130" s="208" t="str">
        <f t="shared" si="8"/>
        <v/>
      </c>
      <c r="BY130" s="207">
        <f>IFERROR(__xludf.DUMMYFUNCTION("AVERAGE(ARRAYFORMULA(XLOOKUP(FILTER(INDIRECT(""'""&amp;BY$1&amp;""'!$C$4:$C$66""),INDIRECT(""'""&amp;BY$1&amp;""'!$D$4:$D$66"")=BY$2),$G$4:$BQ$4,$G130:$BQ130)))"),0.12112093857142855)</f>
        <v>0.1211209386</v>
      </c>
      <c r="BZ130" s="207" t="str">
        <f>IFERROR(__xludf.DUMMYFUNCTION("IF(OR(BY130&gt;$BS130+$BT130*$BT$2,BY130&lt;$BS130-$BT130*$BT$2),AVEDEV(ARRAYFORMULA(XLOOKUP(FILTER(INDIRECT(""'""&amp;BY$1&amp;""'!$C$4:$C$66""),INDIRECT(""'""&amp;BY$1&amp;""'!$D$4:$D$66"")=BY$2),$G$4:$BQ$4,$G130:$BQ130))),"""")"),"")</f>
        <v/>
      </c>
      <c r="CA130" s="208" t="str">
        <f t="shared" si="9"/>
        <v/>
      </c>
      <c r="CB130" s="207">
        <f>IFERROR(__xludf.DUMMYFUNCTION("AVERAGE(ARRAYFORMULA(XLOOKUP(FILTER(INDIRECT(""'""&amp;CB$1&amp;""'!$C$4:$C$66""),INDIRECT(""'""&amp;CB$1&amp;""'!$D$4:$D$66"")=CB$2),$G$4:$BQ$4,$G130:$BQ130)))"),0.54578738)</f>
        <v>0.54578738</v>
      </c>
      <c r="CC130" s="207" t="str">
        <f>IFERROR(__xludf.DUMMYFUNCTION("IF(OR(CB130&gt;$BS130+$BT130*$BT$2,CB130&lt;$BS130-$BT130*$BT$2),AVEDEV(ARRAYFORMULA(XLOOKUP(FILTER(INDIRECT(""'""&amp;CB$1&amp;""'!$C$4:$C$66""),INDIRECT(""'""&amp;CB$1&amp;""'!$D$4:$D$66"")=CB$2),$G$4:$BQ$4,$G130:$BQ130))),"""")"),"")</f>
        <v/>
      </c>
      <c r="CD130" s="208" t="str">
        <f t="shared" si="10"/>
        <v/>
      </c>
      <c r="CE130" s="209" t="s">
        <v>444</v>
      </c>
      <c r="CF130" s="207">
        <f>IFERROR(__xludf.DUMMYFUNCTION("AVERAGE(ARRAYFORMULA(XLOOKUP(FILTER(INDIRECT(""'""&amp;CF$1&amp;""'!$C$4:$C$66""),INDIRECT(""'""&amp;CF$1&amp;""'!$D$4:$D$66"")=CF$2),$G$4:$BQ$4,$G130:$BQ130)))"),-0.20249793625)</f>
        <v>-0.2024979363</v>
      </c>
      <c r="CG130" s="207" t="str">
        <f>IFERROR(__xludf.DUMMYFUNCTION("IF(OR(CF130&gt;$BS130+$BT130*$BT$2,CF130&lt;$BS130-$BT130*$BT$2),AVEDEV(ARRAYFORMULA(XLOOKUP(FILTER(INDIRECT(""'""&amp;CF$1&amp;""'!$C$4:$C$66""),INDIRECT(""'""&amp;CF$1&amp;""'!$D$4:$D$66"")=CF$2),$G$4:$BQ$4,$G130:$BQ130))),"""")"),"")</f>
        <v/>
      </c>
      <c r="CH130" s="208" t="str">
        <f t="shared" si="11"/>
        <v/>
      </c>
      <c r="CI130" s="207">
        <f>IFERROR(__xludf.DUMMYFUNCTION("AVERAGE(ARRAYFORMULA(XLOOKUP(FILTER(INDIRECT(""'""&amp;CI$1&amp;""'!$C$4:$C$66""),INDIRECT(""'""&amp;CI$1&amp;""'!$D$4:$D$66"")=CI$2),$G$4:$BQ$4,$G130:$BQ130)))"),0.3703313570967742)</f>
        <v>0.3703313571</v>
      </c>
      <c r="CJ130" s="207" t="str">
        <f>IFERROR(__xludf.DUMMYFUNCTION("IF(OR(CI130&gt;$BS130+$BT130*$BT$2,CI130&lt;$BS130-$BT130*$BT$2),AVEDEV(ARRAYFORMULA(XLOOKUP(FILTER(INDIRECT(""'""&amp;CI$1&amp;""'!$C$4:$C$66""),INDIRECT(""'""&amp;CI$1&amp;""'!$D$4:$D$66"")=CI$2),$G$4:$BQ$4,$G130:$BQ130))),"""")"),"")</f>
        <v/>
      </c>
      <c r="CK130" s="208" t="str">
        <f t="shared" si="12"/>
        <v/>
      </c>
      <c r="CL130" s="207">
        <f>IFERROR(__xludf.DUMMYFUNCTION("AVERAGE(ARRAYFORMULA(XLOOKUP(FILTER(INDIRECT(""'""&amp;CL$1&amp;""'!$C$4:$C$66""),INDIRECT(""'""&amp;CL$1&amp;""'!$D$4:$D$66"")=CL$2),$G$4:$BQ$4,$G130:$BQ130)))"),0.356540806)</f>
        <v>0.356540806</v>
      </c>
      <c r="CM130" s="207" t="str">
        <f>IFERROR(__xludf.DUMMYFUNCTION("IF(OR(CL130&gt;$BS130+$BT130*$BT$2,CL130&lt;$BS130-$BT130*$BT$2),AVEDEV(ARRAYFORMULA(XLOOKUP(FILTER(INDIRECT(""'""&amp;CL$1&amp;""'!$C$4:$C$66""),INDIRECT(""'""&amp;CL$1&amp;""'!$D$4:$D$66"")=CL$2),$G$4:$BQ$4,$G130:$BQ130))),"""")"),"")</f>
        <v/>
      </c>
      <c r="CN130" s="208" t="str">
        <f t="shared" si="13"/>
        <v/>
      </c>
      <c r="CO130" s="209" t="s">
        <v>444</v>
      </c>
      <c r="CP130" s="210">
        <f>IFERROR(__xludf.DUMMYFUNCTION("AVERAGE(ARRAYFORMULA(XLOOKUP(FILTER(INDIRECT(""'""&amp;CP$1&amp;""'!$C$4:$C$66""),INDIRECT(""'""&amp;CP$1&amp;""'!$D$4:$D$66"")=CP$2),$G$4:$BQ$4,$G130:$BQ130)))"),0.6399469000000001)</f>
        <v>0.6399469</v>
      </c>
      <c r="CQ130" s="207" t="str">
        <f>IFERROR(__xludf.DUMMYFUNCTION("IF(OR(CP130&gt;$BS130+$BT130*$BT$2,CP130&lt;$BS130-$BT130*$BT$2),AVEDEV(ARRAYFORMULA(XLOOKUP(FILTER(INDIRECT(""'""&amp;CP$1&amp;""'!$C$4:$C$66""),INDIRECT(""'""&amp;CP$1&amp;""'!$D$4:$D$66"")=CP$2),$G$4:$BQ$4,$G130:$BQ130))),"""")"),"")</f>
        <v/>
      </c>
      <c r="CR130" s="208" t="str">
        <f t="shared" si="14"/>
        <v/>
      </c>
      <c r="CS130" s="210">
        <f>IFERROR(__xludf.DUMMYFUNCTION("AVERAGE(ARRAYFORMULA(XLOOKUP(FILTER(INDIRECT(""'""&amp;CS$1&amp;""'!$C$4:$C$66""),INDIRECT(""'""&amp;CS$1&amp;""'!$D$4:$D$66"")=CS$2),$G$4:$BQ$4,$G130:$BQ130)))"),0.03594303512820512)</f>
        <v>0.03594303513</v>
      </c>
      <c r="CT130" s="207" t="str">
        <f>IFERROR(__xludf.DUMMYFUNCTION("IF(OR(CS130&gt;$BS130+$BT130*$BT$2,CS130&lt;$BS130-$BT130*$BT$2),AVEDEV(ARRAYFORMULA(XLOOKUP(FILTER(INDIRECT(""'""&amp;CS$1&amp;""'!$C$4:$C$66""),INDIRECT(""'""&amp;CS$1&amp;""'!$D$4:$D$66"")=CS$2),$G$4:$BQ$4,$G130:$BQ130))),"""")"),"")</f>
        <v/>
      </c>
      <c r="CU130" s="208" t="str">
        <f t="shared" si="15"/>
        <v/>
      </c>
      <c r="CV130" s="210">
        <f>IFERROR(__xludf.DUMMYFUNCTION("AVERAGE(ARRAYFORMULA(XLOOKUP(FILTER(INDIRECT(""'""&amp;CV$1&amp;""'!$C$4:$C$66""),INDIRECT(""'""&amp;CV$1&amp;""'!$D$4:$D$66"")=CV$2),$G$4:$BQ$4,$G130:$BQ130)))"),0.356540806)</f>
        <v>0.356540806</v>
      </c>
      <c r="CW130" s="207" t="str">
        <f>IFERROR(__xludf.DUMMYFUNCTION("IF(OR(CV130&gt;$BS130+$BT130*$BT$2,CV130&lt;$BS130-$BT130*$BT$2),AVEDEV(ARRAYFORMULA(XLOOKUP(FILTER(INDIRECT(""'""&amp;CV$1&amp;""'!$C$4:$C$66""),INDIRECT(""'""&amp;CV$1&amp;""'!$D$4:$D$66"")=CV$2),$G$4:$BQ$4,$G130:$BQ130))),"""")"),"")</f>
        <v/>
      </c>
      <c r="CX130" s="208" t="str">
        <f t="shared" si="16"/>
        <v/>
      </c>
      <c r="CY130" s="209" t="s">
        <v>444</v>
      </c>
      <c r="CZ130" s="210">
        <f>IFERROR(__xludf.DUMMYFUNCTION("AVERAGE(ARRAYFORMULA(XLOOKUP(FILTER(INDIRECT(""'""&amp;CZ$1&amp;""'!$C$4:$C$66""),INDIRECT(""'""&amp;CZ$1&amp;""'!$D$4:$D$66"")=CZ$2),$G$4:$BQ$4,$G130:$BQ130)))"),-0.3191159157142857)</f>
        <v>-0.3191159157</v>
      </c>
      <c r="DA130" s="207" t="str">
        <f>IFERROR(__xludf.DUMMYFUNCTION("IF(OR(CZ130&gt;$BS130+$BT130*$BT$2,CZ130&lt;$BS130-$BT130*$BT$2),AVEDEV(ARRAYFORMULA(XLOOKUP(FILTER(INDIRECT(""'""&amp;CZ$1&amp;""'!$C$4:$C$66""),INDIRECT(""'""&amp;CZ$1&amp;""'!$D$4:$D$66"")=CZ$2),$G$4:$BQ$4,$G130:$BQ130))),"""")"),"")</f>
        <v/>
      </c>
      <c r="DB130" s="208" t="str">
        <f t="shared" si="17"/>
        <v/>
      </c>
      <c r="DC130" s="210">
        <f>IFERROR(__xludf.DUMMYFUNCTION("AVERAGE(ARRAYFORMULA(XLOOKUP(FILTER(INDIRECT(""'""&amp;DC$1&amp;""'!$C$4:$C$66""),INDIRECT(""'""&amp;DC$1&amp;""'!$D$4:$D$66"")=DC$2),$G$4:$BQ$4,$G130:$BQ130)))"),0.6983028544444444)</f>
        <v>0.6983028544</v>
      </c>
      <c r="DD130" s="207" t="str">
        <f>IFERROR(__xludf.DUMMYFUNCTION("IF(OR(DC130&gt;$BS130+$BT130*$BT$2,DC130&lt;$BS130-$BT130*$BT$2),AVEDEV(ARRAYFORMULA(XLOOKUP(FILTER(INDIRECT(""'""&amp;DC$1&amp;""'!$C$4:$C$66""),INDIRECT(""'""&amp;DC$1&amp;""'!$D$4:$D$66"")=DC$2),$G$4:$BQ$4,$G130:$BQ130))),"""")"),"")</f>
        <v/>
      </c>
      <c r="DE130" s="208" t="str">
        <f t="shared" si="18"/>
        <v/>
      </c>
      <c r="DF130" s="210">
        <f>IFERROR(__xludf.DUMMYFUNCTION("AVERAGE(ARRAYFORMULA(XLOOKUP(FILTER(INDIRECT(""'""&amp;DF$1&amp;""'!$C$4:$C$66""),INDIRECT(""'""&amp;DF$1&amp;""'!$D$4:$D$66"")=DF$2),$G$4:$BQ$4,$G130:$BQ130)))"),1.1373008718181818)</f>
        <v>1.137300872</v>
      </c>
      <c r="DG130" s="207">
        <f>IFERROR(__xludf.DUMMYFUNCTION("IF(OR(DF130&gt;$BS130+$BT130*$BT$2,DF130&lt;$BS130-$BT130*$BT$2),AVEDEV(ARRAYFORMULA(XLOOKUP(FILTER(INDIRECT(""'""&amp;DF$1&amp;""'!$C$4:$C$66""),INDIRECT(""'""&amp;DF$1&amp;""'!$D$4:$D$66"")=DF$2),$G$4:$BQ$4,$G130:$BQ130))),"""")"),0.622088232231405)</f>
        <v>0.6220882322</v>
      </c>
      <c r="DH130" s="208">
        <f t="shared" si="19"/>
        <v>0.297553162</v>
      </c>
      <c r="DI130" s="210">
        <f>IFERROR(__xludf.DUMMYFUNCTION("AVERAGE(ARRAYFORMULA(XLOOKUP(FILTER(INDIRECT(""'""&amp;DI$1&amp;""'!$C$4:$C$66""),INDIRECT(""'""&amp;DI$1&amp;""'!$D$4:$D$66"")=DI$2),$G$4:$BQ$4,$G130:$BQ130)))"),-0.021122075000000018)</f>
        <v>-0.021122075</v>
      </c>
      <c r="DJ130" s="207" t="str">
        <f>IFERROR(__xludf.DUMMYFUNCTION("IF(OR(DI130&gt;$BS130+$BT130*$BT$2,DI130&lt;$BS130-$BT130*$BT$2),AVEDEV(ARRAYFORMULA(XLOOKUP(FILTER(INDIRECT(""'""&amp;DI$1&amp;""'!$C$4:$C$66""),INDIRECT(""'""&amp;DI$1&amp;""'!$D$4:$D$66"")=DI$2),$G$4:$BQ$4,$G130:$BQ130))),"""")"),"")</f>
        <v/>
      </c>
      <c r="DK130" s="208" t="str">
        <f t="shared" si="20"/>
        <v/>
      </c>
      <c r="DL130" s="210">
        <f>IFERROR(__xludf.DUMMYFUNCTION("AVERAGE(ARRAYFORMULA(XLOOKUP(FILTER(INDIRECT(""'""&amp;DL$1&amp;""'!$C$4:$C$66""),INDIRECT(""'""&amp;DL$1&amp;""'!$D$4:$D$66"")=DL$2),$G$4:$BQ$4,$G130:$BQ130)))"),-0.13459826357142854)</f>
        <v>-0.1345982636</v>
      </c>
      <c r="DM130" s="207" t="str">
        <f>IFERROR(__xludf.DUMMYFUNCTION("IF(OR(DL130&gt;$BS130+$BT130*$BT$2,DL130&lt;$BS130-$BT130*$BT$2),AVEDEV(ARRAYFORMULA(XLOOKUP(FILTER(INDIRECT(""'""&amp;DL$1&amp;""'!$C$4:$C$66""),INDIRECT(""'""&amp;DL$1&amp;""'!$D$4:$D$66"")=DL$2),$G$4:$BQ$4,$G130:$BQ130))),"""")"),"")</f>
        <v/>
      </c>
      <c r="DN130" s="208" t="str">
        <f t="shared" si="21"/>
        <v/>
      </c>
      <c r="DO130" s="209" t="s">
        <v>444</v>
      </c>
      <c r="DP130" s="210">
        <f>IFERROR(__xludf.DUMMYFUNCTION("AVERAGE(ARRAYFORMULA(XLOOKUP(FILTER(INDIRECT(""'""&amp;DP$1&amp;""'!$C$4:$C$66""),INDIRECT(""'""&amp;DP$1&amp;""'!$D$4:$D$66"")=DP$2),$G$4:$BQ$4,$G130:$BQ130)))"),-0.07100252066666668)</f>
        <v>-0.07100252067</v>
      </c>
      <c r="DQ130" s="207" t="str">
        <f>IFERROR(__xludf.DUMMYFUNCTION("IF(OR(DP130&gt;$BS130+$BT130*$BT$2,DP130&lt;$BS130-$BT130*$BT$2),AVEDEV(ARRAYFORMULA(XLOOKUP(FILTER(INDIRECT(""'""&amp;DP$1&amp;""'!$C$4:$C$66""),INDIRECT(""'""&amp;DP$1&amp;""'!$D$4:$D$66"")=DP$2),$G$4:$BQ$4,$G130:$BQ130))),"""")"),"")</f>
        <v/>
      </c>
      <c r="DR130" s="208" t="str">
        <f t="shared" si="22"/>
        <v/>
      </c>
      <c r="DS130" s="210">
        <f>IFERROR(__xludf.DUMMYFUNCTION("AVERAGE(ARRAYFORMULA(XLOOKUP(FILTER(INDIRECT(""'""&amp;DS$1&amp;""'!$C$4:$C$66""),INDIRECT(""'""&amp;DS$1&amp;""'!$D$4:$D$66"")=DS$2),$G$4:$BQ$4,$G130:$BQ130)))"),0.6676546022222222)</f>
        <v>0.6676546022</v>
      </c>
      <c r="DT130" s="207" t="str">
        <f>IFERROR(__xludf.DUMMYFUNCTION("IF(OR(DS130&gt;$BS130+$BT130*$BT$2,DS130&lt;$BS130-$BT130*$BT$2),AVEDEV(ARRAYFORMULA(XLOOKUP(FILTER(INDIRECT(""'""&amp;DS$1&amp;""'!$C$4:$C$66""),INDIRECT(""'""&amp;DS$1&amp;""'!$D$4:$D$66"")=DS$2),$G$4:$BQ$4,$G130:$BQ130))),"""")"),"")</f>
        <v/>
      </c>
      <c r="DU130" s="208" t="str">
        <f t="shared" si="23"/>
        <v/>
      </c>
      <c r="DV130" s="210">
        <f>IFERROR(__xludf.DUMMYFUNCTION("AVERAGE(ARRAYFORMULA(XLOOKUP(FILTER(INDIRECT(""'""&amp;DV$1&amp;""'!$C$4:$C$66""),INDIRECT(""'""&amp;DV$1&amp;""'!$D$4:$D$66"")=DV$2),$G$4:$BQ$4,$G130:$BQ130)))"),0.54862103)</f>
        <v>0.54862103</v>
      </c>
      <c r="DW130" s="207" t="str">
        <f>IFERROR(__xludf.DUMMYFUNCTION("IF(OR(DV130&gt;$BS130+$BT130*$BT$2,DV130&lt;$BS130-$BT130*$BT$2),AVEDEV(ARRAYFORMULA(XLOOKUP(FILTER(INDIRECT(""'""&amp;DV$1&amp;""'!$C$4:$C$66""),INDIRECT(""'""&amp;DV$1&amp;""'!$D$4:$D$66"")=DV$2),$G$4:$BQ$4,$G130:$BQ130))),"""")"),"")</f>
        <v/>
      </c>
      <c r="DX130" s="208" t="str">
        <f t="shared" si="24"/>
        <v/>
      </c>
      <c r="DY130" s="210">
        <f>IFERROR(__xludf.DUMMYFUNCTION("AVERAGE(ARRAYFORMULA(XLOOKUP(FILTER(INDIRECT(""'""&amp;DY$1&amp;""'!$C$4:$C$66""),INDIRECT(""'""&amp;DY$1&amp;""'!$D$4:$D$66"")=DY$2),$G$4:$BQ$4,$G130:$BQ130)))"),0.6131931399999999)</f>
        <v>0.61319314</v>
      </c>
      <c r="DZ130" s="207" t="str">
        <f>IFERROR(__xludf.DUMMYFUNCTION("IF(OR(DY130&gt;$BS130+$BT130*$BT$2,DY130&lt;$BS130-$BT130*$BT$2),AVEDEV(ARRAYFORMULA(XLOOKUP(FILTER(INDIRECT(""'""&amp;DY$1&amp;""'!$C$4:$C$66""),INDIRECT(""'""&amp;DY$1&amp;""'!$D$4:$D$66"")=DY$2),$G$4:$BQ$4,$G130:$BQ130))),"""")"),"")</f>
        <v/>
      </c>
      <c r="EA130" s="208" t="str">
        <f t="shared" si="25"/>
        <v/>
      </c>
      <c r="EB130" s="191"/>
    </row>
    <row r="131" outlineLevel="1">
      <c r="A131" s="2"/>
      <c r="B131" s="204">
        <v>127.0</v>
      </c>
      <c r="C131" s="204" t="s">
        <v>540</v>
      </c>
      <c r="D131" s="204" t="s">
        <v>573</v>
      </c>
      <c r="E131" s="205" t="b">
        <f>VLOOKUP(D131,'Feature Set List'!A127:C246,2,0)</f>
        <v>1</v>
      </c>
      <c r="F131" s="205" t="b">
        <f>VLOOKUP(D131,'Feature Set List'!A127:C246,3,0)</f>
        <v>0</v>
      </c>
      <c r="G131" s="205">
        <v>2.10643543</v>
      </c>
      <c r="H131" s="205">
        <v>-0.5466293</v>
      </c>
      <c r="I131" s="205">
        <v>0.71818414</v>
      </c>
      <c r="J131" s="205">
        <v>-0.7766726</v>
      </c>
      <c r="K131" s="205">
        <v>-0.0870526</v>
      </c>
      <c r="L131" s="205">
        <v>0.23004336</v>
      </c>
      <c r="M131" s="205">
        <v>0.22528267</v>
      </c>
      <c r="N131" s="205">
        <v>-0.4393437</v>
      </c>
      <c r="O131" s="205">
        <v>-0.682819</v>
      </c>
      <c r="P131" s="205">
        <v>0.84145201</v>
      </c>
      <c r="Q131" s="205">
        <v>0.0</v>
      </c>
      <c r="R131" s="205">
        <v>-0.0785514</v>
      </c>
      <c r="S131" s="205">
        <v>-0.6777183</v>
      </c>
      <c r="T131" s="205">
        <v>1.34812548</v>
      </c>
      <c r="U131" s="205">
        <v>-0.8128709</v>
      </c>
      <c r="V131" s="205">
        <v>-0.848049</v>
      </c>
      <c r="W131" s="205">
        <v>0.36028224</v>
      </c>
      <c r="X131" s="205">
        <v>-0.6957409</v>
      </c>
      <c r="Y131" s="205">
        <v>1.06248406</v>
      </c>
      <c r="Z131" s="205">
        <v>-0.6858795</v>
      </c>
      <c r="AA131" s="205">
        <v>-0.1849868</v>
      </c>
      <c r="AB131" s="205">
        <v>0.18124628</v>
      </c>
      <c r="AC131" s="205">
        <v>0.49936241</v>
      </c>
      <c r="AD131" s="205">
        <v>0.6627561</v>
      </c>
      <c r="AE131" s="205">
        <v>-0.4709683</v>
      </c>
      <c r="AF131" s="205">
        <v>0.30043356</v>
      </c>
      <c r="AG131" s="205">
        <v>0.08858284</v>
      </c>
      <c r="AH131" s="205">
        <v>0.48082972</v>
      </c>
      <c r="AI131" s="205">
        <v>1.02677888</v>
      </c>
      <c r="AJ131" s="205">
        <v>-0.1346595</v>
      </c>
      <c r="AK131" s="205">
        <v>-0.5700927</v>
      </c>
      <c r="AL131" s="205">
        <v>-0.179376</v>
      </c>
      <c r="AM131" s="205">
        <v>0.98257247</v>
      </c>
      <c r="AN131" s="205">
        <v>0.70611239</v>
      </c>
      <c r="AO131" s="205">
        <v>-0.1181671</v>
      </c>
      <c r="AP131" s="205">
        <v>-0.0402958</v>
      </c>
      <c r="AQ131" s="205">
        <v>-0.7441979</v>
      </c>
      <c r="AR131" s="205">
        <v>-0.7345065</v>
      </c>
      <c r="AS131" s="205">
        <v>0.63334183</v>
      </c>
      <c r="AT131" s="205">
        <v>-0.1453711</v>
      </c>
      <c r="AU131" s="205">
        <v>-0.2800306</v>
      </c>
      <c r="AV131" s="205">
        <v>-0.1162969</v>
      </c>
      <c r="AW131" s="205">
        <v>0.42727195</v>
      </c>
      <c r="AX131" s="205">
        <v>-0.7290657</v>
      </c>
      <c r="AY131" s="205">
        <v>-0.7812633</v>
      </c>
      <c r="AZ131" s="205">
        <v>0.10354501</v>
      </c>
      <c r="BA131" s="205">
        <v>0.74113746</v>
      </c>
      <c r="BB131" s="205">
        <v>-0.5954263</v>
      </c>
      <c r="BC131" s="205">
        <v>-0.2997535</v>
      </c>
      <c r="BD131" s="205">
        <v>0.65969566</v>
      </c>
      <c r="BE131" s="205">
        <v>-0.0576384</v>
      </c>
      <c r="BF131" s="205">
        <v>-0.2234124</v>
      </c>
      <c r="BG131" s="205">
        <v>1.34982572</v>
      </c>
      <c r="BH131" s="205">
        <v>0.51738502</v>
      </c>
      <c r="BI131" s="205">
        <v>-0.0385956</v>
      </c>
      <c r="BJ131" s="205">
        <v>0.37405424</v>
      </c>
      <c r="BK131" s="205">
        <v>0.60528777</v>
      </c>
      <c r="BL131" s="205">
        <v>-0.3220267</v>
      </c>
      <c r="BM131" s="205">
        <v>0.31709598</v>
      </c>
      <c r="BN131" s="205">
        <v>1.5351526</v>
      </c>
      <c r="BO131" s="205">
        <v>1.14579614</v>
      </c>
      <c r="BP131" s="205">
        <v>1.25801241</v>
      </c>
      <c r="BQ131" s="205">
        <v>0.16951458</v>
      </c>
      <c r="BR131" s="206"/>
      <c r="BS131" s="207">
        <f t="shared" si="6"/>
        <v>0.1358828906</v>
      </c>
      <c r="BT131" s="207">
        <f t="shared" si="7"/>
        <v>0.5563602772</v>
      </c>
      <c r="BU131" s="206"/>
      <c r="BV131" s="207">
        <f>IFERROR(__xludf.DUMMYFUNCTION("AVERAGE(ARRAYFORMULA(XLOOKUP(FILTER(INDIRECT(""'""&amp;BV$1&amp;""'!$C$4:$C$66""),INDIRECT(""'""&amp;BV$1&amp;""'!$D$4:$D$66"")=BV$2),$G$4:$BQ$4,$G131:$BQ131)))"),-0.48330480000000003)</f>
        <v>-0.4833048</v>
      </c>
      <c r="BW131" s="207">
        <f>IFERROR(__xludf.DUMMYFUNCTION("IF(OR(BV131&gt;$BS131+$BT131*$BT$2,BV131&lt;$BS131-$BT131*$BT$2),AVEDEV(ARRAYFORMULA(XLOOKUP(FILTER(INDIRECT(""'""&amp;BV$1&amp;""'!$C$4:$C$66""),INDIRECT(""'""&amp;BV$1&amp;""'!$D$4:$D$66"")=BV$2),$G$4:$BQ$4,$G131:$BQ131))),"""")"),0.2720234857142857)</f>
        <v>0.2720234857</v>
      </c>
      <c r="BX131" s="208">
        <f t="shared" si="8"/>
        <v>-0.06282741344</v>
      </c>
      <c r="BY131" s="207">
        <f>IFERROR(__xludf.DUMMYFUNCTION("AVERAGE(ARRAYFORMULA(XLOOKUP(FILTER(INDIRECT(""'""&amp;BY$1&amp;""'!$C$4:$C$66""),INDIRECT(""'""&amp;BY$1&amp;""'!$D$4:$D$66"")=BY$2),$G$4:$BQ$4,$G131:$BQ131)))"),0.07641879166666667)</f>
        <v>0.07641879167</v>
      </c>
      <c r="BZ131" s="207" t="str">
        <f>IFERROR(__xludf.DUMMYFUNCTION("IF(OR(BY131&gt;$BS131+$BT131*$BT$2,BY131&lt;$BS131-$BT131*$BT$2),AVEDEV(ARRAYFORMULA(XLOOKUP(FILTER(INDIRECT(""'""&amp;BY$1&amp;""'!$C$4:$C$66""),INDIRECT(""'""&amp;BY$1&amp;""'!$D$4:$D$66"")=BY$2),$G$4:$BQ$4,$G131:$BQ131))),"""")"),"")</f>
        <v/>
      </c>
      <c r="CA131" s="208" t="str">
        <f t="shared" si="9"/>
        <v/>
      </c>
      <c r="CB131" s="207">
        <f>IFERROR(__xludf.DUMMYFUNCTION("AVERAGE(ARRAYFORMULA(XLOOKUP(FILTER(INDIRECT(""'""&amp;CB$1&amp;""'!$C$4:$C$66""),INDIRECT(""'""&amp;CB$1&amp;""'!$D$4:$D$66"")=CB$2),$G$4:$BQ$4,$G131:$BQ131)))"),0.69421066)</f>
        <v>0.69421066</v>
      </c>
      <c r="CC131" s="207">
        <f>IFERROR(__xludf.DUMMYFUNCTION("IF(OR(CB131&gt;$BS131+$BT131*$BT$2,CB131&lt;$BS131-$BT131*$BT$2),AVEDEV(ARRAYFORMULA(XLOOKUP(FILTER(INDIRECT(""'""&amp;CB$1&amp;""'!$C$4:$C$66""),INDIRECT(""'""&amp;CB$1&amp;""'!$D$4:$D$66"")=CB$2),$G$4:$BQ$4,$G131:$BQ131))),"""")"),0.4779238436363636)</f>
        <v>0.4779238436</v>
      </c>
      <c r="CD131" s="208">
        <f t="shared" si="10"/>
        <v>0.001967492172</v>
      </c>
      <c r="CE131" s="209" t="s">
        <v>444</v>
      </c>
      <c r="CF131" s="207">
        <f>IFERROR(__xludf.DUMMYFUNCTION("AVERAGE(ARRAYFORMULA(XLOOKUP(FILTER(INDIRECT(""'""&amp;CF$1&amp;""'!$C$4:$C$66""),INDIRECT(""'""&amp;CF$1&amp;""'!$D$4:$D$66"")=CF$2),$G$4:$BQ$4,$G131:$BQ131)))"),-0.297359308125)</f>
        <v>-0.2973593081</v>
      </c>
      <c r="CG131" s="207" t="str">
        <f>IFERROR(__xludf.DUMMYFUNCTION("IF(OR(CF131&gt;$BS131+$BT131*$BT$2,CF131&lt;$BS131-$BT131*$BT$2),AVEDEV(ARRAYFORMULA(XLOOKUP(FILTER(INDIRECT(""'""&amp;CF$1&amp;""'!$C$4:$C$66""),INDIRECT(""'""&amp;CF$1&amp;""'!$D$4:$D$66"")=CF$2),$G$4:$BQ$4,$G131:$BQ131))),"""")"),"")</f>
        <v/>
      </c>
      <c r="CH131" s="208" t="str">
        <f t="shared" si="11"/>
        <v/>
      </c>
      <c r="CI131" s="207">
        <f>IFERROR(__xludf.DUMMYFUNCTION("AVERAGE(ARRAYFORMULA(XLOOKUP(FILTER(INDIRECT(""'""&amp;CI$1&amp;""'!$C$4:$C$66""),INDIRECT(""'""&amp;CI$1&amp;""'!$D$4:$D$66"")=CI$2),$G$4:$BQ$4,$G131:$BQ131)))"),0.20441350612903225)</f>
        <v>0.2044135061</v>
      </c>
      <c r="CJ131" s="207" t="str">
        <f>IFERROR(__xludf.DUMMYFUNCTION("IF(OR(CI131&gt;$BS131+$BT131*$BT$2,CI131&lt;$BS131-$BT131*$BT$2),AVEDEV(ARRAYFORMULA(XLOOKUP(FILTER(INDIRECT(""'""&amp;CI$1&amp;""'!$C$4:$C$66""),INDIRECT(""'""&amp;CI$1&amp;""'!$D$4:$D$66"")=CI$2),$G$4:$BQ$4,$G131:$BQ131))),"""")"),"")</f>
        <v/>
      </c>
      <c r="CK131" s="208" t="str">
        <f t="shared" si="12"/>
        <v/>
      </c>
      <c r="CL131" s="207">
        <f>IFERROR(__xludf.DUMMYFUNCTION("AVERAGE(ARRAYFORMULA(XLOOKUP(FILTER(INDIRECT(""'""&amp;CL$1&amp;""'!$C$4:$C$66""),INDIRECT(""'""&amp;CL$1&amp;""'!$D$4:$D$66"")=CL$2),$G$4:$BQ$4,$G131:$BQ131)))"),0.9827765000000002)</f>
        <v>0.9827765</v>
      </c>
      <c r="CM131" s="207">
        <f>IFERROR(__xludf.DUMMYFUNCTION("IF(OR(CL131&gt;$BS131+$BT131*$BT$2,CL131&lt;$BS131-$BT131*$BT$2),AVEDEV(ARRAYFORMULA(XLOOKUP(FILTER(INDIRECT(""'""&amp;CL$1&amp;""'!$C$4:$C$66""),INDIRECT(""'""&amp;CL$1&amp;""'!$D$4:$D$66"")=CL$2),$G$4:$BQ$4,$G131:$BQ131))),"""")"),0.29295928)</f>
        <v>0.29295928</v>
      </c>
      <c r="CN131" s="208">
        <f t="shared" si="13"/>
        <v>0.2905333322</v>
      </c>
      <c r="CO131" s="209" t="s">
        <v>444</v>
      </c>
      <c r="CP131" s="210">
        <f>IFERROR(__xludf.DUMMYFUNCTION("AVERAGE(ARRAYFORMULA(XLOOKUP(FILTER(INDIRECT(""'""&amp;CP$1&amp;""'!$C$4:$C$66""),INDIRECT(""'""&amp;CP$1&amp;""'!$D$4:$D$66"")=CP$2),$G$4:$BQ$4,$G131:$BQ131)))"),0.1593935746666667)</f>
        <v>0.1593935747</v>
      </c>
      <c r="CQ131" s="207" t="str">
        <f>IFERROR(__xludf.DUMMYFUNCTION("IF(OR(CP131&gt;$BS131+$BT131*$BT$2,CP131&lt;$BS131-$BT131*$BT$2),AVEDEV(ARRAYFORMULA(XLOOKUP(FILTER(INDIRECT(""'""&amp;CP$1&amp;""'!$C$4:$C$66""),INDIRECT(""'""&amp;CP$1&amp;""'!$D$4:$D$66"")=CP$2),$G$4:$BQ$4,$G131:$BQ131))),"""")"),"")</f>
        <v/>
      </c>
      <c r="CR131" s="208" t="str">
        <f t="shared" si="14"/>
        <v/>
      </c>
      <c r="CS131" s="210">
        <f>IFERROR(__xludf.DUMMYFUNCTION("AVERAGE(ARRAYFORMULA(XLOOKUP(FILTER(INDIRECT(""'""&amp;CS$1&amp;""'!$C$4:$C$66""),INDIRECT(""'""&amp;CS$1&amp;""'!$D$4:$D$66"")=CS$2),$G$4:$BQ$4,$G131:$BQ131)))"),0.012308038205128208)</f>
        <v>0.01230803821</v>
      </c>
      <c r="CT131" s="207" t="str">
        <f>IFERROR(__xludf.DUMMYFUNCTION("IF(OR(CS131&gt;$BS131+$BT131*$BT$2,CS131&lt;$BS131-$BT131*$BT$2),AVEDEV(ARRAYFORMULA(XLOOKUP(FILTER(INDIRECT(""'""&amp;CS$1&amp;""'!$C$4:$C$66""),INDIRECT(""'""&amp;CS$1&amp;""'!$D$4:$D$66"")=CS$2),$G$4:$BQ$4,$G131:$BQ131))),"""")"),"")</f>
        <v/>
      </c>
      <c r="CU131" s="208" t="str">
        <f t="shared" si="15"/>
        <v/>
      </c>
      <c r="CV131" s="210">
        <f>IFERROR(__xludf.DUMMYFUNCTION("AVERAGE(ARRAYFORMULA(XLOOKUP(FILTER(INDIRECT(""'""&amp;CV$1&amp;""'!$C$4:$C$66""),INDIRECT(""'""&amp;CV$1&amp;""'!$D$4:$D$66"")=CV$2),$G$4:$BQ$4,$G131:$BQ131)))"),0.9827765000000002)</f>
        <v>0.9827765</v>
      </c>
      <c r="CW131" s="207">
        <f>IFERROR(__xludf.DUMMYFUNCTION("IF(OR(CV131&gt;$BS131+$BT131*$BT$2,CV131&lt;$BS131-$BT131*$BT$2),AVEDEV(ARRAYFORMULA(XLOOKUP(FILTER(INDIRECT(""'""&amp;CV$1&amp;""'!$C$4:$C$66""),INDIRECT(""'""&amp;CV$1&amp;""'!$D$4:$D$66"")=CV$2),$G$4:$BQ$4,$G131:$BQ131))),"""")"),0.29295928)</f>
        <v>0.29295928</v>
      </c>
      <c r="CX131" s="208">
        <f t="shared" si="16"/>
        <v>0.2905333322</v>
      </c>
      <c r="CY131" s="209" t="s">
        <v>444</v>
      </c>
      <c r="CZ131" s="210">
        <f>IFERROR(__xludf.DUMMYFUNCTION("AVERAGE(ARRAYFORMULA(XLOOKUP(FILTER(INDIRECT(""'""&amp;CZ$1&amp;""'!$C$4:$C$66""),INDIRECT(""'""&amp;CZ$1&amp;""'!$D$4:$D$66"")=CZ$2),$G$4:$BQ$4,$G131:$BQ131)))"),-0.19222259000000003)</f>
        <v>-0.19222259</v>
      </c>
      <c r="DA131" s="207" t="str">
        <f>IFERROR(__xludf.DUMMYFUNCTION("IF(OR(CZ131&gt;$BS131+$BT131*$BT$2,CZ131&lt;$BS131-$BT131*$BT$2),AVEDEV(ARRAYFORMULA(XLOOKUP(FILTER(INDIRECT(""'""&amp;CZ$1&amp;""'!$C$4:$C$66""),INDIRECT(""'""&amp;CZ$1&amp;""'!$D$4:$D$66"")=CZ$2),$G$4:$BQ$4,$G131:$BQ131))),"""")"),"")</f>
        <v/>
      </c>
      <c r="DB131" s="208" t="str">
        <f t="shared" si="17"/>
        <v/>
      </c>
      <c r="DC131" s="210">
        <f>IFERROR(__xludf.DUMMYFUNCTION("AVERAGE(ARRAYFORMULA(XLOOKUP(FILTER(INDIRECT(""'""&amp;DC$1&amp;""'!$C$4:$C$66""),INDIRECT(""'""&amp;DC$1&amp;""'!$D$4:$D$66"")=DC$2),$G$4:$BQ$4,$G131:$BQ131)))"),0.8017418077777778)</f>
        <v>0.8017418078</v>
      </c>
      <c r="DD131" s="207">
        <f>IFERROR(__xludf.DUMMYFUNCTION("IF(OR(DC131&gt;$BS131+$BT131*$BT$2,DC131&lt;$BS131-$BT131*$BT$2),AVEDEV(ARRAYFORMULA(XLOOKUP(FILTER(INDIRECT(""'""&amp;DC$1&amp;""'!$C$4:$C$66""),INDIRECT(""'""&amp;DC$1&amp;""'!$D$4:$D$66"")=DC$2),$G$4:$BQ$4,$G131:$BQ131))),"""")"),0.4781177219753086)</f>
        <v>0.478117722</v>
      </c>
      <c r="DE131" s="208">
        <f t="shared" si="18"/>
        <v>0.1094986399</v>
      </c>
      <c r="DF131" s="210">
        <f>IFERROR(__xludf.DUMMYFUNCTION("AVERAGE(ARRAYFORMULA(XLOOKUP(FILTER(INDIRECT(""'""&amp;DF$1&amp;""'!$C$4:$C$66""),INDIRECT(""'""&amp;DF$1&amp;""'!$D$4:$D$66"")=DF$2),$G$4:$BQ$4,$G131:$BQ131)))"),0.32898224090909095)</f>
        <v>0.3289822409</v>
      </c>
      <c r="DG131" s="207" t="str">
        <f>IFERROR(__xludf.DUMMYFUNCTION("IF(OR(DF131&gt;$BS131+$BT131*$BT$2,DF131&lt;$BS131-$BT131*$BT$2),AVEDEV(ARRAYFORMULA(XLOOKUP(FILTER(INDIRECT(""'""&amp;DF$1&amp;""'!$C$4:$C$66""),INDIRECT(""'""&amp;DF$1&amp;""'!$D$4:$D$66"")=DF$2),$G$4:$BQ$4,$G131:$BQ131))),"""")"),"")</f>
        <v/>
      </c>
      <c r="DH131" s="208" t="str">
        <f t="shared" si="19"/>
        <v/>
      </c>
      <c r="DI131" s="210">
        <f>IFERROR(__xludf.DUMMYFUNCTION("AVERAGE(ARRAYFORMULA(XLOOKUP(FILTER(INDIRECT(""'""&amp;DI$1&amp;""'!$C$4:$C$66""),INDIRECT(""'""&amp;DI$1&amp;""'!$D$4:$D$66"")=DI$2),$G$4:$BQ$4,$G131:$BQ131)))"),0.59007056)</f>
        <v>0.59007056</v>
      </c>
      <c r="DJ131" s="207" t="str">
        <f>IFERROR(__xludf.DUMMYFUNCTION("IF(OR(DI131&gt;$BS131+$BT131*$BT$2,DI131&lt;$BS131-$BT131*$BT$2),AVEDEV(ARRAYFORMULA(XLOOKUP(FILTER(INDIRECT(""'""&amp;DI$1&amp;""'!$C$4:$C$66""),INDIRECT(""'""&amp;DI$1&amp;""'!$D$4:$D$66"")=DI$2),$G$4:$BQ$4,$G131:$BQ131))),"""")"),"")</f>
        <v/>
      </c>
      <c r="DK131" s="208" t="str">
        <f t="shared" si="20"/>
        <v/>
      </c>
      <c r="DL131" s="210">
        <f>IFERROR(__xludf.DUMMYFUNCTION("AVERAGE(ARRAYFORMULA(XLOOKUP(FILTER(INDIRECT(""'""&amp;DL$1&amp;""'!$C$4:$C$66""),INDIRECT(""'""&amp;DL$1&amp;""'!$D$4:$D$66"")=DL$2),$G$4:$BQ$4,$G131:$BQ131)))"),0.04707253714285716)</f>
        <v>0.04707253714</v>
      </c>
      <c r="DM131" s="207" t="str">
        <f>IFERROR(__xludf.DUMMYFUNCTION("IF(OR(DL131&gt;$BS131+$BT131*$BT$2,DL131&lt;$BS131-$BT131*$BT$2),AVEDEV(ARRAYFORMULA(XLOOKUP(FILTER(INDIRECT(""'""&amp;DL$1&amp;""'!$C$4:$C$66""),INDIRECT(""'""&amp;DL$1&amp;""'!$D$4:$D$66"")=DL$2),$G$4:$BQ$4,$G131:$BQ131))),"""")"),"")</f>
        <v/>
      </c>
      <c r="DN131" s="208" t="str">
        <f t="shared" si="21"/>
        <v/>
      </c>
      <c r="DO131" s="209" t="s">
        <v>444</v>
      </c>
      <c r="DP131" s="210">
        <f>IFERROR(__xludf.DUMMYFUNCTION("AVERAGE(ARRAYFORMULA(XLOOKUP(FILTER(INDIRECT(""'""&amp;DP$1&amp;""'!$C$4:$C$66""),INDIRECT(""'""&amp;DP$1&amp;""'!$D$4:$D$66"")=DP$2),$G$4:$BQ$4,$G131:$BQ131)))"),-0.02460710533333333)</f>
        <v>-0.02460710533</v>
      </c>
      <c r="DQ131" s="207" t="str">
        <f>IFERROR(__xludf.DUMMYFUNCTION("IF(OR(DP131&gt;$BS131+$BT131*$BT$2,DP131&lt;$BS131-$BT131*$BT$2),AVEDEV(ARRAYFORMULA(XLOOKUP(FILTER(INDIRECT(""'""&amp;DP$1&amp;""'!$C$4:$C$66""),INDIRECT(""'""&amp;DP$1&amp;""'!$D$4:$D$66"")=DP$2),$G$4:$BQ$4,$G131:$BQ131))),"""")"),"")</f>
        <v/>
      </c>
      <c r="DR131" s="208" t="str">
        <f t="shared" si="22"/>
        <v/>
      </c>
      <c r="DS131" s="210">
        <f>IFERROR(__xludf.DUMMYFUNCTION("AVERAGE(ARRAYFORMULA(XLOOKUP(FILTER(INDIRECT(""'""&amp;DS$1&amp;""'!$C$4:$C$66""),INDIRECT(""'""&amp;DS$1&amp;""'!$D$4:$D$66"")=DS$2),$G$4:$BQ$4,$G131:$BQ131)))"),0.6726175255555555)</f>
        <v>0.6726175256</v>
      </c>
      <c r="DT131" s="207" t="str">
        <f>IFERROR(__xludf.DUMMYFUNCTION("IF(OR(DS131&gt;$BS131+$BT131*$BT$2,DS131&lt;$BS131-$BT131*$BT$2),AVEDEV(ARRAYFORMULA(XLOOKUP(FILTER(INDIRECT(""'""&amp;DS$1&amp;""'!$C$4:$C$66""),INDIRECT(""'""&amp;DS$1&amp;""'!$D$4:$D$66"")=DS$2),$G$4:$BQ$4,$G131:$BQ131))),"""")"),"")</f>
        <v/>
      </c>
      <c r="DU131" s="208" t="str">
        <f t="shared" si="23"/>
        <v/>
      </c>
      <c r="DV131" s="210">
        <f>IFERROR(__xludf.DUMMYFUNCTION("AVERAGE(ARRAYFORMULA(XLOOKUP(FILTER(INDIRECT(""'""&amp;DV$1&amp;""'!$C$4:$C$66""),INDIRECT(""'""&amp;DV$1&amp;""'!$D$4:$D$66"")=DV$2),$G$4:$BQ$4,$G131:$BQ131)))"),-0.40616552375)</f>
        <v>-0.4061655238</v>
      </c>
      <c r="DW131" s="207" t="str">
        <f>IFERROR(__xludf.DUMMYFUNCTION("IF(OR(DV131&gt;$BS131+$BT131*$BT$2,DV131&lt;$BS131-$BT131*$BT$2),AVEDEV(ARRAYFORMULA(XLOOKUP(FILTER(INDIRECT(""'""&amp;DV$1&amp;""'!$C$4:$C$66""),INDIRECT(""'""&amp;DV$1&amp;""'!$D$4:$D$66"")=DV$2),$G$4:$BQ$4,$G131:$BQ131))),"""")"),"")</f>
        <v/>
      </c>
      <c r="DX131" s="208" t="str">
        <f t="shared" si="24"/>
        <v/>
      </c>
      <c r="DY131" s="210">
        <f>IFERROR(__xludf.DUMMYFUNCTION("AVERAGE(ARRAYFORMULA(XLOOKUP(FILTER(INDIRECT(""'""&amp;DY$1&amp;""'!$C$4:$C$66""),INDIRECT(""'""&amp;DY$1&amp;""'!$D$4:$D$66"")=DY$2),$G$4:$BQ$4,$G131:$BQ131)))"),0.80746597)</f>
        <v>0.80746597</v>
      </c>
      <c r="DZ131" s="207">
        <f>IFERROR(__xludf.DUMMYFUNCTION("IF(OR(DY131&gt;$BS131+$BT131*$BT$2,DY131&lt;$BS131-$BT131*$BT$2),AVEDEV(ARRAYFORMULA(XLOOKUP(FILTER(INDIRECT(""'""&amp;DY$1&amp;""'!$C$4:$C$66""),INDIRECT(""'""&amp;DY$1&amp;""'!$D$4:$D$66"")=DY$2),$G$4:$BQ$4,$G131:$BQ131))),"""")"),0.33247586444444444)</f>
        <v>0.3324758644</v>
      </c>
      <c r="EA131" s="208">
        <f t="shared" si="25"/>
        <v>0.1152228022</v>
      </c>
      <c r="EB131" s="191"/>
    </row>
    <row r="132" outlineLevel="1">
      <c r="A132" s="2"/>
      <c r="B132" s="204">
        <v>128.0</v>
      </c>
      <c r="C132" s="204" t="s">
        <v>540</v>
      </c>
      <c r="D132" s="204" t="s">
        <v>574</v>
      </c>
      <c r="E132" s="205" t="b">
        <f>VLOOKUP(D132,'Feature Set List'!A128:C246,2,0)</f>
        <v>1</v>
      </c>
      <c r="F132" s="205" t="b">
        <f>VLOOKUP(D132,'Feature Set List'!A128:C246,3,0)</f>
        <v>0</v>
      </c>
      <c r="G132" s="205">
        <v>1.10710368</v>
      </c>
      <c r="H132" s="205">
        <v>-0.5714482</v>
      </c>
      <c r="I132" s="205">
        <v>0.28565551</v>
      </c>
      <c r="J132" s="205">
        <v>-0.5714482</v>
      </c>
      <c r="K132" s="205">
        <v>-0.5714482</v>
      </c>
      <c r="L132" s="205">
        <v>0.28565551</v>
      </c>
      <c r="M132" s="205">
        <v>0.42855184</v>
      </c>
      <c r="N132" s="205">
        <v>-0.5714482</v>
      </c>
      <c r="O132" s="205">
        <v>-0.5714482</v>
      </c>
      <c r="P132" s="205">
        <v>0.57131103</v>
      </c>
      <c r="Q132" s="205">
        <v>0.28565551</v>
      </c>
      <c r="R132" s="205">
        <v>-0.2857926</v>
      </c>
      <c r="S132" s="205">
        <v>-0.5714482</v>
      </c>
      <c r="T132" s="205">
        <v>0.57131103</v>
      </c>
      <c r="U132" s="205">
        <v>-0.5714482</v>
      </c>
      <c r="V132" s="205">
        <v>-0.5714482</v>
      </c>
      <c r="W132" s="205">
        <v>0.42855184</v>
      </c>
      <c r="X132" s="205">
        <v>-0.5714482</v>
      </c>
      <c r="Y132" s="205">
        <v>0.85751509</v>
      </c>
      <c r="Z132" s="205">
        <v>-0.5714482</v>
      </c>
      <c r="AA132" s="205">
        <v>-0.5714482</v>
      </c>
      <c r="AB132" s="205">
        <v>0.14275919</v>
      </c>
      <c r="AC132" s="205">
        <v>0.68568294</v>
      </c>
      <c r="AD132" s="205">
        <v>0.35710368</v>
      </c>
      <c r="AE132" s="205">
        <v>-0.5714482</v>
      </c>
      <c r="AF132" s="205">
        <v>0.42855184</v>
      </c>
      <c r="AG132" s="205">
        <v>0.35710368</v>
      </c>
      <c r="AH132" s="205">
        <v>0.57131103</v>
      </c>
      <c r="AI132" s="205">
        <v>0.71420735</v>
      </c>
      <c r="AJ132" s="205">
        <v>-0.2857926</v>
      </c>
      <c r="AK132" s="205">
        <v>-0.5714482</v>
      </c>
      <c r="AL132" s="205">
        <v>-0.4857378</v>
      </c>
      <c r="AM132" s="205">
        <v>0.68568294</v>
      </c>
      <c r="AN132" s="205">
        <v>0.85751509</v>
      </c>
      <c r="AO132" s="205">
        <v>0.0</v>
      </c>
      <c r="AP132" s="205">
        <v>-0.5714482</v>
      </c>
      <c r="AQ132" s="205">
        <v>-0.5714482</v>
      </c>
      <c r="AR132" s="205">
        <v>-0.5714482</v>
      </c>
      <c r="AS132" s="205">
        <v>0.42855184</v>
      </c>
      <c r="AT132" s="205">
        <v>-0.5714482</v>
      </c>
      <c r="AU132" s="205">
        <v>-0.4571722</v>
      </c>
      <c r="AV132" s="205">
        <v>-0.5714482</v>
      </c>
      <c r="AW132" s="205">
        <v>-0.0714482</v>
      </c>
      <c r="AX132" s="205">
        <v>-0.5714482</v>
      </c>
      <c r="AY132" s="205">
        <v>-0.4285518</v>
      </c>
      <c r="AZ132" s="205">
        <v>0.28565551</v>
      </c>
      <c r="BA132" s="205">
        <v>0.28565551</v>
      </c>
      <c r="BB132" s="205">
        <v>-0.5714482</v>
      </c>
      <c r="BC132" s="205">
        <v>-0.5714482</v>
      </c>
      <c r="BD132" s="205">
        <v>0.49986286</v>
      </c>
      <c r="BE132" s="205">
        <v>0.0</v>
      </c>
      <c r="BF132" s="205">
        <v>0.21420735</v>
      </c>
      <c r="BG132" s="205">
        <v>0.14275919</v>
      </c>
      <c r="BH132" s="205">
        <v>0.35710368</v>
      </c>
      <c r="BI132" s="205">
        <v>-0.4285518</v>
      </c>
      <c r="BJ132" s="205">
        <v>-0.2143445</v>
      </c>
      <c r="BK132" s="205">
        <v>0.42855184</v>
      </c>
      <c r="BL132" s="205">
        <v>-0.1428963</v>
      </c>
      <c r="BM132" s="205">
        <v>0.0</v>
      </c>
      <c r="BN132" s="205">
        <v>0.57131103</v>
      </c>
      <c r="BO132" s="205">
        <v>0.92882611</v>
      </c>
      <c r="BP132" s="205">
        <v>0.71420735</v>
      </c>
      <c r="BQ132" s="205">
        <v>0.05704882</v>
      </c>
      <c r="BR132" s="206"/>
      <c r="BS132" s="207">
        <f t="shared" si="6"/>
        <v>-0.004217938571</v>
      </c>
      <c r="BT132" s="207">
        <f t="shared" si="7"/>
        <v>0.4658464077</v>
      </c>
      <c r="BU132" s="206"/>
      <c r="BV132" s="207">
        <f>IFERROR(__xludf.DUMMYFUNCTION("AVERAGE(ARRAYFORMULA(XLOOKUP(FILTER(INDIRECT(""'""&amp;BV$1&amp;""'!$C$4:$C$66""),INDIRECT(""'""&amp;BV$1&amp;""'!$D$4:$D$66"")=BV$2),$G$4:$BQ$4,$G132:$BQ132)))"),-0.32654181428571427)</f>
        <v>-0.3265418143</v>
      </c>
      <c r="BW132" s="207" t="str">
        <f>IFERROR(__xludf.DUMMYFUNCTION("IF(OR(BV132&gt;$BS132+$BT132*$BT$2,BV132&lt;$BS132-$BT132*$BT$2),AVEDEV(ARRAYFORMULA(XLOOKUP(FILTER(INDIRECT(""'""&amp;BV$1&amp;""'!$C$4:$C$66""),INDIRECT(""'""&amp;BV$1&amp;""'!$D$4:$D$66"")=BV$2),$G$4:$BQ$4,$G132:$BQ132))),"""")"),"")</f>
        <v/>
      </c>
      <c r="BX132" s="208" t="str">
        <f t="shared" si="8"/>
        <v/>
      </c>
      <c r="BY132" s="207">
        <f>IFERROR(__xludf.DUMMYFUNCTION("AVERAGE(ARRAYFORMULA(XLOOKUP(FILTER(INDIRECT(""'""&amp;BY$1&amp;""'!$C$4:$C$66""),INDIRECT(""'""&amp;BY$1&amp;""'!$D$4:$D$66"")=BY$2),$G$4:$BQ$4,$G132:$BQ132)))"),-0.08471777333333333)</f>
        <v>-0.08471777333</v>
      </c>
      <c r="BZ132" s="207" t="str">
        <f>IFERROR(__xludf.DUMMYFUNCTION("IF(OR(BY132&gt;$BS132+$BT132*$BT$2,BY132&lt;$BS132-$BT132*$BT$2),AVEDEV(ARRAYFORMULA(XLOOKUP(FILTER(INDIRECT(""'""&amp;BY$1&amp;""'!$C$4:$C$66""),INDIRECT(""'""&amp;BY$1&amp;""'!$D$4:$D$66"")=BY$2),$G$4:$BQ$4,$G132:$BQ132))),"""")"),"")</f>
        <v/>
      </c>
      <c r="CA132" s="208" t="str">
        <f t="shared" si="9"/>
        <v/>
      </c>
      <c r="CB132" s="207">
        <f>IFERROR(__xludf.DUMMYFUNCTION("AVERAGE(ARRAYFORMULA(XLOOKUP(FILTER(INDIRECT(""'""&amp;CB$1&amp;""'!$C$4:$C$66""),INDIRECT(""'""&amp;CB$1&amp;""'!$D$4:$D$66"")=CB$2),$G$4:$BQ$4,$G132:$BQ132)))"),0.4772602618181818)</f>
        <v>0.4772602618</v>
      </c>
      <c r="CC132" s="207">
        <f>IFERROR(__xludf.DUMMYFUNCTION("IF(OR(CB132&gt;$BS132+$BT132*$BT$2,CB132&lt;$BS132-$BT132*$BT$2),AVEDEV(ARRAYFORMULA(XLOOKUP(FILTER(INDIRECT(""'""&amp;CB$1&amp;""'!$C$4:$C$66""),INDIRECT(""'""&amp;CB$1&amp;""'!$D$4:$D$66"")=CB$2),$G$4:$BQ$4,$G132:$BQ132))),"""")"),0.2178545059504132)</f>
        <v>0.217854506</v>
      </c>
      <c r="CD132" s="208">
        <f t="shared" si="10"/>
        <v>0.01563179268</v>
      </c>
      <c r="CE132" s="209" t="s">
        <v>444</v>
      </c>
      <c r="CF132" s="207">
        <f>IFERROR(__xludf.DUMMYFUNCTION("AVERAGE(ARRAYFORMULA(XLOOKUP(FILTER(INDIRECT(""'""&amp;CF$1&amp;""'!$C$4:$C$66""),INDIRECT(""'""&amp;CF$1&amp;""'!$D$4:$D$66"")=CF$2),$G$4:$BQ$4,$G132:$BQ132)))"),-0.35270676374999993)</f>
        <v>-0.3527067638</v>
      </c>
      <c r="CG132" s="207" t="str">
        <f>IFERROR(__xludf.DUMMYFUNCTION("IF(OR(CF132&gt;$BS132+$BT132*$BT$2,CF132&lt;$BS132-$BT132*$BT$2),AVEDEV(ARRAYFORMULA(XLOOKUP(FILTER(INDIRECT(""'""&amp;CF$1&amp;""'!$C$4:$C$66""),INDIRECT(""'""&amp;CF$1&amp;""'!$D$4:$D$66"")=CF$2),$G$4:$BQ$4,$G132:$BQ132))),"""")"),"")</f>
        <v/>
      </c>
      <c r="CH132" s="208" t="str">
        <f t="shared" si="11"/>
        <v/>
      </c>
      <c r="CI132" s="207">
        <f>IFERROR(__xludf.DUMMYFUNCTION("AVERAGE(ARRAYFORMULA(XLOOKUP(FILTER(INDIRECT(""'""&amp;CI$1&amp;""'!$C$4:$C$66""),INDIRECT(""'""&amp;CI$1&amp;""'!$D$4:$D$66"")=CI$2),$G$4:$BQ$4,$G132:$BQ132)))"),0.09261143322580648)</f>
        <v>0.09261143323</v>
      </c>
      <c r="CJ132" s="207" t="str">
        <f>IFERROR(__xludf.DUMMYFUNCTION("IF(OR(CI132&gt;$BS132+$BT132*$BT$2,CI132&lt;$BS132-$BT132*$BT$2),AVEDEV(ARRAYFORMULA(XLOOKUP(FILTER(INDIRECT(""'""&amp;CI$1&amp;""'!$C$4:$C$66""),INDIRECT(""'""&amp;CI$1&amp;""'!$D$4:$D$66"")=CI$2),$G$4:$BQ$4,$G132:$BQ132))),"""")"),"")</f>
        <v/>
      </c>
      <c r="CK132" s="208" t="str">
        <f t="shared" si="12"/>
        <v/>
      </c>
      <c r="CL132" s="207">
        <f>IFERROR(__xludf.DUMMYFUNCTION("AVERAGE(ARRAYFORMULA(XLOOKUP(FILTER(INDIRECT(""'""&amp;CL$1&amp;""'!$C$4:$C$66""),INDIRECT(""'""&amp;CL$1&amp;""'!$D$4:$D$66"")=CL$2),$G$4:$BQ$4,$G132:$BQ132)))"),0.39991772000000003)</f>
        <v>0.39991772</v>
      </c>
      <c r="CM132" s="207" t="str">
        <f>IFERROR(__xludf.DUMMYFUNCTION("IF(OR(CL132&gt;$BS132+$BT132*$BT$2,CL132&lt;$BS132-$BT132*$BT$2),AVEDEV(ARRAYFORMULA(XLOOKUP(FILTER(INDIRECT(""'""&amp;CL$1&amp;""'!$C$4:$C$66""),INDIRECT(""'""&amp;CL$1&amp;""'!$D$4:$D$66"")=CL$2),$G$4:$BQ$4,$G132:$BQ132))),"""")"),"")</f>
        <v/>
      </c>
      <c r="CN132" s="208" t="str">
        <f t="shared" si="13"/>
        <v/>
      </c>
      <c r="CO132" s="209" t="s">
        <v>444</v>
      </c>
      <c r="CP132" s="210">
        <f>IFERROR(__xludf.DUMMYFUNCTION("AVERAGE(ARRAYFORMULA(XLOOKUP(FILTER(INDIRECT(""'""&amp;CP$1&amp;""'!$C$4:$C$66""),INDIRECT(""'""&amp;CP$1&amp;""'!$D$4:$D$66"")=CP$2),$G$4:$BQ$4,$G132:$BQ132)))"),0.019537376000000037)</f>
        <v>0.019537376</v>
      </c>
      <c r="CQ132" s="207" t="str">
        <f>IFERROR(__xludf.DUMMYFUNCTION("IF(OR(CP132&gt;$BS132+$BT132*$BT$2,CP132&lt;$BS132-$BT132*$BT$2),AVEDEV(ARRAYFORMULA(XLOOKUP(FILTER(INDIRECT(""'""&amp;CP$1&amp;""'!$C$4:$C$66""),INDIRECT(""'""&amp;CP$1&amp;""'!$D$4:$D$66"")=CP$2),$G$4:$BQ$4,$G132:$BQ132))),"""")"),"")</f>
        <v/>
      </c>
      <c r="CR132" s="208" t="str">
        <f t="shared" si="14"/>
        <v/>
      </c>
      <c r="CS132" s="210">
        <f>IFERROR(__xludf.DUMMYFUNCTION("AVERAGE(ARRAYFORMULA(XLOOKUP(FILTER(INDIRECT(""'""&amp;CS$1&amp;""'!$C$4:$C$66""),INDIRECT(""'""&amp;CS$1&amp;""'!$D$4:$D$66"")=CS$2),$G$4:$BQ$4,$G132:$BQ132)))"),-0.0703545958974359)</f>
        <v>-0.0703545959</v>
      </c>
      <c r="CT132" s="207" t="str">
        <f>IFERROR(__xludf.DUMMYFUNCTION("IF(OR(CS132&gt;$BS132+$BT132*$BT$2,CS132&lt;$BS132-$BT132*$BT$2),AVEDEV(ARRAYFORMULA(XLOOKUP(FILTER(INDIRECT(""'""&amp;CS$1&amp;""'!$C$4:$C$66""),INDIRECT(""'""&amp;CS$1&amp;""'!$D$4:$D$66"")=CS$2),$G$4:$BQ$4,$G132:$BQ132))),"""")"),"")</f>
        <v/>
      </c>
      <c r="CU132" s="208" t="str">
        <f t="shared" si="15"/>
        <v/>
      </c>
      <c r="CV132" s="210">
        <f>IFERROR(__xludf.DUMMYFUNCTION("AVERAGE(ARRAYFORMULA(XLOOKUP(FILTER(INDIRECT(""'""&amp;CV$1&amp;""'!$C$4:$C$66""),INDIRECT(""'""&amp;CV$1&amp;""'!$D$4:$D$66"")=CV$2),$G$4:$BQ$4,$G132:$BQ132)))"),0.39991772000000003)</f>
        <v>0.39991772</v>
      </c>
      <c r="CW132" s="207" t="str">
        <f>IFERROR(__xludf.DUMMYFUNCTION("IF(OR(CV132&gt;$BS132+$BT132*$BT$2,CV132&lt;$BS132-$BT132*$BT$2),AVEDEV(ARRAYFORMULA(XLOOKUP(FILTER(INDIRECT(""'""&amp;CV$1&amp;""'!$C$4:$C$66""),INDIRECT(""'""&amp;CV$1&amp;""'!$D$4:$D$66"")=CV$2),$G$4:$BQ$4,$G132:$BQ132))),"""")"),"")</f>
        <v/>
      </c>
      <c r="CX132" s="208" t="str">
        <f t="shared" si="16"/>
        <v/>
      </c>
      <c r="CY132" s="209" t="s">
        <v>444</v>
      </c>
      <c r="CZ132" s="210">
        <f>IFERROR(__xludf.DUMMYFUNCTION("AVERAGE(ARRAYFORMULA(XLOOKUP(FILTER(INDIRECT(""'""&amp;CZ$1&amp;""'!$C$4:$C$66""),INDIRECT(""'""&amp;CZ$1&amp;""'!$D$4:$D$66"")=CZ$2),$G$4:$BQ$4,$G132:$BQ132)))"),-0.24390724142857137)</f>
        <v>-0.2439072414</v>
      </c>
      <c r="DA132" s="207" t="str">
        <f>IFERROR(__xludf.DUMMYFUNCTION("IF(OR(CZ132&gt;$BS132+$BT132*$BT$2,CZ132&lt;$BS132-$BT132*$BT$2),AVEDEV(ARRAYFORMULA(XLOOKUP(FILTER(INDIRECT(""'""&amp;CZ$1&amp;""'!$C$4:$C$66""),INDIRECT(""'""&amp;CZ$1&amp;""'!$D$4:$D$66"")=CZ$2),$G$4:$BQ$4,$G132:$BQ132))),"""")"),"")</f>
        <v/>
      </c>
      <c r="DB132" s="208" t="str">
        <f t="shared" si="17"/>
        <v/>
      </c>
      <c r="DC132" s="210">
        <f>IFERROR(__xludf.DUMMYFUNCTION("AVERAGE(ARRAYFORMULA(XLOOKUP(FILTER(INDIRECT(""'""&amp;DC$1&amp;""'!$C$4:$C$66""),INDIRECT(""'""&amp;DC$1&amp;""'!$D$4:$D$66"")=DC$2),$G$4:$BQ$4,$G132:$BQ132)))"),0.5515785966666666)</f>
        <v>0.5515785967</v>
      </c>
      <c r="DD132" s="207">
        <f>IFERROR(__xludf.DUMMYFUNCTION("IF(OR(DC132&gt;$BS132+$BT132*$BT$2,DC132&lt;$BS132-$BT132*$BT$2),AVEDEV(ARRAYFORMULA(XLOOKUP(FILTER(INDIRECT(""'""&amp;DC$1&amp;""'!$C$4:$C$66""),INDIRECT(""'""&amp;DC$1&amp;""'!$D$4:$D$66"")=DC$2),$G$4:$BQ$4,$G132:$BQ132))),"""")"),0.20020587629629627)</f>
        <v>0.2002058763</v>
      </c>
      <c r="DE132" s="208">
        <f t="shared" si="18"/>
        <v>0.08995012753</v>
      </c>
      <c r="DF132" s="210">
        <f>IFERROR(__xludf.DUMMYFUNCTION("AVERAGE(ARRAYFORMULA(XLOOKUP(FILTER(INDIRECT(""'""&amp;DF$1&amp;""'!$C$4:$C$66""),INDIRECT(""'""&amp;DF$1&amp;""'!$D$4:$D$66"")=DF$2),$G$4:$BQ$4,$G132:$BQ132)))"),0.10517128272727277)</f>
        <v>0.1051712827</v>
      </c>
      <c r="DG132" s="207" t="str">
        <f>IFERROR(__xludf.DUMMYFUNCTION("IF(OR(DF132&gt;$BS132+$BT132*$BT$2,DF132&lt;$BS132-$BT132*$BT$2),AVEDEV(ARRAYFORMULA(XLOOKUP(FILTER(INDIRECT(""'""&amp;DF$1&amp;""'!$C$4:$C$66""),INDIRECT(""'""&amp;DF$1&amp;""'!$D$4:$D$66"")=DF$2),$G$4:$BQ$4,$G132:$BQ132))),"""")"),"")</f>
        <v/>
      </c>
      <c r="DH132" s="208" t="str">
        <f t="shared" si="19"/>
        <v/>
      </c>
      <c r="DI132" s="210">
        <f>IFERROR(__xludf.DUMMYFUNCTION("AVERAGE(ARRAYFORMULA(XLOOKUP(FILTER(INDIRECT(""'""&amp;DI$1&amp;""'!$C$4:$C$66""),INDIRECT(""'""&amp;DI$1&amp;""'!$D$4:$D$66"")=DI$2),$G$4:$BQ$4,$G132:$BQ132)))"),0.35710368)</f>
        <v>0.35710368</v>
      </c>
      <c r="DJ132" s="207" t="str">
        <f>IFERROR(__xludf.DUMMYFUNCTION("IF(OR(DI132&gt;$BS132+$BT132*$BT$2,DI132&lt;$BS132-$BT132*$BT$2),AVEDEV(ARRAYFORMULA(XLOOKUP(FILTER(INDIRECT(""'""&amp;DI$1&amp;""'!$C$4:$C$66""),INDIRECT(""'""&amp;DI$1&amp;""'!$D$4:$D$66"")=DI$2),$G$4:$BQ$4,$G132:$BQ132))),"""")"),"")</f>
        <v/>
      </c>
      <c r="DK132" s="208" t="str">
        <f t="shared" si="20"/>
        <v/>
      </c>
      <c r="DL132" s="210">
        <f>IFERROR(__xludf.DUMMYFUNCTION("AVERAGE(ARRAYFORMULA(XLOOKUP(FILTER(INDIRECT(""'""&amp;DL$1&amp;""'!$C$4:$C$66""),INDIRECT(""'""&amp;DL$1&amp;""'!$D$4:$D$66"")=DL$2),$G$4:$BQ$4,$G132:$BQ132)))"),-0.11328462142857142)</f>
        <v>-0.1132846214</v>
      </c>
      <c r="DM132" s="207" t="str">
        <f>IFERROR(__xludf.DUMMYFUNCTION("IF(OR(DL132&gt;$BS132+$BT132*$BT$2,DL132&lt;$BS132-$BT132*$BT$2),AVEDEV(ARRAYFORMULA(XLOOKUP(FILTER(INDIRECT(""'""&amp;DL$1&amp;""'!$C$4:$C$66""),INDIRECT(""'""&amp;DL$1&amp;""'!$D$4:$D$66"")=DL$2),$G$4:$BQ$4,$G132:$BQ132))),"""")"),"")</f>
        <v/>
      </c>
      <c r="DN132" s="208" t="str">
        <f t="shared" si="21"/>
        <v/>
      </c>
      <c r="DO132" s="209" t="s">
        <v>444</v>
      </c>
      <c r="DP132" s="210">
        <f>IFERROR(__xludf.DUMMYFUNCTION("AVERAGE(ARRAYFORMULA(XLOOKUP(FILTER(INDIRECT(""'""&amp;DP$1&amp;""'!$C$4:$C$66""),INDIRECT(""'""&amp;DP$1&amp;""'!$D$4:$D$66"")=DP$2),$G$4:$BQ$4,$G132:$BQ132)))"),-0.13192998533333333)</f>
        <v>-0.1319299853</v>
      </c>
      <c r="DQ132" s="207" t="str">
        <f>IFERROR(__xludf.DUMMYFUNCTION("IF(OR(DP132&gt;$BS132+$BT132*$BT$2,DP132&lt;$BS132-$BT132*$BT$2),AVEDEV(ARRAYFORMULA(XLOOKUP(FILTER(INDIRECT(""'""&amp;DP$1&amp;""'!$C$4:$C$66""),INDIRECT(""'""&amp;DP$1&amp;""'!$D$4:$D$66"")=DP$2),$G$4:$BQ$4,$G132:$BQ132))),"""")"),"")</f>
        <v/>
      </c>
      <c r="DR132" s="208" t="str">
        <f t="shared" si="22"/>
        <v/>
      </c>
      <c r="DS132" s="210">
        <f>IFERROR(__xludf.DUMMYFUNCTION("AVERAGE(ARRAYFORMULA(XLOOKUP(FILTER(INDIRECT(""'""&amp;DS$1&amp;""'!$C$4:$C$66""),INDIRECT(""'""&amp;DS$1&amp;""'!$D$4:$D$66"")=DS$2),$G$4:$BQ$4,$G132:$BQ132)))"),0.34518802666666665)</f>
        <v>0.3451880267</v>
      </c>
      <c r="DT132" s="207" t="str">
        <f>IFERROR(__xludf.DUMMYFUNCTION("IF(OR(DS132&gt;$BS132+$BT132*$BT$2,DS132&lt;$BS132-$BT132*$BT$2),AVEDEV(ARRAYFORMULA(XLOOKUP(FILTER(INDIRECT(""'""&amp;DS$1&amp;""'!$C$4:$C$66""),INDIRECT(""'""&amp;DS$1&amp;""'!$D$4:$D$66"")=DS$2),$G$4:$BQ$4,$G132:$BQ132))),"""")"),"")</f>
        <v/>
      </c>
      <c r="DU132" s="208" t="str">
        <f t="shared" si="23"/>
        <v/>
      </c>
      <c r="DV132" s="210">
        <f>IFERROR(__xludf.DUMMYFUNCTION("AVERAGE(ARRAYFORMULA(XLOOKUP(FILTER(INDIRECT(""'""&amp;DV$1&amp;""'!$C$4:$C$66""),INDIRECT(""'""&amp;DV$1&amp;""'!$D$4:$D$66"")=DV$2),$G$4:$BQ$4,$G132:$BQ132)))"),-0.37503428625)</f>
        <v>-0.3750342863</v>
      </c>
      <c r="DW132" s="207" t="str">
        <f>IFERROR(__xludf.DUMMYFUNCTION("IF(OR(DV132&gt;$BS132+$BT132*$BT$2,DV132&lt;$BS132-$BT132*$BT$2),AVEDEV(ARRAYFORMULA(XLOOKUP(FILTER(INDIRECT(""'""&amp;DV$1&amp;""'!$C$4:$C$66""),INDIRECT(""'""&amp;DV$1&amp;""'!$D$4:$D$66"")=DV$2),$G$4:$BQ$4,$G132:$BQ132))),"""")"),"")</f>
        <v/>
      </c>
      <c r="DX132" s="208" t="str">
        <f t="shared" si="24"/>
        <v/>
      </c>
      <c r="DY132" s="210">
        <f>IFERROR(__xludf.DUMMYFUNCTION("AVERAGE(ARRAYFORMULA(XLOOKUP(FILTER(INDIRECT(""'""&amp;DY$1&amp;""'!$C$4:$C$66""),INDIRECT(""'""&amp;DY$1&amp;""'!$D$4:$D$66"")=DY$2),$G$4:$BQ$4,$G132:$BQ132)))"),0.5047997788888889)</f>
        <v>0.5047997789</v>
      </c>
      <c r="DZ132" s="207">
        <f>IFERROR(__xludf.DUMMYFUNCTION("IF(OR(DY132&gt;$BS132+$BT132*$BT$2,DY132&lt;$BS132-$BT132*$BT$2),AVEDEV(ARRAYFORMULA(XLOOKUP(FILTER(INDIRECT(""'""&amp;DY$1&amp;""'!$C$4:$C$66""),INDIRECT(""'""&amp;DY$1&amp;""'!$D$4:$D$66"")=DY$2),$G$4:$BQ$4,$G132:$BQ132))),"""")"),0.2275857898765432)</f>
        <v>0.2275857899</v>
      </c>
      <c r="EA132" s="208">
        <f t="shared" si="25"/>
        <v>0.04317130975</v>
      </c>
      <c r="EB132" s="191"/>
    </row>
    <row r="133" outlineLevel="1">
      <c r="A133" s="2"/>
      <c r="B133" s="204">
        <v>129.0</v>
      </c>
      <c r="C133" s="204" t="s">
        <v>540</v>
      </c>
      <c r="D133" s="204" t="s">
        <v>575</v>
      </c>
      <c r="E133" s="205" t="b">
        <f>VLOOKUP(D133,'Feature Set List'!A129:C246,2,0)</f>
        <v>1</v>
      </c>
      <c r="F133" s="205" t="b">
        <f>VLOOKUP(D133,'Feature Set List'!A129:C246,3,0)</f>
        <v>0</v>
      </c>
      <c r="G133" s="205">
        <v>11.6908605</v>
      </c>
      <c r="H133" s="205">
        <v>-0.2866966</v>
      </c>
      <c r="I133" s="205">
        <v>0.69477605</v>
      </c>
      <c r="J133" s="205">
        <v>-0.348534</v>
      </c>
      <c r="K133" s="205">
        <v>0.01623532</v>
      </c>
      <c r="L133" s="205">
        <v>-0.4702512</v>
      </c>
      <c r="M133" s="205">
        <v>-0.5498997</v>
      </c>
      <c r="N133" s="205">
        <v>0.05586859</v>
      </c>
      <c r="O133" s="205">
        <v>-0.4823322</v>
      </c>
      <c r="P133" s="205">
        <v>8.82102951</v>
      </c>
      <c r="Q133" s="205">
        <v>-0.4207812</v>
      </c>
      <c r="R133" s="205">
        <v>-0.4552574</v>
      </c>
      <c r="S133" s="205">
        <v>0.62314965</v>
      </c>
      <c r="T133" s="205">
        <v>12.6315538</v>
      </c>
      <c r="U133" s="205">
        <v>-0.5679018</v>
      </c>
      <c r="V133" s="205">
        <v>-0.5451724</v>
      </c>
      <c r="W133" s="205">
        <v>-0.4023971</v>
      </c>
      <c r="X133" s="205">
        <v>0.22013179</v>
      </c>
      <c r="Y133" s="205">
        <v>2.52220418</v>
      </c>
      <c r="Z133" s="205">
        <v>0.15662305</v>
      </c>
      <c r="AA133" s="205">
        <v>0.15041543</v>
      </c>
      <c r="AB133" s="205">
        <v>-0.0974119</v>
      </c>
      <c r="AC133" s="205">
        <v>-0.3491548</v>
      </c>
      <c r="AD133" s="205">
        <v>0.35526693</v>
      </c>
      <c r="AE133" s="205">
        <v>0.01766784</v>
      </c>
      <c r="AF133" s="205">
        <v>-0.4569287</v>
      </c>
      <c r="AG133" s="205">
        <v>-0.4309044</v>
      </c>
      <c r="AH133" s="205">
        <v>-0.12845</v>
      </c>
      <c r="AI133" s="205">
        <v>0.0</v>
      </c>
      <c r="AJ133" s="205">
        <v>1.08490116</v>
      </c>
      <c r="AK133" s="205">
        <v>-0.2573775</v>
      </c>
      <c r="AL133" s="205">
        <v>-0.2124916</v>
      </c>
      <c r="AM133" s="205">
        <v>0.5949766</v>
      </c>
      <c r="AN133" s="205">
        <v>-0.382676</v>
      </c>
      <c r="AO133" s="205">
        <v>-0.5192914</v>
      </c>
      <c r="AP133" s="205">
        <v>0.18384108</v>
      </c>
      <c r="AQ133" s="205">
        <v>0.23923217</v>
      </c>
      <c r="AR133" s="205">
        <v>-0.3991978</v>
      </c>
      <c r="AS133" s="205">
        <v>5.58351638</v>
      </c>
      <c r="AT133" s="205">
        <v>-0.369449</v>
      </c>
      <c r="AU133" s="205">
        <v>0.25833254</v>
      </c>
      <c r="AV133" s="205">
        <v>1.10543406</v>
      </c>
      <c r="AW133" s="205">
        <v>1.14315729</v>
      </c>
      <c r="AX133" s="205">
        <v>-0.4058829</v>
      </c>
      <c r="AY133" s="205">
        <v>-0.5232547</v>
      </c>
      <c r="AZ133" s="205">
        <v>-0.2077166</v>
      </c>
      <c r="BA133" s="205">
        <v>8.60137523</v>
      </c>
      <c r="BB133" s="205">
        <v>-0.449193</v>
      </c>
      <c r="BC133" s="205">
        <v>-0.1093496</v>
      </c>
      <c r="BD133" s="205">
        <v>1.28115748</v>
      </c>
      <c r="BE133" s="205">
        <v>0.53528794</v>
      </c>
      <c r="BF133" s="205">
        <v>-0.5317544</v>
      </c>
      <c r="BG133" s="205">
        <v>14.3649126</v>
      </c>
      <c r="BH133" s="205">
        <v>0.0974119</v>
      </c>
      <c r="BI133" s="205">
        <v>-0.2172667</v>
      </c>
      <c r="BJ133" s="205">
        <v>0.26358514</v>
      </c>
      <c r="BK133" s="205">
        <v>-0.2158342</v>
      </c>
      <c r="BL133" s="205">
        <v>-0.2938592</v>
      </c>
      <c r="BM133" s="205">
        <v>-0.0062076</v>
      </c>
      <c r="BN133" s="205">
        <v>3.65581129</v>
      </c>
      <c r="BO133" s="205">
        <v>1.98166364</v>
      </c>
      <c r="BP133" s="205">
        <v>0.0563461</v>
      </c>
      <c r="BQ133" s="205">
        <v>1.29405023</v>
      </c>
      <c r="BR133" s="206"/>
      <c r="BS133" s="207">
        <f t="shared" si="6"/>
        <v>1.098220633</v>
      </c>
      <c r="BT133" s="207">
        <f t="shared" si="7"/>
        <v>1.917455808</v>
      </c>
      <c r="BU133" s="206"/>
      <c r="BV133" s="207">
        <f>IFERROR(__xludf.DUMMYFUNCTION("AVERAGE(ARRAYFORMULA(XLOOKUP(FILTER(INDIRECT(""'""&amp;BV$1&amp;""'!$C$4:$C$66""),INDIRECT(""'""&amp;BV$1&amp;""'!$D$4:$D$66"")=BV$2),$G$4:$BQ$4,$G133:$BQ133)))"),-0.2282971957142857)</f>
        <v>-0.2282971957</v>
      </c>
      <c r="BW133" s="207" t="str">
        <f>IFERROR(__xludf.DUMMYFUNCTION("IF(OR(BV133&gt;$BS133+$BT133*$BT$2,BV133&lt;$BS133-$BT133*$BT$2),AVEDEV(ARRAYFORMULA(XLOOKUP(FILTER(INDIRECT(""'""&amp;BV$1&amp;""'!$C$4:$C$66""),INDIRECT(""'""&amp;BV$1&amp;""'!$D$4:$D$66"")=BV$2),$G$4:$BQ$4,$G133:$BQ133))),"""")"),"")</f>
        <v/>
      </c>
      <c r="BX133" s="208" t="str">
        <f t="shared" si="8"/>
        <v/>
      </c>
      <c r="BY133" s="207">
        <f>IFERROR(__xludf.DUMMYFUNCTION("AVERAGE(ARRAYFORMULA(XLOOKUP(FILTER(INDIRECT(""'""&amp;BY$1&amp;""'!$C$4:$C$66""),INDIRECT(""'""&amp;BY$1&amp;""'!$D$4:$D$66"")=BY$2),$G$4:$BQ$4,$G133:$BQ133)))"),0.6280498059523809)</f>
        <v>0.628049806</v>
      </c>
      <c r="BZ133" s="207" t="str">
        <f>IFERROR(__xludf.DUMMYFUNCTION("IF(OR(BY133&gt;$BS133+$BT133*$BT$2,BY133&lt;$BS133-$BT133*$BT$2),AVEDEV(ARRAYFORMULA(XLOOKUP(FILTER(INDIRECT(""'""&amp;BY$1&amp;""'!$C$4:$C$66""),INDIRECT(""'""&amp;BY$1&amp;""'!$D$4:$D$66"")=BY$2),$G$4:$BQ$4,$G133:$BQ133))),"""")"),"")</f>
        <v/>
      </c>
      <c r="CA133" s="208" t="str">
        <f t="shared" si="9"/>
        <v/>
      </c>
      <c r="CB133" s="207">
        <f>IFERROR(__xludf.DUMMYFUNCTION("AVERAGE(ARRAYFORMULA(XLOOKUP(FILTER(INDIRECT(""'""&amp;CB$1&amp;""'!$C$4:$C$66""),INDIRECT(""'""&amp;CB$1&amp;""'!$D$4:$D$66"")=CB$2),$G$4:$BQ$4,$G133:$BQ133)))"),3.8339656654545453)</f>
        <v>3.833965665</v>
      </c>
      <c r="CC133" s="207">
        <f>IFERROR(__xludf.DUMMYFUNCTION("IF(OR(CB133&gt;$BS133+$BT133*$BT$2,CB133&lt;$BS133-$BT133*$BT$2),AVEDEV(ARRAYFORMULA(XLOOKUP(FILTER(INDIRECT(""'""&amp;CB$1&amp;""'!$C$4:$C$66""),INDIRECT(""'""&amp;CB$1&amp;""'!$D$4:$D$66"")=CB$2),$G$4:$BQ$4,$G133:$BQ133))),"""")"),4.8016284323966945)</f>
        <v>4.801628432</v>
      </c>
      <c r="CD133" s="208" t="str">
        <f t="shared" si="10"/>
        <v/>
      </c>
      <c r="CE133" s="209" t="s">
        <v>444</v>
      </c>
      <c r="CF133" s="207">
        <f>IFERROR(__xludf.DUMMYFUNCTION("AVERAGE(ARRAYFORMULA(XLOOKUP(FILTER(INDIRECT(""'""&amp;CF$1&amp;""'!$C$4:$C$66""),INDIRECT(""'""&amp;CF$1&amp;""'!$D$4:$D$66"")=CF$2),$G$4:$BQ$4,$G133:$BQ133)))"),-0.133186300625)</f>
        <v>-0.1331863006</v>
      </c>
      <c r="CG133" s="207" t="str">
        <f>IFERROR(__xludf.DUMMYFUNCTION("IF(OR(CF133&gt;$BS133+$BT133*$BT$2,CF133&lt;$BS133-$BT133*$BT$2),AVEDEV(ARRAYFORMULA(XLOOKUP(FILTER(INDIRECT(""'""&amp;CF$1&amp;""'!$C$4:$C$66""),INDIRECT(""'""&amp;CF$1&amp;""'!$D$4:$D$66"")=CF$2),$G$4:$BQ$4,$G133:$BQ133))),"""")"),"")</f>
        <v/>
      </c>
      <c r="CH133" s="208" t="str">
        <f t="shared" si="11"/>
        <v/>
      </c>
      <c r="CI133" s="207">
        <f>IFERROR(__xludf.DUMMYFUNCTION("AVERAGE(ARRAYFORMULA(XLOOKUP(FILTER(INDIRECT(""'""&amp;CI$1&amp;""'!$C$4:$C$66""),INDIRECT(""'""&amp;CI$1&amp;""'!$D$4:$D$66"")=CI$2),$G$4:$BQ$4,$G133:$BQ133)))"),0.21980677612903227)</f>
        <v>0.2198067761</v>
      </c>
      <c r="CJ133" s="207" t="str">
        <f>IFERROR(__xludf.DUMMYFUNCTION("IF(OR(CI133&gt;$BS133+$BT133*$BT$2,CI133&lt;$BS133-$BT133*$BT$2),AVEDEV(ARRAYFORMULA(XLOOKUP(FILTER(INDIRECT(""'""&amp;CI$1&amp;""'!$C$4:$C$66""),INDIRECT(""'""&amp;CI$1&amp;""'!$D$4:$D$66"")=CI$2),$G$4:$BQ$4,$G133:$BQ133))),"""")"),"")</f>
        <v/>
      </c>
      <c r="CK133" s="208" t="str">
        <f t="shared" si="12"/>
        <v/>
      </c>
      <c r="CL133" s="207">
        <f>IFERROR(__xludf.DUMMYFUNCTION("AVERAGE(ARRAYFORMULA(XLOOKUP(FILTER(INDIRECT(""'""&amp;CL$1&amp;""'!$C$4:$C$66""),INDIRECT(""'""&amp;CL$1&amp;""'!$D$4:$D$66"")=CL$2),$G$4:$BQ$4,$G133:$BQ133)))"),10.000477504)</f>
        <v>10.0004775</v>
      </c>
      <c r="CM133" s="207">
        <f>IFERROR(__xludf.DUMMYFUNCTION("IF(OR(CL133&gt;$BS133+$BT133*$BT$2,CL133&lt;$BS133-$BT133*$BT$2),AVEDEV(ARRAYFORMULA(XLOOKUP(FILTER(INDIRECT(""'""&amp;CL$1&amp;""'!$C$4:$C$66""),INDIRECT(""'""&amp;CL$1&amp;""'!$D$4:$D$66"")=CL$2),$G$4:$BQ$4,$G133:$BQ133))),"""")"),2.7982045567999996)</f>
        <v>2.798204557</v>
      </c>
      <c r="CN133" s="208" t="str">
        <f t="shared" si="13"/>
        <v/>
      </c>
      <c r="CO133" s="209" t="s">
        <v>444</v>
      </c>
      <c r="CP133" s="210">
        <f>IFERROR(__xludf.DUMMYFUNCTION("AVERAGE(ARRAYFORMULA(XLOOKUP(FILTER(INDIRECT(""'""&amp;CP$1&amp;""'!$C$4:$C$66""),INDIRECT(""'""&amp;CP$1&amp;""'!$D$4:$D$66"")=CP$2),$G$4:$BQ$4,$G133:$BQ133)))"),1.0137554539999998)</f>
        <v>1.013755454</v>
      </c>
      <c r="CQ133" s="207" t="str">
        <f>IFERROR(__xludf.DUMMYFUNCTION("IF(OR(CP133&gt;$BS133+$BT133*$BT$2,CP133&lt;$BS133-$BT133*$BT$2),AVEDEV(ARRAYFORMULA(XLOOKUP(FILTER(INDIRECT(""'""&amp;CP$1&amp;""'!$C$4:$C$66""),INDIRECT(""'""&amp;CP$1&amp;""'!$D$4:$D$66"")=CP$2),$G$4:$BQ$4,$G133:$BQ133))),"""")"),"")</f>
        <v/>
      </c>
      <c r="CR133" s="208" t="str">
        <f t="shared" si="14"/>
        <v/>
      </c>
      <c r="CS133" s="210">
        <f>IFERROR(__xludf.DUMMYFUNCTION("AVERAGE(ARRAYFORMULA(XLOOKUP(FILTER(INDIRECT(""'""&amp;CS$1&amp;""'!$C$4:$C$66""),INDIRECT(""'""&amp;CS$1&amp;""'!$D$4:$D$66"")=CS$2),$G$4:$BQ$4,$G133:$BQ133)))"),0.05227624794871794)</f>
        <v>0.05227624795</v>
      </c>
      <c r="CT133" s="207" t="str">
        <f>IFERROR(__xludf.DUMMYFUNCTION("IF(OR(CS133&gt;$BS133+$BT133*$BT$2,CS133&lt;$BS133-$BT133*$BT$2),AVEDEV(ARRAYFORMULA(XLOOKUP(FILTER(INDIRECT(""'""&amp;CS$1&amp;""'!$C$4:$C$66""),INDIRECT(""'""&amp;CS$1&amp;""'!$D$4:$D$66"")=CS$2),$G$4:$BQ$4,$G133:$BQ133))),"""")"),"")</f>
        <v/>
      </c>
      <c r="CU133" s="208" t="str">
        <f t="shared" si="15"/>
        <v/>
      </c>
      <c r="CV133" s="210">
        <f>IFERROR(__xludf.DUMMYFUNCTION("AVERAGE(ARRAYFORMULA(XLOOKUP(FILTER(INDIRECT(""'""&amp;CV$1&amp;""'!$C$4:$C$66""),INDIRECT(""'""&amp;CV$1&amp;""'!$D$4:$D$66"")=CV$2),$G$4:$BQ$4,$G133:$BQ133)))"),10.000477504)</f>
        <v>10.0004775</v>
      </c>
      <c r="CW133" s="207">
        <f>IFERROR(__xludf.DUMMYFUNCTION("IF(OR(CV133&gt;$BS133+$BT133*$BT$2,CV133&lt;$BS133-$BT133*$BT$2),AVEDEV(ARRAYFORMULA(XLOOKUP(FILTER(INDIRECT(""'""&amp;CV$1&amp;""'!$C$4:$C$66""),INDIRECT(""'""&amp;CV$1&amp;""'!$D$4:$D$66"")=CV$2),$G$4:$BQ$4,$G133:$BQ133))),"""")"),2.7982045567999996)</f>
        <v>2.798204557</v>
      </c>
      <c r="CX133" s="208" t="str">
        <f t="shared" si="16"/>
        <v/>
      </c>
      <c r="CY133" s="209" t="s">
        <v>444</v>
      </c>
      <c r="CZ133" s="210">
        <f>IFERROR(__xludf.DUMMYFUNCTION("AVERAGE(ARRAYFORMULA(XLOOKUP(FILTER(INDIRECT(""'""&amp;CZ$1&amp;""'!$C$4:$C$66""),INDIRECT(""'""&amp;CZ$1&amp;""'!$D$4:$D$66"")=CZ$2),$G$4:$BQ$4,$G133:$BQ133)))"),-0.08492843785714288)</f>
        <v>-0.08492843786</v>
      </c>
      <c r="DA133" s="207" t="str">
        <f>IFERROR(__xludf.DUMMYFUNCTION("IF(OR(CZ133&gt;$BS133+$BT133*$BT$2,CZ133&lt;$BS133-$BT133*$BT$2),AVEDEV(ARRAYFORMULA(XLOOKUP(FILTER(INDIRECT(""'""&amp;CZ$1&amp;""'!$C$4:$C$66""),INDIRECT(""'""&amp;CZ$1&amp;""'!$D$4:$D$66"")=CZ$2),$G$4:$BQ$4,$G133:$BQ133))),"""")"),"")</f>
        <v/>
      </c>
      <c r="DB133" s="208" t="str">
        <f t="shared" si="17"/>
        <v/>
      </c>
      <c r="DC133" s="210">
        <f>IFERROR(__xludf.DUMMYFUNCTION("AVERAGE(ARRAYFORMULA(XLOOKUP(FILTER(INDIRECT(""'""&amp;DC$1&amp;""'!$C$4:$C$66""),INDIRECT(""'""&amp;DC$1&amp;""'!$D$4:$D$66"")=DC$2),$G$4:$BQ$4,$G133:$BQ133)))"),4.7097273911111115)</f>
        <v>4.709727391</v>
      </c>
      <c r="DD133" s="207">
        <f>IFERROR(__xludf.DUMMYFUNCTION("IF(OR(DC133&gt;$BS133+$BT133*$BT$2,DC133&lt;$BS133-$BT133*$BT$2),AVEDEV(ARRAYFORMULA(XLOOKUP(FILTER(INDIRECT(""'""&amp;DC$1&amp;""'!$C$4:$C$66""),INDIRECT(""'""&amp;DC$1&amp;""'!$D$4:$D$66"")=DC$2),$G$4:$BQ$4,$G133:$BQ133))),"""")"),5.090202105679013)</f>
        <v>5.090202106</v>
      </c>
      <c r="DE133" s="208" t="str">
        <f t="shared" si="18"/>
        <v/>
      </c>
      <c r="DF133" s="210">
        <f>IFERROR(__xludf.DUMMYFUNCTION("AVERAGE(ARRAYFORMULA(XLOOKUP(FILTER(INDIRECT(""'""&amp;DF$1&amp;""'!$C$4:$C$66""),INDIRECT(""'""&amp;DF$1&amp;""'!$D$4:$D$66"")=DF$2),$G$4:$BQ$4,$G133:$BQ133)))"),1.6062154254545455)</f>
        <v>1.606215425</v>
      </c>
      <c r="DG133" s="207" t="str">
        <f>IFERROR(__xludf.DUMMYFUNCTION("IF(OR(DF133&gt;$BS133+$BT133*$BT$2,DF133&lt;$BS133-$BT133*$BT$2),AVEDEV(ARRAYFORMULA(XLOOKUP(FILTER(INDIRECT(""'""&amp;DF$1&amp;""'!$C$4:$C$66""),INDIRECT(""'""&amp;DF$1&amp;""'!$D$4:$D$66"")=DF$2),$G$4:$BQ$4,$G133:$BQ133))),"""")"),"")</f>
        <v/>
      </c>
      <c r="DH133" s="208" t="str">
        <f t="shared" si="19"/>
        <v/>
      </c>
      <c r="DI133" s="210">
        <f>IFERROR(__xludf.DUMMYFUNCTION("AVERAGE(ARRAYFORMULA(XLOOKUP(FILTER(INDIRECT(""'""&amp;DI$1&amp;""'!$C$4:$C$66""),INDIRECT(""'""&amp;DI$1&amp;""'!$D$4:$D$66"")=DI$2),$G$4:$BQ$4,$G133:$BQ133)))"),0.226339415)</f>
        <v>0.226339415</v>
      </c>
      <c r="DJ133" s="207" t="str">
        <f>IFERROR(__xludf.DUMMYFUNCTION("IF(OR(DI133&gt;$BS133+$BT133*$BT$2,DI133&lt;$BS133-$BT133*$BT$2),AVEDEV(ARRAYFORMULA(XLOOKUP(FILTER(INDIRECT(""'""&amp;DI$1&amp;""'!$C$4:$C$66""),INDIRECT(""'""&amp;DI$1&amp;""'!$D$4:$D$66"")=DI$2),$G$4:$BQ$4,$G133:$BQ133))),"""")"),"")</f>
        <v/>
      </c>
      <c r="DK133" s="208" t="str">
        <f t="shared" si="20"/>
        <v/>
      </c>
      <c r="DL133" s="210">
        <f>IFERROR(__xludf.DUMMYFUNCTION("AVERAGE(ARRAYFORMULA(XLOOKUP(FILTER(INDIRECT(""'""&amp;DL$1&amp;""'!$C$4:$C$66""),INDIRECT(""'""&amp;DL$1&amp;""'!$D$4:$D$66"")=DL$2),$G$4:$BQ$4,$G133:$BQ133)))"),0.2598980835714286)</f>
        <v>0.2598980836</v>
      </c>
      <c r="DM133" s="207" t="str">
        <f>IFERROR(__xludf.DUMMYFUNCTION("IF(OR(DL133&gt;$BS133+$BT133*$BT$2,DL133&lt;$BS133-$BT133*$BT$2),AVEDEV(ARRAYFORMULA(XLOOKUP(FILTER(INDIRECT(""'""&amp;DL$1&amp;""'!$C$4:$C$66""),INDIRECT(""'""&amp;DL$1&amp;""'!$D$4:$D$66"")=DL$2),$G$4:$BQ$4,$G133:$BQ133))),"""")"),"")</f>
        <v/>
      </c>
      <c r="DN133" s="208" t="str">
        <f t="shared" si="21"/>
        <v/>
      </c>
      <c r="DO133" s="209" t="s">
        <v>444</v>
      </c>
      <c r="DP133" s="210">
        <f>IFERROR(__xludf.DUMMYFUNCTION("AVERAGE(ARRAYFORMULA(XLOOKUP(FILTER(INDIRECT(""'""&amp;DP$1&amp;""'!$C$4:$C$66""),INDIRECT(""'""&amp;DP$1&amp;""'!$D$4:$D$66"")=DP$2),$G$4:$BQ$4,$G133:$BQ133)))"),0.3808423286666667)</f>
        <v>0.3808423287</v>
      </c>
      <c r="DQ133" s="207" t="str">
        <f>IFERROR(__xludf.DUMMYFUNCTION("IF(OR(DP133&gt;$BS133+$BT133*$BT$2,DP133&lt;$BS133-$BT133*$BT$2),AVEDEV(ARRAYFORMULA(XLOOKUP(FILTER(INDIRECT(""'""&amp;DP$1&amp;""'!$C$4:$C$66""),INDIRECT(""'""&amp;DP$1&amp;""'!$D$4:$D$66"")=DP$2),$G$4:$BQ$4,$G133:$BQ133))),"""")"),"")</f>
        <v/>
      </c>
      <c r="DR133" s="208" t="str">
        <f t="shared" si="22"/>
        <v/>
      </c>
      <c r="DS133" s="210">
        <f>IFERROR(__xludf.DUMMYFUNCTION("AVERAGE(ARRAYFORMULA(XLOOKUP(FILTER(INDIRECT(""'""&amp;DS$1&amp;""'!$C$4:$C$66""),INDIRECT(""'""&amp;DS$1&amp;""'!$D$4:$D$66"")=DS$2),$G$4:$BQ$4,$G133:$BQ133)))"),4.602388611111111)</f>
        <v>4.602388611</v>
      </c>
      <c r="DT133" s="207">
        <f>IFERROR(__xludf.DUMMYFUNCTION("IF(OR(DS133&gt;$BS133+$BT133*$BT$2,DS133&lt;$BS133-$BT133*$BT$2),AVEDEV(ARRAYFORMULA(XLOOKUP(FILTER(INDIRECT(""'""&amp;DS$1&amp;""'!$C$4:$C$66""),INDIRECT(""'""&amp;DS$1&amp;""'!$D$4:$D$66"")=DS$2),$G$4:$BQ$4,$G133:$BQ133))),"""")"),5.185614354567901)</f>
        <v>5.185614355</v>
      </c>
      <c r="DU133" s="208" t="str">
        <f t="shared" si="23"/>
        <v/>
      </c>
      <c r="DV133" s="210">
        <f>IFERROR(__xludf.DUMMYFUNCTION("AVERAGE(ARRAYFORMULA(XLOOKUP(FILTER(INDIRECT(""'""&amp;DV$1&amp;""'!$C$4:$C$66""),INDIRECT(""'""&amp;DV$1&amp;""'!$D$4:$D$66"")=DV$2),$G$4:$BQ$4,$G133:$BQ133)))"),-0.04724955750000001)</f>
        <v>-0.0472495575</v>
      </c>
      <c r="DW133" s="207" t="str">
        <f>IFERROR(__xludf.DUMMYFUNCTION("IF(OR(DV133&gt;$BS133+$BT133*$BT$2,DV133&lt;$BS133-$BT133*$BT$2),AVEDEV(ARRAYFORMULA(XLOOKUP(FILTER(INDIRECT(""'""&amp;DV$1&amp;""'!$C$4:$C$66""),INDIRECT(""'""&amp;DV$1&amp;""'!$D$4:$D$66"")=DV$2),$G$4:$BQ$4,$G133:$BQ133))),"""")"),"")</f>
        <v/>
      </c>
      <c r="DX133" s="208" t="str">
        <f t="shared" si="24"/>
        <v/>
      </c>
      <c r="DY133" s="210">
        <f>IFERROR(__xludf.DUMMYFUNCTION("AVERAGE(ARRAYFORMULA(XLOOKUP(FILTER(INDIRECT(""'""&amp;DY$1&amp;""'!$C$4:$C$66""),INDIRECT(""'""&amp;DY$1&amp;""'!$D$4:$D$66"")=DY$2),$G$4:$BQ$4,$G133:$BQ133)))"),1.7196755011111113)</f>
        <v>1.719675501</v>
      </c>
      <c r="DZ133" s="207" t="str">
        <f>IFERROR(__xludf.DUMMYFUNCTION("IF(OR(DY133&gt;$BS133+$BT133*$BT$2,DY133&lt;$BS133-$BT133*$BT$2),AVEDEV(ARRAYFORMULA(XLOOKUP(FILTER(INDIRECT(""'""&amp;DY$1&amp;""'!$C$4:$C$66""),INDIRECT(""'""&amp;DY$1&amp;""'!$D$4:$D$66"")=DY$2),$G$4:$BQ$4,$G133:$BQ133))),"""")"),"")</f>
        <v/>
      </c>
      <c r="EA133" s="208" t="str">
        <f t="shared" si="25"/>
        <v/>
      </c>
      <c r="EB133" s="191"/>
    </row>
    <row r="134" outlineLevel="1">
      <c r="A134" s="2"/>
      <c r="B134" s="204">
        <v>130.0</v>
      </c>
      <c r="C134" s="204" t="s">
        <v>540</v>
      </c>
      <c r="D134" s="204" t="s">
        <v>576</v>
      </c>
      <c r="E134" s="205" t="b">
        <f>VLOOKUP(D134,'Feature Set List'!A130:C246,2,0)</f>
        <v>1</v>
      </c>
      <c r="F134" s="205" t="b">
        <f>VLOOKUP(D134,'Feature Set List'!A130:C246,3,0)</f>
        <v>1</v>
      </c>
      <c r="G134" s="205">
        <v>-0.1499456</v>
      </c>
      <c r="H134" s="205">
        <v>1.51848831</v>
      </c>
      <c r="I134" s="205">
        <v>4.04839587</v>
      </c>
      <c r="J134" s="205">
        <v>0.32939097</v>
      </c>
      <c r="K134" s="205">
        <v>-0.3900353</v>
      </c>
      <c r="L134" s="205">
        <v>0.46859706</v>
      </c>
      <c r="M134" s="205">
        <v>1.07123437</v>
      </c>
      <c r="N134" s="205">
        <v>-0.1016857</v>
      </c>
      <c r="O134" s="205">
        <v>0.06824361</v>
      </c>
      <c r="P134" s="205">
        <v>0.79431756</v>
      </c>
      <c r="Q134" s="205">
        <v>-0.4755574</v>
      </c>
      <c r="R134" s="205">
        <v>0.45731376</v>
      </c>
      <c r="S134" s="205">
        <v>-0.2258021</v>
      </c>
      <c r="T134" s="205">
        <v>-0.2271615</v>
      </c>
      <c r="U134" s="205">
        <v>2.63458401</v>
      </c>
      <c r="V134" s="205">
        <v>-0.4699565</v>
      </c>
      <c r="W134" s="205">
        <v>0.69154432</v>
      </c>
      <c r="X134" s="205">
        <v>-0.4140701</v>
      </c>
      <c r="Y134" s="205">
        <v>-0.2566612</v>
      </c>
      <c r="Z134" s="205">
        <v>0.22009244</v>
      </c>
      <c r="AA134" s="205">
        <v>-0.2675367</v>
      </c>
      <c r="AB134" s="205">
        <v>1.48994018</v>
      </c>
      <c r="AC134" s="205">
        <v>-0.218869</v>
      </c>
      <c r="AD134" s="205">
        <v>0.97471452</v>
      </c>
      <c r="AE134" s="205">
        <v>-0.2574769</v>
      </c>
      <c r="AF134" s="205">
        <v>-0.1113377</v>
      </c>
      <c r="AG134" s="205">
        <v>-0.3942088</v>
      </c>
      <c r="AH134" s="205">
        <v>1.00326264</v>
      </c>
      <c r="AI134" s="205">
        <v>0.2271615</v>
      </c>
      <c r="AJ134" s="205">
        <v>0.52446982</v>
      </c>
      <c r="AK134" s="205">
        <v>-0.2822186</v>
      </c>
      <c r="AL134" s="205">
        <v>-0.12969</v>
      </c>
      <c r="AM134" s="205">
        <v>0.03262643</v>
      </c>
      <c r="AN134" s="205">
        <v>-0.180261</v>
      </c>
      <c r="AO134" s="205">
        <v>1.73735726</v>
      </c>
      <c r="AP134" s="205">
        <v>0.20595432</v>
      </c>
      <c r="AQ134" s="205">
        <v>-0.3193312</v>
      </c>
      <c r="AR134" s="205">
        <v>-0.3095432</v>
      </c>
      <c r="AS134" s="205">
        <v>3.53045133</v>
      </c>
      <c r="AT134" s="205">
        <v>-0.055329</v>
      </c>
      <c r="AU134" s="205">
        <v>10.3181077</v>
      </c>
      <c r="AV134" s="205">
        <v>1.62996194</v>
      </c>
      <c r="AW134" s="205">
        <v>-0.3168842</v>
      </c>
      <c r="AX134" s="205">
        <v>-0.223491</v>
      </c>
      <c r="AY134" s="205">
        <v>-0.376876</v>
      </c>
      <c r="AZ134" s="205">
        <v>0.20241979</v>
      </c>
      <c r="BA134" s="205">
        <v>0.1523926</v>
      </c>
      <c r="BB134" s="205">
        <v>-0.3061446</v>
      </c>
      <c r="BC134" s="205">
        <v>-0.394603</v>
      </c>
      <c r="BD134" s="205">
        <v>10.6620446</v>
      </c>
      <c r="BE134" s="205">
        <v>2.97580207</v>
      </c>
      <c r="BF134" s="205">
        <v>-0.2026917</v>
      </c>
      <c r="BG134" s="205">
        <v>-0.2100326</v>
      </c>
      <c r="BH134" s="205">
        <v>0.954323</v>
      </c>
      <c r="BI134" s="205">
        <v>-0.3066884</v>
      </c>
      <c r="BJ134" s="205">
        <v>0.04159869</v>
      </c>
      <c r="BK134" s="205">
        <v>-0.0908102</v>
      </c>
      <c r="BL134" s="205">
        <v>2.64274062</v>
      </c>
      <c r="BM134" s="205">
        <v>0.64355628</v>
      </c>
      <c r="BN134" s="205">
        <v>0.0</v>
      </c>
      <c r="BO134" s="205">
        <v>-0.3728929</v>
      </c>
      <c r="BP134" s="205">
        <v>0.15687874</v>
      </c>
      <c r="BQ134" s="205">
        <v>-0.2472811</v>
      </c>
      <c r="BR134" s="206"/>
      <c r="BS134" s="207">
        <f t="shared" si="6"/>
        <v>0.7003633827</v>
      </c>
      <c r="BT134" s="207">
        <f t="shared" si="7"/>
        <v>1.167616249</v>
      </c>
      <c r="BU134" s="206"/>
      <c r="BV134" s="207">
        <f>IFERROR(__xludf.DUMMYFUNCTION("AVERAGE(ARRAYFORMULA(XLOOKUP(FILTER(INDIRECT(""'""&amp;BV$1&amp;""'!$C$4:$C$66""),INDIRECT(""'""&amp;BV$1&amp;""'!$D$4:$D$66"")=BV$2),$G$4:$BQ$4,$G134:$BQ134)))"),1.2704847514285713)</f>
        <v>1.270484751</v>
      </c>
      <c r="BW134" s="207" t="str">
        <f>IFERROR(__xludf.DUMMYFUNCTION("IF(OR(BV134&gt;$BS134+$BT134*$BT$2,BV134&lt;$BS134-$BT134*$BT$2),AVEDEV(ARRAYFORMULA(XLOOKUP(FILTER(INDIRECT(""'""&amp;BV$1&amp;""'!$C$4:$C$66""),INDIRECT(""'""&amp;BV$1&amp;""'!$D$4:$D$66"")=BV$2),$G$4:$BQ$4,$G134:$BQ134))),"""")"),"")</f>
        <v/>
      </c>
      <c r="BX134" s="208" t="str">
        <f t="shared" si="8"/>
        <v/>
      </c>
      <c r="BY134" s="207">
        <f>IFERROR(__xludf.DUMMYFUNCTION("AVERAGE(ARRAYFORMULA(XLOOKUP(FILTER(INDIRECT(""'""&amp;BY$1&amp;""'!$C$4:$C$66""),INDIRECT(""'""&amp;BY$1&amp;""'!$D$4:$D$66"")=BY$2),$G$4:$BQ$4,$G134:$BQ134)))"),0.16480942142857144)</f>
        <v>0.1648094214</v>
      </c>
      <c r="BZ134" s="207" t="str">
        <f>IFERROR(__xludf.DUMMYFUNCTION("IF(OR(BY134&gt;$BS134+$BT134*$BT$2,BY134&lt;$BS134-$BT134*$BT$2),AVEDEV(ARRAYFORMULA(XLOOKUP(FILTER(INDIRECT(""'""&amp;BY$1&amp;""'!$C$4:$C$66""),INDIRECT(""'""&amp;BY$1&amp;""'!$D$4:$D$66"")=BY$2),$G$4:$BQ$4,$G134:$BQ134))),"""")"),"")</f>
        <v/>
      </c>
      <c r="CA134" s="208" t="str">
        <f t="shared" si="9"/>
        <v/>
      </c>
      <c r="CB134" s="207">
        <f>IFERROR(__xludf.DUMMYFUNCTION("AVERAGE(ARRAYFORMULA(XLOOKUP(FILTER(INDIRECT(""'""&amp;CB$1&amp;""'!$C$4:$C$66""),INDIRECT(""'""&amp;CB$1&amp;""'!$D$4:$D$66"")=CB$2),$G$4:$BQ$4,$G134:$BQ134)))"),0.2980869072727273)</f>
        <v>0.2980869073</v>
      </c>
      <c r="CC134" s="207" t="str">
        <f>IFERROR(__xludf.DUMMYFUNCTION("IF(OR(CB134&gt;$BS134+$BT134*$BT$2,CB134&lt;$BS134-$BT134*$BT$2),AVEDEV(ARRAYFORMULA(XLOOKUP(FILTER(INDIRECT(""'""&amp;CB$1&amp;""'!$C$4:$C$66""),INDIRECT(""'""&amp;CB$1&amp;""'!$D$4:$D$66"")=CB$2),$G$4:$BQ$4,$G134:$BQ134))),"""")"),"")</f>
        <v/>
      </c>
      <c r="CD134" s="208" t="str">
        <f t="shared" si="10"/>
        <v/>
      </c>
      <c r="CE134" s="209" t="s">
        <v>444</v>
      </c>
      <c r="CF134" s="207">
        <f>IFERROR(__xludf.DUMMYFUNCTION("AVERAGE(ARRAYFORMULA(XLOOKUP(FILTER(INDIRECT(""'""&amp;CF$1&amp;""'!$C$4:$C$66""),INDIRECT(""'""&amp;CF$1&amp;""'!$D$4:$D$66"")=CF$2),$G$4:$BQ$4,$G134:$BQ134)))"),0.11372603812500001)</f>
        <v>0.1137260381</v>
      </c>
      <c r="CG134" s="207" t="str">
        <f>IFERROR(__xludf.DUMMYFUNCTION("IF(OR(CF134&gt;$BS134+$BT134*$BT$2,CF134&lt;$BS134-$BT134*$BT$2),AVEDEV(ARRAYFORMULA(XLOOKUP(FILTER(INDIRECT(""'""&amp;CF$1&amp;""'!$C$4:$C$66""),INDIRECT(""'""&amp;CF$1&amp;""'!$D$4:$D$66"")=CF$2),$G$4:$BQ$4,$G134:$BQ134))),"""")"),"")</f>
        <v/>
      </c>
      <c r="CH134" s="208" t="str">
        <f t="shared" si="11"/>
        <v/>
      </c>
      <c r="CI134" s="207">
        <f>IFERROR(__xludf.DUMMYFUNCTION("AVERAGE(ARRAYFORMULA(XLOOKUP(FILTER(INDIRECT(""'""&amp;CI$1&amp;""'!$C$4:$C$66""),INDIRECT(""'""&amp;CI$1&amp;""'!$D$4:$D$66"")=CI$2),$G$4:$BQ$4,$G134:$BQ134)))"),0.31229192193548394)</f>
        <v>0.3122919219</v>
      </c>
      <c r="CJ134" s="207" t="str">
        <f>IFERROR(__xludf.DUMMYFUNCTION("IF(OR(CI134&gt;$BS134+$BT134*$BT$2,CI134&lt;$BS134-$BT134*$BT$2),AVEDEV(ARRAYFORMULA(XLOOKUP(FILTER(INDIRECT(""'""&amp;CI$1&amp;""'!$C$4:$C$66""),INDIRECT(""'""&amp;CI$1&amp;""'!$D$4:$D$66"")=CI$2),$G$4:$BQ$4,$G134:$BQ134))),"""")"),"")</f>
        <v/>
      </c>
      <c r="CK134" s="208" t="str">
        <f t="shared" si="12"/>
        <v/>
      </c>
      <c r="CL134" s="207">
        <f>IFERROR(__xludf.DUMMYFUNCTION("AVERAGE(ARRAYFORMULA(XLOOKUP(FILTER(INDIRECT(""'""&amp;CL$1&amp;""'!$C$4:$C$66""),INDIRECT(""'""&amp;CL$1&amp;""'!$D$4:$D$66"")=CL$2),$G$4:$BQ$4,$G134:$BQ134)))"),0.807993478)</f>
        <v>0.807993478</v>
      </c>
      <c r="CM134" s="207" t="str">
        <f>IFERROR(__xludf.DUMMYFUNCTION("IF(OR(CL134&gt;$BS134+$BT134*$BT$2,CL134&lt;$BS134-$BT134*$BT$2),AVEDEV(ARRAYFORMULA(XLOOKUP(FILTER(INDIRECT(""'""&amp;CL$1&amp;""'!$C$4:$C$66""),INDIRECT(""'""&amp;CL$1&amp;""'!$D$4:$D$66"")=CL$2),$G$4:$BQ$4,$G134:$BQ134))),"""")"),"")</f>
        <v/>
      </c>
      <c r="CN134" s="208" t="str">
        <f t="shared" si="13"/>
        <v/>
      </c>
      <c r="CO134" s="209" t="s">
        <v>444</v>
      </c>
      <c r="CP134" s="210">
        <f>IFERROR(__xludf.DUMMYFUNCTION("AVERAGE(ARRAYFORMULA(XLOOKUP(FILTER(INDIRECT(""'""&amp;CP$1&amp;""'!$C$4:$C$66""),INDIRECT(""'""&amp;CP$1&amp;""'!$D$4:$D$66"")=CP$2),$G$4:$BQ$4,$G134:$BQ134)))"),0.42310223199999997)</f>
        <v>0.423102232</v>
      </c>
      <c r="CQ134" s="207" t="str">
        <f>IFERROR(__xludf.DUMMYFUNCTION("IF(OR(CP134&gt;$BS134+$BT134*$BT$2,CP134&lt;$BS134-$BT134*$BT$2),AVEDEV(ARRAYFORMULA(XLOOKUP(FILTER(INDIRECT(""'""&amp;CP$1&amp;""'!$C$4:$C$66""),INDIRECT(""'""&amp;CP$1&amp;""'!$D$4:$D$66"")=CP$2),$G$4:$BQ$4,$G134:$BQ134))),"""")"),"")</f>
        <v/>
      </c>
      <c r="CR134" s="208" t="str">
        <f t="shared" si="14"/>
        <v/>
      </c>
      <c r="CS134" s="210">
        <f>IFERROR(__xludf.DUMMYFUNCTION("AVERAGE(ARRAYFORMULA(XLOOKUP(FILTER(INDIRECT(""'""&amp;CS$1&amp;""'!$C$4:$C$66""),INDIRECT(""'""&amp;CS$1&amp;""'!$D$4:$D$66"")=CS$2),$G$4:$BQ$4,$G134:$BQ134)))"),0.15551547307692304)</f>
        <v>0.1555154731</v>
      </c>
      <c r="CT134" s="207" t="str">
        <f>IFERROR(__xludf.DUMMYFUNCTION("IF(OR(CS134&gt;$BS134+$BT134*$BT$2,CS134&lt;$BS134-$BT134*$BT$2),AVEDEV(ARRAYFORMULA(XLOOKUP(FILTER(INDIRECT(""'""&amp;CS$1&amp;""'!$C$4:$C$66""),INDIRECT(""'""&amp;CS$1&amp;""'!$D$4:$D$66"")=CS$2),$G$4:$BQ$4,$G134:$BQ134))),"""")"),"")</f>
        <v/>
      </c>
      <c r="CU134" s="208" t="str">
        <f t="shared" si="15"/>
        <v/>
      </c>
      <c r="CV134" s="211">
        <f>IFERROR(__xludf.DUMMYFUNCTION("AVERAGE(ARRAYFORMULA(XLOOKUP(FILTER(INDIRECT(""'""&amp;CV$1&amp;""'!$C$4:$C$66""),INDIRECT(""'""&amp;CV$1&amp;""'!$D$4:$D$66"")=CV$2),$G$4:$BQ$4,$G134:$BQ134)))"),0.807993478)</f>
        <v>0.807993478</v>
      </c>
      <c r="CW134" s="207" t="str">
        <f>IFERROR(__xludf.DUMMYFUNCTION("IF(OR(CV134&gt;$BS134+$BT134*$BT$2,CV134&lt;$BS134-$BT134*$BT$2),AVEDEV(ARRAYFORMULA(XLOOKUP(FILTER(INDIRECT(""'""&amp;CV$1&amp;""'!$C$4:$C$66""),INDIRECT(""'""&amp;CV$1&amp;""'!$D$4:$D$66"")=CV$2),$G$4:$BQ$4,$G134:$BQ134))),"""")"),"")</f>
        <v/>
      </c>
      <c r="CX134" s="208" t="str">
        <f t="shared" si="16"/>
        <v/>
      </c>
      <c r="CY134" s="209" t="s">
        <v>444</v>
      </c>
      <c r="CZ134" s="210">
        <f>IFERROR(__xludf.DUMMYFUNCTION("AVERAGE(ARRAYFORMULA(XLOOKUP(FILTER(INDIRECT(""'""&amp;CZ$1&amp;""'!$C$4:$C$66""),INDIRECT(""'""&amp;CZ$1&amp;""'!$D$4:$D$66"")=CZ$2),$G$4:$BQ$4,$G134:$BQ134)))"),-0.020282764285714287)</f>
        <v>-0.02028276429</v>
      </c>
      <c r="DA134" s="207" t="str">
        <f>IFERROR(__xludf.DUMMYFUNCTION("IF(OR(CZ134&gt;$BS134+$BT134*$BT$2,CZ134&lt;$BS134-$BT134*$BT$2),AVEDEV(ARRAYFORMULA(XLOOKUP(FILTER(INDIRECT(""'""&amp;CZ$1&amp;""'!$C$4:$C$66""),INDIRECT(""'""&amp;CZ$1&amp;""'!$D$4:$D$66"")=CZ$2),$G$4:$BQ$4,$G134:$BQ134))),"""")"),"")</f>
        <v/>
      </c>
      <c r="DB134" s="208" t="str">
        <f t="shared" si="17"/>
        <v/>
      </c>
      <c r="DC134" s="210">
        <f>IFERROR(__xludf.DUMMYFUNCTION("AVERAGE(ARRAYFORMULA(XLOOKUP(FILTER(INDIRECT(""'""&amp;DC$1&amp;""'!$C$4:$C$66""),INDIRECT(""'""&amp;DC$1&amp;""'!$D$4:$D$66"")=DC$2),$G$4:$BQ$4,$G134:$BQ134)))"),0.27033110111111114)</f>
        <v>0.2703311011</v>
      </c>
      <c r="DD134" s="207" t="str">
        <f>IFERROR(__xludf.DUMMYFUNCTION("IF(OR(DC134&gt;$BS134+$BT134*$BT$2,DC134&lt;$BS134-$BT134*$BT$2),AVEDEV(ARRAYFORMULA(XLOOKUP(FILTER(INDIRECT(""'""&amp;DC$1&amp;""'!$C$4:$C$66""),INDIRECT(""'""&amp;DC$1&amp;""'!$D$4:$D$66"")=DC$2),$G$4:$BQ$4,$G134:$BQ134))),"""")"),"")</f>
        <v/>
      </c>
      <c r="DE134" s="208" t="str">
        <f t="shared" si="18"/>
        <v/>
      </c>
      <c r="DF134" s="210">
        <f>IFERROR(__xludf.DUMMYFUNCTION("AVERAGE(ARRAYFORMULA(XLOOKUP(FILTER(INDIRECT(""'""&amp;DF$1&amp;""'!$C$4:$C$66""),INDIRECT(""'""&amp;DF$1&amp;""'!$D$4:$D$66"")=DF$2),$G$4:$BQ$4,$G134:$BQ134)))"),0.2734316981818182)</f>
        <v>0.2734316982</v>
      </c>
      <c r="DG134" s="207" t="str">
        <f>IFERROR(__xludf.DUMMYFUNCTION("IF(OR(DF134&gt;$BS134+$BT134*$BT$2,DF134&lt;$BS134-$BT134*$BT$2),AVEDEV(ARRAYFORMULA(XLOOKUP(FILTER(INDIRECT(""'""&amp;DF$1&amp;""'!$C$4:$C$66""),INDIRECT(""'""&amp;DF$1&amp;""'!$D$4:$D$66"")=DF$2),$G$4:$BQ$4,$G134:$BQ134))),"""")"),"")</f>
        <v/>
      </c>
      <c r="DH134" s="208" t="str">
        <f t="shared" si="19"/>
        <v/>
      </c>
      <c r="DI134" s="210">
        <f>IFERROR(__xludf.DUMMYFUNCTION("AVERAGE(ARRAYFORMULA(XLOOKUP(FILTER(INDIRECT(""'""&amp;DI$1&amp;""'!$C$4:$C$66""),INDIRECT(""'""&amp;DI$1&amp;""'!$D$4:$D$66"")=DI$2),$G$4:$BQ$4,$G134:$BQ134)))"),0.96451876)</f>
        <v>0.96451876</v>
      </c>
      <c r="DJ134" s="207" t="str">
        <f>IFERROR(__xludf.DUMMYFUNCTION("IF(OR(DI134&gt;$BS134+$BT134*$BT$2,DI134&lt;$BS134-$BT134*$BT$2),AVEDEV(ARRAYFORMULA(XLOOKUP(FILTER(INDIRECT(""'""&amp;DI$1&amp;""'!$C$4:$C$66""),INDIRECT(""'""&amp;DI$1&amp;""'!$D$4:$D$66"")=DI$2),$G$4:$BQ$4,$G134:$BQ134))),"""")"),"")</f>
        <v/>
      </c>
      <c r="DK134" s="208" t="str">
        <f t="shared" si="20"/>
        <v/>
      </c>
      <c r="DL134" s="211">
        <f>IFERROR(__xludf.DUMMYFUNCTION("AVERAGE(ARRAYFORMULA(XLOOKUP(FILTER(INDIRECT(""'""&amp;DL$1&amp;""'!$C$4:$C$66""),INDIRECT(""'""&amp;DL$1&amp;""'!$D$4:$D$66"")=DL$2),$G$4:$BQ$4,$G134:$BQ134)))"),-0.04777343142857144)</f>
        <v>-0.04777343143</v>
      </c>
      <c r="DM134" s="207" t="str">
        <f>IFERROR(__xludf.DUMMYFUNCTION("IF(OR(DL134&gt;$BS134+$BT134*$BT$2,DL134&lt;$BS134-$BT134*$BT$2),AVEDEV(ARRAYFORMULA(XLOOKUP(FILTER(INDIRECT(""'""&amp;DL$1&amp;""'!$C$4:$C$66""),INDIRECT(""'""&amp;DL$1&amp;""'!$D$4:$D$66"")=DL$2),$G$4:$BQ$4,$G134:$BQ134))),"""")"),"")</f>
        <v/>
      </c>
      <c r="DN134" s="208" t="str">
        <f t="shared" si="21"/>
        <v/>
      </c>
      <c r="DO134" s="209" t="s">
        <v>444</v>
      </c>
      <c r="DP134" s="210">
        <f>IFERROR(__xludf.DUMMYFUNCTION("AVERAGE(ARRAYFORMULA(XLOOKUP(FILTER(INDIRECT(""'""&amp;DP$1&amp;""'!$C$4:$C$66""),INDIRECT(""'""&amp;DP$1&amp;""'!$D$4:$D$66"")=DP$2),$G$4:$BQ$4,$G134:$BQ134)))"),0.09707359533333333)</f>
        <v>0.09707359533</v>
      </c>
      <c r="DQ134" s="207" t="str">
        <f>IFERROR(__xludf.DUMMYFUNCTION("IF(OR(DP134&gt;$BS134+$BT134*$BT$2,DP134&lt;$BS134-$BT134*$BT$2),AVEDEV(ARRAYFORMULA(XLOOKUP(FILTER(INDIRECT(""'""&amp;DP$1&amp;""'!$C$4:$C$66""),INDIRECT(""'""&amp;DP$1&amp;""'!$D$4:$D$66"")=DP$2),$G$4:$BQ$4,$G134:$BQ134))),"""")"),"")</f>
        <v/>
      </c>
      <c r="DR134" s="208" t="str">
        <f t="shared" si="22"/>
        <v/>
      </c>
      <c r="DS134" s="210">
        <f>IFERROR(__xludf.DUMMYFUNCTION("AVERAGE(ARRAYFORMULA(XLOOKUP(FILTER(INDIRECT(""'""&amp;DS$1&amp;""'!$C$4:$C$66""),INDIRECT(""'""&amp;DS$1&amp;""'!$D$4:$D$66"")=DS$2),$G$4:$BQ$4,$G134:$BQ134)))"),0.5638330033333334)</f>
        <v>0.5638330033</v>
      </c>
      <c r="DT134" s="207" t="str">
        <f>IFERROR(__xludf.DUMMYFUNCTION("IF(OR(DS134&gt;$BS134+$BT134*$BT$2,DS134&lt;$BS134-$BT134*$BT$2),AVEDEV(ARRAYFORMULA(XLOOKUP(FILTER(INDIRECT(""'""&amp;DS$1&amp;""'!$C$4:$C$66""),INDIRECT(""'""&amp;DS$1&amp;""'!$D$4:$D$66"")=DS$2),$G$4:$BQ$4,$G134:$BQ134))),"""")"),"")</f>
        <v/>
      </c>
      <c r="DU134" s="208" t="str">
        <f t="shared" si="23"/>
        <v/>
      </c>
      <c r="DV134" s="210">
        <f>IFERROR(__xludf.DUMMYFUNCTION("AVERAGE(ARRAYFORMULA(XLOOKUP(FILTER(INDIRECT(""'""&amp;DV$1&amp;""'!$C$4:$C$66""),INDIRECT(""'""&amp;DV$1&amp;""'!$D$4:$D$66"")=DV$2),$G$4:$BQ$4,$G134:$BQ134)))"),0.37710202375)</f>
        <v>0.3771020238</v>
      </c>
      <c r="DW134" s="207" t="str">
        <f>IFERROR(__xludf.DUMMYFUNCTION("IF(OR(DV134&gt;$BS134+$BT134*$BT$2,DV134&lt;$BS134-$BT134*$BT$2),AVEDEV(ARRAYFORMULA(XLOOKUP(FILTER(INDIRECT(""'""&amp;DV$1&amp;""'!$C$4:$C$66""),INDIRECT(""'""&amp;DV$1&amp;""'!$D$4:$D$66"")=DV$2),$G$4:$BQ$4,$G134:$BQ134))),"""")"),"")</f>
        <v/>
      </c>
      <c r="DX134" s="208" t="str">
        <f t="shared" si="24"/>
        <v/>
      </c>
      <c r="DY134" s="210">
        <f>IFERROR(__xludf.DUMMYFUNCTION("AVERAGE(ARRAYFORMULA(XLOOKUP(FILTER(INDIRECT(""'""&amp;DY$1&amp;""'!$C$4:$C$66""),INDIRECT(""'""&amp;DY$1&amp;""'!$D$4:$D$66"")=DY$2),$G$4:$BQ$4,$G134:$BQ134)))"),0.4927043644444445)</f>
        <v>0.4927043644</v>
      </c>
      <c r="DZ134" s="207" t="str">
        <f>IFERROR(__xludf.DUMMYFUNCTION("IF(OR(DY134&gt;$BS134+$BT134*$BT$2,DY134&lt;$BS134-$BT134*$BT$2),AVEDEV(ARRAYFORMULA(XLOOKUP(FILTER(INDIRECT(""'""&amp;DY$1&amp;""'!$C$4:$C$66""),INDIRECT(""'""&amp;DY$1&amp;""'!$D$4:$D$66"")=DY$2),$G$4:$BQ$4,$G134:$BQ134))),"""")"),"")</f>
        <v/>
      </c>
      <c r="EA134" s="208" t="str">
        <f t="shared" si="25"/>
        <v/>
      </c>
      <c r="EB134" s="191"/>
    </row>
    <row r="135" outlineLevel="1">
      <c r="A135" s="2"/>
      <c r="B135" s="204">
        <v>131.0</v>
      </c>
      <c r="C135" s="204" t="s">
        <v>540</v>
      </c>
      <c r="D135" s="204" t="s">
        <v>577</v>
      </c>
      <c r="E135" s="205" t="b">
        <f>VLOOKUP(D135,'Feature Set List'!A131:C246,2,0)</f>
        <v>1</v>
      </c>
      <c r="F135" s="205" t="b">
        <f>VLOOKUP(D135,'Feature Set List'!A131:C246,3,0)</f>
        <v>0</v>
      </c>
      <c r="G135" s="205">
        <v>0.0</v>
      </c>
      <c r="H135" s="205">
        <v>0.0</v>
      </c>
      <c r="I135" s="205">
        <v>0.0</v>
      </c>
      <c r="J135" s="205">
        <v>0.0</v>
      </c>
      <c r="K135" s="205">
        <v>0.0</v>
      </c>
      <c r="L135" s="205">
        <v>0.0</v>
      </c>
      <c r="M135" s="205">
        <v>0.0</v>
      </c>
      <c r="N135" s="205">
        <v>0.0</v>
      </c>
      <c r="O135" s="205">
        <v>0.0</v>
      </c>
      <c r="P135" s="215">
        <v>-1.0E-4</v>
      </c>
      <c r="Q135" s="205">
        <v>0.0</v>
      </c>
      <c r="R135" s="205">
        <v>-0.0125</v>
      </c>
      <c r="S135" s="205">
        <v>0.0</v>
      </c>
      <c r="T135" s="205">
        <v>0.0</v>
      </c>
      <c r="U135" s="205">
        <v>0.0</v>
      </c>
      <c r="V135" s="205">
        <v>0.0</v>
      </c>
      <c r="W135" s="205">
        <v>0.0</v>
      </c>
      <c r="X135" s="205">
        <v>0.0</v>
      </c>
      <c r="Y135" s="205">
        <v>0.0</v>
      </c>
      <c r="Z135" s="205">
        <v>-0.1906</v>
      </c>
      <c r="AA135" s="205">
        <v>0.0</v>
      </c>
      <c r="AB135" s="205">
        <v>0.0</v>
      </c>
      <c r="AC135" s="205">
        <v>0.0</v>
      </c>
      <c r="AD135" s="205">
        <v>0.0</v>
      </c>
      <c r="AE135" s="205">
        <v>0.0</v>
      </c>
      <c r="AF135" s="205">
        <v>0.0</v>
      </c>
      <c r="AG135" s="205">
        <v>0.0</v>
      </c>
      <c r="AH135" s="205">
        <v>0.0</v>
      </c>
      <c r="AI135" s="205">
        <v>0.0</v>
      </c>
      <c r="AJ135" s="205">
        <v>0.0</v>
      </c>
      <c r="AK135" s="205">
        <v>0.0</v>
      </c>
      <c r="AL135" s="205">
        <v>0.0</v>
      </c>
      <c r="AM135" s="205">
        <v>0.0</v>
      </c>
      <c r="AN135" s="205">
        <v>0.0</v>
      </c>
      <c r="AO135" s="205">
        <v>-0.0809</v>
      </c>
      <c r="AP135" s="205">
        <v>0.0</v>
      </c>
      <c r="AQ135" s="205">
        <v>0.0</v>
      </c>
      <c r="AR135" s="205">
        <v>0.0</v>
      </c>
      <c r="AS135" s="205">
        <v>0.0</v>
      </c>
      <c r="AT135" s="205">
        <v>0.0</v>
      </c>
      <c r="AU135" s="205">
        <v>-0.2046</v>
      </c>
      <c r="AV135" s="205">
        <v>0.0</v>
      </c>
      <c r="AW135" s="205">
        <v>0.0</v>
      </c>
      <c r="AX135" s="205">
        <v>0.0</v>
      </c>
      <c r="AY135" s="205">
        <v>-0.0183</v>
      </c>
      <c r="AZ135" s="205">
        <v>0.0</v>
      </c>
      <c r="BA135" s="205">
        <v>0.0</v>
      </c>
      <c r="BB135" s="205">
        <v>-0.0207</v>
      </c>
      <c r="BC135" s="205">
        <v>0.0</v>
      </c>
      <c r="BD135" s="205">
        <v>0.0</v>
      </c>
      <c r="BE135" s="205">
        <v>0.0</v>
      </c>
      <c r="BF135" s="205">
        <v>0.0</v>
      </c>
      <c r="BG135" s="205">
        <v>0.0</v>
      </c>
      <c r="BH135" s="205">
        <v>0.0</v>
      </c>
      <c r="BI135" s="205">
        <v>0.0</v>
      </c>
      <c r="BJ135" s="205">
        <v>0.0</v>
      </c>
      <c r="BK135" s="205">
        <v>0.0</v>
      </c>
      <c r="BL135" s="205">
        <v>0.0</v>
      </c>
      <c r="BM135" s="205">
        <v>0.0</v>
      </c>
      <c r="BN135" s="205">
        <v>0.0</v>
      </c>
      <c r="BO135" s="205">
        <v>0.0</v>
      </c>
      <c r="BP135" s="205">
        <v>0.0</v>
      </c>
      <c r="BQ135" s="205">
        <v>0.0</v>
      </c>
      <c r="BR135" s="206"/>
      <c r="BS135" s="207">
        <f t="shared" si="6"/>
        <v>-0.008376190476</v>
      </c>
      <c r="BT135" s="207">
        <f t="shared" si="7"/>
        <v>0.0151537415</v>
      </c>
      <c r="BU135" s="206"/>
      <c r="BV135" s="207">
        <f>IFERROR(__xludf.DUMMYFUNCTION("AVERAGE(ARRAYFORMULA(XLOOKUP(FILTER(INDIRECT(""'""&amp;BV$1&amp;""'!$C$4:$C$66""),INDIRECT(""'""&amp;BV$1&amp;""'!$D$4:$D$66"")=BV$2),$G$4:$BQ$4,$G135:$BQ135)))"),-0.017128571428571427)</f>
        <v>-0.01712857143</v>
      </c>
      <c r="BW135" s="207" t="str">
        <f>IFERROR(__xludf.DUMMYFUNCTION("IF(OR(BV135&gt;$BS135+$BT135*$BT$2,BV135&lt;$BS135-$BT135*$BT$2),AVEDEV(ARRAYFORMULA(XLOOKUP(FILTER(INDIRECT(""'""&amp;BV$1&amp;""'!$C$4:$C$66""),INDIRECT(""'""&amp;BV$1&amp;""'!$D$4:$D$66"")=BV$2),$G$4:$BQ$4,$G135:$BQ135))),"""")"),"")</f>
        <v/>
      </c>
      <c r="BX135" s="208" t="str">
        <f t="shared" si="8"/>
        <v/>
      </c>
      <c r="BY135" s="207">
        <f>IFERROR(__xludf.DUMMYFUNCTION("AVERAGE(ARRAYFORMULA(XLOOKUP(FILTER(INDIRECT(""'""&amp;BY$1&amp;""'!$C$4:$C$66""),INDIRECT(""'""&amp;BY$1&amp;""'!$D$4:$D$66"")=BY$2),$G$4:$BQ$4,$G135:$BQ135)))"),-0.004835714285714286)</f>
        <v>-0.004835714286</v>
      </c>
      <c r="BZ135" s="207" t="str">
        <f>IFERROR(__xludf.DUMMYFUNCTION("IF(OR(BY135&gt;$BS135+$BT135*$BT$2,BY135&lt;$BS135-$BT135*$BT$2),AVEDEV(ARRAYFORMULA(XLOOKUP(FILTER(INDIRECT(""'""&amp;BY$1&amp;""'!$C$4:$C$66""),INDIRECT(""'""&amp;BY$1&amp;""'!$D$4:$D$66"")=BY$2),$G$4:$BQ$4,$G135:$BQ135))),"""")"),"")</f>
        <v/>
      </c>
      <c r="CA135" s="208" t="str">
        <f t="shared" si="9"/>
        <v/>
      </c>
      <c r="CB135" s="207">
        <f>IFERROR(__xludf.DUMMYFUNCTION("AVERAGE(ARRAYFORMULA(XLOOKUP(FILTER(INDIRECT(""'""&amp;CB$1&amp;""'!$C$4:$C$66""),INDIRECT(""'""&amp;CB$1&amp;""'!$D$4:$D$66"")=CB$2),$G$4:$BQ$4,$G135:$BQ135)))"),-9.090909090909091E-6)</f>
        <v>-0.000009090909091</v>
      </c>
      <c r="CC135" s="207" t="str">
        <f>IFERROR(__xludf.DUMMYFUNCTION("IF(OR(CB135&gt;$BS135+$BT135*$BT$2,CB135&lt;$BS135-$BT135*$BT$2),AVEDEV(ARRAYFORMULA(XLOOKUP(FILTER(INDIRECT(""'""&amp;CB$1&amp;""'!$C$4:$C$66""),INDIRECT(""'""&amp;CB$1&amp;""'!$D$4:$D$66"")=CB$2),$G$4:$BQ$4,$G135:$BQ135))),"""")"),"")</f>
        <v/>
      </c>
      <c r="CD135" s="208" t="str">
        <f t="shared" si="10"/>
        <v/>
      </c>
      <c r="CE135" s="209" t="s">
        <v>444</v>
      </c>
      <c r="CF135" s="207">
        <f>IFERROR(__xludf.DUMMYFUNCTION("AVERAGE(ARRAYFORMULA(XLOOKUP(FILTER(INDIRECT(""'""&amp;CF$1&amp;""'!$C$4:$C$66""),INDIRECT(""'""&amp;CF$1&amp;""'!$D$4:$D$66"")=CF$2),$G$4:$BQ$4,$G135:$BQ135)))"),-0.00129375)</f>
        <v>-0.00129375</v>
      </c>
      <c r="CG135" s="207" t="str">
        <f>IFERROR(__xludf.DUMMYFUNCTION("IF(OR(CF135&gt;$BS135+$BT135*$BT$2,CF135&lt;$BS135-$BT135*$BT$2),AVEDEV(ARRAYFORMULA(XLOOKUP(FILTER(INDIRECT(""'""&amp;CF$1&amp;""'!$C$4:$C$66""),INDIRECT(""'""&amp;CF$1&amp;""'!$D$4:$D$66"")=CF$2),$G$4:$BQ$4,$G135:$BQ135))),"""")"),"")</f>
        <v/>
      </c>
      <c r="CH135" s="208" t="str">
        <f t="shared" si="11"/>
        <v/>
      </c>
      <c r="CI135" s="207">
        <f>IFERROR(__xludf.DUMMYFUNCTION("AVERAGE(ARRAYFORMULA(XLOOKUP(FILTER(INDIRECT(""'""&amp;CI$1&amp;""'!$C$4:$C$66""),INDIRECT(""'""&amp;CI$1&amp;""'!$D$4:$D$66"")=CI$2),$G$4:$BQ$4,$G135:$BQ135)))"),-0.007141935483870967)</f>
        <v>-0.007141935484</v>
      </c>
      <c r="CJ135" s="207" t="str">
        <f>IFERROR(__xludf.DUMMYFUNCTION("IF(OR(CI135&gt;$BS135+$BT135*$BT$2,CI135&lt;$BS135-$BT135*$BT$2),AVEDEV(ARRAYFORMULA(XLOOKUP(FILTER(INDIRECT(""'""&amp;CI$1&amp;""'!$C$4:$C$66""),INDIRECT(""'""&amp;CI$1&amp;""'!$D$4:$D$66"")=CI$2),$G$4:$BQ$4,$G135:$BQ135))),"""")"),"")</f>
        <v/>
      </c>
      <c r="CK135" s="208" t="str">
        <f t="shared" si="12"/>
        <v/>
      </c>
      <c r="CL135" s="207">
        <f>IFERROR(__xludf.DUMMYFUNCTION("AVERAGE(ARRAYFORMULA(XLOOKUP(FILTER(INDIRECT(""'""&amp;CL$1&amp;""'!$C$4:$C$66""),INDIRECT(""'""&amp;CL$1&amp;""'!$D$4:$D$66"")=CL$2),$G$4:$BQ$4,$G135:$BQ135)))"),-2.0E-5)</f>
        <v>-0.00002</v>
      </c>
      <c r="CM135" s="207" t="str">
        <f>IFERROR(__xludf.DUMMYFUNCTION("IF(OR(CL135&gt;$BS135+$BT135*$BT$2,CL135&lt;$BS135-$BT135*$BT$2),AVEDEV(ARRAYFORMULA(XLOOKUP(FILTER(INDIRECT(""'""&amp;CL$1&amp;""'!$C$4:$C$66""),INDIRECT(""'""&amp;CL$1&amp;""'!$D$4:$D$66"")=CL$2),$G$4:$BQ$4,$G135:$BQ135))),"""")"),"")</f>
        <v/>
      </c>
      <c r="CN135" s="208" t="str">
        <f t="shared" si="13"/>
        <v/>
      </c>
      <c r="CO135" s="209" t="s">
        <v>444</v>
      </c>
      <c r="CP135" s="210">
        <f>IFERROR(__xludf.DUMMYFUNCTION("AVERAGE(ARRAYFORMULA(XLOOKUP(FILTER(INDIRECT(""'""&amp;CP$1&amp;""'!$C$4:$C$66""),INDIRECT(""'""&amp;CP$1&amp;""'!$D$4:$D$66"")=CP$2),$G$4:$BQ$4,$G135:$BQ135)))"),-0.00138)</f>
        <v>-0.00138</v>
      </c>
      <c r="CQ135" s="207" t="str">
        <f>IFERROR(__xludf.DUMMYFUNCTION("IF(OR(CP135&gt;$BS135+$BT135*$BT$2,CP135&lt;$BS135-$BT135*$BT$2),AVEDEV(ARRAYFORMULA(XLOOKUP(FILTER(INDIRECT(""'""&amp;CP$1&amp;""'!$C$4:$C$66""),INDIRECT(""'""&amp;CP$1&amp;""'!$D$4:$D$66"")=CP$2),$G$4:$BQ$4,$G135:$BQ135))),"""")"),"")</f>
        <v/>
      </c>
      <c r="CR135" s="208" t="str">
        <f t="shared" si="14"/>
        <v/>
      </c>
      <c r="CS135" s="210">
        <f>IFERROR(__xludf.DUMMYFUNCTION("AVERAGE(ARRAYFORMULA(XLOOKUP(FILTER(INDIRECT(""'""&amp;CS$1&amp;""'!$C$4:$C$66""),INDIRECT(""'""&amp;CS$1&amp;""'!$D$4:$D$66"")=CS$2),$G$4:$BQ$4,$G135:$BQ135)))"),-0.0077512820512820515)</f>
        <v>-0.007751282051</v>
      </c>
      <c r="CT135" s="207" t="str">
        <f>IFERROR(__xludf.DUMMYFUNCTION("IF(OR(CS135&gt;$BS135+$BT135*$BT$2,CS135&lt;$BS135-$BT135*$BT$2),AVEDEV(ARRAYFORMULA(XLOOKUP(FILTER(INDIRECT(""'""&amp;CS$1&amp;""'!$C$4:$C$66""),INDIRECT(""'""&amp;CS$1&amp;""'!$D$4:$D$66"")=CS$2),$G$4:$BQ$4,$G135:$BQ135))),"""")"),"")</f>
        <v/>
      </c>
      <c r="CU135" s="208" t="str">
        <f t="shared" si="15"/>
        <v/>
      </c>
      <c r="CV135" s="210">
        <f>IFERROR(__xludf.DUMMYFUNCTION("AVERAGE(ARRAYFORMULA(XLOOKUP(FILTER(INDIRECT(""'""&amp;CV$1&amp;""'!$C$4:$C$66""),INDIRECT(""'""&amp;CV$1&amp;""'!$D$4:$D$66"")=CV$2),$G$4:$BQ$4,$G135:$BQ135)))"),-2.0E-5)</f>
        <v>-0.00002</v>
      </c>
      <c r="CW135" s="207" t="str">
        <f>IFERROR(__xludf.DUMMYFUNCTION("IF(OR(CV135&gt;$BS135+$BT135*$BT$2,CV135&lt;$BS135-$BT135*$BT$2),AVEDEV(ARRAYFORMULA(XLOOKUP(FILTER(INDIRECT(""'""&amp;CV$1&amp;""'!$C$4:$C$66""),INDIRECT(""'""&amp;CV$1&amp;""'!$D$4:$D$66"")=CV$2),$G$4:$BQ$4,$G135:$BQ135))),"""")"),"")</f>
        <v/>
      </c>
      <c r="CX135" s="208" t="str">
        <f t="shared" si="16"/>
        <v/>
      </c>
      <c r="CY135" s="209" t="s">
        <v>444</v>
      </c>
      <c r="CZ135" s="210">
        <f>IFERROR(__xludf.DUMMYFUNCTION("AVERAGE(ARRAYFORMULA(XLOOKUP(FILTER(INDIRECT(""'""&amp;CZ$1&amp;""'!$C$4:$C$66""),INDIRECT(""'""&amp;CZ$1&amp;""'!$D$4:$D$66"")=CZ$2),$G$4:$BQ$4,$G135:$BQ135)))"),0.0)</f>
        <v>0</v>
      </c>
      <c r="DA135" s="207" t="str">
        <f>IFERROR(__xludf.DUMMYFUNCTION("IF(OR(CZ135&gt;$BS135+$BT135*$BT$2,CZ135&lt;$BS135-$BT135*$BT$2),AVEDEV(ARRAYFORMULA(XLOOKUP(FILTER(INDIRECT(""'""&amp;CZ$1&amp;""'!$C$4:$C$66""),INDIRECT(""'""&amp;CZ$1&amp;""'!$D$4:$D$66"")=CZ$2),$G$4:$BQ$4,$G135:$BQ135))),"""")"),"")</f>
        <v/>
      </c>
      <c r="DB135" s="208" t="str">
        <f t="shared" si="17"/>
        <v/>
      </c>
      <c r="DC135" s="210">
        <f>IFERROR(__xludf.DUMMYFUNCTION("AVERAGE(ARRAYFORMULA(XLOOKUP(FILTER(INDIRECT(""'""&amp;DC$1&amp;""'!$C$4:$C$66""),INDIRECT(""'""&amp;DC$1&amp;""'!$D$4:$D$66"")=DC$2),$G$4:$BQ$4,$G135:$BQ135)))"),-1.1111111111111112E-5)</f>
        <v>-0.00001111111111</v>
      </c>
      <c r="DD135" s="207" t="str">
        <f>IFERROR(__xludf.DUMMYFUNCTION("IF(OR(DC135&gt;$BS135+$BT135*$BT$2,DC135&lt;$BS135-$BT135*$BT$2),AVEDEV(ARRAYFORMULA(XLOOKUP(FILTER(INDIRECT(""'""&amp;DC$1&amp;""'!$C$4:$C$66""),INDIRECT(""'""&amp;DC$1&amp;""'!$D$4:$D$66"")=DC$2),$G$4:$BQ$4,$G135:$BQ135))),"""")"),"")</f>
        <v/>
      </c>
      <c r="DE135" s="208" t="str">
        <f t="shared" si="18"/>
        <v/>
      </c>
      <c r="DF135" s="210">
        <f>IFERROR(__xludf.DUMMYFUNCTION("AVERAGE(ARRAYFORMULA(XLOOKUP(FILTER(INDIRECT(""'""&amp;DF$1&amp;""'!$C$4:$C$66""),INDIRECT(""'""&amp;DF$1&amp;""'!$D$4:$D$66"")=DF$2),$G$4:$BQ$4,$G135:$BQ135)))"),0.0)</f>
        <v>0</v>
      </c>
      <c r="DG135" s="207" t="str">
        <f>IFERROR(__xludf.DUMMYFUNCTION("IF(OR(DF135&gt;$BS135+$BT135*$BT$2,DF135&lt;$BS135-$BT135*$BT$2),AVEDEV(ARRAYFORMULA(XLOOKUP(FILTER(INDIRECT(""'""&amp;DF$1&amp;""'!$C$4:$C$66""),INDIRECT(""'""&amp;DF$1&amp;""'!$D$4:$D$66"")=DF$2),$G$4:$BQ$4,$G135:$BQ135))),"""")"),"")</f>
        <v/>
      </c>
      <c r="DH135" s="208" t="str">
        <f t="shared" si="19"/>
        <v/>
      </c>
      <c r="DI135" s="210">
        <f>IFERROR(__xludf.DUMMYFUNCTION("AVERAGE(ARRAYFORMULA(XLOOKUP(FILTER(INDIRECT(""'""&amp;DI$1&amp;""'!$C$4:$C$66""),INDIRECT(""'""&amp;DI$1&amp;""'!$D$4:$D$66"")=DI$2),$G$4:$BQ$4,$G135:$BQ135)))"),0.0)</f>
        <v>0</v>
      </c>
      <c r="DJ135" s="207" t="str">
        <f>IFERROR(__xludf.DUMMYFUNCTION("IF(OR(DI135&gt;$BS135+$BT135*$BT$2,DI135&lt;$BS135-$BT135*$BT$2),AVEDEV(ARRAYFORMULA(XLOOKUP(FILTER(INDIRECT(""'""&amp;DI$1&amp;""'!$C$4:$C$66""),INDIRECT(""'""&amp;DI$1&amp;""'!$D$4:$D$66"")=DI$2),$G$4:$BQ$4,$G135:$BQ135))),"""")"),"")</f>
        <v/>
      </c>
      <c r="DK135" s="208" t="str">
        <f t="shared" si="20"/>
        <v/>
      </c>
      <c r="DL135" s="210">
        <f>IFERROR(__xludf.DUMMYFUNCTION("AVERAGE(ARRAYFORMULA(XLOOKUP(FILTER(INDIRECT(""'""&amp;DL$1&amp;""'!$C$4:$C$66""),INDIRECT(""'""&amp;DL$1&amp;""'!$D$4:$D$66"")=DL$2),$G$4:$BQ$4,$G135:$BQ135)))"),-0.014507142857142857)</f>
        <v>-0.01450714286</v>
      </c>
      <c r="DM135" s="207" t="str">
        <f>IFERROR(__xludf.DUMMYFUNCTION("IF(OR(DL135&gt;$BS135+$BT135*$BT$2,DL135&lt;$BS135-$BT135*$BT$2),AVEDEV(ARRAYFORMULA(XLOOKUP(FILTER(INDIRECT(""'""&amp;DL$1&amp;""'!$C$4:$C$66""),INDIRECT(""'""&amp;DL$1&amp;""'!$D$4:$D$66"")=DL$2),$G$4:$BQ$4,$G135:$BQ135))),"""")"),"")</f>
        <v/>
      </c>
      <c r="DN135" s="208" t="str">
        <f t="shared" si="21"/>
        <v/>
      </c>
      <c r="DO135" s="209" t="s">
        <v>444</v>
      </c>
      <c r="DP135" s="210">
        <f>IFERROR(__xludf.DUMMYFUNCTION("AVERAGE(ARRAYFORMULA(XLOOKUP(FILTER(INDIRECT(""'""&amp;DP$1&amp;""'!$C$4:$C$66""),INDIRECT(""'""&amp;DP$1&amp;""'!$D$4:$D$66"")=DP$2),$G$4:$BQ$4,$G135:$BQ135)))"),-0.007043333333333333)</f>
        <v>-0.007043333333</v>
      </c>
      <c r="DQ135" s="207" t="str">
        <f>IFERROR(__xludf.DUMMYFUNCTION("IF(OR(DP135&gt;$BS135+$BT135*$BT$2,DP135&lt;$BS135-$BT135*$BT$2),AVEDEV(ARRAYFORMULA(XLOOKUP(FILTER(INDIRECT(""'""&amp;DP$1&amp;""'!$C$4:$C$66""),INDIRECT(""'""&amp;DP$1&amp;""'!$D$4:$D$66"")=DP$2),$G$4:$BQ$4,$G135:$BQ135))),"""")"),"")</f>
        <v/>
      </c>
      <c r="DR135" s="208" t="str">
        <f t="shared" si="22"/>
        <v/>
      </c>
      <c r="DS135" s="210">
        <f>IFERROR(__xludf.DUMMYFUNCTION("AVERAGE(ARRAYFORMULA(XLOOKUP(FILTER(INDIRECT(""'""&amp;DS$1&amp;""'!$C$4:$C$66""),INDIRECT(""'""&amp;DS$1&amp;""'!$D$4:$D$66"")=DS$2),$G$4:$BQ$4,$G135:$BQ135)))"),-1.1111111111111112E-5)</f>
        <v>-0.00001111111111</v>
      </c>
      <c r="DT135" s="207" t="str">
        <f>IFERROR(__xludf.DUMMYFUNCTION("IF(OR(DS135&gt;$BS135+$BT135*$BT$2,DS135&lt;$BS135-$BT135*$BT$2),AVEDEV(ARRAYFORMULA(XLOOKUP(FILTER(INDIRECT(""'""&amp;DS$1&amp;""'!$C$4:$C$66""),INDIRECT(""'""&amp;DS$1&amp;""'!$D$4:$D$66"")=DS$2),$G$4:$BQ$4,$G135:$BQ135))),"""")"),"")</f>
        <v/>
      </c>
      <c r="DU135" s="208" t="str">
        <f t="shared" si="23"/>
        <v/>
      </c>
      <c r="DV135" s="210">
        <f>IFERROR(__xludf.DUMMYFUNCTION("AVERAGE(ARRAYFORMULA(XLOOKUP(FILTER(INDIRECT(""'""&amp;DV$1&amp;""'!$C$4:$C$66""),INDIRECT(""'""&amp;DV$1&amp;""'!$D$4:$D$66"")=DV$2),$G$4:$BQ$4,$G135:$BQ135)))"),-0.00385)</f>
        <v>-0.00385</v>
      </c>
      <c r="DW135" s="207" t="str">
        <f>IFERROR(__xludf.DUMMYFUNCTION("IF(OR(DV135&gt;$BS135+$BT135*$BT$2,DV135&lt;$BS135-$BT135*$BT$2),AVEDEV(ARRAYFORMULA(XLOOKUP(FILTER(INDIRECT(""'""&amp;DV$1&amp;""'!$C$4:$C$66""),INDIRECT(""'""&amp;DV$1&amp;""'!$D$4:$D$66"")=DV$2),$G$4:$BQ$4,$G135:$BQ135))),"""")"),"")</f>
        <v/>
      </c>
      <c r="DX135" s="208" t="str">
        <f t="shared" si="24"/>
        <v/>
      </c>
      <c r="DY135" s="210">
        <f>IFERROR(__xludf.DUMMYFUNCTION("AVERAGE(ARRAYFORMULA(XLOOKUP(FILTER(INDIRECT(""'""&amp;DY$1&amp;""'!$C$4:$C$66""),INDIRECT(""'""&amp;DY$1&amp;""'!$D$4:$D$66"")=DY$2),$G$4:$BQ$4,$G135:$BQ135)))"),0.0)</f>
        <v>0</v>
      </c>
      <c r="DZ135" s="207" t="str">
        <f>IFERROR(__xludf.DUMMYFUNCTION("IF(OR(DY135&gt;$BS135+$BT135*$BT$2,DY135&lt;$BS135-$BT135*$BT$2),AVEDEV(ARRAYFORMULA(XLOOKUP(FILTER(INDIRECT(""'""&amp;DY$1&amp;""'!$C$4:$C$66""),INDIRECT(""'""&amp;DY$1&amp;""'!$D$4:$D$66"")=DY$2),$G$4:$BQ$4,$G135:$BQ135))),"""")"),"")</f>
        <v/>
      </c>
      <c r="EA135" s="208" t="str">
        <f t="shared" si="25"/>
        <v/>
      </c>
      <c r="EB135" s="191"/>
    </row>
    <row r="136" outlineLevel="1">
      <c r="A136" s="2"/>
      <c r="B136" s="204">
        <v>132.0</v>
      </c>
      <c r="C136" s="204" t="s">
        <v>540</v>
      </c>
      <c r="D136" s="204" t="s">
        <v>578</v>
      </c>
      <c r="E136" s="205" t="b">
        <f>VLOOKUP(D136,'Feature Set List'!A132:C246,2,0)</f>
        <v>1</v>
      </c>
      <c r="F136" s="205" t="b">
        <f>VLOOKUP(D136,'Feature Set List'!A132:C246,3,0)</f>
        <v>1</v>
      </c>
      <c r="G136" s="205">
        <v>0.77198917</v>
      </c>
      <c r="H136" s="205">
        <v>0.4594046</v>
      </c>
      <c r="I136" s="205">
        <v>1.29228687</v>
      </c>
      <c r="J136" s="205">
        <v>0.58728011</v>
      </c>
      <c r="K136" s="205">
        <v>-0.0947226</v>
      </c>
      <c r="L136" s="205">
        <v>0.38971583</v>
      </c>
      <c r="M136" s="205">
        <v>-0.0399188</v>
      </c>
      <c r="N136" s="205">
        <v>0.09742896</v>
      </c>
      <c r="O136" s="205">
        <v>0.0</v>
      </c>
      <c r="P136" s="205">
        <v>0.03788904</v>
      </c>
      <c r="Q136" s="205">
        <v>-1.2381597</v>
      </c>
      <c r="R136" s="205">
        <v>-1.2110961</v>
      </c>
      <c r="S136" s="205">
        <v>-0.6184032</v>
      </c>
      <c r="T136" s="205">
        <v>0.27063599</v>
      </c>
      <c r="U136" s="205">
        <v>0.34709066</v>
      </c>
      <c r="V136" s="205">
        <v>0.09066306</v>
      </c>
      <c r="W136" s="205">
        <v>0.13599459</v>
      </c>
      <c r="X136" s="205">
        <v>-0.7801083</v>
      </c>
      <c r="Y136" s="205">
        <v>-0.0304465</v>
      </c>
      <c r="Z136" s="205">
        <v>-2.8917456</v>
      </c>
      <c r="AA136" s="205">
        <v>-0.9519621</v>
      </c>
      <c r="AB136" s="205">
        <v>1.24221922</v>
      </c>
      <c r="AC136" s="205">
        <v>0.38159675</v>
      </c>
      <c r="AD136" s="205">
        <v>-0.4607578</v>
      </c>
      <c r="AE136" s="205">
        <v>0.09269283</v>
      </c>
      <c r="AF136" s="205">
        <v>0.00879567</v>
      </c>
      <c r="AG136" s="205">
        <v>-0.2198917</v>
      </c>
      <c r="AH136" s="205">
        <v>0.21853857</v>
      </c>
      <c r="AI136" s="205">
        <v>-0.0290934</v>
      </c>
      <c r="AJ136" s="205">
        <v>-0.0994587</v>
      </c>
      <c r="AK136" s="205">
        <v>0.47361299</v>
      </c>
      <c r="AL136" s="205">
        <v>-0.4133965</v>
      </c>
      <c r="AM136" s="205">
        <v>0.16644114</v>
      </c>
      <c r="AN136" s="205">
        <v>-0.9844384</v>
      </c>
      <c r="AO136" s="205">
        <v>-0.9594046</v>
      </c>
      <c r="AP136" s="205">
        <v>-0.0446549</v>
      </c>
      <c r="AQ136" s="205">
        <v>-1.2002706</v>
      </c>
      <c r="AR136" s="205">
        <v>-1.3971583</v>
      </c>
      <c r="AS136" s="205">
        <v>0.68132612</v>
      </c>
      <c r="AT136" s="205">
        <v>0.50202977</v>
      </c>
      <c r="AU136" s="205">
        <v>0.83558863</v>
      </c>
      <c r="AV136" s="205">
        <v>-1.3261164</v>
      </c>
      <c r="AW136" s="205">
        <v>-0.9560217</v>
      </c>
      <c r="AX136" s="205">
        <v>-0.4722598</v>
      </c>
      <c r="AY136" s="205">
        <v>-1.7929635</v>
      </c>
      <c r="AZ136" s="205">
        <v>-0.1759134</v>
      </c>
      <c r="BA136" s="205">
        <v>0.64817321</v>
      </c>
      <c r="BB136" s="205">
        <v>-0.8430311</v>
      </c>
      <c r="BC136" s="205">
        <v>-0.6393775</v>
      </c>
      <c r="BD136" s="205">
        <v>1.66508796</v>
      </c>
      <c r="BE136" s="205">
        <v>0.73477673</v>
      </c>
      <c r="BF136" s="205">
        <v>0.14682003</v>
      </c>
      <c r="BG136" s="205">
        <v>0.46549391</v>
      </c>
      <c r="BH136" s="205">
        <v>0.05345061</v>
      </c>
      <c r="BI136" s="205">
        <v>-0.6102842</v>
      </c>
      <c r="BJ136" s="205">
        <v>-0.2916103</v>
      </c>
      <c r="BK136" s="205">
        <v>-0.9627876</v>
      </c>
      <c r="BL136" s="205">
        <v>0.91136671</v>
      </c>
      <c r="BM136" s="205">
        <v>0.08863329</v>
      </c>
      <c r="BN136" s="205">
        <v>-0.1339648</v>
      </c>
      <c r="BO136" s="205">
        <v>0.02841678</v>
      </c>
      <c r="BP136" s="205">
        <v>0.41339648</v>
      </c>
      <c r="BQ136" s="205">
        <v>-0.0101488</v>
      </c>
      <c r="BR136" s="206"/>
      <c r="BS136" s="207">
        <f t="shared" si="6"/>
        <v>-0.1212814384</v>
      </c>
      <c r="BT136" s="207">
        <f t="shared" si="7"/>
        <v>0.5911228152</v>
      </c>
      <c r="BU136" s="206"/>
      <c r="BV136" s="207">
        <f>IFERROR(__xludf.DUMMYFUNCTION("AVERAGE(ARRAYFORMULA(XLOOKUP(FILTER(INDIRECT(""'""&amp;BV$1&amp;""'!$C$4:$C$66""),INDIRECT(""'""&amp;BV$1&amp;""'!$D$4:$D$66"")=BV$2),$G$4:$BQ$4,$G136:$BQ136)))"),-0.3403247714285714)</f>
        <v>-0.3403247714</v>
      </c>
      <c r="BW136" s="207" t="str">
        <f>IFERROR(__xludf.DUMMYFUNCTION("IF(OR(BV136&gt;$BS136+$BT136*$BT$2,BV136&lt;$BS136-$BT136*$BT$2),AVEDEV(ARRAYFORMULA(XLOOKUP(FILTER(INDIRECT(""'""&amp;BV$1&amp;""'!$C$4:$C$66""),INDIRECT(""'""&amp;BV$1&amp;""'!$D$4:$D$66"")=BV$2),$G$4:$BQ$4,$G136:$BQ136))),"""")"),"")</f>
        <v/>
      </c>
      <c r="BX136" s="208" t="str">
        <f t="shared" si="8"/>
        <v/>
      </c>
      <c r="BY136" s="207">
        <f>IFERROR(__xludf.DUMMYFUNCTION("AVERAGE(ARRAYFORMULA(XLOOKUP(FILTER(INDIRECT(""'""&amp;BY$1&amp;""'!$C$4:$C$66""),INDIRECT(""'""&amp;BY$1&amp;""'!$D$4:$D$66"")=BY$2),$G$4:$BQ$4,$G136:$BQ136)))"),-0.26564211357142853)</f>
        <v>-0.2656421136</v>
      </c>
      <c r="BZ136" s="207" t="str">
        <f>IFERROR(__xludf.DUMMYFUNCTION("IF(OR(BY136&gt;$BS136+$BT136*$BT$2,BY136&lt;$BS136-$BT136*$BT$2),AVEDEV(ARRAYFORMULA(XLOOKUP(FILTER(INDIRECT(""'""&amp;BY$1&amp;""'!$C$4:$C$66""),INDIRECT(""'""&amp;BY$1&amp;""'!$D$4:$D$66"")=BY$2),$G$4:$BQ$4,$G136:$BQ136))),"""")"),"")</f>
        <v/>
      </c>
      <c r="CA136" s="208" t="str">
        <f t="shared" si="9"/>
        <v/>
      </c>
      <c r="CB136" s="207">
        <f>IFERROR(__xludf.DUMMYFUNCTION("AVERAGE(ARRAYFORMULA(XLOOKUP(FILTER(INDIRECT(""'""&amp;CB$1&amp;""'!$C$4:$C$66""),INDIRECT(""'""&amp;CB$1&amp;""'!$D$4:$D$66"")=CB$2),$G$4:$BQ$4,$G136:$BQ136)))"),0.19141346272727275)</f>
        <v>0.1914134627</v>
      </c>
      <c r="CC136" s="207" t="str">
        <f>IFERROR(__xludf.DUMMYFUNCTION("IF(OR(CB136&gt;$BS136+$BT136*$BT$2,CB136&lt;$BS136-$BT136*$BT$2),AVEDEV(ARRAYFORMULA(XLOOKUP(FILTER(INDIRECT(""'""&amp;CB$1&amp;""'!$C$4:$C$66""),INDIRECT(""'""&amp;CB$1&amp;""'!$D$4:$D$66"")=CB$2),$G$4:$BQ$4,$G136:$BQ136))),"""")"),"")</f>
        <v/>
      </c>
      <c r="CD136" s="208" t="str">
        <f t="shared" si="10"/>
        <v/>
      </c>
      <c r="CE136" s="209" t="s">
        <v>444</v>
      </c>
      <c r="CF136" s="207">
        <f>IFERROR(__xludf.DUMMYFUNCTION("AVERAGE(ARRAYFORMULA(XLOOKUP(FILTER(INDIRECT(""'""&amp;CF$1&amp;""'!$C$4:$C$66""),INDIRECT(""'""&amp;CF$1&amp;""'!$D$4:$D$66"")=CF$2),$G$4:$BQ$4,$G136:$BQ136)))"),-0.03691643687500001)</f>
        <v>-0.03691643688</v>
      </c>
      <c r="CG136" s="207" t="str">
        <f>IFERROR(__xludf.DUMMYFUNCTION("IF(OR(CF136&gt;$BS136+$BT136*$BT$2,CF136&lt;$BS136-$BT136*$BT$2),AVEDEV(ARRAYFORMULA(XLOOKUP(FILTER(INDIRECT(""'""&amp;CF$1&amp;""'!$C$4:$C$66""),INDIRECT(""'""&amp;CF$1&amp;""'!$D$4:$D$66"")=CF$2),$G$4:$BQ$4,$G136:$BQ136))),"""")"),"")</f>
        <v/>
      </c>
      <c r="CH136" s="208" t="str">
        <f t="shared" si="11"/>
        <v/>
      </c>
      <c r="CI136" s="207">
        <f>IFERROR(__xludf.DUMMYFUNCTION("AVERAGE(ARRAYFORMULA(XLOOKUP(FILTER(INDIRECT(""'""&amp;CI$1&amp;""'!$C$4:$C$66""),INDIRECT(""'""&amp;CI$1&amp;""'!$D$4:$D$66"")=CI$2),$G$4:$BQ$4,$G136:$BQ136)))"),-0.3592911067741935)</f>
        <v>-0.3592911068</v>
      </c>
      <c r="CJ136" s="207" t="str">
        <f>IFERROR(__xludf.DUMMYFUNCTION("IF(OR(CI136&gt;$BS136+$BT136*$BT$2,CI136&lt;$BS136-$BT136*$BT$2),AVEDEV(ARRAYFORMULA(XLOOKUP(FILTER(INDIRECT(""'""&amp;CI$1&amp;""'!$C$4:$C$66""),INDIRECT(""'""&amp;CI$1&amp;""'!$D$4:$D$66"")=CI$2),$G$4:$BQ$4,$G136:$BQ136))),"""")"),"")</f>
        <v/>
      </c>
      <c r="CK136" s="208" t="str">
        <f t="shared" si="12"/>
        <v/>
      </c>
      <c r="CL136" s="207">
        <f>IFERROR(__xludf.DUMMYFUNCTION("AVERAGE(ARRAYFORMULA(XLOOKUP(FILTER(INDIRECT(""'""&amp;CL$1&amp;""'!$C$4:$C$66""),INDIRECT(""'""&amp;CL$1&amp;""'!$D$4:$D$66"")=CL$2),$G$4:$BQ$4,$G136:$BQ136)))"),0.420703654)</f>
        <v>0.420703654</v>
      </c>
      <c r="CM136" s="207" t="str">
        <f>IFERROR(__xludf.DUMMYFUNCTION("IF(OR(CL136&gt;$BS136+$BT136*$BT$2,CL136&lt;$BS136-$BT136*$BT$2),AVEDEV(ARRAYFORMULA(XLOOKUP(FILTER(INDIRECT(""'""&amp;CL$1&amp;""'!$C$4:$C$66""),INDIRECT(""'""&amp;CL$1&amp;""'!$D$4:$D$66"")=CL$2),$G$4:$BQ$4,$G136:$BQ136))),"""")"),"")</f>
        <v/>
      </c>
      <c r="CN136" s="208" t="str">
        <f t="shared" si="13"/>
        <v/>
      </c>
      <c r="CO136" s="209" t="s">
        <v>444</v>
      </c>
      <c r="CP136" s="210">
        <f>IFERROR(__xludf.DUMMYFUNCTION("AVERAGE(ARRAYFORMULA(XLOOKUP(FILTER(INDIRECT(""'""&amp;CP$1&amp;""'!$C$4:$C$66""),INDIRECT(""'""&amp;CP$1&amp;""'!$D$4:$D$66"")=CP$2),$G$4:$BQ$4,$G136:$BQ136)))"),0.12665764866666665)</f>
        <v>0.1266576487</v>
      </c>
      <c r="CQ136" s="207" t="str">
        <f>IFERROR(__xludf.DUMMYFUNCTION("IF(OR(CP136&gt;$BS136+$BT136*$BT$2,CP136&lt;$BS136-$BT136*$BT$2),AVEDEV(ARRAYFORMULA(XLOOKUP(FILTER(INDIRECT(""'""&amp;CP$1&amp;""'!$C$4:$C$66""),INDIRECT(""'""&amp;CP$1&amp;""'!$D$4:$D$66"")=CP$2),$G$4:$BQ$4,$G136:$BQ136))),"""")"),"")</f>
        <v/>
      </c>
      <c r="CR136" s="208" t="str">
        <f t="shared" si="14"/>
        <v/>
      </c>
      <c r="CS136" s="210">
        <f>IFERROR(__xludf.DUMMYFUNCTION("AVERAGE(ARRAYFORMULA(XLOOKUP(FILTER(INDIRECT(""'""&amp;CS$1&amp;""'!$C$4:$C$66""),INDIRECT(""'""&amp;CS$1&amp;""'!$D$4:$D$66"")=CS$2),$G$4:$BQ$4,$G136:$BQ136)))"),-0.4191908664102563)</f>
        <v>-0.4191908664</v>
      </c>
      <c r="CT136" s="207" t="str">
        <f>IFERROR(__xludf.DUMMYFUNCTION("IF(OR(CS136&gt;$BS136+$BT136*$BT$2,CS136&lt;$BS136-$BT136*$BT$2),AVEDEV(ARRAYFORMULA(XLOOKUP(FILTER(INDIRECT(""'""&amp;CS$1&amp;""'!$C$4:$C$66""),INDIRECT(""'""&amp;CS$1&amp;""'!$D$4:$D$66"")=CS$2),$G$4:$BQ$4,$G136:$BQ136))),"""")"),"")</f>
        <v/>
      </c>
      <c r="CU136" s="208" t="str">
        <f t="shared" si="15"/>
        <v/>
      </c>
      <c r="CV136" s="210">
        <f>IFERROR(__xludf.DUMMYFUNCTION("AVERAGE(ARRAYFORMULA(XLOOKUP(FILTER(INDIRECT(""'""&amp;CV$1&amp;""'!$C$4:$C$66""),INDIRECT(""'""&amp;CV$1&amp;""'!$D$4:$D$66"")=CV$2),$G$4:$BQ$4,$G136:$BQ136)))"),0.420703654)</f>
        <v>0.420703654</v>
      </c>
      <c r="CW136" s="207" t="str">
        <f>IFERROR(__xludf.DUMMYFUNCTION("IF(OR(CV136&gt;$BS136+$BT136*$BT$2,CV136&lt;$BS136-$BT136*$BT$2),AVEDEV(ARRAYFORMULA(XLOOKUP(FILTER(INDIRECT(""'""&amp;CV$1&amp;""'!$C$4:$C$66""),INDIRECT(""'""&amp;CV$1&amp;""'!$D$4:$D$66"")=CV$2),$G$4:$BQ$4,$G136:$BQ136))),"""")"),"")</f>
        <v/>
      </c>
      <c r="CX136" s="208" t="str">
        <f t="shared" si="16"/>
        <v/>
      </c>
      <c r="CY136" s="209" t="s">
        <v>444</v>
      </c>
      <c r="CZ136" s="210">
        <f>IFERROR(__xludf.DUMMYFUNCTION("AVERAGE(ARRAYFORMULA(XLOOKUP(FILTER(INDIRECT(""'""&amp;CZ$1&amp;""'!$C$4:$C$66""),INDIRECT(""'""&amp;CZ$1&amp;""'!$D$4:$D$66"")=CZ$2),$G$4:$BQ$4,$G136:$BQ136)))"),-0.13415813000000001)</f>
        <v>-0.13415813</v>
      </c>
      <c r="DA136" s="207" t="str">
        <f>IFERROR(__xludf.DUMMYFUNCTION("IF(OR(CZ136&gt;$BS136+$BT136*$BT$2,CZ136&lt;$BS136-$BT136*$BT$2),AVEDEV(ARRAYFORMULA(XLOOKUP(FILTER(INDIRECT(""'""&amp;CZ$1&amp;""'!$C$4:$C$66""),INDIRECT(""'""&amp;CZ$1&amp;""'!$D$4:$D$66"")=CZ$2),$G$4:$BQ$4,$G136:$BQ136))),"""")"),"")</f>
        <v/>
      </c>
      <c r="DB136" s="208" t="str">
        <f t="shared" si="17"/>
        <v/>
      </c>
      <c r="DC136" s="210">
        <f>IFERROR(__xludf.DUMMYFUNCTION("AVERAGE(ARRAYFORMULA(XLOOKUP(FILTER(INDIRECT(""'""&amp;DC$1&amp;""'!$C$4:$C$66""),INDIRECT(""'""&amp;DC$1&amp;""'!$D$4:$D$66"")=DC$2),$G$4:$BQ$4,$G136:$BQ136)))"),0.2436475777777778)</f>
        <v>0.2436475778</v>
      </c>
      <c r="DD136" s="207" t="str">
        <f>IFERROR(__xludf.DUMMYFUNCTION("IF(OR(DC136&gt;$BS136+$BT136*$BT$2,DC136&lt;$BS136-$BT136*$BT$2),AVEDEV(ARRAYFORMULA(XLOOKUP(FILTER(INDIRECT(""'""&amp;DC$1&amp;""'!$C$4:$C$66""),INDIRECT(""'""&amp;DC$1&amp;""'!$D$4:$D$66"")=DC$2),$G$4:$BQ$4,$G136:$BQ136))),"""")"),"")</f>
        <v/>
      </c>
      <c r="DE136" s="208" t="str">
        <f t="shared" si="18"/>
        <v/>
      </c>
      <c r="DF136" s="210">
        <f>IFERROR(__xludf.DUMMYFUNCTION("AVERAGE(ARRAYFORMULA(XLOOKUP(FILTER(INDIRECT(""'""&amp;DF$1&amp;""'!$C$4:$C$66""),INDIRECT(""'""&amp;DF$1&amp;""'!$D$4:$D$66"")=DF$2),$G$4:$BQ$4,$G136:$BQ136)))"),-0.0061508145454545774)</f>
        <v>-0.006150814545</v>
      </c>
      <c r="DG136" s="207" t="str">
        <f>IFERROR(__xludf.DUMMYFUNCTION("IF(OR(DF136&gt;$BS136+$BT136*$BT$2,DF136&lt;$BS136-$BT136*$BT$2),AVEDEV(ARRAYFORMULA(XLOOKUP(FILTER(INDIRECT(""'""&amp;DF$1&amp;""'!$C$4:$C$66""),INDIRECT(""'""&amp;DF$1&amp;""'!$D$4:$D$66"")=DF$2),$G$4:$BQ$4,$G136:$BQ136))),"""")"),"")</f>
        <v/>
      </c>
      <c r="DH136" s="208" t="str">
        <f t="shared" si="19"/>
        <v/>
      </c>
      <c r="DI136" s="210">
        <f>IFERROR(__xludf.DUMMYFUNCTION("AVERAGE(ARRAYFORMULA(XLOOKUP(FILTER(INDIRECT(""'""&amp;DI$1&amp;""'!$C$4:$C$66""),INDIRECT(""'""&amp;DI$1&amp;""'!$D$4:$D$66"")=DI$2),$G$4:$BQ$4,$G136:$BQ136)))"),-0.203653595)</f>
        <v>-0.203653595</v>
      </c>
      <c r="DJ136" s="207" t="str">
        <f>IFERROR(__xludf.DUMMYFUNCTION("IF(OR(DI136&gt;$BS136+$BT136*$BT$2,DI136&lt;$BS136-$BT136*$BT$2),AVEDEV(ARRAYFORMULA(XLOOKUP(FILTER(INDIRECT(""'""&amp;DI$1&amp;""'!$C$4:$C$66""),INDIRECT(""'""&amp;DI$1&amp;""'!$D$4:$D$66"")=DI$2),$G$4:$BQ$4,$G136:$BQ136))),"""")"),"")</f>
        <v/>
      </c>
      <c r="DK136" s="208" t="str">
        <f t="shared" si="20"/>
        <v/>
      </c>
      <c r="DL136" s="210">
        <f>IFERROR(__xludf.DUMMYFUNCTION("AVERAGE(ARRAYFORMULA(XLOOKUP(FILTER(INDIRECT(""'""&amp;DL$1&amp;""'!$C$4:$C$66""),INDIRECT(""'""&amp;DL$1&amp;""'!$D$4:$D$66"")=DL$2),$G$4:$BQ$4,$G136:$BQ136)))"),-0.6833075514285715)</f>
        <v>-0.6833075514</v>
      </c>
      <c r="DM136" s="207" t="str">
        <f>IFERROR(__xludf.DUMMYFUNCTION("IF(OR(DL136&gt;$BS136+$BT136*$BT$2,DL136&lt;$BS136-$BT136*$BT$2),AVEDEV(ARRAYFORMULA(XLOOKUP(FILTER(INDIRECT(""'""&amp;DL$1&amp;""'!$C$4:$C$66""),INDIRECT(""'""&amp;DL$1&amp;""'!$D$4:$D$66"")=DL$2),$G$4:$BQ$4,$G136:$BQ136))),"""")"),"")</f>
        <v/>
      </c>
      <c r="DN136" s="208" t="str">
        <f t="shared" si="21"/>
        <v/>
      </c>
      <c r="DO136" s="209" t="s">
        <v>444</v>
      </c>
      <c r="DP136" s="210">
        <f>IFERROR(__xludf.DUMMYFUNCTION("AVERAGE(ARRAYFORMULA(XLOOKUP(FILTER(INDIRECT(""'""&amp;DP$1&amp;""'!$C$4:$C$66""),INDIRECT(""'""&amp;DP$1&amp;""'!$D$4:$D$66"")=DP$2),$G$4:$BQ$4,$G136:$BQ136)))"),-0.16799728966666666)</f>
        <v>-0.1679972897</v>
      </c>
      <c r="DQ136" s="207" t="str">
        <f>IFERROR(__xludf.DUMMYFUNCTION("IF(OR(DP136&gt;$BS136+$BT136*$BT$2,DP136&lt;$BS136-$BT136*$BT$2),AVEDEV(ARRAYFORMULA(XLOOKUP(FILTER(INDIRECT(""'""&amp;DP$1&amp;""'!$C$4:$C$66""),INDIRECT(""'""&amp;DP$1&amp;""'!$D$4:$D$66"")=DP$2),$G$4:$BQ$4,$G136:$BQ136))),"""")"),"")</f>
        <v/>
      </c>
      <c r="DR136" s="208" t="str">
        <f t="shared" si="22"/>
        <v/>
      </c>
      <c r="DS136" s="210">
        <f>IFERROR(__xludf.DUMMYFUNCTION("AVERAGE(ARRAYFORMULA(XLOOKUP(FILTER(INDIRECT(""'""&amp;DS$1&amp;""'!$C$4:$C$66""),INDIRECT(""'""&amp;DS$1&amp;""'!$D$4:$D$66"")=DS$2),$G$4:$BQ$4,$G136:$BQ136)))"),0.10855510222222223)</f>
        <v>0.1085551022</v>
      </c>
      <c r="DT136" s="207" t="str">
        <f>IFERROR(__xludf.DUMMYFUNCTION("IF(OR(DS136&gt;$BS136+$BT136*$BT$2,DS136&lt;$BS136-$BT136*$BT$2),AVEDEV(ARRAYFORMULA(XLOOKUP(FILTER(INDIRECT(""'""&amp;DS$1&amp;""'!$C$4:$C$66""),INDIRECT(""'""&amp;DS$1&amp;""'!$D$4:$D$66"")=DS$2),$G$4:$BQ$4,$G136:$BQ136))),"""")"),"")</f>
        <v/>
      </c>
      <c r="DU136" s="208" t="str">
        <f t="shared" si="23"/>
        <v/>
      </c>
      <c r="DV136" s="210">
        <f>IFERROR(__xludf.DUMMYFUNCTION("AVERAGE(ARRAYFORMULA(XLOOKUP(FILTER(INDIRECT(""'""&amp;DV$1&amp;""'!$C$4:$C$66""),INDIRECT(""'""&amp;DV$1&amp;""'!$D$4:$D$66"")=DV$2),$G$4:$BQ$4,$G136:$BQ136)))"),-0.5628382925)</f>
        <v>-0.5628382925</v>
      </c>
      <c r="DW136" s="207" t="str">
        <f>IFERROR(__xludf.DUMMYFUNCTION("IF(OR(DV136&gt;$BS136+$BT136*$BT$2,DV136&lt;$BS136-$BT136*$BT$2),AVEDEV(ARRAYFORMULA(XLOOKUP(FILTER(INDIRECT(""'""&amp;DV$1&amp;""'!$C$4:$C$66""),INDIRECT(""'""&amp;DV$1&amp;""'!$D$4:$D$66"")=DV$2),$G$4:$BQ$4,$G136:$BQ136))),"""")"),"")</f>
        <v/>
      </c>
      <c r="DX136" s="208" t="str">
        <f t="shared" si="24"/>
        <v/>
      </c>
      <c r="DY136" s="210">
        <f>IFERROR(__xludf.DUMMYFUNCTION("AVERAGE(ARRAYFORMULA(XLOOKUP(FILTER(INDIRECT(""'""&amp;DY$1&amp;""'!$C$4:$C$66""),INDIRECT(""'""&amp;DY$1&amp;""'!$D$4:$D$66"")=DY$2),$G$4:$BQ$4,$G136:$BQ136)))"),-0.07141783111111111)</f>
        <v>-0.07141783111</v>
      </c>
      <c r="DZ136" s="207" t="str">
        <f>IFERROR(__xludf.DUMMYFUNCTION("IF(OR(DY136&gt;$BS136+$BT136*$BT$2,DY136&lt;$BS136-$BT136*$BT$2),AVEDEV(ARRAYFORMULA(XLOOKUP(FILTER(INDIRECT(""'""&amp;DY$1&amp;""'!$C$4:$C$66""),INDIRECT(""'""&amp;DY$1&amp;""'!$D$4:$D$66"")=DY$2),$G$4:$BQ$4,$G136:$BQ136))),"""")"),"")</f>
        <v/>
      </c>
      <c r="EA136" s="208" t="str">
        <f t="shared" si="25"/>
        <v/>
      </c>
      <c r="EB136" s="191"/>
    </row>
    <row r="137" outlineLevel="1">
      <c r="A137" s="2"/>
      <c r="B137" s="204">
        <v>133.0</v>
      </c>
      <c r="C137" s="204" t="s">
        <v>540</v>
      </c>
      <c r="D137" s="204" t="s">
        <v>579</v>
      </c>
      <c r="E137" s="205" t="b">
        <f>VLOOKUP(D137,'Feature Set List'!A133:C246,2,0)</f>
        <v>1</v>
      </c>
      <c r="F137" s="205" t="b">
        <f>VLOOKUP(D137,'Feature Set List'!A133:C246,3,0)</f>
        <v>1</v>
      </c>
      <c r="G137" s="205">
        <v>-0.2994012</v>
      </c>
      <c r="H137" s="205">
        <v>-0.0032934</v>
      </c>
      <c r="I137" s="205">
        <v>1.39520958</v>
      </c>
      <c r="J137" s="205">
        <v>-0.0857784</v>
      </c>
      <c r="K137" s="205">
        <v>-0.7756886</v>
      </c>
      <c r="L137" s="205">
        <v>0.03922156</v>
      </c>
      <c r="M137" s="205">
        <v>0.89820359</v>
      </c>
      <c r="N137" s="205">
        <v>-0.3988024</v>
      </c>
      <c r="O137" s="205">
        <v>-0.4962575</v>
      </c>
      <c r="P137" s="205">
        <v>0.87125749</v>
      </c>
      <c r="Q137" s="205">
        <v>-0.8426048</v>
      </c>
      <c r="R137" s="205">
        <v>0.2994012</v>
      </c>
      <c r="S137" s="205">
        <v>-0.1273952</v>
      </c>
      <c r="T137" s="205">
        <v>0.2994012</v>
      </c>
      <c r="U137" s="205">
        <v>0.66317365</v>
      </c>
      <c r="V137" s="205">
        <v>-0.8233533</v>
      </c>
      <c r="W137" s="205">
        <v>0.73502994</v>
      </c>
      <c r="X137" s="205">
        <v>-0.4693114</v>
      </c>
      <c r="Y137" s="205">
        <v>0.28458084</v>
      </c>
      <c r="Z137" s="205">
        <v>0.0</v>
      </c>
      <c r="AA137" s="205">
        <v>-0.1968563</v>
      </c>
      <c r="AB137" s="205">
        <v>0.29266467</v>
      </c>
      <c r="AC137" s="205">
        <v>0.30434132</v>
      </c>
      <c r="AD137" s="205">
        <v>3.89221557</v>
      </c>
      <c r="AE137" s="205">
        <v>0.6497006</v>
      </c>
      <c r="AF137" s="205">
        <v>0.29296407</v>
      </c>
      <c r="AG137" s="205">
        <v>-0.812994</v>
      </c>
      <c r="AH137" s="205">
        <v>0.42260479</v>
      </c>
      <c r="AI137" s="205">
        <v>1.48802395</v>
      </c>
      <c r="AJ137" s="205">
        <v>0.29476048</v>
      </c>
      <c r="AK137" s="205">
        <v>-0.3008982</v>
      </c>
      <c r="AL137" s="205">
        <v>-0.2994012</v>
      </c>
      <c r="AM137" s="205">
        <v>1.34730539</v>
      </c>
      <c r="AN137" s="205">
        <v>-0.2994012</v>
      </c>
      <c r="AO137" s="205">
        <v>-0.0489521</v>
      </c>
      <c r="AP137" s="205">
        <v>0.28188623</v>
      </c>
      <c r="AQ137" s="205">
        <v>-0.8233533</v>
      </c>
      <c r="AR137" s="205">
        <v>-0.3901198</v>
      </c>
      <c r="AS137" s="205">
        <v>12.6257485</v>
      </c>
      <c r="AT137" s="205">
        <v>-0.3115269</v>
      </c>
      <c r="AU137" s="205">
        <v>66.6916168</v>
      </c>
      <c r="AV137" s="205">
        <v>1.45958084</v>
      </c>
      <c r="AW137" s="205">
        <v>-0.3125749</v>
      </c>
      <c r="AX137" s="205">
        <v>-0.3857784</v>
      </c>
      <c r="AY137" s="205">
        <v>-0.8592216</v>
      </c>
      <c r="AZ137" s="205">
        <v>0.89820359</v>
      </c>
      <c r="BA137" s="205">
        <v>1.29790419</v>
      </c>
      <c r="BB137" s="205">
        <v>-0.5335329</v>
      </c>
      <c r="BC137" s="205">
        <v>-0.4610778</v>
      </c>
      <c r="BD137" s="205">
        <v>165.568862</v>
      </c>
      <c r="BE137" s="205">
        <v>0.2245509</v>
      </c>
      <c r="BF137" s="205">
        <v>-0.2808383</v>
      </c>
      <c r="BG137" s="205">
        <v>0.2994012</v>
      </c>
      <c r="BH137" s="205">
        <v>3.89221557</v>
      </c>
      <c r="BI137" s="205">
        <v>-0.2994012</v>
      </c>
      <c r="BJ137" s="205">
        <v>0.64670659</v>
      </c>
      <c r="BK137" s="205">
        <v>-0.008982</v>
      </c>
      <c r="BL137" s="205">
        <v>-0.3008982</v>
      </c>
      <c r="BM137" s="205">
        <v>-0.0261976</v>
      </c>
      <c r="BN137" s="205">
        <v>0.78742515</v>
      </c>
      <c r="BO137" s="205">
        <v>-0.2994012</v>
      </c>
      <c r="BP137" s="205">
        <v>0.82185629</v>
      </c>
      <c r="BQ137" s="205">
        <v>-0.2994012</v>
      </c>
      <c r="BR137" s="206"/>
      <c r="BS137" s="207">
        <f t="shared" si="6"/>
        <v>4.096719417</v>
      </c>
      <c r="BT137" s="207">
        <f t="shared" si="7"/>
        <v>7.384002192</v>
      </c>
      <c r="BU137" s="206"/>
      <c r="BV137" s="207">
        <f>IFERROR(__xludf.DUMMYFUNCTION("AVERAGE(ARRAYFORMULA(XLOOKUP(FILTER(INDIRECT(""'""&amp;BV$1&amp;""'!$C$4:$C$66""),INDIRECT(""'""&amp;BV$1&amp;""'!$D$4:$D$66"")=BV$2),$G$4:$BQ$4,$G137:$BQ137)))"),-0.1891702357142857)</f>
        <v>-0.1891702357</v>
      </c>
      <c r="BW137" s="207" t="str">
        <f>IFERROR(__xludf.DUMMYFUNCTION("IF(OR(BV137&gt;$BS137+$BT137*$BT$2,BV137&lt;$BS137-$BT137*$BT$2),AVEDEV(ARRAYFORMULA(XLOOKUP(FILTER(INDIRECT(""'""&amp;BV$1&amp;""'!$C$4:$C$66""),INDIRECT(""'""&amp;BV$1&amp;""'!$D$4:$D$66"")=BV$2),$G$4:$BQ$4,$G137:$BQ137))),"""")"),"")</f>
        <v/>
      </c>
      <c r="BX137" s="208" t="str">
        <f t="shared" si="8"/>
        <v/>
      </c>
      <c r="BY137" s="207">
        <f>IFERROR(__xludf.DUMMYFUNCTION("AVERAGE(ARRAYFORMULA(XLOOKUP(FILTER(INDIRECT(""'""&amp;BY$1&amp;""'!$C$4:$C$66""),INDIRECT(""'""&amp;BY$1&amp;""'!$D$4:$D$66"")=BY$2),$G$4:$BQ$4,$G137:$BQ137)))"),0.4873966390476192)</f>
        <v>0.487396639</v>
      </c>
      <c r="BZ137" s="207" t="str">
        <f>IFERROR(__xludf.DUMMYFUNCTION("IF(OR(BY137&gt;$BS137+$BT137*$BT$2,BY137&lt;$BS137-$BT137*$BT$2),AVEDEV(ARRAYFORMULA(XLOOKUP(FILTER(INDIRECT(""'""&amp;BY$1&amp;""'!$C$4:$C$66""),INDIRECT(""'""&amp;BY$1&amp;""'!$D$4:$D$66"")=BY$2),$G$4:$BQ$4,$G137:$BQ137))),"""")"),"")</f>
        <v/>
      </c>
      <c r="CA137" s="208" t="str">
        <f t="shared" si="9"/>
        <v/>
      </c>
      <c r="CB137" s="207">
        <f>IFERROR(__xludf.DUMMYFUNCTION("AVERAGE(ARRAYFORMULA(XLOOKUP(FILTER(INDIRECT(""'""&amp;CB$1&amp;""'!$C$4:$C$66""),INDIRECT(""'""&amp;CB$1&amp;""'!$D$4:$D$66"")=CB$2),$G$4:$BQ$4,$G137:$BQ137)))"),0.48101524272727275)</f>
        <v>0.4810152427</v>
      </c>
      <c r="CC137" s="207" t="str">
        <f>IFERROR(__xludf.DUMMYFUNCTION("IF(OR(CB137&gt;$BS137+$BT137*$BT$2,CB137&lt;$BS137-$BT137*$BT$2),AVEDEV(ARRAYFORMULA(XLOOKUP(FILTER(INDIRECT(""'""&amp;CB$1&amp;""'!$C$4:$C$66""),INDIRECT(""'""&amp;CB$1&amp;""'!$D$4:$D$66"")=CB$2),$G$4:$BQ$4,$G137:$BQ137))),"""")"),"")</f>
        <v/>
      </c>
      <c r="CD137" s="208" t="str">
        <f t="shared" si="10"/>
        <v/>
      </c>
      <c r="CE137" s="209" t="s">
        <v>444</v>
      </c>
      <c r="CF137" s="207">
        <f>IFERROR(__xludf.DUMMYFUNCTION("AVERAGE(ARRAYFORMULA(XLOOKUP(FILTER(INDIRECT(""'""&amp;CF$1&amp;""'!$C$4:$C$66""),INDIRECT(""'""&amp;CF$1&amp;""'!$D$4:$D$66"")=CF$2),$G$4:$BQ$4,$G137:$BQ137)))"),-0.14874063562499995)</f>
        <v>-0.1487406356</v>
      </c>
      <c r="CG137" s="207" t="str">
        <f>IFERROR(__xludf.DUMMYFUNCTION("IF(OR(CF137&gt;$BS137+$BT137*$BT$2,CF137&lt;$BS137-$BT137*$BT$2),AVEDEV(ARRAYFORMULA(XLOOKUP(FILTER(INDIRECT(""'""&amp;CF$1&amp;""'!$C$4:$C$66""),INDIRECT(""'""&amp;CF$1&amp;""'!$D$4:$D$66"")=CF$2),$G$4:$BQ$4,$G137:$BQ137))),"""")"),"")</f>
        <v/>
      </c>
      <c r="CH137" s="208" t="str">
        <f t="shared" si="11"/>
        <v/>
      </c>
      <c r="CI137" s="207">
        <f>IFERROR(__xludf.DUMMYFUNCTION("AVERAGE(ARRAYFORMULA(XLOOKUP(FILTER(INDIRECT(""'""&amp;CI$1&amp;""'!$C$4:$C$66""),INDIRECT(""'""&amp;CI$1&amp;""'!$D$4:$D$66"")=CI$2),$G$4:$BQ$4,$G137:$BQ137)))"),0.44012362419354845)</f>
        <v>0.4401236242</v>
      </c>
      <c r="CJ137" s="207" t="str">
        <f>IFERROR(__xludf.DUMMYFUNCTION("IF(OR(CI137&gt;$BS137+$BT137*$BT$2,CI137&lt;$BS137-$BT137*$BT$2),AVEDEV(ARRAYFORMULA(XLOOKUP(FILTER(INDIRECT(""'""&amp;CI$1&amp;""'!$C$4:$C$66""),INDIRECT(""'""&amp;CI$1&amp;""'!$D$4:$D$66"")=CI$2),$G$4:$BQ$4,$G137:$BQ137))),"""")"),"")</f>
        <v/>
      </c>
      <c r="CK137" s="208" t="str">
        <f t="shared" si="12"/>
        <v/>
      </c>
      <c r="CL137" s="207">
        <f>IFERROR(__xludf.DUMMYFUNCTION("AVERAGE(ARRAYFORMULA(XLOOKUP(FILTER(INDIRECT(""'""&amp;CL$1&amp;""'!$C$4:$C$66""),INDIRECT(""'""&amp;CL$1&amp;""'!$D$4:$D$66"")=CL$2),$G$4:$BQ$4,$G137:$BQ137)))"),3.078742516)</f>
        <v>3.078742516</v>
      </c>
      <c r="CM137" s="207" t="str">
        <f>IFERROR(__xludf.DUMMYFUNCTION("IF(OR(CL137&gt;$BS137+$BT137*$BT$2,CL137&lt;$BS137-$BT137*$BT$2),AVEDEV(ARRAYFORMULA(XLOOKUP(FILTER(INDIRECT(""'""&amp;CL$1&amp;""'!$C$4:$C$66""),INDIRECT(""'""&amp;CL$1&amp;""'!$D$4:$D$66"")=CL$2),$G$4:$BQ$4,$G137:$BQ137))),"""")"),"")</f>
        <v/>
      </c>
      <c r="CN137" s="208" t="str">
        <f t="shared" si="13"/>
        <v/>
      </c>
      <c r="CO137" s="209" t="s">
        <v>444</v>
      </c>
      <c r="CP137" s="210">
        <f>IFERROR(__xludf.DUMMYFUNCTION("AVERAGE(ARRAYFORMULA(XLOOKUP(FILTER(INDIRECT(""'""&amp;CP$1&amp;""'!$C$4:$C$66""),INDIRECT(""'""&amp;CP$1&amp;""'!$D$4:$D$66"")=CP$2),$G$4:$BQ$4,$G137:$BQ137)))"),0.020439124666666652)</f>
        <v>0.02043912467</v>
      </c>
      <c r="CQ137" s="207" t="str">
        <f>IFERROR(__xludf.DUMMYFUNCTION("IF(OR(CP137&gt;$BS137+$BT137*$BT$2,CP137&lt;$BS137-$BT137*$BT$2),AVEDEV(ARRAYFORMULA(XLOOKUP(FILTER(INDIRECT(""'""&amp;CP$1&amp;""'!$C$4:$C$66""),INDIRECT(""'""&amp;CP$1&amp;""'!$D$4:$D$66"")=CP$2),$G$4:$BQ$4,$G137:$BQ137))),"""")"),"")</f>
        <v/>
      </c>
      <c r="CR137" s="208" t="str">
        <f t="shared" si="14"/>
        <v/>
      </c>
      <c r="CS137" s="210">
        <f>IFERROR(__xludf.DUMMYFUNCTION("AVERAGE(ARRAYFORMULA(XLOOKUP(FILTER(INDIRECT(""'""&amp;CS$1&amp;""'!$C$4:$C$66""),INDIRECT(""'""&amp;CS$1&amp;""'!$D$4:$D$66"")=CS$2),$G$4:$BQ$4,$G137:$BQ137)))"),0.23174957974358984)</f>
        <v>0.2317495797</v>
      </c>
      <c r="CT137" s="207" t="str">
        <f>IFERROR(__xludf.DUMMYFUNCTION("IF(OR(CS137&gt;$BS137+$BT137*$BT$2,CS137&lt;$BS137-$BT137*$BT$2),AVEDEV(ARRAYFORMULA(XLOOKUP(FILTER(INDIRECT(""'""&amp;CS$1&amp;""'!$C$4:$C$66""),INDIRECT(""'""&amp;CS$1&amp;""'!$D$4:$D$66"")=CS$2),$G$4:$BQ$4,$G137:$BQ137))),"""")"),"")</f>
        <v/>
      </c>
      <c r="CU137" s="208" t="str">
        <f t="shared" si="15"/>
        <v/>
      </c>
      <c r="CV137" s="210">
        <f>IFERROR(__xludf.DUMMYFUNCTION("AVERAGE(ARRAYFORMULA(XLOOKUP(FILTER(INDIRECT(""'""&amp;CV$1&amp;""'!$C$4:$C$66""),INDIRECT(""'""&amp;CV$1&amp;""'!$D$4:$D$66"")=CV$2),$G$4:$BQ$4,$G137:$BQ137)))"),3.078742516)</f>
        <v>3.078742516</v>
      </c>
      <c r="CW137" s="207" t="str">
        <f>IFERROR(__xludf.DUMMYFUNCTION("IF(OR(CV137&gt;$BS137+$BT137*$BT$2,CV137&lt;$BS137-$BT137*$BT$2),AVEDEV(ARRAYFORMULA(XLOOKUP(FILTER(INDIRECT(""'""&amp;CV$1&amp;""'!$C$4:$C$66""),INDIRECT(""'""&amp;CV$1&amp;""'!$D$4:$D$66"")=CV$2),$G$4:$BQ$4,$G137:$BQ137))),"""")"),"")</f>
        <v/>
      </c>
      <c r="CX137" s="208" t="str">
        <f t="shared" si="16"/>
        <v/>
      </c>
      <c r="CY137" s="209" t="s">
        <v>444</v>
      </c>
      <c r="CZ137" s="210">
        <f>IFERROR(__xludf.DUMMYFUNCTION("AVERAGE(ARRAYFORMULA(XLOOKUP(FILTER(INDIRECT(""'""&amp;CZ$1&amp;""'!$C$4:$C$66""),INDIRECT(""'""&amp;CZ$1&amp;""'!$D$4:$D$66"")=CZ$2),$G$4:$BQ$4,$G137:$BQ137)))"),-0.12361847285714286)</f>
        <v>-0.1236184729</v>
      </c>
      <c r="DA137" s="207" t="str">
        <f>IFERROR(__xludf.DUMMYFUNCTION("IF(OR(CZ137&gt;$BS137+$BT137*$BT$2,CZ137&lt;$BS137-$BT137*$BT$2),AVEDEV(ARRAYFORMULA(XLOOKUP(FILTER(INDIRECT(""'""&amp;CZ$1&amp;""'!$C$4:$C$66""),INDIRECT(""'""&amp;CZ$1&amp;""'!$D$4:$D$66"")=CZ$2),$G$4:$BQ$4,$G137:$BQ137))),"""")"),"")</f>
        <v/>
      </c>
      <c r="DB137" s="208" t="str">
        <f t="shared" si="17"/>
        <v/>
      </c>
      <c r="DC137" s="210">
        <f>IFERROR(__xludf.DUMMYFUNCTION("AVERAGE(ARRAYFORMULA(XLOOKUP(FILTER(INDIRECT(""'""&amp;DC$1&amp;""'!$C$4:$C$66""),INDIRECT(""'""&amp;DC$1&amp;""'!$D$4:$D$66"")=DC$2),$G$4:$BQ$4,$G137:$BQ137)))"),0.49101796444444445)</f>
        <v>0.4910179644</v>
      </c>
      <c r="DD137" s="207" t="str">
        <f>IFERROR(__xludf.DUMMYFUNCTION("IF(OR(DC137&gt;$BS137+$BT137*$BT$2,DC137&lt;$BS137-$BT137*$BT$2),AVEDEV(ARRAYFORMULA(XLOOKUP(FILTER(INDIRECT(""'""&amp;DC$1&amp;""'!$C$4:$C$66""),INDIRECT(""'""&amp;DC$1&amp;""'!$D$4:$D$66"")=DC$2),$G$4:$BQ$4,$G137:$BQ137))),"""")"),"")</f>
        <v/>
      </c>
      <c r="DE137" s="208" t="str">
        <f t="shared" si="18"/>
        <v/>
      </c>
      <c r="DF137" s="210">
        <f>IFERROR(__xludf.DUMMYFUNCTION("AVERAGE(ARRAYFORMULA(XLOOKUP(FILTER(INDIRECT(""'""&amp;DF$1&amp;""'!$C$4:$C$66""),INDIRECT(""'""&amp;DF$1&amp;""'!$D$4:$D$66"")=DF$2),$G$4:$BQ$4,$G137:$BQ137)))"),0.3717202)</f>
        <v>0.3717202</v>
      </c>
      <c r="DG137" s="207" t="str">
        <f>IFERROR(__xludf.DUMMYFUNCTION("IF(OR(DF137&gt;$BS137+$BT137*$BT$2,DF137&lt;$BS137-$BT137*$BT$2),AVEDEV(ARRAYFORMULA(XLOOKUP(FILTER(INDIRECT(""'""&amp;DF$1&amp;""'!$C$4:$C$66""),INDIRECT(""'""&amp;DF$1&amp;""'!$D$4:$D$66"")=DF$2),$G$4:$BQ$4,$G137:$BQ137))),"""")"),"")</f>
        <v/>
      </c>
      <c r="DH137" s="208" t="str">
        <f t="shared" si="19"/>
        <v/>
      </c>
      <c r="DI137" s="210">
        <f>IFERROR(__xludf.DUMMYFUNCTION("AVERAGE(ARRAYFORMULA(XLOOKUP(FILTER(INDIRECT(""'""&amp;DI$1&amp;""'!$C$4:$C$66""),INDIRECT(""'""&amp;DI$1&amp;""'!$D$4:$D$66"")=DI$2),$G$4:$BQ$4,$G137:$BQ137)))"),3.89221557)</f>
        <v>3.89221557</v>
      </c>
      <c r="DJ137" s="207" t="str">
        <f>IFERROR(__xludf.DUMMYFUNCTION("IF(OR(DI137&gt;$BS137+$BT137*$BT$2,DI137&lt;$BS137-$BT137*$BT$2),AVEDEV(ARRAYFORMULA(XLOOKUP(FILTER(INDIRECT(""'""&amp;DI$1&amp;""'!$C$4:$C$66""),INDIRECT(""'""&amp;DI$1&amp;""'!$D$4:$D$66"")=DI$2),$G$4:$BQ$4,$G137:$BQ137))),"""")"),"")</f>
        <v/>
      </c>
      <c r="DK137" s="208" t="str">
        <f t="shared" si="20"/>
        <v/>
      </c>
      <c r="DL137" s="210">
        <f>IFERROR(__xludf.DUMMYFUNCTION("AVERAGE(ARRAYFORMULA(XLOOKUP(FILTER(INDIRECT(""'""&amp;DL$1&amp;""'!$C$4:$C$66""),INDIRECT(""'""&amp;DL$1&amp;""'!$D$4:$D$66"")=DL$2),$G$4:$BQ$4,$G137:$BQ137)))"),-0.044563727857142854)</f>
        <v>-0.04456372786</v>
      </c>
      <c r="DM137" s="207" t="str">
        <f>IFERROR(__xludf.DUMMYFUNCTION("IF(OR(DL137&gt;$BS137+$BT137*$BT$2,DL137&lt;$BS137-$BT137*$BT$2),AVEDEV(ARRAYFORMULA(XLOOKUP(FILTER(INDIRECT(""'""&amp;DL$1&amp;""'!$C$4:$C$66""),INDIRECT(""'""&amp;DL$1&amp;""'!$D$4:$D$66"")=DL$2),$G$4:$BQ$4,$G137:$BQ137))),"""")"),"")</f>
        <v/>
      </c>
      <c r="DN137" s="208" t="str">
        <f t="shared" si="21"/>
        <v/>
      </c>
      <c r="DO137" s="209" t="s">
        <v>444</v>
      </c>
      <c r="DP137" s="210">
        <f>IFERROR(__xludf.DUMMYFUNCTION("AVERAGE(ARRAYFORMULA(XLOOKUP(FILTER(INDIRECT(""'""&amp;DP$1&amp;""'!$C$4:$C$66""),INDIRECT(""'""&amp;DP$1&amp;""'!$D$4:$D$66"")=DP$2),$G$4:$BQ$4,$G137:$BQ137)))"),-0.08714569866666667)</f>
        <v>-0.08714569867</v>
      </c>
      <c r="DQ137" s="207" t="str">
        <f>IFERROR(__xludf.DUMMYFUNCTION("IF(OR(DP137&gt;$BS137+$BT137*$BT$2,DP137&lt;$BS137-$BT137*$BT$2),AVEDEV(ARRAYFORMULA(XLOOKUP(FILTER(INDIRECT(""'""&amp;DP$1&amp;""'!$C$4:$C$66""),INDIRECT(""'""&amp;DP$1&amp;""'!$D$4:$D$66"")=DP$2),$G$4:$BQ$4,$G137:$BQ137))),"""")"),"")</f>
        <v/>
      </c>
      <c r="DR137" s="208" t="str">
        <f t="shared" si="22"/>
        <v/>
      </c>
      <c r="DS137" s="210">
        <f>IFERROR(__xludf.DUMMYFUNCTION("AVERAGE(ARRAYFORMULA(XLOOKUP(FILTER(INDIRECT(""'""&amp;DS$1&amp;""'!$C$4:$C$66""),INDIRECT(""'""&amp;DS$1&amp;""'!$D$4:$D$66"")=DS$2),$G$4:$BQ$4,$G137:$BQ137)))"),0.5861111122222222)</f>
        <v>0.5861111122</v>
      </c>
      <c r="DT137" s="207" t="str">
        <f>IFERROR(__xludf.DUMMYFUNCTION("IF(OR(DS137&gt;$BS137+$BT137*$BT$2,DS137&lt;$BS137-$BT137*$BT$2),AVEDEV(ARRAYFORMULA(XLOOKUP(FILTER(INDIRECT(""'""&amp;DS$1&amp;""'!$C$4:$C$66""),INDIRECT(""'""&amp;DS$1&amp;""'!$D$4:$D$66"")=DS$2),$G$4:$BQ$4,$G137:$BQ137))),"""")"),"")</f>
        <v/>
      </c>
      <c r="DU137" s="208" t="str">
        <f t="shared" si="23"/>
        <v/>
      </c>
      <c r="DV137" s="210">
        <f>IFERROR(__xludf.DUMMYFUNCTION("AVERAGE(ARRAYFORMULA(XLOOKUP(FILTER(INDIRECT(""'""&amp;DV$1&amp;""'!$C$4:$C$66""),INDIRECT(""'""&amp;DV$1&amp;""'!$D$4:$D$66"")=DV$2),$G$4:$BQ$4,$G137:$BQ137)))"),0.05947603999999998)</f>
        <v>0.05947604</v>
      </c>
      <c r="DW137" s="207" t="str">
        <f>IFERROR(__xludf.DUMMYFUNCTION("IF(OR(DV137&gt;$BS137+$BT137*$BT$2,DV137&lt;$BS137-$BT137*$BT$2),AVEDEV(ARRAYFORMULA(XLOOKUP(FILTER(INDIRECT(""'""&amp;DV$1&amp;""'!$C$4:$C$66""),INDIRECT(""'""&amp;DV$1&amp;""'!$D$4:$D$66"")=DV$2),$G$4:$BQ$4,$G137:$BQ137))),"""")"),"")</f>
        <v/>
      </c>
      <c r="DX137" s="208" t="str">
        <f t="shared" si="24"/>
        <v/>
      </c>
      <c r="DY137" s="210">
        <f>IFERROR(__xludf.DUMMYFUNCTION("AVERAGE(ARRAYFORMULA(XLOOKUP(FILTER(INDIRECT(""'""&amp;DY$1&amp;""'!$C$4:$C$66""),INDIRECT(""'""&amp;DY$1&amp;""'!$D$4:$D$66"")=DY$2),$G$4:$BQ$4,$G137:$BQ137)))"),2.5011643322222223)</f>
        <v>2.501164332</v>
      </c>
      <c r="DZ137" s="207" t="str">
        <f>IFERROR(__xludf.DUMMYFUNCTION("IF(OR(DY137&gt;$BS137+$BT137*$BT$2,DY137&lt;$BS137-$BT137*$BT$2),AVEDEV(ARRAYFORMULA(XLOOKUP(FILTER(INDIRECT(""'""&amp;DY$1&amp;""'!$C$4:$C$66""),INDIRECT(""'""&amp;DY$1&amp;""'!$D$4:$D$66"")=DY$2),$G$4:$BQ$4,$G137:$BQ137))),"""")"),"")</f>
        <v/>
      </c>
      <c r="EA137" s="208" t="str">
        <f t="shared" si="25"/>
        <v/>
      </c>
      <c r="EB137" s="191"/>
    </row>
    <row r="138" outlineLevel="1">
      <c r="A138" s="2"/>
      <c r="B138" s="204">
        <v>134.0</v>
      </c>
      <c r="C138" s="204" t="s">
        <v>540</v>
      </c>
      <c r="D138" s="204" t="s">
        <v>580</v>
      </c>
      <c r="E138" s="205" t="b">
        <f>VLOOKUP(D138,'Feature Set List'!A134:C246,2,0)</f>
        <v>1</v>
      </c>
      <c r="F138" s="205" t="b">
        <f>VLOOKUP(D138,'Feature Set List'!A134:C246,3,0)</f>
        <v>0</v>
      </c>
      <c r="G138" s="205">
        <v>1.59051273</v>
      </c>
      <c r="H138" s="205">
        <v>-0.3390303</v>
      </c>
      <c r="I138" s="205">
        <v>-0.7115452</v>
      </c>
      <c r="J138" s="205">
        <v>0.10115103</v>
      </c>
      <c r="K138" s="205">
        <v>-0.9264039</v>
      </c>
      <c r="L138" s="205">
        <v>1.03662365</v>
      </c>
      <c r="M138" s="205">
        <v>-0.2936868</v>
      </c>
      <c r="N138" s="205">
        <v>0.42762469</v>
      </c>
      <c r="O138" s="205">
        <v>-0.2608999</v>
      </c>
      <c r="P138" s="205">
        <v>0.26299268</v>
      </c>
      <c r="Q138" s="205">
        <v>-0.9550052</v>
      </c>
      <c r="R138" s="205">
        <v>-1.5488664</v>
      </c>
      <c r="S138" s="205">
        <v>0.07743286</v>
      </c>
      <c r="T138" s="205">
        <v>0.69410534</v>
      </c>
      <c r="U138" s="205">
        <v>-0.1974189</v>
      </c>
      <c r="V138" s="205">
        <v>-0.8789676</v>
      </c>
      <c r="W138" s="205">
        <v>0.0</v>
      </c>
      <c r="X138" s="205">
        <v>1.8018835</v>
      </c>
      <c r="Y138" s="205">
        <v>0.09766306</v>
      </c>
      <c r="Z138" s="205">
        <v>0.47436345</v>
      </c>
      <c r="AA138" s="205">
        <v>-0.1450994</v>
      </c>
      <c r="AB138" s="205">
        <v>0.42622951</v>
      </c>
      <c r="AC138" s="205">
        <v>2.45483083</v>
      </c>
      <c r="AD138" s="205">
        <v>0.12347401</v>
      </c>
      <c r="AE138" s="205">
        <v>0.64248343</v>
      </c>
      <c r="AF138" s="205">
        <v>-0.018835</v>
      </c>
      <c r="AG138" s="205">
        <v>0.72619463</v>
      </c>
      <c r="AH138" s="205">
        <v>0.3439135</v>
      </c>
      <c r="AI138" s="205">
        <v>-0.3341472</v>
      </c>
      <c r="AJ138" s="205">
        <v>-0.0279037</v>
      </c>
      <c r="AK138" s="205">
        <v>-0.2560167</v>
      </c>
      <c r="AL138" s="205">
        <v>-0.463202</v>
      </c>
      <c r="AM138" s="205">
        <v>-0.1848622</v>
      </c>
      <c r="AN138" s="205">
        <v>-1.04639</v>
      </c>
      <c r="AO138" s="205">
        <v>-1.6050924</v>
      </c>
      <c r="AP138" s="205">
        <v>-0.837112</v>
      </c>
      <c r="AQ138" s="205">
        <v>0.17788629</v>
      </c>
      <c r="AR138" s="205">
        <v>-0.4046041</v>
      </c>
      <c r="AS138" s="205">
        <v>-0.0418556</v>
      </c>
      <c r="AT138" s="205">
        <v>-0.5280781</v>
      </c>
      <c r="AU138" s="205">
        <v>1.02895012</v>
      </c>
      <c r="AV138" s="205">
        <v>-0.7129404</v>
      </c>
      <c r="AW138" s="205">
        <v>1.40006976</v>
      </c>
      <c r="AX138" s="205">
        <v>-0.4199512</v>
      </c>
      <c r="AY138" s="205">
        <v>-0.1116149</v>
      </c>
      <c r="AZ138" s="205">
        <v>-0.6975933</v>
      </c>
      <c r="BA138" s="205">
        <v>0.9996512</v>
      </c>
      <c r="BB138" s="205">
        <v>0.44087897</v>
      </c>
      <c r="BC138" s="205">
        <v>-0.0844088</v>
      </c>
      <c r="BD138" s="205">
        <v>6.13184513</v>
      </c>
      <c r="BE138" s="205">
        <v>0.90687129</v>
      </c>
      <c r="BF138" s="205">
        <v>0.728985</v>
      </c>
      <c r="BG138" s="205">
        <v>0.46320195</v>
      </c>
      <c r="BH138" s="205">
        <v>0.89361702</v>
      </c>
      <c r="BI138" s="205">
        <v>-0.5650506</v>
      </c>
      <c r="BJ138" s="205">
        <v>0.01674224</v>
      </c>
      <c r="BK138" s="205">
        <v>-1.4610394</v>
      </c>
      <c r="BL138" s="205">
        <v>-1.1733519</v>
      </c>
      <c r="BM138" s="205">
        <v>1.56330659</v>
      </c>
      <c r="BN138" s="205">
        <v>0.14858737</v>
      </c>
      <c r="BO138" s="205">
        <v>2.24764562</v>
      </c>
      <c r="BP138" s="205">
        <v>0.42762469</v>
      </c>
      <c r="BQ138" s="205">
        <v>-0.5580746</v>
      </c>
      <c r="BR138" s="206"/>
      <c r="BS138" s="207">
        <f t="shared" si="6"/>
        <v>0.1756872133</v>
      </c>
      <c r="BT138" s="207">
        <f t="shared" si="7"/>
        <v>0.7587336901</v>
      </c>
      <c r="BU138" s="206"/>
      <c r="BV138" s="207">
        <f>IFERROR(__xludf.DUMMYFUNCTION("AVERAGE(ARRAYFORMULA(XLOOKUP(FILTER(INDIRECT(""'""&amp;BV$1&amp;""'!$C$4:$C$66""),INDIRECT(""'""&amp;BV$1&amp;""'!$D$4:$D$66"")=BV$2),$G$4:$BQ$4,$G138:$BQ138)))"),0.008879379999999961)</f>
        <v>0.00887938</v>
      </c>
      <c r="BW138" s="207" t="str">
        <f>IFERROR(__xludf.DUMMYFUNCTION("IF(OR(BV138&gt;$BS138+$BT138*$BT$2,BV138&lt;$BS138-$BT138*$BT$2),AVEDEV(ARRAYFORMULA(XLOOKUP(FILTER(INDIRECT(""'""&amp;BV$1&amp;""'!$C$4:$C$66""),INDIRECT(""'""&amp;BV$1&amp;""'!$D$4:$D$66"")=BV$2),$G$4:$BQ$4,$G138:$BQ138))),"""")"),"")</f>
        <v/>
      </c>
      <c r="BX138" s="208" t="str">
        <f t="shared" si="8"/>
        <v/>
      </c>
      <c r="BY138" s="207">
        <f>IFERROR(__xludf.DUMMYFUNCTION("AVERAGE(ARRAYFORMULA(XLOOKUP(FILTER(INDIRECT(""'""&amp;BY$1&amp;""'!$C$4:$C$66""),INDIRECT(""'""&amp;BY$1&amp;""'!$D$4:$D$66"")=BY$2),$G$4:$BQ$4,$G138:$BQ138)))"),-0.016139319523809505)</f>
        <v>-0.01613931952</v>
      </c>
      <c r="BZ138" s="207" t="str">
        <f>IFERROR(__xludf.DUMMYFUNCTION("IF(OR(BY138&gt;$BS138+$BT138*$BT$2,BY138&lt;$BS138-$BT138*$BT$2),AVEDEV(ARRAYFORMULA(XLOOKUP(FILTER(INDIRECT(""'""&amp;BY$1&amp;""'!$C$4:$C$66""),INDIRECT(""'""&amp;BY$1&amp;""'!$D$4:$D$66"")=BY$2),$G$4:$BQ$4,$G138:$BQ138))),"""")"),"")</f>
        <v/>
      </c>
      <c r="CA138" s="208" t="str">
        <f t="shared" si="9"/>
        <v/>
      </c>
      <c r="CB138" s="207">
        <f>IFERROR(__xludf.DUMMYFUNCTION("AVERAGE(ARRAYFORMULA(XLOOKUP(FILTER(INDIRECT(""'""&amp;CB$1&amp;""'!$C$4:$C$66""),INDIRECT(""'""&amp;CB$1&amp;""'!$D$4:$D$66"")=CB$2),$G$4:$BQ$4,$G138:$BQ138)))"),0.4758854681818182)</f>
        <v>0.4758854682</v>
      </c>
      <c r="CC138" s="207" t="str">
        <f>IFERROR(__xludf.DUMMYFUNCTION("IF(OR(CB138&gt;$BS138+$BT138*$BT$2,CB138&lt;$BS138-$BT138*$BT$2),AVEDEV(ARRAYFORMULA(XLOOKUP(FILTER(INDIRECT(""'""&amp;CB$1&amp;""'!$C$4:$C$66""),INDIRECT(""'""&amp;CB$1&amp;""'!$D$4:$D$66"")=CB$2),$G$4:$BQ$4,$G138:$BQ138))),"""")"),"")</f>
        <v/>
      </c>
      <c r="CD138" s="208" t="str">
        <f t="shared" si="10"/>
        <v/>
      </c>
      <c r="CE138" s="209" t="s">
        <v>444</v>
      </c>
      <c r="CF138" s="207">
        <f>IFERROR(__xludf.DUMMYFUNCTION("AVERAGE(ARRAYFORMULA(XLOOKUP(FILTER(INDIRECT(""'""&amp;CF$1&amp;""'!$C$4:$C$66""),INDIRECT(""'""&amp;CF$1&amp;""'!$D$4:$D$66"")=CF$2),$G$4:$BQ$4,$G138:$BQ138)))"),0.021756193750000027)</f>
        <v>0.02175619375</v>
      </c>
      <c r="CG138" s="207" t="str">
        <f>IFERROR(__xludf.DUMMYFUNCTION("IF(OR(CF138&gt;$BS138+$BT138*$BT$2,CF138&lt;$BS138-$BT138*$BT$2),AVEDEV(ARRAYFORMULA(XLOOKUP(FILTER(INDIRECT(""'""&amp;CF$1&amp;""'!$C$4:$C$66""),INDIRECT(""'""&amp;CF$1&amp;""'!$D$4:$D$66"")=CF$2),$G$4:$BQ$4,$G138:$BQ138))),"""")"),"")</f>
        <v/>
      </c>
      <c r="CH138" s="208" t="str">
        <f t="shared" si="11"/>
        <v/>
      </c>
      <c r="CI138" s="207">
        <f>IFERROR(__xludf.DUMMYFUNCTION("AVERAGE(ARRAYFORMULA(XLOOKUP(FILTER(INDIRECT(""'""&amp;CI$1&amp;""'!$C$4:$C$66""),INDIRECT(""'""&amp;CI$1&amp;""'!$D$4:$D$66"")=CI$2),$G$4:$BQ$4,$G138:$BQ138)))"),-0.05508061677419356)</f>
        <v>-0.05508061677</v>
      </c>
      <c r="CJ138" s="207" t="str">
        <f>IFERROR(__xludf.DUMMYFUNCTION("IF(OR(CI138&gt;$BS138+$BT138*$BT$2,CI138&lt;$BS138-$BT138*$BT$2),AVEDEV(ARRAYFORMULA(XLOOKUP(FILTER(INDIRECT(""'""&amp;CI$1&amp;""'!$C$4:$C$66""),INDIRECT(""'""&amp;CI$1&amp;""'!$D$4:$D$66"")=CI$2),$G$4:$BQ$4,$G138:$BQ138))),"""")"),"")</f>
        <v/>
      </c>
      <c r="CK138" s="208" t="str">
        <f t="shared" si="12"/>
        <v/>
      </c>
      <c r="CL138" s="207">
        <f>IFERROR(__xludf.DUMMYFUNCTION("AVERAGE(ARRAYFORMULA(XLOOKUP(FILTER(INDIRECT(""'""&amp;CL$1&amp;""'!$C$4:$C$66""),INDIRECT(""'""&amp;CL$1&amp;""'!$D$4:$D$66"")=CL$2),$G$4:$BQ$4,$G138:$BQ138)))"),0.475619114)</f>
        <v>0.475619114</v>
      </c>
      <c r="CM138" s="207" t="str">
        <f>IFERROR(__xludf.DUMMYFUNCTION("IF(OR(CL138&gt;$BS138+$BT138*$BT$2,CL138&lt;$BS138-$BT138*$BT$2),AVEDEV(ARRAYFORMULA(XLOOKUP(FILTER(INDIRECT(""'""&amp;CL$1&amp;""'!$C$4:$C$66""),INDIRECT(""'""&amp;CL$1&amp;""'!$D$4:$D$66"")=CL$2),$G$4:$BQ$4,$G138:$BQ138))),"""")"),"")</f>
        <v/>
      </c>
      <c r="CN138" s="208" t="str">
        <f t="shared" si="13"/>
        <v/>
      </c>
      <c r="CO138" s="209" t="s">
        <v>444</v>
      </c>
      <c r="CP138" s="210">
        <f>IFERROR(__xludf.DUMMYFUNCTION("AVERAGE(ARRAYFORMULA(XLOOKUP(FILTER(INDIRECT(""'""&amp;CP$1&amp;""'!$C$4:$C$66""),INDIRECT(""'""&amp;CP$1&amp;""'!$D$4:$D$66"")=CP$2),$G$4:$BQ$4,$G138:$BQ138)))"),0.8048831546666667)</f>
        <v>0.8048831547</v>
      </c>
      <c r="CQ138" s="207" t="str">
        <f>IFERROR(__xludf.DUMMYFUNCTION("IF(OR(CP138&gt;$BS138+$BT138*$BT$2,CP138&lt;$BS138-$BT138*$BT$2),AVEDEV(ARRAYFORMULA(XLOOKUP(FILTER(INDIRECT(""'""&amp;CP$1&amp;""'!$C$4:$C$66""),INDIRECT(""'""&amp;CP$1&amp;""'!$D$4:$D$66"")=CP$2),$G$4:$BQ$4,$G138:$BQ138))),"""")"),"")</f>
        <v/>
      </c>
      <c r="CR138" s="208" t="str">
        <f t="shared" si="14"/>
        <v/>
      </c>
      <c r="CS138" s="210">
        <f>IFERROR(__xludf.DUMMYFUNCTION("AVERAGE(ARRAYFORMULA(XLOOKUP(FILTER(INDIRECT(""'""&amp;CS$1&amp;""'!$C$4:$C$66""),INDIRECT(""'""&amp;CS$1&amp;""'!$D$4:$D$66"")=CS$2),$G$4:$BQ$4,$G138:$BQ138)))"),-0.2220242717948718)</f>
        <v>-0.2220242718</v>
      </c>
      <c r="CT138" s="207" t="str">
        <f>IFERROR(__xludf.DUMMYFUNCTION("IF(OR(CS138&gt;$BS138+$BT138*$BT$2,CS138&lt;$BS138-$BT138*$BT$2),AVEDEV(ARRAYFORMULA(XLOOKUP(FILTER(INDIRECT(""'""&amp;CS$1&amp;""'!$C$4:$C$66""),INDIRECT(""'""&amp;CS$1&amp;""'!$D$4:$D$66"")=CS$2),$G$4:$BQ$4,$G138:$BQ138))),"""")"),"")</f>
        <v/>
      </c>
      <c r="CU138" s="208" t="str">
        <f t="shared" si="15"/>
        <v/>
      </c>
      <c r="CV138" s="210">
        <f>IFERROR(__xludf.DUMMYFUNCTION("AVERAGE(ARRAYFORMULA(XLOOKUP(FILTER(INDIRECT(""'""&amp;CV$1&amp;""'!$C$4:$C$66""),INDIRECT(""'""&amp;CV$1&amp;""'!$D$4:$D$66"")=CV$2),$G$4:$BQ$4,$G138:$BQ138)))"),0.475619114)</f>
        <v>0.475619114</v>
      </c>
      <c r="CW138" s="207" t="str">
        <f>IFERROR(__xludf.DUMMYFUNCTION("IF(OR(CV138&gt;$BS138+$BT138*$BT$2,CV138&lt;$BS138-$BT138*$BT$2),AVEDEV(ARRAYFORMULA(XLOOKUP(FILTER(INDIRECT(""'""&amp;CV$1&amp;""'!$C$4:$C$66""),INDIRECT(""'""&amp;CV$1&amp;""'!$D$4:$D$66"")=CV$2),$G$4:$BQ$4,$G138:$BQ138))),"""")"),"")</f>
        <v/>
      </c>
      <c r="CX138" s="208" t="str">
        <f t="shared" si="16"/>
        <v/>
      </c>
      <c r="CY138" s="209" t="s">
        <v>444</v>
      </c>
      <c r="CZ138" s="210">
        <f>IFERROR(__xludf.DUMMYFUNCTION("AVERAGE(ARRAYFORMULA(XLOOKUP(FILTER(INDIRECT(""'""&amp;CZ$1&amp;""'!$C$4:$C$66""),INDIRECT(""'""&amp;CZ$1&amp;""'!$D$4:$D$66"")=CZ$2),$G$4:$BQ$4,$G138:$BQ138)))"),-0.026080026428571396)</f>
        <v>-0.02608002643</v>
      </c>
      <c r="DA138" s="207" t="str">
        <f>IFERROR(__xludf.DUMMYFUNCTION("IF(OR(CZ138&gt;$BS138+$BT138*$BT$2,CZ138&lt;$BS138-$BT138*$BT$2),AVEDEV(ARRAYFORMULA(XLOOKUP(FILTER(INDIRECT(""'""&amp;CZ$1&amp;""'!$C$4:$C$66""),INDIRECT(""'""&amp;CZ$1&amp;""'!$D$4:$D$66"")=CZ$2),$G$4:$BQ$4,$G138:$BQ138))),"""")"),"")</f>
        <v/>
      </c>
      <c r="DB138" s="208" t="str">
        <f t="shared" si="17"/>
        <v/>
      </c>
      <c r="DC138" s="210">
        <f>IFERROR(__xludf.DUMMYFUNCTION("AVERAGE(ARRAYFORMULA(XLOOKUP(FILTER(INDIRECT(""'""&amp;DC$1&amp;""'!$C$4:$C$66""),INDIRECT(""'""&amp;DC$1&amp;""'!$D$4:$D$66"")=DC$2),$G$4:$BQ$4,$G138:$BQ138)))"),0.48544742888888887)</f>
        <v>0.4854474289</v>
      </c>
      <c r="DD138" s="207" t="str">
        <f>IFERROR(__xludf.DUMMYFUNCTION("IF(OR(DC138&gt;$BS138+$BT138*$BT$2,DC138&lt;$BS138-$BT138*$BT$2),AVEDEV(ARRAYFORMULA(XLOOKUP(FILTER(INDIRECT(""'""&amp;DC$1&amp;""'!$C$4:$C$66""),INDIRECT(""'""&amp;DC$1&amp;""'!$D$4:$D$66"")=DC$2),$G$4:$BQ$4,$G138:$BQ138))),"""")"),"")</f>
        <v/>
      </c>
      <c r="DE138" s="208" t="str">
        <f t="shared" si="18"/>
        <v/>
      </c>
      <c r="DF138" s="210">
        <f>IFERROR(__xludf.DUMMYFUNCTION("AVERAGE(ARRAYFORMULA(XLOOKUP(FILTER(INDIRECT(""'""&amp;DF$1&amp;""'!$C$4:$C$66""),INDIRECT(""'""&amp;DF$1&amp;""'!$D$4:$D$66"")=DF$2),$G$4:$BQ$4,$G138:$BQ138)))"),0.3404255336363637)</f>
        <v>0.3404255336</v>
      </c>
      <c r="DG138" s="207" t="str">
        <f>IFERROR(__xludf.DUMMYFUNCTION("IF(OR(DF138&gt;$BS138+$BT138*$BT$2,DF138&lt;$BS138-$BT138*$BT$2),AVEDEV(ARRAYFORMULA(XLOOKUP(FILTER(INDIRECT(""'""&amp;DF$1&amp;""'!$C$4:$C$66""),INDIRECT(""'""&amp;DF$1&amp;""'!$D$4:$D$66"")=DF$2),$G$4:$BQ$4,$G138:$BQ138))),"""")"),"")</f>
        <v/>
      </c>
      <c r="DH138" s="208" t="str">
        <f t="shared" si="19"/>
        <v/>
      </c>
      <c r="DI138" s="210">
        <f>IFERROR(__xludf.DUMMYFUNCTION("AVERAGE(ARRAYFORMULA(XLOOKUP(FILTER(INDIRECT(""'""&amp;DI$1&amp;""'!$C$4:$C$66""),INDIRECT(""'""&amp;DI$1&amp;""'!$D$4:$D$66"")=DI$2),$G$4:$BQ$4,$G138:$BQ138)))"),0.508545515)</f>
        <v>0.508545515</v>
      </c>
      <c r="DJ138" s="207" t="str">
        <f>IFERROR(__xludf.DUMMYFUNCTION("IF(OR(DI138&gt;$BS138+$BT138*$BT$2,DI138&lt;$BS138-$BT138*$BT$2),AVEDEV(ARRAYFORMULA(XLOOKUP(FILTER(INDIRECT(""'""&amp;DI$1&amp;""'!$C$4:$C$66""),INDIRECT(""'""&amp;DI$1&amp;""'!$D$4:$D$66"")=DI$2),$G$4:$BQ$4,$G138:$BQ138))),"""")"),"")</f>
        <v/>
      </c>
      <c r="DK138" s="208" t="str">
        <f t="shared" si="20"/>
        <v/>
      </c>
      <c r="DL138" s="210">
        <f>IFERROR(__xludf.DUMMYFUNCTION("AVERAGE(ARRAYFORMULA(XLOOKUP(FILTER(INDIRECT(""'""&amp;DL$1&amp;""'!$C$4:$C$66""),INDIRECT(""'""&amp;DL$1&amp;""'!$D$4:$D$66"")=DL$2),$G$4:$BQ$4,$G138:$BQ138)))"),-0.34313119642857143)</f>
        <v>-0.3431311964</v>
      </c>
      <c r="DM138" s="207" t="str">
        <f>IFERROR(__xludf.DUMMYFUNCTION("IF(OR(DL138&gt;$BS138+$BT138*$BT$2,DL138&lt;$BS138-$BT138*$BT$2),AVEDEV(ARRAYFORMULA(XLOOKUP(FILTER(INDIRECT(""'""&amp;DL$1&amp;""'!$C$4:$C$66""),INDIRECT(""'""&amp;DL$1&amp;""'!$D$4:$D$66"")=DL$2),$G$4:$BQ$4,$G138:$BQ138))),"""")"),"")</f>
        <v/>
      </c>
      <c r="DN138" s="208" t="str">
        <f t="shared" si="21"/>
        <v/>
      </c>
      <c r="DO138" s="209" t="s">
        <v>444</v>
      </c>
      <c r="DP138" s="210">
        <f>IFERROR(__xludf.DUMMYFUNCTION("AVERAGE(ARRAYFORMULA(XLOOKUP(FILTER(INDIRECT(""'""&amp;DP$1&amp;""'!$C$4:$C$66""),INDIRECT(""'""&amp;DP$1&amp;""'!$D$4:$D$66"")=DP$2),$G$4:$BQ$4,$G138:$BQ138)))"),-0.029796536666666658)</f>
        <v>-0.02979653667</v>
      </c>
      <c r="DQ138" s="207" t="str">
        <f>IFERROR(__xludf.DUMMYFUNCTION("IF(OR(DP138&gt;$BS138+$BT138*$BT$2,DP138&lt;$BS138-$BT138*$BT$2),AVEDEV(ARRAYFORMULA(XLOOKUP(FILTER(INDIRECT(""'""&amp;DP$1&amp;""'!$C$4:$C$66""),INDIRECT(""'""&amp;DP$1&amp;""'!$D$4:$D$66"")=DP$2),$G$4:$BQ$4,$G138:$BQ138))),"""")"),"")</f>
        <v/>
      </c>
      <c r="DR138" s="208" t="str">
        <f t="shared" si="22"/>
        <v/>
      </c>
      <c r="DS138" s="210">
        <f>IFERROR(__xludf.DUMMYFUNCTION("AVERAGE(ARRAYFORMULA(XLOOKUP(FILTER(INDIRECT(""'""&amp;DS$1&amp;""'!$C$4:$C$66""),INDIRECT(""'""&amp;DS$1&amp;""'!$D$4:$D$66"")=DS$2),$G$4:$BQ$4,$G138:$BQ138)))"),0.5711738877777778)</f>
        <v>0.5711738878</v>
      </c>
      <c r="DT138" s="207" t="str">
        <f>IFERROR(__xludf.DUMMYFUNCTION("IF(OR(DS138&gt;$BS138+$BT138*$BT$2,DS138&lt;$BS138-$BT138*$BT$2),AVEDEV(ARRAYFORMULA(XLOOKUP(FILTER(INDIRECT(""'""&amp;DS$1&amp;""'!$C$4:$C$66""),INDIRECT(""'""&amp;DS$1&amp;""'!$D$4:$D$66"")=DS$2),$G$4:$BQ$4,$G138:$BQ138))),"""")"),"")</f>
        <v/>
      </c>
      <c r="DU138" s="208" t="str">
        <f t="shared" si="23"/>
        <v/>
      </c>
      <c r="DV138" s="210">
        <f>IFERROR(__xludf.DUMMYFUNCTION("AVERAGE(ARRAYFORMULA(XLOOKUP(FILTER(INDIRECT(""'""&amp;DV$1&amp;""'!$C$4:$C$66""),INDIRECT(""'""&amp;DV$1&amp;""'!$D$4:$D$66"")=DV$2),$G$4:$BQ$4,$G138:$BQ138)))"),-0.363995455)</f>
        <v>-0.363995455</v>
      </c>
      <c r="DW138" s="207" t="str">
        <f>IFERROR(__xludf.DUMMYFUNCTION("IF(OR(DV138&gt;$BS138+$BT138*$BT$2,DV138&lt;$BS138-$BT138*$BT$2),AVEDEV(ARRAYFORMULA(XLOOKUP(FILTER(INDIRECT(""'""&amp;DV$1&amp;""'!$C$4:$C$66""),INDIRECT(""'""&amp;DV$1&amp;""'!$D$4:$D$66"")=DV$2),$G$4:$BQ$4,$G138:$BQ138))),"""")"),"")</f>
        <v/>
      </c>
      <c r="DX138" s="208" t="str">
        <f t="shared" si="24"/>
        <v/>
      </c>
      <c r="DY138" s="210">
        <f>IFERROR(__xludf.DUMMYFUNCTION("AVERAGE(ARRAYFORMULA(XLOOKUP(FILTER(INDIRECT(""'""&amp;DY$1&amp;""'!$C$4:$C$66""),INDIRECT(""'""&amp;DY$1&amp;""'!$D$4:$D$66"")=DY$2),$G$4:$BQ$4,$G138:$BQ138)))"),0.5183893377777777)</f>
        <v>0.5183893378</v>
      </c>
      <c r="DZ138" s="207" t="str">
        <f>IFERROR(__xludf.DUMMYFUNCTION("IF(OR(DY138&gt;$BS138+$BT138*$BT$2,DY138&lt;$BS138-$BT138*$BT$2),AVEDEV(ARRAYFORMULA(XLOOKUP(FILTER(INDIRECT(""'""&amp;DY$1&amp;""'!$C$4:$C$66""),INDIRECT(""'""&amp;DY$1&amp;""'!$D$4:$D$66"")=DY$2),$G$4:$BQ$4,$G138:$BQ138))),"""")"),"")</f>
        <v/>
      </c>
      <c r="EA138" s="208" t="str">
        <f t="shared" si="25"/>
        <v/>
      </c>
      <c r="EB138" s="191"/>
    </row>
    <row r="139" outlineLevel="1">
      <c r="A139" s="2"/>
      <c r="B139" s="204">
        <v>135.0</v>
      </c>
      <c r="C139" s="204" t="s">
        <v>540</v>
      </c>
      <c r="D139" s="204" t="s">
        <v>581</v>
      </c>
      <c r="E139" s="205" t="b">
        <f>VLOOKUP(D139,'Feature Set List'!A135:C246,2,0)</f>
        <v>1</v>
      </c>
      <c r="F139" s="205" t="b">
        <f>VLOOKUP(D139,'Feature Set List'!A135:C246,3,0)</f>
        <v>1</v>
      </c>
      <c r="G139" s="205">
        <v>-0.1470291</v>
      </c>
      <c r="H139" s="205">
        <v>1.18469445</v>
      </c>
      <c r="I139" s="205">
        <v>-0.1493406</v>
      </c>
      <c r="J139" s="205">
        <v>-0.0703775</v>
      </c>
      <c r="K139" s="205">
        <v>-0.1925165</v>
      </c>
      <c r="L139" s="205">
        <v>-0.249644</v>
      </c>
      <c r="M139" s="205">
        <v>-0.0518853</v>
      </c>
      <c r="N139" s="205">
        <v>0.25595938</v>
      </c>
      <c r="O139" s="205">
        <v>-0.2954616</v>
      </c>
      <c r="P139" s="205">
        <v>-0.1866551</v>
      </c>
      <c r="Q139" s="205">
        <v>-0.2392009</v>
      </c>
      <c r="R139" s="205">
        <v>0.53292882</v>
      </c>
      <c r="S139" s="205">
        <v>0.6204363</v>
      </c>
      <c r="T139" s="205">
        <v>2.90966504</v>
      </c>
      <c r="U139" s="205">
        <v>-0.2082843</v>
      </c>
      <c r="V139" s="205">
        <v>-0.1861185</v>
      </c>
      <c r="W139" s="205">
        <v>-0.1998225</v>
      </c>
      <c r="X139" s="205">
        <v>0.40455699</v>
      </c>
      <c r="Y139" s="205">
        <v>1.44474026</v>
      </c>
      <c r="Z139" s="205">
        <v>0.17340516</v>
      </c>
      <c r="AA139" s="205">
        <v>0.40001651</v>
      </c>
      <c r="AB139" s="205">
        <v>-0.2590552</v>
      </c>
      <c r="AC139" s="205">
        <v>-0.0584071</v>
      </c>
      <c r="AD139" s="205">
        <v>3.63738055</v>
      </c>
      <c r="AE139" s="205">
        <v>3.8755495</v>
      </c>
      <c r="AF139" s="205">
        <v>1.52357955</v>
      </c>
      <c r="AG139" s="205">
        <v>-0.2862155</v>
      </c>
      <c r="AH139" s="205">
        <v>0.0</v>
      </c>
      <c r="AI139" s="205">
        <v>-0.1553671</v>
      </c>
      <c r="AJ139" s="205">
        <v>-0.2135265</v>
      </c>
      <c r="AK139" s="205">
        <v>0.48257074</v>
      </c>
      <c r="AL139" s="205">
        <v>0.0883743</v>
      </c>
      <c r="AM139" s="205">
        <v>0.71165872</v>
      </c>
      <c r="AN139" s="205">
        <v>0.66873052</v>
      </c>
      <c r="AO139" s="205">
        <v>-0.0525458</v>
      </c>
      <c r="AP139" s="205">
        <v>0.17959672</v>
      </c>
      <c r="AQ139" s="205">
        <v>-0.1964378</v>
      </c>
      <c r="AR139" s="205">
        <v>1.00844117</v>
      </c>
      <c r="AS139" s="205">
        <v>1.82655357</v>
      </c>
      <c r="AT139" s="205">
        <v>-0.1258952</v>
      </c>
      <c r="AU139" s="205">
        <v>185.973665</v>
      </c>
      <c r="AV139" s="205">
        <v>-0.2634718</v>
      </c>
      <c r="AW139" s="205">
        <v>1.22225662</v>
      </c>
      <c r="AX139" s="205">
        <v>0.44253194</v>
      </c>
      <c r="AY139" s="205">
        <v>-0.2960395</v>
      </c>
      <c r="AZ139" s="205">
        <v>0.96097249</v>
      </c>
      <c r="BA139" s="205">
        <v>-0.1415805</v>
      </c>
      <c r="BB139" s="205">
        <v>-0.2332982</v>
      </c>
      <c r="BC139" s="205">
        <v>0.81278765</v>
      </c>
      <c r="BD139" s="205">
        <v>50.9562256</v>
      </c>
      <c r="BE139" s="205">
        <v>-0.1648608</v>
      </c>
      <c r="BF139" s="205">
        <v>-0.0924607</v>
      </c>
      <c r="BG139" s="205">
        <v>0.07186346</v>
      </c>
      <c r="BH139" s="205">
        <v>4.58551586</v>
      </c>
      <c r="BI139" s="205">
        <v>1.25858048</v>
      </c>
      <c r="BJ139" s="205">
        <v>-0.1056694</v>
      </c>
      <c r="BK139" s="205">
        <v>0.09250201</v>
      </c>
      <c r="BL139" s="205">
        <v>-0.1877696</v>
      </c>
      <c r="BM139" s="205">
        <v>-0.2285101</v>
      </c>
      <c r="BN139" s="205">
        <v>1.45505954</v>
      </c>
      <c r="BO139" s="205">
        <v>0.81443873</v>
      </c>
      <c r="BP139" s="205">
        <v>-0.1506615</v>
      </c>
      <c r="BQ139" s="205">
        <v>-0.0463955</v>
      </c>
      <c r="BR139" s="206"/>
      <c r="BS139" s="207">
        <f t="shared" si="6"/>
        <v>4.208583078</v>
      </c>
      <c r="BT139" s="207">
        <f t="shared" si="7"/>
        <v>7.266338325</v>
      </c>
      <c r="BU139" s="206"/>
      <c r="BV139" s="207">
        <f>IFERROR(__xludf.DUMMYFUNCTION("AVERAGE(ARRAYFORMULA(XLOOKUP(FILTER(INDIRECT(""'""&amp;BV$1&amp;""'!$C$4:$C$66""),INDIRECT(""'""&amp;BV$1&amp;""'!$D$4:$D$66"")=BV$2),$G$4:$BQ$4,$G139:$BQ139)))"),-0.10546302999999999)</f>
        <v>-0.10546303</v>
      </c>
      <c r="BW139" s="207" t="str">
        <f>IFERROR(__xludf.DUMMYFUNCTION("IF(OR(BV139&gt;$BS139+$BT139*$BT$2,BV139&lt;$BS139-$BT139*$BT$2),AVEDEV(ARRAYFORMULA(XLOOKUP(FILTER(INDIRECT(""'""&amp;BV$1&amp;""'!$C$4:$C$66""),INDIRECT(""'""&amp;BV$1&amp;""'!$D$4:$D$66"")=BV$2),$G$4:$BQ$4,$G139:$BQ139))),"""")"),"")</f>
        <v/>
      </c>
      <c r="BX139" s="208" t="str">
        <f t="shared" si="8"/>
        <v/>
      </c>
      <c r="BY139" s="207">
        <f>IFERROR(__xludf.DUMMYFUNCTION("AVERAGE(ARRAYFORMULA(XLOOKUP(FILTER(INDIRECT(""'""&amp;BY$1&amp;""'!$C$4:$C$66""),INDIRECT(""'""&amp;BY$1&amp;""'!$D$4:$D$66"")=BY$2),$G$4:$BQ$4,$G139:$BQ139)))"),0.558680819047619)</f>
        <v>0.558680819</v>
      </c>
      <c r="BZ139" s="207" t="str">
        <f>IFERROR(__xludf.DUMMYFUNCTION("IF(OR(BY139&gt;$BS139+$BT139*$BT$2,BY139&lt;$BS139-$BT139*$BT$2),AVEDEV(ARRAYFORMULA(XLOOKUP(FILTER(INDIRECT(""'""&amp;BY$1&amp;""'!$C$4:$C$66""),INDIRECT(""'""&amp;BY$1&amp;""'!$D$4:$D$66"")=BY$2),$G$4:$BQ$4,$G139:$BQ139))),"""")"),"")</f>
        <v/>
      </c>
      <c r="CA139" s="208" t="str">
        <f t="shared" si="9"/>
        <v/>
      </c>
      <c r="CB139" s="207">
        <f>IFERROR(__xludf.DUMMYFUNCTION("AVERAGE(ARRAYFORMULA(XLOOKUP(FILTER(INDIRECT(""'""&amp;CB$1&amp;""'!$C$4:$C$66""),INDIRECT(""'""&amp;CB$1&amp;""'!$D$4:$D$66"")=CB$2),$G$4:$BQ$4,$G139:$BQ139)))"),0.512166430909091)</f>
        <v>0.5121664309</v>
      </c>
      <c r="CC139" s="207" t="str">
        <f>IFERROR(__xludf.DUMMYFUNCTION("IF(OR(CB139&gt;$BS139+$BT139*$BT$2,CB139&lt;$BS139-$BT139*$BT$2),AVEDEV(ARRAYFORMULA(XLOOKUP(FILTER(INDIRECT(""'""&amp;CB$1&amp;""'!$C$4:$C$66""),INDIRECT(""'""&amp;CB$1&amp;""'!$D$4:$D$66"")=CB$2),$G$4:$BQ$4,$G139:$BQ139))),"""")"),"")</f>
        <v/>
      </c>
      <c r="CD139" s="208" t="str">
        <f t="shared" si="10"/>
        <v/>
      </c>
      <c r="CE139" s="209" t="s">
        <v>444</v>
      </c>
      <c r="CF139" s="207">
        <f>IFERROR(__xludf.DUMMYFUNCTION("AVERAGE(ARRAYFORMULA(XLOOKUP(FILTER(INDIRECT(""'""&amp;CF$1&amp;""'!$C$4:$C$66""),INDIRECT(""'""&amp;CF$1&amp;""'!$D$4:$D$66"")=CF$2),$G$4:$BQ$4,$G139:$BQ139)))"),0.340853506875)</f>
        <v>0.3408535069</v>
      </c>
      <c r="CG139" s="207" t="str">
        <f>IFERROR(__xludf.DUMMYFUNCTION("IF(OR(CF139&gt;$BS139+$BT139*$BT$2,CF139&lt;$BS139-$BT139*$BT$2),AVEDEV(ARRAYFORMULA(XLOOKUP(FILTER(INDIRECT(""'""&amp;CF$1&amp;""'!$C$4:$C$66""),INDIRECT(""'""&amp;CF$1&amp;""'!$D$4:$D$66"")=CF$2),$G$4:$BQ$4,$G139:$BQ139))),"""")"),"")</f>
        <v/>
      </c>
      <c r="CH139" s="208" t="str">
        <f t="shared" si="11"/>
        <v/>
      </c>
      <c r="CI139" s="207">
        <f>IFERROR(__xludf.DUMMYFUNCTION("AVERAGE(ARRAYFORMULA(XLOOKUP(FILTER(INDIRECT(""'""&amp;CI$1&amp;""'!$C$4:$C$66""),INDIRECT(""'""&amp;CI$1&amp;""'!$D$4:$D$66"")=CI$2),$G$4:$BQ$4,$G139:$BQ139)))"),0.5281473264516129)</f>
        <v>0.5281473265</v>
      </c>
      <c r="CJ139" s="207" t="str">
        <f>IFERROR(__xludf.DUMMYFUNCTION("IF(OR(CI139&gt;$BS139+$BT139*$BT$2,CI139&lt;$BS139-$BT139*$BT$2),AVEDEV(ARRAYFORMULA(XLOOKUP(FILTER(INDIRECT(""'""&amp;CI$1&amp;""'!$C$4:$C$66""),INDIRECT(""'""&amp;CI$1&amp;""'!$D$4:$D$66"")=CI$2),$G$4:$BQ$4,$G139:$BQ139))),"""")"),"")</f>
        <v/>
      </c>
      <c r="CK139" s="208" t="str">
        <f t="shared" si="12"/>
        <v/>
      </c>
      <c r="CL139" s="207">
        <f>IFERROR(__xludf.DUMMYFUNCTION("AVERAGE(ARRAYFORMULA(XLOOKUP(FILTER(INDIRECT(""'""&amp;CL$1&amp;""'!$C$4:$C$66""),INDIRECT(""'""&amp;CL$1&amp;""'!$D$4:$D$66"")=CL$2),$G$4:$BQ$4,$G139:$BQ139)))"),0.8959692940000001)</f>
        <v>0.895969294</v>
      </c>
      <c r="CM139" s="207" t="str">
        <f>IFERROR(__xludf.DUMMYFUNCTION("IF(OR(CL139&gt;$BS139+$BT139*$BT$2,CL139&lt;$BS139-$BT139*$BT$2),AVEDEV(ARRAYFORMULA(XLOOKUP(FILTER(INDIRECT(""'""&amp;CL$1&amp;""'!$C$4:$C$66""),INDIRECT(""'""&amp;CL$1&amp;""'!$D$4:$D$66"")=CL$2),$G$4:$BQ$4,$G139:$BQ139))),"""")"),"")</f>
        <v/>
      </c>
      <c r="CN139" s="208" t="str">
        <f t="shared" si="13"/>
        <v/>
      </c>
      <c r="CO139" s="209" t="s">
        <v>444</v>
      </c>
      <c r="CP139" s="210">
        <f>IFERROR(__xludf.DUMMYFUNCTION("AVERAGE(ARRAYFORMULA(XLOOKUP(FILTER(INDIRECT(""'""&amp;CP$1&amp;""'!$C$4:$C$66""),INDIRECT(""'""&amp;CP$1&amp;""'!$D$4:$D$66"")=CP$2),$G$4:$BQ$4,$G139:$BQ139)))"),0.38466142466666664)</f>
        <v>0.3846614247</v>
      </c>
      <c r="CQ139" s="207" t="str">
        <f>IFERROR(__xludf.DUMMYFUNCTION("IF(OR(CP139&gt;$BS139+$BT139*$BT$2,CP139&lt;$BS139-$BT139*$BT$2),AVEDEV(ARRAYFORMULA(XLOOKUP(FILTER(INDIRECT(""'""&amp;CP$1&amp;""'!$C$4:$C$66""),INDIRECT(""'""&amp;CP$1&amp;""'!$D$4:$D$66"")=CP$2),$G$4:$BQ$4,$G139:$BQ139))),"""")"),"")</f>
        <v/>
      </c>
      <c r="CR139" s="208" t="str">
        <f t="shared" si="14"/>
        <v/>
      </c>
      <c r="CS139" s="210">
        <f>IFERROR(__xludf.DUMMYFUNCTION("AVERAGE(ARRAYFORMULA(XLOOKUP(FILTER(INDIRECT(""'""&amp;CS$1&amp;""'!$C$4:$C$66""),INDIRECT(""'""&amp;CS$1&amp;""'!$D$4:$D$66"")=CS$2),$G$4:$BQ$4,$G139:$BQ139)))"),0.46918424846153844)</f>
        <v>0.4691842485</v>
      </c>
      <c r="CT139" s="207" t="str">
        <f>IFERROR(__xludf.DUMMYFUNCTION("IF(OR(CS139&gt;$BS139+$BT139*$BT$2,CS139&lt;$BS139-$BT139*$BT$2),AVEDEV(ARRAYFORMULA(XLOOKUP(FILTER(INDIRECT(""'""&amp;CS$1&amp;""'!$C$4:$C$66""),INDIRECT(""'""&amp;CS$1&amp;""'!$D$4:$D$66"")=CS$2),$G$4:$BQ$4,$G139:$BQ139))),"""")"),"")</f>
        <v/>
      </c>
      <c r="CU139" s="208" t="str">
        <f t="shared" si="15"/>
        <v/>
      </c>
      <c r="CV139" s="210">
        <f>IFERROR(__xludf.DUMMYFUNCTION("AVERAGE(ARRAYFORMULA(XLOOKUP(FILTER(INDIRECT(""'""&amp;CV$1&amp;""'!$C$4:$C$66""),INDIRECT(""'""&amp;CV$1&amp;""'!$D$4:$D$66"")=CV$2),$G$4:$BQ$4,$G139:$BQ139)))"),0.8959692940000001)</f>
        <v>0.895969294</v>
      </c>
      <c r="CW139" s="207" t="str">
        <f>IFERROR(__xludf.DUMMYFUNCTION("IF(OR(CV139&gt;$BS139+$BT139*$BT$2,CV139&lt;$BS139-$BT139*$BT$2),AVEDEV(ARRAYFORMULA(XLOOKUP(FILTER(INDIRECT(""'""&amp;CV$1&amp;""'!$C$4:$C$66""),INDIRECT(""'""&amp;CV$1&amp;""'!$D$4:$D$66"")=CV$2),$G$4:$BQ$4,$G139:$BQ139))),"""")"),"")</f>
        <v/>
      </c>
      <c r="CX139" s="208" t="str">
        <f t="shared" si="16"/>
        <v/>
      </c>
      <c r="CY139" s="209" t="s">
        <v>444</v>
      </c>
      <c r="CZ139" s="210">
        <f>IFERROR(__xludf.DUMMYFUNCTION("AVERAGE(ARRAYFORMULA(XLOOKUP(FILTER(INDIRECT(""'""&amp;CZ$1&amp;""'!$C$4:$C$66""),INDIRECT(""'""&amp;CZ$1&amp;""'!$D$4:$D$66"")=CZ$2),$G$4:$BQ$4,$G139:$BQ139)))"),0.4567519014285714)</f>
        <v>0.4567519014</v>
      </c>
      <c r="DA139" s="207" t="str">
        <f>IFERROR(__xludf.DUMMYFUNCTION("IF(OR(CZ139&gt;$BS139+$BT139*$BT$2,CZ139&lt;$BS139-$BT139*$BT$2),AVEDEV(ARRAYFORMULA(XLOOKUP(FILTER(INDIRECT(""'""&amp;CZ$1&amp;""'!$C$4:$C$66""),INDIRECT(""'""&amp;CZ$1&amp;""'!$D$4:$D$66"")=CZ$2),$G$4:$BQ$4,$G139:$BQ139))),"""")"),"")</f>
        <v/>
      </c>
      <c r="DB139" s="208" t="str">
        <f t="shared" si="17"/>
        <v/>
      </c>
      <c r="DC139" s="210">
        <f>IFERROR(__xludf.DUMMYFUNCTION("AVERAGE(ARRAYFORMULA(XLOOKUP(FILTER(INDIRECT(""'""&amp;DC$1&amp;""'!$C$4:$C$66""),INDIRECT(""'""&amp;DC$1&amp;""'!$D$4:$D$66"")=DC$2),$G$4:$BQ$4,$G139:$BQ139)))"),0.5445964833333333)</f>
        <v>0.5445964833</v>
      </c>
      <c r="DD139" s="207" t="str">
        <f>IFERROR(__xludf.DUMMYFUNCTION("IF(OR(DC139&gt;$BS139+$BT139*$BT$2,DC139&lt;$BS139-$BT139*$BT$2),AVEDEV(ARRAYFORMULA(XLOOKUP(FILTER(INDIRECT(""'""&amp;DC$1&amp;""'!$C$4:$C$66""),INDIRECT(""'""&amp;DC$1&amp;""'!$D$4:$D$66"")=DC$2),$G$4:$BQ$4,$G139:$BQ139))),"""")"),"")</f>
        <v/>
      </c>
      <c r="DE139" s="208" t="str">
        <f t="shared" si="18"/>
        <v/>
      </c>
      <c r="DF139" s="210">
        <f>IFERROR(__xludf.DUMMYFUNCTION("AVERAGE(ARRAYFORMULA(XLOOKUP(FILTER(INDIRECT(""'""&amp;DF$1&amp;""'!$C$4:$C$66""),INDIRECT(""'""&amp;DF$1&amp;""'!$D$4:$D$66"")=DF$2),$G$4:$BQ$4,$G139:$BQ139)))"),0.26114153727272726)</f>
        <v>0.2611415373</v>
      </c>
      <c r="DG139" s="207" t="str">
        <f>IFERROR(__xludf.DUMMYFUNCTION("IF(OR(DF139&gt;$BS139+$BT139*$BT$2,DF139&lt;$BS139-$BT139*$BT$2),AVEDEV(ARRAYFORMULA(XLOOKUP(FILTER(INDIRECT(""'""&amp;DF$1&amp;""'!$C$4:$C$66""),INDIRECT(""'""&amp;DF$1&amp;""'!$D$4:$D$66"")=DF$2),$G$4:$BQ$4,$G139:$BQ139))),"""")"),"")</f>
        <v/>
      </c>
      <c r="DH139" s="208" t="str">
        <f t="shared" si="19"/>
        <v/>
      </c>
      <c r="DI139" s="210">
        <f>IFERROR(__xludf.DUMMYFUNCTION("AVERAGE(ARRAYFORMULA(XLOOKUP(FILTER(INDIRECT(""'""&amp;DI$1&amp;""'!$C$4:$C$66""),INDIRECT(""'""&amp;DI$1&amp;""'!$D$4:$D$66"")=DI$2),$G$4:$BQ$4,$G139:$BQ139)))"),4.111448205)</f>
        <v>4.111448205</v>
      </c>
      <c r="DJ139" s="207" t="str">
        <f>IFERROR(__xludf.DUMMYFUNCTION("IF(OR(DI139&gt;$BS139+$BT139*$BT$2,DI139&lt;$BS139-$BT139*$BT$2),AVEDEV(ARRAYFORMULA(XLOOKUP(FILTER(INDIRECT(""'""&amp;DI$1&amp;""'!$C$4:$C$66""),INDIRECT(""'""&amp;DI$1&amp;""'!$D$4:$D$66"")=DI$2),$G$4:$BQ$4,$G139:$BQ139))),"""")"),"")</f>
        <v/>
      </c>
      <c r="DK139" s="208" t="str">
        <f t="shared" si="20"/>
        <v/>
      </c>
      <c r="DL139" s="210">
        <f>IFERROR(__xludf.DUMMYFUNCTION("AVERAGE(ARRAYFORMULA(XLOOKUP(FILTER(INDIRECT(""'""&amp;DL$1&amp;""'!$C$4:$C$66""),INDIRECT(""'""&amp;DL$1&amp;""'!$D$4:$D$66"")=DL$2),$G$4:$BQ$4,$G139:$BQ139)))"),0.37868213428571423)</f>
        <v>0.3786821343</v>
      </c>
      <c r="DM139" s="207" t="str">
        <f>IFERROR(__xludf.DUMMYFUNCTION("IF(OR(DL139&gt;$BS139+$BT139*$BT$2,DL139&lt;$BS139-$BT139*$BT$2),AVEDEV(ARRAYFORMULA(XLOOKUP(FILTER(INDIRECT(""'""&amp;DL$1&amp;""'!$C$4:$C$66""),INDIRECT(""'""&amp;DL$1&amp;""'!$D$4:$D$66"")=DL$2),$G$4:$BQ$4,$G139:$BQ139))),"""")"),"")</f>
        <v/>
      </c>
      <c r="DN139" s="208" t="str">
        <f t="shared" si="21"/>
        <v/>
      </c>
      <c r="DO139" s="209" t="s">
        <v>444</v>
      </c>
      <c r="DP139" s="210">
        <f>IFERROR(__xludf.DUMMYFUNCTION("AVERAGE(ARRAYFORMULA(XLOOKUP(FILTER(INDIRECT(""'""&amp;DP$1&amp;""'!$C$4:$C$66""),INDIRECT(""'""&amp;DP$1&amp;""'!$D$4:$D$66"")=DP$2),$G$4:$BQ$4,$G139:$BQ139)))"),0.234140297)</f>
        <v>0.234140297</v>
      </c>
      <c r="DQ139" s="207" t="str">
        <f>IFERROR(__xludf.DUMMYFUNCTION("IF(OR(DP139&gt;$BS139+$BT139*$BT$2,DP139&lt;$BS139-$BT139*$BT$2),AVEDEV(ARRAYFORMULA(XLOOKUP(FILTER(INDIRECT(""'""&amp;DP$1&amp;""'!$C$4:$C$66""),INDIRECT(""'""&amp;DP$1&amp;""'!$D$4:$D$66"")=DP$2),$G$4:$BQ$4,$G139:$BQ139))),"""")"),"")</f>
        <v/>
      </c>
      <c r="DR139" s="208" t="str">
        <f t="shared" si="22"/>
        <v/>
      </c>
      <c r="DS139" s="210">
        <f>IFERROR(__xludf.DUMMYFUNCTION("AVERAGE(ARRAYFORMULA(XLOOKUP(FILTER(INDIRECT(""'""&amp;DS$1&amp;""'!$C$4:$C$66""),INDIRECT(""'""&amp;DS$1&amp;""'!$D$4:$D$66"")=DS$2),$G$4:$BQ$4,$G139:$BQ139)))"),0.1601185155555556)</f>
        <v>0.1601185156</v>
      </c>
      <c r="DT139" s="207" t="str">
        <f>IFERROR(__xludf.DUMMYFUNCTION("IF(OR(DS139&gt;$BS139+$BT139*$BT$2,DS139&lt;$BS139-$BT139*$BT$2),AVEDEV(ARRAYFORMULA(XLOOKUP(FILTER(INDIRECT(""'""&amp;DS$1&amp;""'!$C$4:$C$66""),INDIRECT(""'""&amp;DS$1&amp;""'!$D$4:$D$66"")=DS$2),$G$4:$BQ$4,$G139:$BQ139))),"""")"),"")</f>
        <v/>
      </c>
      <c r="DU139" s="208" t="str">
        <f t="shared" si="23"/>
        <v/>
      </c>
      <c r="DV139" s="210">
        <f>IFERROR(__xludf.DUMMYFUNCTION("AVERAGE(ARRAYFORMULA(XLOOKUP(FILTER(INDIRECT(""'""&amp;DV$1&amp;""'!$C$4:$C$66""),INDIRECT(""'""&amp;DV$1&amp;""'!$D$4:$D$66"")=DV$2),$G$4:$BQ$4,$G139:$BQ139)))"),0.1876302775)</f>
        <v>0.1876302775</v>
      </c>
      <c r="DW139" s="207" t="str">
        <f>IFERROR(__xludf.DUMMYFUNCTION("IF(OR(DV139&gt;$BS139+$BT139*$BT$2,DV139&lt;$BS139-$BT139*$BT$2),AVEDEV(ARRAYFORMULA(XLOOKUP(FILTER(INDIRECT(""'""&amp;DV$1&amp;""'!$C$4:$C$66""),INDIRECT(""'""&amp;DV$1&amp;""'!$D$4:$D$66"")=DV$2),$G$4:$BQ$4,$G139:$BQ139))),"""")"),"")</f>
        <v/>
      </c>
      <c r="DX139" s="208" t="str">
        <f t="shared" si="24"/>
        <v/>
      </c>
      <c r="DY139" s="210">
        <f>IFERROR(__xludf.DUMMYFUNCTION("AVERAGE(ARRAYFORMULA(XLOOKUP(FILTER(INDIRECT(""'""&amp;DY$1&amp;""'!$C$4:$C$66""),INDIRECT(""'""&amp;DY$1&amp;""'!$D$4:$D$66"")=DY$2),$G$4:$BQ$4,$G139:$BQ139)))"),1.913464822222222)</f>
        <v>1.913464822</v>
      </c>
      <c r="DZ139" s="207" t="str">
        <f>IFERROR(__xludf.DUMMYFUNCTION("IF(OR(DY139&gt;$BS139+$BT139*$BT$2,DY139&lt;$BS139-$BT139*$BT$2),AVEDEV(ARRAYFORMULA(XLOOKUP(FILTER(INDIRECT(""'""&amp;DY$1&amp;""'!$C$4:$C$66""),INDIRECT(""'""&amp;DY$1&amp;""'!$D$4:$D$66"")=DY$2),$G$4:$BQ$4,$G139:$BQ139))),"""")"),"")</f>
        <v/>
      </c>
      <c r="EA139" s="208" t="str">
        <f t="shared" si="25"/>
        <v/>
      </c>
      <c r="EB139" s="191"/>
    </row>
    <row r="140" outlineLevel="1">
      <c r="A140" s="2"/>
      <c r="B140" s="204">
        <v>136.0</v>
      </c>
      <c r="C140" s="204" t="s">
        <v>540</v>
      </c>
      <c r="D140" s="204" t="s">
        <v>582</v>
      </c>
      <c r="E140" s="205" t="b">
        <f>VLOOKUP(D140,'Feature Set List'!A136:C246,2,0)</f>
        <v>1</v>
      </c>
      <c r="F140" s="205" t="b">
        <f>VLOOKUP(D140,'Feature Set List'!A136:C246,3,0)</f>
        <v>0</v>
      </c>
      <c r="G140" s="205">
        <v>0.08948881</v>
      </c>
      <c r="H140" s="205">
        <v>2.90213723</v>
      </c>
      <c r="I140" s="205">
        <v>-0.1794776</v>
      </c>
      <c r="J140" s="205">
        <v>0.63392076</v>
      </c>
      <c r="K140" s="205">
        <v>1.98725159</v>
      </c>
      <c r="L140" s="205">
        <v>-0.072241</v>
      </c>
      <c r="M140" s="205">
        <v>-0.2899638</v>
      </c>
      <c r="N140" s="205">
        <v>0.35320585</v>
      </c>
      <c r="O140" s="205">
        <v>-0.0929884</v>
      </c>
      <c r="P140" s="205">
        <v>-0.4374453</v>
      </c>
      <c r="Q140" s="205">
        <v>0.79915011</v>
      </c>
      <c r="R140" s="205">
        <v>-0.5631046</v>
      </c>
      <c r="S140" s="205">
        <v>-0.1817273</v>
      </c>
      <c r="T140" s="205">
        <v>0.04274466</v>
      </c>
      <c r="U140" s="205">
        <v>-0.4606924</v>
      </c>
      <c r="V140" s="205">
        <v>1.62654668</v>
      </c>
      <c r="W140" s="205">
        <v>-0.4769404</v>
      </c>
      <c r="X140" s="205">
        <v>1.31533558</v>
      </c>
      <c r="Y140" s="205">
        <v>-0.1307337</v>
      </c>
      <c r="Z140" s="205">
        <v>0.05399325</v>
      </c>
      <c r="AA140" s="205">
        <v>-0.2684664</v>
      </c>
      <c r="AB140" s="205">
        <v>-0.1709786</v>
      </c>
      <c r="AC140" s="205">
        <v>-0.2204724</v>
      </c>
      <c r="AD140" s="205">
        <v>2.14973128</v>
      </c>
      <c r="AE140" s="205">
        <v>4.20447444</v>
      </c>
      <c r="AF140" s="205">
        <v>0.00874891</v>
      </c>
      <c r="AG140" s="205">
        <v>0.76590426</v>
      </c>
      <c r="AH140" s="205">
        <v>-0.3022122</v>
      </c>
      <c r="AI140" s="205">
        <v>-0.1259843</v>
      </c>
      <c r="AJ140" s="205">
        <v>-0.5640295</v>
      </c>
      <c r="AK140" s="205">
        <v>1.95475566</v>
      </c>
      <c r="AL140" s="205">
        <v>-0.1962255</v>
      </c>
      <c r="AM140" s="205">
        <v>-0.1449819</v>
      </c>
      <c r="AN140" s="205">
        <v>-0.4596925</v>
      </c>
      <c r="AO140" s="205">
        <v>-0.5204349</v>
      </c>
      <c r="AP140" s="205">
        <v>2.03974503</v>
      </c>
      <c r="AQ140" s="205">
        <v>0.63892013</v>
      </c>
      <c r="AR140" s="205">
        <v>6.00674916</v>
      </c>
      <c r="AS140" s="205">
        <v>-0.1607299</v>
      </c>
      <c r="AT140" s="205">
        <v>0.51818523</v>
      </c>
      <c r="AU140" s="205">
        <v>112.063492</v>
      </c>
      <c r="AV140" s="205">
        <v>-0.5576803</v>
      </c>
      <c r="AW140" s="205">
        <v>0.04699413</v>
      </c>
      <c r="AX140" s="205">
        <v>6.28921385</v>
      </c>
      <c r="AY140" s="205">
        <v>-0.671691</v>
      </c>
      <c r="AZ140" s="205">
        <v>-0.3154606</v>
      </c>
      <c r="BA140" s="205">
        <v>-0.1754781</v>
      </c>
      <c r="BB140" s="205">
        <v>-0.2394701</v>
      </c>
      <c r="BC140" s="205">
        <v>-0.1847269</v>
      </c>
      <c r="BD140" s="205">
        <v>2.1672291</v>
      </c>
      <c r="BE140" s="205">
        <v>0.76190476</v>
      </c>
      <c r="BF140" s="205">
        <v>1.95725534</v>
      </c>
      <c r="BG140" s="205">
        <v>0.03149606</v>
      </c>
      <c r="BH140" s="205">
        <v>3.33708286</v>
      </c>
      <c r="BI140" s="205">
        <v>0.05274341</v>
      </c>
      <c r="BJ140" s="205">
        <v>-0.3142107</v>
      </c>
      <c r="BK140" s="205">
        <v>-0.1617298</v>
      </c>
      <c r="BL140" s="205">
        <v>-0.2327209</v>
      </c>
      <c r="BM140" s="205">
        <v>0.0</v>
      </c>
      <c r="BN140" s="205">
        <v>0.15173103</v>
      </c>
      <c r="BO140" s="205">
        <v>-0.4086989</v>
      </c>
      <c r="BP140" s="205">
        <v>0.12523435</v>
      </c>
      <c r="BQ140" s="205">
        <v>0.61642295</v>
      </c>
      <c r="BR140" s="206"/>
      <c r="BS140" s="207">
        <f t="shared" si="6"/>
        <v>2.32397458</v>
      </c>
      <c r="BT140" s="207">
        <f t="shared" si="7"/>
        <v>3.83680324</v>
      </c>
      <c r="BU140" s="206"/>
      <c r="BV140" s="207">
        <f>IFERROR(__xludf.DUMMYFUNCTION("AVERAGE(ARRAYFORMULA(XLOOKUP(FILTER(INDIRECT(""'""&amp;BV$1&amp;""'!$C$4:$C$66""),INDIRECT(""'""&amp;BV$1&amp;""'!$D$4:$D$66"")=BV$2),$G$4:$BQ$4,$G140:$BQ140)))"),-0.006824137142857202)</f>
        <v>-0.006824137143</v>
      </c>
      <c r="BW140" s="207" t="str">
        <f>IFERROR(__xludf.DUMMYFUNCTION("IF(OR(BV140&gt;$BS140+$BT140*$BT$2,BV140&lt;$BS140-$BT140*$BT$2),AVEDEV(ARRAYFORMULA(XLOOKUP(FILTER(INDIRECT(""'""&amp;BV$1&amp;""'!$C$4:$C$66""),INDIRECT(""'""&amp;BV$1&amp;""'!$D$4:$D$66"")=BV$2),$G$4:$BQ$4,$G140:$BQ140))),"""")"),"")</f>
        <v/>
      </c>
      <c r="BX140" s="208" t="str">
        <f t="shared" si="8"/>
        <v/>
      </c>
      <c r="BY140" s="207">
        <f>IFERROR(__xludf.DUMMYFUNCTION("AVERAGE(ARRAYFORMULA(XLOOKUP(FILTER(INDIRECT(""'""&amp;BY$1&amp;""'!$C$4:$C$66""),INDIRECT(""'""&amp;BY$1&amp;""'!$D$4:$D$66"")=BY$2),$G$4:$BQ$4,$G140:$BQ140)))"),0.8134334414285718)</f>
        <v>0.8134334414</v>
      </c>
      <c r="BZ140" s="207" t="str">
        <f>IFERROR(__xludf.DUMMYFUNCTION("IF(OR(BY140&gt;$BS140+$BT140*$BT$2,BY140&lt;$BS140-$BT140*$BT$2),AVEDEV(ARRAYFORMULA(XLOOKUP(FILTER(INDIRECT(""'""&amp;BY$1&amp;""'!$C$4:$C$66""),INDIRECT(""'""&amp;BY$1&amp;""'!$D$4:$D$66"")=BY$2),$G$4:$BQ$4,$G140:$BQ140))),"""")"),"")</f>
        <v/>
      </c>
      <c r="CA140" s="208" t="str">
        <f t="shared" si="9"/>
        <v/>
      </c>
      <c r="CB140" s="207">
        <f>IFERROR(__xludf.DUMMYFUNCTION("AVERAGE(ARRAYFORMULA(XLOOKUP(FILTER(INDIRECT(""'""&amp;CB$1&amp;""'!$C$4:$C$66""),INDIRECT(""'""&amp;CB$1&amp;""'!$D$4:$D$66"")=CB$2),$G$4:$BQ$4,$G140:$BQ140)))"),-0.15975277454545453)</f>
        <v>-0.1597527745</v>
      </c>
      <c r="CC140" s="207" t="str">
        <f>IFERROR(__xludf.DUMMYFUNCTION("IF(OR(CB140&gt;$BS140+$BT140*$BT$2,CB140&lt;$BS140-$BT140*$BT$2),AVEDEV(ARRAYFORMULA(XLOOKUP(FILTER(INDIRECT(""'""&amp;CB$1&amp;""'!$C$4:$C$66""),INDIRECT(""'""&amp;CB$1&amp;""'!$D$4:$D$66"")=CB$2),$G$4:$BQ$4,$G140:$BQ140))),"""")"),"")</f>
        <v/>
      </c>
      <c r="CD140" s="208" t="str">
        <f t="shared" si="10"/>
        <v/>
      </c>
      <c r="CE140" s="209" t="s">
        <v>444</v>
      </c>
      <c r="CF140" s="207">
        <f>IFERROR(__xludf.DUMMYFUNCTION("AVERAGE(ARRAYFORMULA(XLOOKUP(FILTER(INDIRECT(""'""&amp;CF$1&amp;""'!$C$4:$C$66""),INDIRECT(""'""&amp;CF$1&amp;""'!$D$4:$D$66"")=CF$2),$G$4:$BQ$4,$G140:$BQ140)))"),1.175196845625)</f>
        <v>1.175196846</v>
      </c>
      <c r="CG140" s="207" t="str">
        <f>IFERROR(__xludf.DUMMYFUNCTION("IF(OR(CF140&gt;$BS140+$BT140*$BT$2,CF140&lt;$BS140-$BT140*$BT$2),AVEDEV(ARRAYFORMULA(XLOOKUP(FILTER(INDIRECT(""'""&amp;CF$1&amp;""'!$C$4:$C$66""),INDIRECT(""'""&amp;CF$1&amp;""'!$D$4:$D$66"")=CF$2),$G$4:$BQ$4,$G140:$BQ140))),"""")"),"")</f>
        <v/>
      </c>
      <c r="CH140" s="208" t="str">
        <f t="shared" si="11"/>
        <v/>
      </c>
      <c r="CI140" s="207">
        <f>IFERROR(__xludf.DUMMYFUNCTION("AVERAGE(ARRAYFORMULA(XLOOKUP(FILTER(INDIRECT(""'""&amp;CI$1&amp;""'!$C$4:$C$66""),INDIRECT(""'""&amp;CI$1&amp;""'!$D$4:$D$66"")=CI$2),$G$4:$BQ$4,$G140:$BQ140)))"),0.055370497096774204)</f>
        <v>0.0553704971</v>
      </c>
      <c r="CJ140" s="207" t="str">
        <f>IFERROR(__xludf.DUMMYFUNCTION("IF(OR(CI140&gt;$BS140+$BT140*$BT$2,CI140&lt;$BS140-$BT140*$BT$2),AVEDEV(ARRAYFORMULA(XLOOKUP(FILTER(INDIRECT(""'""&amp;CI$1&amp;""'!$C$4:$C$66""),INDIRECT(""'""&amp;CI$1&amp;""'!$D$4:$D$66"")=CI$2),$G$4:$BQ$4,$G140:$BQ140))),"""")"),"")</f>
        <v/>
      </c>
      <c r="CK140" s="208" t="str">
        <f t="shared" si="12"/>
        <v/>
      </c>
      <c r="CL140" s="207">
        <f>IFERROR(__xludf.DUMMYFUNCTION("AVERAGE(ARRAYFORMULA(XLOOKUP(FILTER(INDIRECT(""'""&amp;CL$1&amp;""'!$C$4:$C$66""),INDIRECT(""'""&amp;CL$1&amp;""'!$D$4:$D$66"")=CL$2),$G$4:$BQ$4,$G140:$BQ140)))"),-0.13988251599999998)</f>
        <v>-0.139882516</v>
      </c>
      <c r="CM140" s="207" t="str">
        <f>IFERROR(__xludf.DUMMYFUNCTION("IF(OR(CL140&gt;$BS140+$BT140*$BT$2,CL140&lt;$BS140-$BT140*$BT$2),AVEDEV(ARRAYFORMULA(XLOOKUP(FILTER(INDIRECT(""'""&amp;CL$1&amp;""'!$C$4:$C$66""),INDIRECT(""'""&amp;CL$1&amp;""'!$D$4:$D$66"")=CL$2),$G$4:$BQ$4,$G140:$BQ140))),"""")"),"")</f>
        <v/>
      </c>
      <c r="CN140" s="208" t="str">
        <f t="shared" si="13"/>
        <v/>
      </c>
      <c r="CO140" s="209" t="s">
        <v>444</v>
      </c>
      <c r="CP140" s="210">
        <f>IFERROR(__xludf.DUMMYFUNCTION("AVERAGE(ARRAYFORMULA(XLOOKUP(FILTER(INDIRECT(""'""&amp;CP$1&amp;""'!$C$4:$C$66""),INDIRECT(""'""&amp;CP$1&amp;""'!$D$4:$D$66"")=CP$2),$G$4:$BQ$4,$G140:$BQ140)))"),0.336057998)</f>
        <v>0.336057998</v>
      </c>
      <c r="CQ140" s="207" t="str">
        <f>IFERROR(__xludf.DUMMYFUNCTION("IF(OR(CP140&gt;$BS140+$BT140*$BT$2,CP140&lt;$BS140-$BT140*$BT$2),AVEDEV(ARRAYFORMULA(XLOOKUP(FILTER(INDIRECT(""'""&amp;CP$1&amp;""'!$C$4:$C$66""),INDIRECT(""'""&amp;CP$1&amp;""'!$D$4:$D$66"")=CP$2),$G$4:$BQ$4,$G140:$BQ140))),"""")"),"")</f>
        <v/>
      </c>
      <c r="CR140" s="208" t="str">
        <f t="shared" si="14"/>
        <v/>
      </c>
      <c r="CS140" s="210">
        <f>IFERROR(__xludf.DUMMYFUNCTION("AVERAGE(ARRAYFORMULA(XLOOKUP(FILTER(INDIRECT(""'""&amp;CS$1&amp;""'!$C$4:$C$66""),INDIRECT(""'""&amp;CS$1&amp;""'!$D$4:$D$66"")=CS$2),$G$4:$BQ$4,$G140:$BQ140)))"),0.724369706923077)</f>
        <v>0.7243697069</v>
      </c>
      <c r="CT140" s="207" t="str">
        <f>IFERROR(__xludf.DUMMYFUNCTION("IF(OR(CS140&gt;$BS140+$BT140*$BT$2,CS140&lt;$BS140-$BT140*$BT$2),AVEDEV(ARRAYFORMULA(XLOOKUP(FILTER(INDIRECT(""'""&amp;CS$1&amp;""'!$C$4:$C$66""),INDIRECT(""'""&amp;CS$1&amp;""'!$D$4:$D$66"")=CS$2),$G$4:$BQ$4,$G140:$BQ140))),"""")"),"")</f>
        <v/>
      </c>
      <c r="CU140" s="208" t="str">
        <f t="shared" si="15"/>
        <v/>
      </c>
      <c r="CV140" s="210">
        <f>IFERROR(__xludf.DUMMYFUNCTION("AVERAGE(ARRAYFORMULA(XLOOKUP(FILTER(INDIRECT(""'""&amp;CV$1&amp;""'!$C$4:$C$66""),INDIRECT(""'""&amp;CV$1&amp;""'!$D$4:$D$66"")=CV$2),$G$4:$BQ$4,$G140:$BQ140)))"),-0.13988251599999998)</f>
        <v>-0.139882516</v>
      </c>
      <c r="CW140" s="207" t="str">
        <f>IFERROR(__xludf.DUMMYFUNCTION("IF(OR(CV140&gt;$BS140+$BT140*$BT$2,CV140&lt;$BS140-$BT140*$BT$2),AVEDEV(ARRAYFORMULA(XLOOKUP(FILTER(INDIRECT(""'""&amp;CV$1&amp;""'!$C$4:$C$66""),INDIRECT(""'""&amp;CV$1&amp;""'!$D$4:$D$66"")=CV$2),$G$4:$BQ$4,$G140:$BQ140))),"""")"),"")</f>
        <v/>
      </c>
      <c r="CX140" s="208" t="str">
        <f t="shared" si="16"/>
        <v/>
      </c>
      <c r="CY140" s="209" t="s">
        <v>444</v>
      </c>
      <c r="CZ140" s="210">
        <f>IFERROR(__xludf.DUMMYFUNCTION("AVERAGE(ARRAYFORMULA(XLOOKUP(FILTER(INDIRECT(""'""&amp;CZ$1&amp;""'!$C$4:$C$66""),INDIRECT(""'""&amp;CZ$1&amp;""'!$D$4:$D$66"")=CZ$2),$G$4:$BQ$4,$G140:$BQ140)))"),1.1885657078571428)</f>
        <v>1.188565708</v>
      </c>
      <c r="DA140" s="207" t="str">
        <f>IFERROR(__xludf.DUMMYFUNCTION("IF(OR(CZ140&gt;$BS140+$BT140*$BT$2,CZ140&lt;$BS140-$BT140*$BT$2),AVEDEV(ARRAYFORMULA(XLOOKUP(FILTER(INDIRECT(""'""&amp;CZ$1&amp;""'!$C$4:$C$66""),INDIRECT(""'""&amp;CZ$1&amp;""'!$D$4:$D$66"")=CZ$2),$G$4:$BQ$4,$G140:$BQ140))),"""")"),"")</f>
        <v/>
      </c>
      <c r="DB140" s="208" t="str">
        <f t="shared" si="17"/>
        <v/>
      </c>
      <c r="DC140" s="210">
        <f>IFERROR(__xludf.DUMMYFUNCTION("AVERAGE(ARRAYFORMULA(XLOOKUP(FILTER(INDIRECT(""'""&amp;DC$1&amp;""'!$C$4:$C$66""),INDIRECT(""'""&amp;DC$1&amp;""'!$D$4:$D$66"")=DC$2),$G$4:$BQ$4,$G140:$BQ140)))"),-0.16020221333333332)</f>
        <v>-0.1602022133</v>
      </c>
      <c r="DD140" s="207" t="str">
        <f>IFERROR(__xludf.DUMMYFUNCTION("IF(OR(DC140&gt;$BS140+$BT140*$BT$2,DC140&lt;$BS140-$BT140*$BT$2),AVEDEV(ARRAYFORMULA(XLOOKUP(FILTER(INDIRECT(""'""&amp;DC$1&amp;""'!$C$4:$C$66""),INDIRECT(""'""&amp;DC$1&amp;""'!$D$4:$D$66"")=DC$2),$G$4:$BQ$4,$G140:$BQ140))),"""")"),"")</f>
        <v/>
      </c>
      <c r="DE140" s="208" t="str">
        <f t="shared" si="18"/>
        <v/>
      </c>
      <c r="DF140" s="210">
        <f>IFERROR(__xludf.DUMMYFUNCTION("AVERAGE(ARRAYFORMULA(XLOOKUP(FILTER(INDIRECT(""'""&amp;DF$1&amp;""'!$C$4:$C$66""),INDIRECT(""'""&amp;DF$1&amp;""'!$D$4:$D$66"")=DF$2),$G$4:$BQ$4,$G140:$BQ140)))"),-0.18372702818181816)</f>
        <v>-0.1837270282</v>
      </c>
      <c r="DG140" s="207" t="str">
        <f>IFERROR(__xludf.DUMMYFUNCTION("IF(OR(DF140&gt;$BS140+$BT140*$BT$2,DF140&lt;$BS140-$BT140*$BT$2),AVEDEV(ARRAYFORMULA(XLOOKUP(FILTER(INDIRECT(""'""&amp;DF$1&amp;""'!$C$4:$C$66""),INDIRECT(""'""&amp;DF$1&amp;""'!$D$4:$D$66"")=DF$2),$G$4:$BQ$4,$G140:$BQ140))),"""")"),"")</f>
        <v/>
      </c>
      <c r="DH140" s="208" t="str">
        <f t="shared" si="19"/>
        <v/>
      </c>
      <c r="DI140" s="210">
        <f>IFERROR(__xludf.DUMMYFUNCTION("AVERAGE(ARRAYFORMULA(XLOOKUP(FILTER(INDIRECT(""'""&amp;DI$1&amp;""'!$C$4:$C$66""),INDIRECT(""'""&amp;DI$1&amp;""'!$D$4:$D$66"")=DI$2),$G$4:$BQ$4,$G140:$BQ140)))"),2.74340707)</f>
        <v>2.74340707</v>
      </c>
      <c r="DJ140" s="207" t="str">
        <f>IFERROR(__xludf.DUMMYFUNCTION("IF(OR(DI140&gt;$BS140+$BT140*$BT$2,DI140&lt;$BS140-$BT140*$BT$2),AVEDEV(ARRAYFORMULA(XLOOKUP(FILTER(INDIRECT(""'""&amp;DI$1&amp;""'!$C$4:$C$66""),INDIRECT(""'""&amp;DI$1&amp;""'!$D$4:$D$66"")=DI$2),$G$4:$BQ$4,$G140:$BQ140))),"""")"),"")</f>
        <v/>
      </c>
      <c r="DK140" s="208" t="str">
        <f t="shared" si="20"/>
        <v/>
      </c>
      <c r="DL140" s="210">
        <f>IFERROR(__xludf.DUMMYFUNCTION("AVERAGE(ARRAYFORMULA(XLOOKUP(FILTER(INDIRECT(""'""&amp;DL$1&amp;""'!$C$4:$C$66""),INDIRECT(""'""&amp;DL$1&amp;""'!$D$4:$D$66"")=DL$2),$G$4:$BQ$4,$G140:$BQ140)))"),0.8511775364285715)</f>
        <v>0.8511775364</v>
      </c>
      <c r="DM140" s="207" t="str">
        <f>IFERROR(__xludf.DUMMYFUNCTION("IF(OR(DL140&gt;$BS140+$BT140*$BT$2,DL140&lt;$BS140-$BT140*$BT$2),AVEDEV(ARRAYFORMULA(XLOOKUP(FILTER(INDIRECT(""'""&amp;DL$1&amp;""'!$C$4:$C$66""),INDIRECT(""'""&amp;DL$1&amp;""'!$D$4:$D$66"")=DL$2),$G$4:$BQ$4,$G140:$BQ140))),"""")"),"")</f>
        <v/>
      </c>
      <c r="DN140" s="208" t="str">
        <f t="shared" si="21"/>
        <v/>
      </c>
      <c r="DO140" s="209" t="s">
        <v>444</v>
      </c>
      <c r="DP140" s="210">
        <f>IFERROR(__xludf.DUMMYFUNCTION("AVERAGE(ARRAYFORMULA(XLOOKUP(FILTER(INDIRECT(""'""&amp;DP$1&amp;""'!$C$4:$C$66""),INDIRECT(""'""&amp;DP$1&amp;""'!$D$4:$D$66"")=DP$2),$G$4:$BQ$4,$G140:$BQ140)))"),0.8645585980000002)</f>
        <v>0.864558598</v>
      </c>
      <c r="DQ140" s="207" t="str">
        <f>IFERROR(__xludf.DUMMYFUNCTION("IF(OR(DP140&gt;$BS140+$BT140*$BT$2,DP140&lt;$BS140-$BT140*$BT$2),AVEDEV(ARRAYFORMULA(XLOOKUP(FILTER(INDIRECT(""'""&amp;DP$1&amp;""'!$C$4:$C$66""),INDIRECT(""'""&amp;DP$1&amp;""'!$D$4:$D$66"")=DP$2),$G$4:$BQ$4,$G140:$BQ140))),"""")"),"")</f>
        <v/>
      </c>
      <c r="DR140" s="208" t="str">
        <f t="shared" si="22"/>
        <v/>
      </c>
      <c r="DS140" s="210">
        <f>IFERROR(__xludf.DUMMYFUNCTION("AVERAGE(ARRAYFORMULA(XLOOKUP(FILTER(INDIRECT(""'""&amp;DS$1&amp;""'!$C$4:$C$66""),INDIRECT(""'""&amp;DS$1&amp;""'!$D$4:$D$66"")=DS$2),$G$4:$BQ$4,$G140:$BQ140)))"),-0.20861282555555555)</f>
        <v>-0.2086128256</v>
      </c>
      <c r="DT140" s="207" t="str">
        <f>IFERROR(__xludf.DUMMYFUNCTION("IF(OR(DS140&gt;$BS140+$BT140*$BT$2,DS140&lt;$BS140-$BT140*$BT$2),AVEDEV(ARRAYFORMULA(XLOOKUP(FILTER(INDIRECT(""'""&amp;DS$1&amp;""'!$C$4:$C$66""),INDIRECT(""'""&amp;DS$1&amp;""'!$D$4:$D$66"")=DS$2),$G$4:$BQ$4,$G140:$BQ140))),"""")"),"")</f>
        <v/>
      </c>
      <c r="DU140" s="208" t="str">
        <f t="shared" si="23"/>
        <v/>
      </c>
      <c r="DV140" s="210">
        <f>IFERROR(__xludf.DUMMYFUNCTION("AVERAGE(ARRAYFORMULA(XLOOKUP(FILTER(INDIRECT(""'""&amp;DV$1&amp;""'!$C$4:$C$66""),INDIRECT(""'""&amp;DV$1&amp;""'!$D$4:$D$66"")=DV$2),$G$4:$BQ$4,$G140:$BQ140)))"),-0.389770025)</f>
        <v>-0.389770025</v>
      </c>
      <c r="DW140" s="207" t="str">
        <f>IFERROR(__xludf.DUMMYFUNCTION("IF(OR(DV140&gt;$BS140+$BT140*$BT$2,DV140&lt;$BS140-$BT140*$BT$2),AVEDEV(ARRAYFORMULA(XLOOKUP(FILTER(INDIRECT(""'""&amp;DV$1&amp;""'!$C$4:$C$66""),INDIRECT(""'""&amp;DV$1&amp;""'!$D$4:$D$66"")=DV$2),$G$4:$BQ$4,$G140:$BQ140))),"""")"),"")</f>
        <v/>
      </c>
      <c r="DX140" s="208" t="str">
        <f t="shared" si="24"/>
        <v/>
      </c>
      <c r="DY140" s="210">
        <f>IFERROR(__xludf.DUMMYFUNCTION("AVERAGE(ARRAYFORMULA(XLOOKUP(FILTER(INDIRECT(""'""&amp;DY$1&amp;""'!$C$4:$C$66""),INDIRECT(""'""&amp;DY$1&amp;""'!$D$4:$D$66"")=DY$2),$G$4:$BQ$4,$G140:$BQ140)))"),0.5387937566666666)</f>
        <v>0.5387937567</v>
      </c>
      <c r="DZ140" s="207" t="str">
        <f>IFERROR(__xludf.DUMMYFUNCTION("IF(OR(DY140&gt;$BS140+$BT140*$BT$2,DY140&lt;$BS140-$BT140*$BT$2),AVEDEV(ARRAYFORMULA(XLOOKUP(FILTER(INDIRECT(""'""&amp;DY$1&amp;""'!$C$4:$C$66""),INDIRECT(""'""&amp;DY$1&amp;""'!$D$4:$D$66"")=DY$2),$G$4:$BQ$4,$G140:$BQ140))),"""")"),"")</f>
        <v/>
      </c>
      <c r="EA140" s="208" t="str">
        <f t="shared" si="25"/>
        <v/>
      </c>
      <c r="EB140" s="191"/>
    </row>
    <row r="141" outlineLevel="1">
      <c r="A141" s="2"/>
      <c r="B141" s="204">
        <v>137.0</v>
      </c>
      <c r="C141" s="204" t="s">
        <v>540</v>
      </c>
      <c r="D141" s="204" t="s">
        <v>583</v>
      </c>
      <c r="E141" s="205" t="b">
        <f>VLOOKUP(D141,'Feature Set List'!A137:C246,2,0)</f>
        <v>1</v>
      </c>
      <c r="F141" s="205" t="b">
        <f>VLOOKUP(D141,'Feature Set List'!A137:C246,3,0)</f>
        <v>1</v>
      </c>
      <c r="G141" s="205">
        <v>-0.0484718</v>
      </c>
      <c r="H141" s="205">
        <v>1.64165219</v>
      </c>
      <c r="I141" s="205">
        <v>-0.0484718</v>
      </c>
      <c r="J141" s="205">
        <v>0.04523767</v>
      </c>
      <c r="K141" s="205">
        <v>-0.0206824</v>
      </c>
      <c r="L141" s="205">
        <v>-0.0808928</v>
      </c>
      <c r="M141" s="205">
        <v>-0.0027151</v>
      </c>
      <c r="N141" s="205">
        <v>0.40430417</v>
      </c>
      <c r="O141" s="205">
        <v>-0.0636442</v>
      </c>
      <c r="P141" s="205">
        <v>-0.0659999</v>
      </c>
      <c r="Q141" s="205">
        <v>0.0</v>
      </c>
      <c r="R141" s="205">
        <v>0.27573816</v>
      </c>
      <c r="S141" s="205">
        <v>1.29069094</v>
      </c>
      <c r="T141" s="205">
        <v>3.04589647</v>
      </c>
      <c r="U141" s="205">
        <v>-0.0570162</v>
      </c>
      <c r="V141" s="205">
        <v>0.05134655</v>
      </c>
      <c r="W141" s="205">
        <v>-0.0775788</v>
      </c>
      <c r="X141" s="205">
        <v>0.99562796</v>
      </c>
      <c r="Y141" s="205">
        <v>3.00636841</v>
      </c>
      <c r="Z141" s="205">
        <v>0.05134655</v>
      </c>
      <c r="AA141" s="205">
        <v>0.89101835</v>
      </c>
      <c r="AB141" s="205">
        <v>-0.056577</v>
      </c>
      <c r="AC141" s="205">
        <v>-0.0751033</v>
      </c>
      <c r="AD141" s="205">
        <v>0.07630113</v>
      </c>
      <c r="AE141" s="205">
        <v>3.98019604</v>
      </c>
      <c r="AF141" s="205">
        <v>3.02872772</v>
      </c>
      <c r="AG141" s="205">
        <v>-0.0982612</v>
      </c>
      <c r="AH141" s="205">
        <v>0.22618834</v>
      </c>
      <c r="AI141" s="205">
        <v>-0.0651215</v>
      </c>
      <c r="AJ141" s="205">
        <v>-0.0276696</v>
      </c>
      <c r="AK141" s="205">
        <v>1.44481044</v>
      </c>
      <c r="AL141" s="205">
        <v>0.20690344</v>
      </c>
      <c r="AM141" s="205">
        <v>-0.1050488</v>
      </c>
      <c r="AN141" s="205">
        <v>1.22640794</v>
      </c>
      <c r="AO141" s="205">
        <v>0.02203989</v>
      </c>
      <c r="AP141" s="205">
        <v>-0.0149328</v>
      </c>
      <c r="AQ141" s="205">
        <v>0.05134655</v>
      </c>
      <c r="AR141" s="205">
        <v>1.20684354</v>
      </c>
      <c r="AS141" s="205">
        <v>-0.0609291</v>
      </c>
      <c r="AT141" s="205">
        <v>-0.0469545</v>
      </c>
      <c r="AU141" s="205">
        <v>180.123615</v>
      </c>
      <c r="AV141" s="205">
        <v>-0.0859236</v>
      </c>
      <c r="AW141" s="205">
        <v>1.41366713</v>
      </c>
      <c r="AX141" s="205">
        <v>0.71094608</v>
      </c>
      <c r="AY141" s="205">
        <v>-0.0567767</v>
      </c>
      <c r="AZ141" s="205">
        <v>-0.0900761</v>
      </c>
      <c r="BA141" s="205">
        <v>-0.0798547</v>
      </c>
      <c r="BB141" s="205">
        <v>-0.0922721</v>
      </c>
      <c r="BC141" s="205">
        <v>1.01758799</v>
      </c>
      <c r="BD141" s="205">
        <v>-0.0463956</v>
      </c>
      <c r="BE141" s="205">
        <v>-0.0152123</v>
      </c>
      <c r="BF141" s="205">
        <v>0.05753529</v>
      </c>
      <c r="BG141" s="205">
        <v>-0.0526242</v>
      </c>
      <c r="BH141" s="205">
        <v>6.24008305</v>
      </c>
      <c r="BI141" s="205">
        <v>1.44880318</v>
      </c>
      <c r="BJ141" s="205">
        <v>-0.0940289</v>
      </c>
      <c r="BK141" s="205">
        <v>-0.0531034</v>
      </c>
      <c r="BL141" s="205">
        <v>-0.0443193</v>
      </c>
      <c r="BM141" s="205">
        <v>-0.0451578</v>
      </c>
      <c r="BN141" s="205">
        <v>0.63628197</v>
      </c>
      <c r="BO141" s="205">
        <v>1.44880318</v>
      </c>
      <c r="BP141" s="205">
        <v>-0.0443193</v>
      </c>
      <c r="BQ141" s="205">
        <v>0.03305983</v>
      </c>
      <c r="BR141" s="206"/>
      <c r="BS141" s="207">
        <f t="shared" si="6"/>
        <v>3.404495879</v>
      </c>
      <c r="BT141" s="207">
        <f t="shared" si="7"/>
        <v>5.718425602</v>
      </c>
      <c r="BU141" s="206"/>
      <c r="BV141" s="207">
        <f>IFERROR(__xludf.DUMMYFUNCTION("AVERAGE(ARRAYFORMULA(XLOOKUP(FILTER(INDIRECT(""'""&amp;BV$1&amp;""'!$C$4:$C$66""),INDIRECT(""'""&amp;BV$1&amp;""'!$D$4:$D$66"")=BV$2),$G$4:$BQ$4,$G141:$BQ141)))"),0.10743875)</f>
        <v>0.10743875</v>
      </c>
      <c r="BW141" s="207" t="str">
        <f>IFERROR(__xludf.DUMMYFUNCTION("IF(OR(BV141&gt;$BS141+$BT141*$BT$2,BV141&lt;$BS141-$BT141*$BT$2),AVEDEV(ARRAYFORMULA(XLOOKUP(FILTER(INDIRECT(""'""&amp;BV$1&amp;""'!$C$4:$C$66""),INDIRECT(""'""&amp;BV$1&amp;""'!$D$4:$D$66"")=BV$2),$G$4:$BQ$4,$G141:$BQ141))),"""")"),"")</f>
        <v/>
      </c>
      <c r="BX141" s="208" t="str">
        <f t="shared" si="8"/>
        <v/>
      </c>
      <c r="BY141" s="207">
        <f>IFERROR(__xludf.DUMMYFUNCTION("AVERAGE(ARRAYFORMULA(XLOOKUP(FILTER(INDIRECT(""'""&amp;BY$1&amp;""'!$C$4:$C$66""),INDIRECT(""'""&amp;BY$1&amp;""'!$D$4:$D$66"")=BY$2),$G$4:$BQ$4,$G141:$BQ141)))"),0.5979089500000001)</f>
        <v>0.59790895</v>
      </c>
      <c r="BZ141" s="207" t="str">
        <f>IFERROR(__xludf.DUMMYFUNCTION("IF(OR(BY141&gt;$BS141+$BT141*$BT$2,BY141&lt;$BS141-$BT141*$BT$2),AVEDEV(ARRAYFORMULA(XLOOKUP(FILTER(INDIRECT(""'""&amp;BY$1&amp;""'!$C$4:$C$66""),INDIRECT(""'""&amp;BY$1&amp;""'!$D$4:$D$66"")=BY$2),$G$4:$BQ$4,$G141:$BQ141))),"""")"),"")</f>
        <v/>
      </c>
      <c r="CA141" s="208" t="str">
        <f t="shared" si="9"/>
        <v/>
      </c>
      <c r="CB141" s="207">
        <f>IFERROR(__xludf.DUMMYFUNCTION("AVERAGE(ARRAYFORMULA(XLOOKUP(FILTER(INDIRECT(""'""&amp;CB$1&amp;""'!$C$4:$C$66""),INDIRECT(""'""&amp;CB$1&amp;""'!$D$4:$D$66"")=CB$2),$G$4:$BQ$4,$G141:$BQ141)))"),0.7809314181818181)</f>
        <v>0.7809314182</v>
      </c>
      <c r="CC141" s="207" t="str">
        <f>IFERROR(__xludf.DUMMYFUNCTION("IF(OR(CB141&gt;$BS141+$BT141*$BT$2,CB141&lt;$BS141-$BT141*$BT$2),AVEDEV(ARRAYFORMULA(XLOOKUP(FILTER(INDIRECT(""'""&amp;CB$1&amp;""'!$C$4:$C$66""),INDIRECT(""'""&amp;CB$1&amp;""'!$D$4:$D$66"")=CB$2),$G$4:$BQ$4,$G141:$BQ141))),"""")"),"")</f>
        <v/>
      </c>
      <c r="CD141" s="208" t="str">
        <f t="shared" si="10"/>
        <v/>
      </c>
      <c r="CE141" s="209" t="s">
        <v>444</v>
      </c>
      <c r="CF141" s="207">
        <f>IFERROR(__xludf.DUMMYFUNCTION("AVERAGE(ARRAYFORMULA(XLOOKUP(FILTER(INDIRECT(""'""&amp;CF$1&amp;""'!$C$4:$C$66""),INDIRECT(""'""&amp;CF$1&amp;""'!$D$4:$D$66"")=CF$2),$G$4:$BQ$4,$G141:$BQ141)))"),0.543428458125)</f>
        <v>0.5434284581</v>
      </c>
      <c r="CG141" s="207" t="str">
        <f>IFERROR(__xludf.DUMMYFUNCTION("IF(OR(CF141&gt;$BS141+$BT141*$BT$2,CF141&lt;$BS141-$BT141*$BT$2),AVEDEV(ARRAYFORMULA(XLOOKUP(FILTER(INDIRECT(""'""&amp;CF$1&amp;""'!$C$4:$C$66""),INDIRECT(""'""&amp;CF$1&amp;""'!$D$4:$D$66"")=CF$2),$G$4:$BQ$4,$G141:$BQ141))),"""")"),"")</f>
        <v/>
      </c>
      <c r="CH141" s="208" t="str">
        <f t="shared" si="11"/>
        <v/>
      </c>
      <c r="CI141" s="207">
        <f>IFERROR(__xludf.DUMMYFUNCTION("AVERAGE(ARRAYFORMULA(XLOOKUP(FILTER(INDIRECT(""'""&amp;CI$1&amp;""'!$C$4:$C$66""),INDIRECT(""'""&amp;CI$1&amp;""'!$D$4:$D$66"")=CI$2),$G$4:$BQ$4,$G141:$BQ141)))"),0.6040915193548387)</f>
        <v>0.6040915194</v>
      </c>
      <c r="CJ141" s="207" t="str">
        <f>IFERROR(__xludf.DUMMYFUNCTION("IF(OR(CI141&gt;$BS141+$BT141*$BT$2,CI141&lt;$BS141-$BT141*$BT$2),AVEDEV(ARRAYFORMULA(XLOOKUP(FILTER(INDIRECT(""'""&amp;CI$1&amp;""'!$C$4:$C$66""),INDIRECT(""'""&amp;CI$1&amp;""'!$D$4:$D$66"")=CI$2),$G$4:$BQ$4,$G141:$BQ141))),"""")"),"")</f>
        <v/>
      </c>
      <c r="CK141" s="208" t="str">
        <f t="shared" si="12"/>
        <v/>
      </c>
      <c r="CL141" s="207">
        <f>IFERROR(__xludf.DUMMYFUNCTION("AVERAGE(ARRAYFORMULA(XLOOKUP(FILTER(INDIRECT(""'""&amp;CL$1&amp;""'!$C$4:$C$66""),INDIRECT(""'""&amp;CL$1&amp;""'!$D$4:$D$66"")=CL$2),$G$4:$BQ$4,$G141:$BQ141)))"),0.557297714)</f>
        <v>0.557297714</v>
      </c>
      <c r="CM141" s="207" t="str">
        <f>IFERROR(__xludf.DUMMYFUNCTION("IF(OR(CL141&gt;$BS141+$BT141*$BT$2,CL141&lt;$BS141-$BT141*$BT$2),AVEDEV(ARRAYFORMULA(XLOOKUP(FILTER(INDIRECT(""'""&amp;CL$1&amp;""'!$C$4:$C$66""),INDIRECT(""'""&amp;CL$1&amp;""'!$D$4:$D$66"")=CL$2),$G$4:$BQ$4,$G141:$BQ141))),"""")"),"")</f>
        <v/>
      </c>
      <c r="CN141" s="208" t="str">
        <f t="shared" si="13"/>
        <v/>
      </c>
      <c r="CO141" s="209" t="s">
        <v>444</v>
      </c>
      <c r="CP141" s="210">
        <f>IFERROR(__xludf.DUMMYFUNCTION("AVERAGE(ARRAYFORMULA(XLOOKUP(FILTER(INDIRECT(""'""&amp;CP$1&amp;""'!$C$4:$C$66""),INDIRECT(""'""&amp;CP$1&amp;""'!$D$4:$D$66"")=CP$2),$G$4:$BQ$4,$G141:$BQ141)))"),0.70104943)</f>
        <v>0.70104943</v>
      </c>
      <c r="CQ141" s="207" t="str">
        <f>IFERROR(__xludf.DUMMYFUNCTION("IF(OR(CP141&gt;$BS141+$BT141*$BT$2,CP141&lt;$BS141-$BT141*$BT$2),AVEDEV(ARRAYFORMULA(XLOOKUP(FILTER(INDIRECT(""'""&amp;CP$1&amp;""'!$C$4:$C$66""),INDIRECT(""'""&amp;CP$1&amp;""'!$D$4:$D$66"")=CP$2),$G$4:$BQ$4,$G141:$BQ141))),"""")"),"")</f>
        <v/>
      </c>
      <c r="CR141" s="208" t="str">
        <f t="shared" si="14"/>
        <v/>
      </c>
      <c r="CS141" s="210">
        <f>IFERROR(__xludf.DUMMYFUNCTION("AVERAGE(ARRAYFORMULA(XLOOKUP(FILTER(INDIRECT(""'""&amp;CS$1&amp;""'!$C$4:$C$66""),INDIRECT(""'""&amp;CS$1&amp;""'!$D$4:$D$66"")=CS$2),$G$4:$BQ$4,$G141:$BQ141)))"),0.5435021033333335)</f>
        <v>0.5435021033</v>
      </c>
      <c r="CT141" s="207" t="str">
        <f>IFERROR(__xludf.DUMMYFUNCTION("IF(OR(CS141&gt;$BS141+$BT141*$BT$2,CS141&lt;$BS141-$BT141*$BT$2),AVEDEV(ARRAYFORMULA(XLOOKUP(FILTER(INDIRECT(""'""&amp;CS$1&amp;""'!$C$4:$C$66""),INDIRECT(""'""&amp;CS$1&amp;""'!$D$4:$D$66"")=CS$2),$G$4:$BQ$4,$G141:$BQ141))),"""")"),"")</f>
        <v/>
      </c>
      <c r="CU141" s="208" t="str">
        <f t="shared" si="15"/>
        <v/>
      </c>
      <c r="CV141" s="210">
        <f>IFERROR(__xludf.DUMMYFUNCTION("AVERAGE(ARRAYFORMULA(XLOOKUP(FILTER(INDIRECT(""'""&amp;CV$1&amp;""'!$C$4:$C$66""),INDIRECT(""'""&amp;CV$1&amp;""'!$D$4:$D$66"")=CV$2),$G$4:$BQ$4,$G141:$BQ141)))"),0.557297714)</f>
        <v>0.557297714</v>
      </c>
      <c r="CW141" s="207" t="str">
        <f>IFERROR(__xludf.DUMMYFUNCTION("IF(OR(CV141&gt;$BS141+$BT141*$BT$2,CV141&lt;$BS141-$BT141*$BT$2),AVEDEV(ARRAYFORMULA(XLOOKUP(FILTER(INDIRECT(""'""&amp;CV$1&amp;""'!$C$4:$C$66""),INDIRECT(""'""&amp;CV$1&amp;""'!$D$4:$D$66"")=CV$2),$G$4:$BQ$4,$G141:$BQ141))),"""")"),"")</f>
        <v/>
      </c>
      <c r="CX141" s="208" t="str">
        <f t="shared" si="16"/>
        <v/>
      </c>
      <c r="CY141" s="209" t="s">
        <v>444</v>
      </c>
      <c r="CZ141" s="210">
        <f>IFERROR(__xludf.DUMMYFUNCTION("AVERAGE(ARRAYFORMULA(XLOOKUP(FILTER(INDIRECT(""'""&amp;CZ$1&amp;""'!$C$4:$C$66""),INDIRECT(""'""&amp;CZ$1&amp;""'!$D$4:$D$66"")=CZ$2),$G$4:$BQ$4,$G141:$BQ141)))"),0.6475414692857143)</f>
        <v>0.6475414693</v>
      </c>
      <c r="DA141" s="207" t="str">
        <f>IFERROR(__xludf.DUMMYFUNCTION("IF(OR(CZ141&gt;$BS141+$BT141*$BT$2,CZ141&lt;$BS141-$BT141*$BT$2),AVEDEV(ARRAYFORMULA(XLOOKUP(FILTER(INDIRECT(""'""&amp;CZ$1&amp;""'!$C$4:$C$66""),INDIRECT(""'""&amp;CZ$1&amp;""'!$D$4:$D$66"")=CZ$2),$G$4:$BQ$4,$G141:$BQ141))),"""")"),"")</f>
        <v/>
      </c>
      <c r="DB141" s="208" t="str">
        <f t="shared" si="17"/>
        <v/>
      </c>
      <c r="DC141" s="210">
        <f>IFERROR(__xludf.DUMMYFUNCTION("AVERAGE(ARRAYFORMULA(XLOOKUP(FILTER(INDIRECT(""'""&amp;DC$1&amp;""'!$C$4:$C$66""),INDIRECT(""'""&amp;DC$1&amp;""'!$D$4:$D$66"")=DC$2),$G$4:$BQ$4,$G141:$BQ141)))"),0.9694977222222223)</f>
        <v>0.9694977222</v>
      </c>
      <c r="DD141" s="207" t="str">
        <f>IFERROR(__xludf.DUMMYFUNCTION("IF(OR(DC141&gt;$BS141+$BT141*$BT$2,DC141&lt;$BS141-$BT141*$BT$2),AVEDEV(ARRAYFORMULA(XLOOKUP(FILTER(INDIRECT(""'""&amp;DC$1&amp;""'!$C$4:$C$66""),INDIRECT(""'""&amp;DC$1&amp;""'!$D$4:$D$66"")=DC$2),$G$4:$BQ$4,$G141:$BQ141))),"""")"),"")</f>
        <v/>
      </c>
      <c r="DE141" s="208" t="str">
        <f t="shared" si="18"/>
        <v/>
      </c>
      <c r="DF141" s="210">
        <f>IFERROR(__xludf.DUMMYFUNCTION("AVERAGE(ARRAYFORMULA(XLOOKUP(FILTER(INDIRECT(""'""&amp;DF$1&amp;""'!$C$4:$C$66""),INDIRECT(""'""&amp;DF$1&amp;""'!$D$4:$D$66"")=DF$2),$G$4:$BQ$4,$G141:$BQ141)))"),0.3040357554545455)</f>
        <v>0.3040357555</v>
      </c>
      <c r="DG141" s="207" t="str">
        <f>IFERROR(__xludf.DUMMYFUNCTION("IF(OR(DF141&gt;$BS141+$BT141*$BT$2,DF141&lt;$BS141-$BT141*$BT$2),AVEDEV(ARRAYFORMULA(XLOOKUP(FILTER(INDIRECT(""'""&amp;DF$1&amp;""'!$C$4:$C$66""),INDIRECT(""'""&amp;DF$1&amp;""'!$D$4:$D$66"")=DF$2),$G$4:$BQ$4,$G141:$BQ141))),"""")"),"")</f>
        <v/>
      </c>
      <c r="DH141" s="208" t="str">
        <f t="shared" si="19"/>
        <v/>
      </c>
      <c r="DI141" s="210">
        <f>IFERROR(__xludf.DUMMYFUNCTION("AVERAGE(ARRAYFORMULA(XLOOKUP(FILTER(INDIRECT(""'""&amp;DI$1&amp;""'!$C$4:$C$66""),INDIRECT(""'""&amp;DI$1&amp;""'!$D$4:$D$66"")=DI$2),$G$4:$BQ$4,$G141:$BQ141)))"),3.15819209)</f>
        <v>3.15819209</v>
      </c>
      <c r="DJ141" s="207" t="str">
        <f>IFERROR(__xludf.DUMMYFUNCTION("IF(OR(DI141&gt;$BS141+$BT141*$BT$2,DI141&lt;$BS141-$BT141*$BT$2),AVEDEV(ARRAYFORMULA(XLOOKUP(FILTER(INDIRECT(""'""&amp;DI$1&amp;""'!$C$4:$C$66""),INDIRECT(""'""&amp;DI$1&amp;""'!$D$4:$D$66"")=DI$2),$G$4:$BQ$4,$G141:$BQ141))),"""")"),"")</f>
        <v/>
      </c>
      <c r="DK141" s="208" t="str">
        <f t="shared" si="20"/>
        <v/>
      </c>
      <c r="DL141" s="210">
        <f>IFERROR(__xludf.DUMMYFUNCTION("AVERAGE(ARRAYFORMULA(XLOOKUP(FILTER(INDIRECT(""'""&amp;DL$1&amp;""'!$C$4:$C$66""),INDIRECT(""'""&amp;DL$1&amp;""'!$D$4:$D$66"")=DL$2),$G$4:$BQ$4,$G141:$BQ141)))"),0.4555252314285715)</f>
        <v>0.4555252314</v>
      </c>
      <c r="DM141" s="207" t="str">
        <f>IFERROR(__xludf.DUMMYFUNCTION("IF(OR(DL141&gt;$BS141+$BT141*$BT$2,DL141&lt;$BS141-$BT141*$BT$2),AVEDEV(ARRAYFORMULA(XLOOKUP(FILTER(INDIRECT(""'""&amp;DL$1&amp;""'!$C$4:$C$66""),INDIRECT(""'""&amp;DL$1&amp;""'!$D$4:$D$66"")=DL$2),$G$4:$BQ$4,$G141:$BQ141))),"""")"),"")</f>
        <v/>
      </c>
      <c r="DN141" s="208" t="str">
        <f t="shared" si="21"/>
        <v/>
      </c>
      <c r="DO141" s="209" t="s">
        <v>444</v>
      </c>
      <c r="DP141" s="210">
        <f>IFERROR(__xludf.DUMMYFUNCTION("AVERAGE(ARRAYFORMULA(XLOOKUP(FILTER(INDIRECT(""'""&amp;DP$1&amp;""'!$C$4:$C$66""),INDIRECT(""'""&amp;DP$1&amp;""'!$D$4:$D$66"")=DP$2),$G$4:$BQ$4,$G141:$BQ141)))"),0.3956159783333334)</f>
        <v>0.3956159783</v>
      </c>
      <c r="DQ141" s="207" t="str">
        <f>IFERROR(__xludf.DUMMYFUNCTION("IF(OR(DP141&gt;$BS141+$BT141*$BT$2,DP141&lt;$BS141-$BT141*$BT$2),AVEDEV(ARRAYFORMULA(XLOOKUP(FILTER(INDIRECT(""'""&amp;DP$1&amp;""'!$C$4:$C$66""),INDIRECT(""'""&amp;DP$1&amp;""'!$D$4:$D$66"")=DP$2),$G$4:$BQ$4,$G141:$BQ141))),"""")"),"")</f>
        <v/>
      </c>
      <c r="DR141" s="208" t="str">
        <f t="shared" si="22"/>
        <v/>
      </c>
      <c r="DS141" s="210">
        <f>IFERROR(__xludf.DUMMYFUNCTION("AVERAGE(ARRAYFORMULA(XLOOKUP(FILTER(INDIRECT(""'""&amp;DS$1&amp;""'!$C$4:$C$66""),INDIRECT(""'""&amp;DS$1&amp;""'!$D$4:$D$66"")=DS$2),$G$4:$BQ$4,$G141:$BQ141)))"),0.2843668855555556)</f>
        <v>0.2843668856</v>
      </c>
      <c r="DT141" s="207" t="str">
        <f>IFERROR(__xludf.DUMMYFUNCTION("IF(OR(DS141&gt;$BS141+$BT141*$BT$2,DS141&lt;$BS141-$BT141*$BT$2),AVEDEV(ARRAYFORMULA(XLOOKUP(FILTER(INDIRECT(""'""&amp;DS$1&amp;""'!$C$4:$C$66""),INDIRECT(""'""&amp;DS$1&amp;""'!$D$4:$D$66"")=DS$2),$G$4:$BQ$4,$G141:$BQ141))),"""")"),"")</f>
        <v/>
      </c>
      <c r="DU141" s="208" t="str">
        <f t="shared" si="23"/>
        <v/>
      </c>
      <c r="DV141" s="210">
        <f>IFERROR(__xludf.DUMMYFUNCTION("AVERAGE(ARRAYFORMULA(XLOOKUP(FILTER(INDIRECT(""'""&amp;DV$1&amp;""'!$C$4:$C$66""),INDIRECT(""'""&amp;DV$1&amp;""'!$D$4:$D$66"")=DV$2),$G$4:$BQ$4,$G141:$BQ141)))"),0.27028308125)</f>
        <v>0.2702830813</v>
      </c>
      <c r="DW141" s="207" t="str">
        <f>IFERROR(__xludf.DUMMYFUNCTION("IF(OR(DV141&gt;$BS141+$BT141*$BT$2,DV141&lt;$BS141-$BT141*$BT$2),AVEDEV(ARRAYFORMULA(XLOOKUP(FILTER(INDIRECT(""'""&amp;DV$1&amp;""'!$C$4:$C$66""),INDIRECT(""'""&amp;DV$1&amp;""'!$D$4:$D$66"")=DV$2),$G$4:$BQ$4,$G141:$BQ141))),"""")"),"")</f>
        <v/>
      </c>
      <c r="DX141" s="208" t="str">
        <f t="shared" si="24"/>
        <v/>
      </c>
      <c r="DY141" s="210">
        <f>IFERROR(__xludf.DUMMYFUNCTION("AVERAGE(ARRAYFORMULA(XLOOKUP(FILTER(INDIRECT(""'""&amp;DY$1&amp;""'!$C$4:$C$66""),INDIRECT(""'""&amp;DY$1&amp;""'!$D$4:$D$66"")=DY$2),$G$4:$BQ$4,$G141:$BQ141)))"),1.7426949655555555)</f>
        <v>1.742694966</v>
      </c>
      <c r="DZ141" s="207" t="str">
        <f>IFERROR(__xludf.DUMMYFUNCTION("IF(OR(DY141&gt;$BS141+$BT141*$BT$2,DY141&lt;$BS141-$BT141*$BT$2),AVEDEV(ARRAYFORMULA(XLOOKUP(FILTER(INDIRECT(""'""&amp;DY$1&amp;""'!$C$4:$C$66""),INDIRECT(""'""&amp;DY$1&amp;""'!$D$4:$D$66"")=DY$2),$G$4:$BQ$4,$G141:$BQ141))),"""")"),"")</f>
        <v/>
      </c>
      <c r="EA141" s="208" t="str">
        <f t="shared" si="25"/>
        <v/>
      </c>
      <c r="EB141" s="191"/>
    </row>
    <row r="142" outlineLevel="1">
      <c r="A142" s="2"/>
      <c r="B142" s="204">
        <v>138.0</v>
      </c>
      <c r="C142" s="204" t="s">
        <v>540</v>
      </c>
      <c r="D142" s="204" t="s">
        <v>584</v>
      </c>
      <c r="E142" s="205" t="b">
        <f>VLOOKUP(D142,'Feature Set List'!A138:C246,2,0)</f>
        <v>1</v>
      </c>
      <c r="F142" s="205" t="b">
        <f>VLOOKUP(D142,'Feature Set List'!A138:C246,3,0)</f>
        <v>0</v>
      </c>
      <c r="G142" s="205">
        <v>0.50301568</v>
      </c>
      <c r="H142" s="205">
        <v>2.50904704</v>
      </c>
      <c r="I142" s="205">
        <v>0.47165259</v>
      </c>
      <c r="J142" s="205">
        <v>0.0</v>
      </c>
      <c r="K142" s="205">
        <v>0.7575392</v>
      </c>
      <c r="L142" s="205">
        <v>-0.3811821</v>
      </c>
      <c r="M142" s="205">
        <v>0.55528749</v>
      </c>
      <c r="N142" s="205">
        <v>-0.1021311</v>
      </c>
      <c r="O142" s="205">
        <v>-0.6622437</v>
      </c>
      <c r="P142" s="205">
        <v>0.12102935</v>
      </c>
      <c r="Q142" s="205">
        <v>-0.9927624</v>
      </c>
      <c r="R142" s="205">
        <v>-0.575392</v>
      </c>
      <c r="S142" s="205">
        <v>-0.7880981</v>
      </c>
      <c r="T142" s="205">
        <v>-0.575392</v>
      </c>
      <c r="U142" s="205">
        <v>-0.0172899</v>
      </c>
      <c r="V142" s="205">
        <v>0.51347004</v>
      </c>
      <c r="W142" s="205">
        <v>-0.1986329</v>
      </c>
      <c r="X142" s="205">
        <v>0.25613189</v>
      </c>
      <c r="Y142" s="205">
        <v>0.34579815</v>
      </c>
      <c r="Z142" s="205">
        <v>0.51347004</v>
      </c>
      <c r="AA142" s="205">
        <v>-0.4503418</v>
      </c>
      <c r="AB142" s="205">
        <v>-0.3634901</v>
      </c>
      <c r="AC142" s="205">
        <v>-0.4917571</v>
      </c>
      <c r="AD142" s="205">
        <v>-0.9943707</v>
      </c>
      <c r="AE142" s="205">
        <v>3.66184158</v>
      </c>
      <c r="AF142" s="205">
        <v>0.33614797</v>
      </c>
      <c r="AG142" s="205">
        <v>0.79171693</v>
      </c>
      <c r="AH142" s="205">
        <v>-0.5741858</v>
      </c>
      <c r="AI142" s="205">
        <v>0.34579815</v>
      </c>
      <c r="AJ142" s="205">
        <v>-0.9107358</v>
      </c>
      <c r="AK142" s="205">
        <v>-0.4917571</v>
      </c>
      <c r="AL142" s="205">
        <v>-0.4917571</v>
      </c>
      <c r="AM142" s="205">
        <v>0.44632087</v>
      </c>
      <c r="AN142" s="205">
        <v>0.42983514</v>
      </c>
      <c r="AO142" s="205">
        <v>1.08685163</v>
      </c>
      <c r="AP142" s="205">
        <v>1.11741053</v>
      </c>
      <c r="AQ142" s="205">
        <v>0.51347004</v>
      </c>
      <c r="AR142" s="205">
        <v>12.1499799</v>
      </c>
      <c r="AS142" s="205">
        <v>-0.6172095</v>
      </c>
      <c r="AT142" s="205">
        <v>0.54402895</v>
      </c>
      <c r="AU142" s="205">
        <v>1813.94331</v>
      </c>
      <c r="AV142" s="205">
        <v>-0.8689184</v>
      </c>
      <c r="AW142" s="205">
        <v>0.7535183</v>
      </c>
      <c r="AX142" s="205">
        <v>20.1274628</v>
      </c>
      <c r="AY142" s="205">
        <v>-0.4917571</v>
      </c>
      <c r="AZ142" s="205">
        <v>-0.659429</v>
      </c>
      <c r="BA142" s="205">
        <v>0.00321673</v>
      </c>
      <c r="BB142" s="205">
        <v>-0.3952553</v>
      </c>
      <c r="BC142" s="205">
        <v>0.00402091</v>
      </c>
      <c r="BD142" s="205">
        <v>-0.4917571</v>
      </c>
      <c r="BE142" s="205">
        <v>-0.1568154</v>
      </c>
      <c r="BF142" s="205">
        <v>0.59750704</v>
      </c>
      <c r="BG142" s="205">
        <v>-0.1568154</v>
      </c>
      <c r="BH142" s="205">
        <v>-0.9943707</v>
      </c>
      <c r="BI142" s="205">
        <v>-0.8266988</v>
      </c>
      <c r="BJ142" s="205">
        <v>-0.4459188</v>
      </c>
      <c r="BK142" s="205">
        <v>0.46200241</v>
      </c>
      <c r="BL142" s="205">
        <v>0.01085645</v>
      </c>
      <c r="BM142" s="205">
        <v>-0.2573382</v>
      </c>
      <c r="BN142" s="205">
        <v>-0.637314</v>
      </c>
      <c r="BO142" s="205">
        <v>-0.5544833</v>
      </c>
      <c r="BP142" s="205">
        <v>0.38801769</v>
      </c>
      <c r="BQ142" s="205">
        <v>0.01085645</v>
      </c>
      <c r="BR142" s="206"/>
      <c r="BS142" s="207">
        <f t="shared" si="6"/>
        <v>29.32785732</v>
      </c>
      <c r="BT142" s="207">
        <f t="shared" si="7"/>
        <v>56.65445882</v>
      </c>
      <c r="BU142" s="206"/>
      <c r="BV142" s="207">
        <f>IFERROR(__xludf.DUMMYFUNCTION("AVERAGE(ARRAYFORMULA(XLOOKUP(FILTER(INDIRECT(""'""&amp;BV$1&amp;""'!$C$4:$C$66""),INDIRECT(""'""&amp;BV$1&amp;""'!$D$4:$D$66"")=BV$2),$G$4:$BQ$4,$G142:$BQ142)))"),0.04181746714285715)</f>
        <v>0.04181746714</v>
      </c>
      <c r="BW142" s="207" t="str">
        <f>IFERROR(__xludf.DUMMYFUNCTION("IF(OR(BV142&gt;$BS142+$BT142*$BT$2,BV142&lt;$BS142-$BT142*$BT$2),AVEDEV(ARRAYFORMULA(XLOOKUP(FILTER(INDIRECT(""'""&amp;BV$1&amp;""'!$C$4:$C$66""),INDIRECT(""'""&amp;BV$1&amp;""'!$D$4:$D$66"")=BV$2),$G$4:$BQ$4,$G142:$BQ142))),"""")"),"")</f>
        <v/>
      </c>
      <c r="BX142" s="208" t="str">
        <f t="shared" si="8"/>
        <v/>
      </c>
      <c r="BY142" s="207">
        <f>IFERROR(__xludf.DUMMYFUNCTION("AVERAGE(ARRAYFORMULA(XLOOKUP(FILTER(INDIRECT(""'""&amp;BY$1&amp;""'!$C$4:$C$66""),INDIRECT(""'""&amp;BY$1&amp;""'!$D$4:$D$66"")=BY$2),$G$4:$BQ$4,$G142:$BQ142)))"),0.8011086264285716)</f>
        <v>0.8011086264</v>
      </c>
      <c r="BZ142" s="207" t="str">
        <f>IFERROR(__xludf.DUMMYFUNCTION("IF(OR(BY142&gt;$BS142+$BT142*$BT$2,BY142&lt;$BS142-$BT142*$BT$2),AVEDEV(ARRAYFORMULA(XLOOKUP(FILTER(INDIRECT(""'""&amp;BY$1&amp;""'!$C$4:$C$66""),INDIRECT(""'""&amp;BY$1&amp;""'!$D$4:$D$66"")=BY$2),$G$4:$BQ$4,$G142:$BQ142))),"""")"),"")</f>
        <v/>
      </c>
      <c r="CA142" s="208" t="str">
        <f t="shared" si="9"/>
        <v/>
      </c>
      <c r="CB142" s="207">
        <f>IFERROR(__xludf.DUMMYFUNCTION("AVERAGE(ARRAYFORMULA(XLOOKUP(FILTER(INDIRECT(""'""&amp;CB$1&amp;""'!$C$4:$C$66""),INDIRECT(""'""&amp;CB$1&amp;""'!$D$4:$D$66"")=CB$2),$G$4:$BQ$4,$G142:$BQ142)))"),-0.018861711818181828)</f>
        <v>-0.01886171182</v>
      </c>
      <c r="CC142" s="207" t="str">
        <f>IFERROR(__xludf.DUMMYFUNCTION("IF(OR(CB142&gt;$BS142+$BT142*$BT$2,CB142&lt;$BS142-$BT142*$BT$2),AVEDEV(ARRAYFORMULA(XLOOKUP(FILTER(INDIRECT(""'""&amp;CB$1&amp;""'!$C$4:$C$66""),INDIRECT(""'""&amp;CB$1&amp;""'!$D$4:$D$66"")=CB$2),$G$4:$BQ$4,$G142:$BQ142))),"""")"),"")</f>
        <v/>
      </c>
      <c r="CD142" s="208" t="str">
        <f t="shared" si="10"/>
        <v/>
      </c>
      <c r="CE142" s="209" t="s">
        <v>444</v>
      </c>
      <c r="CF142" s="207">
        <f>IFERROR(__xludf.DUMMYFUNCTION("AVERAGE(ARRAYFORMULA(XLOOKUP(FILTER(INDIRECT(""'""&amp;CF$1&amp;""'!$C$4:$C$66""),INDIRECT(""'""&amp;CF$1&amp;""'!$D$4:$D$66"")=CF$2),$G$4:$BQ$4,$G142:$BQ142)))"),0.69368215)</f>
        <v>0.69368215</v>
      </c>
      <c r="CG142" s="207" t="str">
        <f>IFERROR(__xludf.DUMMYFUNCTION("IF(OR(CF142&gt;$BS142+$BT142*$BT$2,CF142&lt;$BS142-$BT142*$BT$2),AVEDEV(ARRAYFORMULA(XLOOKUP(FILTER(INDIRECT(""'""&amp;CF$1&amp;""'!$C$4:$C$66""),INDIRECT(""'""&amp;CF$1&amp;""'!$D$4:$D$66"")=CF$2),$G$4:$BQ$4,$G142:$BQ142))),"""")"),"")</f>
        <v/>
      </c>
      <c r="CH142" s="208" t="str">
        <f t="shared" si="11"/>
        <v/>
      </c>
      <c r="CI142" s="207">
        <f>IFERROR(__xludf.DUMMYFUNCTION("AVERAGE(ARRAYFORMULA(XLOOKUP(FILTER(INDIRECT(""'""&amp;CI$1&amp;""'!$C$4:$C$66""),INDIRECT(""'""&amp;CI$1&amp;""'!$D$4:$D$66"")=CI$2),$G$4:$BQ$4,$G142:$BQ142)))"),-0.3053036993548387)</f>
        <v>-0.3053036994</v>
      </c>
      <c r="CJ142" s="207" t="str">
        <f>IFERROR(__xludf.DUMMYFUNCTION("IF(OR(CI142&gt;$BS142+$BT142*$BT$2,CI142&lt;$BS142-$BT142*$BT$2),AVEDEV(ARRAYFORMULA(XLOOKUP(FILTER(INDIRECT(""'""&amp;CI$1&amp;""'!$C$4:$C$66""),INDIRECT(""'""&amp;CI$1&amp;""'!$D$4:$D$66"")=CI$2),$G$4:$BQ$4,$G142:$BQ142))),"""")"),"")</f>
        <v/>
      </c>
      <c r="CK142" s="208" t="str">
        <f t="shared" si="12"/>
        <v/>
      </c>
      <c r="CL142" s="207">
        <f>IFERROR(__xludf.DUMMYFUNCTION("AVERAGE(ARRAYFORMULA(XLOOKUP(FILTER(INDIRECT(""'""&amp;CL$1&amp;""'!$C$4:$C$66""),INDIRECT(""'""&amp;CL$1&amp;""'!$D$4:$D$66"")=CL$2),$G$4:$BQ$4,$G142:$BQ142)))"),-0.245034164)</f>
        <v>-0.245034164</v>
      </c>
      <c r="CM142" s="207" t="str">
        <f>IFERROR(__xludf.DUMMYFUNCTION("IF(OR(CL142&gt;$BS142+$BT142*$BT$2,CL142&lt;$BS142-$BT142*$BT$2),AVEDEV(ARRAYFORMULA(XLOOKUP(FILTER(INDIRECT(""'""&amp;CL$1&amp;""'!$C$4:$C$66""),INDIRECT(""'""&amp;CL$1&amp;""'!$D$4:$D$66"")=CL$2),$G$4:$BQ$4,$G142:$BQ142))),"""")"),"")</f>
        <v/>
      </c>
      <c r="CN142" s="208" t="str">
        <f t="shared" si="13"/>
        <v/>
      </c>
      <c r="CO142" s="209" t="s">
        <v>444</v>
      </c>
      <c r="CP142" s="210">
        <f>IFERROR(__xludf.DUMMYFUNCTION("AVERAGE(ARRAYFORMULA(XLOOKUP(FILTER(INDIRECT(""'""&amp;CP$1&amp;""'!$C$4:$C$66""),INDIRECT(""'""&amp;CP$1&amp;""'!$D$4:$D$66"")=CP$2),$G$4:$BQ$4,$G142:$BQ142)))"),0.12984855)</f>
        <v>0.12984855</v>
      </c>
      <c r="CQ142" s="207" t="str">
        <f>IFERROR(__xludf.DUMMYFUNCTION("IF(OR(CP142&gt;$BS142+$BT142*$BT$2,CP142&lt;$BS142-$BT142*$BT$2),AVEDEV(ARRAYFORMULA(XLOOKUP(FILTER(INDIRECT(""'""&amp;CP$1&amp;""'!$C$4:$C$66""),INDIRECT(""'""&amp;CP$1&amp;""'!$D$4:$D$66"")=CP$2),$G$4:$BQ$4,$G142:$BQ142))),"""")"),"")</f>
        <v/>
      </c>
      <c r="CR142" s="208" t="str">
        <f t="shared" si="14"/>
        <v/>
      </c>
      <c r="CS142" s="210">
        <f>IFERROR(__xludf.DUMMYFUNCTION("AVERAGE(ARRAYFORMULA(XLOOKUP(FILTER(INDIRECT(""'""&amp;CS$1&amp;""'!$C$4:$C$66""),INDIRECT(""'""&amp;CS$1&amp;""'!$D$4:$D$66"")=CS$2),$G$4:$BQ$4,$G142:$BQ142)))"),0.8461126120512822)</f>
        <v>0.8461126121</v>
      </c>
      <c r="CT142" s="207" t="str">
        <f>IFERROR(__xludf.DUMMYFUNCTION("IF(OR(CS142&gt;$BS142+$BT142*$BT$2,CS142&lt;$BS142-$BT142*$BT$2),AVEDEV(ARRAYFORMULA(XLOOKUP(FILTER(INDIRECT(""'""&amp;CS$1&amp;""'!$C$4:$C$66""),INDIRECT(""'""&amp;CS$1&amp;""'!$D$4:$D$66"")=CS$2),$G$4:$BQ$4,$G142:$BQ142))),"""")"),"")</f>
        <v/>
      </c>
      <c r="CU142" s="208" t="str">
        <f t="shared" si="15"/>
        <v/>
      </c>
      <c r="CV142" s="210">
        <f>IFERROR(__xludf.DUMMYFUNCTION("AVERAGE(ARRAYFORMULA(XLOOKUP(FILTER(INDIRECT(""'""&amp;CV$1&amp;""'!$C$4:$C$66""),INDIRECT(""'""&amp;CV$1&amp;""'!$D$4:$D$66"")=CV$2),$G$4:$BQ$4,$G142:$BQ142)))"),-0.245034164)</f>
        <v>-0.245034164</v>
      </c>
      <c r="CW142" s="207" t="str">
        <f>IFERROR(__xludf.DUMMYFUNCTION("IF(OR(CV142&gt;$BS142+$BT142*$BT$2,CV142&lt;$BS142-$BT142*$BT$2),AVEDEV(ARRAYFORMULA(XLOOKUP(FILTER(INDIRECT(""'""&amp;CV$1&amp;""'!$C$4:$C$66""),INDIRECT(""'""&amp;CV$1&amp;""'!$D$4:$D$66"")=CV$2),$G$4:$BQ$4,$G142:$BQ142))),"""")"),"")</f>
        <v/>
      </c>
      <c r="CX142" s="208" t="str">
        <f t="shared" si="16"/>
        <v/>
      </c>
      <c r="CY142" s="209" t="s">
        <v>444</v>
      </c>
      <c r="CZ142" s="210">
        <f>IFERROR(__xludf.DUMMYFUNCTION("AVERAGE(ARRAYFORMULA(XLOOKUP(FILTER(INDIRECT(""'""&amp;CZ$1&amp;""'!$C$4:$C$66""),INDIRECT(""'""&amp;CZ$1&amp;""'!$D$4:$D$66"")=CZ$2),$G$4:$BQ$4,$G142:$BQ142)))"),0.7271526257142857)</f>
        <v>0.7271526257</v>
      </c>
      <c r="DA142" s="207" t="str">
        <f>IFERROR(__xludf.DUMMYFUNCTION("IF(OR(CZ142&gt;$BS142+$BT142*$BT$2,CZ142&lt;$BS142-$BT142*$BT$2),AVEDEV(ARRAYFORMULA(XLOOKUP(FILTER(INDIRECT(""'""&amp;CZ$1&amp;""'!$C$4:$C$66""),INDIRECT(""'""&amp;CZ$1&amp;""'!$D$4:$D$66"")=CZ$2),$G$4:$BQ$4,$G142:$BQ142))),"""")"),"")</f>
        <v/>
      </c>
      <c r="DB142" s="208" t="str">
        <f t="shared" si="17"/>
        <v/>
      </c>
      <c r="DC142" s="210">
        <f>IFERROR(__xludf.DUMMYFUNCTION("AVERAGE(ARRAYFORMULA(XLOOKUP(FILTER(INDIRECT(""'""&amp;DC$1&amp;""'!$C$4:$C$66""),INDIRECT(""'""&amp;DC$1&amp;""'!$D$4:$D$66"")=DC$2),$G$4:$BQ$4,$G142:$BQ142)))"),0.07880981888888888)</f>
        <v>0.07880981889</v>
      </c>
      <c r="DD142" s="207" t="str">
        <f>IFERROR(__xludf.DUMMYFUNCTION("IF(OR(DC142&gt;$BS142+$BT142*$BT$2,DC142&lt;$BS142-$BT142*$BT$2),AVEDEV(ARRAYFORMULA(XLOOKUP(FILTER(INDIRECT(""'""&amp;DC$1&amp;""'!$C$4:$C$66""),INDIRECT(""'""&amp;DC$1&amp;""'!$D$4:$D$66"")=DC$2),$G$4:$BQ$4,$G142:$BQ142))),"""")"),"")</f>
        <v/>
      </c>
      <c r="DE142" s="208" t="str">
        <f t="shared" si="18"/>
        <v/>
      </c>
      <c r="DF142" s="210">
        <f>IFERROR(__xludf.DUMMYFUNCTION("AVERAGE(ARRAYFORMULA(XLOOKUP(FILTER(INDIRECT(""'""&amp;DF$1&amp;""'!$C$4:$C$66""),INDIRECT(""'""&amp;DF$1&amp;""'!$D$4:$D$66"")=DF$2),$G$4:$BQ$4,$G142:$BQ142)))"),-0.3561062890909091)</f>
        <v>-0.3561062891</v>
      </c>
      <c r="DG142" s="207" t="str">
        <f>IFERROR(__xludf.DUMMYFUNCTION("IF(OR(DF142&gt;$BS142+$BT142*$BT$2,DF142&lt;$BS142-$BT142*$BT$2),AVEDEV(ARRAYFORMULA(XLOOKUP(FILTER(INDIRECT(""'""&amp;DF$1&amp;""'!$C$4:$C$66""),INDIRECT(""'""&amp;DF$1&amp;""'!$D$4:$D$66"")=DF$2),$G$4:$BQ$4,$G142:$BQ142))),"""")"),"")</f>
        <v/>
      </c>
      <c r="DH142" s="208" t="str">
        <f t="shared" si="19"/>
        <v/>
      </c>
      <c r="DI142" s="210">
        <f>IFERROR(__xludf.DUMMYFUNCTION("AVERAGE(ARRAYFORMULA(XLOOKUP(FILTER(INDIRECT(""'""&amp;DI$1&amp;""'!$C$4:$C$66""),INDIRECT(""'""&amp;DI$1&amp;""'!$D$4:$D$66"")=DI$2),$G$4:$BQ$4,$G142:$BQ142)))"),-0.9943707)</f>
        <v>-0.9943707</v>
      </c>
      <c r="DJ142" s="207" t="str">
        <f>IFERROR(__xludf.DUMMYFUNCTION("IF(OR(DI142&gt;$BS142+$BT142*$BT$2,DI142&lt;$BS142-$BT142*$BT$2),AVEDEV(ARRAYFORMULA(XLOOKUP(FILTER(INDIRECT(""'""&amp;DI$1&amp;""'!$C$4:$C$66""),INDIRECT(""'""&amp;DI$1&amp;""'!$D$4:$D$66"")=DI$2),$G$4:$BQ$4,$G142:$BQ142))),"""")"),"")</f>
        <v/>
      </c>
      <c r="DK142" s="208" t="str">
        <f t="shared" si="20"/>
        <v/>
      </c>
      <c r="DL142" s="210">
        <f>IFERROR(__xludf.DUMMYFUNCTION("AVERAGE(ARRAYFORMULA(XLOOKUP(FILTER(INDIRECT(""'""&amp;DL$1&amp;""'!$C$4:$C$66""),INDIRECT(""'""&amp;DL$1&amp;""'!$D$4:$D$66"")=DL$2),$G$4:$BQ$4,$G142:$BQ142)))"),2.040898387857143)</f>
        <v>2.040898388</v>
      </c>
      <c r="DM142" s="207" t="str">
        <f>IFERROR(__xludf.DUMMYFUNCTION("IF(OR(DL142&gt;$BS142+$BT142*$BT$2,DL142&lt;$BS142-$BT142*$BT$2),AVEDEV(ARRAYFORMULA(XLOOKUP(FILTER(INDIRECT(""'""&amp;DL$1&amp;""'!$C$4:$C$66""),INDIRECT(""'""&amp;DL$1&amp;""'!$D$4:$D$66"")=DL$2),$G$4:$BQ$4,$G142:$BQ142))),"""")"),"")</f>
        <v/>
      </c>
      <c r="DN142" s="208" t="str">
        <f t="shared" si="21"/>
        <v/>
      </c>
      <c r="DO142" s="209" t="s">
        <v>444</v>
      </c>
      <c r="DP142" s="210">
        <f>IFERROR(__xludf.DUMMYFUNCTION("AVERAGE(ARRAYFORMULA(XLOOKUP(FILTER(INDIRECT(""'""&amp;DP$1&amp;""'!$C$4:$C$66""),INDIRECT(""'""&amp;DP$1&amp;""'!$D$4:$D$66"")=DP$2),$G$4:$BQ$4,$G142:$BQ142)))"),0.9266050180000001)</f>
        <v>0.926605018</v>
      </c>
      <c r="DQ142" s="207" t="str">
        <f>IFERROR(__xludf.DUMMYFUNCTION("IF(OR(DP142&gt;$BS142+$BT142*$BT$2,DP142&lt;$BS142-$BT142*$BT$2),AVEDEV(ARRAYFORMULA(XLOOKUP(FILTER(INDIRECT(""'""&amp;DP$1&amp;""'!$C$4:$C$66""),INDIRECT(""'""&amp;DP$1&amp;""'!$D$4:$D$66"")=DP$2),$G$4:$BQ$4,$G142:$BQ142))),"""")"),"")</f>
        <v/>
      </c>
      <c r="DR142" s="208" t="str">
        <f t="shared" si="22"/>
        <v/>
      </c>
      <c r="DS142" s="210">
        <f>IFERROR(__xludf.DUMMYFUNCTION("AVERAGE(ARRAYFORMULA(XLOOKUP(FILTER(INDIRECT(""'""&amp;DS$1&amp;""'!$C$4:$C$66""),INDIRECT(""'""&amp;DS$1&amp;""'!$D$4:$D$66"")=DS$2),$G$4:$BQ$4,$G142:$BQ142)))"),-0.12210159444444445)</f>
        <v>-0.1221015944</v>
      </c>
      <c r="DT142" s="207" t="str">
        <f>IFERROR(__xludf.DUMMYFUNCTION("IF(OR(DS142&gt;$BS142+$BT142*$BT$2,DS142&lt;$BS142-$BT142*$BT$2),AVEDEV(ARRAYFORMULA(XLOOKUP(FILTER(INDIRECT(""'""&amp;DS$1&amp;""'!$C$4:$C$66""),INDIRECT(""'""&amp;DS$1&amp;""'!$D$4:$D$66"")=DS$2),$G$4:$BQ$4,$G142:$BQ142))),"""")"),"")</f>
        <v/>
      </c>
      <c r="DU142" s="208" t="str">
        <f t="shared" si="23"/>
        <v/>
      </c>
      <c r="DV142" s="210">
        <f>IFERROR(__xludf.DUMMYFUNCTION("AVERAGE(ARRAYFORMULA(XLOOKUP(FILTER(INDIRECT(""'""&amp;DV$1&amp;""'!$C$4:$C$66""),INDIRECT(""'""&amp;DV$1&amp;""'!$D$4:$D$66"")=DV$2),$G$4:$BQ$4,$G142:$BQ142)))"),-0.569410925)</f>
        <v>-0.569410925</v>
      </c>
      <c r="DW142" s="207" t="str">
        <f>IFERROR(__xludf.DUMMYFUNCTION("IF(OR(DV142&gt;$BS142+$BT142*$BT$2,DV142&lt;$BS142-$BT142*$BT$2),AVEDEV(ARRAYFORMULA(XLOOKUP(FILTER(INDIRECT(""'""&amp;DV$1&amp;""'!$C$4:$C$66""),INDIRECT(""'""&amp;DV$1&amp;""'!$D$4:$D$66"")=DV$2),$G$4:$BQ$4,$G142:$BQ142))),"""")"),"")</f>
        <v/>
      </c>
      <c r="DX142" s="208" t="str">
        <f t="shared" si="24"/>
        <v/>
      </c>
      <c r="DY142" s="210">
        <f>IFERROR(__xludf.DUMMYFUNCTION("AVERAGE(ARRAYFORMULA(XLOOKUP(FILTER(INDIRECT(""'""&amp;DY$1&amp;""'!$C$4:$C$66""),INDIRECT(""'""&amp;DY$1&amp;""'!$D$4:$D$66"")=DY$2),$G$4:$BQ$4,$G142:$BQ142)))"),-0.21288476777777782)</f>
        <v>-0.2128847678</v>
      </c>
      <c r="DZ142" s="207" t="str">
        <f>IFERROR(__xludf.DUMMYFUNCTION("IF(OR(DY142&gt;$BS142+$BT142*$BT$2,DY142&lt;$BS142-$BT142*$BT$2),AVEDEV(ARRAYFORMULA(XLOOKUP(FILTER(INDIRECT(""'""&amp;DY$1&amp;""'!$C$4:$C$66""),INDIRECT(""'""&amp;DY$1&amp;""'!$D$4:$D$66"")=DY$2),$G$4:$BQ$4,$G142:$BQ142))),"""")"),"")</f>
        <v/>
      </c>
      <c r="EA142" s="208" t="str">
        <f t="shared" si="25"/>
        <v/>
      </c>
      <c r="EB142" s="191"/>
    </row>
    <row r="143" outlineLevel="1">
      <c r="A143" s="2"/>
      <c r="B143" s="204">
        <v>139.0</v>
      </c>
      <c r="C143" s="204" t="s">
        <v>540</v>
      </c>
      <c r="D143" s="204" t="s">
        <v>585</v>
      </c>
      <c r="E143" s="205" t="b">
        <f>VLOOKUP(D143,'Feature Set List'!A139:C246,2,0)</f>
        <v>1</v>
      </c>
      <c r="F143" s="205" t="b">
        <f>VLOOKUP(D143,'Feature Set List'!A139:C246,3,0)</f>
        <v>1</v>
      </c>
      <c r="G143" s="205">
        <v>-0.1034211</v>
      </c>
      <c r="H143" s="205">
        <v>0.14630301</v>
      </c>
      <c r="I143" s="205">
        <v>0.02522466</v>
      </c>
      <c r="J143" s="205">
        <v>-0.2023648</v>
      </c>
      <c r="K143" s="205">
        <v>-0.6172474</v>
      </c>
      <c r="L143" s="205">
        <v>-0.3166325</v>
      </c>
      <c r="M143" s="205">
        <v>0.18224815</v>
      </c>
      <c r="N143" s="205">
        <v>0.0</v>
      </c>
      <c r="O143" s="205">
        <v>-0.5936623</v>
      </c>
      <c r="P143" s="205">
        <v>0.00693678</v>
      </c>
      <c r="Q143" s="205">
        <v>-0.7996216</v>
      </c>
      <c r="R143" s="205">
        <v>1.00268012</v>
      </c>
      <c r="S143" s="205">
        <v>0.66277787</v>
      </c>
      <c r="T143" s="205">
        <v>-0.7996216</v>
      </c>
      <c r="U143" s="205">
        <v>-0.2765884</v>
      </c>
      <c r="V143" s="205">
        <v>-0.7996216</v>
      </c>
      <c r="W143" s="205">
        <v>-0.0435125</v>
      </c>
      <c r="X143" s="205">
        <v>0.03342267</v>
      </c>
      <c r="Y143" s="205">
        <v>2.27778654</v>
      </c>
      <c r="Z143" s="205">
        <v>0.36575753</v>
      </c>
      <c r="AA143" s="205">
        <v>0.56629355</v>
      </c>
      <c r="AB143" s="205">
        <v>-0.3899732</v>
      </c>
      <c r="AC143" s="205">
        <v>0.47737664</v>
      </c>
      <c r="AD143" s="205">
        <v>8.14251931</v>
      </c>
      <c r="AE143" s="205">
        <v>-0.7996216</v>
      </c>
      <c r="AF143" s="205">
        <v>2.1573388</v>
      </c>
      <c r="AG143" s="205">
        <v>-0.6805612</v>
      </c>
      <c r="AH143" s="205">
        <v>-0.0372064</v>
      </c>
      <c r="AI143" s="205">
        <v>0.66277787</v>
      </c>
      <c r="AJ143" s="205">
        <v>-0.1267539</v>
      </c>
      <c r="AK143" s="205">
        <v>0.8677282</v>
      </c>
      <c r="AL143" s="205">
        <v>-0.1223396</v>
      </c>
      <c r="AM143" s="205">
        <v>3.00993221</v>
      </c>
      <c r="AN143" s="205">
        <v>0.46917862</v>
      </c>
      <c r="AO143" s="205">
        <v>-0.0901781</v>
      </c>
      <c r="AP143" s="205">
        <v>1.00772505</v>
      </c>
      <c r="AQ143" s="205">
        <v>-0.7385653</v>
      </c>
      <c r="AR143" s="205">
        <v>-0.7996216</v>
      </c>
      <c r="AS143" s="205">
        <v>12.2226076</v>
      </c>
      <c r="AT143" s="205">
        <v>-0.1867255</v>
      </c>
      <c r="AU143" s="205">
        <v>-0.7996216</v>
      </c>
      <c r="AV143" s="205">
        <v>-0.062431</v>
      </c>
      <c r="AW143" s="205">
        <v>-0.7996216</v>
      </c>
      <c r="AX143" s="205">
        <v>0.12612329</v>
      </c>
      <c r="AY143" s="205">
        <v>-0.7856409</v>
      </c>
      <c r="AZ143" s="205">
        <v>2.45120605</v>
      </c>
      <c r="BA143" s="205">
        <v>0.49944821</v>
      </c>
      <c r="BB143" s="205">
        <v>-0.3809554</v>
      </c>
      <c r="BC143" s="205">
        <v>-0.7996216</v>
      </c>
      <c r="BD143" s="205">
        <v>232.780703</v>
      </c>
      <c r="BE143" s="205">
        <v>-0.2255084</v>
      </c>
      <c r="BF143" s="205">
        <v>-0.1507173</v>
      </c>
      <c r="BG143" s="205">
        <v>0.82673814</v>
      </c>
      <c r="BH143" s="205">
        <v>8.81727889</v>
      </c>
      <c r="BI143" s="205">
        <v>-0.7996216</v>
      </c>
      <c r="BJ143" s="205">
        <v>0.49251143</v>
      </c>
      <c r="BK143" s="205">
        <v>0.67349834</v>
      </c>
      <c r="BL143" s="205">
        <v>-0.4501971</v>
      </c>
      <c r="BM143" s="205">
        <v>-0.3681539</v>
      </c>
      <c r="BN143" s="205">
        <v>2.94623995</v>
      </c>
      <c r="BO143" s="205">
        <v>0.15954596</v>
      </c>
      <c r="BP143" s="205">
        <v>0.32224499</v>
      </c>
      <c r="BQ143" s="205">
        <v>0.01072048</v>
      </c>
      <c r="BR143" s="206"/>
      <c r="BS143" s="207">
        <f t="shared" si="6"/>
        <v>4.289634021</v>
      </c>
      <c r="BT143" s="207">
        <f t="shared" si="7"/>
        <v>7.771573737</v>
      </c>
      <c r="BU143" s="206"/>
      <c r="BV143" s="207">
        <f>IFERROR(__xludf.DUMMYFUNCTION("AVERAGE(ARRAYFORMULA(XLOOKUP(FILTER(INDIRECT(""'""&amp;BV$1&amp;""'!$C$4:$C$66""),INDIRECT(""'""&amp;BV$1&amp;""'!$D$4:$D$66"")=BV$2),$G$4:$BQ$4,$G143:$BQ143)))"),-0.3108065185714285)</f>
        <v>-0.3108065186</v>
      </c>
      <c r="BW143" s="207" t="str">
        <f>IFERROR(__xludf.DUMMYFUNCTION("IF(OR(BV143&gt;$BS143+$BT143*$BT$2,BV143&lt;$BS143-$BT143*$BT$2),AVEDEV(ARRAYFORMULA(XLOOKUP(FILTER(INDIRECT(""'""&amp;BV$1&amp;""'!$C$4:$C$66""),INDIRECT(""'""&amp;BV$1&amp;""'!$D$4:$D$66"")=BV$2),$G$4:$BQ$4,$G143:$BQ143))),"""")"),"")</f>
        <v/>
      </c>
      <c r="BX143" s="208" t="str">
        <f t="shared" si="8"/>
        <v/>
      </c>
      <c r="BY143" s="207">
        <f>IFERROR(__xludf.DUMMYFUNCTION("AVERAGE(ARRAYFORMULA(XLOOKUP(FILTER(INDIRECT(""'""&amp;BY$1&amp;""'!$C$4:$C$66""),INDIRECT(""'""&amp;BY$1&amp;""'!$D$4:$D$66"")=BY$2),$G$4:$BQ$4,$G143:$BQ143)))"),0.8207776178571431)</f>
        <v>0.8207776179</v>
      </c>
      <c r="BZ143" s="207" t="str">
        <f>IFERROR(__xludf.DUMMYFUNCTION("IF(OR(BY143&gt;$BS143+$BT143*$BT$2,BY143&lt;$BS143-$BT143*$BT$2),AVEDEV(ARRAYFORMULA(XLOOKUP(FILTER(INDIRECT(""'""&amp;BY$1&amp;""'!$C$4:$C$66""),INDIRECT(""'""&amp;BY$1&amp;""'!$D$4:$D$66"")=BY$2),$G$4:$BQ$4,$G143:$BQ143))),"""")"),"")</f>
        <v/>
      </c>
      <c r="CA143" s="208" t="str">
        <f t="shared" si="9"/>
        <v/>
      </c>
      <c r="CB143" s="207">
        <f>IFERROR(__xludf.DUMMYFUNCTION("AVERAGE(ARRAYFORMULA(XLOOKUP(FILTER(INDIRECT(""'""&amp;CB$1&amp;""'!$C$4:$C$66""),INDIRECT(""'""&amp;CB$1&amp;""'!$D$4:$D$66"")=CB$2),$G$4:$BQ$4,$G143:$BQ143)))"),0.5403293572727274)</f>
        <v>0.5403293573</v>
      </c>
      <c r="CC143" s="207" t="str">
        <f>IFERROR(__xludf.DUMMYFUNCTION("IF(OR(CB143&gt;$BS143+$BT143*$BT$2,CB143&lt;$BS143-$BT143*$BT$2),AVEDEV(ARRAYFORMULA(XLOOKUP(FILTER(INDIRECT(""'""&amp;CB$1&amp;""'!$C$4:$C$66""),INDIRECT(""'""&amp;CB$1&amp;""'!$D$4:$D$66"")=CB$2),$G$4:$BQ$4,$G143:$BQ143))),"""")"),"")</f>
        <v/>
      </c>
      <c r="CD143" s="208" t="str">
        <f t="shared" si="10"/>
        <v/>
      </c>
      <c r="CE143" s="209" t="s">
        <v>444</v>
      </c>
      <c r="CF143" s="207">
        <f>IFERROR(__xludf.DUMMYFUNCTION("AVERAGE(ARRAYFORMULA(XLOOKUP(FILTER(INDIRECT(""'""&amp;CF$1&amp;""'!$C$4:$C$66""),INDIRECT(""'""&amp;CF$1&amp;""'!$D$4:$D$66"")=CF$2),$G$4:$BQ$4,$G143:$BQ143)))"),-0.184253498125)</f>
        <v>-0.1842534981</v>
      </c>
      <c r="CG143" s="207" t="str">
        <f>IFERROR(__xludf.DUMMYFUNCTION("IF(OR(CF143&gt;$BS143+$BT143*$BT$2,CF143&lt;$BS143-$BT143*$BT$2),AVEDEV(ARRAYFORMULA(XLOOKUP(FILTER(INDIRECT(""'""&amp;CF$1&amp;""'!$C$4:$C$66""),INDIRECT(""'""&amp;CF$1&amp;""'!$D$4:$D$66"")=CF$2),$G$4:$BQ$4,$G143:$BQ143))),"""")"),"")</f>
        <v/>
      </c>
      <c r="CH143" s="208" t="str">
        <f t="shared" si="11"/>
        <v/>
      </c>
      <c r="CI143" s="207">
        <f>IFERROR(__xludf.DUMMYFUNCTION("AVERAGE(ARRAYFORMULA(XLOOKUP(FILTER(INDIRECT(""'""&amp;CI$1&amp;""'!$C$4:$C$66""),INDIRECT(""'""&amp;CI$1&amp;""'!$D$4:$D$66"")=CI$2),$G$4:$BQ$4,$G143:$BQ143)))"),0.9653246441935484)</f>
        <v>0.9653246442</v>
      </c>
      <c r="CJ143" s="207" t="str">
        <f>IFERROR(__xludf.DUMMYFUNCTION("IF(OR(CI143&gt;$BS143+$BT143*$BT$2,CI143&lt;$BS143-$BT143*$BT$2),AVEDEV(ARRAYFORMULA(XLOOKUP(FILTER(INDIRECT(""'""&amp;CI$1&amp;""'!$C$4:$C$66""),INDIRECT(""'""&amp;CI$1&amp;""'!$D$4:$D$66"")=CI$2),$G$4:$BQ$4,$G143:$BQ143))),"""")"),"")</f>
        <v/>
      </c>
      <c r="CK143" s="208" t="str">
        <f t="shared" si="12"/>
        <v/>
      </c>
      <c r="CL143" s="207">
        <f>IFERROR(__xludf.DUMMYFUNCTION("AVERAGE(ARRAYFORMULA(XLOOKUP(FILTER(INDIRECT(""'""&amp;CL$1&amp;""'!$C$4:$C$66""),INDIRECT(""'""&amp;CL$1&amp;""'!$D$4:$D$66"")=CL$2),$G$4:$BQ$4,$G143:$BQ143)))"),2.551221826)</f>
        <v>2.551221826</v>
      </c>
      <c r="CM143" s="207" t="str">
        <f>IFERROR(__xludf.DUMMYFUNCTION("IF(OR(CL143&gt;$BS143+$BT143*$BT$2,CL143&lt;$BS143-$BT143*$BT$2),AVEDEV(ARRAYFORMULA(XLOOKUP(FILTER(INDIRECT(""'""&amp;CL$1&amp;""'!$C$4:$C$66""),INDIRECT(""'""&amp;CL$1&amp;""'!$D$4:$D$66"")=CL$2),$G$4:$BQ$4,$G143:$BQ143))),"""")"),"")</f>
        <v/>
      </c>
      <c r="CN143" s="208" t="str">
        <f t="shared" si="13"/>
        <v/>
      </c>
      <c r="CO143" s="209" t="s">
        <v>444</v>
      </c>
      <c r="CP143" s="210">
        <f>IFERROR(__xludf.DUMMYFUNCTION("AVERAGE(ARRAYFORMULA(XLOOKUP(FILTER(INDIRECT(""'""&amp;CP$1&amp;""'!$C$4:$C$66""),INDIRECT(""'""&amp;CP$1&amp;""'!$D$4:$D$66"")=CP$2),$G$4:$BQ$4,$G143:$BQ143)))"),0.04975143066666666)</f>
        <v>0.04975143067</v>
      </c>
      <c r="CQ143" s="207" t="str">
        <f>IFERROR(__xludf.DUMMYFUNCTION("IF(OR(CP143&gt;$BS143+$BT143*$BT$2,CP143&lt;$BS143-$BT143*$BT$2),AVEDEV(ARRAYFORMULA(XLOOKUP(FILTER(INDIRECT(""'""&amp;CP$1&amp;""'!$C$4:$C$66""),INDIRECT(""'""&amp;CP$1&amp;""'!$D$4:$D$66"")=CP$2),$G$4:$BQ$4,$G143:$BQ143))),"""")"),"")</f>
        <v/>
      </c>
      <c r="CR143" s="208" t="str">
        <f t="shared" si="14"/>
        <v/>
      </c>
      <c r="CS143" s="210">
        <f>IFERROR(__xludf.DUMMYFUNCTION("AVERAGE(ARRAYFORMULA(XLOOKUP(FILTER(INDIRECT(""'""&amp;CS$1&amp;""'!$C$4:$C$66""),INDIRECT(""'""&amp;CS$1&amp;""'!$D$4:$D$66"")=CS$2),$G$4:$BQ$4,$G143:$BQ143)))"),0.6458577887179486)</f>
        <v>0.6458577887</v>
      </c>
      <c r="CT143" s="207" t="str">
        <f>IFERROR(__xludf.DUMMYFUNCTION("IF(OR(CS143&gt;$BS143+$BT143*$BT$2,CS143&lt;$BS143-$BT143*$BT$2),AVEDEV(ARRAYFORMULA(XLOOKUP(FILTER(INDIRECT(""'""&amp;CS$1&amp;""'!$C$4:$C$66""),INDIRECT(""'""&amp;CS$1&amp;""'!$D$4:$D$66"")=CS$2),$G$4:$BQ$4,$G143:$BQ143))),"""")"),"")</f>
        <v/>
      </c>
      <c r="CU143" s="208" t="str">
        <f t="shared" si="15"/>
        <v/>
      </c>
      <c r="CV143" s="210">
        <f>IFERROR(__xludf.DUMMYFUNCTION("AVERAGE(ARRAYFORMULA(XLOOKUP(FILTER(INDIRECT(""'""&amp;CV$1&amp;""'!$C$4:$C$66""),INDIRECT(""'""&amp;CV$1&amp;""'!$D$4:$D$66"")=CV$2),$G$4:$BQ$4,$G143:$BQ143)))"),2.551221826)</f>
        <v>2.551221826</v>
      </c>
      <c r="CW143" s="207" t="str">
        <f>IFERROR(__xludf.DUMMYFUNCTION("IF(OR(CV143&gt;$BS143+$BT143*$BT$2,CV143&lt;$BS143-$BT143*$BT$2),AVEDEV(ARRAYFORMULA(XLOOKUP(FILTER(INDIRECT(""'""&amp;CV$1&amp;""'!$C$4:$C$66""),INDIRECT(""'""&amp;CV$1&amp;""'!$D$4:$D$66"")=CV$2),$G$4:$BQ$4,$G143:$BQ143))),"""")"),"")</f>
        <v/>
      </c>
      <c r="CX143" s="208" t="str">
        <f t="shared" si="16"/>
        <v/>
      </c>
      <c r="CY143" s="209" t="s">
        <v>444</v>
      </c>
      <c r="CZ143" s="210">
        <f>IFERROR(__xludf.DUMMYFUNCTION("AVERAGE(ARRAYFORMULA(XLOOKUP(FILTER(INDIRECT(""'""&amp;CZ$1&amp;""'!$C$4:$C$66""),INDIRECT(""'""&amp;CZ$1&amp;""'!$D$4:$D$66"")=CZ$2),$G$4:$BQ$4,$G143:$BQ143)))"),-0.066812895)</f>
        <v>-0.066812895</v>
      </c>
      <c r="DA143" s="207" t="str">
        <f>IFERROR(__xludf.DUMMYFUNCTION("IF(OR(CZ143&gt;$BS143+$BT143*$BT$2,CZ143&lt;$BS143-$BT143*$BT$2),AVEDEV(ARRAYFORMULA(XLOOKUP(FILTER(INDIRECT(""'""&amp;CZ$1&amp;""'!$C$4:$C$66""),INDIRECT(""'""&amp;CZ$1&amp;""'!$D$4:$D$66"")=CZ$2),$G$4:$BQ$4,$G143:$BQ143))),"""")"),"")</f>
        <v/>
      </c>
      <c r="DB143" s="208" t="str">
        <f t="shared" si="17"/>
        <v/>
      </c>
      <c r="DC143" s="210">
        <f>IFERROR(__xludf.DUMMYFUNCTION("AVERAGE(ARRAYFORMULA(XLOOKUP(FILTER(INDIRECT(""'""&amp;DC$1&amp;""'!$C$4:$C$66""),INDIRECT(""'""&amp;DC$1&amp;""'!$D$4:$D$66"")=DC$2),$G$4:$BQ$4,$G143:$BQ143)))"),0.4289523088888889)</f>
        <v>0.4289523089</v>
      </c>
      <c r="DD143" s="207" t="str">
        <f>IFERROR(__xludf.DUMMYFUNCTION("IF(OR(DC143&gt;$BS143+$BT143*$BT$2,DC143&lt;$BS143-$BT143*$BT$2),AVEDEV(ARRAYFORMULA(XLOOKUP(FILTER(INDIRECT(""'""&amp;DC$1&amp;""'!$C$4:$C$66""),INDIRECT(""'""&amp;DC$1&amp;""'!$D$4:$D$66"")=DC$2),$G$4:$BQ$4,$G143:$BQ143))),"""")"),"")</f>
        <v/>
      </c>
      <c r="DE143" s="208" t="str">
        <f t="shared" si="18"/>
        <v/>
      </c>
      <c r="DF143" s="210">
        <f>IFERROR(__xludf.DUMMYFUNCTION("AVERAGE(ARRAYFORMULA(XLOOKUP(FILTER(INDIRECT(""'""&amp;DF$1&amp;""'!$C$4:$C$66""),INDIRECT(""'""&amp;DF$1&amp;""'!$D$4:$D$66"")=DF$2),$G$4:$BQ$4,$G143:$BQ143)))"),0.6797758472727273)</f>
        <v>0.6797758473</v>
      </c>
      <c r="DG143" s="207" t="str">
        <f>IFERROR(__xludf.DUMMYFUNCTION("IF(OR(DF143&gt;$BS143+$BT143*$BT$2,DF143&lt;$BS143-$BT143*$BT$2),AVEDEV(ARRAYFORMULA(XLOOKUP(FILTER(INDIRECT(""'""&amp;DF$1&amp;""'!$C$4:$C$66""),INDIRECT(""'""&amp;DF$1&amp;""'!$D$4:$D$66"")=DF$2),$G$4:$BQ$4,$G143:$BQ143))),"""")"),"")</f>
        <v/>
      </c>
      <c r="DH143" s="208" t="str">
        <f t="shared" si="19"/>
        <v/>
      </c>
      <c r="DI143" s="210">
        <f>IFERROR(__xludf.DUMMYFUNCTION("AVERAGE(ARRAYFORMULA(XLOOKUP(FILTER(INDIRECT(""'""&amp;DI$1&amp;""'!$C$4:$C$66""),INDIRECT(""'""&amp;DI$1&amp;""'!$D$4:$D$66"")=DI$2),$G$4:$BQ$4,$G143:$BQ143)))"),8.4798991)</f>
        <v>8.4798991</v>
      </c>
      <c r="DJ143" s="207" t="str">
        <f>IFERROR(__xludf.DUMMYFUNCTION("IF(OR(DI143&gt;$BS143+$BT143*$BT$2,DI143&lt;$BS143-$BT143*$BT$2),AVEDEV(ARRAYFORMULA(XLOOKUP(FILTER(INDIRECT(""'""&amp;DI$1&amp;""'!$C$4:$C$66""),INDIRECT(""'""&amp;DI$1&amp;""'!$D$4:$D$66"")=DI$2),$G$4:$BQ$4,$G143:$BQ143))),"""")"),"")</f>
        <v/>
      </c>
      <c r="DK143" s="208" t="str">
        <f t="shared" si="20"/>
        <v/>
      </c>
      <c r="DL143" s="210">
        <f>IFERROR(__xludf.DUMMYFUNCTION("AVERAGE(ARRAYFORMULA(XLOOKUP(FILTER(INDIRECT(""'""&amp;DL$1&amp;""'!$C$4:$C$66""),INDIRECT(""'""&amp;DL$1&amp;""'!$D$4:$D$66"")=DL$2),$G$4:$BQ$4,$G143:$BQ143)))"),0.12975384357142852)</f>
        <v>0.1297538436</v>
      </c>
      <c r="DM143" s="207" t="str">
        <f>IFERROR(__xludf.DUMMYFUNCTION("IF(OR(DL143&gt;$BS143+$BT143*$BT$2,DL143&lt;$BS143-$BT143*$BT$2),AVEDEV(ARRAYFORMULA(XLOOKUP(FILTER(INDIRECT(""'""&amp;DL$1&amp;""'!$C$4:$C$66""),INDIRECT(""'""&amp;DL$1&amp;""'!$D$4:$D$66"")=DL$2),$G$4:$BQ$4,$G143:$BQ143))),"""")"),"")</f>
        <v/>
      </c>
      <c r="DN143" s="208" t="str">
        <f t="shared" si="21"/>
        <v/>
      </c>
      <c r="DO143" s="209" t="s">
        <v>444</v>
      </c>
      <c r="DP143" s="210">
        <f>IFERROR(__xludf.DUMMYFUNCTION("AVERAGE(ARRAYFORMULA(XLOOKUP(FILTER(INDIRECT(""'""&amp;DP$1&amp;""'!$C$4:$C$66""),INDIRECT(""'""&amp;DP$1&amp;""'!$D$4:$D$66"")=DP$2),$G$4:$BQ$4,$G143:$BQ143)))"),-0.04271963033333335)</f>
        <v>-0.04271963033</v>
      </c>
      <c r="DQ143" s="207" t="str">
        <f>IFERROR(__xludf.DUMMYFUNCTION("IF(OR(DP143&gt;$BS143+$BT143*$BT$2,DP143&lt;$BS143-$BT143*$BT$2),AVEDEV(ARRAYFORMULA(XLOOKUP(FILTER(INDIRECT(""'""&amp;DP$1&amp;""'!$C$4:$C$66""),INDIRECT(""'""&amp;DP$1&amp;""'!$D$4:$D$66"")=DP$2),$G$4:$BQ$4,$G143:$BQ143))),"""")"),"")</f>
        <v/>
      </c>
      <c r="DR143" s="208" t="str">
        <f t="shared" si="22"/>
        <v/>
      </c>
      <c r="DS143" s="210">
        <f>IFERROR(__xludf.DUMMYFUNCTION("AVERAGE(ARRAYFORMULA(XLOOKUP(FILTER(INDIRECT(""'""&amp;DS$1&amp;""'!$C$4:$C$66""),INDIRECT(""'""&amp;DS$1&amp;""'!$D$4:$D$66"")=DS$2),$G$4:$BQ$4,$G143:$BQ143)))"),-0.11168216222222223)</f>
        <v>-0.1116821622</v>
      </c>
      <c r="DT143" s="207" t="str">
        <f>IFERROR(__xludf.DUMMYFUNCTION("IF(OR(DS143&gt;$BS143+$BT143*$BT$2,DS143&lt;$BS143-$BT143*$BT$2),AVEDEV(ARRAYFORMULA(XLOOKUP(FILTER(INDIRECT(""'""&amp;DS$1&amp;""'!$C$4:$C$66""),INDIRECT(""'""&amp;DS$1&amp;""'!$D$4:$D$66"")=DS$2),$G$4:$BQ$4,$G143:$BQ143))),"""")"),"")</f>
        <v/>
      </c>
      <c r="DU143" s="208" t="str">
        <f t="shared" si="23"/>
        <v/>
      </c>
      <c r="DV143" s="210">
        <f>IFERROR(__xludf.DUMMYFUNCTION("AVERAGE(ARRAYFORMULA(XLOOKUP(FILTER(INDIRECT(""'""&amp;DV$1&amp;""'!$C$4:$C$66""),INDIRECT(""'""&amp;DV$1&amp;""'!$D$4:$D$66"")=DV$2),$G$4:$BQ$4,$G143:$BQ143)))"),0.36253901124999993)</f>
        <v>0.3625390113</v>
      </c>
      <c r="DW143" s="207" t="str">
        <f>IFERROR(__xludf.DUMMYFUNCTION("IF(OR(DV143&gt;$BS143+$BT143*$BT$2,DV143&lt;$BS143-$BT143*$BT$2),AVEDEV(ARRAYFORMULA(XLOOKUP(FILTER(INDIRECT(""'""&amp;DV$1&amp;""'!$C$4:$C$66""),INDIRECT(""'""&amp;DV$1&amp;""'!$D$4:$D$66"")=DV$2),$G$4:$BQ$4,$G143:$BQ143))),"""")"),"")</f>
        <v/>
      </c>
      <c r="DX143" s="208" t="str">
        <f t="shared" si="24"/>
        <v/>
      </c>
      <c r="DY143" s="210">
        <f>IFERROR(__xludf.DUMMYFUNCTION("AVERAGE(ARRAYFORMULA(XLOOKUP(FILTER(INDIRECT(""'""&amp;DY$1&amp;""'!$C$4:$C$66""),INDIRECT(""'""&amp;DY$1&amp;""'!$D$4:$D$66"")=DY$2),$G$4:$BQ$4,$G143:$BQ143)))"),4.325958628888889)</f>
        <v>4.325958629</v>
      </c>
      <c r="DZ143" s="207" t="str">
        <f>IFERROR(__xludf.DUMMYFUNCTION("IF(OR(DY143&gt;$BS143+$BT143*$BT$2,DY143&lt;$BS143-$BT143*$BT$2),AVEDEV(ARRAYFORMULA(XLOOKUP(FILTER(INDIRECT(""'""&amp;DY$1&amp;""'!$C$4:$C$66""),INDIRECT(""'""&amp;DY$1&amp;""'!$D$4:$D$66"")=DY$2),$G$4:$BQ$4,$G143:$BQ143))),"""")"),"")</f>
        <v/>
      </c>
      <c r="EA143" s="208" t="str">
        <f t="shared" si="25"/>
        <v/>
      </c>
      <c r="EB143" s="191"/>
    </row>
    <row r="144" outlineLevel="1">
      <c r="A144" s="2"/>
      <c r="B144" s="204">
        <v>140.0</v>
      </c>
      <c r="C144" s="204" t="s">
        <v>540</v>
      </c>
      <c r="D144" s="204" t="s">
        <v>586</v>
      </c>
      <c r="E144" s="205" t="b">
        <f>VLOOKUP(D144,'Feature Set List'!A140:C246,2,0)</f>
        <v>1</v>
      </c>
      <c r="F144" s="205" t="b">
        <f>VLOOKUP(D144,'Feature Set List'!A140:C246,3,0)</f>
        <v>0</v>
      </c>
      <c r="G144" s="205">
        <v>0.44067797</v>
      </c>
      <c r="H144" s="205">
        <v>1.45056497</v>
      </c>
      <c r="I144" s="205">
        <v>-0.430791</v>
      </c>
      <c r="J144" s="205">
        <v>0.45621469</v>
      </c>
      <c r="K144" s="205">
        <v>0.71045198</v>
      </c>
      <c r="L144" s="205">
        <v>0.11935028</v>
      </c>
      <c r="M144" s="205">
        <v>-0.6101695</v>
      </c>
      <c r="N144" s="205">
        <v>0.3799435</v>
      </c>
      <c r="O144" s="205">
        <v>-0.3446328</v>
      </c>
      <c r="P144" s="205">
        <v>-0.5402542</v>
      </c>
      <c r="Q144" s="205">
        <v>0.07344633</v>
      </c>
      <c r="R144" s="205">
        <v>-1.1326977</v>
      </c>
      <c r="S144" s="205">
        <v>-0.2655367</v>
      </c>
      <c r="T144" s="205">
        <v>0.14971751</v>
      </c>
      <c r="U144" s="205">
        <v>-0.843291</v>
      </c>
      <c r="V144" s="205">
        <v>0.63347458</v>
      </c>
      <c r="W144" s="205">
        <v>-0.6814972</v>
      </c>
      <c r="X144" s="205">
        <v>1.37146893</v>
      </c>
      <c r="Y144" s="205">
        <v>-0.2189266</v>
      </c>
      <c r="Z144" s="205">
        <v>0.17584746</v>
      </c>
      <c r="AA144" s="205">
        <v>-0.555791</v>
      </c>
      <c r="AB144" s="205">
        <v>-0.1384181</v>
      </c>
      <c r="AC144" s="205">
        <v>0.22881356</v>
      </c>
      <c r="AD144" s="205">
        <v>1.57062147</v>
      </c>
      <c r="AE144" s="205">
        <v>2.58403955</v>
      </c>
      <c r="AF144" s="205">
        <v>-0.1384181</v>
      </c>
      <c r="AG144" s="205">
        <v>0.92584746</v>
      </c>
      <c r="AH144" s="205">
        <v>-0.5261299</v>
      </c>
      <c r="AI144" s="205">
        <v>-0.4357345</v>
      </c>
      <c r="AJ144" s="205">
        <v>-0.8884887</v>
      </c>
      <c r="AK144" s="205">
        <v>1.09816384</v>
      </c>
      <c r="AL144" s="205">
        <v>-0.6320621</v>
      </c>
      <c r="AM144" s="205">
        <v>-0.1560734</v>
      </c>
      <c r="AN144" s="205">
        <v>-0.8468927</v>
      </c>
      <c r="AO144" s="205">
        <v>-1.0933616</v>
      </c>
      <c r="AP144" s="205">
        <v>0.39124294</v>
      </c>
      <c r="AQ144" s="205">
        <v>0.51271186</v>
      </c>
      <c r="AR144" s="205">
        <v>2.41313559</v>
      </c>
      <c r="AS144" s="205">
        <v>-0.319209</v>
      </c>
      <c r="AT144" s="205">
        <v>-7.062E-4</v>
      </c>
      <c r="AU144" s="205">
        <v>-1.4639831</v>
      </c>
      <c r="AV144" s="205">
        <v>-0.8829802</v>
      </c>
      <c r="AW144" s="205">
        <v>0.45621469</v>
      </c>
      <c r="AX144" s="205">
        <v>1.71680791</v>
      </c>
      <c r="AY144" s="205">
        <v>-0.9555791</v>
      </c>
      <c r="AZ144" s="205">
        <v>-0.5614407</v>
      </c>
      <c r="BA144" s="205">
        <v>0.26624294</v>
      </c>
      <c r="BB144" s="205">
        <v>0.03954802</v>
      </c>
      <c r="BC144" s="205">
        <v>-0.3538136</v>
      </c>
      <c r="BD144" s="205">
        <v>6.41737288</v>
      </c>
      <c r="BE144" s="205">
        <v>0.66949153</v>
      </c>
      <c r="BF144" s="205">
        <v>1.41454802</v>
      </c>
      <c r="BG144" s="205">
        <v>0.05225989</v>
      </c>
      <c r="BH144" s="205">
        <v>2.20127119</v>
      </c>
      <c r="BI144" s="205">
        <v>-0.1935028</v>
      </c>
      <c r="BJ144" s="205">
        <v>-0.5134181</v>
      </c>
      <c r="BK144" s="205">
        <v>-0.7857345</v>
      </c>
      <c r="BL144" s="205">
        <v>-0.585452</v>
      </c>
      <c r="BM144" s="205">
        <v>0.47740113</v>
      </c>
      <c r="BN144" s="205">
        <v>0.0</v>
      </c>
      <c r="BO144" s="205">
        <v>-0.1850282</v>
      </c>
      <c r="BP144" s="205">
        <v>0.09392655</v>
      </c>
      <c r="BQ144" s="205">
        <v>0.34887006</v>
      </c>
      <c r="BR144" s="206"/>
      <c r="BS144" s="207">
        <f t="shared" si="6"/>
        <v>0.1993599203</v>
      </c>
      <c r="BT144" s="207">
        <f t="shared" si="7"/>
        <v>0.7730461953</v>
      </c>
      <c r="BU144" s="206"/>
      <c r="BV144" s="207">
        <f>IFERROR(__xludf.DUMMYFUNCTION("AVERAGE(ARRAYFORMULA(XLOOKUP(FILTER(INDIRECT(""'""&amp;BV$1&amp;""'!$C$4:$C$66""),INDIRECT(""'""&amp;BV$1&amp;""'!$D$4:$D$66"")=BV$2),$G$4:$BQ$4,$G144:$BQ144)))"),-0.19959646)</f>
        <v>-0.19959646</v>
      </c>
      <c r="BW144" s="207" t="str">
        <f>IFERROR(__xludf.DUMMYFUNCTION("IF(OR(BV144&gt;$BS144+$BT144*$BT$2,BV144&lt;$BS144-$BT144*$BT$2),AVEDEV(ARRAYFORMULA(XLOOKUP(FILTER(INDIRECT(""'""&amp;BV$1&amp;""'!$C$4:$C$66""),INDIRECT(""'""&amp;BV$1&amp;""'!$D$4:$D$66"")=BV$2),$G$4:$BQ$4,$G144:$BQ144))),"""")"),"")</f>
        <v/>
      </c>
      <c r="BX144" s="208" t="str">
        <f t="shared" si="8"/>
        <v/>
      </c>
      <c r="BY144" s="207">
        <f>IFERROR(__xludf.DUMMYFUNCTION("AVERAGE(ARRAYFORMULA(XLOOKUP(FILTER(INDIRECT(""'""&amp;BY$1&amp;""'!$C$4:$C$66""),INDIRECT(""'""&amp;BY$1&amp;""'!$D$4:$D$66"")=BY$2),$G$4:$BQ$4,$G144:$BQ144)))"),0.2555135211904762)</f>
        <v>0.2555135212</v>
      </c>
      <c r="BZ144" s="207" t="str">
        <f>IFERROR(__xludf.DUMMYFUNCTION("IF(OR(BY144&gt;$BS144+$BT144*$BT$2,BY144&lt;$BS144-$BT144*$BT$2),AVEDEV(ARRAYFORMULA(XLOOKUP(FILTER(INDIRECT(""'""&amp;BY$1&amp;""'!$C$4:$C$66""),INDIRECT(""'""&amp;BY$1&amp;""'!$D$4:$D$66"")=BY$2),$G$4:$BQ$4,$G144:$BQ144))),"""")"),"")</f>
        <v/>
      </c>
      <c r="CA144" s="208" t="str">
        <f t="shared" si="9"/>
        <v/>
      </c>
      <c r="CB144" s="207">
        <f>IFERROR(__xludf.DUMMYFUNCTION("AVERAGE(ARRAYFORMULA(XLOOKUP(FILTER(INDIRECT(""'""&amp;CB$1&amp;""'!$C$4:$C$66""),INDIRECT(""'""&amp;CB$1&amp;""'!$D$4:$D$66"")=CB$2),$G$4:$BQ$4,$G144:$BQ144)))"),-0.11793786090909092)</f>
        <v>-0.1179378609</v>
      </c>
      <c r="CC144" s="207" t="str">
        <f>IFERROR(__xludf.DUMMYFUNCTION("IF(OR(CB144&gt;$BS144+$BT144*$BT$2,CB144&lt;$BS144-$BT144*$BT$2),AVEDEV(ARRAYFORMULA(XLOOKUP(FILTER(INDIRECT(""'""&amp;CB$1&amp;""'!$C$4:$C$66""),INDIRECT(""'""&amp;CB$1&amp;""'!$D$4:$D$66"")=CB$2),$G$4:$BQ$4,$G144:$BQ144))),"""")"),"")</f>
        <v/>
      </c>
      <c r="CD144" s="208" t="str">
        <f t="shared" si="10"/>
        <v/>
      </c>
      <c r="CE144" s="209" t="s">
        <v>444</v>
      </c>
      <c r="CF144" s="207">
        <f>IFERROR(__xludf.DUMMYFUNCTION("AVERAGE(ARRAYFORMULA(XLOOKUP(FILTER(INDIRECT(""'""&amp;CF$1&amp;""'!$C$4:$C$66""),INDIRECT(""'""&amp;CF$1&amp;""'!$D$4:$D$66"")=CF$2),$G$4:$BQ$4,$G144:$BQ144)))"),0.61082715)</f>
        <v>0.61082715</v>
      </c>
      <c r="CG144" s="207" t="str">
        <f>IFERROR(__xludf.DUMMYFUNCTION("IF(OR(CF144&gt;$BS144+$BT144*$BT$2,CF144&lt;$BS144-$BT144*$BT$2),AVEDEV(ARRAYFORMULA(XLOOKUP(FILTER(INDIRECT(""'""&amp;CF$1&amp;""'!$C$4:$C$66""),INDIRECT(""'""&amp;CF$1&amp;""'!$D$4:$D$66"")=CF$2),$G$4:$BQ$4,$G144:$BQ144))),"""")"),"")</f>
        <v/>
      </c>
      <c r="CH144" s="208" t="str">
        <f t="shared" si="11"/>
        <v/>
      </c>
      <c r="CI144" s="207">
        <f>IFERROR(__xludf.DUMMYFUNCTION("AVERAGE(ARRAYFORMULA(XLOOKUP(FILTER(INDIRECT(""'""&amp;CI$1&amp;""'!$C$4:$C$66""),INDIRECT(""'""&amp;CI$1&amp;""'!$D$4:$D$66"")=CI$2),$G$4:$BQ$4,$G144:$BQ144)))"),-0.19034080870967748)</f>
        <v>-0.1903408087</v>
      </c>
      <c r="CJ144" s="207" t="str">
        <f>IFERROR(__xludf.DUMMYFUNCTION("IF(OR(CI144&gt;$BS144+$BT144*$BT$2,CI144&lt;$BS144-$BT144*$BT$2),AVEDEV(ARRAYFORMULA(XLOOKUP(FILTER(INDIRECT(""'""&amp;CI$1&amp;""'!$C$4:$C$66""),INDIRECT(""'""&amp;CI$1&amp;""'!$D$4:$D$66"")=CI$2),$G$4:$BQ$4,$G144:$BQ144))),"""")"),"")</f>
        <v/>
      </c>
      <c r="CK144" s="208" t="str">
        <f t="shared" si="12"/>
        <v/>
      </c>
      <c r="CL144" s="207">
        <f>IFERROR(__xludf.DUMMYFUNCTION("AVERAGE(ARRAYFORMULA(XLOOKUP(FILTER(INDIRECT(""'""&amp;CL$1&amp;""'!$C$4:$C$66""),INDIRECT(""'""&amp;CL$1&amp;""'!$D$4:$D$66"")=CL$2),$G$4:$BQ$4,$G144:$BQ144)))"),-0.07824857200000002)</f>
        <v>-0.078248572</v>
      </c>
      <c r="CM144" s="207" t="str">
        <f>IFERROR(__xludf.DUMMYFUNCTION("IF(OR(CL144&gt;$BS144+$BT144*$BT$2,CL144&lt;$BS144-$BT144*$BT$2),AVEDEV(ARRAYFORMULA(XLOOKUP(FILTER(INDIRECT(""'""&amp;CL$1&amp;""'!$C$4:$C$66""),INDIRECT(""'""&amp;CL$1&amp;""'!$D$4:$D$66"")=CL$2),$G$4:$BQ$4,$G144:$BQ144))),"""")"),"")</f>
        <v/>
      </c>
      <c r="CN144" s="208" t="str">
        <f t="shared" si="13"/>
        <v/>
      </c>
      <c r="CO144" s="209" t="s">
        <v>444</v>
      </c>
      <c r="CP144" s="210">
        <f>IFERROR(__xludf.DUMMYFUNCTION("AVERAGE(ARRAYFORMULA(XLOOKUP(FILTER(INDIRECT(""'""&amp;CP$1&amp;""'!$C$4:$C$66""),INDIRECT(""'""&amp;CP$1&amp;""'!$D$4:$D$66"")=CP$2),$G$4:$BQ$4,$G144:$BQ144)))"),0.24820621266666662)</f>
        <v>0.2482062127</v>
      </c>
      <c r="CQ144" s="207" t="str">
        <f>IFERROR(__xludf.DUMMYFUNCTION("IF(OR(CP144&gt;$BS144+$BT144*$BT$2,CP144&lt;$BS144-$BT144*$BT$2),AVEDEV(ARRAYFORMULA(XLOOKUP(FILTER(INDIRECT(""'""&amp;CP$1&amp;""'!$C$4:$C$66""),INDIRECT(""'""&amp;CP$1&amp;""'!$D$4:$D$66"")=CP$2),$G$4:$BQ$4,$G144:$BQ144))),"""")"),"")</f>
        <v/>
      </c>
      <c r="CR144" s="208" t="str">
        <f t="shared" si="14"/>
        <v/>
      </c>
      <c r="CS144" s="210">
        <f>IFERROR(__xludf.DUMMYFUNCTION("AVERAGE(ARRAYFORMULA(XLOOKUP(FILTER(INDIRECT(""'""&amp;CS$1&amp;""'!$C$4:$C$66""),INDIRECT(""'""&amp;CS$1&amp;""'!$D$4:$D$66"")=CS$2),$G$4:$BQ$4,$G144:$BQ144)))"),0.13565840692307696)</f>
        <v>0.1356584069</v>
      </c>
      <c r="CT144" s="207" t="str">
        <f>IFERROR(__xludf.DUMMYFUNCTION("IF(OR(CS144&gt;$BS144+$BT144*$BT$2,CS144&lt;$BS144-$BT144*$BT$2),AVEDEV(ARRAYFORMULA(XLOOKUP(FILTER(INDIRECT(""'""&amp;CS$1&amp;""'!$C$4:$C$66""),INDIRECT(""'""&amp;CS$1&amp;""'!$D$4:$D$66"")=CS$2),$G$4:$BQ$4,$G144:$BQ144))),"""")"),"")</f>
        <v/>
      </c>
      <c r="CU144" s="208" t="str">
        <f t="shared" si="15"/>
        <v/>
      </c>
      <c r="CV144" s="210">
        <f>IFERROR(__xludf.DUMMYFUNCTION("AVERAGE(ARRAYFORMULA(XLOOKUP(FILTER(INDIRECT(""'""&amp;CV$1&amp;""'!$C$4:$C$66""),INDIRECT(""'""&amp;CV$1&amp;""'!$D$4:$D$66"")=CV$2),$G$4:$BQ$4,$G144:$BQ144)))"),-0.07824857200000002)</f>
        <v>-0.078248572</v>
      </c>
      <c r="CW144" s="207" t="str">
        <f>IFERROR(__xludf.DUMMYFUNCTION("IF(OR(CV144&gt;$BS144+$BT144*$BT$2,CV144&lt;$BS144-$BT144*$BT$2),AVEDEV(ARRAYFORMULA(XLOOKUP(FILTER(INDIRECT(""'""&amp;CV$1&amp;""'!$C$4:$C$66""),INDIRECT(""'""&amp;CV$1&amp;""'!$D$4:$D$66"")=CV$2),$G$4:$BQ$4,$G144:$BQ144))),"""")"),"")</f>
        <v/>
      </c>
      <c r="CX144" s="208" t="str">
        <f t="shared" si="16"/>
        <v/>
      </c>
      <c r="CY144" s="209" t="s">
        <v>444</v>
      </c>
      <c r="CZ144" s="210">
        <f>IFERROR(__xludf.DUMMYFUNCTION("AVERAGE(ARRAYFORMULA(XLOOKUP(FILTER(INDIRECT(""'""&amp;CZ$1&amp;""'!$C$4:$C$66""),INDIRECT(""'""&amp;CZ$1&amp;""'!$D$4:$D$66"")=CZ$2),$G$4:$BQ$4,$G144:$BQ144)))"),0.6035310714285714)</f>
        <v>0.6035310714</v>
      </c>
      <c r="DA144" s="207" t="str">
        <f>IFERROR(__xludf.DUMMYFUNCTION("IF(OR(CZ144&gt;$BS144+$BT144*$BT$2,CZ144&lt;$BS144-$BT144*$BT$2),AVEDEV(ARRAYFORMULA(XLOOKUP(FILTER(INDIRECT(""'""&amp;CZ$1&amp;""'!$C$4:$C$66""),INDIRECT(""'""&amp;CZ$1&amp;""'!$D$4:$D$66"")=CZ$2),$G$4:$BQ$4,$G144:$BQ144))),"""")"),"")</f>
        <v/>
      </c>
      <c r="DB144" s="208" t="str">
        <f t="shared" si="17"/>
        <v/>
      </c>
      <c r="DC144" s="210">
        <f>IFERROR(__xludf.DUMMYFUNCTION("AVERAGE(ARRAYFORMULA(XLOOKUP(FILTER(INDIRECT(""'""&amp;DC$1&amp;""'!$C$4:$C$66""),INDIRECT(""'""&amp;DC$1&amp;""'!$D$4:$D$66"")=DC$2),$G$4:$BQ$4,$G144:$BQ144)))"),-0.13480854444444446)</f>
        <v>-0.1348085444</v>
      </c>
      <c r="DD144" s="207" t="str">
        <f>IFERROR(__xludf.DUMMYFUNCTION("IF(OR(DC144&gt;$BS144+$BT144*$BT$2,DC144&lt;$BS144-$BT144*$BT$2),AVEDEV(ARRAYFORMULA(XLOOKUP(FILTER(INDIRECT(""'""&amp;DC$1&amp;""'!$C$4:$C$66""),INDIRECT(""'""&amp;DC$1&amp;""'!$D$4:$D$66"")=DC$2),$G$4:$BQ$4,$G144:$BQ144))),"""")"),"")</f>
        <v/>
      </c>
      <c r="DE144" s="208" t="str">
        <f t="shared" si="18"/>
        <v/>
      </c>
      <c r="DF144" s="210">
        <f>IFERROR(__xludf.DUMMYFUNCTION("AVERAGE(ARRAYFORMULA(XLOOKUP(FILTER(INDIRECT(""'""&amp;DF$1&amp;""'!$C$4:$C$66""),INDIRECT(""'""&amp;DF$1&amp;""'!$D$4:$D$66"")=DF$2),$G$4:$BQ$4,$G144:$BQ144)))"),-0.27191190454545455)</f>
        <v>-0.2719119045</v>
      </c>
      <c r="DG144" s="207" t="str">
        <f>IFERROR(__xludf.DUMMYFUNCTION("IF(OR(DF144&gt;$BS144+$BT144*$BT$2,DF144&lt;$BS144-$BT144*$BT$2),AVEDEV(ARRAYFORMULA(XLOOKUP(FILTER(INDIRECT(""'""&amp;DF$1&amp;""'!$C$4:$C$66""),INDIRECT(""'""&amp;DF$1&amp;""'!$D$4:$D$66"")=DF$2),$G$4:$BQ$4,$G144:$BQ144))),"""")"),"")</f>
        <v/>
      </c>
      <c r="DH144" s="208" t="str">
        <f t="shared" si="19"/>
        <v/>
      </c>
      <c r="DI144" s="210">
        <f>IFERROR(__xludf.DUMMYFUNCTION("AVERAGE(ARRAYFORMULA(XLOOKUP(FILTER(INDIRECT(""'""&amp;DI$1&amp;""'!$C$4:$C$66""),INDIRECT(""'""&amp;DI$1&amp;""'!$D$4:$D$66"")=DI$2),$G$4:$BQ$4,$G144:$BQ144)))"),1.88594633)</f>
        <v>1.88594633</v>
      </c>
      <c r="DJ144" s="207">
        <f>IFERROR(__xludf.DUMMYFUNCTION("IF(OR(DI144&gt;$BS144+$BT144*$BT$2,DI144&lt;$BS144-$BT144*$BT$2),AVEDEV(ARRAYFORMULA(XLOOKUP(FILTER(INDIRECT(""'""&amp;DI$1&amp;""'!$C$4:$C$66""),INDIRECT(""'""&amp;DI$1&amp;""'!$D$4:$D$66"")=DI$2),$G$4:$BQ$4,$G144:$BQ144))),"""")"),0.31532485999999993)</f>
        <v>0.31532486</v>
      </c>
      <c r="DK144" s="208">
        <f t="shared" si="20"/>
        <v>0.9135402144</v>
      </c>
      <c r="DL144" s="210">
        <f>IFERROR(__xludf.DUMMYFUNCTION("AVERAGE(ARRAYFORMULA(XLOOKUP(FILTER(INDIRECT(""'""&amp;DL$1&amp;""'!$C$4:$C$66""),INDIRECT(""'""&amp;DL$1&amp;""'!$D$4:$D$66"")=DL$2),$G$4:$BQ$4,$G144:$BQ144)))"),0.03918482142857139)</f>
        <v>0.03918482143</v>
      </c>
      <c r="DM144" s="207" t="str">
        <f>IFERROR(__xludf.DUMMYFUNCTION("IF(OR(DL144&gt;$BS144+$BT144*$BT$2,DL144&lt;$BS144-$BT144*$BT$2),AVEDEV(ARRAYFORMULA(XLOOKUP(FILTER(INDIRECT(""'""&amp;DL$1&amp;""'!$C$4:$C$66""),INDIRECT(""'""&amp;DL$1&amp;""'!$D$4:$D$66"")=DL$2),$G$4:$BQ$4,$G144:$BQ144))),"""")"),"")</f>
        <v/>
      </c>
      <c r="DN144" s="208" t="str">
        <f t="shared" si="21"/>
        <v/>
      </c>
      <c r="DO144" s="209" t="s">
        <v>444</v>
      </c>
      <c r="DP144" s="210">
        <f>IFERROR(__xludf.DUMMYFUNCTION("AVERAGE(ARRAYFORMULA(XLOOKUP(FILTER(INDIRECT(""'""&amp;DP$1&amp;""'!$C$4:$C$66""),INDIRECT(""'""&amp;DP$1&amp;""'!$D$4:$D$66"")=DP$2),$G$4:$BQ$4,$G144:$BQ144)))"),0.31766007333333335)</f>
        <v>0.3176600733</v>
      </c>
      <c r="DQ144" s="207" t="str">
        <f>IFERROR(__xludf.DUMMYFUNCTION("IF(OR(DP144&gt;$BS144+$BT144*$BT$2,DP144&lt;$BS144-$BT144*$BT$2),AVEDEV(ARRAYFORMULA(XLOOKUP(FILTER(INDIRECT(""'""&amp;DP$1&amp;""'!$C$4:$C$66""),INDIRECT(""'""&amp;DP$1&amp;""'!$D$4:$D$66"")=DP$2),$G$4:$BQ$4,$G144:$BQ144))),"""")"),"")</f>
        <v/>
      </c>
      <c r="DR144" s="208" t="str">
        <f t="shared" si="22"/>
        <v/>
      </c>
      <c r="DS144" s="210">
        <f>IFERROR(__xludf.DUMMYFUNCTION("AVERAGE(ARRAYFORMULA(XLOOKUP(FILTER(INDIRECT(""'""&amp;DS$1&amp;""'!$C$4:$C$66""),INDIRECT(""'""&amp;DS$1&amp;""'!$D$4:$D$66"")=DS$2),$G$4:$BQ$4,$G144:$BQ144)))"),-0.1401679188888889)</f>
        <v>-0.1401679189</v>
      </c>
      <c r="DT144" s="207" t="str">
        <f>IFERROR(__xludf.DUMMYFUNCTION("IF(OR(DS144&gt;$BS144+$BT144*$BT$2,DS144&lt;$BS144-$BT144*$BT$2),AVEDEV(ARRAYFORMULA(XLOOKUP(FILTER(INDIRECT(""'""&amp;DS$1&amp;""'!$C$4:$C$66""),INDIRECT(""'""&amp;DS$1&amp;""'!$D$4:$D$66"")=DS$2),$G$4:$BQ$4,$G144:$BQ144))),"""")"),"")</f>
        <v/>
      </c>
      <c r="DU144" s="208" t="str">
        <f t="shared" si="23"/>
        <v/>
      </c>
      <c r="DV144" s="210">
        <f>IFERROR(__xludf.DUMMYFUNCTION("AVERAGE(ARRAYFORMULA(XLOOKUP(FILTER(INDIRECT(""'""&amp;DV$1&amp;""'!$C$4:$C$66""),INDIRECT(""'""&amp;DV$1&amp;""'!$D$4:$D$66"")=DV$2),$G$4:$BQ$4,$G144:$BQ144)))"),-0.6934322125000001)</f>
        <v>-0.6934322125</v>
      </c>
      <c r="DW144" s="207">
        <f>IFERROR(__xludf.DUMMYFUNCTION("IF(OR(DV144&gt;$BS144+$BT144*$BT$2,DV144&lt;$BS144-$BT144*$BT$2),AVEDEV(ARRAYFORMULA(XLOOKUP(FILTER(INDIRECT(""'""&amp;DV$1&amp;""'!$C$4:$C$66""),INDIRECT(""'""&amp;DV$1&amp;""'!$D$4:$D$66"")=DV$2),$G$4:$BQ$4,$G144:$BQ144))),"""")"),0.2615819125)</f>
        <v>0.2615819125</v>
      </c>
      <c r="DX144" s="208">
        <f t="shared" si="24"/>
        <v>-0.1197459375</v>
      </c>
      <c r="DY144" s="210">
        <f>IFERROR(__xludf.DUMMYFUNCTION("AVERAGE(ARRAYFORMULA(XLOOKUP(FILTER(INDIRECT(""'""&amp;DY$1&amp;""'!$C$4:$C$66""),INDIRECT(""'""&amp;DY$1&amp;""'!$D$4:$D$66"")=DY$2),$G$4:$BQ$4,$G144:$BQ144)))"),0.35671689444444443)</f>
        <v>0.3567168944</v>
      </c>
      <c r="DZ144" s="207" t="str">
        <f>IFERROR(__xludf.DUMMYFUNCTION("IF(OR(DY144&gt;$BS144+$BT144*$BT$2,DY144&lt;$BS144-$BT144*$BT$2),AVEDEV(ARRAYFORMULA(XLOOKUP(FILTER(INDIRECT(""'""&amp;DY$1&amp;""'!$C$4:$C$66""),INDIRECT(""'""&amp;DY$1&amp;""'!$D$4:$D$66"")=DY$2),$G$4:$BQ$4,$G144:$BQ144))),"""")"),"")</f>
        <v/>
      </c>
      <c r="EA144" s="208" t="str">
        <f t="shared" si="25"/>
        <v/>
      </c>
      <c r="EB144" s="191"/>
    </row>
    <row r="145" outlineLevel="1">
      <c r="A145" s="2"/>
      <c r="B145" s="204">
        <v>141.0</v>
      </c>
      <c r="C145" s="204" t="s">
        <v>540</v>
      </c>
      <c r="D145" s="204" t="s">
        <v>587</v>
      </c>
      <c r="E145" s="205" t="b">
        <f>VLOOKUP(D145,'Feature Set List'!A141:C246,2,0)</f>
        <v>1</v>
      </c>
      <c r="F145" s="205" t="b">
        <f>VLOOKUP(D145,'Feature Set List'!A141:C246,3,0)</f>
        <v>0</v>
      </c>
      <c r="G145" s="205">
        <v>0.56994819</v>
      </c>
      <c r="H145" s="205">
        <v>-0.0325685</v>
      </c>
      <c r="I145" s="205">
        <v>-1.2088823</v>
      </c>
      <c r="J145" s="205">
        <v>-0.0088823</v>
      </c>
      <c r="K145" s="205">
        <v>-0.6478164</v>
      </c>
      <c r="L145" s="205">
        <v>0.12139156</v>
      </c>
      <c r="M145" s="205">
        <v>1.00370096</v>
      </c>
      <c r="N145" s="205">
        <v>0.32124352</v>
      </c>
      <c r="O145" s="205">
        <v>-0.5772021</v>
      </c>
      <c r="P145" s="205">
        <v>0.96965211</v>
      </c>
      <c r="Q145" s="205">
        <v>-0.4728349</v>
      </c>
      <c r="R145" s="205">
        <v>-0.3850481</v>
      </c>
      <c r="S145" s="205">
        <v>0.13323464</v>
      </c>
      <c r="T145" s="205">
        <v>0.16284234</v>
      </c>
      <c r="U145" s="205">
        <v>-0.6478164</v>
      </c>
      <c r="V145" s="205">
        <v>-0.3906736</v>
      </c>
      <c r="W145" s="205">
        <v>0.41598816</v>
      </c>
      <c r="X145" s="205">
        <v>1.89045152</v>
      </c>
      <c r="Y145" s="205">
        <v>0.23834197</v>
      </c>
      <c r="Z145" s="205">
        <v>1.24352332</v>
      </c>
      <c r="AA145" s="205">
        <v>0.0</v>
      </c>
      <c r="AB145" s="205">
        <v>-0.9082161</v>
      </c>
      <c r="AC145" s="205">
        <v>0.8527017</v>
      </c>
      <c r="AD145" s="205">
        <v>0.99481865</v>
      </c>
      <c r="AE145" s="205">
        <v>0.55070318</v>
      </c>
      <c r="AF145" s="205">
        <v>-0.1554404</v>
      </c>
      <c r="AG145" s="205">
        <v>0.75203553</v>
      </c>
      <c r="AH145" s="205">
        <v>0.02516654</v>
      </c>
      <c r="AI145" s="205">
        <v>0.05773501</v>
      </c>
      <c r="AJ145" s="205">
        <v>-0.2013323</v>
      </c>
      <c r="AK145" s="205">
        <v>-0.63849</v>
      </c>
      <c r="AL145" s="205">
        <v>-0.3096965</v>
      </c>
      <c r="AM145" s="205">
        <v>-0.0532939</v>
      </c>
      <c r="AN145" s="205">
        <v>-0.3252406</v>
      </c>
      <c r="AO145" s="205">
        <v>-0.4553664</v>
      </c>
      <c r="AP145" s="205">
        <v>-1.0749075</v>
      </c>
      <c r="AQ145" s="205">
        <v>0.45003701</v>
      </c>
      <c r="AR145" s="205">
        <v>-0.0651369</v>
      </c>
      <c r="AS145" s="205">
        <v>-0.6504811</v>
      </c>
      <c r="AT145" s="205">
        <v>-0.7541081</v>
      </c>
      <c r="AU145" s="205">
        <v>-1.7794226</v>
      </c>
      <c r="AV145" s="205">
        <v>0.58919319</v>
      </c>
      <c r="AW145" s="205">
        <v>1.34566987</v>
      </c>
      <c r="AX145" s="205">
        <v>-0.7185788</v>
      </c>
      <c r="AY145" s="205">
        <v>0.70466321</v>
      </c>
      <c r="AZ145" s="205">
        <v>-0.3582531</v>
      </c>
      <c r="BA145" s="205">
        <v>0.73871207</v>
      </c>
      <c r="BB145" s="205">
        <v>2.17172465</v>
      </c>
      <c r="BC145" s="205">
        <v>0.02072539</v>
      </c>
      <c r="BD145" s="205">
        <v>-0.6984456</v>
      </c>
      <c r="BE145" s="205">
        <v>-0.0148038</v>
      </c>
      <c r="BF145" s="205">
        <v>0.28867506</v>
      </c>
      <c r="BG145" s="205">
        <v>0.25018505</v>
      </c>
      <c r="BH145" s="205">
        <v>0.83197631</v>
      </c>
      <c r="BI145" s="205">
        <v>-0.4852702</v>
      </c>
      <c r="BJ145" s="205">
        <v>-0.3125093</v>
      </c>
      <c r="BK145" s="205">
        <v>-0.6361214</v>
      </c>
      <c r="BL145" s="205">
        <v>-1.4552184</v>
      </c>
      <c r="BM145" s="205">
        <v>0.52109548</v>
      </c>
      <c r="BN145" s="205">
        <v>-0.1228719</v>
      </c>
      <c r="BO145" s="205">
        <v>1.22279793</v>
      </c>
      <c r="BP145" s="205">
        <v>0.10066617</v>
      </c>
      <c r="BQ145" s="205">
        <v>0.00444115</v>
      </c>
      <c r="BR145" s="206"/>
      <c r="BS145" s="207">
        <f t="shared" si="6"/>
        <v>0.04760495143</v>
      </c>
      <c r="BT145" s="207">
        <f t="shared" si="7"/>
        <v>0.5765323721</v>
      </c>
      <c r="BU145" s="206"/>
      <c r="BV145" s="207">
        <f>IFERROR(__xludf.DUMMYFUNCTION("AVERAGE(ARRAYFORMULA(XLOOKUP(FILTER(INDIRECT(""'""&amp;BV$1&amp;""'!$C$4:$C$66""),INDIRECT(""'""&amp;BV$1&amp;""'!$D$4:$D$66"")=BV$2),$G$4:$BQ$4,$G145:$BQ145)))"),0.31337634000000003)</f>
        <v>0.31337634</v>
      </c>
      <c r="BW145" s="207" t="str">
        <f>IFERROR(__xludf.DUMMYFUNCTION("IF(OR(BV145&gt;$BS145+$BT145*$BT$2,BV145&lt;$BS145-$BT145*$BT$2),AVEDEV(ARRAYFORMULA(XLOOKUP(FILTER(INDIRECT(""'""&amp;BV$1&amp;""'!$C$4:$C$66""),INDIRECT(""'""&amp;BV$1&amp;""'!$D$4:$D$66"")=BV$2),$G$4:$BQ$4,$G145:$BQ145))),"""")"),"")</f>
        <v/>
      </c>
      <c r="BX145" s="208" t="str">
        <f t="shared" si="8"/>
        <v/>
      </c>
      <c r="BY145" s="207">
        <f>IFERROR(__xludf.DUMMYFUNCTION("AVERAGE(ARRAYFORMULA(XLOOKUP(FILTER(INDIRECT(""'""&amp;BY$1&amp;""'!$C$4:$C$66""),INDIRECT(""'""&amp;BY$1&amp;""'!$D$4:$D$66"")=BY$2),$G$4:$BQ$4,$G145:$BQ145)))"),0.006291636190476214)</f>
        <v>0.00629163619</v>
      </c>
      <c r="BZ145" s="207" t="str">
        <f>IFERROR(__xludf.DUMMYFUNCTION("IF(OR(BY145&gt;$BS145+$BT145*$BT$2,BY145&lt;$BS145-$BT145*$BT$2),AVEDEV(ARRAYFORMULA(XLOOKUP(FILTER(INDIRECT(""'""&amp;BY$1&amp;""'!$C$4:$C$66""),INDIRECT(""'""&amp;BY$1&amp;""'!$D$4:$D$66"")=BY$2),$G$4:$BQ$4,$G145:$BQ145))),"""")"),"")</f>
        <v/>
      </c>
      <c r="CA145" s="208" t="str">
        <f t="shared" si="9"/>
        <v/>
      </c>
      <c r="CB145" s="207">
        <f>IFERROR(__xludf.DUMMYFUNCTION("AVERAGE(ARRAYFORMULA(XLOOKUP(FILTER(INDIRECT(""'""&amp;CB$1&amp;""'!$C$4:$C$66""),INDIRECT(""'""&amp;CB$1&amp;""'!$D$4:$D$66"")=CB$2),$G$4:$BQ$4,$G145:$BQ145)))"),0.38436175818181817)</f>
        <v>0.3843617582</v>
      </c>
      <c r="CC145" s="207" t="str">
        <f>IFERROR(__xludf.DUMMYFUNCTION("IF(OR(CB145&gt;$BS145+$BT145*$BT$2,CB145&lt;$BS145-$BT145*$BT$2),AVEDEV(ARRAYFORMULA(XLOOKUP(FILTER(INDIRECT(""'""&amp;CB$1&amp;""'!$C$4:$C$66""),INDIRECT(""'""&amp;CB$1&amp;""'!$D$4:$D$66"")=CB$2),$G$4:$BQ$4,$G145:$BQ145))),"""")"),"")</f>
        <v/>
      </c>
      <c r="CD145" s="208" t="str">
        <f t="shared" si="10"/>
        <v/>
      </c>
      <c r="CE145" s="209" t="s">
        <v>444</v>
      </c>
      <c r="CF145" s="207">
        <f>IFERROR(__xludf.DUMMYFUNCTION("AVERAGE(ARRAYFORMULA(XLOOKUP(FILTER(INDIRECT(""'""&amp;CF$1&amp;""'!$C$4:$C$66""),INDIRECT(""'""&amp;CF$1&amp;""'!$D$4:$D$66"")=CF$2),$G$4:$BQ$4,$G145:$BQ145)))"),0.108910064375)</f>
        <v>0.1089100644</v>
      </c>
      <c r="CG145" s="207" t="str">
        <f>IFERROR(__xludf.DUMMYFUNCTION("IF(OR(CF145&gt;$BS145+$BT145*$BT$2,CF145&lt;$BS145-$BT145*$BT$2),AVEDEV(ARRAYFORMULA(XLOOKUP(FILTER(INDIRECT(""'""&amp;CF$1&amp;""'!$C$4:$C$66""),INDIRECT(""'""&amp;CF$1&amp;""'!$D$4:$D$66"")=CF$2),$G$4:$BQ$4,$G145:$BQ145))),"""")"),"")</f>
        <v/>
      </c>
      <c r="CH145" s="208" t="str">
        <f t="shared" si="11"/>
        <v/>
      </c>
      <c r="CI145" s="207">
        <f>IFERROR(__xludf.DUMMYFUNCTION("AVERAGE(ARRAYFORMULA(XLOOKUP(FILTER(INDIRECT(""'""&amp;CI$1&amp;""'!$C$4:$C$66""),INDIRECT(""'""&amp;CI$1&amp;""'!$D$4:$D$66"")=CI$2),$G$4:$BQ$4,$G145:$BQ145)))"),0.06330317161290322)</f>
        <v>0.06330317161</v>
      </c>
      <c r="CJ145" s="207" t="str">
        <f>IFERROR(__xludf.DUMMYFUNCTION("IF(OR(CI145&gt;$BS145+$BT145*$BT$2,CI145&lt;$BS145-$BT145*$BT$2),AVEDEV(ARRAYFORMULA(XLOOKUP(FILTER(INDIRECT(""'""&amp;CI$1&amp;""'!$C$4:$C$66""),INDIRECT(""'""&amp;CI$1&amp;""'!$D$4:$D$66"")=CI$2),$G$4:$BQ$4,$G145:$BQ145))),"""")"),"")</f>
        <v/>
      </c>
      <c r="CK145" s="208" t="str">
        <f t="shared" si="12"/>
        <v/>
      </c>
      <c r="CL145" s="207">
        <f>IFERROR(__xludf.DUMMYFUNCTION("AVERAGE(ARRAYFORMULA(XLOOKUP(FILTER(INDIRECT(""'""&amp;CL$1&amp;""'!$C$4:$C$66""),INDIRECT(""'""&amp;CL$1&amp;""'!$D$4:$D$66"")=CL$2),$G$4:$BQ$4,$G145:$BQ145)))"),0.294182094)</f>
        <v>0.294182094</v>
      </c>
      <c r="CM145" s="207" t="str">
        <f>IFERROR(__xludf.DUMMYFUNCTION("IF(OR(CL145&gt;$BS145+$BT145*$BT$2,CL145&lt;$BS145-$BT145*$BT$2),AVEDEV(ARRAYFORMULA(XLOOKUP(FILTER(INDIRECT(""'""&amp;CL$1&amp;""'!$C$4:$C$66""),INDIRECT(""'""&amp;CL$1&amp;""'!$D$4:$D$66"")=CL$2),$G$4:$BQ$4,$G145:$BQ145))),"""")"),"")</f>
        <v/>
      </c>
      <c r="CN145" s="208" t="str">
        <f t="shared" si="13"/>
        <v/>
      </c>
      <c r="CO145" s="209" t="s">
        <v>444</v>
      </c>
      <c r="CP145" s="210">
        <f>IFERROR(__xludf.DUMMYFUNCTION("AVERAGE(ARRAYFORMULA(XLOOKUP(FILTER(INDIRECT(""'""&amp;CP$1&amp;""'!$C$4:$C$66""),INDIRECT(""'""&amp;CP$1&amp;""'!$D$4:$D$66"")=CP$2),$G$4:$BQ$4,$G145:$BQ145)))"),0.402615352)</f>
        <v>0.402615352</v>
      </c>
      <c r="CQ145" s="207" t="str">
        <f>IFERROR(__xludf.DUMMYFUNCTION("IF(OR(CP145&gt;$BS145+$BT145*$BT$2,CP145&lt;$BS145-$BT145*$BT$2),AVEDEV(ARRAYFORMULA(XLOOKUP(FILTER(INDIRECT(""'""&amp;CP$1&amp;""'!$C$4:$C$66""),INDIRECT(""'""&amp;CP$1&amp;""'!$D$4:$D$66"")=CP$2),$G$4:$BQ$4,$G145:$BQ145))),"""")"),"")</f>
        <v/>
      </c>
      <c r="CR145" s="208" t="str">
        <f t="shared" si="14"/>
        <v/>
      </c>
      <c r="CS145" s="210">
        <f>IFERROR(__xludf.DUMMYFUNCTION("AVERAGE(ARRAYFORMULA(XLOOKUP(FILTER(INDIRECT(""'""&amp;CS$1&amp;""'!$C$4:$C$66""),INDIRECT(""'""&amp;CS$1&amp;""'!$D$4:$D$66"")=CS$2),$G$4:$BQ$4,$G145:$BQ145)))"),0.016177951025641023)</f>
        <v>0.01617795103</v>
      </c>
      <c r="CT145" s="207" t="str">
        <f>IFERROR(__xludf.DUMMYFUNCTION("IF(OR(CS145&gt;$BS145+$BT145*$BT$2,CS145&lt;$BS145-$BT145*$BT$2),AVEDEV(ARRAYFORMULA(XLOOKUP(FILTER(INDIRECT(""'""&amp;CS$1&amp;""'!$C$4:$C$66""),INDIRECT(""'""&amp;CS$1&amp;""'!$D$4:$D$66"")=CS$2),$G$4:$BQ$4,$G145:$BQ145))),"""")"),"")</f>
        <v/>
      </c>
      <c r="CU145" s="208" t="str">
        <f t="shared" si="15"/>
        <v/>
      </c>
      <c r="CV145" s="211">
        <f>IFERROR(__xludf.DUMMYFUNCTION("AVERAGE(ARRAYFORMULA(XLOOKUP(FILTER(INDIRECT(""'""&amp;CV$1&amp;""'!$C$4:$C$66""),INDIRECT(""'""&amp;CV$1&amp;""'!$D$4:$D$66"")=CV$2),$G$4:$BQ$4,$G145:$BQ145)))"),0.294182094)</f>
        <v>0.294182094</v>
      </c>
      <c r="CW145" s="207" t="str">
        <f>IFERROR(__xludf.DUMMYFUNCTION("IF(OR(CV145&gt;$BS145+$BT145*$BT$2,CV145&lt;$BS145-$BT145*$BT$2),AVEDEV(ARRAYFORMULA(XLOOKUP(FILTER(INDIRECT(""'""&amp;CV$1&amp;""'!$C$4:$C$66""),INDIRECT(""'""&amp;CV$1&amp;""'!$D$4:$D$66"")=CV$2),$G$4:$BQ$4,$G145:$BQ145))),"""")"),"")</f>
        <v/>
      </c>
      <c r="CX145" s="208" t="str">
        <f t="shared" si="16"/>
        <v/>
      </c>
      <c r="CY145" s="209" t="s">
        <v>444</v>
      </c>
      <c r="CZ145" s="210">
        <f>IFERROR(__xludf.DUMMYFUNCTION("AVERAGE(ARRAYFORMULA(XLOOKUP(FILTER(INDIRECT(""'""&amp;CZ$1&amp;""'!$C$4:$C$66""),INDIRECT(""'""&amp;CZ$1&amp;""'!$D$4:$D$66"")=CZ$2),$G$4:$BQ$4,$G145:$BQ145)))"),0.04819709857142857)</f>
        <v>0.04819709857</v>
      </c>
      <c r="DA145" s="207" t="str">
        <f>IFERROR(__xludf.DUMMYFUNCTION("IF(OR(CZ145&gt;$BS145+$BT145*$BT$2,CZ145&lt;$BS145-$BT145*$BT$2),AVEDEV(ARRAYFORMULA(XLOOKUP(FILTER(INDIRECT(""'""&amp;CZ$1&amp;""'!$C$4:$C$66""),INDIRECT(""'""&amp;CZ$1&amp;""'!$D$4:$D$66"")=CZ$2),$G$4:$BQ$4,$G145:$BQ145))),"""")"),"")</f>
        <v/>
      </c>
      <c r="DB145" s="208" t="str">
        <f t="shared" si="17"/>
        <v/>
      </c>
      <c r="DC145" s="210">
        <f>IFERROR(__xludf.DUMMYFUNCTION("AVERAGE(ARRAYFORMULA(XLOOKUP(FILTER(INDIRECT(""'""&amp;DC$1&amp;""'!$C$4:$C$66""),INDIRECT(""'""&amp;DC$1&amp;""'!$D$4:$D$66"")=DC$2),$G$4:$BQ$4,$G145:$BQ145)))"),0.45168188444444446)</f>
        <v>0.4516818844</v>
      </c>
      <c r="DD145" s="207" t="str">
        <f>IFERROR(__xludf.DUMMYFUNCTION("IF(OR(DC145&gt;$BS145+$BT145*$BT$2,DC145&lt;$BS145-$BT145*$BT$2),AVEDEV(ARRAYFORMULA(XLOOKUP(FILTER(INDIRECT(""'""&amp;DC$1&amp;""'!$C$4:$C$66""),INDIRECT(""'""&amp;DC$1&amp;""'!$D$4:$D$66"")=DC$2),$G$4:$BQ$4,$G145:$BQ145))),"""")"),"")</f>
        <v/>
      </c>
      <c r="DE145" s="208" t="str">
        <f t="shared" si="18"/>
        <v/>
      </c>
      <c r="DF145" s="210">
        <f>IFERROR(__xludf.DUMMYFUNCTION("AVERAGE(ARRAYFORMULA(XLOOKUP(FILTER(INDIRECT(""'""&amp;DF$1&amp;""'!$C$4:$C$66""),INDIRECT(""'""&amp;DF$1&amp;""'!$D$4:$D$66"")=DF$2),$G$4:$BQ$4,$G145:$BQ145)))"),0.0908552590909091)</f>
        <v>0.09085525909</v>
      </c>
      <c r="DG145" s="207" t="str">
        <f>IFERROR(__xludf.DUMMYFUNCTION("IF(OR(DF145&gt;$BS145+$BT145*$BT$2,DF145&lt;$BS145-$BT145*$BT$2),AVEDEV(ARRAYFORMULA(XLOOKUP(FILTER(INDIRECT(""'""&amp;DF$1&amp;""'!$C$4:$C$66""),INDIRECT(""'""&amp;DF$1&amp;""'!$D$4:$D$66"")=DF$2),$G$4:$BQ$4,$G145:$BQ145))),"""")"),"")</f>
        <v/>
      </c>
      <c r="DH145" s="208" t="str">
        <f t="shared" si="19"/>
        <v/>
      </c>
      <c r="DI145" s="210">
        <f>IFERROR(__xludf.DUMMYFUNCTION("AVERAGE(ARRAYFORMULA(XLOOKUP(FILTER(INDIRECT(""'""&amp;DI$1&amp;""'!$C$4:$C$66""),INDIRECT(""'""&amp;DI$1&amp;""'!$D$4:$D$66"")=DI$2),$G$4:$BQ$4,$G145:$BQ145)))"),0.91339748)</f>
        <v>0.91339748</v>
      </c>
      <c r="DJ145" s="207">
        <f>IFERROR(__xludf.DUMMYFUNCTION("IF(OR(DI145&gt;$BS145+$BT145*$BT$2,DI145&lt;$BS145-$BT145*$BT$2),AVEDEV(ARRAYFORMULA(XLOOKUP(FILTER(INDIRECT(""'""&amp;DI$1&amp;""'!$C$4:$C$66""),INDIRECT(""'""&amp;DI$1&amp;""'!$D$4:$D$66"")=DI$2),$G$4:$BQ$4,$G145:$BQ145))),"""")"),0.08142116999999999)</f>
        <v>0.08142117</v>
      </c>
      <c r="DK145" s="208">
        <f t="shared" si="20"/>
        <v>0.2892601565</v>
      </c>
      <c r="DL145" s="211">
        <f>IFERROR(__xludf.DUMMYFUNCTION("AVERAGE(ARRAYFORMULA(XLOOKUP(FILTER(INDIRECT(""'""&amp;DL$1&amp;""'!$C$4:$C$66""),INDIRECT(""'""&amp;DL$1&amp;""'!$D$4:$D$66"")=DL$2),$G$4:$BQ$4,$G145:$BQ145)))"),-0.16404779071428569)</f>
        <v>-0.1640477907</v>
      </c>
      <c r="DM145" s="207" t="str">
        <f>IFERROR(__xludf.DUMMYFUNCTION("IF(OR(DL145&gt;$BS145+$BT145*$BT$2,DL145&lt;$BS145-$BT145*$BT$2),AVEDEV(ARRAYFORMULA(XLOOKUP(FILTER(INDIRECT(""'""&amp;DL$1&amp;""'!$C$4:$C$66""),INDIRECT(""'""&amp;DL$1&amp;""'!$D$4:$D$66"")=DL$2),$G$4:$BQ$4,$G145:$BQ145))),"""")"),"")</f>
        <v/>
      </c>
      <c r="DN145" s="208" t="str">
        <f t="shared" si="21"/>
        <v/>
      </c>
      <c r="DO145" s="209" t="s">
        <v>444</v>
      </c>
      <c r="DP145" s="210">
        <f>IFERROR(__xludf.DUMMYFUNCTION("AVERAGE(ARRAYFORMULA(XLOOKUP(FILTER(INDIRECT(""'""&amp;DP$1&amp;""'!$C$4:$C$66""),INDIRECT(""'""&amp;DP$1&amp;""'!$D$4:$D$66"")=DP$2),$G$4:$BQ$4,$G145:$BQ145)))"),-0.021371824)</f>
        <v>-0.021371824</v>
      </c>
      <c r="DQ145" s="207" t="str">
        <f>IFERROR(__xludf.DUMMYFUNCTION("IF(OR(DP145&gt;$BS145+$BT145*$BT$2,DP145&lt;$BS145-$BT145*$BT$2),AVEDEV(ARRAYFORMULA(XLOOKUP(FILTER(INDIRECT(""'""&amp;DP$1&amp;""'!$C$4:$C$66""),INDIRECT(""'""&amp;DP$1&amp;""'!$D$4:$D$66"")=DP$2),$G$4:$BQ$4,$G145:$BQ145))),"""")"),"")</f>
        <v/>
      </c>
      <c r="DR145" s="208" t="str">
        <f t="shared" si="22"/>
        <v/>
      </c>
      <c r="DS145" s="210">
        <f>IFERROR(__xludf.DUMMYFUNCTION("AVERAGE(ARRAYFORMULA(XLOOKUP(FILTER(INDIRECT(""'""&amp;DS$1&amp;""'!$C$4:$C$66""),INDIRECT(""'""&amp;DS$1&amp;""'!$D$4:$D$66"")=DS$2),$G$4:$BQ$4,$G145:$BQ145)))"),0.5658360066666667)</f>
        <v>0.5658360067</v>
      </c>
      <c r="DT145" s="207" t="str">
        <f>IFERROR(__xludf.DUMMYFUNCTION("IF(OR(DS145&gt;$BS145+$BT145*$BT$2,DS145&lt;$BS145-$BT145*$BT$2),AVEDEV(ARRAYFORMULA(XLOOKUP(FILTER(INDIRECT(""'""&amp;DS$1&amp;""'!$C$4:$C$66""),INDIRECT(""'""&amp;DS$1&amp;""'!$D$4:$D$66"")=DS$2),$G$4:$BQ$4,$G145:$BQ145))),"""")"),"")</f>
        <v/>
      </c>
      <c r="DU145" s="208" t="str">
        <f t="shared" si="23"/>
        <v/>
      </c>
      <c r="DV145" s="210">
        <f>IFERROR(__xludf.DUMMYFUNCTION("AVERAGE(ARRAYFORMULA(XLOOKUP(FILTER(INDIRECT(""'""&amp;DV$1&amp;""'!$C$4:$C$66""),INDIRECT(""'""&amp;DV$1&amp;""'!$D$4:$D$66"")=DV$2),$G$4:$BQ$4,$G145:$BQ145)))"),-0.16646926874999998)</f>
        <v>-0.1664692688</v>
      </c>
      <c r="DW145" s="207" t="str">
        <f>IFERROR(__xludf.DUMMYFUNCTION("IF(OR(DV145&gt;$BS145+$BT145*$BT$2,DV145&lt;$BS145-$BT145*$BT$2),AVEDEV(ARRAYFORMULA(XLOOKUP(FILTER(INDIRECT(""'""&amp;DV$1&amp;""'!$C$4:$C$66""),INDIRECT(""'""&amp;DV$1&amp;""'!$D$4:$D$66"")=DV$2),$G$4:$BQ$4,$G145:$BQ145))),"""")"),"")</f>
        <v/>
      </c>
      <c r="DX145" s="208" t="str">
        <f t="shared" si="24"/>
        <v/>
      </c>
      <c r="DY145" s="210">
        <f>IFERROR(__xludf.DUMMYFUNCTION("AVERAGE(ARRAYFORMULA(XLOOKUP(FILTER(INDIRECT(""'""&amp;DY$1&amp;""'!$C$4:$C$66""),INDIRECT(""'""&amp;DY$1&amp;""'!$D$4:$D$66"")=DY$2),$G$4:$BQ$4,$G145:$BQ145)))"),0.4057241588888889)</f>
        <v>0.4057241589</v>
      </c>
      <c r="DZ145" s="207" t="str">
        <f>IFERROR(__xludf.DUMMYFUNCTION("IF(OR(DY145&gt;$BS145+$BT145*$BT$2,DY145&lt;$BS145-$BT145*$BT$2),AVEDEV(ARRAYFORMULA(XLOOKUP(FILTER(INDIRECT(""'""&amp;DY$1&amp;""'!$C$4:$C$66""),INDIRECT(""'""&amp;DY$1&amp;""'!$D$4:$D$66"")=DY$2),$G$4:$BQ$4,$G145:$BQ145))),"""")"),"")</f>
        <v/>
      </c>
      <c r="EA145" s="208" t="str">
        <f t="shared" si="25"/>
        <v/>
      </c>
      <c r="EB145" s="191"/>
    </row>
    <row r="146" outlineLevel="1">
      <c r="A146" s="2"/>
      <c r="B146" s="204">
        <v>142.0</v>
      </c>
      <c r="C146" s="204" t="s">
        <v>540</v>
      </c>
      <c r="D146" s="204" t="s">
        <v>588</v>
      </c>
      <c r="E146" s="205" t="b">
        <f>VLOOKUP(D146,'Feature Set List'!A142:C246,2,0)</f>
        <v>1</v>
      </c>
      <c r="F146" s="205" t="b">
        <f>VLOOKUP(D146,'Feature Set List'!A142:C246,3,0)</f>
        <v>0</v>
      </c>
      <c r="G146" s="205">
        <v>0.5</v>
      </c>
      <c r="H146" s="205">
        <v>0.5</v>
      </c>
      <c r="I146" s="205">
        <v>0.0</v>
      </c>
      <c r="J146" s="205">
        <v>0.5</v>
      </c>
      <c r="K146" s="205">
        <v>-0.75</v>
      </c>
      <c r="L146" s="205">
        <v>-0.75</v>
      </c>
      <c r="M146" s="205">
        <v>-0.5</v>
      </c>
      <c r="N146" s="205">
        <v>0.5</v>
      </c>
      <c r="O146" s="205">
        <v>-0.5</v>
      </c>
      <c r="P146" s="205">
        <v>-0.5</v>
      </c>
      <c r="Q146" s="205">
        <v>0.5</v>
      </c>
      <c r="R146" s="205">
        <v>-0.25</v>
      </c>
      <c r="S146" s="205">
        <v>0.0</v>
      </c>
      <c r="T146" s="205">
        <v>-0.25</v>
      </c>
      <c r="U146" s="205">
        <v>0.25</v>
      </c>
      <c r="V146" s="205">
        <v>0.5</v>
      </c>
      <c r="W146" s="205">
        <v>-0.75</v>
      </c>
      <c r="X146" s="205">
        <v>0.5</v>
      </c>
      <c r="Y146" s="205">
        <v>-0.75</v>
      </c>
      <c r="Z146" s="205">
        <v>0.5</v>
      </c>
      <c r="AA146" s="205">
        <v>0.0</v>
      </c>
      <c r="AB146" s="205">
        <v>-0.25</v>
      </c>
      <c r="AC146" s="205">
        <v>-0.25</v>
      </c>
      <c r="AD146" s="205">
        <v>0.5</v>
      </c>
      <c r="AE146" s="205">
        <v>0.5</v>
      </c>
      <c r="AF146" s="205">
        <v>-0.75</v>
      </c>
      <c r="AG146" s="205">
        <v>0.5</v>
      </c>
      <c r="AH146" s="205">
        <v>0.0</v>
      </c>
      <c r="AI146" s="205">
        <v>-0.5</v>
      </c>
      <c r="AJ146" s="205">
        <v>-0.5</v>
      </c>
      <c r="AK146" s="205">
        <v>0.5</v>
      </c>
      <c r="AL146" s="205">
        <v>0.25</v>
      </c>
      <c r="AM146" s="205">
        <v>0.0</v>
      </c>
      <c r="AN146" s="205">
        <v>0.25</v>
      </c>
      <c r="AO146" s="205">
        <v>0.0</v>
      </c>
      <c r="AP146" s="205">
        <v>0.5</v>
      </c>
      <c r="AQ146" s="205">
        <v>0.5</v>
      </c>
      <c r="AR146" s="205">
        <v>0.5</v>
      </c>
      <c r="AS146" s="205">
        <v>-0.75</v>
      </c>
      <c r="AT146" s="205">
        <v>0.0</v>
      </c>
      <c r="AU146" s="205">
        <v>-0.5</v>
      </c>
      <c r="AV146" s="205">
        <v>0.5</v>
      </c>
      <c r="AW146" s="205">
        <v>0.5</v>
      </c>
      <c r="AX146" s="205">
        <v>0.5</v>
      </c>
      <c r="AY146" s="205">
        <v>0.5</v>
      </c>
      <c r="AZ146" s="205">
        <v>0.25</v>
      </c>
      <c r="BA146" s="205">
        <v>-0.5</v>
      </c>
      <c r="BB146" s="205">
        <v>0.0</v>
      </c>
      <c r="BC146" s="205">
        <v>0.5</v>
      </c>
      <c r="BD146" s="205">
        <v>-0.75</v>
      </c>
      <c r="BE146" s="205">
        <v>0.5</v>
      </c>
      <c r="BF146" s="205">
        <v>-0.25</v>
      </c>
      <c r="BG146" s="205">
        <v>-0.75</v>
      </c>
      <c r="BH146" s="205">
        <v>0.5</v>
      </c>
      <c r="BI146" s="205">
        <v>-0.5</v>
      </c>
      <c r="BJ146" s="205">
        <v>0.5</v>
      </c>
      <c r="BK146" s="205">
        <v>-0.25</v>
      </c>
      <c r="BL146" s="205">
        <v>-0.5</v>
      </c>
      <c r="BM146" s="205">
        <v>-0.5</v>
      </c>
      <c r="BN146" s="205">
        <v>-0.75</v>
      </c>
      <c r="BO146" s="205">
        <v>-0.5</v>
      </c>
      <c r="BP146" s="205">
        <v>-0.5</v>
      </c>
      <c r="BQ146" s="205">
        <v>-0.75</v>
      </c>
      <c r="BR146" s="206"/>
      <c r="BS146" s="207">
        <f t="shared" si="6"/>
        <v>-0.03968253968</v>
      </c>
      <c r="BT146" s="207">
        <f t="shared" si="7"/>
        <v>0.4409171076</v>
      </c>
      <c r="BU146" s="206"/>
      <c r="BV146" s="207">
        <f>IFERROR(__xludf.DUMMYFUNCTION("AVERAGE(ARRAYFORMULA(XLOOKUP(FILTER(INDIRECT(""'""&amp;BV$1&amp;""'!$C$4:$C$66""),INDIRECT(""'""&amp;BV$1&amp;""'!$D$4:$D$66"")=BV$2),$G$4:$BQ$4,$G146:$BQ146)))"),0.17857142857142858)</f>
        <v>0.1785714286</v>
      </c>
      <c r="BW146" s="207" t="str">
        <f>IFERROR(__xludf.DUMMYFUNCTION("IF(OR(BV146&gt;$BS146+$BT146*$BT$2,BV146&lt;$BS146-$BT146*$BT$2),AVEDEV(ARRAYFORMULA(XLOOKUP(FILTER(INDIRECT(""'""&amp;BV$1&amp;""'!$C$4:$C$66""),INDIRECT(""'""&amp;BV$1&amp;""'!$D$4:$D$66"")=BV$2),$G$4:$BQ$4,$G146:$BQ146))),"""")"),"")</f>
        <v/>
      </c>
      <c r="BX146" s="208" t="str">
        <f t="shared" si="8"/>
        <v/>
      </c>
      <c r="BY146" s="207">
        <f>IFERROR(__xludf.DUMMYFUNCTION("AVERAGE(ARRAYFORMULA(XLOOKUP(FILTER(INDIRECT(""'""&amp;BY$1&amp;""'!$C$4:$C$66""),INDIRECT(""'""&amp;BY$1&amp;""'!$D$4:$D$66"")=BY$2),$G$4:$BQ$4,$G146:$BQ146)))"),0.047619047619047616)</f>
        <v>0.04761904762</v>
      </c>
      <c r="BZ146" s="207" t="str">
        <f>IFERROR(__xludf.DUMMYFUNCTION("IF(OR(BY146&gt;$BS146+$BT146*$BT$2,BY146&lt;$BS146-$BT146*$BT$2),AVEDEV(ARRAYFORMULA(XLOOKUP(FILTER(INDIRECT(""'""&amp;BY$1&amp;""'!$C$4:$C$66""),INDIRECT(""'""&amp;BY$1&amp;""'!$D$4:$D$66"")=BY$2),$G$4:$BQ$4,$G146:$BQ146))),"""")"),"")</f>
        <v/>
      </c>
      <c r="CA146" s="208" t="str">
        <f t="shared" si="9"/>
        <v/>
      </c>
      <c r="CB146" s="207">
        <f>IFERROR(__xludf.DUMMYFUNCTION("AVERAGE(ARRAYFORMULA(XLOOKUP(FILTER(INDIRECT(""'""&amp;CB$1&amp;""'!$C$4:$C$66""),INDIRECT(""'""&amp;CB$1&amp;""'!$D$4:$D$66"")=CB$2),$G$4:$BQ$4,$G146:$BQ146)))"),-0.4090909090909091)</f>
        <v>-0.4090909091</v>
      </c>
      <c r="CC146" s="207" t="str">
        <f>IFERROR(__xludf.DUMMYFUNCTION("IF(OR(CB146&gt;$BS146+$BT146*$BT$2,CB146&lt;$BS146-$BT146*$BT$2),AVEDEV(ARRAYFORMULA(XLOOKUP(FILTER(INDIRECT(""'""&amp;CB$1&amp;""'!$C$4:$C$66""),INDIRECT(""'""&amp;CB$1&amp;""'!$D$4:$D$66"")=CB$2),$G$4:$BQ$4,$G146:$BQ146))),"""")"),"")</f>
        <v/>
      </c>
      <c r="CD146" s="208" t="str">
        <f t="shared" si="10"/>
        <v/>
      </c>
      <c r="CE146" s="209" t="s">
        <v>444</v>
      </c>
      <c r="CF146" s="207">
        <f>IFERROR(__xludf.DUMMYFUNCTION("AVERAGE(ARRAYFORMULA(XLOOKUP(FILTER(INDIRECT(""'""&amp;CF$1&amp;""'!$C$4:$C$66""),INDIRECT(""'""&amp;CF$1&amp;""'!$D$4:$D$66"")=CF$2),$G$4:$BQ$4,$G146:$BQ146)))"),0.234375)</f>
        <v>0.234375</v>
      </c>
      <c r="CG146" s="207" t="str">
        <f>IFERROR(__xludf.DUMMYFUNCTION("IF(OR(CF146&gt;$BS146+$BT146*$BT$2,CF146&lt;$BS146-$BT146*$BT$2),AVEDEV(ARRAYFORMULA(XLOOKUP(FILTER(INDIRECT(""'""&amp;CF$1&amp;""'!$C$4:$C$66""),INDIRECT(""'""&amp;CF$1&amp;""'!$D$4:$D$66"")=CF$2),$G$4:$BQ$4,$G146:$BQ146))),"""")"),"")</f>
        <v/>
      </c>
      <c r="CH146" s="208" t="str">
        <f t="shared" si="11"/>
        <v/>
      </c>
      <c r="CI146" s="207">
        <f>IFERROR(__xludf.DUMMYFUNCTION("AVERAGE(ARRAYFORMULA(XLOOKUP(FILTER(INDIRECT(""'""&amp;CI$1&amp;""'!$C$4:$C$66""),INDIRECT(""'""&amp;CI$1&amp;""'!$D$4:$D$66"")=CI$2),$G$4:$BQ$4,$G146:$BQ146)))"),-0.08870967741935484)</f>
        <v>-0.08870967742</v>
      </c>
      <c r="CJ146" s="207" t="str">
        <f>IFERROR(__xludf.DUMMYFUNCTION("IF(OR(CI146&gt;$BS146+$BT146*$BT$2,CI146&lt;$BS146-$BT146*$BT$2),AVEDEV(ARRAYFORMULA(XLOOKUP(FILTER(INDIRECT(""'""&amp;CI$1&amp;""'!$C$4:$C$66""),INDIRECT(""'""&amp;CI$1&amp;""'!$D$4:$D$66"")=CI$2),$G$4:$BQ$4,$G146:$BQ146))),"""")"),"")</f>
        <v/>
      </c>
      <c r="CK146" s="208" t="str">
        <f t="shared" si="12"/>
        <v/>
      </c>
      <c r="CL146" s="207">
        <f>IFERROR(__xludf.DUMMYFUNCTION("AVERAGE(ARRAYFORMULA(XLOOKUP(FILTER(INDIRECT(""'""&amp;CL$1&amp;""'!$C$4:$C$66""),INDIRECT(""'""&amp;CL$1&amp;""'!$D$4:$D$66"")=CL$2),$G$4:$BQ$4,$G146:$BQ146)))"),-0.55)</f>
        <v>-0.55</v>
      </c>
      <c r="CM146" s="207">
        <f>IFERROR(__xludf.DUMMYFUNCTION("IF(OR(CL146&gt;$BS146+$BT146*$BT$2,CL146&lt;$BS146-$BT146*$BT$2),AVEDEV(ARRAYFORMULA(XLOOKUP(FILTER(INDIRECT(""'""&amp;CL$1&amp;""'!$C$4:$C$66""),INDIRECT(""'""&amp;CL$1&amp;""'!$D$4:$D$66"")=CL$2),$G$4:$BQ$4,$G146:$BQ146))),"""")"),0.16)</f>
        <v>0.16</v>
      </c>
      <c r="CN146" s="208">
        <f t="shared" si="13"/>
        <v>-0.06940035273</v>
      </c>
      <c r="CO146" s="209" t="s">
        <v>444</v>
      </c>
      <c r="CP146" s="210">
        <f>IFERROR(__xludf.DUMMYFUNCTION("AVERAGE(ARRAYFORMULA(XLOOKUP(FILTER(INDIRECT(""'""&amp;CP$1&amp;""'!$C$4:$C$66""),INDIRECT(""'""&amp;CP$1&amp;""'!$D$4:$D$66"")=CP$2),$G$4:$BQ$4,$G146:$BQ146)))"),0.03333333333333333)</f>
        <v>0.03333333333</v>
      </c>
      <c r="CQ146" s="207" t="str">
        <f>IFERROR(__xludf.DUMMYFUNCTION("IF(OR(CP146&gt;$BS146+$BT146*$BT$2,CP146&lt;$BS146-$BT146*$BT$2),AVEDEV(ARRAYFORMULA(XLOOKUP(FILTER(INDIRECT(""'""&amp;CP$1&amp;""'!$C$4:$C$66""),INDIRECT(""'""&amp;CP$1&amp;""'!$D$4:$D$66"")=CP$2),$G$4:$BQ$4,$G146:$BQ146))),"""")"),"")</f>
        <v/>
      </c>
      <c r="CR146" s="208" t="str">
        <f t="shared" si="14"/>
        <v/>
      </c>
      <c r="CS146" s="210">
        <f>IFERROR(__xludf.DUMMYFUNCTION("AVERAGE(ARRAYFORMULA(XLOOKUP(FILTER(INDIRECT(""'""&amp;CS$1&amp;""'!$C$4:$C$66""),INDIRECT(""'""&amp;CS$1&amp;""'!$D$4:$D$66"")=CS$2),$G$4:$BQ$4,$G146:$BQ146)))"),0.038461538461538464)</f>
        <v>0.03846153846</v>
      </c>
      <c r="CT146" s="207" t="str">
        <f>IFERROR(__xludf.DUMMYFUNCTION("IF(OR(CS146&gt;$BS146+$BT146*$BT$2,CS146&lt;$BS146-$BT146*$BT$2),AVEDEV(ARRAYFORMULA(XLOOKUP(FILTER(INDIRECT(""'""&amp;CS$1&amp;""'!$C$4:$C$66""),INDIRECT(""'""&amp;CS$1&amp;""'!$D$4:$D$66"")=CS$2),$G$4:$BQ$4,$G146:$BQ146))),"""")"),"")</f>
        <v/>
      </c>
      <c r="CU146" s="208" t="str">
        <f t="shared" si="15"/>
        <v/>
      </c>
      <c r="CV146" s="210">
        <f>IFERROR(__xludf.DUMMYFUNCTION("AVERAGE(ARRAYFORMULA(XLOOKUP(FILTER(INDIRECT(""'""&amp;CV$1&amp;""'!$C$4:$C$66""),INDIRECT(""'""&amp;CV$1&amp;""'!$D$4:$D$66"")=CV$2),$G$4:$BQ$4,$G146:$BQ146)))"),-0.55)</f>
        <v>-0.55</v>
      </c>
      <c r="CW146" s="207">
        <f>IFERROR(__xludf.DUMMYFUNCTION("IF(OR(CV146&gt;$BS146+$BT146*$BT$2,CV146&lt;$BS146-$BT146*$BT$2),AVEDEV(ARRAYFORMULA(XLOOKUP(FILTER(INDIRECT(""'""&amp;CV$1&amp;""'!$C$4:$C$66""),INDIRECT(""'""&amp;CV$1&amp;""'!$D$4:$D$66"")=CV$2),$G$4:$BQ$4,$G146:$BQ146))),"""")"),0.16)</f>
        <v>0.16</v>
      </c>
      <c r="CX146" s="208">
        <f t="shared" si="16"/>
        <v>-0.06940035273</v>
      </c>
      <c r="CY146" s="209" t="s">
        <v>444</v>
      </c>
      <c r="CZ146" s="210">
        <f>IFERROR(__xludf.DUMMYFUNCTION("AVERAGE(ARRAYFORMULA(XLOOKUP(FILTER(INDIRECT(""'""&amp;CZ$1&amp;""'!$C$4:$C$66""),INDIRECT(""'""&amp;CZ$1&amp;""'!$D$4:$D$66"")=CZ$2),$G$4:$BQ$4,$G146:$BQ146)))"),0.30357142857142855)</f>
        <v>0.3035714286</v>
      </c>
      <c r="DA146" s="207" t="str">
        <f>IFERROR(__xludf.DUMMYFUNCTION("IF(OR(CZ146&gt;$BS146+$BT146*$BT$2,CZ146&lt;$BS146-$BT146*$BT$2),AVEDEV(ARRAYFORMULA(XLOOKUP(FILTER(INDIRECT(""'""&amp;CZ$1&amp;""'!$C$4:$C$66""),INDIRECT(""'""&amp;CZ$1&amp;""'!$D$4:$D$66"")=CZ$2),$G$4:$BQ$4,$G146:$BQ146))),"""")"),"")</f>
        <v/>
      </c>
      <c r="DB146" s="208" t="str">
        <f t="shared" si="17"/>
        <v/>
      </c>
      <c r="DC146" s="210">
        <f>IFERROR(__xludf.DUMMYFUNCTION("AVERAGE(ARRAYFORMULA(XLOOKUP(FILTER(INDIRECT(""'""&amp;DC$1&amp;""'!$C$4:$C$66""),INDIRECT(""'""&amp;DC$1&amp;""'!$D$4:$D$66"")=DC$2),$G$4:$BQ$4,$G146:$BQ146)))"),-0.4722222222222222)</f>
        <v>-0.4722222222</v>
      </c>
      <c r="DD146" s="207" t="str">
        <f>IFERROR(__xludf.DUMMYFUNCTION("IF(OR(DC146&gt;$BS146+$BT146*$BT$2,DC146&lt;$BS146-$BT146*$BT$2),AVEDEV(ARRAYFORMULA(XLOOKUP(FILTER(INDIRECT(""'""&amp;DC$1&amp;""'!$C$4:$C$66""),INDIRECT(""'""&amp;DC$1&amp;""'!$D$4:$D$66"")=DC$2),$G$4:$BQ$4,$G146:$BQ146))),"""")"),"")</f>
        <v/>
      </c>
      <c r="DE146" s="208" t="str">
        <f t="shared" si="18"/>
        <v/>
      </c>
      <c r="DF146" s="210">
        <f>IFERROR(__xludf.DUMMYFUNCTION("AVERAGE(ARRAYFORMULA(XLOOKUP(FILTER(INDIRECT(""'""&amp;DF$1&amp;""'!$C$4:$C$66""),INDIRECT(""'""&amp;DF$1&amp;""'!$D$4:$D$66"")=DF$2),$G$4:$BQ$4,$G146:$BQ146)))"),-0.09090909090909091)</f>
        <v>-0.09090909091</v>
      </c>
      <c r="DG146" s="207" t="str">
        <f>IFERROR(__xludf.DUMMYFUNCTION("IF(OR(DF146&gt;$BS146+$BT146*$BT$2,DF146&lt;$BS146-$BT146*$BT$2),AVEDEV(ARRAYFORMULA(XLOOKUP(FILTER(INDIRECT(""'""&amp;DF$1&amp;""'!$C$4:$C$66""),INDIRECT(""'""&amp;DF$1&amp;""'!$D$4:$D$66"")=DF$2),$G$4:$BQ$4,$G146:$BQ146))),"""")"),"")</f>
        <v/>
      </c>
      <c r="DH146" s="208" t="str">
        <f t="shared" si="19"/>
        <v/>
      </c>
      <c r="DI146" s="210">
        <f>IFERROR(__xludf.DUMMYFUNCTION("AVERAGE(ARRAYFORMULA(XLOOKUP(FILTER(INDIRECT(""'""&amp;DI$1&amp;""'!$C$4:$C$66""),INDIRECT(""'""&amp;DI$1&amp;""'!$D$4:$D$66"")=DI$2),$G$4:$BQ$4,$G146:$BQ146)))"),0.5)</f>
        <v>0.5</v>
      </c>
      <c r="DJ146" s="207">
        <f>IFERROR(__xludf.DUMMYFUNCTION("IF(OR(DI146&gt;$BS146+$BT146*$BT$2,DI146&lt;$BS146-$BT146*$BT$2),AVEDEV(ARRAYFORMULA(XLOOKUP(FILTER(INDIRECT(""'""&amp;DI$1&amp;""'!$C$4:$C$66""),INDIRECT(""'""&amp;DI$1&amp;""'!$D$4:$D$66"")=DI$2),$G$4:$BQ$4,$G146:$BQ146))),"""")"),0.0)</f>
        <v>0</v>
      </c>
      <c r="DK146" s="208">
        <f t="shared" si="20"/>
        <v>0.0987654321</v>
      </c>
      <c r="DL146" s="210">
        <f>IFERROR(__xludf.DUMMYFUNCTION("AVERAGE(ARRAYFORMULA(XLOOKUP(FILTER(INDIRECT(""'""&amp;DL$1&amp;""'!$C$4:$C$66""),INDIRECT(""'""&amp;DL$1&amp;""'!$D$4:$D$66"")=DL$2),$G$4:$BQ$4,$G146:$BQ146)))"),-0.03571428571428571)</f>
        <v>-0.03571428571</v>
      </c>
      <c r="DM146" s="207" t="str">
        <f>IFERROR(__xludf.DUMMYFUNCTION("IF(OR(DL146&gt;$BS146+$BT146*$BT$2,DL146&lt;$BS146-$BT146*$BT$2),AVEDEV(ARRAYFORMULA(XLOOKUP(FILTER(INDIRECT(""'""&amp;DL$1&amp;""'!$C$4:$C$66""),INDIRECT(""'""&amp;DL$1&amp;""'!$D$4:$D$66"")=DL$2),$G$4:$BQ$4,$G146:$BQ146))),"""")"),"")</f>
        <v/>
      </c>
      <c r="DN146" s="208" t="str">
        <f t="shared" si="21"/>
        <v/>
      </c>
      <c r="DO146" s="209" t="s">
        <v>444</v>
      </c>
      <c r="DP146" s="210">
        <f>IFERROR(__xludf.DUMMYFUNCTION("AVERAGE(ARRAYFORMULA(XLOOKUP(FILTER(INDIRECT(""'""&amp;DP$1&amp;""'!$C$4:$C$66""),INDIRECT(""'""&amp;DP$1&amp;""'!$D$4:$D$66"")=DP$2),$G$4:$BQ$4,$G146:$BQ146)))"),0.10833333333333334)</f>
        <v>0.1083333333</v>
      </c>
      <c r="DQ146" s="207" t="str">
        <f>IFERROR(__xludf.DUMMYFUNCTION("IF(OR(DP146&gt;$BS146+$BT146*$BT$2,DP146&lt;$BS146-$BT146*$BT$2),AVEDEV(ARRAYFORMULA(XLOOKUP(FILTER(INDIRECT(""'""&amp;DP$1&amp;""'!$C$4:$C$66""),INDIRECT(""'""&amp;DP$1&amp;""'!$D$4:$D$66"")=DP$2),$G$4:$BQ$4,$G146:$BQ146))),"""")"),"")</f>
        <v/>
      </c>
      <c r="DR146" s="208" t="str">
        <f t="shared" si="22"/>
        <v/>
      </c>
      <c r="DS146" s="210">
        <f>IFERROR(__xludf.DUMMYFUNCTION("AVERAGE(ARRAYFORMULA(XLOOKUP(FILTER(INDIRECT(""'""&amp;DS$1&amp;""'!$C$4:$C$66""),INDIRECT(""'""&amp;DS$1&amp;""'!$D$4:$D$66"")=DS$2),$G$4:$BQ$4,$G146:$BQ146)))"),-0.3055555555555556)</f>
        <v>-0.3055555556</v>
      </c>
      <c r="DT146" s="207" t="str">
        <f>IFERROR(__xludf.DUMMYFUNCTION("IF(OR(DS146&gt;$BS146+$BT146*$BT$2,DS146&lt;$BS146-$BT146*$BT$2),AVEDEV(ARRAYFORMULA(XLOOKUP(FILTER(INDIRECT(""'""&amp;DS$1&amp;""'!$C$4:$C$66""),INDIRECT(""'""&amp;DS$1&amp;""'!$D$4:$D$66"")=DS$2),$G$4:$BQ$4,$G146:$BQ146))),"""")"),"")</f>
        <v/>
      </c>
      <c r="DU146" s="208" t="str">
        <f t="shared" si="23"/>
        <v/>
      </c>
      <c r="DV146" s="210">
        <f>IFERROR(__xludf.DUMMYFUNCTION("AVERAGE(ARRAYFORMULA(XLOOKUP(FILTER(INDIRECT(""'""&amp;DV$1&amp;""'!$C$4:$C$66""),INDIRECT(""'""&amp;DV$1&amp;""'!$D$4:$D$66"")=DV$2),$G$4:$BQ$4,$G146:$BQ146)))"),-0.03125)</f>
        <v>-0.03125</v>
      </c>
      <c r="DW146" s="207" t="str">
        <f>IFERROR(__xludf.DUMMYFUNCTION("IF(OR(DV146&gt;$BS146+$BT146*$BT$2,DV146&lt;$BS146-$BT146*$BT$2),AVEDEV(ARRAYFORMULA(XLOOKUP(FILTER(INDIRECT(""'""&amp;DV$1&amp;""'!$C$4:$C$66""),INDIRECT(""'""&amp;DV$1&amp;""'!$D$4:$D$66"")=DV$2),$G$4:$BQ$4,$G146:$BQ146))),"""")"),"")</f>
        <v/>
      </c>
      <c r="DX146" s="208" t="str">
        <f t="shared" si="24"/>
        <v/>
      </c>
      <c r="DY146" s="210">
        <f>IFERROR(__xludf.DUMMYFUNCTION("AVERAGE(ARRAYFORMULA(XLOOKUP(FILTER(INDIRECT(""'""&amp;DY$1&amp;""'!$C$4:$C$66""),INDIRECT(""'""&amp;DY$1&amp;""'!$D$4:$D$66"")=DY$2),$G$4:$BQ$4,$G146:$BQ146)))"),-0.2222222222222222)</f>
        <v>-0.2222222222</v>
      </c>
      <c r="DZ146" s="207" t="str">
        <f>IFERROR(__xludf.DUMMYFUNCTION("IF(OR(DY146&gt;$BS146+$BT146*$BT$2,DY146&lt;$BS146-$BT146*$BT$2),AVEDEV(ARRAYFORMULA(XLOOKUP(FILTER(INDIRECT(""'""&amp;DY$1&amp;""'!$C$4:$C$66""),INDIRECT(""'""&amp;DY$1&amp;""'!$D$4:$D$66"")=DY$2),$G$4:$BQ$4,$G146:$BQ146))),"""")"),"")</f>
        <v/>
      </c>
      <c r="EA146" s="208" t="str">
        <f t="shared" si="25"/>
        <v/>
      </c>
      <c r="EB146" s="191"/>
    </row>
    <row r="147" outlineLevel="1">
      <c r="A147" s="2"/>
      <c r="B147" s="204">
        <v>143.0</v>
      </c>
      <c r="C147" s="204" t="s">
        <v>540</v>
      </c>
      <c r="D147" s="204" t="s">
        <v>589</v>
      </c>
      <c r="E147" s="205" t="b">
        <f>VLOOKUP(D147,'Feature Set List'!A143:C246,2,0)</f>
        <v>1</v>
      </c>
      <c r="F147" s="205" t="b">
        <f>VLOOKUP(D147,'Feature Set List'!A143:C246,3,0)</f>
        <v>0</v>
      </c>
      <c r="G147" s="205">
        <v>-0.3333333</v>
      </c>
      <c r="H147" s="205">
        <v>0.0</v>
      </c>
      <c r="I147" s="205">
        <v>0.0</v>
      </c>
      <c r="J147" s="205">
        <v>0.66666667</v>
      </c>
      <c r="K147" s="205">
        <v>4.66666667</v>
      </c>
      <c r="L147" s="205">
        <v>0.66666667</v>
      </c>
      <c r="M147" s="205">
        <v>1.0</v>
      </c>
      <c r="N147" s="205">
        <v>1.66666667</v>
      </c>
      <c r="O147" s="205">
        <v>0.0</v>
      </c>
      <c r="P147" s="205">
        <v>0.33333333</v>
      </c>
      <c r="Q147" s="205">
        <v>0.0</v>
      </c>
      <c r="R147" s="205">
        <v>0.0</v>
      </c>
      <c r="S147" s="205">
        <v>0.0</v>
      </c>
      <c r="T147" s="205">
        <v>0.33333333</v>
      </c>
      <c r="U147" s="205">
        <v>2.0</v>
      </c>
      <c r="V147" s="205">
        <v>0.0</v>
      </c>
      <c r="W147" s="205">
        <v>0.0</v>
      </c>
      <c r="X147" s="205">
        <v>1.66666667</v>
      </c>
      <c r="Y147" s="205">
        <v>0.33333333</v>
      </c>
      <c r="Z147" s="205">
        <v>-1.6666667</v>
      </c>
      <c r="AA147" s="205">
        <v>1.0</v>
      </c>
      <c r="AB147" s="205">
        <v>0.0</v>
      </c>
      <c r="AC147" s="205">
        <v>-1.0</v>
      </c>
      <c r="AD147" s="205">
        <v>0.0</v>
      </c>
      <c r="AE147" s="205">
        <v>2.66666667</v>
      </c>
      <c r="AF147" s="205">
        <v>0.33333333</v>
      </c>
      <c r="AG147" s="205">
        <v>-1.6666667</v>
      </c>
      <c r="AH147" s="205">
        <v>0.66666667</v>
      </c>
      <c r="AI147" s="205">
        <v>-1.0</v>
      </c>
      <c r="AJ147" s="205">
        <v>0.66666667</v>
      </c>
      <c r="AK147" s="205">
        <v>0.0</v>
      </c>
      <c r="AL147" s="205">
        <v>0.0</v>
      </c>
      <c r="AM147" s="205">
        <v>1.66666667</v>
      </c>
      <c r="AN147" s="205">
        <v>-0.6666667</v>
      </c>
      <c r="AO147" s="205">
        <v>1.33333333</v>
      </c>
      <c r="AP147" s="205">
        <v>-1.3333333</v>
      </c>
      <c r="AQ147" s="205">
        <v>-1.6666667</v>
      </c>
      <c r="AR147" s="205">
        <v>-1.6666667</v>
      </c>
      <c r="AS147" s="205">
        <v>1.0</v>
      </c>
      <c r="AT147" s="205">
        <v>3.33333333</v>
      </c>
      <c r="AU147" s="205">
        <v>0.66666667</v>
      </c>
      <c r="AV147" s="205">
        <v>0.0</v>
      </c>
      <c r="AW147" s="205">
        <v>0.0</v>
      </c>
      <c r="AX147" s="205">
        <v>0.0</v>
      </c>
      <c r="AY147" s="205">
        <v>0.0</v>
      </c>
      <c r="AZ147" s="205">
        <v>0.0</v>
      </c>
      <c r="BA147" s="205">
        <v>0.0</v>
      </c>
      <c r="BB147" s="205">
        <v>-1.3333333</v>
      </c>
      <c r="BC147" s="205">
        <v>1.0</v>
      </c>
      <c r="BD147" s="205">
        <v>4.0</v>
      </c>
      <c r="BE147" s="205">
        <v>0.0</v>
      </c>
      <c r="BF147" s="205">
        <v>3.33333333</v>
      </c>
      <c r="BG147" s="205">
        <v>0.0</v>
      </c>
      <c r="BH147" s="205">
        <v>0.0</v>
      </c>
      <c r="BI147" s="205">
        <v>0.66666667</v>
      </c>
      <c r="BJ147" s="205">
        <v>-1.0</v>
      </c>
      <c r="BK147" s="205">
        <v>-1.3333333</v>
      </c>
      <c r="BL147" s="205">
        <v>1.0</v>
      </c>
      <c r="BM147" s="205">
        <v>0.0</v>
      </c>
      <c r="BN147" s="205">
        <v>3.0</v>
      </c>
      <c r="BO147" s="205">
        <v>1.0</v>
      </c>
      <c r="BP147" s="205">
        <v>-0.6666667</v>
      </c>
      <c r="BQ147" s="205">
        <v>0.0</v>
      </c>
      <c r="BR147" s="206"/>
      <c r="BS147" s="207">
        <f t="shared" si="6"/>
        <v>0.4021164013</v>
      </c>
      <c r="BT147" s="207">
        <f t="shared" si="7"/>
        <v>0.9550684486</v>
      </c>
      <c r="BU147" s="206"/>
      <c r="BV147" s="207">
        <f>IFERROR(__xludf.DUMMYFUNCTION("AVERAGE(ARRAYFORMULA(XLOOKUP(FILTER(INDIRECT(""'""&amp;BV$1&amp;""'!$C$4:$C$66""),INDIRECT(""'""&amp;BV$1&amp;""'!$D$4:$D$66"")=BV$2),$G$4:$BQ$4,$G147:$BQ147)))"),0.6666666714285714)</f>
        <v>0.6666666714</v>
      </c>
      <c r="BW147" s="207" t="str">
        <f>IFERROR(__xludf.DUMMYFUNCTION("IF(OR(BV147&gt;$BS147+$BT147*$BT$2,BV147&lt;$BS147-$BT147*$BT$2),AVEDEV(ARRAYFORMULA(XLOOKUP(FILTER(INDIRECT(""'""&amp;BV$1&amp;""'!$C$4:$C$66""),INDIRECT(""'""&amp;BV$1&amp;""'!$D$4:$D$66"")=BV$2),$G$4:$BQ$4,$G147:$BQ147))),"""")"),"")</f>
        <v/>
      </c>
      <c r="BX147" s="208" t="str">
        <f t="shared" si="8"/>
        <v/>
      </c>
      <c r="BY147" s="207">
        <f>IFERROR(__xludf.DUMMYFUNCTION("AVERAGE(ARRAYFORMULA(XLOOKUP(FILTER(INDIRECT(""'""&amp;BY$1&amp;""'!$C$4:$C$66""),INDIRECT(""'""&amp;BY$1&amp;""'!$D$4:$D$66"")=BY$2),$G$4:$BQ$4,$G147:$BQ147)))"),0.31746031476190467)</f>
        <v>0.3174603148</v>
      </c>
      <c r="BZ147" s="207" t="str">
        <f>IFERROR(__xludf.DUMMYFUNCTION("IF(OR(BY147&gt;$BS147+$BT147*$BT$2,BY147&lt;$BS147-$BT147*$BT$2),AVEDEV(ARRAYFORMULA(XLOOKUP(FILTER(INDIRECT(""'""&amp;BY$1&amp;""'!$C$4:$C$66""),INDIRECT(""'""&amp;BY$1&amp;""'!$D$4:$D$66"")=BY$2),$G$4:$BQ$4,$G147:$BQ147))),"""")"),"")</f>
        <v/>
      </c>
      <c r="CA147" s="208" t="str">
        <f t="shared" si="9"/>
        <v/>
      </c>
      <c r="CB147" s="207">
        <f>IFERROR(__xludf.DUMMYFUNCTION("AVERAGE(ARRAYFORMULA(XLOOKUP(FILTER(INDIRECT(""'""&amp;CB$1&amp;""'!$C$4:$C$66""),INDIRECT(""'""&amp;CB$1&amp;""'!$D$4:$D$66"")=CB$2),$G$4:$BQ$4,$G147:$BQ147)))"),0.2424242445454545)</f>
        <v>0.2424242445</v>
      </c>
      <c r="CC147" s="207" t="str">
        <f>IFERROR(__xludf.DUMMYFUNCTION("IF(OR(CB147&gt;$BS147+$BT147*$BT$2,CB147&lt;$BS147-$BT147*$BT$2),AVEDEV(ARRAYFORMULA(XLOOKUP(FILTER(INDIRECT(""'""&amp;CB$1&amp;""'!$C$4:$C$66""),INDIRECT(""'""&amp;CB$1&amp;""'!$D$4:$D$66"")=CB$2),$G$4:$BQ$4,$G147:$BQ147))),"""")"),"")</f>
        <v/>
      </c>
      <c r="CD147" s="208" t="str">
        <f t="shared" si="10"/>
        <v/>
      </c>
      <c r="CE147" s="209" t="s">
        <v>444</v>
      </c>
      <c r="CF147" s="207">
        <f>IFERROR(__xludf.DUMMYFUNCTION("AVERAGE(ARRAYFORMULA(XLOOKUP(FILTER(INDIRECT(""'""&amp;CF$1&amp;""'!$C$4:$C$66""),INDIRECT(""'""&amp;CF$1&amp;""'!$D$4:$D$66"")=CF$2),$G$4:$BQ$4,$G147:$BQ147)))"),0.70833333375)</f>
        <v>0.7083333338</v>
      </c>
      <c r="CG147" s="207" t="str">
        <f>IFERROR(__xludf.DUMMYFUNCTION("IF(OR(CF147&gt;$BS147+$BT147*$BT$2,CF147&lt;$BS147-$BT147*$BT$2),AVEDEV(ARRAYFORMULA(XLOOKUP(FILTER(INDIRECT(""'""&amp;CF$1&amp;""'!$C$4:$C$66""),INDIRECT(""'""&amp;CF$1&amp;""'!$D$4:$D$66"")=CF$2),$G$4:$BQ$4,$G147:$BQ147))),"""")"),"")</f>
        <v/>
      </c>
      <c r="CH147" s="208" t="str">
        <f t="shared" si="11"/>
        <v/>
      </c>
      <c r="CI147" s="207">
        <f>IFERROR(__xludf.DUMMYFUNCTION("AVERAGE(ARRAYFORMULA(XLOOKUP(FILTER(INDIRECT(""'""&amp;CI$1&amp;""'!$C$4:$C$66""),INDIRECT(""'""&amp;CI$1&amp;""'!$D$4:$D$66"")=CI$2),$G$4:$BQ$4,$G147:$BQ147)))"),0.15053763258064515)</f>
        <v>0.1505376326</v>
      </c>
      <c r="CJ147" s="207" t="str">
        <f>IFERROR(__xludf.DUMMYFUNCTION("IF(OR(CI147&gt;$BS147+$BT147*$BT$2,CI147&lt;$BS147-$BT147*$BT$2),AVEDEV(ARRAYFORMULA(XLOOKUP(FILTER(INDIRECT(""'""&amp;CI$1&amp;""'!$C$4:$C$66""),INDIRECT(""'""&amp;CI$1&amp;""'!$D$4:$D$66"")=CI$2),$G$4:$BQ$4,$G147:$BQ147))),"""")"),"")</f>
        <v/>
      </c>
      <c r="CK147" s="208" t="str">
        <f t="shared" si="12"/>
        <v/>
      </c>
      <c r="CL147" s="207">
        <f>IFERROR(__xludf.DUMMYFUNCTION("AVERAGE(ARRAYFORMULA(XLOOKUP(FILTER(INDIRECT(""'""&amp;CL$1&amp;""'!$C$4:$C$66""),INDIRECT(""'""&amp;CL$1&amp;""'!$D$4:$D$66"")=CL$2),$G$4:$BQ$4,$G147:$BQ147)))"),0.3333333319999999)</f>
        <v>0.333333332</v>
      </c>
      <c r="CM147" s="207" t="str">
        <f>IFERROR(__xludf.DUMMYFUNCTION("IF(OR(CL147&gt;$BS147+$BT147*$BT$2,CL147&lt;$BS147-$BT147*$BT$2),AVEDEV(ARRAYFORMULA(XLOOKUP(FILTER(INDIRECT(""'""&amp;CL$1&amp;""'!$C$4:$C$66""),INDIRECT(""'""&amp;CL$1&amp;""'!$D$4:$D$66"")=CL$2),$G$4:$BQ$4,$G147:$BQ147))),"""")"),"")</f>
        <v/>
      </c>
      <c r="CN147" s="208" t="str">
        <f t="shared" si="13"/>
        <v/>
      </c>
      <c r="CO147" s="209" t="s">
        <v>444</v>
      </c>
      <c r="CP147" s="210">
        <f>IFERROR(__xludf.DUMMYFUNCTION("AVERAGE(ARRAYFORMULA(XLOOKUP(FILTER(INDIRECT(""'""&amp;CP$1&amp;""'!$C$4:$C$66""),INDIRECT(""'""&amp;CP$1&amp;""'!$D$4:$D$66"")=CP$2),$G$4:$BQ$4,$G147:$BQ147)))"),0.7777777826666666)</f>
        <v>0.7777777827</v>
      </c>
      <c r="CQ147" s="207" t="str">
        <f>IFERROR(__xludf.DUMMYFUNCTION("IF(OR(CP147&gt;$BS147+$BT147*$BT$2,CP147&lt;$BS147-$BT147*$BT$2),AVEDEV(ARRAYFORMULA(XLOOKUP(FILTER(INDIRECT(""'""&amp;CP$1&amp;""'!$C$4:$C$66""),INDIRECT(""'""&amp;CP$1&amp;""'!$D$4:$D$66"")=CP$2),$G$4:$BQ$4,$G147:$BQ147))),"""")"),"")</f>
        <v/>
      </c>
      <c r="CR147" s="208" t="str">
        <f t="shared" si="14"/>
        <v/>
      </c>
      <c r="CS147" s="210">
        <f>IFERROR(__xludf.DUMMYFUNCTION("AVERAGE(ARRAYFORMULA(XLOOKUP(FILTER(INDIRECT(""'""&amp;CS$1&amp;""'!$C$4:$C$66""),INDIRECT(""'""&amp;CS$1&amp;""'!$D$4:$D$66"")=CS$2),$G$4:$BQ$4,$G147:$BQ147)))"),0.16239315923076922)</f>
        <v>0.1623931592</v>
      </c>
      <c r="CT147" s="207" t="str">
        <f>IFERROR(__xludf.DUMMYFUNCTION("IF(OR(CS147&gt;$BS147+$BT147*$BT$2,CS147&lt;$BS147-$BT147*$BT$2),AVEDEV(ARRAYFORMULA(XLOOKUP(FILTER(INDIRECT(""'""&amp;CS$1&amp;""'!$C$4:$C$66""),INDIRECT(""'""&amp;CS$1&amp;""'!$D$4:$D$66"")=CS$2),$G$4:$BQ$4,$G147:$BQ147))),"""")"),"")</f>
        <v/>
      </c>
      <c r="CU147" s="208" t="str">
        <f t="shared" si="15"/>
        <v/>
      </c>
      <c r="CV147" s="210">
        <f>IFERROR(__xludf.DUMMYFUNCTION("AVERAGE(ARRAYFORMULA(XLOOKUP(FILTER(INDIRECT(""'""&amp;CV$1&amp;""'!$C$4:$C$66""),INDIRECT(""'""&amp;CV$1&amp;""'!$D$4:$D$66"")=CV$2),$G$4:$BQ$4,$G147:$BQ147)))"),0.3333333319999999)</f>
        <v>0.333333332</v>
      </c>
      <c r="CW147" s="207" t="str">
        <f>IFERROR(__xludf.DUMMYFUNCTION("IF(OR(CV147&gt;$BS147+$BT147*$BT$2,CV147&lt;$BS147-$BT147*$BT$2),AVEDEV(ARRAYFORMULA(XLOOKUP(FILTER(INDIRECT(""'""&amp;CV$1&amp;""'!$C$4:$C$66""),INDIRECT(""'""&amp;CV$1&amp;""'!$D$4:$D$66"")=CV$2),$G$4:$BQ$4,$G147:$BQ147))),"""")"),"")</f>
        <v/>
      </c>
      <c r="CX147" s="208" t="str">
        <f t="shared" si="16"/>
        <v/>
      </c>
      <c r="CY147" s="209" t="s">
        <v>444</v>
      </c>
      <c r="CZ147" s="210">
        <f>IFERROR(__xludf.DUMMYFUNCTION("AVERAGE(ARRAYFORMULA(XLOOKUP(FILTER(INDIRECT(""'""&amp;CZ$1&amp;""'!$C$4:$C$66""),INDIRECT(""'""&amp;CZ$1&amp;""'!$D$4:$D$66"")=CZ$2),$G$4:$BQ$4,$G147:$BQ147)))"),0.0952380957142857)</f>
        <v>0.09523809571</v>
      </c>
      <c r="DA147" s="207" t="str">
        <f>IFERROR(__xludf.DUMMYFUNCTION("IF(OR(CZ147&gt;$BS147+$BT147*$BT$2,CZ147&lt;$BS147-$BT147*$BT$2),AVEDEV(ARRAYFORMULA(XLOOKUP(FILTER(INDIRECT(""'""&amp;CZ$1&amp;""'!$C$4:$C$66""),INDIRECT(""'""&amp;CZ$1&amp;""'!$D$4:$D$66"")=CZ$2),$G$4:$BQ$4,$G147:$BQ147))),"""")"),"")</f>
        <v/>
      </c>
      <c r="DB147" s="208" t="str">
        <f t="shared" si="17"/>
        <v/>
      </c>
      <c r="DC147" s="210">
        <f>IFERROR(__xludf.DUMMYFUNCTION("AVERAGE(ARRAYFORMULA(XLOOKUP(FILTER(INDIRECT(""'""&amp;DC$1&amp;""'!$C$4:$C$66""),INDIRECT(""'""&amp;DC$1&amp;""'!$D$4:$D$66"")=DC$2),$G$4:$BQ$4,$G147:$BQ147)))"),0.29629629888888886)</f>
        <v>0.2962962989</v>
      </c>
      <c r="DD147" s="207" t="str">
        <f>IFERROR(__xludf.DUMMYFUNCTION("IF(OR(DC147&gt;$BS147+$BT147*$BT$2,DC147&lt;$BS147-$BT147*$BT$2),AVEDEV(ARRAYFORMULA(XLOOKUP(FILTER(INDIRECT(""'""&amp;DC$1&amp;""'!$C$4:$C$66""),INDIRECT(""'""&amp;DC$1&amp;""'!$D$4:$D$66"")=DC$2),$G$4:$BQ$4,$G147:$BQ147))),"""")"),"")</f>
        <v/>
      </c>
      <c r="DE147" s="208" t="str">
        <f t="shared" si="18"/>
        <v/>
      </c>
      <c r="DF147" s="210">
        <f>IFERROR(__xludf.DUMMYFUNCTION("AVERAGE(ARRAYFORMULA(XLOOKUP(FILTER(INDIRECT(""'""&amp;DF$1&amp;""'!$C$4:$C$66""),INDIRECT(""'""&amp;DF$1&amp;""'!$D$4:$D$66"")=DF$2),$G$4:$BQ$4,$G147:$BQ147)))"),0.6060606063636363)</f>
        <v>0.6060606064</v>
      </c>
      <c r="DG147" s="207" t="str">
        <f>IFERROR(__xludf.DUMMYFUNCTION("IF(OR(DF147&gt;$BS147+$BT147*$BT$2,DF147&lt;$BS147-$BT147*$BT$2),AVEDEV(ARRAYFORMULA(XLOOKUP(FILTER(INDIRECT(""'""&amp;DF$1&amp;""'!$C$4:$C$66""),INDIRECT(""'""&amp;DF$1&amp;""'!$D$4:$D$66"")=DF$2),$G$4:$BQ$4,$G147:$BQ147))),"""")"),"")</f>
        <v/>
      </c>
      <c r="DH147" s="208" t="str">
        <f t="shared" si="19"/>
        <v/>
      </c>
      <c r="DI147" s="210">
        <f>IFERROR(__xludf.DUMMYFUNCTION("AVERAGE(ARRAYFORMULA(XLOOKUP(FILTER(INDIRECT(""'""&amp;DI$1&amp;""'!$C$4:$C$66""),INDIRECT(""'""&amp;DI$1&amp;""'!$D$4:$D$66"")=DI$2),$G$4:$BQ$4,$G147:$BQ147)))"),0.0)</f>
        <v>0</v>
      </c>
      <c r="DJ147" s="207" t="str">
        <f>IFERROR(__xludf.DUMMYFUNCTION("IF(OR(DI147&gt;$BS147+$BT147*$BT$2,DI147&lt;$BS147-$BT147*$BT$2),AVEDEV(ARRAYFORMULA(XLOOKUP(FILTER(INDIRECT(""'""&amp;DI$1&amp;""'!$C$4:$C$66""),INDIRECT(""'""&amp;DI$1&amp;""'!$D$4:$D$66"")=DI$2),$G$4:$BQ$4,$G147:$BQ147))),"""")"),"")</f>
        <v/>
      </c>
      <c r="DK147" s="208" t="str">
        <f t="shared" si="20"/>
        <v/>
      </c>
      <c r="DL147" s="210">
        <f>IFERROR(__xludf.DUMMYFUNCTION("AVERAGE(ARRAYFORMULA(XLOOKUP(FILTER(INDIRECT(""'""&amp;DL$1&amp;""'!$C$4:$C$66""),INDIRECT(""'""&amp;DL$1&amp;""'!$D$4:$D$66"")=DL$2),$G$4:$BQ$4,$G147:$BQ147)))"),-0.02380953285714283)</f>
        <v>-0.02380953286</v>
      </c>
      <c r="DM147" s="207" t="str">
        <f>IFERROR(__xludf.DUMMYFUNCTION("IF(OR(DL147&gt;$BS147+$BT147*$BT$2,DL147&lt;$BS147-$BT147*$BT$2),AVEDEV(ARRAYFORMULA(XLOOKUP(FILTER(INDIRECT(""'""&amp;DL$1&amp;""'!$C$4:$C$66""),INDIRECT(""'""&amp;DL$1&amp;""'!$D$4:$D$66"")=DL$2),$G$4:$BQ$4,$G147:$BQ147))),"""")"),"")</f>
        <v/>
      </c>
      <c r="DN147" s="208" t="str">
        <f t="shared" si="21"/>
        <v/>
      </c>
      <c r="DO147" s="209" t="s">
        <v>444</v>
      </c>
      <c r="DP147" s="210">
        <f>IFERROR(__xludf.DUMMYFUNCTION("AVERAGE(ARRAYFORMULA(XLOOKUP(FILTER(INDIRECT(""'""&amp;DP$1&amp;""'!$C$4:$C$66""),INDIRECT(""'""&amp;DP$1&amp;""'!$D$4:$D$66"")=DP$2),$G$4:$BQ$4,$G147:$BQ147)))"),0.17777777599999994)</f>
        <v>0.177777776</v>
      </c>
      <c r="DQ147" s="207" t="str">
        <f>IFERROR(__xludf.DUMMYFUNCTION("IF(OR(DP147&gt;$BS147+$BT147*$BT$2,DP147&lt;$BS147-$BT147*$BT$2),AVEDEV(ARRAYFORMULA(XLOOKUP(FILTER(INDIRECT(""'""&amp;DP$1&amp;""'!$C$4:$C$66""),INDIRECT(""'""&amp;DP$1&amp;""'!$D$4:$D$66"")=DP$2),$G$4:$BQ$4,$G147:$BQ147))),"""")"),"")</f>
        <v/>
      </c>
      <c r="DR147" s="208" t="str">
        <f t="shared" si="22"/>
        <v/>
      </c>
      <c r="DS147" s="210">
        <f>IFERROR(__xludf.DUMMYFUNCTION("AVERAGE(ARRAYFORMULA(XLOOKUP(FILTER(INDIRECT(""'""&amp;DS$1&amp;""'!$C$4:$C$66""),INDIRECT(""'""&amp;DS$1&amp;""'!$D$4:$D$66"")=DS$2),$G$4:$BQ$4,$G147:$BQ147)))"),0.22222222555555554)</f>
        <v>0.2222222256</v>
      </c>
      <c r="DT147" s="207" t="str">
        <f>IFERROR(__xludf.DUMMYFUNCTION("IF(OR(DS147&gt;$BS147+$BT147*$BT$2,DS147&lt;$BS147-$BT147*$BT$2),AVEDEV(ARRAYFORMULA(XLOOKUP(FILTER(INDIRECT(""'""&amp;DS$1&amp;""'!$C$4:$C$66""),INDIRECT(""'""&amp;DS$1&amp;""'!$D$4:$D$66"")=DS$2),$G$4:$BQ$4,$G147:$BQ147))),"""")"),"")</f>
        <v/>
      </c>
      <c r="DU147" s="208" t="str">
        <f t="shared" si="23"/>
        <v/>
      </c>
      <c r="DV147" s="210">
        <f>IFERROR(__xludf.DUMMYFUNCTION("AVERAGE(ARRAYFORMULA(XLOOKUP(FILTER(INDIRECT(""'""&amp;DV$1&amp;""'!$C$4:$C$66""),INDIRECT(""'""&amp;DV$1&amp;""'!$D$4:$D$66"")=DV$2),$G$4:$BQ$4,$G147:$BQ147)))"),0.45833333375)</f>
        <v>0.4583333338</v>
      </c>
      <c r="DW147" s="207" t="str">
        <f>IFERROR(__xludf.DUMMYFUNCTION("IF(OR(DV147&gt;$BS147+$BT147*$BT$2,DV147&lt;$BS147-$BT147*$BT$2),AVEDEV(ARRAYFORMULA(XLOOKUP(FILTER(INDIRECT(""'""&amp;DV$1&amp;""'!$C$4:$C$66""),INDIRECT(""'""&amp;DV$1&amp;""'!$D$4:$D$66"")=DV$2),$G$4:$BQ$4,$G147:$BQ147))),"""")"),"")</f>
        <v/>
      </c>
      <c r="DX147" s="208" t="str">
        <f t="shared" si="24"/>
        <v/>
      </c>
      <c r="DY147" s="210">
        <f>IFERROR(__xludf.DUMMYFUNCTION("AVERAGE(ARRAYFORMULA(XLOOKUP(FILTER(INDIRECT(""'""&amp;DY$1&amp;""'!$C$4:$C$66""),INDIRECT(""'""&amp;DY$1&amp;""'!$D$4:$D$66"")=DY$2),$G$4:$BQ$4,$G147:$BQ147)))"),0.8148148144444445)</f>
        <v>0.8148148144</v>
      </c>
      <c r="DZ147" s="207" t="str">
        <f>IFERROR(__xludf.DUMMYFUNCTION("IF(OR(DY147&gt;$BS147+$BT147*$BT$2,DY147&lt;$BS147-$BT147*$BT$2),AVEDEV(ARRAYFORMULA(XLOOKUP(FILTER(INDIRECT(""'""&amp;DY$1&amp;""'!$C$4:$C$66""),INDIRECT(""'""&amp;DY$1&amp;""'!$D$4:$D$66"")=DY$2),$G$4:$BQ$4,$G147:$BQ147))),"""")"),"")</f>
        <v/>
      </c>
      <c r="EA147" s="208" t="str">
        <f t="shared" si="25"/>
        <v/>
      </c>
      <c r="EB147" s="191"/>
    </row>
    <row r="148" outlineLevel="1">
      <c r="A148" s="2"/>
      <c r="B148" s="204">
        <v>144.0</v>
      </c>
      <c r="C148" s="204" t="s">
        <v>540</v>
      </c>
      <c r="D148" s="204" t="s">
        <v>590</v>
      </c>
      <c r="E148" s="205" t="b">
        <f>VLOOKUP(D148,'Feature Set List'!A144:C246,2,0)</f>
        <v>1</v>
      </c>
      <c r="F148" s="205" t="b">
        <f>VLOOKUP(D148,'Feature Set List'!A144:C246,3,0)</f>
        <v>0</v>
      </c>
      <c r="G148" s="205">
        <v>0.0</v>
      </c>
      <c r="H148" s="205">
        <v>1.66666667</v>
      </c>
      <c r="I148" s="205">
        <v>1.66666667</v>
      </c>
      <c r="J148" s="205">
        <v>0.0</v>
      </c>
      <c r="K148" s="205">
        <v>2.66666667</v>
      </c>
      <c r="L148" s="205">
        <v>1.0</v>
      </c>
      <c r="M148" s="205">
        <v>-0.3333333</v>
      </c>
      <c r="N148" s="205">
        <v>0.0</v>
      </c>
      <c r="O148" s="205">
        <v>1.66666667</v>
      </c>
      <c r="P148" s="205">
        <v>-0.3333333</v>
      </c>
      <c r="Q148" s="205">
        <v>0.0</v>
      </c>
      <c r="R148" s="205">
        <v>1.66666667</v>
      </c>
      <c r="S148" s="205">
        <v>1.66666667</v>
      </c>
      <c r="T148" s="205">
        <v>0.33333333</v>
      </c>
      <c r="U148" s="205">
        <v>1.66666667</v>
      </c>
      <c r="V148" s="205">
        <v>0.0</v>
      </c>
      <c r="W148" s="205">
        <v>-0.3333333</v>
      </c>
      <c r="X148" s="205">
        <v>0.0</v>
      </c>
      <c r="Y148" s="205">
        <v>0.0</v>
      </c>
      <c r="Z148" s="205">
        <v>0.0</v>
      </c>
      <c r="AA148" s="205">
        <v>0.33333333</v>
      </c>
      <c r="AB148" s="205">
        <v>0.0</v>
      </c>
      <c r="AC148" s="205">
        <v>0.0</v>
      </c>
      <c r="AD148" s="205">
        <v>0.0</v>
      </c>
      <c r="AE148" s="205">
        <v>0.0</v>
      </c>
      <c r="AF148" s="205">
        <v>0.0</v>
      </c>
      <c r="AG148" s="205">
        <v>0.0</v>
      </c>
      <c r="AH148" s="205">
        <v>0.33333333</v>
      </c>
      <c r="AI148" s="205">
        <v>-0.6666667</v>
      </c>
      <c r="AJ148" s="205">
        <v>1.66666667</v>
      </c>
      <c r="AK148" s="205">
        <v>0.0</v>
      </c>
      <c r="AL148" s="205">
        <v>0.0</v>
      </c>
      <c r="AM148" s="205">
        <v>0.0</v>
      </c>
      <c r="AN148" s="205">
        <v>0.0</v>
      </c>
      <c r="AO148" s="205">
        <v>1.0</v>
      </c>
      <c r="AP148" s="205">
        <v>0.0</v>
      </c>
      <c r="AQ148" s="205">
        <v>0.0</v>
      </c>
      <c r="AR148" s="205">
        <v>0.0</v>
      </c>
      <c r="AS148" s="205">
        <v>1.0</v>
      </c>
      <c r="AT148" s="205">
        <v>1.66666667</v>
      </c>
      <c r="AU148" s="205">
        <v>-1.3333333</v>
      </c>
      <c r="AV148" s="205">
        <v>1.66666667</v>
      </c>
      <c r="AW148" s="205">
        <v>0.0</v>
      </c>
      <c r="AX148" s="205">
        <v>0.0</v>
      </c>
      <c r="AY148" s="205">
        <v>0.0</v>
      </c>
      <c r="AZ148" s="205">
        <v>1.66666667</v>
      </c>
      <c r="BA148" s="205">
        <v>-0.3333333</v>
      </c>
      <c r="BB148" s="205">
        <v>0.0</v>
      </c>
      <c r="BC148" s="205">
        <v>0.0</v>
      </c>
      <c r="BD148" s="205">
        <v>2.33333333</v>
      </c>
      <c r="BE148" s="205">
        <v>1.66666667</v>
      </c>
      <c r="BF148" s="205">
        <v>1.66666667</v>
      </c>
      <c r="BG148" s="205">
        <v>0.0</v>
      </c>
      <c r="BH148" s="205">
        <v>0.0</v>
      </c>
      <c r="BI148" s="205">
        <v>0.0</v>
      </c>
      <c r="BJ148" s="205">
        <v>0.0</v>
      </c>
      <c r="BK148" s="205">
        <v>0.0</v>
      </c>
      <c r="BL148" s="205">
        <v>-0.3333333</v>
      </c>
      <c r="BM148" s="205">
        <v>0.0</v>
      </c>
      <c r="BN148" s="205">
        <v>1.0</v>
      </c>
      <c r="BO148" s="205">
        <v>1.33333333</v>
      </c>
      <c r="BP148" s="205">
        <v>0.0</v>
      </c>
      <c r="BQ148" s="205">
        <v>0.66666667</v>
      </c>
      <c r="BR148" s="206"/>
      <c r="BS148" s="207">
        <f t="shared" si="6"/>
        <v>0.4497354529</v>
      </c>
      <c r="BT148" s="207">
        <f t="shared" si="7"/>
        <v>0.6985806661</v>
      </c>
      <c r="BU148" s="206"/>
      <c r="BV148" s="207">
        <f>IFERROR(__xludf.DUMMYFUNCTION("AVERAGE(ARRAYFORMULA(XLOOKUP(FILTER(INDIRECT(""'""&amp;BV$1&amp;""'!$C$4:$C$66""),INDIRECT(""'""&amp;BV$1&amp;""'!$D$4:$D$66"")=BV$2),$G$4:$BQ$4,$G148:$BQ148)))"),0.5714285771428571)</f>
        <v>0.5714285771</v>
      </c>
      <c r="BW148" s="207" t="str">
        <f>IFERROR(__xludf.DUMMYFUNCTION("IF(OR(BV148&gt;$BS148+$BT148*$BT$2,BV148&lt;$BS148-$BT148*$BT$2),AVEDEV(ARRAYFORMULA(XLOOKUP(FILTER(INDIRECT(""'""&amp;BV$1&amp;""'!$C$4:$C$66""),INDIRECT(""'""&amp;BV$1&amp;""'!$D$4:$D$66"")=BV$2),$G$4:$BQ$4,$G148:$BQ148))),"""")"),"")</f>
        <v/>
      </c>
      <c r="BX148" s="208" t="str">
        <f t="shared" si="8"/>
        <v/>
      </c>
      <c r="BY148" s="207">
        <f>IFERROR(__xludf.DUMMYFUNCTION("AVERAGE(ARRAYFORMULA(XLOOKUP(FILTER(INDIRECT(""'""&amp;BY$1&amp;""'!$C$4:$C$66""),INDIRECT(""'""&amp;BY$1&amp;""'!$D$4:$D$66"")=BY$2),$G$4:$BQ$4,$G148:$BQ148)))"),0.47619047595238095)</f>
        <v>0.476190476</v>
      </c>
      <c r="BZ148" s="207" t="str">
        <f>IFERROR(__xludf.DUMMYFUNCTION("IF(OR(BY148&gt;$BS148+$BT148*$BT$2,BY148&lt;$BS148-$BT148*$BT$2),AVEDEV(ARRAYFORMULA(XLOOKUP(FILTER(INDIRECT(""'""&amp;BY$1&amp;""'!$C$4:$C$66""),INDIRECT(""'""&amp;BY$1&amp;""'!$D$4:$D$66"")=BY$2),$G$4:$BQ$4,$G148:$BQ148))),"""")"),"")</f>
        <v/>
      </c>
      <c r="CA148" s="208" t="str">
        <f t="shared" si="9"/>
        <v/>
      </c>
      <c r="CB148" s="207">
        <f>IFERROR(__xludf.DUMMYFUNCTION("AVERAGE(ARRAYFORMULA(XLOOKUP(FILTER(INDIRECT(""'""&amp;CB$1&amp;""'!$C$4:$C$66""),INDIRECT(""'""&amp;CB$1&amp;""'!$D$4:$D$66"")=CB$2),$G$4:$BQ$4,$G148:$BQ148)))"),0.15151516363636358)</f>
        <v>0.1515151636</v>
      </c>
      <c r="CC148" s="207" t="str">
        <f>IFERROR(__xludf.DUMMYFUNCTION("IF(OR(CB148&gt;$BS148+$BT148*$BT$2,CB148&lt;$BS148-$BT148*$BT$2),AVEDEV(ARRAYFORMULA(XLOOKUP(FILTER(INDIRECT(""'""&amp;CB$1&amp;""'!$C$4:$C$66""),INDIRECT(""'""&amp;CB$1&amp;""'!$D$4:$D$66"")=CB$2),$G$4:$BQ$4,$G148:$BQ148))),"""")"),"")</f>
        <v/>
      </c>
      <c r="CD148" s="208" t="str">
        <f t="shared" si="10"/>
        <v/>
      </c>
      <c r="CE148" s="209" t="s">
        <v>444</v>
      </c>
      <c r="CF148" s="207">
        <f>IFERROR(__xludf.DUMMYFUNCTION("AVERAGE(ARRAYFORMULA(XLOOKUP(FILTER(INDIRECT(""'""&amp;CF$1&amp;""'!$C$4:$C$66""),INDIRECT(""'""&amp;CF$1&amp;""'!$D$4:$D$66"")=CF$2),$G$4:$BQ$4,$G148:$BQ148)))"),0.541666665625)</f>
        <v>0.5416666656</v>
      </c>
      <c r="CG148" s="207" t="str">
        <f>IFERROR(__xludf.DUMMYFUNCTION("IF(OR(CF148&gt;$BS148+$BT148*$BT$2,CF148&lt;$BS148-$BT148*$BT$2),AVEDEV(ARRAYFORMULA(XLOOKUP(FILTER(INDIRECT(""'""&amp;CF$1&amp;""'!$C$4:$C$66""),INDIRECT(""'""&amp;CF$1&amp;""'!$D$4:$D$66"")=CF$2),$G$4:$BQ$4,$G148:$BQ148))),"""")"),"")</f>
        <v/>
      </c>
      <c r="CH148" s="208" t="str">
        <f t="shared" si="11"/>
        <v/>
      </c>
      <c r="CI148" s="207">
        <f>IFERROR(__xludf.DUMMYFUNCTION("AVERAGE(ARRAYFORMULA(XLOOKUP(FILTER(INDIRECT(""'""&amp;CI$1&amp;""'!$C$4:$C$66""),INDIRECT(""'""&amp;CI$1&amp;""'!$D$4:$D$66"")=CI$2),$G$4:$BQ$4,$G148:$BQ148)))"),0.46236559419354833)</f>
        <v>0.4623655942</v>
      </c>
      <c r="CJ148" s="207" t="str">
        <f>IFERROR(__xludf.DUMMYFUNCTION("IF(OR(CI148&gt;$BS148+$BT148*$BT$2,CI148&lt;$BS148-$BT148*$BT$2),AVEDEV(ARRAYFORMULA(XLOOKUP(FILTER(INDIRECT(""'""&amp;CI$1&amp;""'!$C$4:$C$66""),INDIRECT(""'""&amp;CI$1&amp;""'!$D$4:$D$66"")=CI$2),$G$4:$BQ$4,$G148:$BQ148))),"""")"),"")</f>
        <v/>
      </c>
      <c r="CK148" s="208" t="str">
        <f t="shared" si="12"/>
        <v/>
      </c>
      <c r="CL148" s="207">
        <f>IFERROR(__xludf.DUMMYFUNCTION("AVERAGE(ARRAYFORMULA(XLOOKUP(FILTER(INDIRECT(""'""&amp;CL$1&amp;""'!$C$4:$C$66""),INDIRECT(""'""&amp;CL$1&amp;""'!$D$4:$D$66"")=CL$2),$G$4:$BQ$4,$G148:$BQ148)))"),0.133333346)</f>
        <v>0.133333346</v>
      </c>
      <c r="CM148" s="207" t="str">
        <f>IFERROR(__xludf.DUMMYFUNCTION("IF(OR(CL148&gt;$BS148+$BT148*$BT$2,CL148&lt;$BS148-$BT148*$BT$2),AVEDEV(ARRAYFORMULA(XLOOKUP(FILTER(INDIRECT(""'""&amp;CL$1&amp;""'!$C$4:$C$66""),INDIRECT(""'""&amp;CL$1&amp;""'!$D$4:$D$66"")=CL$2),$G$4:$BQ$4,$G148:$BQ148))),"""")"),"")</f>
        <v/>
      </c>
      <c r="CN148" s="208" t="str">
        <f t="shared" si="13"/>
        <v/>
      </c>
      <c r="CO148" s="209" t="s">
        <v>444</v>
      </c>
      <c r="CP148" s="210">
        <f>IFERROR(__xludf.DUMMYFUNCTION("AVERAGE(ARRAYFORMULA(XLOOKUP(FILTER(INDIRECT(""'""&amp;CP$1&amp;""'!$C$4:$C$66""),INDIRECT(""'""&amp;CP$1&amp;""'!$D$4:$D$66"")=CP$2),$G$4:$BQ$4,$G148:$BQ148)))"),0.4666666666666667)</f>
        <v>0.4666666667</v>
      </c>
      <c r="CQ148" s="207" t="str">
        <f>IFERROR(__xludf.DUMMYFUNCTION("IF(OR(CP148&gt;$BS148+$BT148*$BT$2,CP148&lt;$BS148-$BT148*$BT$2),AVEDEV(ARRAYFORMULA(XLOOKUP(FILTER(INDIRECT(""'""&amp;CP$1&amp;""'!$C$4:$C$66""),INDIRECT(""'""&amp;CP$1&amp;""'!$D$4:$D$66"")=CP$2),$G$4:$BQ$4,$G148:$BQ148))),"""")"),"")</f>
        <v/>
      </c>
      <c r="CR148" s="208" t="str">
        <f t="shared" si="14"/>
        <v/>
      </c>
      <c r="CS148" s="210">
        <f>IFERROR(__xludf.DUMMYFUNCTION("AVERAGE(ARRAYFORMULA(XLOOKUP(FILTER(INDIRECT(""'""&amp;CS$1&amp;""'!$C$4:$C$66""),INDIRECT(""'""&amp;CS$1&amp;""'!$D$4:$D$66"")=CS$2),$G$4:$BQ$4,$G148:$BQ148)))"),0.4700854717948718)</f>
        <v>0.4700854718</v>
      </c>
      <c r="CT148" s="207" t="str">
        <f>IFERROR(__xludf.DUMMYFUNCTION("IF(OR(CS148&gt;$BS148+$BT148*$BT$2,CS148&lt;$BS148-$BT148*$BT$2),AVEDEV(ARRAYFORMULA(XLOOKUP(FILTER(INDIRECT(""'""&amp;CS$1&amp;""'!$C$4:$C$66""),INDIRECT(""'""&amp;CS$1&amp;""'!$D$4:$D$66"")=CS$2),$G$4:$BQ$4,$G148:$BQ148))),"""")"),"")</f>
        <v/>
      </c>
      <c r="CU148" s="208" t="str">
        <f t="shared" si="15"/>
        <v/>
      </c>
      <c r="CV148" s="210">
        <f>IFERROR(__xludf.DUMMYFUNCTION("AVERAGE(ARRAYFORMULA(XLOOKUP(FILTER(INDIRECT(""'""&amp;CV$1&amp;""'!$C$4:$C$66""),INDIRECT(""'""&amp;CV$1&amp;""'!$D$4:$D$66"")=CV$2),$G$4:$BQ$4,$G148:$BQ148)))"),0.133333346)</f>
        <v>0.133333346</v>
      </c>
      <c r="CW148" s="207" t="str">
        <f>IFERROR(__xludf.DUMMYFUNCTION("IF(OR(CV148&gt;$BS148+$BT148*$BT$2,CV148&lt;$BS148-$BT148*$BT$2),AVEDEV(ARRAYFORMULA(XLOOKUP(FILTER(INDIRECT(""'""&amp;CV$1&amp;""'!$C$4:$C$66""),INDIRECT(""'""&amp;CV$1&amp;""'!$D$4:$D$66"")=CV$2),$G$4:$BQ$4,$G148:$BQ148))),"""")"),"")</f>
        <v/>
      </c>
      <c r="CX148" s="208" t="str">
        <f t="shared" si="16"/>
        <v/>
      </c>
      <c r="CY148" s="209" t="s">
        <v>444</v>
      </c>
      <c r="CZ148" s="210">
        <f>IFERROR(__xludf.DUMMYFUNCTION("AVERAGE(ARRAYFORMULA(XLOOKUP(FILTER(INDIRECT(""'""&amp;CZ$1&amp;""'!$C$4:$C$66""),INDIRECT(""'""&amp;CZ$1&amp;""'!$D$4:$D$66"")=CZ$2),$G$4:$BQ$4,$G148:$BQ148)))"),0.19047618857142856)</f>
        <v>0.1904761886</v>
      </c>
      <c r="DA148" s="207" t="str">
        <f>IFERROR(__xludf.DUMMYFUNCTION("IF(OR(CZ148&gt;$BS148+$BT148*$BT$2,CZ148&lt;$BS148-$BT148*$BT$2),AVEDEV(ARRAYFORMULA(XLOOKUP(FILTER(INDIRECT(""'""&amp;CZ$1&amp;""'!$C$4:$C$66""),INDIRECT(""'""&amp;CZ$1&amp;""'!$D$4:$D$66"")=CZ$2),$G$4:$BQ$4,$G148:$BQ148))),"""")"),"")</f>
        <v/>
      </c>
      <c r="DB148" s="208" t="str">
        <f t="shared" si="17"/>
        <v/>
      </c>
      <c r="DC148" s="210">
        <f>IFERROR(__xludf.DUMMYFUNCTION("AVERAGE(ARRAYFORMULA(XLOOKUP(FILTER(INDIRECT(""'""&amp;DC$1&amp;""'!$C$4:$C$66""),INDIRECT(""'""&amp;DC$1&amp;""'!$D$4:$D$66"")=DC$2),$G$4:$BQ$4,$G148:$BQ148)))"),1.4444444436841527E-8)</f>
        <v>0.00000001444444444</v>
      </c>
      <c r="DD148" s="207" t="str">
        <f>IFERROR(__xludf.DUMMYFUNCTION("IF(OR(DC148&gt;$BS148+$BT148*$BT$2,DC148&lt;$BS148-$BT148*$BT$2),AVEDEV(ARRAYFORMULA(XLOOKUP(FILTER(INDIRECT(""'""&amp;DC$1&amp;""'!$C$4:$C$66""),INDIRECT(""'""&amp;DC$1&amp;""'!$D$4:$D$66"")=DC$2),$G$4:$BQ$4,$G148:$BQ148))),"""")"),"")</f>
        <v/>
      </c>
      <c r="DE148" s="208" t="str">
        <f t="shared" si="18"/>
        <v/>
      </c>
      <c r="DF148" s="210">
        <f>IFERROR(__xludf.DUMMYFUNCTION("AVERAGE(ARRAYFORMULA(XLOOKUP(FILTER(INDIRECT(""'""&amp;DF$1&amp;""'!$C$4:$C$66""),INDIRECT(""'""&amp;DF$1&amp;""'!$D$4:$D$66"")=DF$2),$G$4:$BQ$4,$G148:$BQ148)))"),0.7878787881818181)</f>
        <v>0.7878787882</v>
      </c>
      <c r="DG148" s="207" t="str">
        <f>IFERROR(__xludf.DUMMYFUNCTION("IF(OR(DF148&gt;$BS148+$BT148*$BT$2,DF148&lt;$BS148-$BT148*$BT$2),AVEDEV(ARRAYFORMULA(XLOOKUP(FILTER(INDIRECT(""'""&amp;DF$1&amp;""'!$C$4:$C$66""),INDIRECT(""'""&amp;DF$1&amp;""'!$D$4:$D$66"")=DF$2),$G$4:$BQ$4,$G148:$BQ148))),"""")"),"")</f>
        <v/>
      </c>
      <c r="DH148" s="208" t="str">
        <f t="shared" si="19"/>
        <v/>
      </c>
      <c r="DI148" s="210">
        <f>IFERROR(__xludf.DUMMYFUNCTION("AVERAGE(ARRAYFORMULA(XLOOKUP(FILTER(INDIRECT(""'""&amp;DI$1&amp;""'!$C$4:$C$66""),INDIRECT(""'""&amp;DI$1&amp;""'!$D$4:$D$66"")=DI$2),$G$4:$BQ$4,$G148:$BQ148)))"),0.0)</f>
        <v>0</v>
      </c>
      <c r="DJ148" s="207" t="str">
        <f>IFERROR(__xludf.DUMMYFUNCTION("IF(OR(DI148&gt;$BS148+$BT148*$BT$2,DI148&lt;$BS148-$BT148*$BT$2),AVEDEV(ARRAYFORMULA(XLOOKUP(FILTER(INDIRECT(""'""&amp;DI$1&amp;""'!$C$4:$C$66""),INDIRECT(""'""&amp;DI$1&amp;""'!$D$4:$D$66"")=DI$2),$G$4:$BQ$4,$G148:$BQ148))),"""")"),"")</f>
        <v/>
      </c>
      <c r="DK148" s="208" t="str">
        <f t="shared" si="20"/>
        <v/>
      </c>
      <c r="DL148" s="210">
        <f>IFERROR(__xludf.DUMMYFUNCTION("AVERAGE(ARRAYFORMULA(XLOOKUP(FILTER(INDIRECT(""'""&amp;DL$1&amp;""'!$C$4:$C$66""),INDIRECT(""'""&amp;DL$1&amp;""'!$D$4:$D$66"")=DL$2),$G$4:$BQ$4,$G148:$BQ148)))"),0.4761904771428571)</f>
        <v>0.4761904771</v>
      </c>
      <c r="DM148" s="207" t="str">
        <f>IFERROR(__xludf.DUMMYFUNCTION("IF(OR(DL148&gt;$BS148+$BT148*$BT$2,DL148&lt;$BS148-$BT148*$BT$2),AVEDEV(ARRAYFORMULA(XLOOKUP(FILTER(INDIRECT(""'""&amp;DL$1&amp;""'!$C$4:$C$66""),INDIRECT(""'""&amp;DL$1&amp;""'!$D$4:$D$66"")=DL$2),$G$4:$BQ$4,$G148:$BQ148))),"""")"),"")</f>
        <v/>
      </c>
      <c r="DN148" s="208" t="str">
        <f t="shared" si="21"/>
        <v/>
      </c>
      <c r="DO148" s="209" t="s">
        <v>444</v>
      </c>
      <c r="DP148" s="210">
        <f>IFERROR(__xludf.DUMMYFUNCTION("AVERAGE(ARRAYFORMULA(XLOOKUP(FILTER(INDIRECT(""'""&amp;DP$1&amp;""'!$C$4:$C$66""),INDIRECT(""'""&amp;DP$1&amp;""'!$D$4:$D$66"")=DP$2),$G$4:$BQ$4,$G148:$BQ148)))"),0.32222222166666664)</f>
        <v>0.3222222217</v>
      </c>
      <c r="DQ148" s="207" t="str">
        <f>IFERROR(__xludf.DUMMYFUNCTION("IF(OR(DP148&gt;$BS148+$BT148*$BT$2,DP148&lt;$BS148-$BT148*$BT$2),AVEDEV(ARRAYFORMULA(XLOOKUP(FILTER(INDIRECT(""'""&amp;DP$1&amp;""'!$C$4:$C$66""),INDIRECT(""'""&amp;DP$1&amp;""'!$D$4:$D$66"")=DP$2),$G$4:$BQ$4,$G148:$BQ148))),"""")"),"")</f>
        <v/>
      </c>
      <c r="DR148" s="208" t="str">
        <f t="shared" si="22"/>
        <v/>
      </c>
      <c r="DS148" s="210">
        <f>IFERROR(__xludf.DUMMYFUNCTION("AVERAGE(ARRAYFORMULA(XLOOKUP(FILTER(INDIRECT(""'""&amp;DS$1&amp;""'!$C$4:$C$66""),INDIRECT(""'""&amp;DS$1&amp;""'!$D$4:$D$66"")=DS$2),$G$4:$BQ$4,$G148:$BQ148)))"),0.18518519999999997)</f>
        <v>0.1851852</v>
      </c>
      <c r="DT148" s="207" t="str">
        <f>IFERROR(__xludf.DUMMYFUNCTION("IF(OR(DS148&gt;$BS148+$BT148*$BT$2,DS148&lt;$BS148-$BT148*$BT$2),AVEDEV(ARRAYFORMULA(XLOOKUP(FILTER(INDIRECT(""'""&amp;DS$1&amp;""'!$C$4:$C$66""),INDIRECT(""'""&amp;DS$1&amp;""'!$D$4:$D$66"")=DS$2),$G$4:$BQ$4,$G148:$BQ148))),"""")"),"")</f>
        <v/>
      </c>
      <c r="DU148" s="208" t="str">
        <f t="shared" si="23"/>
        <v/>
      </c>
      <c r="DV148" s="210">
        <f>IFERROR(__xludf.DUMMYFUNCTION("AVERAGE(ARRAYFORMULA(XLOOKUP(FILTER(INDIRECT(""'""&amp;DV$1&amp;""'!$C$4:$C$66""),INDIRECT(""'""&amp;DV$1&amp;""'!$D$4:$D$66"")=DV$2),$G$4:$BQ$4,$G148:$BQ148)))"),1.29166666875)</f>
        <v>1.291666669</v>
      </c>
      <c r="DW148" s="207">
        <f>IFERROR(__xludf.DUMMYFUNCTION("IF(OR(DV148&gt;$BS148+$BT148*$BT$2,DV148&lt;$BS148-$BT148*$BT$2),AVEDEV(ARRAYFORMULA(XLOOKUP(FILTER(INDIRECT(""'""&amp;DV$1&amp;""'!$C$4:$C$66""),INDIRECT(""'""&amp;DV$1&amp;""'!$D$4:$D$66"")=DV$2),$G$4:$BQ$4,$G148:$BQ148))),"""")"),0.5625000018749999)</f>
        <v>0.5625000019</v>
      </c>
      <c r="DX148" s="208">
        <f t="shared" si="24"/>
        <v>0.1433505498</v>
      </c>
      <c r="DY148" s="210">
        <f>IFERROR(__xludf.DUMMYFUNCTION("AVERAGE(ARRAYFORMULA(XLOOKUP(FILTER(INDIRECT(""'""&amp;DY$1&amp;""'!$C$4:$C$66""),INDIRECT(""'""&amp;DY$1&amp;""'!$D$4:$D$66"")=DY$2),$G$4:$BQ$4,$G148:$BQ148)))"),0.37037037000000006)</f>
        <v>0.37037037</v>
      </c>
      <c r="DZ148" s="207" t="str">
        <f>IFERROR(__xludf.DUMMYFUNCTION("IF(OR(DY148&gt;$BS148+$BT148*$BT$2,DY148&lt;$BS148-$BT148*$BT$2),AVEDEV(ARRAYFORMULA(XLOOKUP(FILTER(INDIRECT(""'""&amp;DY$1&amp;""'!$C$4:$C$66""),INDIRECT(""'""&amp;DY$1&amp;""'!$D$4:$D$66"")=DY$2),$G$4:$BQ$4,$G148:$BQ148))),"""")"),"")</f>
        <v/>
      </c>
      <c r="EA148" s="208" t="str">
        <f t="shared" si="25"/>
        <v/>
      </c>
      <c r="EB148" s="191"/>
    </row>
    <row r="149" outlineLevel="1">
      <c r="A149" s="2"/>
      <c r="B149" s="204">
        <v>145.0</v>
      </c>
      <c r="C149" s="204" t="s">
        <v>540</v>
      </c>
      <c r="D149" s="204" t="s">
        <v>591</v>
      </c>
      <c r="E149" s="205" t="b">
        <f>VLOOKUP(D149,'Feature Set List'!A145:C246,2,0)</f>
        <v>1</v>
      </c>
      <c r="F149" s="205" t="b">
        <f>VLOOKUP(D149,'Feature Set List'!A145:C246,3,0)</f>
        <v>0</v>
      </c>
      <c r="G149" s="205">
        <v>-1.0</v>
      </c>
      <c r="H149" s="205">
        <v>1.0</v>
      </c>
      <c r="I149" s="205">
        <v>3.0</v>
      </c>
      <c r="J149" s="205">
        <v>0.0</v>
      </c>
      <c r="K149" s="205">
        <v>-1.0</v>
      </c>
      <c r="L149" s="205">
        <v>-1.0</v>
      </c>
      <c r="M149" s="205">
        <v>-1.0</v>
      </c>
      <c r="N149" s="205">
        <v>3.0</v>
      </c>
      <c r="O149" s="205">
        <v>0.0</v>
      </c>
      <c r="P149" s="205">
        <v>-1.0</v>
      </c>
      <c r="Q149" s="205">
        <v>0.0</v>
      </c>
      <c r="R149" s="205">
        <v>0.0</v>
      </c>
      <c r="S149" s="205">
        <v>3.0</v>
      </c>
      <c r="T149" s="205">
        <v>0.0</v>
      </c>
      <c r="U149" s="205">
        <v>0.0</v>
      </c>
      <c r="V149" s="205">
        <v>0.0</v>
      </c>
      <c r="W149" s="205">
        <v>-1.0</v>
      </c>
      <c r="X149" s="205">
        <v>-1.0</v>
      </c>
      <c r="Y149" s="205">
        <v>-1.0</v>
      </c>
      <c r="Z149" s="205">
        <v>0.0</v>
      </c>
      <c r="AA149" s="205">
        <v>-1.0</v>
      </c>
      <c r="AB149" s="205">
        <v>0.0</v>
      </c>
      <c r="AC149" s="205">
        <v>-1.0</v>
      </c>
      <c r="AD149" s="205">
        <v>1.0</v>
      </c>
      <c r="AE149" s="205">
        <v>3.0</v>
      </c>
      <c r="AF149" s="205">
        <v>-1.0</v>
      </c>
      <c r="AG149" s="205">
        <v>0.0</v>
      </c>
      <c r="AH149" s="205">
        <v>-1.0</v>
      </c>
      <c r="AI149" s="205">
        <v>-1.0</v>
      </c>
      <c r="AJ149" s="205">
        <v>-1.0</v>
      </c>
      <c r="AK149" s="205">
        <v>2.95</v>
      </c>
      <c r="AL149" s="205">
        <v>0.0</v>
      </c>
      <c r="AM149" s="205">
        <v>-1.0</v>
      </c>
      <c r="AN149" s="205">
        <v>-0.6</v>
      </c>
      <c r="AO149" s="205">
        <v>3.0</v>
      </c>
      <c r="AP149" s="205">
        <v>0.0</v>
      </c>
      <c r="AQ149" s="205">
        <v>3.0</v>
      </c>
      <c r="AR149" s="205">
        <v>-1.0</v>
      </c>
      <c r="AS149" s="205">
        <v>0.0</v>
      </c>
      <c r="AT149" s="205">
        <v>3.0</v>
      </c>
      <c r="AU149" s="205">
        <v>0.0</v>
      </c>
      <c r="AV149" s="205">
        <v>0.0</v>
      </c>
      <c r="AW149" s="205">
        <v>0.0</v>
      </c>
      <c r="AX149" s="205">
        <v>0.0</v>
      </c>
      <c r="AY149" s="205">
        <v>2.95</v>
      </c>
      <c r="AZ149" s="205">
        <v>0.0</v>
      </c>
      <c r="BA149" s="205">
        <v>-1.0</v>
      </c>
      <c r="BB149" s="205">
        <v>0.0</v>
      </c>
      <c r="BC149" s="205">
        <v>-0.6</v>
      </c>
      <c r="BD149" s="205">
        <v>-1.0</v>
      </c>
      <c r="BE149" s="205">
        <v>1.0</v>
      </c>
      <c r="BF149" s="205">
        <v>0.0</v>
      </c>
      <c r="BG149" s="205">
        <v>-1.0</v>
      </c>
      <c r="BH149" s="205">
        <v>1.0</v>
      </c>
      <c r="BI149" s="205">
        <v>0.0</v>
      </c>
      <c r="BJ149" s="205">
        <v>-0.6</v>
      </c>
      <c r="BK149" s="205">
        <v>-1.0</v>
      </c>
      <c r="BL149" s="205">
        <v>0.0</v>
      </c>
      <c r="BM149" s="205">
        <v>-1.0</v>
      </c>
      <c r="BN149" s="205">
        <v>-1.0</v>
      </c>
      <c r="BO149" s="205">
        <v>-1.0</v>
      </c>
      <c r="BP149" s="205">
        <v>-1.0</v>
      </c>
      <c r="BQ149" s="205">
        <v>-1.0</v>
      </c>
      <c r="BR149" s="206"/>
      <c r="BS149" s="207">
        <f t="shared" si="6"/>
        <v>0.06507936508</v>
      </c>
      <c r="BT149" s="207">
        <f t="shared" si="7"/>
        <v>0.9540942303</v>
      </c>
      <c r="BU149" s="206"/>
      <c r="BV149" s="207">
        <f>IFERROR(__xludf.DUMMYFUNCTION("AVERAGE(ARRAYFORMULA(XLOOKUP(FILTER(INDIRECT(""'""&amp;BV$1&amp;""'!$C$4:$C$66""),INDIRECT(""'""&amp;BV$1&amp;""'!$D$4:$D$66"")=BV$2),$G$4:$BQ$4,$G149:$BQ149)))"),0.85)</f>
        <v>0.85</v>
      </c>
      <c r="BW149" s="207" t="str">
        <f>IFERROR(__xludf.DUMMYFUNCTION("IF(OR(BV149&gt;$BS149+$BT149*$BT$2,BV149&lt;$BS149-$BT149*$BT$2),AVEDEV(ARRAYFORMULA(XLOOKUP(FILTER(INDIRECT(""'""&amp;BV$1&amp;""'!$C$4:$C$66""),INDIRECT(""'""&amp;BV$1&amp;""'!$D$4:$D$66"")=BV$2),$G$4:$BQ$4,$G149:$BQ149))),"""")"),"")</f>
        <v/>
      </c>
      <c r="BX149" s="208" t="str">
        <f t="shared" si="8"/>
        <v/>
      </c>
      <c r="BY149" s="207">
        <f>IFERROR(__xludf.DUMMYFUNCTION("AVERAGE(ARRAYFORMULA(XLOOKUP(FILTER(INDIRECT(""'""&amp;BY$1&amp;""'!$C$4:$C$66""),INDIRECT(""'""&amp;BY$1&amp;""'!$D$4:$D$66"")=BY$2),$G$4:$BQ$4,$G149:$BQ149)))"),0.12261904761904763)</f>
        <v>0.1226190476</v>
      </c>
      <c r="BZ149" s="207" t="str">
        <f>IFERROR(__xludf.DUMMYFUNCTION("IF(OR(BY149&gt;$BS149+$BT149*$BT$2,BY149&lt;$BS149-$BT149*$BT$2),AVEDEV(ARRAYFORMULA(XLOOKUP(FILTER(INDIRECT(""'""&amp;BY$1&amp;""'!$C$4:$C$66""),INDIRECT(""'""&amp;BY$1&amp;""'!$D$4:$D$66"")=BY$2),$G$4:$BQ$4,$G149:$BQ149))),"""")"),"")</f>
        <v/>
      </c>
      <c r="CA149" s="208" t="str">
        <f t="shared" si="9"/>
        <v/>
      </c>
      <c r="CB149" s="207">
        <f>IFERROR(__xludf.DUMMYFUNCTION("AVERAGE(ARRAYFORMULA(XLOOKUP(FILTER(INDIRECT(""'""&amp;CB$1&amp;""'!$C$4:$C$66""),INDIRECT(""'""&amp;CB$1&amp;""'!$D$4:$D$66"")=CB$2),$G$4:$BQ$4,$G149:$BQ149)))"),-0.8181818181818182)</f>
        <v>-0.8181818182</v>
      </c>
      <c r="CC149" s="207" t="str">
        <f>IFERROR(__xludf.DUMMYFUNCTION("IF(OR(CB149&gt;$BS149+$BT149*$BT$2,CB149&lt;$BS149-$BT149*$BT$2),AVEDEV(ARRAYFORMULA(XLOOKUP(FILTER(INDIRECT(""'""&amp;CB$1&amp;""'!$C$4:$C$66""),INDIRECT(""'""&amp;CB$1&amp;""'!$D$4:$D$66"")=CB$2),$G$4:$BQ$4,$G149:$BQ149))),"""")"),"")</f>
        <v/>
      </c>
      <c r="CD149" s="208" t="str">
        <f t="shared" si="10"/>
        <v/>
      </c>
      <c r="CE149" s="209" t="s">
        <v>444</v>
      </c>
      <c r="CF149" s="207">
        <f>IFERROR(__xludf.DUMMYFUNCTION("AVERAGE(ARRAYFORMULA(XLOOKUP(FILTER(INDIRECT(""'""&amp;CF$1&amp;""'!$C$4:$C$66""),INDIRECT(""'""&amp;CF$1&amp;""'!$D$4:$D$66"")=CF$2),$G$4:$BQ$4,$G149:$BQ149)))"),0.871875)</f>
        <v>0.871875</v>
      </c>
      <c r="CG149" s="207" t="str">
        <f>IFERROR(__xludf.DUMMYFUNCTION("IF(OR(CF149&gt;$BS149+$BT149*$BT$2,CF149&lt;$BS149-$BT149*$BT$2),AVEDEV(ARRAYFORMULA(XLOOKUP(FILTER(INDIRECT(""'""&amp;CF$1&amp;""'!$C$4:$C$66""),INDIRECT(""'""&amp;CF$1&amp;""'!$D$4:$D$66"")=CF$2),$G$4:$BQ$4,$G149:$BQ149))),"""")"),"")</f>
        <v/>
      </c>
      <c r="CH149" s="208" t="str">
        <f t="shared" si="11"/>
        <v/>
      </c>
      <c r="CI149" s="207">
        <f>IFERROR(__xludf.DUMMYFUNCTION("AVERAGE(ARRAYFORMULA(XLOOKUP(FILTER(INDIRECT(""'""&amp;CI$1&amp;""'!$C$4:$C$66""),INDIRECT(""'""&amp;CI$1&amp;""'!$D$4:$D$66"")=CI$2),$G$4:$BQ$4,$G149:$BQ149)))"),-0.22096774193548385)</f>
        <v>-0.2209677419</v>
      </c>
      <c r="CJ149" s="207" t="str">
        <f>IFERROR(__xludf.DUMMYFUNCTION("IF(OR(CI149&gt;$BS149+$BT149*$BT$2,CI149&lt;$BS149-$BT149*$BT$2),AVEDEV(ARRAYFORMULA(XLOOKUP(FILTER(INDIRECT(""'""&amp;CI$1&amp;""'!$C$4:$C$66""),INDIRECT(""'""&amp;CI$1&amp;""'!$D$4:$D$66"")=CI$2),$G$4:$BQ$4,$G149:$BQ149))),"""")"),"")</f>
        <v/>
      </c>
      <c r="CK149" s="208" t="str">
        <f t="shared" si="12"/>
        <v/>
      </c>
      <c r="CL149" s="207">
        <f>IFERROR(__xludf.DUMMYFUNCTION("AVERAGE(ARRAYFORMULA(XLOOKUP(FILTER(INDIRECT(""'""&amp;CL$1&amp;""'!$C$4:$C$66""),INDIRECT(""'""&amp;CL$1&amp;""'!$D$4:$D$66"")=CL$2),$G$4:$BQ$4,$G149:$BQ149)))"),-0.6)</f>
        <v>-0.6</v>
      </c>
      <c r="CM149" s="207" t="str">
        <f>IFERROR(__xludf.DUMMYFUNCTION("IF(OR(CL149&gt;$BS149+$BT149*$BT$2,CL149&lt;$BS149-$BT149*$BT$2),AVEDEV(ARRAYFORMULA(XLOOKUP(FILTER(INDIRECT(""'""&amp;CL$1&amp;""'!$C$4:$C$66""),INDIRECT(""'""&amp;CL$1&amp;""'!$D$4:$D$66"")=CL$2),$G$4:$BQ$4,$G149:$BQ149))),"""")"),"")</f>
        <v/>
      </c>
      <c r="CN149" s="208" t="str">
        <f t="shared" si="13"/>
        <v/>
      </c>
      <c r="CO149" s="209" t="s">
        <v>444</v>
      </c>
      <c r="CP149" s="210">
        <f>IFERROR(__xludf.DUMMYFUNCTION("AVERAGE(ARRAYFORMULA(XLOOKUP(FILTER(INDIRECT(""'""&amp;CP$1&amp;""'!$C$4:$C$66""),INDIRECT(""'""&amp;CP$1&amp;""'!$D$4:$D$66"")=CP$2),$G$4:$BQ$4,$G149:$BQ149)))"),0.13333333333333333)</f>
        <v>0.1333333333</v>
      </c>
      <c r="CQ149" s="207" t="str">
        <f>IFERROR(__xludf.DUMMYFUNCTION("IF(OR(CP149&gt;$BS149+$BT149*$BT$2,CP149&lt;$BS149-$BT149*$BT$2),AVEDEV(ARRAYFORMULA(XLOOKUP(FILTER(INDIRECT(""'""&amp;CP$1&amp;""'!$C$4:$C$66""),INDIRECT(""'""&amp;CP$1&amp;""'!$D$4:$D$66"")=CP$2),$G$4:$BQ$4,$G149:$BQ149))),"""")"),"")</f>
        <v/>
      </c>
      <c r="CR149" s="208" t="str">
        <f t="shared" si="14"/>
        <v/>
      </c>
      <c r="CS149" s="210">
        <f>IFERROR(__xludf.DUMMYFUNCTION("AVERAGE(ARRAYFORMULA(XLOOKUP(FILTER(INDIRECT(""'""&amp;CS$1&amp;""'!$C$4:$C$66""),INDIRECT(""'""&amp;CS$1&amp;""'!$D$4:$D$66"")=CS$2),$G$4:$BQ$4,$G149:$BQ149)))"),0.07948717948717952)</f>
        <v>0.07948717949</v>
      </c>
      <c r="CT149" s="207" t="str">
        <f>IFERROR(__xludf.DUMMYFUNCTION("IF(OR(CS149&gt;$BS149+$BT149*$BT$2,CS149&lt;$BS149-$BT149*$BT$2),AVEDEV(ARRAYFORMULA(XLOOKUP(FILTER(INDIRECT(""'""&amp;CS$1&amp;""'!$C$4:$C$66""),INDIRECT(""'""&amp;CS$1&amp;""'!$D$4:$D$66"")=CS$2),$G$4:$BQ$4,$G149:$BQ149))),"""")"),"")</f>
        <v/>
      </c>
      <c r="CU149" s="208" t="str">
        <f t="shared" si="15"/>
        <v/>
      </c>
      <c r="CV149" s="210">
        <f>IFERROR(__xludf.DUMMYFUNCTION("AVERAGE(ARRAYFORMULA(XLOOKUP(FILTER(INDIRECT(""'""&amp;CV$1&amp;""'!$C$4:$C$66""),INDIRECT(""'""&amp;CV$1&amp;""'!$D$4:$D$66"")=CV$2),$G$4:$BQ$4,$G149:$BQ149)))"),-0.6)</f>
        <v>-0.6</v>
      </c>
      <c r="CW149" s="207" t="str">
        <f>IFERROR(__xludf.DUMMYFUNCTION("IF(OR(CV149&gt;$BS149+$BT149*$BT$2,CV149&lt;$BS149-$BT149*$BT$2),AVEDEV(ARRAYFORMULA(XLOOKUP(FILTER(INDIRECT(""'""&amp;CV$1&amp;""'!$C$4:$C$66""),INDIRECT(""'""&amp;CV$1&amp;""'!$D$4:$D$66"")=CV$2),$G$4:$BQ$4,$G149:$BQ149))),"""")"),"")</f>
        <v/>
      </c>
      <c r="CX149" s="208" t="str">
        <f t="shared" si="16"/>
        <v/>
      </c>
      <c r="CY149" s="209" t="s">
        <v>444</v>
      </c>
      <c r="CZ149" s="210">
        <f>IFERROR(__xludf.DUMMYFUNCTION("AVERAGE(ARRAYFORMULA(XLOOKUP(FILTER(INDIRECT(""'""&amp;CZ$1&amp;""'!$C$4:$C$66""),INDIRECT(""'""&amp;CZ$1&amp;""'!$D$4:$D$66"")=CZ$2),$G$4:$BQ$4,$G149:$BQ149)))"),0.7821428571428571)</f>
        <v>0.7821428571</v>
      </c>
      <c r="DA149" s="207" t="str">
        <f>IFERROR(__xludf.DUMMYFUNCTION("IF(OR(CZ149&gt;$BS149+$BT149*$BT$2,CZ149&lt;$BS149-$BT149*$BT$2),AVEDEV(ARRAYFORMULA(XLOOKUP(FILTER(INDIRECT(""'""&amp;CZ$1&amp;""'!$C$4:$C$66""),INDIRECT(""'""&amp;CZ$1&amp;""'!$D$4:$D$66"")=CZ$2),$G$4:$BQ$4,$G149:$BQ149))),"""")"),"")</f>
        <v/>
      </c>
      <c r="DB149" s="208" t="str">
        <f t="shared" si="17"/>
        <v/>
      </c>
      <c r="DC149" s="210">
        <f>IFERROR(__xludf.DUMMYFUNCTION("AVERAGE(ARRAYFORMULA(XLOOKUP(FILTER(INDIRECT(""'""&amp;DC$1&amp;""'!$C$4:$C$66""),INDIRECT(""'""&amp;DC$1&amp;""'!$D$4:$D$66"")=DC$2),$G$4:$BQ$4,$G149:$BQ149)))"),-0.8888888888888888)</f>
        <v>-0.8888888889</v>
      </c>
      <c r="DD149" s="207" t="str">
        <f>IFERROR(__xludf.DUMMYFUNCTION("IF(OR(DC149&gt;$BS149+$BT149*$BT$2,DC149&lt;$BS149-$BT149*$BT$2),AVEDEV(ARRAYFORMULA(XLOOKUP(FILTER(INDIRECT(""'""&amp;DC$1&amp;""'!$C$4:$C$66""),INDIRECT(""'""&amp;DC$1&amp;""'!$D$4:$D$66"")=DC$2),$G$4:$BQ$4,$G149:$BQ149))),"""")"),"")</f>
        <v/>
      </c>
      <c r="DE149" s="208" t="str">
        <f t="shared" si="18"/>
        <v/>
      </c>
      <c r="DF149" s="210">
        <f>IFERROR(__xludf.DUMMYFUNCTION("AVERAGE(ARRAYFORMULA(XLOOKUP(FILTER(INDIRECT(""'""&amp;DF$1&amp;""'!$C$4:$C$66""),INDIRECT(""'""&amp;DF$1&amp;""'!$D$4:$D$66"")=DF$2),$G$4:$BQ$4,$G149:$BQ149)))"),0.0)</f>
        <v>0</v>
      </c>
      <c r="DG149" s="207" t="str">
        <f>IFERROR(__xludf.DUMMYFUNCTION("IF(OR(DF149&gt;$BS149+$BT149*$BT$2,DF149&lt;$BS149-$BT149*$BT$2),AVEDEV(ARRAYFORMULA(XLOOKUP(FILTER(INDIRECT(""'""&amp;DF$1&amp;""'!$C$4:$C$66""),INDIRECT(""'""&amp;DF$1&amp;""'!$D$4:$D$66"")=DF$2),$G$4:$BQ$4,$G149:$BQ149))),"""")"),"")</f>
        <v/>
      </c>
      <c r="DH149" s="208" t="str">
        <f t="shared" si="19"/>
        <v/>
      </c>
      <c r="DI149" s="210">
        <f>IFERROR(__xludf.DUMMYFUNCTION("AVERAGE(ARRAYFORMULA(XLOOKUP(FILTER(INDIRECT(""'""&amp;DI$1&amp;""'!$C$4:$C$66""),INDIRECT(""'""&amp;DI$1&amp;""'!$D$4:$D$66"")=DI$2),$G$4:$BQ$4,$G149:$BQ149)))"),1.0)</f>
        <v>1</v>
      </c>
      <c r="DJ149" s="207" t="str">
        <f>IFERROR(__xludf.DUMMYFUNCTION("IF(OR(DI149&gt;$BS149+$BT149*$BT$2,DI149&lt;$BS149-$BT149*$BT$2),AVEDEV(ARRAYFORMULA(XLOOKUP(FILTER(INDIRECT(""'""&amp;DI$1&amp;""'!$C$4:$C$66""),INDIRECT(""'""&amp;DI$1&amp;""'!$D$4:$D$66"")=DI$2),$G$4:$BQ$4,$G149:$BQ149))),"""")"),"")</f>
        <v/>
      </c>
      <c r="DK149" s="208" t="str">
        <f t="shared" si="20"/>
        <v/>
      </c>
      <c r="DL149" s="210">
        <f>IFERROR(__xludf.DUMMYFUNCTION("AVERAGE(ARRAYFORMULA(XLOOKUP(FILTER(INDIRECT(""'""&amp;DL$1&amp;""'!$C$4:$C$66""),INDIRECT(""'""&amp;DL$1&amp;""'!$D$4:$D$66"")=DL$2),$G$4:$BQ$4,$G149:$BQ149)))"),-0.4857142857142857)</f>
        <v>-0.4857142857</v>
      </c>
      <c r="DM149" s="207" t="str">
        <f>IFERROR(__xludf.DUMMYFUNCTION("IF(OR(DL149&gt;$BS149+$BT149*$BT$2,DL149&lt;$BS149-$BT149*$BT$2),AVEDEV(ARRAYFORMULA(XLOOKUP(FILTER(INDIRECT(""'""&amp;DL$1&amp;""'!$C$4:$C$66""),INDIRECT(""'""&amp;DL$1&amp;""'!$D$4:$D$66"")=DL$2),$G$4:$BQ$4,$G149:$BQ149))),"""")"),"")</f>
        <v/>
      </c>
      <c r="DN149" s="208" t="str">
        <f t="shared" si="21"/>
        <v/>
      </c>
      <c r="DO149" s="209" t="s">
        <v>444</v>
      </c>
      <c r="DP149" s="210">
        <f>IFERROR(__xludf.DUMMYFUNCTION("AVERAGE(ARRAYFORMULA(XLOOKUP(FILTER(INDIRECT(""'""&amp;DP$1&amp;""'!$C$4:$C$66""),INDIRECT(""'""&amp;DP$1&amp;""'!$D$4:$D$66"")=DP$2),$G$4:$BQ$4,$G149:$BQ149)))"),0.23833333333333334)</f>
        <v>0.2383333333</v>
      </c>
      <c r="DQ149" s="207" t="str">
        <f>IFERROR(__xludf.DUMMYFUNCTION("IF(OR(DP149&gt;$BS149+$BT149*$BT$2,DP149&lt;$BS149-$BT149*$BT$2),AVEDEV(ARRAYFORMULA(XLOOKUP(FILTER(INDIRECT(""'""&amp;DP$1&amp;""'!$C$4:$C$66""),INDIRECT(""'""&amp;DP$1&amp;""'!$D$4:$D$66"")=DP$2),$G$4:$BQ$4,$G149:$BQ149))),"""")"),"")</f>
        <v/>
      </c>
      <c r="DR149" s="208" t="str">
        <f t="shared" si="22"/>
        <v/>
      </c>
      <c r="DS149" s="210">
        <f>IFERROR(__xludf.DUMMYFUNCTION("AVERAGE(ARRAYFORMULA(XLOOKUP(FILTER(INDIRECT(""'""&amp;DS$1&amp;""'!$C$4:$C$66""),INDIRECT(""'""&amp;DS$1&amp;""'!$D$4:$D$66"")=DS$2),$G$4:$BQ$4,$G149:$BQ149)))"),-0.7777777777777778)</f>
        <v>-0.7777777778</v>
      </c>
      <c r="DT149" s="207" t="str">
        <f>IFERROR(__xludf.DUMMYFUNCTION("IF(OR(DS149&gt;$BS149+$BT149*$BT$2,DS149&lt;$BS149-$BT149*$BT$2),AVEDEV(ARRAYFORMULA(XLOOKUP(FILTER(INDIRECT(""'""&amp;DS$1&amp;""'!$C$4:$C$66""),INDIRECT(""'""&amp;DS$1&amp;""'!$D$4:$D$66"")=DS$2),$G$4:$BQ$4,$G149:$BQ149))),"""")"),"")</f>
        <v/>
      </c>
      <c r="DU149" s="208" t="str">
        <f t="shared" si="23"/>
        <v/>
      </c>
      <c r="DV149" s="210">
        <f>IFERROR(__xludf.DUMMYFUNCTION("AVERAGE(ARRAYFORMULA(XLOOKUP(FILTER(INDIRECT(""'""&amp;DV$1&amp;""'!$C$4:$C$66""),INDIRECT(""'""&amp;DV$1&amp;""'!$D$4:$D$66"")=DV$2),$G$4:$BQ$4,$G149:$BQ149)))"),0.49375)</f>
        <v>0.49375</v>
      </c>
      <c r="DW149" s="207" t="str">
        <f>IFERROR(__xludf.DUMMYFUNCTION("IF(OR(DV149&gt;$BS149+$BT149*$BT$2,DV149&lt;$BS149-$BT149*$BT$2),AVEDEV(ARRAYFORMULA(XLOOKUP(FILTER(INDIRECT(""'""&amp;DV$1&amp;""'!$C$4:$C$66""),INDIRECT(""'""&amp;DV$1&amp;""'!$D$4:$D$66"")=DV$2),$G$4:$BQ$4,$G149:$BQ149))),"""")"),"")</f>
        <v/>
      </c>
      <c r="DX149" s="208" t="str">
        <f t="shared" si="24"/>
        <v/>
      </c>
      <c r="DY149" s="210">
        <f>IFERROR(__xludf.DUMMYFUNCTION("AVERAGE(ARRAYFORMULA(XLOOKUP(FILTER(INDIRECT(""'""&amp;DY$1&amp;""'!$C$4:$C$66""),INDIRECT(""'""&amp;DY$1&amp;""'!$D$4:$D$66"")=DY$2),$G$4:$BQ$4,$G149:$BQ149)))"),-0.3333333333333333)</f>
        <v>-0.3333333333</v>
      </c>
      <c r="DZ149" s="207" t="str">
        <f>IFERROR(__xludf.DUMMYFUNCTION("IF(OR(DY149&gt;$BS149+$BT149*$BT$2,DY149&lt;$BS149-$BT149*$BT$2),AVEDEV(ARRAYFORMULA(XLOOKUP(FILTER(INDIRECT(""'""&amp;DY$1&amp;""'!$C$4:$C$66""),INDIRECT(""'""&amp;DY$1&amp;""'!$D$4:$D$66"")=DY$2),$G$4:$BQ$4,$G149:$BQ149))),"""")"),"")</f>
        <v/>
      </c>
      <c r="EA149" s="208" t="str">
        <f t="shared" si="25"/>
        <v/>
      </c>
      <c r="EB149" s="191"/>
    </row>
    <row r="150" outlineLevel="1">
      <c r="A150" s="2"/>
      <c r="B150" s="204">
        <v>146.0</v>
      </c>
      <c r="C150" s="204" t="s">
        <v>540</v>
      </c>
      <c r="D150" s="204" t="s">
        <v>592</v>
      </c>
      <c r="E150" s="205" t="b">
        <f>VLOOKUP(D150,'Feature Set List'!A146:C246,2,0)</f>
        <v>1</v>
      </c>
      <c r="F150" s="205" t="b">
        <f>VLOOKUP(D150,'Feature Set List'!A146:C246,3,0)</f>
        <v>0</v>
      </c>
      <c r="G150" s="205">
        <v>0.0</v>
      </c>
      <c r="H150" s="205">
        <v>-1.0</v>
      </c>
      <c r="I150" s="205">
        <v>-1.0</v>
      </c>
      <c r="J150" s="205">
        <v>-1.0</v>
      </c>
      <c r="K150" s="205">
        <v>0.0</v>
      </c>
      <c r="L150" s="205">
        <v>0.0</v>
      </c>
      <c r="M150" s="205">
        <v>0.95</v>
      </c>
      <c r="N150" s="205">
        <v>0.0</v>
      </c>
      <c r="O150" s="205">
        <v>-1.0</v>
      </c>
      <c r="P150" s="205">
        <v>-0.6</v>
      </c>
      <c r="Q150" s="205">
        <v>-1.0</v>
      </c>
      <c r="R150" s="205">
        <v>-1.0</v>
      </c>
      <c r="S150" s="205">
        <v>0.0</v>
      </c>
      <c r="T150" s="205">
        <v>-1.0</v>
      </c>
      <c r="U150" s="205">
        <v>-1.0</v>
      </c>
      <c r="V150" s="205">
        <v>3.0</v>
      </c>
      <c r="W150" s="205">
        <v>-0.6</v>
      </c>
      <c r="X150" s="205">
        <v>3.0</v>
      </c>
      <c r="Y150" s="205">
        <v>0.0</v>
      </c>
      <c r="Z150" s="205">
        <v>3.0</v>
      </c>
      <c r="AA150" s="205">
        <v>-0.6</v>
      </c>
      <c r="AB150" s="205">
        <v>-1.0</v>
      </c>
      <c r="AC150" s="205">
        <v>-0.6</v>
      </c>
      <c r="AD150" s="205">
        <v>-0.6</v>
      </c>
      <c r="AE150" s="205">
        <v>-1.0</v>
      </c>
      <c r="AF150" s="205">
        <v>0.0</v>
      </c>
      <c r="AG150" s="205">
        <v>1.0</v>
      </c>
      <c r="AH150" s="205">
        <v>0.0</v>
      </c>
      <c r="AI150" s="205">
        <v>1.0</v>
      </c>
      <c r="AJ150" s="205">
        <v>0.0</v>
      </c>
      <c r="AK150" s="205">
        <v>0.0</v>
      </c>
      <c r="AL150" s="205">
        <v>-1.0</v>
      </c>
      <c r="AM150" s="205">
        <v>0.0</v>
      </c>
      <c r="AN150" s="205">
        <v>-1.0</v>
      </c>
      <c r="AO150" s="205">
        <v>0.0</v>
      </c>
      <c r="AP150" s="205">
        <v>3.0</v>
      </c>
      <c r="AQ150" s="205">
        <v>0.0</v>
      </c>
      <c r="AR150" s="205">
        <v>1.0</v>
      </c>
      <c r="AS150" s="205">
        <v>-1.0</v>
      </c>
      <c r="AT150" s="205">
        <v>0.0</v>
      </c>
      <c r="AU150" s="205">
        <v>-1.0</v>
      </c>
      <c r="AV150" s="205">
        <v>3.0</v>
      </c>
      <c r="AW150" s="205">
        <v>-1.0</v>
      </c>
      <c r="AX150" s="205">
        <v>3.0</v>
      </c>
      <c r="AY150" s="205">
        <v>-1.0</v>
      </c>
      <c r="AZ150" s="205">
        <v>3.0</v>
      </c>
      <c r="BA150" s="205">
        <v>-0.6</v>
      </c>
      <c r="BB150" s="205">
        <v>-1.0</v>
      </c>
      <c r="BC150" s="205">
        <v>-1.0</v>
      </c>
      <c r="BD150" s="205">
        <v>-0.75</v>
      </c>
      <c r="BE150" s="205">
        <v>3.0</v>
      </c>
      <c r="BF150" s="205">
        <v>3.0</v>
      </c>
      <c r="BG150" s="205">
        <v>0.0</v>
      </c>
      <c r="BH150" s="205">
        <v>-0.6</v>
      </c>
      <c r="BI150" s="205">
        <v>-1.0</v>
      </c>
      <c r="BJ150" s="205">
        <v>-1.0</v>
      </c>
      <c r="BK150" s="205">
        <v>1.0</v>
      </c>
      <c r="BL150" s="205">
        <v>-0.6</v>
      </c>
      <c r="BM150" s="205">
        <v>0.0</v>
      </c>
      <c r="BN150" s="205">
        <v>0.0</v>
      </c>
      <c r="BO150" s="205">
        <v>0.0</v>
      </c>
      <c r="BP150" s="205">
        <v>1.05</v>
      </c>
      <c r="BQ150" s="205">
        <v>0.0</v>
      </c>
      <c r="BR150" s="206"/>
      <c r="BS150" s="207">
        <f t="shared" si="6"/>
        <v>0.1182539683</v>
      </c>
      <c r="BT150" s="207">
        <f t="shared" si="7"/>
        <v>0.9913076342</v>
      </c>
      <c r="BU150" s="206"/>
      <c r="BV150" s="207">
        <f>IFERROR(__xludf.DUMMYFUNCTION("AVERAGE(ARRAYFORMULA(XLOOKUP(FILTER(INDIRECT(""'""&amp;BV$1&amp;""'!$C$4:$C$66""),INDIRECT(""'""&amp;BV$1&amp;""'!$D$4:$D$66"")=BV$2),$G$4:$BQ$4,$G150:$BQ150)))"),0.34285714285714286)</f>
        <v>0.3428571429</v>
      </c>
      <c r="BW150" s="207" t="str">
        <f>IFERROR(__xludf.DUMMYFUNCTION("IF(OR(BV150&gt;$BS150+$BT150*$BT$2,BV150&lt;$BS150-$BT150*$BT$2),AVEDEV(ARRAYFORMULA(XLOOKUP(FILTER(INDIRECT(""'""&amp;BV$1&amp;""'!$C$4:$C$66""),INDIRECT(""'""&amp;BV$1&amp;""'!$D$4:$D$66"")=BV$2),$G$4:$BQ$4,$G150:$BQ150))),"""")"),"")</f>
        <v/>
      </c>
      <c r="BX150" s="208" t="str">
        <f t="shared" si="8"/>
        <v/>
      </c>
      <c r="BY150" s="207">
        <f>IFERROR(__xludf.DUMMYFUNCTION("AVERAGE(ARRAYFORMULA(XLOOKUP(FILTER(INDIRECT(""'""&amp;BY$1&amp;""'!$C$4:$C$66""),INDIRECT(""'""&amp;BY$1&amp;""'!$D$4:$D$66"")=BY$2),$G$4:$BQ$4,$G150:$BQ150)))"),0.15833333333333335)</f>
        <v>0.1583333333</v>
      </c>
      <c r="BZ150" s="207" t="str">
        <f>IFERROR(__xludf.DUMMYFUNCTION("IF(OR(BY150&gt;$BS150+$BT150*$BT$2,BY150&lt;$BS150-$BT150*$BT$2),AVEDEV(ARRAYFORMULA(XLOOKUP(FILTER(INDIRECT(""'""&amp;BY$1&amp;""'!$C$4:$C$66""),INDIRECT(""'""&amp;BY$1&amp;""'!$D$4:$D$66"")=BY$2),$G$4:$BQ$4,$G150:$BQ150))),"""")"),"")</f>
        <v/>
      </c>
      <c r="CA150" s="208" t="str">
        <f t="shared" si="9"/>
        <v/>
      </c>
      <c r="CB150" s="207">
        <f>IFERROR(__xludf.DUMMYFUNCTION("AVERAGE(ARRAYFORMULA(XLOOKUP(FILTER(INDIRECT(""'""&amp;CB$1&amp;""'!$C$4:$C$66""),INDIRECT(""'""&amp;CB$1&amp;""'!$D$4:$D$66"")=CB$2),$G$4:$BQ$4,$G150:$BQ150)))"),0.10454545454545454)</f>
        <v>0.1045454545</v>
      </c>
      <c r="CC150" s="207" t="str">
        <f>IFERROR(__xludf.DUMMYFUNCTION("IF(OR(CB150&gt;$BS150+$BT150*$BT$2,CB150&lt;$BS150-$BT150*$BT$2),AVEDEV(ARRAYFORMULA(XLOOKUP(FILTER(INDIRECT(""'""&amp;CB$1&amp;""'!$C$4:$C$66""),INDIRECT(""'""&amp;CB$1&amp;""'!$D$4:$D$66"")=CB$2),$G$4:$BQ$4,$G150:$BQ150))),"""")"),"")</f>
        <v/>
      </c>
      <c r="CD150" s="208" t="str">
        <f t="shared" si="10"/>
        <v/>
      </c>
      <c r="CE150" s="209" t="s">
        <v>444</v>
      </c>
      <c r="CF150" s="207">
        <f>IFERROR(__xludf.DUMMYFUNCTION("AVERAGE(ARRAYFORMULA(XLOOKUP(FILTER(INDIRECT(""'""&amp;CF$1&amp;""'!$C$4:$C$66""),INDIRECT(""'""&amp;CF$1&amp;""'!$D$4:$D$66"")=CF$2),$G$4:$BQ$4,$G150:$BQ150)))"),0.3125)</f>
        <v>0.3125</v>
      </c>
      <c r="CG150" s="207" t="str">
        <f>IFERROR(__xludf.DUMMYFUNCTION("IF(OR(CF150&gt;$BS150+$BT150*$BT$2,CF150&lt;$BS150-$BT150*$BT$2),AVEDEV(ARRAYFORMULA(XLOOKUP(FILTER(INDIRECT(""'""&amp;CF$1&amp;""'!$C$4:$C$66""),INDIRECT(""'""&amp;CF$1&amp;""'!$D$4:$D$66"")=CF$2),$G$4:$BQ$4,$G150:$BQ150))),"""")"),"")</f>
        <v/>
      </c>
      <c r="CH150" s="208" t="str">
        <f t="shared" si="11"/>
        <v/>
      </c>
      <c r="CI150" s="207">
        <f>IFERROR(__xludf.DUMMYFUNCTION("AVERAGE(ARRAYFORMULA(XLOOKUP(FILTER(INDIRECT(""'""&amp;CI$1&amp;""'!$C$4:$C$66""),INDIRECT(""'""&amp;CI$1&amp;""'!$D$4:$D$66"")=CI$2),$G$4:$BQ$4,$G150:$BQ150)))"),0.06451612903225806)</f>
        <v>0.06451612903</v>
      </c>
      <c r="CJ150" s="207" t="str">
        <f>IFERROR(__xludf.DUMMYFUNCTION("IF(OR(CI150&gt;$BS150+$BT150*$BT$2,CI150&lt;$BS150-$BT150*$BT$2),AVEDEV(ARRAYFORMULA(XLOOKUP(FILTER(INDIRECT(""'""&amp;CI$1&amp;""'!$C$4:$C$66""),INDIRECT(""'""&amp;CI$1&amp;""'!$D$4:$D$66"")=CI$2),$G$4:$BQ$4,$G150:$BQ150))),"""")"),"")</f>
        <v/>
      </c>
      <c r="CK150" s="208" t="str">
        <f t="shared" si="12"/>
        <v/>
      </c>
      <c r="CL150" s="207">
        <f>IFERROR(__xludf.DUMMYFUNCTION("AVERAGE(ARRAYFORMULA(XLOOKUP(FILTER(INDIRECT(""'""&amp;CL$1&amp;""'!$C$4:$C$66""),INDIRECT(""'""&amp;CL$1&amp;""'!$D$4:$D$66"")=CL$2),$G$4:$BQ$4,$G150:$BQ150)))"),-0.64)</f>
        <v>-0.64</v>
      </c>
      <c r="CM150" s="207" t="str">
        <f>IFERROR(__xludf.DUMMYFUNCTION("IF(OR(CL150&gt;$BS150+$BT150*$BT$2,CL150&lt;$BS150-$BT150*$BT$2),AVEDEV(ARRAYFORMULA(XLOOKUP(FILTER(INDIRECT(""'""&amp;CL$1&amp;""'!$C$4:$C$66""),INDIRECT(""'""&amp;CL$1&amp;""'!$D$4:$D$66"")=CL$2),$G$4:$BQ$4,$G150:$BQ150))),"""")"),"")</f>
        <v/>
      </c>
      <c r="CN150" s="208" t="str">
        <f t="shared" si="13"/>
        <v/>
      </c>
      <c r="CO150" s="209" t="s">
        <v>444</v>
      </c>
      <c r="CP150" s="210">
        <f>IFERROR(__xludf.DUMMYFUNCTION("AVERAGE(ARRAYFORMULA(XLOOKUP(FILTER(INDIRECT(""'""&amp;CP$1&amp;""'!$C$4:$C$66""),INDIRECT(""'""&amp;CP$1&amp;""'!$D$4:$D$66"")=CP$2),$G$4:$BQ$4,$G150:$BQ150)))"),0.05333333333333333)</f>
        <v>0.05333333333</v>
      </c>
      <c r="CQ150" s="207" t="str">
        <f>IFERROR(__xludf.DUMMYFUNCTION("IF(OR(CP150&gt;$BS150+$BT150*$BT$2,CP150&lt;$BS150-$BT150*$BT$2),AVEDEV(ARRAYFORMULA(XLOOKUP(FILTER(INDIRECT(""'""&amp;CP$1&amp;""'!$C$4:$C$66""),INDIRECT(""'""&amp;CP$1&amp;""'!$D$4:$D$66"")=CP$2),$G$4:$BQ$4,$G150:$BQ150))),"""")"),"")</f>
        <v/>
      </c>
      <c r="CR150" s="208" t="str">
        <f t="shared" si="14"/>
        <v/>
      </c>
      <c r="CS150" s="210">
        <f>IFERROR(__xludf.DUMMYFUNCTION("AVERAGE(ARRAYFORMULA(XLOOKUP(FILTER(INDIRECT(""'""&amp;CS$1&amp;""'!$C$4:$C$66""),INDIRECT(""'""&amp;CS$1&amp;""'!$D$4:$D$66"")=CS$2),$G$4:$BQ$4,$G150:$BQ150)))"),0.3384615384615384)</f>
        <v>0.3384615385</v>
      </c>
      <c r="CT150" s="207" t="str">
        <f>IFERROR(__xludf.DUMMYFUNCTION("IF(OR(CS150&gt;$BS150+$BT150*$BT$2,CS150&lt;$BS150-$BT150*$BT$2),AVEDEV(ARRAYFORMULA(XLOOKUP(FILTER(INDIRECT(""'""&amp;CS$1&amp;""'!$C$4:$C$66""),INDIRECT(""'""&amp;CS$1&amp;""'!$D$4:$D$66"")=CS$2),$G$4:$BQ$4,$G150:$BQ150))),"""")"),"")</f>
        <v/>
      </c>
      <c r="CU150" s="208" t="str">
        <f t="shared" si="15"/>
        <v/>
      </c>
      <c r="CV150" s="210">
        <f>IFERROR(__xludf.DUMMYFUNCTION("AVERAGE(ARRAYFORMULA(XLOOKUP(FILTER(INDIRECT(""'""&amp;CV$1&amp;""'!$C$4:$C$66""),INDIRECT(""'""&amp;CV$1&amp;""'!$D$4:$D$66"")=CV$2),$G$4:$BQ$4,$G150:$BQ150)))"),-0.64)</f>
        <v>-0.64</v>
      </c>
      <c r="CW150" s="207" t="str">
        <f>IFERROR(__xludf.DUMMYFUNCTION("IF(OR(CV150&gt;$BS150+$BT150*$BT$2,CV150&lt;$BS150-$BT150*$BT$2),AVEDEV(ARRAYFORMULA(XLOOKUP(FILTER(INDIRECT(""'""&amp;CV$1&amp;""'!$C$4:$C$66""),INDIRECT(""'""&amp;CV$1&amp;""'!$D$4:$D$66"")=CV$2),$G$4:$BQ$4,$G150:$BQ150))),"""")"),"")</f>
        <v/>
      </c>
      <c r="CX150" s="208" t="str">
        <f t="shared" si="16"/>
        <v/>
      </c>
      <c r="CY150" s="209" t="s">
        <v>444</v>
      </c>
      <c r="CZ150" s="210">
        <f>IFERROR(__xludf.DUMMYFUNCTION("AVERAGE(ARRAYFORMULA(XLOOKUP(FILTER(INDIRECT(""'""&amp;CZ$1&amp;""'!$C$4:$C$66""),INDIRECT(""'""&amp;CZ$1&amp;""'!$D$4:$D$66"")=CZ$2),$G$4:$BQ$4,$G150:$BQ150)))"),0.5)</f>
        <v>0.5</v>
      </c>
      <c r="DA150" s="207" t="str">
        <f>IFERROR(__xludf.DUMMYFUNCTION("IF(OR(CZ150&gt;$BS150+$BT150*$BT$2,CZ150&lt;$BS150-$BT150*$BT$2),AVEDEV(ARRAYFORMULA(XLOOKUP(FILTER(INDIRECT(""'""&amp;CZ$1&amp;""'!$C$4:$C$66""),INDIRECT(""'""&amp;CZ$1&amp;""'!$D$4:$D$66"")=CZ$2),$G$4:$BQ$4,$G150:$BQ150))),"""")"),"")</f>
        <v/>
      </c>
      <c r="DB150" s="208" t="str">
        <f t="shared" si="17"/>
        <v/>
      </c>
      <c r="DC150" s="210">
        <f>IFERROR(__xludf.DUMMYFUNCTION("AVERAGE(ARRAYFORMULA(XLOOKUP(FILTER(INDIRECT(""'""&amp;DC$1&amp;""'!$C$4:$C$66""),INDIRECT(""'""&amp;DC$1&amp;""'!$D$4:$D$66"")=DC$2),$G$4:$BQ$4,$G150:$BQ150)))"),-0.20555555555555557)</f>
        <v>-0.2055555556</v>
      </c>
      <c r="DD150" s="207" t="str">
        <f>IFERROR(__xludf.DUMMYFUNCTION("IF(OR(DC150&gt;$BS150+$BT150*$BT$2,DC150&lt;$BS150-$BT150*$BT$2),AVEDEV(ARRAYFORMULA(XLOOKUP(FILTER(INDIRECT(""'""&amp;DC$1&amp;""'!$C$4:$C$66""),INDIRECT(""'""&amp;DC$1&amp;""'!$D$4:$D$66"")=DC$2),$G$4:$BQ$4,$G150:$BQ150))),"""")"),"")</f>
        <v/>
      </c>
      <c r="DE150" s="208" t="str">
        <f t="shared" si="18"/>
        <v/>
      </c>
      <c r="DF150" s="210">
        <f>IFERROR(__xludf.DUMMYFUNCTION("AVERAGE(ARRAYFORMULA(XLOOKUP(FILTER(INDIRECT(""'""&amp;DF$1&amp;""'!$C$4:$C$66""),INDIRECT(""'""&amp;DF$1&amp;""'!$D$4:$D$66"")=DF$2),$G$4:$BQ$4,$G150:$BQ150)))"),0.34545454545454546)</f>
        <v>0.3454545455</v>
      </c>
      <c r="DG150" s="207" t="str">
        <f>IFERROR(__xludf.DUMMYFUNCTION("IF(OR(DF150&gt;$BS150+$BT150*$BT$2,DF150&lt;$BS150-$BT150*$BT$2),AVEDEV(ARRAYFORMULA(XLOOKUP(FILTER(INDIRECT(""'""&amp;DF$1&amp;""'!$C$4:$C$66""),INDIRECT(""'""&amp;DF$1&amp;""'!$D$4:$D$66"")=DF$2),$G$4:$BQ$4,$G150:$BQ150))),"""")"),"")</f>
        <v/>
      </c>
      <c r="DH150" s="208" t="str">
        <f t="shared" si="19"/>
        <v/>
      </c>
      <c r="DI150" s="210">
        <f>IFERROR(__xludf.DUMMYFUNCTION("AVERAGE(ARRAYFORMULA(XLOOKUP(FILTER(INDIRECT(""'""&amp;DI$1&amp;""'!$C$4:$C$66""),INDIRECT(""'""&amp;DI$1&amp;""'!$D$4:$D$66"")=DI$2),$G$4:$BQ$4,$G150:$BQ150)))"),-0.6)</f>
        <v>-0.6</v>
      </c>
      <c r="DJ150" s="207" t="str">
        <f>IFERROR(__xludf.DUMMYFUNCTION("IF(OR(DI150&gt;$BS150+$BT150*$BT$2,DI150&lt;$BS150-$BT150*$BT$2),AVEDEV(ARRAYFORMULA(XLOOKUP(FILTER(INDIRECT(""'""&amp;DI$1&amp;""'!$C$4:$C$66""),INDIRECT(""'""&amp;DI$1&amp;""'!$D$4:$D$66"")=DI$2),$G$4:$BQ$4,$G150:$BQ150))),"""")"),"")</f>
        <v/>
      </c>
      <c r="DK150" s="208" t="str">
        <f t="shared" si="20"/>
        <v/>
      </c>
      <c r="DL150" s="210">
        <f>IFERROR(__xludf.DUMMYFUNCTION("AVERAGE(ARRAYFORMULA(XLOOKUP(FILTER(INDIRECT(""'""&amp;DL$1&amp;""'!$C$4:$C$66""),INDIRECT(""'""&amp;DL$1&amp;""'!$D$4:$D$66"")=DL$2),$G$4:$BQ$4,$G150:$BQ150)))"),0.07499999999999998)</f>
        <v>0.075</v>
      </c>
      <c r="DM150" s="207" t="str">
        <f>IFERROR(__xludf.DUMMYFUNCTION("IF(OR(DL150&gt;$BS150+$BT150*$BT$2,DL150&lt;$BS150-$BT150*$BT$2),AVEDEV(ARRAYFORMULA(XLOOKUP(FILTER(INDIRECT(""'""&amp;DL$1&amp;""'!$C$4:$C$66""),INDIRECT(""'""&amp;DL$1&amp;""'!$D$4:$D$66"")=DL$2),$G$4:$BQ$4,$G150:$BQ150))),"""")"),"")</f>
        <v/>
      </c>
      <c r="DN150" s="208" t="str">
        <f t="shared" si="21"/>
        <v/>
      </c>
      <c r="DO150" s="209" t="s">
        <v>444</v>
      </c>
      <c r="DP150" s="210">
        <f>IFERROR(__xludf.DUMMYFUNCTION("AVERAGE(ARRAYFORMULA(XLOOKUP(FILTER(INDIRECT(""'""&amp;DP$1&amp;""'!$C$4:$C$66""),INDIRECT(""'""&amp;DP$1&amp;""'!$D$4:$D$66"")=DP$2),$G$4:$BQ$4,$G150:$BQ150)))"),0.3483333333333334)</f>
        <v>0.3483333333</v>
      </c>
      <c r="DQ150" s="207" t="str">
        <f>IFERROR(__xludf.DUMMYFUNCTION("IF(OR(DP150&gt;$BS150+$BT150*$BT$2,DP150&lt;$BS150-$BT150*$BT$2),AVEDEV(ARRAYFORMULA(XLOOKUP(FILTER(INDIRECT(""'""&amp;DP$1&amp;""'!$C$4:$C$66""),INDIRECT(""'""&amp;DP$1&amp;""'!$D$4:$D$66"")=DP$2),$G$4:$BQ$4,$G150:$BQ150))),"""")"),"")</f>
        <v/>
      </c>
      <c r="DR150" s="208" t="str">
        <f t="shared" si="22"/>
        <v/>
      </c>
      <c r="DS150" s="210">
        <f>IFERROR(__xludf.DUMMYFUNCTION("AVERAGE(ARRAYFORMULA(XLOOKUP(FILTER(INDIRECT(""'""&amp;DS$1&amp;""'!$C$4:$C$66""),INDIRECT(""'""&amp;DS$1&amp;""'!$D$4:$D$66"")=DS$2),$G$4:$BQ$4,$G150:$BQ150)))"),0.12777777777777777)</f>
        <v>0.1277777778</v>
      </c>
      <c r="DT150" s="207" t="str">
        <f>IFERROR(__xludf.DUMMYFUNCTION("IF(OR(DS150&gt;$BS150+$BT150*$BT$2,DS150&lt;$BS150-$BT150*$BT$2),AVEDEV(ARRAYFORMULA(XLOOKUP(FILTER(INDIRECT(""'""&amp;DS$1&amp;""'!$C$4:$C$66""),INDIRECT(""'""&amp;DS$1&amp;""'!$D$4:$D$66"")=DS$2),$G$4:$BQ$4,$G150:$BQ150))),"""")"),"")</f>
        <v/>
      </c>
      <c r="DU150" s="208" t="str">
        <f t="shared" si="23"/>
        <v/>
      </c>
      <c r="DV150" s="210">
        <f>IFERROR(__xludf.DUMMYFUNCTION("AVERAGE(ARRAYFORMULA(XLOOKUP(FILTER(INDIRECT(""'""&amp;DV$1&amp;""'!$C$4:$C$66""),INDIRECT(""'""&amp;DV$1&amp;""'!$D$4:$D$66"")=DV$2),$G$4:$BQ$4,$G150:$BQ150)))"),-0.2)</f>
        <v>-0.2</v>
      </c>
      <c r="DW150" s="207" t="str">
        <f>IFERROR(__xludf.DUMMYFUNCTION("IF(OR(DV150&gt;$BS150+$BT150*$BT$2,DV150&lt;$BS150-$BT150*$BT$2),AVEDEV(ARRAYFORMULA(XLOOKUP(FILTER(INDIRECT(""'""&amp;DV$1&amp;""'!$C$4:$C$66""),INDIRECT(""'""&amp;DV$1&amp;""'!$D$4:$D$66"")=DV$2),$G$4:$BQ$4,$G150:$BQ150))),"""")"),"")</f>
        <v/>
      </c>
      <c r="DX150" s="208" t="str">
        <f t="shared" si="24"/>
        <v/>
      </c>
      <c r="DY150" s="210">
        <f>IFERROR(__xludf.DUMMYFUNCTION("AVERAGE(ARRAYFORMULA(XLOOKUP(FILTER(INDIRECT(""'""&amp;DY$1&amp;""'!$C$4:$C$66""),INDIRECT(""'""&amp;DY$1&amp;""'!$D$4:$D$66"")=DY$2),$G$4:$BQ$4,$G150:$BQ150)))"),-0.35555555555555557)</f>
        <v>-0.3555555556</v>
      </c>
      <c r="DZ150" s="207" t="str">
        <f>IFERROR(__xludf.DUMMYFUNCTION("IF(OR(DY150&gt;$BS150+$BT150*$BT$2,DY150&lt;$BS150-$BT150*$BT$2),AVEDEV(ARRAYFORMULA(XLOOKUP(FILTER(INDIRECT(""'""&amp;DY$1&amp;""'!$C$4:$C$66""),INDIRECT(""'""&amp;DY$1&amp;""'!$D$4:$D$66"")=DY$2),$G$4:$BQ$4,$G150:$BQ150))),"""")"),"")</f>
        <v/>
      </c>
      <c r="EA150" s="208" t="str">
        <f t="shared" si="25"/>
        <v/>
      </c>
      <c r="EB150" s="191"/>
    </row>
    <row r="151" outlineLevel="1">
      <c r="A151" s="2"/>
      <c r="B151" s="204">
        <v>147.0</v>
      </c>
      <c r="C151" s="204" t="s">
        <v>540</v>
      </c>
      <c r="D151" s="204" t="s">
        <v>593</v>
      </c>
      <c r="E151" s="205" t="b">
        <f>VLOOKUP(D151,'Feature Set List'!A147:C246,2,0)</f>
        <v>1</v>
      </c>
      <c r="F151" s="205" t="b">
        <f>VLOOKUP(D151,'Feature Set List'!A147:C246,3,0)</f>
        <v>0</v>
      </c>
      <c r="G151" s="205">
        <v>0.0</v>
      </c>
      <c r="H151" s="205">
        <v>1.0</v>
      </c>
      <c r="I151" s="205">
        <v>3.0</v>
      </c>
      <c r="J151" s="205">
        <v>0.0</v>
      </c>
      <c r="K151" s="205">
        <v>0.0</v>
      </c>
      <c r="L151" s="205">
        <v>0.0</v>
      </c>
      <c r="M151" s="205">
        <v>0.95</v>
      </c>
      <c r="N151" s="205">
        <v>1.0</v>
      </c>
      <c r="O151" s="205">
        <v>0.0</v>
      </c>
      <c r="P151" s="205">
        <v>-0.6</v>
      </c>
      <c r="Q151" s="205">
        <v>0.0</v>
      </c>
      <c r="R151" s="205">
        <v>0.0</v>
      </c>
      <c r="S151" s="205">
        <v>1.0</v>
      </c>
      <c r="T151" s="205">
        <v>0.0</v>
      </c>
      <c r="U151" s="205">
        <v>0.0</v>
      </c>
      <c r="V151" s="205">
        <v>1.0</v>
      </c>
      <c r="W151" s="205">
        <v>-0.6</v>
      </c>
      <c r="X151" s="205">
        <v>3.0</v>
      </c>
      <c r="Y151" s="205">
        <v>0.0</v>
      </c>
      <c r="Z151" s="205">
        <v>1.0</v>
      </c>
      <c r="AA151" s="205">
        <v>-0.6</v>
      </c>
      <c r="AB151" s="205">
        <v>0.0</v>
      </c>
      <c r="AC151" s="205">
        <v>-0.6</v>
      </c>
      <c r="AD151" s="205">
        <v>0.334</v>
      </c>
      <c r="AE151" s="205">
        <v>3.0</v>
      </c>
      <c r="AF151" s="205">
        <v>0.0</v>
      </c>
      <c r="AG151" s="205">
        <v>-0.334</v>
      </c>
      <c r="AH151" s="205">
        <v>0.0</v>
      </c>
      <c r="AI151" s="205">
        <v>1.0</v>
      </c>
      <c r="AJ151" s="205">
        <v>0.0</v>
      </c>
      <c r="AK151" s="205">
        <v>0.966</v>
      </c>
      <c r="AL151" s="205">
        <v>0.0</v>
      </c>
      <c r="AM151" s="205">
        <v>0.0</v>
      </c>
      <c r="AN151" s="205">
        <v>-0.6</v>
      </c>
      <c r="AO151" s="205">
        <v>1.0</v>
      </c>
      <c r="AP151" s="205">
        <v>1.0</v>
      </c>
      <c r="AQ151" s="205">
        <v>1.0</v>
      </c>
      <c r="AR151" s="205">
        <v>1.0</v>
      </c>
      <c r="AS151" s="205">
        <v>0.0</v>
      </c>
      <c r="AT151" s="205">
        <v>1.0</v>
      </c>
      <c r="AU151" s="205">
        <v>0.0</v>
      </c>
      <c r="AV151" s="205">
        <v>1.0</v>
      </c>
      <c r="AW151" s="205">
        <v>0.0</v>
      </c>
      <c r="AX151" s="205">
        <v>1.0</v>
      </c>
      <c r="AY151" s="205">
        <v>2.95</v>
      </c>
      <c r="AZ151" s="205">
        <v>1.0</v>
      </c>
      <c r="BA151" s="205">
        <v>-0.6</v>
      </c>
      <c r="BB151" s="205">
        <v>0.0</v>
      </c>
      <c r="BC151" s="205">
        <v>-0.6</v>
      </c>
      <c r="BD151" s="205">
        <v>-0.75</v>
      </c>
      <c r="BE151" s="205">
        <v>0.0</v>
      </c>
      <c r="BF151" s="205">
        <v>1.0</v>
      </c>
      <c r="BG151" s="205">
        <v>0.0</v>
      </c>
      <c r="BH151" s="205">
        <v>0.334</v>
      </c>
      <c r="BI151" s="205">
        <v>0.0</v>
      </c>
      <c r="BJ151" s="205">
        <v>-0.6</v>
      </c>
      <c r="BK151" s="205">
        <v>1.0</v>
      </c>
      <c r="BL151" s="205">
        <v>-0.5</v>
      </c>
      <c r="BM151" s="205">
        <v>0.0</v>
      </c>
      <c r="BN151" s="205">
        <v>0.0</v>
      </c>
      <c r="BO151" s="205">
        <v>0.0</v>
      </c>
      <c r="BP151" s="205">
        <v>1.05</v>
      </c>
      <c r="BQ151" s="205">
        <v>0.0</v>
      </c>
      <c r="BR151" s="206"/>
      <c r="BS151" s="207">
        <f t="shared" si="6"/>
        <v>0.4</v>
      </c>
      <c r="BT151" s="207">
        <f t="shared" si="7"/>
        <v>0.6893968254</v>
      </c>
      <c r="BU151" s="206"/>
      <c r="BV151" s="207">
        <f>IFERROR(__xludf.DUMMYFUNCTION("AVERAGE(ARRAYFORMULA(XLOOKUP(FILTER(INDIRECT(""'""&amp;BV$1&amp;""'!$C$4:$C$66""),INDIRECT(""'""&amp;BV$1&amp;""'!$D$4:$D$66"")=BV$2),$G$4:$BQ$4,$G151:$BQ151)))"),0.9214285714285715)</f>
        <v>0.9214285714</v>
      </c>
      <c r="BW151" s="207" t="str">
        <f>IFERROR(__xludf.DUMMYFUNCTION("IF(OR(BV151&gt;$BS151+$BT151*$BT$2,BV151&lt;$BS151-$BT151*$BT$2),AVEDEV(ARRAYFORMULA(XLOOKUP(FILTER(INDIRECT(""'""&amp;BV$1&amp;""'!$C$4:$C$66""),INDIRECT(""'""&amp;BV$1&amp;""'!$D$4:$D$66"")=BV$2),$G$4:$BQ$4,$G151:$BQ151))),"""")"),"")</f>
        <v/>
      </c>
      <c r="BX151" s="208" t="str">
        <f t="shared" si="8"/>
        <v/>
      </c>
      <c r="BY151" s="207">
        <f>IFERROR(__xludf.DUMMYFUNCTION("AVERAGE(ARRAYFORMULA(XLOOKUP(FILTER(INDIRECT(""'""&amp;BY$1&amp;""'!$C$4:$C$66""),INDIRECT(""'""&amp;BY$1&amp;""'!$D$4:$D$66"")=BY$2),$G$4:$BQ$4,$G151:$BQ151)))"),0.38928571428571423)</f>
        <v>0.3892857143</v>
      </c>
      <c r="BZ151" s="207" t="str">
        <f>IFERROR(__xludf.DUMMYFUNCTION("IF(OR(BY151&gt;$BS151+$BT151*$BT$2,BY151&lt;$BS151-$BT151*$BT$2),AVEDEV(ARRAYFORMULA(XLOOKUP(FILTER(INDIRECT(""'""&amp;BY$1&amp;""'!$C$4:$C$66""),INDIRECT(""'""&amp;BY$1&amp;""'!$D$4:$D$66"")=BY$2),$G$4:$BQ$4,$G151:$BQ151))),"""")"),"")</f>
        <v/>
      </c>
      <c r="CA151" s="208" t="str">
        <f t="shared" si="9"/>
        <v/>
      </c>
      <c r="CB151" s="207">
        <f>IFERROR(__xludf.DUMMYFUNCTION("AVERAGE(ARRAYFORMULA(XLOOKUP(FILTER(INDIRECT(""'""&amp;CB$1&amp;""'!$C$4:$C$66""),INDIRECT(""'""&amp;CB$1&amp;""'!$D$4:$D$66"")=CB$2),$G$4:$BQ$4,$G151:$BQ151)))"),0.01363636363636364)</f>
        <v>0.01363636364</v>
      </c>
      <c r="CC151" s="207" t="str">
        <f>IFERROR(__xludf.DUMMYFUNCTION("IF(OR(CB151&gt;$BS151+$BT151*$BT$2,CB151&lt;$BS151-$BT151*$BT$2),AVEDEV(ARRAYFORMULA(XLOOKUP(FILTER(INDIRECT(""'""&amp;CB$1&amp;""'!$C$4:$C$66""),INDIRECT(""'""&amp;CB$1&amp;""'!$D$4:$D$66"")=CB$2),$G$4:$BQ$4,$G151:$BQ151))),"""")"),"")</f>
        <v/>
      </c>
      <c r="CD151" s="208" t="str">
        <f t="shared" si="10"/>
        <v/>
      </c>
      <c r="CE151" s="209" t="s">
        <v>444</v>
      </c>
      <c r="CF151" s="207">
        <f>IFERROR(__xludf.DUMMYFUNCTION("AVERAGE(ARRAYFORMULA(XLOOKUP(FILTER(INDIRECT(""'""&amp;CF$1&amp;""'!$C$4:$C$66""),INDIRECT(""'""&amp;CF$1&amp;""'!$D$4:$D$66"")=CF$2),$G$4:$BQ$4,$G151:$BQ151)))"),0.7270000000000001)</f>
        <v>0.727</v>
      </c>
      <c r="CG151" s="207" t="str">
        <f>IFERROR(__xludf.DUMMYFUNCTION("IF(OR(CF151&gt;$BS151+$BT151*$BT$2,CF151&lt;$BS151-$BT151*$BT$2),AVEDEV(ARRAYFORMULA(XLOOKUP(FILTER(INDIRECT(""'""&amp;CF$1&amp;""'!$C$4:$C$66""),INDIRECT(""'""&amp;CF$1&amp;""'!$D$4:$D$66"")=CF$2),$G$4:$BQ$4,$G151:$BQ151))),"""")"),"")</f>
        <v/>
      </c>
      <c r="CH151" s="208" t="str">
        <f t="shared" si="11"/>
        <v/>
      </c>
      <c r="CI151" s="207">
        <f>IFERROR(__xludf.DUMMYFUNCTION("AVERAGE(ARRAYFORMULA(XLOOKUP(FILTER(INDIRECT(""'""&amp;CI$1&amp;""'!$C$4:$C$66""),INDIRECT(""'""&amp;CI$1&amp;""'!$D$4:$D$66"")=CI$2),$G$4:$BQ$4,$G151:$BQ151)))"),0.22638709677419358)</f>
        <v>0.2263870968</v>
      </c>
      <c r="CJ151" s="207" t="str">
        <f>IFERROR(__xludf.DUMMYFUNCTION("IF(OR(CI151&gt;$BS151+$BT151*$BT$2,CI151&lt;$BS151-$BT151*$BT$2),AVEDEV(ARRAYFORMULA(XLOOKUP(FILTER(INDIRECT(""'""&amp;CI$1&amp;""'!$C$4:$C$66""),INDIRECT(""'""&amp;CI$1&amp;""'!$D$4:$D$66"")=CI$2),$G$4:$BQ$4,$G151:$BQ151))),"""")"),"")</f>
        <v/>
      </c>
      <c r="CK151" s="208" t="str">
        <f t="shared" si="12"/>
        <v/>
      </c>
      <c r="CL151" s="207">
        <f>IFERROR(__xludf.DUMMYFUNCTION("AVERAGE(ARRAYFORMULA(XLOOKUP(FILTER(INDIRECT(""'""&amp;CL$1&amp;""'!$C$4:$C$66""),INDIRECT(""'""&amp;CL$1&amp;""'!$D$4:$D$66"")=CL$2),$G$4:$BQ$4,$G151:$BQ151)))"),-0.24)</f>
        <v>-0.24</v>
      </c>
      <c r="CM151" s="207" t="str">
        <f>IFERROR(__xludf.DUMMYFUNCTION("IF(OR(CL151&gt;$BS151+$BT151*$BT$2,CL151&lt;$BS151-$BT151*$BT$2),AVEDEV(ARRAYFORMULA(XLOOKUP(FILTER(INDIRECT(""'""&amp;CL$1&amp;""'!$C$4:$C$66""),INDIRECT(""'""&amp;CL$1&amp;""'!$D$4:$D$66"")=CL$2),$G$4:$BQ$4,$G151:$BQ151))),"""")"),"")</f>
        <v/>
      </c>
      <c r="CN151" s="208" t="str">
        <f t="shared" si="13"/>
        <v/>
      </c>
      <c r="CO151" s="209" t="s">
        <v>444</v>
      </c>
      <c r="CP151" s="210">
        <f>IFERROR(__xludf.DUMMYFUNCTION("AVERAGE(ARRAYFORMULA(XLOOKUP(FILTER(INDIRECT(""'""&amp;CP$1&amp;""'!$C$4:$C$66""),INDIRECT(""'""&amp;CP$1&amp;""'!$D$4:$D$66"")=CP$2),$G$4:$BQ$4,$G151:$BQ151)))"),0.45333333333333337)</f>
        <v>0.4533333333</v>
      </c>
      <c r="CQ151" s="207" t="str">
        <f>IFERROR(__xludf.DUMMYFUNCTION("IF(OR(CP151&gt;$BS151+$BT151*$BT$2,CP151&lt;$BS151-$BT151*$BT$2),AVEDEV(ARRAYFORMULA(XLOOKUP(FILTER(INDIRECT(""'""&amp;CP$1&amp;""'!$C$4:$C$66""),INDIRECT(""'""&amp;CP$1&amp;""'!$D$4:$D$66"")=CP$2),$G$4:$BQ$4,$G151:$BQ151))),"""")"),"")</f>
        <v/>
      </c>
      <c r="CR151" s="208" t="str">
        <f t="shared" si="14"/>
        <v/>
      </c>
      <c r="CS151" s="210">
        <f>IFERROR(__xludf.DUMMYFUNCTION("AVERAGE(ARRAYFORMULA(XLOOKUP(FILTER(INDIRECT(""'""&amp;CS$1&amp;""'!$C$4:$C$66""),INDIRECT(""'""&amp;CS$1&amp;""'!$D$4:$D$66"")=CS$2),$G$4:$BQ$4,$G151:$BQ151)))"),0.4576923076923076)</f>
        <v>0.4576923077</v>
      </c>
      <c r="CT151" s="207" t="str">
        <f>IFERROR(__xludf.DUMMYFUNCTION("IF(OR(CS151&gt;$BS151+$BT151*$BT$2,CS151&lt;$BS151-$BT151*$BT$2),AVEDEV(ARRAYFORMULA(XLOOKUP(FILTER(INDIRECT(""'""&amp;CS$1&amp;""'!$C$4:$C$66""),INDIRECT(""'""&amp;CS$1&amp;""'!$D$4:$D$66"")=CS$2),$G$4:$BQ$4,$G151:$BQ151))),"""")"),"")</f>
        <v/>
      </c>
      <c r="CU151" s="208" t="str">
        <f t="shared" si="15"/>
        <v/>
      </c>
      <c r="CV151" s="210">
        <f>IFERROR(__xludf.DUMMYFUNCTION("AVERAGE(ARRAYFORMULA(XLOOKUP(FILTER(INDIRECT(""'""&amp;CV$1&amp;""'!$C$4:$C$66""),INDIRECT(""'""&amp;CV$1&amp;""'!$D$4:$D$66"")=CV$2),$G$4:$BQ$4,$G151:$BQ151)))"),-0.24)</f>
        <v>-0.24</v>
      </c>
      <c r="CW151" s="207" t="str">
        <f>IFERROR(__xludf.DUMMYFUNCTION("IF(OR(CV151&gt;$BS151+$BT151*$BT$2,CV151&lt;$BS151-$BT151*$BT$2),AVEDEV(ARRAYFORMULA(XLOOKUP(FILTER(INDIRECT(""'""&amp;CV$1&amp;""'!$C$4:$C$66""),INDIRECT(""'""&amp;CV$1&amp;""'!$D$4:$D$66"")=CV$2),$G$4:$BQ$4,$G151:$BQ151))),"""")"),"")</f>
        <v/>
      </c>
      <c r="CX151" s="208" t="str">
        <f t="shared" si="16"/>
        <v/>
      </c>
      <c r="CY151" s="209" t="s">
        <v>444</v>
      </c>
      <c r="CZ151" s="210">
        <f>IFERROR(__xludf.DUMMYFUNCTION("AVERAGE(ARRAYFORMULA(XLOOKUP(FILTER(INDIRECT(""'""&amp;CZ$1&amp;""'!$C$4:$C$66""),INDIRECT(""'""&amp;CZ$1&amp;""'!$D$4:$D$66"")=CZ$2),$G$4:$BQ$4,$G151:$BQ151)))"),0.830857142857143)</f>
        <v>0.8308571429</v>
      </c>
      <c r="DA151" s="207" t="str">
        <f>IFERROR(__xludf.DUMMYFUNCTION("IF(OR(CZ151&gt;$BS151+$BT151*$BT$2,CZ151&lt;$BS151-$BT151*$BT$2),AVEDEV(ARRAYFORMULA(XLOOKUP(FILTER(INDIRECT(""'""&amp;CZ$1&amp;""'!$C$4:$C$66""),INDIRECT(""'""&amp;CZ$1&amp;""'!$D$4:$D$66"")=CZ$2),$G$4:$BQ$4,$G151:$BQ151))),"""")"),"")</f>
        <v/>
      </c>
      <c r="DB151" s="208" t="str">
        <f t="shared" si="17"/>
        <v/>
      </c>
      <c r="DC151" s="210">
        <f>IFERROR(__xludf.DUMMYFUNCTION("AVERAGE(ARRAYFORMULA(XLOOKUP(FILTER(INDIRECT(""'""&amp;DC$1&amp;""'!$C$4:$C$66""),INDIRECT(""'""&amp;DC$1&amp;""'!$D$4:$D$66"")=DC$2),$G$4:$BQ$4,$G151:$BQ151)))"),-0.09444444444444444)</f>
        <v>-0.09444444444</v>
      </c>
      <c r="DD151" s="207" t="str">
        <f>IFERROR(__xludf.DUMMYFUNCTION("IF(OR(DC151&gt;$BS151+$BT151*$BT$2,DC151&lt;$BS151-$BT151*$BT$2),AVEDEV(ARRAYFORMULA(XLOOKUP(FILTER(INDIRECT(""'""&amp;DC$1&amp;""'!$C$4:$C$66""),INDIRECT(""'""&amp;DC$1&amp;""'!$D$4:$D$66"")=DC$2),$G$4:$BQ$4,$G151:$BQ151))),"""")"),"")</f>
        <v/>
      </c>
      <c r="DE151" s="208" t="str">
        <f t="shared" si="18"/>
        <v/>
      </c>
      <c r="DF151" s="210">
        <f>IFERROR(__xludf.DUMMYFUNCTION("AVERAGE(ARRAYFORMULA(XLOOKUP(FILTER(INDIRECT(""'""&amp;DF$1&amp;""'!$C$4:$C$66""),INDIRECT(""'""&amp;DF$1&amp;""'!$D$4:$D$66"")=DF$2),$G$4:$BQ$4,$G151:$BQ151)))"),0.2545454545454545)</f>
        <v>0.2545454545</v>
      </c>
      <c r="DG151" s="207" t="str">
        <f>IFERROR(__xludf.DUMMYFUNCTION("IF(OR(DF151&gt;$BS151+$BT151*$BT$2,DF151&lt;$BS151-$BT151*$BT$2),AVEDEV(ARRAYFORMULA(XLOOKUP(FILTER(INDIRECT(""'""&amp;DF$1&amp;""'!$C$4:$C$66""),INDIRECT(""'""&amp;DF$1&amp;""'!$D$4:$D$66"")=DF$2),$G$4:$BQ$4,$G151:$BQ151))),"""")"),"")</f>
        <v/>
      </c>
      <c r="DH151" s="208" t="str">
        <f t="shared" si="19"/>
        <v/>
      </c>
      <c r="DI151" s="210">
        <f>IFERROR(__xludf.DUMMYFUNCTION("AVERAGE(ARRAYFORMULA(XLOOKUP(FILTER(INDIRECT(""'""&amp;DI$1&amp;""'!$C$4:$C$66""),INDIRECT(""'""&amp;DI$1&amp;""'!$D$4:$D$66"")=DI$2),$G$4:$BQ$4,$G151:$BQ151)))"),0.334)</f>
        <v>0.334</v>
      </c>
      <c r="DJ151" s="207" t="str">
        <f>IFERROR(__xludf.DUMMYFUNCTION("IF(OR(DI151&gt;$BS151+$BT151*$BT$2,DI151&lt;$BS151-$BT151*$BT$2),AVEDEV(ARRAYFORMULA(XLOOKUP(FILTER(INDIRECT(""'""&amp;DI$1&amp;""'!$C$4:$C$66""),INDIRECT(""'""&amp;DI$1&amp;""'!$D$4:$D$66"")=DI$2),$G$4:$BQ$4,$G151:$BQ151))),"""")"),"")</f>
        <v/>
      </c>
      <c r="DK151" s="208" t="str">
        <f t="shared" si="20"/>
        <v/>
      </c>
      <c r="DL151" s="210">
        <f>IFERROR(__xludf.DUMMYFUNCTION("AVERAGE(ARRAYFORMULA(XLOOKUP(FILTER(INDIRECT(""'""&amp;DL$1&amp;""'!$C$4:$C$66""),INDIRECT(""'""&amp;DL$1&amp;""'!$D$4:$D$66"")=DL$2),$G$4:$BQ$4,$G151:$BQ151)))"),0.16071428571428573)</f>
        <v>0.1607142857</v>
      </c>
      <c r="DM151" s="207" t="str">
        <f>IFERROR(__xludf.DUMMYFUNCTION("IF(OR(DL151&gt;$BS151+$BT151*$BT$2,DL151&lt;$BS151-$BT151*$BT$2),AVEDEV(ARRAYFORMULA(XLOOKUP(FILTER(INDIRECT(""'""&amp;DL$1&amp;""'!$C$4:$C$66""),INDIRECT(""'""&amp;DL$1&amp;""'!$D$4:$D$66"")=DL$2),$G$4:$BQ$4,$G151:$BQ151))),"""")"),"")</f>
        <v/>
      </c>
      <c r="DN151" s="208" t="str">
        <f t="shared" si="21"/>
        <v/>
      </c>
      <c r="DO151" s="209" t="s">
        <v>444</v>
      </c>
      <c r="DP151" s="210">
        <f>IFERROR(__xludf.DUMMYFUNCTION("AVERAGE(ARRAYFORMULA(XLOOKUP(FILTER(INDIRECT(""'""&amp;DP$1&amp;""'!$C$4:$C$66""),INDIRECT(""'""&amp;DP$1&amp;""'!$D$4:$D$66"")=DP$2),$G$4:$BQ$4,$G151:$BQ151)))"),0.44273333333333337)</f>
        <v>0.4427333333</v>
      </c>
      <c r="DQ151" s="207" t="str">
        <f>IFERROR(__xludf.DUMMYFUNCTION("IF(OR(DP151&gt;$BS151+$BT151*$BT$2,DP151&lt;$BS151-$BT151*$BT$2),AVEDEV(ARRAYFORMULA(XLOOKUP(FILTER(INDIRECT(""'""&amp;DP$1&amp;""'!$C$4:$C$66""),INDIRECT(""'""&amp;DP$1&amp;""'!$D$4:$D$66"")=DP$2),$G$4:$BQ$4,$G151:$BQ151))),"""")"),"")</f>
        <v/>
      </c>
      <c r="DR151" s="208" t="str">
        <f t="shared" si="22"/>
        <v/>
      </c>
      <c r="DS151" s="210">
        <f>IFERROR(__xludf.DUMMYFUNCTION("AVERAGE(ARRAYFORMULA(XLOOKUP(FILTER(INDIRECT(""'""&amp;DS$1&amp;""'!$C$4:$C$66""),INDIRECT(""'""&amp;DS$1&amp;""'!$D$4:$D$66"")=DS$2),$G$4:$BQ$4,$G151:$BQ151)))"),0.01666666666666667)</f>
        <v>0.01666666667</v>
      </c>
      <c r="DT151" s="207" t="str">
        <f>IFERROR(__xludf.DUMMYFUNCTION("IF(OR(DS151&gt;$BS151+$BT151*$BT$2,DS151&lt;$BS151-$BT151*$BT$2),AVEDEV(ARRAYFORMULA(XLOOKUP(FILTER(INDIRECT(""'""&amp;DS$1&amp;""'!$C$4:$C$66""),INDIRECT(""'""&amp;DS$1&amp;""'!$D$4:$D$66"")=DS$2),$G$4:$BQ$4,$G151:$BQ151))),"""")"),"")</f>
        <v/>
      </c>
      <c r="DU151" s="208" t="str">
        <f t="shared" si="23"/>
        <v/>
      </c>
      <c r="DV151" s="210">
        <f>IFERROR(__xludf.DUMMYFUNCTION("AVERAGE(ARRAYFORMULA(XLOOKUP(FILTER(INDIRECT(""'""&amp;DV$1&amp;""'!$C$4:$C$66""),INDIRECT(""'""&amp;DV$1&amp;""'!$D$4:$D$66"")=DV$2),$G$4:$BQ$4,$G151:$BQ151)))"),0.54375)</f>
        <v>0.54375</v>
      </c>
      <c r="DW151" s="207" t="str">
        <f>IFERROR(__xludf.DUMMYFUNCTION("IF(OR(DV151&gt;$BS151+$BT151*$BT$2,DV151&lt;$BS151-$BT151*$BT$2),AVEDEV(ARRAYFORMULA(XLOOKUP(FILTER(INDIRECT(""'""&amp;DV$1&amp;""'!$C$4:$C$66""),INDIRECT(""'""&amp;DV$1&amp;""'!$D$4:$D$66"")=DV$2),$G$4:$BQ$4,$G151:$BQ151))),"""")"),"")</f>
        <v/>
      </c>
      <c r="DX151" s="208" t="str">
        <f t="shared" si="24"/>
        <v/>
      </c>
      <c r="DY151" s="210">
        <f>IFERROR(__xludf.DUMMYFUNCTION("AVERAGE(ARRAYFORMULA(XLOOKUP(FILTER(INDIRECT(""'""&amp;DY$1&amp;""'!$C$4:$C$66""),INDIRECT(""'""&amp;DY$1&amp;""'!$D$4:$D$66"")=DY$2),$G$4:$BQ$4,$G151:$BQ151)))"),0.07422222222222223)</f>
        <v>0.07422222222</v>
      </c>
      <c r="DZ151" s="207" t="str">
        <f>IFERROR(__xludf.DUMMYFUNCTION("IF(OR(DY151&gt;$BS151+$BT151*$BT$2,DY151&lt;$BS151-$BT151*$BT$2),AVEDEV(ARRAYFORMULA(XLOOKUP(FILTER(INDIRECT(""'""&amp;DY$1&amp;""'!$C$4:$C$66""),INDIRECT(""'""&amp;DY$1&amp;""'!$D$4:$D$66"")=DY$2),$G$4:$BQ$4,$G151:$BQ151))),"""")"),"")</f>
        <v/>
      </c>
      <c r="EA151" s="208" t="str">
        <f t="shared" si="25"/>
        <v/>
      </c>
      <c r="EB151" s="191"/>
    </row>
    <row r="152" outlineLevel="1">
      <c r="A152" s="2"/>
      <c r="B152" s="204">
        <v>148.0</v>
      </c>
      <c r="C152" s="204" t="s">
        <v>540</v>
      </c>
      <c r="D152" s="204" t="s">
        <v>594</v>
      </c>
      <c r="E152" s="205" t="b">
        <f>VLOOKUP(D152,'Feature Set List'!A148:C246,2,0)</f>
        <v>1</v>
      </c>
      <c r="F152" s="205" t="b">
        <f>VLOOKUP(D152,'Feature Set List'!A148:C246,3,0)</f>
        <v>0</v>
      </c>
      <c r="G152" s="205">
        <v>0.0905874</v>
      </c>
      <c r="H152" s="205">
        <v>0.11464968</v>
      </c>
      <c r="I152" s="205">
        <v>0.03680113</v>
      </c>
      <c r="J152" s="205">
        <v>0.87048832</v>
      </c>
      <c r="K152" s="205">
        <v>-0.7149328</v>
      </c>
      <c r="L152" s="205">
        <v>-0.9452229</v>
      </c>
      <c r="M152" s="205">
        <v>0.06794055</v>
      </c>
      <c r="N152" s="205">
        <v>0.77990092</v>
      </c>
      <c r="O152" s="205">
        <v>-0.4416136</v>
      </c>
      <c r="P152" s="205">
        <v>-0.4911536</v>
      </c>
      <c r="Q152" s="205">
        <v>0.82802548</v>
      </c>
      <c r="R152" s="205">
        <v>-0.3765039</v>
      </c>
      <c r="S152" s="205">
        <v>-0.3481953</v>
      </c>
      <c r="T152" s="205">
        <v>-0.4359519</v>
      </c>
      <c r="U152" s="205">
        <v>-0.2745931</v>
      </c>
      <c r="V152" s="205">
        <v>0.57466384</v>
      </c>
      <c r="W152" s="205">
        <v>-0.6332626</v>
      </c>
      <c r="X152" s="205">
        <v>0.07360226</v>
      </c>
      <c r="Y152" s="205">
        <v>-0.9132343</v>
      </c>
      <c r="Z152" s="205">
        <v>1.3970276</v>
      </c>
      <c r="AA152" s="205">
        <v>-0.2830856</v>
      </c>
      <c r="AB152" s="205">
        <v>-0.4585987</v>
      </c>
      <c r="AC152" s="205">
        <v>-0.2533616</v>
      </c>
      <c r="AD152" s="205">
        <v>0.85491861</v>
      </c>
      <c r="AE152" s="205">
        <v>0.16418967</v>
      </c>
      <c r="AF152" s="205">
        <v>-0.6141543</v>
      </c>
      <c r="AG152" s="205">
        <v>1.00778485</v>
      </c>
      <c r="AH152" s="205">
        <v>0.32271762</v>
      </c>
      <c r="AI152" s="205">
        <v>0.84642604</v>
      </c>
      <c r="AJ152" s="205">
        <v>-0.472753</v>
      </c>
      <c r="AK152" s="205">
        <v>0.66383581</v>
      </c>
      <c r="AL152" s="205">
        <v>0.30997877</v>
      </c>
      <c r="AM152" s="205">
        <v>-0.3142251</v>
      </c>
      <c r="AN152" s="205">
        <v>-0.2208068</v>
      </c>
      <c r="AO152" s="205">
        <v>0.20523708</v>
      </c>
      <c r="AP152" s="205">
        <v>0.97523001</v>
      </c>
      <c r="AQ152" s="205">
        <v>0.61146497</v>
      </c>
      <c r="AR152" s="205">
        <v>1.81599434</v>
      </c>
      <c r="AS152" s="205">
        <v>-0.6294409</v>
      </c>
      <c r="AT152" s="205">
        <v>-0.3354565</v>
      </c>
      <c r="AU152" s="205">
        <v>3.90233546</v>
      </c>
      <c r="AV152" s="205">
        <v>-0.1245577</v>
      </c>
      <c r="AW152" s="205">
        <v>0.90870488</v>
      </c>
      <c r="AX152" s="205">
        <v>0.78131635</v>
      </c>
      <c r="AY152" s="205">
        <v>0.44302902</v>
      </c>
      <c r="AZ152" s="205">
        <v>-0.158528</v>
      </c>
      <c r="BA152" s="205">
        <v>-0.3821656</v>
      </c>
      <c r="BB152" s="205">
        <v>0.98938429</v>
      </c>
      <c r="BC152" s="205">
        <v>0.09624912</v>
      </c>
      <c r="BD152" s="205">
        <v>-1.0682236</v>
      </c>
      <c r="BE152" s="205">
        <v>-0.4317056</v>
      </c>
      <c r="BF152" s="205">
        <v>-0.2929936</v>
      </c>
      <c r="BG152" s="205">
        <v>-0.6111819</v>
      </c>
      <c r="BH152" s="205">
        <v>0.87048832</v>
      </c>
      <c r="BI152" s="205">
        <v>0.0</v>
      </c>
      <c r="BJ152" s="205">
        <v>0.3113942</v>
      </c>
      <c r="BK152" s="205">
        <v>0.54069356</v>
      </c>
      <c r="BL152" s="205">
        <v>-0.2024062</v>
      </c>
      <c r="BM152" s="205">
        <v>-0.2646851</v>
      </c>
      <c r="BN152" s="205">
        <v>-0.9133758</v>
      </c>
      <c r="BO152" s="205">
        <v>-0.3170559</v>
      </c>
      <c r="BP152" s="205">
        <v>0.37791932</v>
      </c>
      <c r="BQ152" s="205">
        <v>-1.0802548</v>
      </c>
      <c r="BR152" s="206"/>
      <c r="BS152" s="207">
        <f t="shared" si="6"/>
        <v>0.1084015741</v>
      </c>
      <c r="BT152" s="207">
        <f t="shared" si="7"/>
        <v>0.5920431137</v>
      </c>
      <c r="BU152" s="206"/>
      <c r="BV152" s="207">
        <f>IFERROR(__xludf.DUMMYFUNCTION("AVERAGE(ARRAYFORMULA(XLOOKUP(FILTER(INDIRECT(""'""&amp;BV$1&amp;""'!$C$4:$C$66""),INDIRECT(""'""&amp;BV$1&amp;""'!$D$4:$D$66"")=BV$2),$G$4:$BQ$4,$G152:$BQ152)))"),0.1146496785714286)</f>
        <v>0.1146496786</v>
      </c>
      <c r="BW152" s="207" t="str">
        <f>IFERROR(__xludf.DUMMYFUNCTION("IF(OR(BV152&gt;$BS152+$BT152*$BT$2,BV152&lt;$BS152-$BT152*$BT$2),AVEDEV(ARRAYFORMULA(XLOOKUP(FILTER(INDIRECT(""'""&amp;BV$1&amp;""'!$C$4:$C$66""),INDIRECT(""'""&amp;BV$1&amp;""'!$D$4:$D$66"")=BV$2),$G$4:$BQ$4,$G152:$BQ152))),"""")"),"")</f>
        <v/>
      </c>
      <c r="BX152" s="208" t="str">
        <f t="shared" si="8"/>
        <v/>
      </c>
      <c r="BY152" s="207">
        <f>IFERROR(__xludf.DUMMYFUNCTION("AVERAGE(ARRAYFORMULA(XLOOKUP(FILTER(INDIRECT(""'""&amp;BY$1&amp;""'!$C$4:$C$66""),INDIRECT(""'""&amp;BY$1&amp;""'!$D$4:$D$66"")=BY$2),$G$4:$BQ$4,$G152:$BQ152)))"),0.18656354238095238)</f>
        <v>0.1865635424</v>
      </c>
      <c r="BZ152" s="207" t="str">
        <f>IFERROR(__xludf.DUMMYFUNCTION("IF(OR(BY152&gt;$BS152+$BT152*$BT$2,BY152&lt;$BS152-$BT152*$BT$2),AVEDEV(ARRAYFORMULA(XLOOKUP(FILTER(INDIRECT(""'""&amp;BY$1&amp;""'!$C$4:$C$66""),INDIRECT(""'""&amp;BY$1&amp;""'!$D$4:$D$66"")=BY$2),$G$4:$BQ$4,$G152:$BQ152))),"""")"),"")</f>
        <v/>
      </c>
      <c r="CA152" s="208" t="str">
        <f t="shared" si="9"/>
        <v/>
      </c>
      <c r="CB152" s="207">
        <f>IFERROR(__xludf.DUMMYFUNCTION("AVERAGE(ARRAYFORMULA(XLOOKUP(FILTER(INDIRECT(""'""&amp;CB$1&amp;""'!$C$4:$C$66""),INDIRECT(""'""&amp;CB$1&amp;""'!$D$4:$D$66"")=CB$2),$G$4:$BQ$4,$G152:$BQ152)))"),-0.42543912272727274)</f>
        <v>-0.4254391227</v>
      </c>
      <c r="CC152" s="207" t="str">
        <f>IFERROR(__xludf.DUMMYFUNCTION("IF(OR(CB152&gt;$BS152+$BT152*$BT$2,CB152&lt;$BS152-$BT152*$BT$2),AVEDEV(ARRAYFORMULA(XLOOKUP(FILTER(INDIRECT(""'""&amp;CB$1&amp;""'!$C$4:$C$66""),INDIRECT(""'""&amp;CB$1&amp;""'!$D$4:$D$66"")=CB$2),$G$4:$BQ$4,$G152:$BQ152))),"""")"),"")</f>
        <v/>
      </c>
      <c r="CD152" s="208" t="str">
        <f t="shared" si="10"/>
        <v/>
      </c>
      <c r="CE152" s="209" t="s">
        <v>444</v>
      </c>
      <c r="CF152" s="207">
        <f>IFERROR(__xludf.DUMMYFUNCTION("AVERAGE(ARRAYFORMULA(XLOOKUP(FILTER(INDIRECT(""'""&amp;CF$1&amp;""'!$C$4:$C$66""),INDIRECT(""'""&amp;CF$1&amp;""'!$D$4:$D$66"")=CF$2),$G$4:$BQ$4,$G152:$BQ152)))"),0.4305467050000001)</f>
        <v>0.430546705</v>
      </c>
      <c r="CG152" s="207" t="str">
        <f>IFERROR(__xludf.DUMMYFUNCTION("IF(OR(CF152&gt;$BS152+$BT152*$BT$2,CF152&lt;$BS152-$BT152*$BT$2),AVEDEV(ARRAYFORMULA(XLOOKUP(FILTER(INDIRECT(""'""&amp;CF$1&amp;""'!$C$4:$C$66""),INDIRECT(""'""&amp;CF$1&amp;""'!$D$4:$D$66"")=CF$2),$G$4:$BQ$4,$G152:$BQ152))),"""")"),"")</f>
        <v/>
      </c>
      <c r="CH152" s="208" t="str">
        <f t="shared" si="11"/>
        <v/>
      </c>
      <c r="CI152" s="207">
        <f>IFERROR(__xludf.DUMMYFUNCTION("AVERAGE(ARRAYFORMULA(XLOOKUP(FILTER(INDIRECT(""'""&amp;CI$1&amp;""'!$C$4:$C$66""),INDIRECT(""'""&amp;CI$1&amp;""'!$D$4:$D$66"")=CI$2),$G$4:$BQ$4,$G152:$BQ152)))"),-0.08267927193548388)</f>
        <v>-0.08267927194</v>
      </c>
      <c r="CJ152" s="207" t="str">
        <f>IFERROR(__xludf.DUMMYFUNCTION("IF(OR(CI152&gt;$BS152+$BT152*$BT$2,CI152&lt;$BS152-$BT152*$BT$2),AVEDEV(ARRAYFORMULA(XLOOKUP(FILTER(INDIRECT(""'""&amp;CI$1&amp;""'!$C$4:$C$66""),INDIRECT(""'""&amp;CI$1&amp;""'!$D$4:$D$66"")=CI$2),$G$4:$BQ$4,$G152:$BQ152))),"""")"),"")</f>
        <v/>
      </c>
      <c r="CK152" s="208" t="str">
        <f t="shared" si="12"/>
        <v/>
      </c>
      <c r="CL152" s="207">
        <f>IFERROR(__xludf.DUMMYFUNCTION("AVERAGE(ARRAYFORMULA(XLOOKUP(FILTER(INDIRECT(""'""&amp;CL$1&amp;""'!$C$4:$C$66""),INDIRECT(""'""&amp;CL$1&amp;""'!$D$4:$D$66"")=CL$2),$G$4:$BQ$4,$G152:$BQ152)))"),-0.5099787800000001)</f>
        <v>-0.50997878</v>
      </c>
      <c r="CM152" s="207">
        <f>IFERROR(__xludf.DUMMYFUNCTION("IF(OR(CL152&gt;$BS152+$BT152*$BT$2,CL152&lt;$BS152-$BT152*$BT$2),AVEDEV(ARRAYFORMULA(XLOOKUP(FILTER(INDIRECT(""'""&amp;CL$1&amp;""'!$C$4:$C$66""),INDIRECT(""'""&amp;CL$1&amp;""'!$D$4:$D$66"")=CL$2),$G$4:$BQ$4,$G152:$BQ152))),"""")"),0.08826609599999999)</f>
        <v>0.088266096</v>
      </c>
      <c r="CN152" s="208">
        <f t="shared" si="13"/>
        <v>-0.02633724039</v>
      </c>
      <c r="CO152" s="209" t="s">
        <v>444</v>
      </c>
      <c r="CP152" s="210">
        <f>IFERROR(__xludf.DUMMYFUNCTION("AVERAGE(ARRAYFORMULA(XLOOKUP(FILTER(INDIRECT(""'""&amp;CP$1&amp;""'!$C$4:$C$66""),INDIRECT(""'""&amp;CP$1&amp;""'!$D$4:$D$66"")=CP$2),$G$4:$BQ$4,$G152:$BQ152)))"),-0.07409294933333331)</f>
        <v>-0.07409294933</v>
      </c>
      <c r="CQ152" s="207" t="str">
        <f>IFERROR(__xludf.DUMMYFUNCTION("IF(OR(CP152&gt;$BS152+$BT152*$BT$2,CP152&lt;$BS152-$BT152*$BT$2),AVEDEV(ARRAYFORMULA(XLOOKUP(FILTER(INDIRECT(""'""&amp;CP$1&amp;""'!$C$4:$C$66""),INDIRECT(""'""&amp;CP$1&amp;""'!$D$4:$D$66"")=CP$2),$G$4:$BQ$4,$G152:$BQ152))),"""")"),"")</f>
        <v/>
      </c>
      <c r="CR152" s="208" t="str">
        <f t="shared" si="14"/>
        <v/>
      </c>
      <c r="CS152" s="210">
        <f>IFERROR(__xludf.DUMMYFUNCTION("AVERAGE(ARRAYFORMULA(XLOOKUP(FILTER(INDIRECT(""'""&amp;CS$1&amp;""'!$C$4:$C$66""),INDIRECT(""'""&amp;CS$1&amp;""'!$D$4:$D$66"")=CS$2),$G$4:$BQ$4,$G152:$BQ152)))"),0.2005661671794872)</f>
        <v>0.2005661672</v>
      </c>
      <c r="CT152" s="207" t="str">
        <f>IFERROR(__xludf.DUMMYFUNCTION("IF(OR(CS152&gt;$BS152+$BT152*$BT$2,CS152&lt;$BS152-$BT152*$BT$2),AVEDEV(ARRAYFORMULA(XLOOKUP(FILTER(INDIRECT(""'""&amp;CS$1&amp;""'!$C$4:$C$66""),INDIRECT(""'""&amp;CS$1&amp;""'!$D$4:$D$66"")=CS$2),$G$4:$BQ$4,$G152:$BQ152))),"""")"),"")</f>
        <v/>
      </c>
      <c r="CU152" s="208" t="str">
        <f t="shared" si="15"/>
        <v/>
      </c>
      <c r="CV152" s="212">
        <f>IFERROR(__xludf.DUMMYFUNCTION("AVERAGE(ARRAYFORMULA(XLOOKUP(FILTER(INDIRECT(""'""&amp;CV$1&amp;""'!$C$4:$C$66""),INDIRECT(""'""&amp;CV$1&amp;""'!$D$4:$D$66"")=CV$2),$G$4:$BQ$4,$G152:$BQ152)))"),-0.5099787800000001)</f>
        <v>-0.50997878</v>
      </c>
      <c r="CW152" s="207">
        <f>IFERROR(__xludf.DUMMYFUNCTION("IF(OR(CV152&gt;$BS152+$BT152*$BT$2,CV152&lt;$BS152-$BT152*$BT$2),AVEDEV(ARRAYFORMULA(XLOOKUP(FILTER(INDIRECT(""'""&amp;CV$1&amp;""'!$C$4:$C$66""),INDIRECT(""'""&amp;CV$1&amp;""'!$D$4:$D$66"")=CV$2),$G$4:$BQ$4,$G152:$BQ152))),"""")"),0.08826609599999999)</f>
        <v>0.088266096</v>
      </c>
      <c r="CX152" s="208">
        <f t="shared" si="16"/>
        <v>-0.02633724039</v>
      </c>
      <c r="CY152" s="209" t="s">
        <v>444</v>
      </c>
      <c r="CZ152" s="210">
        <f>IFERROR(__xludf.DUMMYFUNCTION("AVERAGE(ARRAYFORMULA(XLOOKUP(FILTER(INDIRECT(""'""&amp;CZ$1&amp;""'!$C$4:$C$66""),INDIRECT(""'""&amp;CZ$1&amp;""'!$D$4:$D$66"")=CZ$2),$G$4:$BQ$4,$G152:$BQ152)))"),0.5767869800000002)</f>
        <v>0.57678698</v>
      </c>
      <c r="DA152" s="207" t="str">
        <f>IFERROR(__xludf.DUMMYFUNCTION("IF(OR(CZ152&gt;$BS152+$BT152*$BT$2,CZ152&lt;$BS152-$BT152*$BT$2),AVEDEV(ARRAYFORMULA(XLOOKUP(FILTER(INDIRECT(""'""&amp;CZ$1&amp;""'!$C$4:$C$66""),INDIRECT(""'""&amp;CZ$1&amp;""'!$D$4:$D$66"")=CZ$2),$G$4:$BQ$4,$G152:$BQ152))),"""")"),"")</f>
        <v/>
      </c>
      <c r="DB152" s="208" t="str">
        <f t="shared" si="17"/>
        <v/>
      </c>
      <c r="DC152" s="210">
        <f>IFERROR(__xludf.DUMMYFUNCTION("AVERAGE(ARRAYFORMULA(XLOOKUP(FILTER(INDIRECT(""'""&amp;DC$1&amp;""'!$C$4:$C$66""),INDIRECT(""'""&amp;DC$1&amp;""'!$D$4:$D$66"")=DC$2),$G$4:$BQ$4,$G152:$BQ152)))"),-0.4729574722222222)</f>
        <v>-0.4729574722</v>
      </c>
      <c r="DD152" s="207" t="str">
        <f>IFERROR(__xludf.DUMMYFUNCTION("IF(OR(DC152&gt;$BS152+$BT152*$BT$2,DC152&lt;$BS152-$BT152*$BT$2),AVEDEV(ARRAYFORMULA(XLOOKUP(FILTER(INDIRECT(""'""&amp;DC$1&amp;""'!$C$4:$C$66""),INDIRECT(""'""&amp;DC$1&amp;""'!$D$4:$D$66"")=DC$2),$G$4:$BQ$4,$G152:$BQ152))),"""")"),"")</f>
        <v/>
      </c>
      <c r="DE152" s="208" t="str">
        <f t="shared" si="18"/>
        <v/>
      </c>
      <c r="DF152" s="210">
        <f>IFERROR(__xludf.DUMMYFUNCTION("AVERAGE(ARRAYFORMULA(XLOOKUP(FILTER(INDIRECT(""'""&amp;DF$1&amp;""'!$C$4:$C$66""),INDIRECT(""'""&amp;DF$1&amp;""'!$D$4:$D$66"")=DF$2),$G$4:$BQ$4,$G152:$BQ152)))"),-0.2619571527272727)</f>
        <v>-0.2619571527</v>
      </c>
      <c r="DG152" s="207" t="str">
        <f>IFERROR(__xludf.DUMMYFUNCTION("IF(OR(DF152&gt;$BS152+$BT152*$BT$2,DF152&lt;$BS152-$BT152*$BT$2),AVEDEV(ARRAYFORMULA(XLOOKUP(FILTER(INDIRECT(""'""&amp;DF$1&amp;""'!$C$4:$C$66""),INDIRECT(""'""&amp;DF$1&amp;""'!$D$4:$D$66"")=DF$2),$G$4:$BQ$4,$G152:$BQ152))),"""")"),"")</f>
        <v/>
      </c>
      <c r="DH152" s="208" t="str">
        <f t="shared" si="19"/>
        <v/>
      </c>
      <c r="DI152" s="210">
        <f>IFERROR(__xludf.DUMMYFUNCTION("AVERAGE(ARRAYFORMULA(XLOOKUP(FILTER(INDIRECT(""'""&amp;DI$1&amp;""'!$C$4:$C$66""),INDIRECT(""'""&amp;DI$1&amp;""'!$D$4:$D$66"")=DI$2),$G$4:$BQ$4,$G152:$BQ152)))"),0.8627034650000001)</f>
        <v>0.862703465</v>
      </c>
      <c r="DJ152" s="207">
        <f>IFERROR(__xludf.DUMMYFUNCTION("IF(OR(DI152&gt;$BS152+$BT152*$BT$2,DI152&lt;$BS152-$BT152*$BT$2),AVEDEV(ARRAYFORMULA(XLOOKUP(FILTER(INDIRECT(""'""&amp;DI$1&amp;""'!$C$4:$C$66""),INDIRECT(""'""&amp;DI$1&amp;""'!$D$4:$D$66"")=DI$2),$G$4:$BQ$4,$G152:$BQ152))),"""")"),0.007784854999999979)</f>
        <v>0.007784855</v>
      </c>
      <c r="DK152" s="208">
        <f t="shared" si="20"/>
        <v>0.1622587771</v>
      </c>
      <c r="DL152" s="212">
        <f>IFERROR(__xludf.DUMMYFUNCTION("AVERAGE(ARRAYFORMULA(XLOOKUP(FILTER(INDIRECT(""'""&amp;DL$1&amp;""'!$C$4:$C$66""),INDIRECT(""'""&amp;DL$1&amp;""'!$D$4:$D$66"")=DL$2),$G$4:$BQ$4,$G152:$BQ152)))"),0.15018703642857142)</f>
        <v>0.1501870364</v>
      </c>
      <c r="DM152" s="207" t="str">
        <f>IFERROR(__xludf.DUMMYFUNCTION("IF(OR(DL152&gt;$BS152+$BT152*$BT$2,DL152&lt;$BS152-$BT152*$BT$2),AVEDEV(ARRAYFORMULA(XLOOKUP(FILTER(INDIRECT(""'""&amp;DL$1&amp;""'!$C$4:$C$66""),INDIRECT(""'""&amp;DL$1&amp;""'!$D$4:$D$66"")=DL$2),$G$4:$BQ$4,$G152:$BQ152))),"""")"),"")</f>
        <v/>
      </c>
      <c r="DN152" s="208" t="str">
        <f t="shared" si="21"/>
        <v/>
      </c>
      <c r="DO152" s="209" t="s">
        <v>444</v>
      </c>
      <c r="DP152" s="210">
        <f>IFERROR(__xludf.DUMMYFUNCTION("AVERAGE(ARRAYFORMULA(XLOOKUP(FILTER(INDIRECT(""'""&amp;DP$1&amp;""'!$C$4:$C$66""),INDIRECT(""'""&amp;DP$1&amp;""'!$D$4:$D$66"")=DP$2),$G$4:$BQ$4,$G152:$BQ152)))"),0.2721349373333333)</f>
        <v>0.2721349373</v>
      </c>
      <c r="DQ152" s="207" t="str">
        <f>IFERROR(__xludf.DUMMYFUNCTION("IF(OR(DP152&gt;$BS152+$BT152*$BT$2,DP152&lt;$BS152-$BT152*$BT$2),AVEDEV(ARRAYFORMULA(XLOOKUP(FILTER(INDIRECT(""'""&amp;DP$1&amp;""'!$C$4:$C$66""),INDIRECT(""'""&amp;DP$1&amp;""'!$D$4:$D$66"")=DP$2),$G$4:$BQ$4,$G152:$BQ152))),"""")"),"")</f>
        <v/>
      </c>
      <c r="DR152" s="208" t="str">
        <f t="shared" si="22"/>
        <v/>
      </c>
      <c r="DS152" s="210">
        <f>IFERROR(__xludf.DUMMYFUNCTION("AVERAGE(ARRAYFORMULA(XLOOKUP(FILTER(INDIRECT(""'""&amp;DS$1&amp;""'!$C$4:$C$66""),INDIRECT(""'""&amp;DS$1&amp;""'!$D$4:$D$66"")=DS$2),$G$4:$BQ$4,$G152:$BQ152)))"),-0.3464968277777778)</f>
        <v>-0.3464968278</v>
      </c>
      <c r="DT152" s="207" t="str">
        <f>IFERROR(__xludf.DUMMYFUNCTION("IF(OR(DS152&gt;$BS152+$BT152*$BT$2,DS152&lt;$BS152-$BT152*$BT$2),AVEDEV(ARRAYFORMULA(XLOOKUP(FILTER(INDIRECT(""'""&amp;DS$1&amp;""'!$C$4:$C$66""),INDIRECT(""'""&amp;DS$1&amp;""'!$D$4:$D$66"")=DS$2),$G$4:$BQ$4,$G152:$BQ152))),"""")"),"")</f>
        <v/>
      </c>
      <c r="DU152" s="208" t="str">
        <f t="shared" si="23"/>
        <v/>
      </c>
      <c r="DV152" s="210">
        <f>IFERROR(__xludf.DUMMYFUNCTION("AVERAGE(ARRAYFORMULA(XLOOKUP(FILTER(INDIRECT(""'""&amp;DV$1&amp;""'!$C$4:$C$66""),INDIRECT(""'""&amp;DV$1&amp;""'!$D$4:$D$66"")=DV$2),$G$4:$BQ$4,$G152:$BQ152)))"),-0.23903043499999999)</f>
        <v>-0.239030435</v>
      </c>
      <c r="DW152" s="207" t="str">
        <f>IFERROR(__xludf.DUMMYFUNCTION("IF(OR(DV152&gt;$BS152+$BT152*$BT$2,DV152&lt;$BS152-$BT152*$BT$2),AVEDEV(ARRAYFORMULA(XLOOKUP(FILTER(INDIRECT(""'""&amp;DV$1&amp;""'!$C$4:$C$66""),INDIRECT(""'""&amp;DV$1&amp;""'!$D$4:$D$66"")=DV$2),$G$4:$BQ$4,$G152:$BQ152))),"""")"),"")</f>
        <v/>
      </c>
      <c r="DX152" s="208" t="str">
        <f t="shared" si="24"/>
        <v/>
      </c>
      <c r="DY152" s="210">
        <f>IFERROR(__xludf.DUMMYFUNCTION("AVERAGE(ARRAYFORMULA(XLOOKUP(FILTER(INDIRECT(""'""&amp;DY$1&amp;""'!$C$4:$C$66""),INDIRECT(""'""&amp;DY$1&amp;""'!$D$4:$D$66"")=DY$2),$G$4:$BQ$4,$G152:$BQ152)))"),-0.11859716555555555)</f>
        <v>-0.1185971656</v>
      </c>
      <c r="DZ152" s="207" t="str">
        <f>IFERROR(__xludf.DUMMYFUNCTION("IF(OR(DY152&gt;$BS152+$BT152*$BT$2,DY152&lt;$BS152-$BT152*$BT$2),AVEDEV(ARRAYFORMULA(XLOOKUP(FILTER(INDIRECT(""'""&amp;DY$1&amp;""'!$C$4:$C$66""),INDIRECT(""'""&amp;DY$1&amp;""'!$D$4:$D$66"")=DY$2),$G$4:$BQ$4,$G152:$BQ152))),"""")"),"")</f>
        <v/>
      </c>
      <c r="EA152" s="208" t="str">
        <f t="shared" si="25"/>
        <v/>
      </c>
      <c r="EB152" s="191"/>
    </row>
    <row r="153" outlineLevel="1">
      <c r="A153" s="2"/>
      <c r="B153" s="204">
        <v>149.0</v>
      </c>
      <c r="C153" s="204" t="s">
        <v>540</v>
      </c>
      <c r="D153" s="204" t="s">
        <v>595</v>
      </c>
      <c r="E153" s="205" t="b">
        <f>VLOOKUP(D153,'Feature Set List'!A149:C246,2,0)</f>
        <v>1</v>
      </c>
      <c r="F153" s="205" t="b">
        <f>VLOOKUP(D153,'Feature Set List'!A149:C246,3,0)</f>
        <v>0</v>
      </c>
      <c r="G153" s="205">
        <v>0.34701782</v>
      </c>
      <c r="H153" s="205">
        <v>0.43996902</v>
      </c>
      <c r="I153" s="205">
        <v>0.36715724</v>
      </c>
      <c r="J153" s="205">
        <v>1.03950426</v>
      </c>
      <c r="K153" s="205">
        <v>-0.4302091</v>
      </c>
      <c r="L153" s="205">
        <v>-0.7288923</v>
      </c>
      <c r="M153" s="205">
        <v>-0.8938807</v>
      </c>
      <c r="N153" s="205">
        <v>1.08907823</v>
      </c>
      <c r="O153" s="205">
        <v>-0.2158017</v>
      </c>
      <c r="P153" s="205">
        <v>-0.4731216</v>
      </c>
      <c r="Q153" s="205">
        <v>0.51897754</v>
      </c>
      <c r="R153" s="205">
        <v>-0.0604183</v>
      </c>
      <c r="S153" s="205">
        <v>-0.0852053</v>
      </c>
      <c r="T153" s="205">
        <v>-0.1068939</v>
      </c>
      <c r="U153" s="205">
        <v>0.06506584</v>
      </c>
      <c r="V153" s="205">
        <v>0.95429899</v>
      </c>
      <c r="W153" s="205">
        <v>-0.3683966</v>
      </c>
      <c r="X153" s="205">
        <v>0.42447715</v>
      </c>
      <c r="Y153" s="205">
        <v>-0.725794</v>
      </c>
      <c r="Z153" s="205">
        <v>1.37103021</v>
      </c>
      <c r="AA153" s="205">
        <v>-0.0371805</v>
      </c>
      <c r="AB153" s="205">
        <v>-0.1797057</v>
      </c>
      <c r="AC153" s="205">
        <v>-0.0387297</v>
      </c>
      <c r="AD153" s="205">
        <v>1.26413633</v>
      </c>
      <c r="AE153" s="205">
        <v>0.53601859</v>
      </c>
      <c r="AF153" s="205">
        <v>-0.3718048</v>
      </c>
      <c r="AG153" s="205">
        <v>1.21611154</v>
      </c>
      <c r="AH153" s="205">
        <v>0.65375678</v>
      </c>
      <c r="AI153" s="205">
        <v>-0.4949651</v>
      </c>
      <c r="AJ153" s="205">
        <v>-0.2275755</v>
      </c>
      <c r="AK153" s="205">
        <v>0.84740511</v>
      </c>
      <c r="AL153" s="205">
        <v>0.66150271</v>
      </c>
      <c r="AM153" s="205">
        <v>-0.1037955</v>
      </c>
      <c r="AN153" s="205">
        <v>0.03563129</v>
      </c>
      <c r="AO153" s="205">
        <v>0.36560806</v>
      </c>
      <c r="AP153" s="205">
        <v>1.01936483</v>
      </c>
      <c r="AQ153" s="205">
        <v>1.01781565</v>
      </c>
      <c r="AR153" s="205">
        <v>2.06661503</v>
      </c>
      <c r="AS153" s="205">
        <v>-0.335244</v>
      </c>
      <c r="AT153" s="205">
        <v>0.0</v>
      </c>
      <c r="AU153" s="205">
        <v>-0.3494965</v>
      </c>
      <c r="AV153" s="205">
        <v>0.08520527</v>
      </c>
      <c r="AW153" s="205">
        <v>1.09372579</v>
      </c>
      <c r="AX153" s="205">
        <v>1.10302091</v>
      </c>
      <c r="AY153" s="205">
        <v>0.83501162</v>
      </c>
      <c r="AZ153" s="205">
        <v>0.12083656</v>
      </c>
      <c r="BA153" s="205">
        <v>-0.6807126</v>
      </c>
      <c r="BB153" s="205">
        <v>1.16034082</v>
      </c>
      <c r="BC153" s="205">
        <v>0.41982959</v>
      </c>
      <c r="BD153" s="205">
        <v>-0.9659179</v>
      </c>
      <c r="BE153" s="205">
        <v>-0.1022463</v>
      </c>
      <c r="BF153" s="205">
        <v>-0.1564679</v>
      </c>
      <c r="BG153" s="205">
        <v>-0.4319132</v>
      </c>
      <c r="BH153" s="205">
        <v>1.28427576</v>
      </c>
      <c r="BI153" s="205">
        <v>-0.2587142</v>
      </c>
      <c r="BJ153" s="205">
        <v>0.63516654</v>
      </c>
      <c r="BK153" s="205">
        <v>0.36250968</v>
      </c>
      <c r="BL153" s="205">
        <v>-0.2466305</v>
      </c>
      <c r="BM153" s="205">
        <v>-0.5225407</v>
      </c>
      <c r="BN153" s="205">
        <v>-0.8212239</v>
      </c>
      <c r="BO153" s="205">
        <v>-0.2883036</v>
      </c>
      <c r="BP153" s="205">
        <v>-0.4791634</v>
      </c>
      <c r="BQ153" s="205">
        <v>-0.857165</v>
      </c>
      <c r="BR153" s="206"/>
      <c r="BS153" s="207">
        <f t="shared" si="6"/>
        <v>0.1803548375</v>
      </c>
      <c r="BT153" s="207">
        <f t="shared" si="7"/>
        <v>0.5785442917</v>
      </c>
      <c r="BU153" s="206"/>
      <c r="BV153" s="207">
        <f>IFERROR(__xludf.DUMMYFUNCTION("AVERAGE(ARRAYFORMULA(XLOOKUP(FILTER(INDIRECT(""'""&amp;BV$1&amp;""'!$C$4:$C$66""),INDIRECT(""'""&amp;BV$1&amp;""'!$D$4:$D$66"")=BV$2),$G$4:$BQ$4,$G153:$BQ153)))"),0.3573752414285714)</f>
        <v>0.3573752414</v>
      </c>
      <c r="BW153" s="207" t="str">
        <f>IFERROR(__xludf.DUMMYFUNCTION("IF(OR(BV153&gt;$BS153+$BT153*$BT$2,BV153&lt;$BS153-$BT153*$BT$2),AVEDEV(ARRAYFORMULA(XLOOKUP(FILTER(INDIRECT(""'""&amp;BV$1&amp;""'!$C$4:$C$66""),INDIRECT(""'""&amp;BV$1&amp;""'!$D$4:$D$66"")=BV$2),$G$4:$BQ$4,$G153:$BQ153))),"""")"),"")</f>
        <v/>
      </c>
      <c r="BX153" s="208" t="str">
        <f t="shared" si="8"/>
        <v/>
      </c>
      <c r="BY153" s="207">
        <f>IFERROR(__xludf.DUMMYFUNCTION("AVERAGE(ARRAYFORMULA(XLOOKUP(FILTER(INDIRECT(""'""&amp;BY$1&amp;""'!$C$4:$C$66""),INDIRECT(""'""&amp;BY$1&amp;""'!$D$4:$D$66"")=BY$2),$G$4:$BQ$4,$G153:$BQ153)))"),0.33840876309523804)</f>
        <v>0.3384087631</v>
      </c>
      <c r="BZ153" s="207" t="str">
        <f>IFERROR(__xludf.DUMMYFUNCTION("IF(OR(BY153&gt;$BS153+$BT153*$BT$2,BY153&lt;$BS153-$BT153*$BT$2),AVEDEV(ARRAYFORMULA(XLOOKUP(FILTER(INDIRECT(""'""&amp;BY$1&amp;""'!$C$4:$C$66""),INDIRECT(""'""&amp;BY$1&amp;""'!$D$4:$D$66"")=BY$2),$G$4:$BQ$4,$G153:$BQ153))),"""")"),"")</f>
        <v/>
      </c>
      <c r="CA153" s="208" t="str">
        <f t="shared" si="9"/>
        <v/>
      </c>
      <c r="CB153" s="207">
        <f>IFERROR(__xludf.DUMMYFUNCTION("AVERAGE(ARRAYFORMULA(XLOOKUP(FILTER(INDIRECT(""'""&amp;CB$1&amp;""'!$C$4:$C$66""),INDIRECT(""'""&amp;CB$1&amp;""'!$D$4:$D$66"")=CB$2),$G$4:$BQ$4,$G153:$BQ153)))"),-0.40038025636363644)</f>
        <v>-0.4003802564</v>
      </c>
      <c r="CC153" s="207">
        <f>IFERROR(__xludf.DUMMYFUNCTION("IF(OR(CB153&gt;$BS153+$BT153*$BT$2,CB153&lt;$BS153-$BT153*$BT$2),AVEDEV(ARRAYFORMULA(XLOOKUP(FILTER(INDIRECT(""'""&amp;CB$1&amp;""'!$C$4:$C$66""),INDIRECT(""'""&amp;CB$1&amp;""'!$D$4:$D$66"")=CB$2),$G$4:$BQ$4,$G153:$BQ153))),"""")"),0.29502915669421487)</f>
        <v>0.2950291567</v>
      </c>
      <c r="CD153" s="208">
        <f t="shared" si="10"/>
        <v>-0.002190802123</v>
      </c>
      <c r="CE153" s="209" t="s">
        <v>444</v>
      </c>
      <c r="CF153" s="207">
        <f>IFERROR(__xludf.DUMMYFUNCTION("AVERAGE(ARRAYFORMULA(XLOOKUP(FILTER(INDIRECT(""'""&amp;CF$1&amp;""'!$C$4:$C$66""),INDIRECT(""'""&amp;CF$1&amp;""'!$D$4:$D$66"")=CF$2),$G$4:$BQ$4,$G153:$BQ153)))"),0.587316035625)</f>
        <v>0.5873160356</v>
      </c>
      <c r="CG153" s="207" t="str">
        <f>IFERROR(__xludf.DUMMYFUNCTION("IF(OR(CF153&gt;$BS153+$BT153*$BT$2,CF153&lt;$BS153-$BT153*$BT$2),AVEDEV(ARRAYFORMULA(XLOOKUP(FILTER(INDIRECT(""'""&amp;CF$1&amp;""'!$C$4:$C$66""),INDIRECT(""'""&amp;CF$1&amp;""'!$D$4:$D$66"")=CF$2),$G$4:$BQ$4,$G153:$BQ153))),"""")"),"")</f>
        <v/>
      </c>
      <c r="CH153" s="208" t="str">
        <f t="shared" si="11"/>
        <v/>
      </c>
      <c r="CI153" s="207">
        <f>IFERROR(__xludf.DUMMYFUNCTION("AVERAGE(ARRAYFORMULA(XLOOKUP(FILTER(INDIRECT(""'""&amp;CI$1&amp;""'!$C$4:$C$66""),INDIRECT(""'""&amp;CI$1&amp;""'!$D$4:$D$66"")=CI$2),$G$4:$BQ$4,$G153:$BQ153)))"),0.054586338064516134)</f>
        <v>0.05458633806</v>
      </c>
      <c r="CJ153" s="207" t="str">
        <f>IFERROR(__xludf.DUMMYFUNCTION("IF(OR(CI153&gt;$BS153+$BT153*$BT$2,CI153&lt;$BS153-$BT153*$BT$2),AVEDEV(ARRAYFORMULA(XLOOKUP(FILTER(INDIRECT(""'""&amp;CI$1&amp;""'!$C$4:$C$66""),INDIRECT(""'""&amp;CI$1&amp;""'!$D$4:$D$66"")=CI$2),$G$4:$BQ$4,$G153:$BQ153))),"""")"),"")</f>
        <v/>
      </c>
      <c r="CK153" s="208" t="str">
        <f t="shared" si="12"/>
        <v/>
      </c>
      <c r="CL153" s="207">
        <f>IFERROR(__xludf.DUMMYFUNCTION("AVERAGE(ARRAYFORMULA(XLOOKUP(FILTER(INDIRECT(""'""&amp;CL$1&amp;""'!$C$4:$C$66""),INDIRECT(""'""&amp;CL$1&amp;""'!$D$4:$D$66"")=CL$2),$G$4:$BQ$4,$G153:$BQ153)))"),-0.40557706)</f>
        <v>-0.40557706</v>
      </c>
      <c r="CM153" s="207">
        <f>IFERROR(__xludf.DUMMYFUNCTION("IF(OR(CL153&gt;$BS153+$BT153*$BT$2,CL153&lt;$BS153-$BT153*$BT$2),AVEDEV(ARRAYFORMULA(XLOOKUP(FILTER(INDIRECT(""'""&amp;CL$1&amp;""'!$C$4:$C$66""),INDIRECT(""'""&amp;CL$1&amp;""'!$D$4:$D$66"")=CL$2),$G$4:$BQ$4,$G153:$BQ153))),"""")"),0.147606488)</f>
        <v>0.147606488</v>
      </c>
      <c r="CN153" s="208">
        <f t="shared" si="13"/>
        <v>-0.00738760576</v>
      </c>
      <c r="CO153" s="209" t="s">
        <v>444</v>
      </c>
      <c r="CP153" s="210">
        <f>IFERROR(__xludf.DUMMYFUNCTION("AVERAGE(ARRAYFORMULA(XLOOKUP(FILTER(INDIRECT(""'""&amp;CP$1&amp;""'!$C$4:$C$66""),INDIRECT(""'""&amp;CP$1&amp;""'!$D$4:$D$66"")=CP$2),$G$4:$BQ$4,$G153:$BQ153)))"),0.15875031533333334)</f>
        <v>0.1587503153</v>
      </c>
      <c r="CQ153" s="207" t="str">
        <f>IFERROR(__xludf.DUMMYFUNCTION("IF(OR(CP153&gt;$BS153+$BT153*$BT$2,CP153&lt;$BS153-$BT153*$BT$2),AVEDEV(ARRAYFORMULA(XLOOKUP(FILTER(INDIRECT(""'""&amp;CP$1&amp;""'!$C$4:$C$66""),INDIRECT(""'""&amp;CP$1&amp;""'!$D$4:$D$66"")=CP$2),$G$4:$BQ$4,$G153:$BQ153))),"""")"),"")</f>
        <v/>
      </c>
      <c r="CR153" s="208" t="str">
        <f t="shared" si="14"/>
        <v/>
      </c>
      <c r="CS153" s="210">
        <f>IFERROR(__xludf.DUMMYFUNCTION("AVERAGE(ARRAYFORMULA(XLOOKUP(FILTER(INDIRECT(""'""&amp;CS$1&amp;""'!$C$4:$C$66""),INDIRECT(""'""&amp;CS$1&amp;""'!$D$4:$D$66"")=CS$2),$G$4:$BQ$4,$G153:$BQ153)))"),0.3129198202564103)</f>
        <v>0.3129198203</v>
      </c>
      <c r="CT153" s="207" t="str">
        <f>IFERROR(__xludf.DUMMYFUNCTION("IF(OR(CS153&gt;$BS153+$BT153*$BT$2,CS153&lt;$BS153-$BT153*$BT$2),AVEDEV(ARRAYFORMULA(XLOOKUP(FILTER(INDIRECT(""'""&amp;CS$1&amp;""'!$C$4:$C$66""),INDIRECT(""'""&amp;CS$1&amp;""'!$D$4:$D$66"")=CS$2),$G$4:$BQ$4,$G153:$BQ153))),"""")"),"")</f>
        <v/>
      </c>
      <c r="CU153" s="208" t="str">
        <f t="shared" si="15"/>
        <v/>
      </c>
      <c r="CV153" s="210">
        <f>IFERROR(__xludf.DUMMYFUNCTION("AVERAGE(ARRAYFORMULA(XLOOKUP(FILTER(INDIRECT(""'""&amp;CV$1&amp;""'!$C$4:$C$66""),INDIRECT(""'""&amp;CV$1&amp;""'!$D$4:$D$66"")=CV$2),$G$4:$BQ$4,$G153:$BQ153)))"),-0.40557706)</f>
        <v>-0.40557706</v>
      </c>
      <c r="CW153" s="207">
        <f>IFERROR(__xludf.DUMMYFUNCTION("IF(OR(CV153&gt;$BS153+$BT153*$BT$2,CV153&lt;$BS153-$BT153*$BT$2),AVEDEV(ARRAYFORMULA(XLOOKUP(FILTER(INDIRECT(""'""&amp;CV$1&amp;""'!$C$4:$C$66""),INDIRECT(""'""&amp;CV$1&amp;""'!$D$4:$D$66"")=CV$2),$G$4:$BQ$4,$G153:$BQ153))),"""")"),0.147606488)</f>
        <v>0.147606488</v>
      </c>
      <c r="CX153" s="208">
        <f t="shared" si="16"/>
        <v>-0.00738760576</v>
      </c>
      <c r="CY153" s="209" t="s">
        <v>444</v>
      </c>
      <c r="CZ153" s="210">
        <f>IFERROR(__xludf.DUMMYFUNCTION("AVERAGE(ARRAYFORMULA(XLOOKUP(FILTER(INDIRECT(""'""&amp;CZ$1&amp;""'!$C$4:$C$66""),INDIRECT(""'""&amp;CZ$1&amp;""'!$D$4:$D$66"")=CZ$2),$G$4:$BQ$4,$G153:$BQ153)))"),0.687562242857143)</f>
        <v>0.6875622429</v>
      </c>
      <c r="DA153" s="207" t="str">
        <f>IFERROR(__xludf.DUMMYFUNCTION("IF(OR(CZ153&gt;$BS153+$BT153*$BT$2,CZ153&lt;$BS153-$BT153*$BT$2),AVEDEV(ARRAYFORMULA(XLOOKUP(FILTER(INDIRECT(""'""&amp;CZ$1&amp;""'!$C$4:$C$66""),INDIRECT(""'""&amp;CZ$1&amp;""'!$D$4:$D$66"")=CZ$2),$G$4:$BQ$4,$G153:$BQ153))),"""")"),"")</f>
        <v/>
      </c>
      <c r="DB153" s="208" t="str">
        <f t="shared" si="17"/>
        <v/>
      </c>
      <c r="DC153" s="210">
        <f>IFERROR(__xludf.DUMMYFUNCTION("AVERAGE(ARRAYFORMULA(XLOOKUP(FILTER(INDIRECT(""'""&amp;DC$1&amp;""'!$C$4:$C$66""),INDIRECT(""'""&amp;DC$1&amp;""'!$D$4:$D$66"")=DC$2),$G$4:$BQ$4,$G153:$BQ153)))"),-0.44471985333333336)</f>
        <v>-0.4447198533</v>
      </c>
      <c r="DD153" s="207">
        <f>IFERROR(__xludf.DUMMYFUNCTION("IF(OR(DC153&gt;$BS153+$BT153*$BT$2,DC153&lt;$BS153-$BT153*$BT$2),AVEDEV(ARRAYFORMULA(XLOOKUP(FILTER(INDIRECT(""'""&amp;DC$1&amp;""'!$C$4:$C$66""),INDIRECT(""'""&amp;DC$1&amp;""'!$D$4:$D$66"")=DC$2),$G$4:$BQ$4,$G153:$BQ153))),"""")"),0.28417820740740735)</f>
        <v>0.2841782074</v>
      </c>
      <c r="DE153" s="208">
        <f t="shared" si="18"/>
        <v>-0.04653039909</v>
      </c>
      <c r="DF153" s="210">
        <f>IFERROR(__xludf.DUMMYFUNCTION("AVERAGE(ARRAYFORMULA(XLOOKUP(FILTER(INDIRECT(""'""&amp;DF$1&amp;""'!$C$4:$C$66""),INDIRECT(""'""&amp;DF$1&amp;""'!$D$4:$D$66"")=DF$2),$G$4:$BQ$4,$G153:$BQ153)))"),-0.02773044454545454)</f>
        <v>-0.02773044455</v>
      </c>
      <c r="DG153" s="207" t="str">
        <f>IFERROR(__xludf.DUMMYFUNCTION("IF(OR(DF153&gt;$BS153+$BT153*$BT$2,DF153&lt;$BS153-$BT153*$BT$2),AVEDEV(ARRAYFORMULA(XLOOKUP(FILTER(INDIRECT(""'""&amp;DF$1&amp;""'!$C$4:$C$66""),INDIRECT(""'""&amp;DF$1&amp;""'!$D$4:$D$66"")=DF$2),$G$4:$BQ$4,$G153:$BQ153))),"""")"),"")</f>
        <v/>
      </c>
      <c r="DH153" s="208" t="str">
        <f t="shared" si="19"/>
        <v/>
      </c>
      <c r="DI153" s="210">
        <f>IFERROR(__xludf.DUMMYFUNCTION("AVERAGE(ARRAYFORMULA(XLOOKUP(FILTER(INDIRECT(""'""&amp;DI$1&amp;""'!$C$4:$C$66""),INDIRECT(""'""&amp;DI$1&amp;""'!$D$4:$D$66"")=DI$2),$G$4:$BQ$4,$G153:$BQ153)))"),1.2742060450000001)</f>
        <v>1.274206045</v>
      </c>
      <c r="DJ153" s="207">
        <f>IFERROR(__xludf.DUMMYFUNCTION("IF(OR(DI153&gt;$BS153+$BT153*$BT$2,DI153&lt;$BS153-$BT153*$BT$2),AVEDEV(ARRAYFORMULA(XLOOKUP(FILTER(INDIRECT(""'""&amp;DI$1&amp;""'!$C$4:$C$66""),INDIRECT(""'""&amp;DI$1&amp;""'!$D$4:$D$66"")=DI$2),$G$4:$BQ$4,$G153:$BQ153))),"""")"),0.01006971500000009)</f>
        <v>0.010069715</v>
      </c>
      <c r="DK153" s="208">
        <f t="shared" si="20"/>
        <v>0.5153069158</v>
      </c>
      <c r="DL153" s="210">
        <f>IFERROR(__xludf.DUMMYFUNCTION("AVERAGE(ARRAYFORMULA(XLOOKUP(FILTER(INDIRECT(""'""&amp;DL$1&amp;""'!$C$4:$C$66""),INDIRECT(""'""&amp;DL$1&amp;""'!$D$4:$D$66"")=DL$2),$G$4:$BQ$4,$G153:$BQ153)))"),0.23072922214285713)</f>
        <v>0.2307292221</v>
      </c>
      <c r="DM153" s="207" t="str">
        <f>IFERROR(__xludf.DUMMYFUNCTION("IF(OR(DL153&gt;$BS153+$BT153*$BT$2,DL153&lt;$BS153-$BT153*$BT$2),AVEDEV(ARRAYFORMULA(XLOOKUP(FILTER(INDIRECT(""'""&amp;DL$1&amp;""'!$C$4:$C$66""),INDIRECT(""'""&amp;DL$1&amp;""'!$D$4:$D$66"")=DL$2),$G$4:$BQ$4,$G153:$BQ153))),"""")"),"")</f>
        <v/>
      </c>
      <c r="DN153" s="208" t="str">
        <f t="shared" si="21"/>
        <v/>
      </c>
      <c r="DO153" s="209" t="s">
        <v>444</v>
      </c>
      <c r="DP153" s="210">
        <f>IFERROR(__xludf.DUMMYFUNCTION("AVERAGE(ARRAYFORMULA(XLOOKUP(FILTER(INDIRECT(""'""&amp;DP$1&amp;""'!$C$4:$C$66""),INDIRECT(""'""&amp;DP$1&amp;""'!$D$4:$D$66"")=DP$2),$G$4:$BQ$4,$G153:$BQ153)))"),0.38840175633333335)</f>
        <v>0.3884017563</v>
      </c>
      <c r="DQ153" s="207" t="str">
        <f>IFERROR(__xludf.DUMMYFUNCTION("IF(OR(DP153&gt;$BS153+$BT153*$BT$2,DP153&lt;$BS153-$BT153*$BT$2),AVEDEV(ARRAYFORMULA(XLOOKUP(FILTER(INDIRECT(""'""&amp;DP$1&amp;""'!$C$4:$C$66""),INDIRECT(""'""&amp;DP$1&amp;""'!$D$4:$D$66"")=DP$2),$G$4:$BQ$4,$G153:$BQ153))),"""")"),"")</f>
        <v/>
      </c>
      <c r="DR153" s="208" t="str">
        <f t="shared" si="22"/>
        <v/>
      </c>
      <c r="DS153" s="210">
        <f>IFERROR(__xludf.DUMMYFUNCTION("AVERAGE(ARRAYFORMULA(XLOOKUP(FILTER(INDIRECT(""'""&amp;DS$1&amp;""'!$C$4:$C$66""),INDIRECT(""'""&amp;DS$1&amp;""'!$D$4:$D$66"")=DS$2),$G$4:$BQ$4,$G153:$BQ153)))"),-0.3713572566666667)</f>
        <v>-0.3713572567</v>
      </c>
      <c r="DT153" s="207" t="str">
        <f>IFERROR(__xludf.DUMMYFUNCTION("IF(OR(DS153&gt;$BS153+$BT153*$BT$2,DS153&lt;$BS153-$BT153*$BT$2),AVEDEV(ARRAYFORMULA(XLOOKUP(FILTER(INDIRECT(""'""&amp;DS$1&amp;""'!$C$4:$C$66""),INDIRECT(""'""&amp;DS$1&amp;""'!$D$4:$D$66"")=DS$2),$G$4:$BQ$4,$G153:$BQ153))),"""")"),"")</f>
        <v/>
      </c>
      <c r="DU153" s="208" t="str">
        <f t="shared" si="23"/>
        <v/>
      </c>
      <c r="DV153" s="210">
        <f>IFERROR(__xludf.DUMMYFUNCTION("AVERAGE(ARRAYFORMULA(XLOOKUP(FILTER(INDIRECT(""'""&amp;DV$1&amp;""'!$C$4:$C$66""),INDIRECT(""'""&amp;DV$1&amp;""'!$D$4:$D$66"")=DV$2),$G$4:$BQ$4,$G153:$BQ153)))"),0.049341589999999984)</f>
        <v>0.04934159</v>
      </c>
      <c r="DW153" s="207" t="str">
        <f>IFERROR(__xludf.DUMMYFUNCTION("IF(OR(DV153&gt;$BS153+$BT153*$BT$2,DV153&lt;$BS153-$BT153*$BT$2),AVEDEV(ARRAYFORMULA(XLOOKUP(FILTER(INDIRECT(""'""&amp;DV$1&amp;""'!$C$4:$C$66""),INDIRECT(""'""&amp;DV$1&amp;""'!$D$4:$D$66"")=DV$2),$G$4:$BQ$4,$G153:$BQ153))),"""")"),"")</f>
        <v/>
      </c>
      <c r="DX153" s="208" t="str">
        <f t="shared" si="24"/>
        <v/>
      </c>
      <c r="DY153" s="210">
        <f>IFERROR(__xludf.DUMMYFUNCTION("AVERAGE(ARRAYFORMULA(XLOOKUP(FILTER(INDIRECT(""'""&amp;DY$1&amp;""'!$C$4:$C$66""),INDIRECT(""'""&amp;DY$1&amp;""'!$D$4:$D$66"")=DY$2),$G$4:$BQ$4,$G153:$BQ153)))"),0.11066356444444443)</f>
        <v>0.1106635644</v>
      </c>
      <c r="DZ153" s="207" t="str">
        <f>IFERROR(__xludf.DUMMYFUNCTION("IF(OR(DY153&gt;$BS153+$BT153*$BT$2,DY153&lt;$BS153-$BT153*$BT$2),AVEDEV(ARRAYFORMULA(XLOOKUP(FILTER(INDIRECT(""'""&amp;DY$1&amp;""'!$C$4:$C$66""),INDIRECT(""'""&amp;DY$1&amp;""'!$D$4:$D$66"")=DY$2),$G$4:$BQ$4,$G153:$BQ153))),"""")"),"")</f>
        <v/>
      </c>
      <c r="EA153" s="208" t="str">
        <f t="shared" si="25"/>
        <v/>
      </c>
      <c r="EB153" s="191"/>
    </row>
    <row r="154" outlineLevel="1">
      <c r="A154" s="2"/>
      <c r="B154" s="204">
        <v>150.0</v>
      </c>
      <c r="C154" s="204" t="s">
        <v>540</v>
      </c>
      <c r="D154" s="204" t="s">
        <v>596</v>
      </c>
      <c r="E154" s="205" t="b">
        <f>VLOOKUP(D154,'Feature Set List'!A150:C246,2,0)</f>
        <v>1</v>
      </c>
      <c r="F154" s="205" t="b">
        <f>VLOOKUP(D154,'Feature Set List'!A150:C246,3,0)</f>
        <v>0</v>
      </c>
      <c r="G154" s="205">
        <v>0.0</v>
      </c>
      <c r="H154" s="205">
        <v>-0.278481</v>
      </c>
      <c r="I154" s="205">
        <v>-0.3291139</v>
      </c>
      <c r="J154" s="205">
        <v>0.3628692</v>
      </c>
      <c r="K154" s="205">
        <v>-0.3797468</v>
      </c>
      <c r="L154" s="205">
        <v>0.05063291</v>
      </c>
      <c r="M154" s="205">
        <v>13.0379747</v>
      </c>
      <c r="N154" s="205">
        <v>-0.1012658</v>
      </c>
      <c r="O154" s="205">
        <v>0.07594937</v>
      </c>
      <c r="P154" s="205">
        <v>1.56118143</v>
      </c>
      <c r="Q154" s="205">
        <v>2.34599156</v>
      </c>
      <c r="R154" s="205">
        <v>-0.4050633</v>
      </c>
      <c r="S154" s="205">
        <v>-0.1181435</v>
      </c>
      <c r="T154" s="205">
        <v>-0.4978903</v>
      </c>
      <c r="U154" s="205">
        <v>-0.4810127</v>
      </c>
      <c r="V154" s="205">
        <v>-0.3628692</v>
      </c>
      <c r="W154" s="205">
        <v>-0.2109705</v>
      </c>
      <c r="X154" s="205">
        <v>-0.3966245</v>
      </c>
      <c r="Y154" s="205">
        <v>0.32067511</v>
      </c>
      <c r="Z154" s="205">
        <v>0.93670886</v>
      </c>
      <c r="AA154" s="205">
        <v>-0.0084388</v>
      </c>
      <c r="AB154" s="205">
        <v>-0.2362869</v>
      </c>
      <c r="AC154" s="205">
        <v>0.15189873</v>
      </c>
      <c r="AD154" s="205">
        <v>-0.3881857</v>
      </c>
      <c r="AE154" s="205">
        <v>-0.4472574</v>
      </c>
      <c r="AF154" s="205">
        <v>-0.0590717</v>
      </c>
      <c r="AG154" s="205">
        <v>0.23628692</v>
      </c>
      <c r="AH154" s="205">
        <v>-0.2531646</v>
      </c>
      <c r="AI154" s="205">
        <v>11.7552743</v>
      </c>
      <c r="AJ154" s="205">
        <v>-0.0506329</v>
      </c>
      <c r="AK154" s="205">
        <v>0.32067511</v>
      </c>
      <c r="AL154" s="205">
        <v>-0.3375527</v>
      </c>
      <c r="AM154" s="205">
        <v>0.17721519</v>
      </c>
      <c r="AN154" s="205">
        <v>-0.0506329</v>
      </c>
      <c r="AO154" s="205">
        <v>0.43037975</v>
      </c>
      <c r="AP154" s="205">
        <v>0.78481013</v>
      </c>
      <c r="AQ154" s="205">
        <v>-0.4303797</v>
      </c>
      <c r="AR154" s="205">
        <v>0.14345992</v>
      </c>
      <c r="AS154" s="205">
        <v>-0.3966245</v>
      </c>
      <c r="AT154" s="205">
        <v>-0.4810127</v>
      </c>
      <c r="AU154" s="205">
        <v>30.0337553</v>
      </c>
      <c r="AV154" s="205">
        <v>0.19409283</v>
      </c>
      <c r="AW154" s="205">
        <v>0.30379747</v>
      </c>
      <c r="AX154" s="205">
        <v>-0.1350211</v>
      </c>
      <c r="AY154" s="205">
        <v>-0.4388186</v>
      </c>
      <c r="AZ154" s="205">
        <v>-0.1518987</v>
      </c>
      <c r="BA154" s="205">
        <v>4.5907173</v>
      </c>
      <c r="BB154" s="205">
        <v>0.35443038</v>
      </c>
      <c r="BC154" s="205">
        <v>-0.278481</v>
      </c>
      <c r="BD154" s="205">
        <v>1.35864979</v>
      </c>
      <c r="BE154" s="205">
        <v>-0.4978903</v>
      </c>
      <c r="BF154" s="205">
        <v>0.60759494</v>
      </c>
      <c r="BG154" s="205">
        <v>0.37130802</v>
      </c>
      <c r="BH154" s="205">
        <v>-0.3881857</v>
      </c>
      <c r="BI154" s="205">
        <v>3.10548523</v>
      </c>
      <c r="BJ154" s="205">
        <v>-0.2362869</v>
      </c>
      <c r="BK154" s="205">
        <v>1.92405063</v>
      </c>
      <c r="BL154" s="205">
        <v>1.75527426</v>
      </c>
      <c r="BM154" s="205">
        <v>3.72995781</v>
      </c>
      <c r="BN154" s="205">
        <v>1.29113924</v>
      </c>
      <c r="BO154" s="205">
        <v>1.32489451</v>
      </c>
      <c r="BP154" s="205">
        <v>8.02531646</v>
      </c>
      <c r="BQ154" s="205">
        <v>-0.0590717</v>
      </c>
      <c r="BR154" s="206"/>
      <c r="BS154" s="207">
        <f t="shared" si="6"/>
        <v>1.313910657</v>
      </c>
      <c r="BT154" s="207">
        <f t="shared" si="7"/>
        <v>2.141831262</v>
      </c>
      <c r="BU154" s="206"/>
      <c r="BV154" s="207">
        <f>IFERROR(__xludf.DUMMYFUNCTION("AVERAGE(ARRAYFORMULA(XLOOKUP(FILTER(INDIRECT(""'""&amp;BV$1&amp;""'!$C$4:$C$66""),INDIRECT(""'""&amp;BV$1&amp;""'!$D$4:$D$66"")=BV$2),$G$4:$BQ$4,$G154:$BQ154)))"),0.10367689857142857)</f>
        <v>0.1036768986</v>
      </c>
      <c r="BW154" s="207" t="str">
        <f>IFERROR(__xludf.DUMMYFUNCTION("IF(OR(BV154&gt;$BS154+$BT154*$BT$2,BV154&lt;$BS154-$BT154*$BT$2),AVEDEV(ARRAYFORMULA(XLOOKUP(FILTER(INDIRECT(""'""&amp;BV$1&amp;""'!$C$4:$C$66""),INDIRECT(""'""&amp;BV$1&amp;""'!$D$4:$D$66"")=BV$2),$G$4:$BQ$4,$G154:$BQ154))),"""")"),"")</f>
        <v/>
      </c>
      <c r="BX154" s="208" t="str">
        <f t="shared" si="8"/>
        <v/>
      </c>
      <c r="BY154" s="207">
        <f>IFERROR(__xludf.DUMMYFUNCTION("AVERAGE(ARRAYFORMULA(XLOOKUP(FILTER(INDIRECT(""'""&amp;BY$1&amp;""'!$C$4:$C$66""),INDIRECT(""'""&amp;BY$1&amp;""'!$D$4:$D$66"")=BY$2),$G$4:$BQ$4,$G154:$BQ154)))"),0.6813341385714285)</f>
        <v>0.6813341386</v>
      </c>
      <c r="BZ154" s="207" t="str">
        <f>IFERROR(__xludf.DUMMYFUNCTION("IF(OR(BY154&gt;$BS154+$BT154*$BT$2,BY154&lt;$BS154-$BT154*$BT$2),AVEDEV(ARRAYFORMULA(XLOOKUP(FILTER(INDIRECT(""'""&amp;BY$1&amp;""'!$C$4:$C$66""),INDIRECT(""'""&amp;BY$1&amp;""'!$D$4:$D$66"")=BY$2),$G$4:$BQ$4,$G154:$BQ154))),"""")"),"")</f>
        <v/>
      </c>
      <c r="CA154" s="208" t="str">
        <f t="shared" si="9"/>
        <v/>
      </c>
      <c r="CB154" s="207">
        <f>IFERROR(__xludf.DUMMYFUNCTION("AVERAGE(ARRAYFORMULA(XLOOKUP(FILTER(INDIRECT(""'""&amp;CB$1&amp;""'!$C$4:$C$66""),INDIRECT(""'""&amp;CB$1&amp;""'!$D$4:$D$66"")=CB$2),$G$4:$BQ$4,$G154:$BQ154)))"),2.0337552781818182)</f>
        <v>2.033755278</v>
      </c>
      <c r="CC154" s="207" t="str">
        <f>IFERROR(__xludf.DUMMYFUNCTION("IF(OR(CB154&gt;$BS154+$BT154*$BT$2,CB154&lt;$BS154-$BT154*$BT$2),AVEDEV(ARRAYFORMULA(XLOOKUP(FILTER(INDIRECT(""'""&amp;CB$1&amp;""'!$C$4:$C$66""),INDIRECT(""'""&amp;CB$1&amp;""'!$D$4:$D$66"")=CB$2),$G$4:$BQ$4,$G154:$BQ154))),"""")"),"")</f>
        <v/>
      </c>
      <c r="CD154" s="208" t="str">
        <f t="shared" si="10"/>
        <v/>
      </c>
      <c r="CE154" s="209" t="s">
        <v>444</v>
      </c>
      <c r="CF154" s="207">
        <f>IFERROR(__xludf.DUMMYFUNCTION("AVERAGE(ARRAYFORMULA(XLOOKUP(FILTER(INDIRECT(""'""&amp;CF$1&amp;""'!$C$4:$C$66""),INDIRECT(""'""&amp;CF$1&amp;""'!$D$4:$D$66"")=CF$2),$G$4:$BQ$4,$G154:$BQ154)))"),0.735232071875)</f>
        <v>0.7352320719</v>
      </c>
      <c r="CG154" s="207" t="str">
        <f>IFERROR(__xludf.DUMMYFUNCTION("IF(OR(CF154&gt;$BS154+$BT154*$BT$2,CF154&lt;$BS154-$BT154*$BT$2),AVEDEV(ARRAYFORMULA(XLOOKUP(FILTER(INDIRECT(""'""&amp;CF$1&amp;""'!$C$4:$C$66""),INDIRECT(""'""&amp;CF$1&amp;""'!$D$4:$D$66"")=CF$2),$G$4:$BQ$4,$G154:$BQ154))),"""")"),"")</f>
        <v/>
      </c>
      <c r="CH154" s="208" t="str">
        <f t="shared" si="11"/>
        <v/>
      </c>
      <c r="CI154" s="207">
        <f>IFERROR(__xludf.DUMMYFUNCTION("AVERAGE(ARRAYFORMULA(XLOOKUP(FILTER(INDIRECT(""'""&amp;CI$1&amp;""'!$C$4:$C$66""),INDIRECT(""'""&amp;CI$1&amp;""'!$D$4:$D$66"")=CI$2),$G$4:$BQ$4,$G154:$BQ154)))"),0.8860759490322578)</f>
        <v>0.886075949</v>
      </c>
      <c r="CJ154" s="207" t="str">
        <f>IFERROR(__xludf.DUMMYFUNCTION("IF(OR(CI154&gt;$BS154+$BT154*$BT$2,CI154&lt;$BS154-$BT154*$BT$2),AVEDEV(ARRAYFORMULA(XLOOKUP(FILTER(INDIRECT(""'""&amp;CI$1&amp;""'!$C$4:$C$66""),INDIRECT(""'""&amp;CI$1&amp;""'!$D$4:$D$66"")=CI$2),$G$4:$BQ$4,$G154:$BQ154))),"""")"),"")</f>
        <v/>
      </c>
      <c r="CK154" s="208" t="str">
        <f t="shared" si="12"/>
        <v/>
      </c>
      <c r="CL154" s="207">
        <f>IFERROR(__xludf.DUMMYFUNCTION("AVERAGE(ARRAYFORMULA(XLOOKUP(FILTER(INDIRECT(""'""&amp;CL$1&amp;""'!$C$4:$C$66""),INDIRECT(""'""&amp;CL$1&amp;""'!$D$4:$D$66"")=CL$2),$G$4:$BQ$4,$G154:$BQ154)))"),1.12573839)</f>
        <v>1.12573839</v>
      </c>
      <c r="CM154" s="207" t="str">
        <f>IFERROR(__xludf.DUMMYFUNCTION("IF(OR(CL154&gt;$BS154+$BT154*$BT$2,CL154&lt;$BS154-$BT154*$BT$2),AVEDEV(ARRAYFORMULA(XLOOKUP(FILTER(INDIRECT(""'""&amp;CL$1&amp;""'!$C$4:$C$66""),INDIRECT(""'""&amp;CL$1&amp;""'!$D$4:$D$66"")=CL$2),$G$4:$BQ$4,$G154:$BQ154))),"""")"),"")</f>
        <v/>
      </c>
      <c r="CN154" s="208" t="str">
        <f t="shared" si="13"/>
        <v/>
      </c>
      <c r="CO154" s="209" t="s">
        <v>444</v>
      </c>
      <c r="CP154" s="210">
        <f>IFERROR(__xludf.DUMMYFUNCTION("AVERAGE(ARRAYFORMULA(XLOOKUP(FILTER(INDIRECT(""'""&amp;CP$1&amp;""'!$C$4:$C$66""),INDIRECT(""'""&amp;CP$1&amp;""'!$D$4:$D$66"")=CP$2),$G$4:$BQ$4,$G154:$BQ154)))"),0.19859352266666672)</f>
        <v>0.1985935227</v>
      </c>
      <c r="CQ154" s="207" t="str">
        <f>IFERROR(__xludf.DUMMYFUNCTION("IF(OR(CP154&gt;$BS154+$BT154*$BT$2,CP154&lt;$BS154-$BT154*$BT$2),AVEDEV(ARRAYFORMULA(XLOOKUP(FILTER(INDIRECT(""'""&amp;CP$1&amp;""'!$C$4:$C$66""),INDIRECT(""'""&amp;CP$1&amp;""'!$D$4:$D$66"")=CP$2),$G$4:$BQ$4,$G154:$BQ154))),"""")"),"")</f>
        <v/>
      </c>
      <c r="CR154" s="208" t="str">
        <f t="shared" si="14"/>
        <v/>
      </c>
      <c r="CS154" s="210">
        <f>IFERROR(__xludf.DUMMYFUNCTION("AVERAGE(ARRAYFORMULA(XLOOKUP(FILTER(INDIRECT(""'""&amp;CS$1&amp;""'!$C$4:$C$66""),INDIRECT(""'""&amp;CS$1&amp;""'!$D$4:$D$66"")=CS$2),$G$4:$BQ$4,$G154:$BQ154)))"),1.0602618235897434)</f>
        <v>1.060261824</v>
      </c>
      <c r="CT154" s="207" t="str">
        <f>IFERROR(__xludf.DUMMYFUNCTION("IF(OR(CS154&gt;$BS154+$BT154*$BT$2,CS154&lt;$BS154-$BT154*$BT$2),AVEDEV(ARRAYFORMULA(XLOOKUP(FILTER(INDIRECT(""'""&amp;CS$1&amp;""'!$C$4:$C$66""),INDIRECT(""'""&amp;CS$1&amp;""'!$D$4:$D$66"")=CS$2),$G$4:$BQ$4,$G154:$BQ154))),"""")"),"")</f>
        <v/>
      </c>
      <c r="CU154" s="208" t="str">
        <f t="shared" si="15"/>
        <v/>
      </c>
      <c r="CV154" s="210">
        <f>IFERROR(__xludf.DUMMYFUNCTION("AVERAGE(ARRAYFORMULA(XLOOKUP(FILTER(INDIRECT(""'""&amp;CV$1&amp;""'!$C$4:$C$66""),INDIRECT(""'""&amp;CV$1&amp;""'!$D$4:$D$66"")=CV$2),$G$4:$BQ$4,$G154:$BQ154)))"),1.12573839)</f>
        <v>1.12573839</v>
      </c>
      <c r="CW154" s="207" t="str">
        <f>IFERROR(__xludf.DUMMYFUNCTION("IF(OR(CV154&gt;$BS154+$BT154*$BT$2,CV154&lt;$BS154-$BT154*$BT$2),AVEDEV(ARRAYFORMULA(XLOOKUP(FILTER(INDIRECT(""'""&amp;CV$1&amp;""'!$C$4:$C$66""),INDIRECT(""'""&amp;CV$1&amp;""'!$D$4:$D$66"")=CV$2),$G$4:$BQ$4,$G154:$BQ154))),"""")"),"")</f>
        <v/>
      </c>
      <c r="CX154" s="208" t="str">
        <f t="shared" si="16"/>
        <v/>
      </c>
      <c r="CY154" s="209" t="s">
        <v>444</v>
      </c>
      <c r="CZ154" s="210">
        <f>IFERROR(__xludf.DUMMYFUNCTION("AVERAGE(ARRAYFORMULA(XLOOKUP(FILTER(INDIRECT(""'""&amp;CZ$1&amp;""'!$C$4:$C$66""),INDIRECT(""'""&amp;CZ$1&amp;""'!$D$4:$D$66"")=CZ$2),$G$4:$BQ$4,$G154:$BQ154)))"),1.0241109214285715)</f>
        <v>1.024110921</v>
      </c>
      <c r="DA154" s="207" t="str">
        <f>IFERROR(__xludf.DUMMYFUNCTION("IF(OR(CZ154&gt;$BS154+$BT154*$BT$2,CZ154&lt;$BS154-$BT154*$BT$2),AVEDEV(ARRAYFORMULA(XLOOKUP(FILTER(INDIRECT(""'""&amp;CZ$1&amp;""'!$C$4:$C$66""),INDIRECT(""'""&amp;CZ$1&amp;""'!$D$4:$D$66"")=CZ$2),$G$4:$BQ$4,$G154:$BQ154))),"""")"),"")</f>
        <v/>
      </c>
      <c r="DB154" s="208" t="str">
        <f t="shared" si="17"/>
        <v/>
      </c>
      <c r="DC154" s="210">
        <f>IFERROR(__xludf.DUMMYFUNCTION("AVERAGE(ARRAYFORMULA(XLOOKUP(FILTER(INDIRECT(""'""&amp;DC$1&amp;""'!$C$4:$C$66""),INDIRECT(""'""&amp;DC$1&amp;""'!$D$4:$D$66"")=DC$2),$G$4:$BQ$4,$G154:$BQ154)))"),2.088138772222222)</f>
        <v>2.088138772</v>
      </c>
      <c r="DD154" s="207" t="str">
        <f>IFERROR(__xludf.DUMMYFUNCTION("IF(OR(DC154&gt;$BS154+$BT154*$BT$2,DC154&lt;$BS154-$BT154*$BT$2),AVEDEV(ARRAYFORMULA(XLOOKUP(FILTER(INDIRECT(""'""&amp;DC$1&amp;""'!$C$4:$C$66""),INDIRECT(""'""&amp;DC$1&amp;""'!$D$4:$D$66"")=DC$2),$G$4:$BQ$4,$G154:$BQ154))),"""")"),"")</f>
        <v/>
      </c>
      <c r="DE154" s="208" t="str">
        <f t="shared" si="18"/>
        <v/>
      </c>
      <c r="DF154" s="210">
        <f>IFERROR(__xludf.DUMMYFUNCTION("AVERAGE(ARRAYFORMULA(XLOOKUP(FILTER(INDIRECT(""'""&amp;DF$1&amp;""'!$C$4:$C$66""),INDIRECT(""'""&amp;DF$1&amp;""'!$D$4:$D$66"")=DF$2),$G$4:$BQ$4,$G154:$BQ154)))"),0.08822400727272729)</f>
        <v>0.08822400727</v>
      </c>
      <c r="DG154" s="207" t="str">
        <f>IFERROR(__xludf.DUMMYFUNCTION("IF(OR(DF154&gt;$BS154+$BT154*$BT$2,DF154&lt;$BS154-$BT154*$BT$2),AVEDEV(ARRAYFORMULA(XLOOKUP(FILTER(INDIRECT(""'""&amp;DF$1&amp;""'!$C$4:$C$66""),INDIRECT(""'""&amp;DF$1&amp;""'!$D$4:$D$66"")=DF$2),$G$4:$BQ$4,$G154:$BQ154))),"""")"),"")</f>
        <v/>
      </c>
      <c r="DH154" s="208" t="str">
        <f t="shared" si="19"/>
        <v/>
      </c>
      <c r="DI154" s="210">
        <f>IFERROR(__xludf.DUMMYFUNCTION("AVERAGE(ARRAYFORMULA(XLOOKUP(FILTER(INDIRECT(""'""&amp;DI$1&amp;""'!$C$4:$C$66""),INDIRECT(""'""&amp;DI$1&amp;""'!$D$4:$D$66"")=DI$2),$G$4:$BQ$4,$G154:$BQ154)))"),-0.3881857)</f>
        <v>-0.3881857</v>
      </c>
      <c r="DJ154" s="207" t="str">
        <f>IFERROR(__xludf.DUMMYFUNCTION("IF(OR(DI154&gt;$BS154+$BT154*$BT$2,DI154&lt;$BS154-$BT154*$BT$2),AVEDEV(ARRAYFORMULA(XLOOKUP(FILTER(INDIRECT(""'""&amp;DI$1&amp;""'!$C$4:$C$66""),INDIRECT(""'""&amp;DI$1&amp;""'!$D$4:$D$66"")=DI$2),$G$4:$BQ$4,$G154:$BQ154))),"""")"),"")</f>
        <v/>
      </c>
      <c r="DK154" s="208" t="str">
        <f t="shared" si="20"/>
        <v/>
      </c>
      <c r="DL154" s="210">
        <f>IFERROR(__xludf.DUMMYFUNCTION("AVERAGE(ARRAYFORMULA(XLOOKUP(FILTER(INDIRECT(""'""&amp;DL$1&amp;""'!$C$4:$C$66""),INDIRECT(""'""&amp;DL$1&amp;""'!$D$4:$D$66"")=DL$2),$G$4:$BQ$4,$G154:$BQ154)))"),1.0506329171428572)</f>
        <v>1.050632917</v>
      </c>
      <c r="DM154" s="207" t="str">
        <f>IFERROR(__xludf.DUMMYFUNCTION("IF(OR(DL154&gt;$BS154+$BT154*$BT$2,DL154&lt;$BS154-$BT154*$BT$2),AVEDEV(ARRAYFORMULA(XLOOKUP(FILTER(INDIRECT(""'""&amp;DL$1&amp;""'!$C$4:$C$66""),INDIRECT(""'""&amp;DL$1&amp;""'!$D$4:$D$66"")=DL$2),$G$4:$BQ$4,$G154:$BQ154))),"""")"),"")</f>
        <v/>
      </c>
      <c r="DN154" s="208" t="str">
        <f t="shared" si="21"/>
        <v/>
      </c>
      <c r="DO154" s="209" t="s">
        <v>444</v>
      </c>
      <c r="DP154" s="210">
        <f>IFERROR(__xludf.DUMMYFUNCTION("AVERAGE(ARRAYFORMULA(XLOOKUP(FILTER(INDIRECT(""'""&amp;DP$1&amp;""'!$C$4:$C$66""),INDIRECT(""'""&amp;DP$1&amp;""'!$D$4:$D$66"")=DP$2),$G$4:$BQ$4,$G154:$BQ154)))"),0.890576659)</f>
        <v>0.890576659</v>
      </c>
      <c r="DQ154" s="207" t="str">
        <f>IFERROR(__xludf.DUMMYFUNCTION("IF(OR(DP154&gt;$BS154+$BT154*$BT$2,DP154&lt;$BS154-$BT154*$BT$2),AVEDEV(ARRAYFORMULA(XLOOKUP(FILTER(INDIRECT(""'""&amp;DP$1&amp;""'!$C$4:$C$66""),INDIRECT(""'""&amp;DP$1&amp;""'!$D$4:$D$66"")=DP$2),$G$4:$BQ$4,$G154:$BQ154))),"""")"),"")</f>
        <v/>
      </c>
      <c r="DR154" s="208" t="str">
        <f t="shared" si="22"/>
        <v/>
      </c>
      <c r="DS154" s="210">
        <f>IFERROR(__xludf.DUMMYFUNCTION("AVERAGE(ARRAYFORMULA(XLOOKUP(FILTER(INDIRECT(""'""&amp;DS$1&amp;""'!$C$4:$C$66""),INDIRECT(""'""&amp;DS$1&amp;""'!$D$4:$D$66"")=DS$2),$G$4:$BQ$4,$G154:$BQ154)))"),2.495077353333333)</f>
        <v>2.495077353</v>
      </c>
      <c r="DT154" s="207" t="str">
        <f>IFERROR(__xludf.DUMMYFUNCTION("IF(OR(DS154&gt;$BS154+$BT154*$BT$2,DS154&lt;$BS154-$BT154*$BT$2),AVEDEV(ARRAYFORMULA(XLOOKUP(FILTER(INDIRECT(""'""&amp;DS$1&amp;""'!$C$4:$C$66""),INDIRECT(""'""&amp;DS$1&amp;""'!$D$4:$D$66"")=DS$2),$G$4:$BQ$4,$G154:$BQ154))),"""")"),"")</f>
        <v/>
      </c>
      <c r="DU154" s="208" t="str">
        <f t="shared" si="23"/>
        <v/>
      </c>
      <c r="DV154" s="210">
        <f>IFERROR(__xludf.DUMMYFUNCTION("AVERAGE(ARRAYFORMULA(XLOOKUP(FILTER(INDIRECT(""'""&amp;DV$1&amp;""'!$C$4:$C$66""),INDIRECT(""'""&amp;DV$1&amp;""'!$D$4:$D$66"")=DV$2),$G$4:$BQ$4,$G154:$BQ154)))"),-0.19725739125000002)</f>
        <v>-0.1972573913</v>
      </c>
      <c r="DW154" s="207" t="str">
        <f>IFERROR(__xludf.DUMMYFUNCTION("IF(OR(DV154&gt;$BS154+$BT154*$BT$2,DV154&lt;$BS154-$BT154*$BT$2),AVEDEV(ARRAYFORMULA(XLOOKUP(FILTER(INDIRECT(""'""&amp;DV$1&amp;""'!$C$4:$C$66""),INDIRECT(""'""&amp;DV$1&amp;""'!$D$4:$D$66"")=DV$2),$G$4:$BQ$4,$G154:$BQ154))),"""")"),"")</f>
        <v/>
      </c>
      <c r="DX154" s="208" t="str">
        <f t="shared" si="24"/>
        <v/>
      </c>
      <c r="DY154" s="210">
        <f>IFERROR(__xludf.DUMMYFUNCTION("AVERAGE(ARRAYFORMULA(XLOOKUP(FILTER(INDIRECT(""'""&amp;DY$1&amp;""'!$C$4:$C$66""),INDIRECT(""'""&amp;DY$1&amp;""'!$D$4:$D$66"")=DY$2),$G$4:$BQ$4,$G154:$BQ154)))"),0.24285043555555555)</f>
        <v>0.2428504356</v>
      </c>
      <c r="DZ154" s="207" t="str">
        <f>IFERROR(__xludf.DUMMYFUNCTION("IF(OR(DY154&gt;$BS154+$BT154*$BT$2,DY154&lt;$BS154-$BT154*$BT$2),AVEDEV(ARRAYFORMULA(XLOOKUP(FILTER(INDIRECT(""'""&amp;DY$1&amp;""'!$C$4:$C$66""),INDIRECT(""'""&amp;DY$1&amp;""'!$D$4:$D$66"")=DY$2),$G$4:$BQ$4,$G154:$BQ154))),"""")"),"")</f>
        <v/>
      </c>
      <c r="EA154" s="208" t="str">
        <f t="shared" si="25"/>
        <v/>
      </c>
      <c r="EB154" s="191"/>
    </row>
    <row r="155" outlineLevel="1">
      <c r="A155" s="2"/>
      <c r="B155" s="204">
        <v>151.0</v>
      </c>
      <c r="C155" s="204" t="s">
        <v>540</v>
      </c>
      <c r="D155" s="204" t="s">
        <v>597</v>
      </c>
      <c r="E155" s="205" t="b">
        <f>VLOOKUP(D155,'Feature Set List'!A151:C246,2,0)</f>
        <v>1</v>
      </c>
      <c r="F155" s="205" t="b">
        <f>VLOOKUP(D155,'Feature Set List'!A151:C246,3,0)</f>
        <v>0</v>
      </c>
      <c r="G155" s="205">
        <v>0.24784078</v>
      </c>
      <c r="H155" s="205">
        <v>0.30642133</v>
      </c>
      <c r="I155" s="205">
        <v>0.229816</v>
      </c>
      <c r="J155" s="205">
        <v>0.99812242</v>
      </c>
      <c r="K155" s="205">
        <v>-0.5557642</v>
      </c>
      <c r="L155" s="205">
        <v>-0.8223808</v>
      </c>
      <c r="M155" s="205">
        <v>-0.3650019</v>
      </c>
      <c r="N155" s="205">
        <v>0.97408937</v>
      </c>
      <c r="O155" s="205">
        <v>-0.3064213</v>
      </c>
      <c r="P155" s="205">
        <v>-0.4573789</v>
      </c>
      <c r="Q155" s="205">
        <v>0.72324446</v>
      </c>
      <c r="R155" s="205">
        <v>-0.1967706</v>
      </c>
      <c r="S155" s="205">
        <v>-0.1937664</v>
      </c>
      <c r="T155" s="205">
        <v>-0.2508449</v>
      </c>
      <c r="U155" s="205">
        <v>-0.0818626</v>
      </c>
      <c r="V155" s="205">
        <v>0.79984979</v>
      </c>
      <c r="W155" s="205">
        <v>-0.482163</v>
      </c>
      <c r="X155" s="205">
        <v>0.27638002</v>
      </c>
      <c r="Y155" s="205">
        <v>-0.804356</v>
      </c>
      <c r="Z155" s="205">
        <v>1.4389786</v>
      </c>
      <c r="AA155" s="205">
        <v>-0.1359369</v>
      </c>
      <c r="AB155" s="205">
        <v>-0.29816</v>
      </c>
      <c r="AC155" s="205">
        <v>-0.1209163</v>
      </c>
      <c r="AD155" s="205">
        <v>1.0987608</v>
      </c>
      <c r="AE155" s="205">
        <v>0.37852047</v>
      </c>
      <c r="AF155" s="205">
        <v>-0.4739016</v>
      </c>
      <c r="AG155" s="205">
        <v>1.15659031</v>
      </c>
      <c r="AH155" s="205">
        <v>0.52121667</v>
      </c>
      <c r="AI155" s="205">
        <v>0.24183252</v>
      </c>
      <c r="AJ155" s="205">
        <v>-0.3289523</v>
      </c>
      <c r="AK155" s="205">
        <v>0.7953436</v>
      </c>
      <c r="AL155" s="205">
        <v>0.51746151</v>
      </c>
      <c r="AM155" s="205">
        <v>-0.184003</v>
      </c>
      <c r="AN155" s="205">
        <v>-0.068344</v>
      </c>
      <c r="AO155" s="205">
        <v>0.31843785</v>
      </c>
      <c r="AP155" s="205">
        <v>1.04468644</v>
      </c>
      <c r="AQ155" s="205">
        <v>0.85016898</v>
      </c>
      <c r="AR155" s="205">
        <v>1.9977469</v>
      </c>
      <c r="AS155" s="205">
        <v>-0.4641382</v>
      </c>
      <c r="AT155" s="205">
        <v>-0.1457003</v>
      </c>
      <c r="AU155" s="205">
        <v>1.93390913</v>
      </c>
      <c r="AV155" s="205">
        <v>0.00751033</v>
      </c>
      <c r="AW155" s="205">
        <v>1.04468644</v>
      </c>
      <c r="AX155" s="205">
        <v>0.98084867</v>
      </c>
      <c r="AY155" s="205">
        <v>0.67217424</v>
      </c>
      <c r="AZ155" s="205">
        <v>0.00675929</v>
      </c>
      <c r="BA155" s="205">
        <v>-0.5009388</v>
      </c>
      <c r="BB155" s="205">
        <v>1.11978971</v>
      </c>
      <c r="BC155" s="205">
        <v>0.28689448</v>
      </c>
      <c r="BD155" s="205">
        <v>-1.0026286</v>
      </c>
      <c r="BE155" s="205">
        <v>-0.2463387</v>
      </c>
      <c r="BF155" s="205">
        <v>-0.1990237</v>
      </c>
      <c r="BG155" s="205">
        <v>-0.5016898</v>
      </c>
      <c r="BH155" s="205">
        <v>1.11678558</v>
      </c>
      <c r="BI155" s="205">
        <v>-0.0931281</v>
      </c>
      <c r="BJ155" s="205">
        <v>0.50544499</v>
      </c>
      <c r="BK155" s="205">
        <v>0.49493053</v>
      </c>
      <c r="BL155" s="205">
        <v>-0.1945175</v>
      </c>
      <c r="BM155" s="205">
        <v>-0.3612467</v>
      </c>
      <c r="BN155" s="205">
        <v>-0.850169</v>
      </c>
      <c r="BO155" s="205">
        <v>-0.27638</v>
      </c>
      <c r="BP155" s="205">
        <v>0.0</v>
      </c>
      <c r="BQ155" s="205">
        <v>-0.9560646</v>
      </c>
      <c r="BR155" s="206"/>
      <c r="BS155" s="207">
        <f t="shared" si="6"/>
        <v>0.1772437065</v>
      </c>
      <c r="BT155" s="207">
        <f t="shared" si="7"/>
        <v>0.5692350826</v>
      </c>
      <c r="BU155" s="206"/>
      <c r="BV155" s="207">
        <f>IFERROR(__xludf.DUMMYFUNCTION("AVERAGE(ARRAYFORMULA(XLOOKUP(FILTER(INDIRECT(""'""&amp;BV$1&amp;""'!$C$4:$C$66""),INDIRECT(""'""&amp;BV$1&amp;""'!$D$4:$D$66"")=BV$2),$G$4:$BQ$4,$G155:$BQ155)))"),0.2662947171428572)</f>
        <v>0.2662947171</v>
      </c>
      <c r="BW155" s="207" t="str">
        <f>IFERROR(__xludf.DUMMYFUNCTION("IF(OR(BV155&gt;$BS155+$BT155*$BT$2,BV155&lt;$BS155-$BT155*$BT$2),AVEDEV(ARRAYFORMULA(XLOOKUP(FILTER(INDIRECT(""'""&amp;BV$1&amp;""'!$C$4:$C$66""),INDIRECT(""'""&amp;BV$1&amp;""'!$D$4:$D$66"")=BV$2),$G$4:$BQ$4,$G155:$BQ155))),"""")"),"")</f>
        <v/>
      </c>
      <c r="BX155" s="208" t="str">
        <f t="shared" si="8"/>
        <v/>
      </c>
      <c r="BY155" s="207">
        <f>IFERROR(__xludf.DUMMYFUNCTION("AVERAGE(ARRAYFORMULA(XLOOKUP(FILTER(INDIRECT(""'""&amp;BY$1&amp;""'!$C$4:$C$66""),INDIRECT(""'""&amp;BY$1&amp;""'!$D$4:$D$66"")=BY$2),$G$4:$BQ$4,$G155:$BQ155)))"),0.2953525354761905)</f>
        <v>0.2953525355</v>
      </c>
      <c r="BZ155" s="207" t="str">
        <f>IFERROR(__xludf.DUMMYFUNCTION("IF(OR(BY155&gt;$BS155+$BT155*$BT$2,BY155&lt;$BS155-$BT155*$BT$2),AVEDEV(ARRAYFORMULA(XLOOKUP(FILTER(INDIRECT(""'""&amp;BY$1&amp;""'!$C$4:$C$66""),INDIRECT(""'""&amp;BY$1&amp;""'!$D$4:$D$66"")=BY$2),$G$4:$BQ$4,$G155:$BQ155))),"""")"),"")</f>
        <v/>
      </c>
      <c r="CA155" s="208" t="str">
        <f t="shared" si="9"/>
        <v/>
      </c>
      <c r="CB155" s="207">
        <f>IFERROR(__xludf.DUMMYFUNCTION("AVERAGE(ARRAYFORMULA(XLOOKUP(FILTER(INDIRECT(""'""&amp;CB$1&amp;""'!$C$4:$C$66""),INDIRECT(""'""&amp;CB$1&amp;""'!$D$4:$D$66"")=CB$2),$G$4:$BQ$4,$G155:$BQ155)))"),-0.38760113909090904)</f>
        <v>-0.3876011391</v>
      </c>
      <c r="CC155" s="207" t="str">
        <f>IFERROR(__xludf.DUMMYFUNCTION("IF(OR(CB155&gt;$BS155+$BT155*$BT$2,CB155&lt;$BS155-$BT155*$BT$2),AVEDEV(ARRAYFORMULA(XLOOKUP(FILTER(INDIRECT(""'""&amp;CB$1&amp;""'!$C$4:$C$66""),INDIRECT(""'""&amp;CB$1&amp;""'!$D$4:$D$66"")=CB$2),$G$4:$BQ$4,$G155:$BQ155))),"""")"),"")</f>
        <v/>
      </c>
      <c r="CD155" s="208" t="str">
        <f t="shared" si="10"/>
        <v/>
      </c>
      <c r="CE155" s="209" t="s">
        <v>444</v>
      </c>
      <c r="CF155" s="207">
        <f>IFERROR(__xludf.DUMMYFUNCTION("AVERAGE(ARRAYFORMULA(XLOOKUP(FILTER(INDIRECT(""'""&amp;CF$1&amp;""'!$C$4:$C$66""),INDIRECT(""'""&amp;CF$1&amp;""'!$D$4:$D$66"")=CF$2),$G$4:$BQ$4,$G155:$BQ155)))"),0.54548441125)</f>
        <v>0.5454844113</v>
      </c>
      <c r="CG155" s="207" t="str">
        <f>IFERROR(__xludf.DUMMYFUNCTION("IF(OR(CF155&gt;$BS155+$BT155*$BT$2,CF155&lt;$BS155-$BT155*$BT$2),AVEDEV(ARRAYFORMULA(XLOOKUP(FILTER(INDIRECT(""'""&amp;CF$1&amp;""'!$C$4:$C$66""),INDIRECT(""'""&amp;CF$1&amp;""'!$D$4:$D$66"")=CF$2),$G$4:$BQ$4,$G155:$BQ155))),"""")"),"")</f>
        <v/>
      </c>
      <c r="CH155" s="208" t="str">
        <f t="shared" si="11"/>
        <v/>
      </c>
      <c r="CI155" s="207">
        <f>IFERROR(__xludf.DUMMYFUNCTION("AVERAGE(ARRAYFORMULA(XLOOKUP(FILTER(INDIRECT(""'""&amp;CI$1&amp;""'!$C$4:$C$66""),INDIRECT(""'""&amp;CI$1&amp;""'!$D$4:$D$66"")=CI$2),$G$4:$BQ$4,$G155:$BQ155)))"),0.014947967096774194)</f>
        <v>0.0149479671</v>
      </c>
      <c r="CJ155" s="207" t="str">
        <f>IFERROR(__xludf.DUMMYFUNCTION("IF(OR(CI155&gt;$BS155+$BT155*$BT$2,CI155&lt;$BS155-$BT155*$BT$2),AVEDEV(ARRAYFORMULA(XLOOKUP(FILTER(INDIRECT(""'""&amp;CI$1&amp;""'!$C$4:$C$66""),INDIRECT(""'""&amp;CI$1&amp;""'!$D$4:$D$66"")=CI$2),$G$4:$BQ$4,$G155:$BQ155))),"""")"),"")</f>
        <v/>
      </c>
      <c r="CK155" s="208" t="str">
        <f t="shared" si="12"/>
        <v/>
      </c>
      <c r="CL155" s="207">
        <f>IFERROR(__xludf.DUMMYFUNCTION("AVERAGE(ARRAYFORMULA(XLOOKUP(FILTER(INDIRECT(""'""&amp;CL$1&amp;""'!$C$4:$C$66""),INDIRECT(""'""&amp;CL$1&amp;""'!$D$4:$D$66"")=CL$2),$G$4:$BQ$4,$G155:$BQ155)))"),-0.43499812000000004)</f>
        <v>-0.43499812</v>
      </c>
      <c r="CM155" s="207">
        <f>IFERROR(__xludf.DUMMYFUNCTION("IF(OR(CL155&gt;$BS155+$BT155*$BT$2,CL155&lt;$BS155-$BT155*$BT$2),AVEDEV(ARRAYFORMULA(XLOOKUP(FILTER(INDIRECT(""'""&amp;CL$1&amp;""'!$C$4:$C$66""),INDIRECT(""'""&amp;CL$1&amp;""'!$D$4:$D$66"")=CL$2),$G$4:$BQ$4,$G155:$BQ155))),"""")"),0.07366128799999996)</f>
        <v>0.073661288</v>
      </c>
      <c r="CN155" s="208">
        <f t="shared" si="13"/>
        <v>-0.04300674393</v>
      </c>
      <c r="CO155" s="209" t="s">
        <v>444</v>
      </c>
      <c r="CP155" s="210">
        <f>IFERROR(__xludf.DUMMYFUNCTION("AVERAGE(ARRAYFORMULA(XLOOKUP(FILTER(INDIRECT(""'""&amp;CP$1&amp;""'!$C$4:$C$66""),INDIRECT(""'""&amp;CP$1&amp;""'!$D$4:$D$66"")=CP$2),$G$4:$BQ$4,$G155:$BQ155)))"),0.06979596799999999)</f>
        <v>0.069795968</v>
      </c>
      <c r="CQ155" s="207" t="str">
        <f>IFERROR(__xludf.DUMMYFUNCTION("IF(OR(CP155&gt;$BS155+$BT155*$BT$2,CP155&lt;$BS155-$BT155*$BT$2),AVEDEV(ARRAYFORMULA(XLOOKUP(FILTER(INDIRECT(""'""&amp;CP$1&amp;""'!$C$4:$C$66""),INDIRECT(""'""&amp;CP$1&amp;""'!$D$4:$D$66"")=CP$2),$G$4:$BQ$4,$G155:$BQ155))),"""")"),"")</f>
        <v/>
      </c>
      <c r="CR155" s="208" t="str">
        <f t="shared" si="14"/>
        <v/>
      </c>
      <c r="CS155" s="210">
        <f>IFERROR(__xludf.DUMMYFUNCTION("AVERAGE(ARRAYFORMULA(XLOOKUP(FILTER(INDIRECT(""'""&amp;CS$1&amp;""'!$C$4:$C$66""),INDIRECT(""'""&amp;CS$1&amp;""'!$D$4:$D$66"")=CS$2),$G$4:$BQ$4,$G155:$BQ155)))"),0.29045706564102575)</f>
        <v>0.2904570656</v>
      </c>
      <c r="CT155" s="207" t="str">
        <f>IFERROR(__xludf.DUMMYFUNCTION("IF(OR(CS155&gt;$BS155+$BT155*$BT$2,CS155&lt;$BS155-$BT155*$BT$2),AVEDEV(ARRAYFORMULA(XLOOKUP(FILTER(INDIRECT(""'""&amp;CS$1&amp;""'!$C$4:$C$66""),INDIRECT(""'""&amp;CS$1&amp;""'!$D$4:$D$66"")=CS$2),$G$4:$BQ$4,$G155:$BQ155))),"""")"),"")</f>
        <v/>
      </c>
      <c r="CU155" s="208" t="str">
        <f t="shared" si="15"/>
        <v/>
      </c>
      <c r="CV155" s="210">
        <f>IFERROR(__xludf.DUMMYFUNCTION("AVERAGE(ARRAYFORMULA(XLOOKUP(FILTER(INDIRECT(""'""&amp;CV$1&amp;""'!$C$4:$C$66""),INDIRECT(""'""&amp;CV$1&amp;""'!$D$4:$D$66"")=CV$2),$G$4:$BQ$4,$G155:$BQ155)))"),-0.43499812000000004)</f>
        <v>-0.43499812</v>
      </c>
      <c r="CW155" s="207">
        <f>IFERROR(__xludf.DUMMYFUNCTION("IF(OR(CV155&gt;$BS155+$BT155*$BT$2,CV155&lt;$BS155-$BT155*$BT$2),AVEDEV(ARRAYFORMULA(XLOOKUP(FILTER(INDIRECT(""'""&amp;CV$1&amp;""'!$C$4:$C$66""),INDIRECT(""'""&amp;CV$1&amp;""'!$D$4:$D$66"")=CV$2),$G$4:$BQ$4,$G155:$BQ155))),"""")"),0.07366128799999996)</f>
        <v>0.073661288</v>
      </c>
      <c r="CX155" s="208">
        <f t="shared" si="16"/>
        <v>-0.04300674393</v>
      </c>
      <c r="CY155" s="209" t="s">
        <v>444</v>
      </c>
      <c r="CZ155" s="210">
        <f>IFERROR(__xludf.DUMMYFUNCTION("AVERAGE(ARRAYFORMULA(XLOOKUP(FILTER(INDIRECT(""'""&amp;CZ$1&amp;""'!$C$4:$C$66""),INDIRECT(""'""&amp;CZ$1&amp;""'!$D$4:$D$66"")=CZ$2),$G$4:$BQ$4,$G155:$BQ155)))"),0.6716914292857142)</f>
        <v>0.6716914293</v>
      </c>
      <c r="DA155" s="207" t="str">
        <f>IFERROR(__xludf.DUMMYFUNCTION("IF(OR(CZ155&gt;$BS155+$BT155*$BT$2,CZ155&lt;$BS155-$BT155*$BT$2),AVEDEV(ARRAYFORMULA(XLOOKUP(FILTER(INDIRECT(""'""&amp;CZ$1&amp;""'!$C$4:$C$66""),INDIRECT(""'""&amp;CZ$1&amp;""'!$D$4:$D$66"")=CZ$2),$G$4:$BQ$4,$G155:$BQ155))),"""")"),"")</f>
        <v/>
      </c>
      <c r="DB155" s="208" t="str">
        <f t="shared" si="17"/>
        <v/>
      </c>
      <c r="DC155" s="210">
        <f>IFERROR(__xludf.DUMMYFUNCTION("AVERAGE(ARRAYFORMULA(XLOOKUP(FILTER(INDIRECT(""'""&amp;DC$1&amp;""'!$C$4:$C$66""),INDIRECT(""'""&amp;DC$1&amp;""'!$D$4:$D$66"")=DC$2),$G$4:$BQ$4,$G155:$BQ155)))"),-0.43434723555555554)</f>
        <v>-0.4343472356</v>
      </c>
      <c r="DD155" s="207">
        <f>IFERROR(__xludf.DUMMYFUNCTION("IF(OR(DC155&gt;$BS155+$BT155*$BT$2,DC155&lt;$BS155-$BT155*$BT$2),AVEDEV(ARRAYFORMULA(XLOOKUP(FILTER(INDIRECT(""'""&amp;DC$1&amp;""'!$C$4:$C$66""),INDIRECT(""'""&amp;DC$1&amp;""'!$D$4:$D$66"")=DC$2),$G$4:$BQ$4,$G155:$BQ155))),"""")"),0.20778570814814815)</f>
        <v>0.2077857081</v>
      </c>
      <c r="DE155" s="208">
        <f t="shared" si="18"/>
        <v>-0.04235585948</v>
      </c>
      <c r="DF155" s="210">
        <f>IFERROR(__xludf.DUMMYFUNCTION("AVERAGE(ARRAYFORMULA(XLOOKUP(FILTER(INDIRECT(""'""&amp;DF$1&amp;""'!$C$4:$C$66""),INDIRECT(""'""&amp;DF$1&amp;""'!$D$4:$D$66"")=DF$2),$G$4:$BQ$4,$G155:$BQ155)))"),-0.12009694636363637)</f>
        <v>-0.1200969464</v>
      </c>
      <c r="DG155" s="207" t="str">
        <f>IFERROR(__xludf.DUMMYFUNCTION("IF(OR(DF155&gt;$BS155+$BT155*$BT$2,DF155&lt;$BS155-$BT155*$BT$2),AVEDEV(ARRAYFORMULA(XLOOKUP(FILTER(INDIRECT(""'""&amp;DF$1&amp;""'!$C$4:$C$66""),INDIRECT(""'""&amp;DF$1&amp;""'!$D$4:$D$66"")=DF$2),$G$4:$BQ$4,$G155:$BQ155))),"""")"),"")</f>
        <v/>
      </c>
      <c r="DH155" s="208" t="str">
        <f t="shared" si="19"/>
        <v/>
      </c>
      <c r="DI155" s="210">
        <f>IFERROR(__xludf.DUMMYFUNCTION("AVERAGE(ARRAYFORMULA(XLOOKUP(FILTER(INDIRECT(""'""&amp;DI$1&amp;""'!$C$4:$C$66""),INDIRECT(""'""&amp;DI$1&amp;""'!$D$4:$D$66"")=DI$2),$G$4:$BQ$4,$G155:$BQ155)))"),1.10777319)</f>
        <v>1.10777319</v>
      </c>
      <c r="DJ155" s="207">
        <f>IFERROR(__xludf.DUMMYFUNCTION("IF(OR(DI155&gt;$BS155+$BT155*$BT$2,DI155&lt;$BS155-$BT155*$BT$2),AVEDEV(ARRAYFORMULA(XLOOKUP(FILTER(INDIRECT(""'""&amp;DI$1&amp;""'!$C$4:$C$66""),INDIRECT(""'""&amp;DI$1&amp;""'!$D$4:$D$66"")=DI$2),$G$4:$BQ$4,$G155:$BQ155))),"""")"),0.009012389999999981)</f>
        <v>0.00901239</v>
      </c>
      <c r="DK155" s="208">
        <f t="shared" si="20"/>
        <v>0.3612944009</v>
      </c>
      <c r="DL155" s="210">
        <f>IFERROR(__xludf.DUMMYFUNCTION("AVERAGE(ARRAYFORMULA(XLOOKUP(FILTER(INDIRECT(""'""&amp;DL$1&amp;""'!$C$4:$C$66""),INDIRECT(""'""&amp;DL$1&amp;""'!$D$4:$D$66"")=DL$2),$G$4:$BQ$4,$G155:$BQ155)))"),0.22380772857142855)</f>
        <v>0.2238077286</v>
      </c>
      <c r="DM155" s="207" t="str">
        <f>IFERROR(__xludf.DUMMYFUNCTION("IF(OR(DL155&gt;$BS155+$BT155*$BT$2,DL155&lt;$BS155-$BT155*$BT$2),AVEDEV(ARRAYFORMULA(XLOOKUP(FILTER(INDIRECT(""'""&amp;DL$1&amp;""'!$C$4:$C$66""),INDIRECT(""'""&amp;DL$1&amp;""'!$D$4:$D$66"")=DL$2),$G$4:$BQ$4,$G155:$BQ155))),"""")"),"")</f>
        <v/>
      </c>
      <c r="DN155" s="208" t="str">
        <f t="shared" si="21"/>
        <v/>
      </c>
      <c r="DO155" s="209" t="s">
        <v>444</v>
      </c>
      <c r="DP155" s="210">
        <f>IFERROR(__xludf.DUMMYFUNCTION("AVERAGE(ARRAYFORMULA(XLOOKUP(FILTER(INDIRECT(""'""&amp;DP$1&amp;""'!$C$4:$C$66""),INDIRECT(""'""&amp;DP$1&amp;""'!$D$4:$D$66"")=DP$2),$G$4:$BQ$4,$G155:$BQ155)))"),0.36497683833333344)</f>
        <v>0.3649768383</v>
      </c>
      <c r="DQ155" s="207" t="str">
        <f>IFERROR(__xludf.DUMMYFUNCTION("IF(OR(DP155&gt;$BS155+$BT155*$BT$2,DP155&lt;$BS155-$BT155*$BT$2),AVEDEV(ARRAYFORMULA(XLOOKUP(FILTER(INDIRECT(""'""&amp;DP$1&amp;""'!$C$4:$C$66""),INDIRECT(""'""&amp;DP$1&amp;""'!$D$4:$D$66"")=DP$2),$G$4:$BQ$4,$G155:$BQ155))),"""")"),"")</f>
        <v/>
      </c>
      <c r="DR155" s="208" t="str">
        <f t="shared" si="22"/>
        <v/>
      </c>
      <c r="DS155" s="210">
        <f>IFERROR(__xludf.DUMMYFUNCTION("AVERAGE(ARRAYFORMULA(XLOOKUP(FILTER(INDIRECT(""'""&amp;DS$1&amp;""'!$C$4:$C$66""),INDIRECT(""'""&amp;DS$1&amp;""'!$D$4:$D$66"")=DS$2),$G$4:$BQ$4,$G155:$BQ155)))"),-0.3316226544444444)</f>
        <v>-0.3316226544</v>
      </c>
      <c r="DT155" s="207" t="str">
        <f>IFERROR(__xludf.DUMMYFUNCTION("IF(OR(DS155&gt;$BS155+$BT155*$BT$2,DS155&lt;$BS155-$BT155*$BT$2),AVEDEV(ARRAYFORMULA(XLOOKUP(FILTER(INDIRECT(""'""&amp;DS$1&amp;""'!$C$4:$C$66""),INDIRECT(""'""&amp;DS$1&amp;""'!$D$4:$D$66"")=DS$2),$G$4:$BQ$4,$G155:$BQ155))),"""")"),"")</f>
        <v/>
      </c>
      <c r="DU155" s="208" t="str">
        <f t="shared" si="23"/>
        <v/>
      </c>
      <c r="DV155" s="210">
        <f>IFERROR(__xludf.DUMMYFUNCTION("AVERAGE(ARRAYFORMULA(XLOOKUP(FILTER(INDIRECT(""'""&amp;DV$1&amp;""'!$C$4:$C$66""),INDIRECT(""'""&amp;DV$1&amp;""'!$D$4:$D$66"")=DV$2),$G$4:$BQ$4,$G155:$BQ155)))"),-0.07059707125)</f>
        <v>-0.07059707125</v>
      </c>
      <c r="DW155" s="207" t="str">
        <f>IFERROR(__xludf.DUMMYFUNCTION("IF(OR(DV155&gt;$BS155+$BT155*$BT$2,DV155&lt;$BS155-$BT155*$BT$2),AVEDEV(ARRAYFORMULA(XLOOKUP(FILTER(INDIRECT(""'""&amp;DV$1&amp;""'!$C$4:$C$66""),INDIRECT(""'""&amp;DV$1&amp;""'!$D$4:$D$66"")=DV$2),$G$4:$BQ$4,$G155:$BQ155))),"""")"),"")</f>
        <v/>
      </c>
      <c r="DX155" s="208" t="str">
        <f t="shared" si="24"/>
        <v/>
      </c>
      <c r="DY155" s="210">
        <f>IFERROR(__xludf.DUMMYFUNCTION("AVERAGE(ARRAYFORMULA(XLOOKUP(FILTER(INDIRECT(""'""&amp;DY$1&amp;""'!$C$4:$C$66""),INDIRECT(""'""&amp;DY$1&amp;""'!$D$4:$D$66"")=DY$2),$G$4:$BQ$4,$G155:$BQ155)))"),0.023031668888888874)</f>
        <v>0.02303166889</v>
      </c>
      <c r="DZ155" s="207" t="str">
        <f>IFERROR(__xludf.DUMMYFUNCTION("IF(OR(DY155&gt;$BS155+$BT155*$BT$2,DY155&lt;$BS155-$BT155*$BT$2),AVEDEV(ARRAYFORMULA(XLOOKUP(FILTER(INDIRECT(""'""&amp;DY$1&amp;""'!$C$4:$C$66""),INDIRECT(""'""&amp;DY$1&amp;""'!$D$4:$D$66"")=DY$2),$G$4:$BQ$4,$G155:$BQ155))),"""")"),"")</f>
        <v/>
      </c>
      <c r="EA155" s="208" t="str">
        <f t="shared" si="25"/>
        <v/>
      </c>
      <c r="EB155" s="191"/>
    </row>
    <row r="156" outlineLevel="1">
      <c r="A156" s="2"/>
      <c r="B156" s="204">
        <v>152.0</v>
      </c>
      <c r="C156" s="204" t="s">
        <v>540</v>
      </c>
      <c r="D156" s="204" t="s">
        <v>598</v>
      </c>
      <c r="E156" s="205" t="b">
        <f>VLOOKUP(D156,'Feature Set List'!A152:C246,2,0)</f>
        <v>1</v>
      </c>
      <c r="F156" s="205" t="b">
        <f>VLOOKUP(D156,'Feature Set List'!A152:C246,3,0)</f>
        <v>0</v>
      </c>
      <c r="G156" s="205">
        <v>0.06800618</v>
      </c>
      <c r="H156" s="205">
        <v>0.22153529</v>
      </c>
      <c r="I156" s="205">
        <v>0.33590933</v>
      </c>
      <c r="J156" s="205">
        <v>0.80783101</v>
      </c>
      <c r="K156" s="205">
        <v>-0.6326636</v>
      </c>
      <c r="L156" s="205">
        <v>-1.0303967</v>
      </c>
      <c r="M156" s="205">
        <v>-0.4513138</v>
      </c>
      <c r="N156" s="205">
        <v>0.63781556</v>
      </c>
      <c r="O156" s="205">
        <v>0.0</v>
      </c>
      <c r="P156" s="205">
        <v>-0.5358063</v>
      </c>
      <c r="Q156" s="205">
        <v>0.44100979</v>
      </c>
      <c r="R156" s="205">
        <v>-0.303967</v>
      </c>
      <c r="S156" s="205">
        <v>-0.0061824</v>
      </c>
      <c r="T156" s="205">
        <v>-0.5327151</v>
      </c>
      <c r="U156" s="205">
        <v>-0.0587326</v>
      </c>
      <c r="V156" s="205">
        <v>0.64399794</v>
      </c>
      <c r="W156" s="205">
        <v>-0.6347244</v>
      </c>
      <c r="X156" s="205">
        <v>0.22977846</v>
      </c>
      <c r="Y156" s="205">
        <v>-1.0458527</v>
      </c>
      <c r="Z156" s="205">
        <v>1.26223596</v>
      </c>
      <c r="AA156" s="205">
        <v>-0.2400824</v>
      </c>
      <c r="AB156" s="205">
        <v>-0.2029882</v>
      </c>
      <c r="AC156" s="205">
        <v>-0.2792375</v>
      </c>
      <c r="AD156" s="205">
        <v>1.0922205</v>
      </c>
      <c r="AE156" s="205">
        <v>0.24523442</v>
      </c>
      <c r="AF156" s="205">
        <v>-0.7604328</v>
      </c>
      <c r="AG156" s="205">
        <v>1.26429675</v>
      </c>
      <c r="AH156" s="205">
        <v>0.14940752</v>
      </c>
      <c r="AI156" s="205">
        <v>0.01133436</v>
      </c>
      <c r="AJ156" s="205">
        <v>-0.309119</v>
      </c>
      <c r="AK156" s="205">
        <v>0.59866048</v>
      </c>
      <c r="AL156" s="205">
        <v>0.20504894</v>
      </c>
      <c r="AM156" s="205">
        <v>-0.3585781</v>
      </c>
      <c r="AN156" s="205">
        <v>-0.1442555</v>
      </c>
      <c r="AO156" s="205">
        <v>0.1576507</v>
      </c>
      <c r="AP156" s="205">
        <v>0.82740855</v>
      </c>
      <c r="AQ156" s="205">
        <v>0.92632664</v>
      </c>
      <c r="AR156" s="205">
        <v>1.17877383</v>
      </c>
      <c r="AS156" s="205">
        <v>-0.5935085</v>
      </c>
      <c r="AT156" s="205">
        <v>-0.184441</v>
      </c>
      <c r="AU156" s="205">
        <v>1.44255538</v>
      </c>
      <c r="AV156" s="205">
        <v>0.2812983</v>
      </c>
      <c r="AW156" s="205">
        <v>1.0005152</v>
      </c>
      <c r="AX156" s="205">
        <v>0.69860896</v>
      </c>
      <c r="AY156" s="205">
        <v>0.79855744</v>
      </c>
      <c r="AZ156" s="205">
        <v>0.25759918</v>
      </c>
      <c r="BA156" s="205">
        <v>-0.6223596</v>
      </c>
      <c r="BB156" s="205">
        <v>0.62854199</v>
      </c>
      <c r="BC156" s="205">
        <v>0.15352911</v>
      </c>
      <c r="BD156" s="205">
        <v>-1.1344668</v>
      </c>
      <c r="BE156" s="205">
        <v>0.22977846</v>
      </c>
      <c r="BF156" s="205">
        <v>-0.1391036</v>
      </c>
      <c r="BG156" s="205">
        <v>-0.6357548</v>
      </c>
      <c r="BH156" s="205">
        <v>1.11179804</v>
      </c>
      <c r="BI156" s="205">
        <v>-0.5574446</v>
      </c>
      <c r="BJ156" s="205">
        <v>0.46470891</v>
      </c>
      <c r="BK156" s="205">
        <v>-0.0175167</v>
      </c>
      <c r="BL156" s="205">
        <v>-0.4853168</v>
      </c>
      <c r="BM156" s="205">
        <v>-0.6924266</v>
      </c>
      <c r="BN156" s="205">
        <v>-1.1478619</v>
      </c>
      <c r="BO156" s="205">
        <v>-0.4327666</v>
      </c>
      <c r="BP156" s="205">
        <v>-0.1020093</v>
      </c>
      <c r="BQ156" s="205">
        <v>-1.192272</v>
      </c>
      <c r="BR156" s="206"/>
      <c r="BS156" s="207">
        <f t="shared" si="6"/>
        <v>0.04615359175</v>
      </c>
      <c r="BT156" s="207">
        <f t="shared" si="7"/>
        <v>0.5389216212</v>
      </c>
      <c r="BU156" s="206"/>
      <c r="BV156" s="207">
        <f>IFERROR(__xludf.DUMMYFUNCTION("AVERAGE(ARRAYFORMULA(XLOOKUP(FILTER(INDIRECT(""'""&amp;BV$1&amp;""'!$C$4:$C$66""),INDIRECT(""'""&amp;BV$1&amp;""'!$D$4:$D$66"")=BV$2),$G$4:$BQ$4,$G156:$BQ156)))"),0.2143225214285714)</f>
        <v>0.2143225214</v>
      </c>
      <c r="BW156" s="207" t="str">
        <f>IFERROR(__xludf.DUMMYFUNCTION("IF(OR(BV156&gt;$BS156+$BT156*$BT$2,BV156&lt;$BS156-$BT156*$BT$2),AVEDEV(ARRAYFORMULA(XLOOKUP(FILTER(INDIRECT(""'""&amp;BV$1&amp;""'!$C$4:$C$66""),INDIRECT(""'""&amp;BV$1&amp;""'!$D$4:$D$66"")=BV$2),$G$4:$BQ$4,$G156:$BQ156))),"""")"),"")</f>
        <v/>
      </c>
      <c r="BX156" s="208" t="str">
        <f t="shared" si="8"/>
        <v/>
      </c>
      <c r="BY156" s="207">
        <f>IFERROR(__xludf.DUMMYFUNCTION("AVERAGE(ARRAYFORMULA(XLOOKUP(FILTER(INDIRECT(""'""&amp;BY$1&amp;""'!$C$4:$C$66""),INDIRECT(""'""&amp;BY$1&amp;""'!$D$4:$D$66"")=BY$2),$G$4:$BQ$4,$G156:$BQ156)))"),0.16056769904761894)</f>
        <v>0.160567699</v>
      </c>
      <c r="BZ156" s="207" t="str">
        <f>IFERROR(__xludf.DUMMYFUNCTION("IF(OR(BY156&gt;$BS156+$BT156*$BT$2,BY156&lt;$BS156-$BT156*$BT$2),AVEDEV(ARRAYFORMULA(XLOOKUP(FILTER(INDIRECT(""'""&amp;BY$1&amp;""'!$C$4:$C$66""),INDIRECT(""'""&amp;BY$1&amp;""'!$D$4:$D$66"")=BY$2),$G$4:$BQ$4,$G156:$BQ156))),"""")"),"")</f>
        <v/>
      </c>
      <c r="CA156" s="208" t="str">
        <f t="shared" si="9"/>
        <v/>
      </c>
      <c r="CB156" s="207">
        <f>IFERROR(__xludf.DUMMYFUNCTION("AVERAGE(ARRAYFORMULA(XLOOKUP(FILTER(INDIRECT(""'""&amp;CB$1&amp;""'!$C$4:$C$66""),INDIRECT(""'""&amp;CB$1&amp;""'!$D$4:$D$66"")=CB$2),$G$4:$BQ$4,$G156:$BQ156)))"),-0.5436747854545454)</f>
        <v>-0.5436747855</v>
      </c>
      <c r="CC156" s="207">
        <f>IFERROR(__xludf.DUMMYFUNCTION("IF(OR(CB156&gt;$BS156+$BT156*$BT$2,CB156&lt;$BS156-$BT156*$BT$2),AVEDEV(ARRAYFORMULA(XLOOKUP(FILTER(INDIRECT(""'""&amp;CB$1&amp;""'!$C$4:$C$66""),INDIRECT(""'""&amp;CB$1&amp;""'!$D$4:$D$66"")=CB$2),$G$4:$BQ$4,$G156:$BQ156))),"""")"),0.27711710677685947)</f>
        <v>0.2771171068</v>
      </c>
      <c r="CD156" s="208">
        <f t="shared" si="10"/>
        <v>-0.05090675601</v>
      </c>
      <c r="CE156" s="209" t="s">
        <v>444</v>
      </c>
      <c r="CF156" s="207">
        <f>IFERROR(__xludf.DUMMYFUNCTION("AVERAGE(ARRAYFORMULA(XLOOKUP(FILTER(INDIRECT(""'""&amp;CF$1&amp;""'!$C$4:$C$66""),INDIRECT(""'""&amp;CF$1&amp;""'!$D$4:$D$66"")=CF$2),$G$4:$BQ$4,$G156:$BQ156)))"),0.424909836875)</f>
        <v>0.4249098369</v>
      </c>
      <c r="CG156" s="207" t="str">
        <f>IFERROR(__xludf.DUMMYFUNCTION("IF(OR(CF156&gt;$BS156+$BT156*$BT$2,CF156&lt;$BS156-$BT156*$BT$2),AVEDEV(ARRAYFORMULA(XLOOKUP(FILTER(INDIRECT(""'""&amp;CF$1&amp;""'!$C$4:$C$66""),INDIRECT(""'""&amp;CF$1&amp;""'!$D$4:$D$66"")=CF$2),$G$4:$BQ$4,$G156:$BQ156))),"""")"),"")</f>
        <v/>
      </c>
      <c r="CH156" s="208" t="str">
        <f t="shared" si="11"/>
        <v/>
      </c>
      <c r="CI156" s="207">
        <f>IFERROR(__xludf.DUMMYFUNCTION("AVERAGE(ARRAYFORMULA(XLOOKUP(FILTER(INDIRECT(""'""&amp;CI$1&amp;""'!$C$4:$C$66""),INDIRECT(""'""&amp;CI$1&amp;""'!$D$4:$D$66"")=CI$2),$G$4:$BQ$4,$G156:$BQ156)))"),-0.07538847903225808)</f>
        <v>-0.07538847903</v>
      </c>
      <c r="CJ156" s="207" t="str">
        <f>IFERROR(__xludf.DUMMYFUNCTION("IF(OR(CI156&gt;$BS156+$BT156*$BT$2,CI156&lt;$BS156-$BT156*$BT$2),AVEDEV(ARRAYFORMULA(XLOOKUP(FILTER(INDIRECT(""'""&amp;CI$1&amp;""'!$C$4:$C$66""),INDIRECT(""'""&amp;CI$1&amp;""'!$D$4:$D$66"")=CI$2),$G$4:$BQ$4,$G156:$BQ156))),"""")"),"")</f>
        <v/>
      </c>
      <c r="CK156" s="208" t="str">
        <f t="shared" si="12"/>
        <v/>
      </c>
      <c r="CL156" s="207">
        <f>IFERROR(__xludf.DUMMYFUNCTION("AVERAGE(ARRAYFORMULA(XLOOKUP(FILTER(INDIRECT(""'""&amp;CL$1&amp;""'!$C$4:$C$66""),INDIRECT(""'""&amp;CL$1&amp;""'!$D$4:$D$66"")=CL$2),$G$4:$BQ$4,$G156:$BQ156)))"),-0.58402886)</f>
        <v>-0.58402886</v>
      </c>
      <c r="CM156" s="207">
        <f>IFERROR(__xludf.DUMMYFUNCTION("IF(OR(CL156&gt;$BS156+$BT156*$BT$2,CL156&lt;$BS156-$BT156*$BT$2),AVEDEV(ARRAYFORMULA(XLOOKUP(FILTER(INDIRECT(""'""&amp;CL$1&amp;""'!$C$4:$C$66""),INDIRECT(""'""&amp;CL$1&amp;""'!$D$4:$D$66"")=CL$2),$G$4:$BQ$4,$G156:$BQ156))),"""")"),0.039814528)</f>
        <v>0.039814528</v>
      </c>
      <c r="CN156" s="208">
        <f t="shared" si="13"/>
        <v>-0.09126083055</v>
      </c>
      <c r="CO156" s="209" t="s">
        <v>444</v>
      </c>
      <c r="CP156" s="210">
        <f>IFERROR(__xludf.DUMMYFUNCTION("AVERAGE(ARRAYFORMULA(XLOOKUP(FILTER(INDIRECT(""'""&amp;CP$1&amp;""'!$C$4:$C$66""),INDIRECT(""'""&amp;CP$1&amp;""'!$D$4:$D$66"")=CP$2),$G$4:$BQ$4,$G156:$BQ156)))"),-0.06319766733333333)</f>
        <v>-0.06319766733</v>
      </c>
      <c r="CQ156" s="207" t="str">
        <f>IFERROR(__xludf.DUMMYFUNCTION("IF(OR(CP156&gt;$BS156+$BT156*$BT$2,CP156&lt;$BS156-$BT156*$BT$2),AVEDEV(ARRAYFORMULA(XLOOKUP(FILTER(INDIRECT(""'""&amp;CP$1&amp;""'!$C$4:$C$66""),INDIRECT(""'""&amp;CP$1&amp;""'!$D$4:$D$66"")=CP$2),$G$4:$BQ$4,$G156:$BQ156))),"""")"),"")</f>
        <v/>
      </c>
      <c r="CR156" s="208" t="str">
        <f t="shared" si="14"/>
        <v/>
      </c>
      <c r="CS156" s="210">
        <f>IFERROR(__xludf.DUMMYFUNCTION("AVERAGE(ARRAYFORMULA(XLOOKUP(FILTER(INDIRECT(""'""&amp;CS$1&amp;""'!$C$4:$C$66""),INDIRECT(""'""&amp;CS$1&amp;""'!$D$4:$D$66"")=CS$2),$G$4:$BQ$4,$G156:$BQ156)))"),0.16966934564102562)</f>
        <v>0.1696693456</v>
      </c>
      <c r="CT156" s="207" t="str">
        <f>IFERROR(__xludf.DUMMYFUNCTION("IF(OR(CS156&gt;$BS156+$BT156*$BT$2,CS156&lt;$BS156-$BT156*$BT$2),AVEDEV(ARRAYFORMULA(XLOOKUP(FILTER(INDIRECT(""'""&amp;CS$1&amp;""'!$C$4:$C$66""),INDIRECT(""'""&amp;CS$1&amp;""'!$D$4:$D$66"")=CS$2),$G$4:$BQ$4,$G156:$BQ156))),"""")"),"")</f>
        <v/>
      </c>
      <c r="CU156" s="208" t="str">
        <f t="shared" si="15"/>
        <v/>
      </c>
      <c r="CV156" s="211">
        <f>IFERROR(__xludf.DUMMYFUNCTION("AVERAGE(ARRAYFORMULA(XLOOKUP(FILTER(INDIRECT(""'""&amp;CV$1&amp;""'!$C$4:$C$66""),INDIRECT(""'""&amp;CV$1&amp;""'!$D$4:$D$66"")=CV$2),$G$4:$BQ$4,$G156:$BQ156)))"),-0.58402886)</f>
        <v>-0.58402886</v>
      </c>
      <c r="CW156" s="207">
        <f>IFERROR(__xludf.DUMMYFUNCTION("IF(OR(CV156&gt;$BS156+$BT156*$BT$2,CV156&lt;$BS156-$BT156*$BT$2),AVEDEV(ARRAYFORMULA(XLOOKUP(FILTER(INDIRECT(""'""&amp;CV$1&amp;""'!$C$4:$C$66""),INDIRECT(""'""&amp;CV$1&amp;""'!$D$4:$D$66"")=CV$2),$G$4:$BQ$4,$G156:$BQ156))),"""")"),0.039814528)</f>
        <v>0.039814528</v>
      </c>
      <c r="CX156" s="208">
        <f t="shared" si="16"/>
        <v>-0.09126083055</v>
      </c>
      <c r="CY156" s="209" t="s">
        <v>444</v>
      </c>
      <c r="CZ156" s="210">
        <f>IFERROR(__xludf.DUMMYFUNCTION("AVERAGE(ARRAYFORMULA(XLOOKUP(FILTER(INDIRECT(""'""&amp;CZ$1&amp;""'!$C$4:$C$66""),INDIRECT(""'""&amp;CZ$1&amp;""'!$D$4:$D$66"")=CZ$2),$G$4:$BQ$4,$G156:$BQ156)))"),0.5166703457142857)</f>
        <v>0.5166703457</v>
      </c>
      <c r="DA156" s="207" t="str">
        <f>IFERROR(__xludf.DUMMYFUNCTION("IF(OR(CZ156&gt;$BS156+$BT156*$BT$2,CZ156&lt;$BS156-$BT156*$BT$2),AVEDEV(ARRAYFORMULA(XLOOKUP(FILTER(INDIRECT(""'""&amp;CZ$1&amp;""'!$C$4:$C$66""),INDIRECT(""'""&amp;CZ$1&amp;""'!$D$4:$D$66"")=CZ$2),$G$4:$BQ$4,$G156:$BQ156))),"""")"),"")</f>
        <v/>
      </c>
      <c r="DB156" s="208" t="str">
        <f t="shared" si="17"/>
        <v/>
      </c>
      <c r="DC156" s="210">
        <f>IFERROR(__xludf.DUMMYFUNCTION("AVERAGE(ARRAYFORMULA(XLOOKUP(FILTER(INDIRECT(""'""&amp;DC$1&amp;""'!$C$4:$C$66""),INDIRECT(""'""&amp;DC$1&amp;""'!$D$4:$D$66"")=DC$2),$G$4:$BQ$4,$G156:$BQ156)))"),-0.6161772466666667)</f>
        <v>-0.6161772467</v>
      </c>
      <c r="DD156" s="207">
        <f>IFERROR(__xludf.DUMMYFUNCTION("IF(OR(DC156&gt;$BS156+$BT156*$BT$2,DC156&lt;$BS156-$BT156*$BT$2),AVEDEV(ARRAYFORMULA(XLOOKUP(FILTER(INDIRECT(""'""&amp;DC$1&amp;""'!$C$4:$C$66""),INDIRECT(""'""&amp;DC$1&amp;""'!$D$4:$D$66"")=DC$2),$G$4:$BQ$4,$G156:$BQ156))),"""")"),0.225084437037037)</f>
        <v>0.225084437</v>
      </c>
      <c r="DE156" s="208">
        <f t="shared" si="18"/>
        <v>-0.1234092172</v>
      </c>
      <c r="DF156" s="210">
        <f>IFERROR(__xludf.DUMMYFUNCTION("AVERAGE(ARRAYFORMULA(XLOOKUP(FILTER(INDIRECT(""'""&amp;DF$1&amp;""'!$C$4:$C$66""),INDIRECT(""'""&amp;DF$1&amp;""'!$D$4:$D$66"")=DF$2),$G$4:$BQ$4,$G156:$BQ156)))"),-0.1501569090909091)</f>
        <v>-0.1501569091</v>
      </c>
      <c r="DG156" s="207" t="str">
        <f>IFERROR(__xludf.DUMMYFUNCTION("IF(OR(DF156&gt;$BS156+$BT156*$BT$2,DF156&lt;$BS156-$BT156*$BT$2),AVEDEV(ARRAYFORMULA(XLOOKUP(FILTER(INDIRECT(""'""&amp;DF$1&amp;""'!$C$4:$C$66""),INDIRECT(""'""&amp;DF$1&amp;""'!$D$4:$D$66"")=DF$2),$G$4:$BQ$4,$G156:$BQ156))),"""")"),"")</f>
        <v/>
      </c>
      <c r="DH156" s="208" t="str">
        <f t="shared" si="19"/>
        <v/>
      </c>
      <c r="DI156" s="210">
        <f>IFERROR(__xludf.DUMMYFUNCTION("AVERAGE(ARRAYFORMULA(XLOOKUP(FILTER(INDIRECT(""'""&amp;DI$1&amp;""'!$C$4:$C$66""),INDIRECT(""'""&amp;DI$1&amp;""'!$D$4:$D$66"")=DI$2),$G$4:$BQ$4,$G156:$BQ156)))"),1.10200927)</f>
        <v>1.10200927</v>
      </c>
      <c r="DJ156" s="207">
        <f>IFERROR(__xludf.DUMMYFUNCTION("IF(OR(DI156&gt;$BS156+$BT156*$BT$2,DI156&lt;$BS156-$BT156*$BT$2),AVEDEV(ARRAYFORMULA(XLOOKUP(FILTER(INDIRECT(""'""&amp;DI$1&amp;""'!$C$4:$C$66""),INDIRECT(""'""&amp;DI$1&amp;""'!$D$4:$D$66"")=DI$2),$G$4:$BQ$4,$G156:$BQ156))),"""")"),0.009788770000000002)</f>
        <v>0.00978877</v>
      </c>
      <c r="DK156" s="208">
        <f t="shared" si="20"/>
        <v>0.5169340571</v>
      </c>
      <c r="DL156" s="211">
        <f>IFERROR(__xludf.DUMMYFUNCTION("AVERAGE(ARRAYFORMULA(XLOOKUP(FILTER(INDIRECT(""'""&amp;DL$1&amp;""'!$C$4:$C$66""),INDIRECT(""'""&amp;DL$1&amp;""'!$D$4:$D$66"")=DL$2),$G$4:$BQ$4,$G156:$BQ156)))"),0.03156694714285714)</f>
        <v>0.03156694714</v>
      </c>
      <c r="DM156" s="207" t="str">
        <f>IFERROR(__xludf.DUMMYFUNCTION("IF(OR(DL156&gt;$BS156+$BT156*$BT$2,DL156&lt;$BS156-$BT156*$BT$2),AVEDEV(ARRAYFORMULA(XLOOKUP(FILTER(INDIRECT(""'""&amp;DL$1&amp;""'!$C$4:$C$66""),INDIRECT(""'""&amp;DL$1&amp;""'!$D$4:$D$66"")=DL$2),$G$4:$BQ$4,$G156:$BQ156))),"""")"),"")</f>
        <v/>
      </c>
      <c r="DN156" s="208" t="str">
        <f t="shared" si="21"/>
        <v/>
      </c>
      <c r="DO156" s="209" t="s">
        <v>444</v>
      </c>
      <c r="DP156" s="210">
        <f>IFERROR(__xludf.DUMMYFUNCTION("AVERAGE(ARRAYFORMULA(XLOOKUP(FILTER(INDIRECT(""'""&amp;DP$1&amp;""'!$C$4:$C$66""),INDIRECT(""'""&amp;DP$1&amp;""'!$D$4:$D$66"")=DP$2),$G$4:$BQ$4,$G156:$BQ156)))"),0.21098746133333332)</f>
        <v>0.2109874613</v>
      </c>
      <c r="DQ156" s="207" t="str">
        <f>IFERROR(__xludf.DUMMYFUNCTION("IF(OR(DP156&gt;$BS156+$BT156*$BT$2,DP156&lt;$BS156-$BT156*$BT$2),AVEDEV(ARRAYFORMULA(XLOOKUP(FILTER(INDIRECT(""'""&amp;DP$1&amp;""'!$C$4:$C$66""),INDIRECT(""'""&amp;DP$1&amp;""'!$D$4:$D$66"")=DP$2),$G$4:$BQ$4,$G156:$BQ156))),"""")"),"")</f>
        <v/>
      </c>
      <c r="DR156" s="208" t="str">
        <f t="shared" si="22"/>
        <v/>
      </c>
      <c r="DS156" s="210">
        <f>IFERROR(__xludf.DUMMYFUNCTION("AVERAGE(ARRAYFORMULA(XLOOKUP(FILTER(INDIRECT(""'""&amp;DS$1&amp;""'!$C$4:$C$66""),INDIRECT(""'""&amp;DS$1&amp;""'!$D$4:$D$66"")=DS$2),$G$4:$BQ$4,$G156:$BQ156)))"),-0.46115978)</f>
        <v>-0.46115978</v>
      </c>
      <c r="DT156" s="207" t="str">
        <f>IFERROR(__xludf.DUMMYFUNCTION("IF(OR(DS156&gt;$BS156+$BT156*$BT$2,DS156&lt;$BS156-$BT156*$BT$2),AVEDEV(ARRAYFORMULA(XLOOKUP(FILTER(INDIRECT(""'""&amp;DS$1&amp;""'!$C$4:$C$66""),INDIRECT(""'""&amp;DS$1&amp;""'!$D$4:$D$66"")=DS$2),$G$4:$BQ$4,$G156:$BQ156))),"""")"),"")</f>
        <v/>
      </c>
      <c r="DU156" s="208" t="str">
        <f t="shared" si="23"/>
        <v/>
      </c>
      <c r="DV156" s="210">
        <f>IFERROR(__xludf.DUMMYFUNCTION("AVERAGE(ARRAYFORMULA(XLOOKUP(FILTER(INDIRECT(""'""&amp;DV$1&amp;""'!$C$4:$C$66""),INDIRECT(""'""&amp;DV$1&amp;""'!$D$4:$D$66"")=DV$2),$G$4:$BQ$4,$G156:$BQ156)))"),0.0172591525)</f>
        <v>0.0172591525</v>
      </c>
      <c r="DW156" s="207" t="str">
        <f>IFERROR(__xludf.DUMMYFUNCTION("IF(OR(DV156&gt;$BS156+$BT156*$BT$2,DV156&lt;$BS156-$BT156*$BT$2),AVEDEV(ARRAYFORMULA(XLOOKUP(FILTER(INDIRECT(""'""&amp;DV$1&amp;""'!$C$4:$C$66""),INDIRECT(""'""&amp;DV$1&amp;""'!$D$4:$D$66"")=DV$2),$G$4:$BQ$4,$G156:$BQ156))),"""")"),"")</f>
        <v/>
      </c>
      <c r="DX156" s="208" t="str">
        <f t="shared" si="24"/>
        <v/>
      </c>
      <c r="DY156" s="210">
        <f>IFERROR(__xludf.DUMMYFUNCTION("AVERAGE(ARRAYFORMULA(XLOOKUP(FILTER(INDIRECT(""'""&amp;DY$1&amp;""'!$C$4:$C$66""),INDIRECT(""'""&amp;DY$1&amp;""'!$D$4:$D$66"")=DY$2),$G$4:$BQ$4,$G156:$BQ156)))"),-0.12605187333333334)</f>
        <v>-0.1260518733</v>
      </c>
      <c r="DZ156" s="207" t="str">
        <f>IFERROR(__xludf.DUMMYFUNCTION("IF(OR(DY156&gt;$BS156+$BT156*$BT$2,DY156&lt;$BS156-$BT156*$BT$2),AVEDEV(ARRAYFORMULA(XLOOKUP(FILTER(INDIRECT(""'""&amp;DY$1&amp;""'!$C$4:$C$66""),INDIRECT(""'""&amp;DY$1&amp;""'!$D$4:$D$66"")=DY$2),$G$4:$BQ$4,$G156:$BQ156))),"""")"),"")</f>
        <v/>
      </c>
      <c r="EA156" s="208" t="str">
        <f t="shared" si="25"/>
        <v/>
      </c>
      <c r="EB156" s="191"/>
    </row>
    <row r="157" outlineLevel="1">
      <c r="A157" s="2"/>
      <c r="B157" s="204">
        <v>153.0</v>
      </c>
      <c r="C157" s="204" t="s">
        <v>540</v>
      </c>
      <c r="D157" s="204" t="s">
        <v>599</v>
      </c>
      <c r="E157" s="205" t="b">
        <f>VLOOKUP(D157,'Feature Set List'!A153:C246,2,0)</f>
        <v>1</v>
      </c>
      <c r="F157" s="205" t="b">
        <f>VLOOKUP(D157,'Feature Set List'!A153:C246,3,0)</f>
        <v>0</v>
      </c>
      <c r="G157" s="205">
        <v>0.0</v>
      </c>
      <c r="H157" s="205">
        <v>0.0</v>
      </c>
      <c r="I157" s="205">
        <v>0.0</v>
      </c>
      <c r="J157" s="205">
        <v>0.0</v>
      </c>
      <c r="K157" s="205">
        <v>0.0</v>
      </c>
      <c r="L157" s="205">
        <v>2.39583333</v>
      </c>
      <c r="M157" s="205">
        <v>2.08333333</v>
      </c>
      <c r="N157" s="205">
        <v>0.0</v>
      </c>
      <c r="O157" s="205">
        <v>0.0</v>
      </c>
      <c r="P157" s="205">
        <v>2.08333333</v>
      </c>
      <c r="Q157" s="205">
        <v>0.0</v>
      </c>
      <c r="R157" s="205">
        <v>0.0</v>
      </c>
      <c r="S157" s="205">
        <v>0.0</v>
      </c>
      <c r="T157" s="205">
        <v>1.11083333</v>
      </c>
      <c r="U157" s="205">
        <v>0.0</v>
      </c>
      <c r="V157" s="205">
        <v>0.0</v>
      </c>
      <c r="W157" s="205">
        <v>1.66666667</v>
      </c>
      <c r="X157" s="205">
        <v>0.0</v>
      </c>
      <c r="Y157" s="205">
        <v>0.83333333</v>
      </c>
      <c r="Z157" s="205">
        <v>0.0</v>
      </c>
      <c r="AA157" s="205">
        <v>0.0</v>
      </c>
      <c r="AB157" s="205">
        <v>1.0</v>
      </c>
      <c r="AC157" s="205">
        <v>1.5</v>
      </c>
      <c r="AD157" s="205">
        <v>0.0</v>
      </c>
      <c r="AE157" s="205">
        <v>0.0</v>
      </c>
      <c r="AF157" s="205">
        <v>1.5</v>
      </c>
      <c r="AG157" s="205">
        <v>0.0</v>
      </c>
      <c r="AH157" s="205">
        <v>0.0</v>
      </c>
      <c r="AI157" s="205">
        <v>1.11083333</v>
      </c>
      <c r="AJ157" s="205">
        <v>0.33333333</v>
      </c>
      <c r="AK157" s="205">
        <v>0.0</v>
      </c>
      <c r="AL157" s="205">
        <v>0.0</v>
      </c>
      <c r="AM157" s="205">
        <v>0.0</v>
      </c>
      <c r="AN157" s="205">
        <v>1.0</v>
      </c>
      <c r="AO157" s="205">
        <v>0.0</v>
      </c>
      <c r="AP157" s="205">
        <v>0.0</v>
      </c>
      <c r="AQ157" s="205">
        <v>0.0</v>
      </c>
      <c r="AR157" s="205">
        <v>0.0</v>
      </c>
      <c r="AS157" s="205">
        <v>0.625</v>
      </c>
      <c r="AT157" s="205">
        <v>0.0</v>
      </c>
      <c r="AU157" s="205">
        <v>0.0</v>
      </c>
      <c r="AV157" s="205">
        <v>0.0</v>
      </c>
      <c r="AW157" s="205">
        <v>0.0</v>
      </c>
      <c r="AX157" s="205">
        <v>0.0</v>
      </c>
      <c r="AY157" s="205">
        <v>0.0</v>
      </c>
      <c r="AZ157" s="205">
        <v>0.0</v>
      </c>
      <c r="BA157" s="205">
        <v>2.08333333</v>
      </c>
      <c r="BB157" s="205">
        <v>0.33333333</v>
      </c>
      <c r="BC157" s="205">
        <v>0.0</v>
      </c>
      <c r="BD157" s="205">
        <v>1.25</v>
      </c>
      <c r="BE157" s="205">
        <v>0.0</v>
      </c>
      <c r="BF157" s="205">
        <v>0.0</v>
      </c>
      <c r="BG157" s="205">
        <v>1.5</v>
      </c>
      <c r="BH157" s="205">
        <v>0.0</v>
      </c>
      <c r="BI157" s="205">
        <v>0.0</v>
      </c>
      <c r="BJ157" s="205">
        <v>0.0</v>
      </c>
      <c r="BK157" s="205">
        <v>1.0</v>
      </c>
      <c r="BL157" s="205">
        <v>1.04166667</v>
      </c>
      <c r="BM157" s="205">
        <v>0.66666667</v>
      </c>
      <c r="BN157" s="205">
        <v>4.6875</v>
      </c>
      <c r="BO157" s="205">
        <v>0.09258333</v>
      </c>
      <c r="BP157" s="205">
        <v>1.5</v>
      </c>
      <c r="BQ157" s="205">
        <v>7.26166667</v>
      </c>
      <c r="BR157" s="206"/>
      <c r="BS157" s="207">
        <f t="shared" si="6"/>
        <v>0.6136388886</v>
      </c>
      <c r="BT157" s="207">
        <f t="shared" si="7"/>
        <v>0.7940820105</v>
      </c>
      <c r="BU157" s="206"/>
      <c r="BV157" s="207">
        <f>IFERROR(__xludf.DUMMYFUNCTION("AVERAGE(ARRAYFORMULA(XLOOKUP(FILTER(INDIRECT(""'""&amp;BV$1&amp;""'!$C$4:$C$66""),INDIRECT(""'""&amp;BV$1&amp;""'!$D$4:$D$66"")=BV$2),$G$4:$BQ$4,$G157:$BQ157)))"),0.19642857142857142)</f>
        <v>0.1964285714</v>
      </c>
      <c r="BW157" s="207" t="str">
        <f>IFERROR(__xludf.DUMMYFUNCTION("IF(OR(BV157&gt;$BS157+$BT157*$BT$2,BV157&lt;$BS157-$BT157*$BT$2),AVEDEV(ARRAYFORMULA(XLOOKUP(FILTER(INDIRECT(""'""&amp;BV$1&amp;""'!$C$4:$C$66""),INDIRECT(""'""&amp;BV$1&amp;""'!$D$4:$D$66"")=BV$2),$G$4:$BQ$4,$G157:$BQ157))),"""")"),"")</f>
        <v/>
      </c>
      <c r="BX157" s="208" t="str">
        <f t="shared" si="8"/>
        <v/>
      </c>
      <c r="BY157" s="207">
        <f>IFERROR(__xludf.DUMMYFUNCTION("AVERAGE(ARRAYFORMULA(XLOOKUP(FILTER(INDIRECT(""'""&amp;BY$1&amp;""'!$C$4:$C$66""),INDIRECT(""'""&amp;BY$1&amp;""'!$D$4:$D$66"")=BY$2),$G$4:$BQ$4,$G157:$BQ157)))"),0.5145456347619047)</f>
        <v>0.5145456348</v>
      </c>
      <c r="BZ157" s="207" t="str">
        <f>IFERROR(__xludf.DUMMYFUNCTION("IF(OR(BY157&gt;$BS157+$BT157*$BT$2,BY157&lt;$BS157-$BT157*$BT$2),AVEDEV(ARRAYFORMULA(XLOOKUP(FILTER(INDIRECT(""'""&amp;BY$1&amp;""'!$C$4:$C$66""),INDIRECT(""'""&amp;BY$1&amp;""'!$D$4:$D$66"")=BY$2),$G$4:$BQ$4,$G157:$BQ157))),"""")"),"")</f>
        <v/>
      </c>
      <c r="CA157" s="208" t="str">
        <f t="shared" si="9"/>
        <v/>
      </c>
      <c r="CB157" s="207">
        <f>IFERROR(__xludf.DUMMYFUNCTION("AVERAGE(ARRAYFORMULA(XLOOKUP(FILTER(INDIRECT(""'""&amp;CB$1&amp;""'!$C$4:$C$66""),INDIRECT(""'""&amp;CB$1&amp;""'!$D$4:$D$66"")=CB$2),$G$4:$BQ$4,$G157:$BQ157)))"),1.31121212)</f>
        <v>1.31121212</v>
      </c>
      <c r="CC157" s="207" t="str">
        <f>IFERROR(__xludf.DUMMYFUNCTION("IF(OR(CB157&gt;$BS157+$BT157*$BT$2,CB157&lt;$BS157-$BT157*$BT$2),AVEDEV(ARRAYFORMULA(XLOOKUP(FILTER(INDIRECT(""'""&amp;CB$1&amp;""'!$C$4:$C$66""),INDIRECT(""'""&amp;CB$1&amp;""'!$D$4:$D$66"")=CB$2),$G$4:$BQ$4,$G157:$BQ157))),"""")"),"")</f>
        <v/>
      </c>
      <c r="CD157" s="208" t="str">
        <f t="shared" si="10"/>
        <v/>
      </c>
      <c r="CE157" s="209" t="s">
        <v>444</v>
      </c>
      <c r="CF157" s="207">
        <f>IFERROR(__xludf.DUMMYFUNCTION("AVERAGE(ARRAYFORMULA(XLOOKUP(FILTER(INDIRECT(""'""&amp;CF$1&amp;""'!$C$4:$C$66""),INDIRECT(""'""&amp;CF$1&amp;""'!$D$4:$D$66"")=CF$2),$G$4:$BQ$4,$G157:$BQ157)))"),0.09026041625)</f>
        <v>0.09026041625</v>
      </c>
      <c r="CG157" s="207" t="str">
        <f>IFERROR(__xludf.DUMMYFUNCTION("IF(OR(CF157&gt;$BS157+$BT157*$BT$2,CF157&lt;$BS157-$BT157*$BT$2),AVEDEV(ARRAYFORMULA(XLOOKUP(FILTER(INDIRECT(""'""&amp;CF$1&amp;""'!$C$4:$C$66""),INDIRECT(""'""&amp;CF$1&amp;""'!$D$4:$D$66"")=CF$2),$G$4:$BQ$4,$G157:$BQ157))),"""")"),"")</f>
        <v/>
      </c>
      <c r="CH157" s="208" t="str">
        <f t="shared" si="11"/>
        <v/>
      </c>
      <c r="CI157" s="207">
        <f>IFERROR(__xludf.DUMMYFUNCTION("AVERAGE(ARRAYFORMULA(XLOOKUP(FILTER(INDIRECT(""'""&amp;CI$1&amp;""'!$C$4:$C$66""),INDIRECT(""'""&amp;CI$1&amp;""'!$D$4:$D$66"")=CI$2),$G$4:$BQ$4,$G157:$BQ157)))"),0.8632795696774193)</f>
        <v>0.8632795697</v>
      </c>
      <c r="CJ157" s="207" t="str">
        <f>IFERROR(__xludf.DUMMYFUNCTION("IF(OR(CI157&gt;$BS157+$BT157*$BT$2,CI157&lt;$BS157-$BT157*$BT$2),AVEDEV(ARRAYFORMULA(XLOOKUP(FILTER(INDIRECT(""'""&amp;CI$1&amp;""'!$C$4:$C$66""),INDIRECT(""'""&amp;CI$1&amp;""'!$D$4:$D$66"")=CI$2),$G$4:$BQ$4,$G157:$BQ157))),"""")"),"")</f>
        <v/>
      </c>
      <c r="CK157" s="208" t="str">
        <f t="shared" si="12"/>
        <v/>
      </c>
      <c r="CL157" s="207">
        <f>IFERROR(__xludf.DUMMYFUNCTION("AVERAGE(ARRAYFORMULA(XLOOKUP(FILTER(INDIRECT(""'""&amp;CL$1&amp;""'!$C$4:$C$66""),INDIRECT(""'""&amp;CL$1&amp;""'!$D$4:$D$66"")=CL$2),$G$4:$BQ$4,$G157:$BQ157)))"),1.480499998)</f>
        <v>1.480499998</v>
      </c>
      <c r="CM157" s="207">
        <f>IFERROR(__xludf.DUMMYFUNCTION("IF(OR(CL157&gt;$BS157+$BT157*$BT$2,CL157&lt;$BS157-$BT157*$BT$2),AVEDEV(ARRAYFORMULA(XLOOKUP(FILTER(INDIRECT(""'""&amp;CL$1&amp;""'!$C$4:$C$66""),INDIRECT(""'""&amp;CL$1&amp;""'!$D$4:$D$66"")=CL$2),$G$4:$BQ$4,$G157:$BQ157))),"""")"),0.4900666663999999)</f>
        <v>0.4900666664</v>
      </c>
      <c r="CN157" s="208">
        <f t="shared" si="13"/>
        <v>0.07277909895</v>
      </c>
      <c r="CO157" s="209" t="s">
        <v>444</v>
      </c>
      <c r="CP157" s="210">
        <f>IFERROR(__xludf.DUMMYFUNCTION("AVERAGE(ARRAYFORMULA(XLOOKUP(FILTER(INDIRECT(""'""&amp;CP$1&amp;""'!$C$4:$C$66""),INDIRECT(""'""&amp;CP$1&amp;""'!$D$4:$D$66"")=CP$2),$G$4:$BQ$4,$G157:$BQ157)))"),0.2950611106666667)</f>
        <v>0.2950611107</v>
      </c>
      <c r="CQ157" s="207" t="str">
        <f>IFERROR(__xludf.DUMMYFUNCTION("IF(OR(CP157&gt;$BS157+$BT157*$BT$2,CP157&lt;$BS157-$BT157*$BT$2),AVEDEV(ARRAYFORMULA(XLOOKUP(FILTER(INDIRECT(""'""&amp;CP$1&amp;""'!$C$4:$C$66""),INDIRECT(""'""&amp;CP$1&amp;""'!$D$4:$D$66"")=CP$2),$G$4:$BQ$4,$G157:$BQ157))),"""")"),"")</f>
        <v/>
      </c>
      <c r="CR157" s="208" t="str">
        <f t="shared" si="14"/>
        <v/>
      </c>
      <c r="CS157" s="210">
        <f>IFERROR(__xludf.DUMMYFUNCTION("AVERAGE(ARRAYFORMULA(XLOOKUP(FILTER(INDIRECT(""'""&amp;CS$1&amp;""'!$C$4:$C$66""),INDIRECT(""'""&amp;CS$1&amp;""'!$D$4:$D$66"")=CS$2),$G$4:$BQ$4,$G157:$BQ157)))"),0.6292094015384615)</f>
        <v>0.6292094015</v>
      </c>
      <c r="CT157" s="207" t="str">
        <f>IFERROR(__xludf.DUMMYFUNCTION("IF(OR(CS157&gt;$BS157+$BT157*$BT$2,CS157&lt;$BS157-$BT157*$BT$2),AVEDEV(ARRAYFORMULA(XLOOKUP(FILTER(INDIRECT(""'""&amp;CS$1&amp;""'!$C$4:$C$66""),INDIRECT(""'""&amp;CS$1&amp;""'!$D$4:$D$66"")=CS$2),$G$4:$BQ$4,$G157:$BQ157))),"""")"),"")</f>
        <v/>
      </c>
      <c r="CU157" s="208" t="str">
        <f t="shared" si="15"/>
        <v/>
      </c>
      <c r="CV157" s="210">
        <f>IFERROR(__xludf.DUMMYFUNCTION("AVERAGE(ARRAYFORMULA(XLOOKUP(FILTER(INDIRECT(""'""&amp;CV$1&amp;""'!$C$4:$C$66""),INDIRECT(""'""&amp;CV$1&amp;""'!$D$4:$D$66"")=CV$2),$G$4:$BQ$4,$G157:$BQ157)))"),1.480499998)</f>
        <v>1.480499998</v>
      </c>
      <c r="CW157" s="207">
        <f>IFERROR(__xludf.DUMMYFUNCTION("IF(OR(CV157&gt;$BS157+$BT157*$BT$2,CV157&lt;$BS157-$BT157*$BT$2),AVEDEV(ARRAYFORMULA(XLOOKUP(FILTER(INDIRECT(""'""&amp;CV$1&amp;""'!$C$4:$C$66""),INDIRECT(""'""&amp;CV$1&amp;""'!$D$4:$D$66"")=CV$2),$G$4:$BQ$4,$G157:$BQ157))),"""")"),0.4900666663999999)</f>
        <v>0.4900666664</v>
      </c>
      <c r="CX157" s="208">
        <f t="shared" si="16"/>
        <v>0.07277909895</v>
      </c>
      <c r="CY157" s="209" t="s">
        <v>444</v>
      </c>
      <c r="CZ157" s="210">
        <f>IFERROR(__xludf.DUMMYFUNCTION("AVERAGE(ARRAYFORMULA(XLOOKUP(FILTER(INDIRECT(""'""&amp;CZ$1&amp;""'!$C$4:$C$66""),INDIRECT(""'""&amp;CZ$1&amp;""'!$D$4:$D$66"")=CZ$2),$G$4:$BQ$4,$G157:$BQ157)))"),0.1507738092857143)</f>
        <v>0.1507738093</v>
      </c>
      <c r="DA157" s="207" t="str">
        <f>IFERROR(__xludf.DUMMYFUNCTION("IF(OR(CZ157&gt;$BS157+$BT157*$BT$2,CZ157&lt;$BS157-$BT157*$BT$2),AVEDEV(ARRAYFORMULA(XLOOKUP(FILTER(INDIRECT(""'""&amp;CZ$1&amp;""'!$C$4:$C$66""),INDIRECT(""'""&amp;CZ$1&amp;""'!$D$4:$D$66"")=CZ$2),$G$4:$BQ$4,$G157:$BQ157))),"""")"),"")</f>
        <v/>
      </c>
      <c r="DB157" s="208" t="str">
        <f t="shared" si="17"/>
        <v/>
      </c>
      <c r="DC157" s="210">
        <f>IFERROR(__xludf.DUMMYFUNCTION("AVERAGE(ARRAYFORMULA(XLOOKUP(FILTER(INDIRECT(""'""&amp;DC$1&amp;""'!$C$4:$C$66""),INDIRECT(""'""&amp;DC$1&amp;""'!$D$4:$D$66"")=DC$2),$G$4:$BQ$4,$G157:$BQ157)))"),1.5285185166666666)</f>
        <v>1.528518517</v>
      </c>
      <c r="DD157" s="207">
        <f>IFERROR(__xludf.DUMMYFUNCTION("IF(OR(DC157&gt;$BS157+$BT157*$BT$2,DC157&lt;$BS157-$BT157*$BT$2),AVEDEV(ARRAYFORMULA(XLOOKUP(FILTER(INDIRECT(""'""&amp;DC$1&amp;""'!$C$4:$C$66""),INDIRECT(""'""&amp;DC$1&amp;""'!$D$4:$D$66"")=DC$2),$G$4:$BQ$4,$G157:$BQ157))),"""")"),0.593312757037037)</f>
        <v>0.593312757</v>
      </c>
      <c r="DE157" s="208">
        <f t="shared" si="18"/>
        <v>0.1207976176</v>
      </c>
      <c r="DF157" s="210">
        <f>IFERROR(__xludf.DUMMYFUNCTION("AVERAGE(ARRAYFORMULA(XLOOKUP(FILTER(INDIRECT(""'""&amp;DF$1&amp;""'!$C$4:$C$66""),INDIRECT(""'""&amp;DF$1&amp;""'!$D$4:$D$66"")=DF$2),$G$4:$BQ$4,$G157:$BQ157)))"),0.37205303)</f>
        <v>0.37205303</v>
      </c>
      <c r="DG157" s="207" t="str">
        <f>IFERROR(__xludf.DUMMYFUNCTION("IF(OR(DF157&gt;$BS157+$BT157*$BT$2,DF157&lt;$BS157-$BT157*$BT$2),AVEDEV(ARRAYFORMULA(XLOOKUP(FILTER(INDIRECT(""'""&amp;DF$1&amp;""'!$C$4:$C$66""),INDIRECT(""'""&amp;DF$1&amp;""'!$D$4:$D$66"")=DF$2),$G$4:$BQ$4,$G157:$BQ157))),"""")"),"")</f>
        <v/>
      </c>
      <c r="DH157" s="208" t="str">
        <f t="shared" si="19"/>
        <v/>
      </c>
      <c r="DI157" s="210">
        <f>IFERROR(__xludf.DUMMYFUNCTION("AVERAGE(ARRAYFORMULA(XLOOKUP(FILTER(INDIRECT(""'""&amp;DI$1&amp;""'!$C$4:$C$66""),INDIRECT(""'""&amp;DI$1&amp;""'!$D$4:$D$66"")=DI$2),$G$4:$BQ$4,$G157:$BQ157)))"),0.0)</f>
        <v>0</v>
      </c>
      <c r="DJ157" s="207" t="str">
        <f>IFERROR(__xludf.DUMMYFUNCTION("IF(OR(DI157&gt;$BS157+$BT157*$BT$2,DI157&lt;$BS157-$BT157*$BT$2),AVEDEV(ARRAYFORMULA(XLOOKUP(FILTER(INDIRECT(""'""&amp;DI$1&amp;""'!$C$4:$C$66""),INDIRECT(""'""&amp;DI$1&amp;""'!$D$4:$D$66"")=DI$2),$G$4:$BQ$4,$G157:$BQ157))),"""")"),"")</f>
        <v/>
      </c>
      <c r="DK157" s="208" t="str">
        <f t="shared" si="20"/>
        <v/>
      </c>
      <c r="DL157" s="210">
        <f>IFERROR(__xludf.DUMMYFUNCTION("AVERAGE(ARRAYFORMULA(XLOOKUP(FILTER(INDIRECT(""'""&amp;DL$1&amp;""'!$C$4:$C$66""),INDIRECT(""'""&amp;DL$1&amp;""'!$D$4:$D$66"")=DL$2),$G$4:$BQ$4,$G157:$BQ157)))"),1.0558928571428572)</f>
        <v>1.055892857</v>
      </c>
      <c r="DM157" s="207" t="str">
        <f>IFERROR(__xludf.DUMMYFUNCTION("IF(OR(DL157&gt;$BS157+$BT157*$BT$2,DL157&lt;$BS157-$BT157*$BT$2),AVEDEV(ARRAYFORMULA(XLOOKUP(FILTER(INDIRECT(""'""&amp;DL$1&amp;""'!$C$4:$C$66""),INDIRECT(""'""&amp;DL$1&amp;""'!$D$4:$D$66"")=DL$2),$G$4:$BQ$4,$G157:$BQ157))),"""")"),"")</f>
        <v/>
      </c>
      <c r="DN157" s="208" t="str">
        <f t="shared" si="21"/>
        <v/>
      </c>
      <c r="DO157" s="209" t="s">
        <v>444</v>
      </c>
      <c r="DP157" s="210">
        <f>IFERROR(__xludf.DUMMYFUNCTION("AVERAGE(ARRAYFORMULA(XLOOKUP(FILTER(INDIRECT(""'""&amp;DP$1&amp;""'!$C$4:$C$66""),INDIRECT(""'""&amp;DP$1&amp;""'!$D$4:$D$66"")=DP$2),$G$4:$BQ$4,$G157:$BQ157)))"),0.5401944443333334)</f>
        <v>0.5401944443</v>
      </c>
      <c r="DQ157" s="207" t="str">
        <f>IFERROR(__xludf.DUMMYFUNCTION("IF(OR(DP157&gt;$BS157+$BT157*$BT$2,DP157&lt;$BS157-$BT157*$BT$2),AVEDEV(ARRAYFORMULA(XLOOKUP(FILTER(INDIRECT(""'""&amp;DP$1&amp;""'!$C$4:$C$66""),INDIRECT(""'""&amp;DP$1&amp;""'!$D$4:$D$66"")=DP$2),$G$4:$BQ$4,$G157:$BQ157))),"""")"),"")</f>
        <v/>
      </c>
      <c r="DR157" s="208" t="str">
        <f t="shared" si="22"/>
        <v/>
      </c>
      <c r="DS157" s="210">
        <f>IFERROR(__xludf.DUMMYFUNCTION("AVERAGE(ARRAYFORMULA(XLOOKUP(FILTER(INDIRECT(""'""&amp;DS$1&amp;""'!$C$4:$C$66""),INDIRECT(""'""&amp;DS$1&amp;""'!$D$4:$D$66"")=DS$2),$G$4:$BQ$4,$G157:$BQ157)))"),1.343333332222222)</f>
        <v>1.343333332</v>
      </c>
      <c r="DT157" s="207" t="str">
        <f>IFERROR(__xludf.DUMMYFUNCTION("IF(OR(DS157&gt;$BS157+$BT157*$BT$2,DS157&lt;$BS157-$BT157*$BT$2),AVEDEV(ARRAYFORMULA(XLOOKUP(FILTER(INDIRECT(""'""&amp;DS$1&amp;""'!$C$4:$C$66""),INDIRECT(""'""&amp;DS$1&amp;""'!$D$4:$D$66"")=DS$2),$G$4:$BQ$4,$G157:$BQ157))),"""")"),"")</f>
        <v/>
      </c>
      <c r="DU157" s="208" t="str">
        <f t="shared" si="23"/>
        <v/>
      </c>
      <c r="DV157" s="210">
        <f>IFERROR(__xludf.DUMMYFUNCTION("AVERAGE(ARRAYFORMULA(XLOOKUP(FILTER(INDIRECT(""'""&amp;DV$1&amp;""'!$C$4:$C$66""),INDIRECT(""'""&amp;DV$1&amp;""'!$D$4:$D$66"")=DV$2),$G$4:$BQ$4,$G157:$BQ157)))"),0.04166666625)</f>
        <v>0.04166666625</v>
      </c>
      <c r="DW157" s="207" t="str">
        <f>IFERROR(__xludf.DUMMYFUNCTION("IF(OR(DV157&gt;$BS157+$BT157*$BT$2,DV157&lt;$BS157-$BT157*$BT$2),AVEDEV(ARRAYFORMULA(XLOOKUP(FILTER(INDIRECT(""'""&amp;DV$1&amp;""'!$C$4:$C$66""),INDIRECT(""'""&amp;DV$1&amp;""'!$D$4:$D$66"")=DV$2),$G$4:$BQ$4,$G157:$BQ157))),"""")"),"")</f>
        <v/>
      </c>
      <c r="DX157" s="208" t="str">
        <f t="shared" si="24"/>
        <v/>
      </c>
      <c r="DY157" s="210">
        <f>IFERROR(__xludf.DUMMYFUNCTION("AVERAGE(ARRAYFORMULA(XLOOKUP(FILTER(INDIRECT(""'""&amp;DY$1&amp;""'!$C$4:$C$66""),INDIRECT(""'""&amp;DY$1&amp;""'!$D$4:$D$66"")=DY$2),$G$4:$BQ$4,$G157:$BQ157)))"),0.8598240733333333)</f>
        <v>0.8598240733</v>
      </c>
      <c r="DZ157" s="207" t="str">
        <f>IFERROR(__xludf.DUMMYFUNCTION("IF(OR(DY157&gt;$BS157+$BT157*$BT$2,DY157&lt;$BS157-$BT157*$BT$2),AVEDEV(ARRAYFORMULA(XLOOKUP(FILTER(INDIRECT(""'""&amp;DY$1&amp;""'!$C$4:$C$66""),INDIRECT(""'""&amp;DY$1&amp;""'!$D$4:$D$66"")=DY$2),$G$4:$BQ$4,$G157:$BQ157))),"""")"),"")</f>
        <v/>
      </c>
      <c r="EA157" s="208" t="str">
        <f t="shared" si="25"/>
        <v/>
      </c>
      <c r="EB157" s="191"/>
    </row>
    <row r="158" outlineLevel="1">
      <c r="A158" s="2"/>
      <c r="B158" s="204">
        <v>154.0</v>
      </c>
      <c r="C158" s="204" t="s">
        <v>540</v>
      </c>
      <c r="D158" s="204" t="s">
        <v>600</v>
      </c>
      <c r="E158" s="205" t="b">
        <f>VLOOKUP(D158,'Feature Set List'!A154:C246,2,0)</f>
        <v>1</v>
      </c>
      <c r="F158" s="205" t="b">
        <f>VLOOKUP(D158,'Feature Set List'!A154:C246,3,0)</f>
        <v>1</v>
      </c>
      <c r="G158" s="205">
        <v>0.66666667</v>
      </c>
      <c r="H158" s="205">
        <v>-0.3333333</v>
      </c>
      <c r="I158" s="205">
        <v>-0.3333333</v>
      </c>
      <c r="J158" s="205">
        <v>0.0</v>
      </c>
      <c r="K158" s="205">
        <v>-0.0513333</v>
      </c>
      <c r="L158" s="205">
        <v>0.33333333</v>
      </c>
      <c r="M158" s="205">
        <v>1.16666667</v>
      </c>
      <c r="N158" s="205">
        <v>0.66666667</v>
      </c>
      <c r="O158" s="205">
        <v>-0.6666667</v>
      </c>
      <c r="P158" s="205">
        <v>0.33333333</v>
      </c>
      <c r="Q158" s="205">
        <v>0.0</v>
      </c>
      <c r="R158" s="205">
        <v>-0.6666667</v>
      </c>
      <c r="S158" s="205">
        <v>-0.3333333</v>
      </c>
      <c r="T158" s="205">
        <v>-0.2223333</v>
      </c>
      <c r="U158" s="205">
        <v>-0.6666667</v>
      </c>
      <c r="V158" s="205">
        <v>0.0</v>
      </c>
      <c r="W158" s="205">
        <v>0.33333333</v>
      </c>
      <c r="X158" s="205">
        <v>0.66666667</v>
      </c>
      <c r="Y158" s="205">
        <v>0.66666667</v>
      </c>
      <c r="Z158" s="205">
        <v>0.0</v>
      </c>
      <c r="AA158" s="205">
        <v>0.33333333</v>
      </c>
      <c r="AB158" s="205">
        <v>0.0</v>
      </c>
      <c r="AC158" s="205">
        <v>0.66666667</v>
      </c>
      <c r="AD158" s="205">
        <v>0.0</v>
      </c>
      <c r="AE158" s="205">
        <v>0.66666667</v>
      </c>
      <c r="AF158" s="205">
        <v>0.66666667</v>
      </c>
      <c r="AG158" s="205">
        <v>0.0</v>
      </c>
      <c r="AH158" s="205">
        <v>0.33333333</v>
      </c>
      <c r="AI158" s="205">
        <v>0.889</v>
      </c>
      <c r="AJ158" s="205">
        <v>0.0</v>
      </c>
      <c r="AK158" s="205">
        <v>-0.6666667</v>
      </c>
      <c r="AL158" s="205">
        <v>0.0</v>
      </c>
      <c r="AM158" s="205">
        <v>0.66666667</v>
      </c>
      <c r="AN158" s="205">
        <v>-0.6666667</v>
      </c>
      <c r="AO158" s="205">
        <v>-0.0833333</v>
      </c>
      <c r="AP158" s="205">
        <v>0.0</v>
      </c>
      <c r="AQ158" s="205">
        <v>0.66666667</v>
      </c>
      <c r="AR158" s="205">
        <v>0.66666667</v>
      </c>
      <c r="AS158" s="205">
        <v>-0.5</v>
      </c>
      <c r="AT158" s="205">
        <v>-0.3333333</v>
      </c>
      <c r="AU158" s="205">
        <v>2.0</v>
      </c>
      <c r="AV158" s="205">
        <v>-0.6666667</v>
      </c>
      <c r="AW158" s="205">
        <v>0.0</v>
      </c>
      <c r="AX158" s="205">
        <v>0.0</v>
      </c>
      <c r="AY158" s="205">
        <v>-0.6666667</v>
      </c>
      <c r="AZ158" s="205">
        <v>-0.6666667</v>
      </c>
      <c r="BA158" s="205">
        <v>0.33333333</v>
      </c>
      <c r="BB158" s="205">
        <v>0.0</v>
      </c>
      <c r="BC158" s="205">
        <v>-0.6666667</v>
      </c>
      <c r="BD158" s="205">
        <v>-0.7776667</v>
      </c>
      <c r="BE158" s="205">
        <v>-0.3333333</v>
      </c>
      <c r="BF158" s="205">
        <v>-0.6666667</v>
      </c>
      <c r="BG158" s="205">
        <v>0.66666667</v>
      </c>
      <c r="BH158" s="205">
        <v>0.0</v>
      </c>
      <c r="BI158" s="205">
        <v>0.0</v>
      </c>
      <c r="BJ158" s="205">
        <v>-0.6666667</v>
      </c>
      <c r="BK158" s="205">
        <v>0.66666667</v>
      </c>
      <c r="BL158" s="205">
        <v>-0.5</v>
      </c>
      <c r="BM158" s="205">
        <v>0.66666667</v>
      </c>
      <c r="BN158" s="205">
        <v>-0.0833333</v>
      </c>
      <c r="BO158" s="205">
        <v>0.148</v>
      </c>
      <c r="BP158" s="205">
        <v>0.66666667</v>
      </c>
      <c r="BQ158" s="205">
        <v>0.09533333</v>
      </c>
      <c r="BR158" s="206"/>
      <c r="BS158" s="207">
        <f t="shared" si="6"/>
        <v>0.0700687819</v>
      </c>
      <c r="BT158" s="207">
        <f t="shared" si="7"/>
        <v>0.4406544067</v>
      </c>
      <c r="BU158" s="206"/>
      <c r="BV158" s="207">
        <f>IFERROR(__xludf.DUMMYFUNCTION("AVERAGE(ARRAYFORMULA(XLOOKUP(FILTER(INDIRECT(""'""&amp;BV$1&amp;""'!$C$4:$C$66""),INDIRECT(""'""&amp;BV$1&amp;""'!$D$4:$D$66"")=BV$2),$G$4:$BQ$4,$G158:$BQ158)))"),-0.2261904757142857)</f>
        <v>-0.2261904757</v>
      </c>
      <c r="BW158" s="207" t="str">
        <f>IFERROR(__xludf.DUMMYFUNCTION("IF(OR(BV158&gt;$BS158+$BT158*$BT$2,BV158&lt;$BS158-$BT158*$BT$2),AVEDEV(ARRAYFORMULA(XLOOKUP(FILTER(INDIRECT(""'""&amp;BV$1&amp;""'!$C$4:$C$66""),INDIRECT(""'""&amp;BV$1&amp;""'!$D$4:$D$66"")=BV$2),$G$4:$BQ$4,$G158:$BQ158))),"""")"),"")</f>
        <v/>
      </c>
      <c r="BX158" s="208" t="str">
        <f t="shared" si="8"/>
        <v/>
      </c>
      <c r="BY158" s="207">
        <f>IFERROR(__xludf.DUMMYFUNCTION("AVERAGE(ARRAYFORMULA(XLOOKUP(FILTER(INDIRECT(""'""&amp;BY$1&amp;""'!$C$4:$C$66""),INDIRECT(""'""&amp;BY$1&amp;""'!$D$4:$D$66"")=BY$2),$G$4:$BQ$4,$G158:$BQ158)))"),0.019785712380952395)</f>
        <v>0.01978571238</v>
      </c>
      <c r="BZ158" s="207" t="str">
        <f>IFERROR(__xludf.DUMMYFUNCTION("IF(OR(BY158&gt;$BS158+$BT158*$BT$2,BY158&lt;$BS158-$BT158*$BT$2),AVEDEV(ARRAYFORMULA(XLOOKUP(FILTER(INDIRECT(""'""&amp;BY$1&amp;""'!$C$4:$C$66""),INDIRECT(""'""&amp;BY$1&amp;""'!$D$4:$D$66"")=BY$2),$G$4:$BQ$4,$G158:$BQ158))),"""")"),"")</f>
        <v/>
      </c>
      <c r="CA158" s="208" t="str">
        <f t="shared" si="9"/>
        <v/>
      </c>
      <c r="CB158" s="207">
        <f>IFERROR(__xludf.DUMMYFUNCTION("AVERAGE(ARRAYFORMULA(XLOOKUP(FILTER(INDIRECT(""'""&amp;CB$1&amp;""'!$C$4:$C$66""),INDIRECT(""'""&amp;CB$1&amp;""'!$D$4:$D$66"")=CB$2),$G$4:$BQ$4,$G158:$BQ158)))"),0.3888787881818182)</f>
        <v>0.3888787882</v>
      </c>
      <c r="CC158" s="207" t="str">
        <f>IFERROR(__xludf.DUMMYFUNCTION("IF(OR(CB158&gt;$BS158+$BT158*$BT$2,CB158&lt;$BS158-$BT158*$BT$2),AVEDEV(ARRAYFORMULA(XLOOKUP(FILTER(INDIRECT(""'""&amp;CB$1&amp;""'!$C$4:$C$66""),INDIRECT(""'""&amp;CB$1&amp;""'!$D$4:$D$66"")=CB$2),$G$4:$BQ$4,$G158:$BQ158))),"""")"),"")</f>
        <v/>
      </c>
      <c r="CD158" s="208" t="str">
        <f t="shared" si="10"/>
        <v/>
      </c>
      <c r="CE158" s="209" t="s">
        <v>444</v>
      </c>
      <c r="CF158" s="207">
        <f>IFERROR(__xludf.DUMMYFUNCTION("AVERAGE(ARRAYFORMULA(XLOOKUP(FILTER(INDIRECT(""'""&amp;CF$1&amp;""'!$C$4:$C$66""),INDIRECT(""'""&amp;CF$1&amp;""'!$D$4:$D$66"")=CF$2),$G$4:$BQ$4,$G158:$BQ158)))"),0.010687500625000013)</f>
        <v>0.01068750063</v>
      </c>
      <c r="CG158" s="207" t="str">
        <f>IFERROR(__xludf.DUMMYFUNCTION("IF(OR(CF158&gt;$BS158+$BT158*$BT$2,CF158&lt;$BS158-$BT158*$BT$2),AVEDEV(ARRAYFORMULA(XLOOKUP(FILTER(INDIRECT(""'""&amp;CF$1&amp;""'!$C$4:$C$66""),INDIRECT(""'""&amp;CF$1&amp;""'!$D$4:$D$66"")=CF$2),$G$4:$BQ$4,$G158:$BQ158))),"""")"),"")</f>
        <v/>
      </c>
      <c r="CH158" s="208" t="str">
        <f t="shared" si="11"/>
        <v/>
      </c>
      <c r="CI158" s="207">
        <f>IFERROR(__xludf.DUMMYFUNCTION("AVERAGE(ARRAYFORMULA(XLOOKUP(FILTER(INDIRECT(""'""&amp;CI$1&amp;""'!$C$4:$C$66""),INDIRECT(""'""&amp;CI$1&amp;""'!$D$4:$D$66"")=CI$2),$G$4:$BQ$4,$G158:$BQ158)))"),0.016516123870967746)</f>
        <v>0.01651612387</v>
      </c>
      <c r="CJ158" s="207" t="str">
        <f>IFERROR(__xludf.DUMMYFUNCTION("IF(OR(CI158&gt;$BS158+$BT158*$BT$2,CI158&lt;$BS158-$BT158*$BT$2),AVEDEV(ARRAYFORMULA(XLOOKUP(FILTER(INDIRECT(""'""&amp;CI$1&amp;""'!$C$4:$C$66""),INDIRECT(""'""&amp;CI$1&amp;""'!$D$4:$D$66"")=CI$2),$G$4:$BQ$4,$G158:$BQ158))),"""")"),"")</f>
        <v/>
      </c>
      <c r="CK158" s="208" t="str">
        <f t="shared" si="12"/>
        <v/>
      </c>
      <c r="CL158" s="207">
        <f>IFERROR(__xludf.DUMMYFUNCTION("AVERAGE(ARRAYFORMULA(XLOOKUP(FILTER(INDIRECT(""'""&amp;CL$1&amp;""'!$C$4:$C$66""),INDIRECT(""'""&amp;CL$1&amp;""'!$D$4:$D$66"")=CL$2),$G$4:$BQ$4,$G158:$BQ158)))"),0.122200006)</f>
        <v>0.122200006</v>
      </c>
      <c r="CM158" s="207" t="str">
        <f>IFERROR(__xludf.DUMMYFUNCTION("IF(OR(CL158&gt;$BS158+$BT158*$BT$2,CL158&lt;$BS158-$BT158*$BT$2),AVEDEV(ARRAYFORMULA(XLOOKUP(FILTER(INDIRECT(""'""&amp;CL$1&amp;""'!$C$4:$C$66""),INDIRECT(""'""&amp;CL$1&amp;""'!$D$4:$D$66"")=CL$2),$G$4:$BQ$4,$G158:$BQ158))),"""")"),"")</f>
        <v/>
      </c>
      <c r="CN158" s="208" t="str">
        <f t="shared" si="13"/>
        <v/>
      </c>
      <c r="CO158" s="209" t="s">
        <v>444</v>
      </c>
      <c r="CP158" s="210">
        <f>IFERROR(__xludf.DUMMYFUNCTION("AVERAGE(ARRAYFORMULA(XLOOKUP(FILTER(INDIRECT(""'""&amp;CP$1&amp;""'!$C$4:$C$66""),INDIRECT(""'""&amp;CP$1&amp;""'!$D$4:$D$66"")=CP$2),$G$4:$BQ$4,$G158:$BQ158)))"),0.2765333366666667)</f>
        <v>0.2765333367</v>
      </c>
      <c r="CQ158" s="207" t="str">
        <f>IFERROR(__xludf.DUMMYFUNCTION("IF(OR(CP158&gt;$BS158+$BT158*$BT$2,CP158&lt;$BS158-$BT158*$BT$2),AVEDEV(ARRAYFORMULA(XLOOKUP(FILTER(INDIRECT(""'""&amp;CP$1&amp;""'!$C$4:$C$66""),INDIRECT(""'""&amp;CP$1&amp;""'!$D$4:$D$66"")=CP$2),$G$4:$BQ$4,$G158:$BQ158))),"""")"),"")</f>
        <v/>
      </c>
      <c r="CR158" s="208" t="str">
        <f t="shared" si="14"/>
        <v/>
      </c>
      <c r="CS158" s="210">
        <f>IFERROR(__xludf.DUMMYFUNCTION("AVERAGE(ARRAYFORMULA(XLOOKUP(FILTER(INDIRECT(""'""&amp;CS$1&amp;""'!$C$4:$C$66""),INDIRECT(""'""&amp;CS$1&amp;""'!$D$4:$D$66"")=CS$2),$G$4:$BQ$4,$G158:$BQ158)))"),-0.01881196974358973)</f>
        <v>-0.01881196974</v>
      </c>
      <c r="CT158" s="207" t="str">
        <f>IFERROR(__xludf.DUMMYFUNCTION("IF(OR(CS158&gt;$BS158+$BT158*$BT$2,CS158&lt;$BS158-$BT158*$BT$2),AVEDEV(ARRAYFORMULA(XLOOKUP(FILTER(INDIRECT(""'""&amp;CS$1&amp;""'!$C$4:$C$66""),INDIRECT(""'""&amp;CS$1&amp;""'!$D$4:$D$66"")=CS$2),$G$4:$BQ$4,$G158:$BQ158))),"""")"),"")</f>
        <v/>
      </c>
      <c r="CU158" s="208" t="str">
        <f t="shared" si="15"/>
        <v/>
      </c>
      <c r="CV158" s="210">
        <f>IFERROR(__xludf.DUMMYFUNCTION("AVERAGE(ARRAYFORMULA(XLOOKUP(FILTER(INDIRECT(""'""&amp;CV$1&amp;""'!$C$4:$C$66""),INDIRECT(""'""&amp;CV$1&amp;""'!$D$4:$D$66"")=CV$2),$G$4:$BQ$4,$G158:$BQ158)))"),0.122200006)</f>
        <v>0.122200006</v>
      </c>
      <c r="CW158" s="207" t="str">
        <f>IFERROR(__xludf.DUMMYFUNCTION("IF(OR(CV158&gt;$BS158+$BT158*$BT$2,CV158&lt;$BS158-$BT158*$BT$2),AVEDEV(ARRAYFORMULA(XLOOKUP(FILTER(INDIRECT(""'""&amp;CV$1&amp;""'!$C$4:$C$66""),INDIRECT(""'""&amp;CV$1&amp;""'!$D$4:$D$66"")=CV$2),$G$4:$BQ$4,$G158:$BQ158))),"""")"),"")</f>
        <v/>
      </c>
      <c r="CX158" s="208" t="str">
        <f t="shared" si="16"/>
        <v/>
      </c>
      <c r="CY158" s="209" t="s">
        <v>444</v>
      </c>
      <c r="CZ158" s="210">
        <f>IFERROR(__xludf.DUMMYFUNCTION("AVERAGE(ARRAYFORMULA(XLOOKUP(FILTER(INDIRECT(""'""&amp;CZ$1&amp;""'!$C$4:$C$66""),INDIRECT(""'""&amp;CZ$1&amp;""'!$D$4:$D$66"")=CZ$2),$G$4:$BQ$4,$G158:$BQ158)))"),0.13492857000000003)</f>
        <v>0.13492857</v>
      </c>
      <c r="DA158" s="207" t="str">
        <f>IFERROR(__xludf.DUMMYFUNCTION("IF(OR(CZ158&gt;$BS158+$BT158*$BT$2,CZ158&lt;$BS158-$BT158*$BT$2),AVEDEV(ARRAYFORMULA(XLOOKUP(FILTER(INDIRECT(""'""&amp;CZ$1&amp;""'!$C$4:$C$66""),INDIRECT(""'""&amp;CZ$1&amp;""'!$D$4:$D$66"")=CZ$2),$G$4:$BQ$4,$G158:$BQ158))),"""")"),"")</f>
        <v/>
      </c>
      <c r="DB158" s="208" t="str">
        <f t="shared" si="17"/>
        <v/>
      </c>
      <c r="DC158" s="210">
        <f>IFERROR(__xludf.DUMMYFUNCTION("AVERAGE(ARRAYFORMULA(XLOOKUP(FILTER(INDIRECT(""'""&amp;DC$1&amp;""'!$C$4:$C$66""),INDIRECT(""'""&amp;DC$1&amp;""'!$D$4:$D$66"")=DC$2),$G$4:$BQ$4,$G158:$BQ158)))"),0.4752963)</f>
        <v>0.4752963</v>
      </c>
      <c r="DD158" s="207" t="str">
        <f>IFERROR(__xludf.DUMMYFUNCTION("IF(OR(DC158&gt;$BS158+$BT158*$BT$2,DC158&lt;$BS158-$BT158*$BT$2),AVEDEV(ARRAYFORMULA(XLOOKUP(FILTER(INDIRECT(""'""&amp;DC$1&amp;""'!$C$4:$C$66""),INDIRECT(""'""&amp;DC$1&amp;""'!$D$4:$D$66"")=DC$2),$G$4:$BQ$4,$G158:$BQ158))),"""")"),"")</f>
        <v/>
      </c>
      <c r="DE158" s="208" t="str">
        <f t="shared" si="18"/>
        <v/>
      </c>
      <c r="DF158" s="210">
        <f>IFERROR(__xludf.DUMMYFUNCTION("AVERAGE(ARRAYFORMULA(XLOOKUP(FILTER(INDIRECT(""'""&amp;DF$1&amp;""'!$C$4:$C$66""),INDIRECT(""'""&amp;DF$1&amp;""'!$D$4:$D$66"")=DF$2),$G$4:$BQ$4,$G158:$BQ158)))"),0.07406060636363639)</f>
        <v>0.07406060636</v>
      </c>
      <c r="DG158" s="207" t="str">
        <f>IFERROR(__xludf.DUMMYFUNCTION("IF(OR(DF158&gt;$BS158+$BT158*$BT$2,DF158&lt;$BS158-$BT158*$BT$2),AVEDEV(ARRAYFORMULA(XLOOKUP(FILTER(INDIRECT(""'""&amp;DF$1&amp;""'!$C$4:$C$66""),INDIRECT(""'""&amp;DF$1&amp;""'!$D$4:$D$66"")=DF$2),$G$4:$BQ$4,$G158:$BQ158))),"""")"),"")</f>
        <v/>
      </c>
      <c r="DH158" s="208" t="str">
        <f t="shared" si="19"/>
        <v/>
      </c>
      <c r="DI158" s="210">
        <f>IFERROR(__xludf.DUMMYFUNCTION("AVERAGE(ARRAYFORMULA(XLOOKUP(FILTER(INDIRECT(""'""&amp;DI$1&amp;""'!$C$4:$C$66""),INDIRECT(""'""&amp;DI$1&amp;""'!$D$4:$D$66"")=DI$2),$G$4:$BQ$4,$G158:$BQ158)))"),0.0)</f>
        <v>0</v>
      </c>
      <c r="DJ158" s="207" t="str">
        <f>IFERROR(__xludf.DUMMYFUNCTION("IF(OR(DI158&gt;$BS158+$BT158*$BT$2,DI158&lt;$BS158-$BT158*$BT$2),AVEDEV(ARRAYFORMULA(XLOOKUP(FILTER(INDIRECT(""'""&amp;DI$1&amp;""'!$C$4:$C$66""),INDIRECT(""'""&amp;DI$1&amp;""'!$D$4:$D$66"")=DI$2),$G$4:$BQ$4,$G158:$BQ158))),"""")"),"")</f>
        <v/>
      </c>
      <c r="DK158" s="208" t="str">
        <f t="shared" si="20"/>
        <v/>
      </c>
      <c r="DL158" s="210">
        <f>IFERROR(__xludf.DUMMYFUNCTION("AVERAGE(ARRAYFORMULA(XLOOKUP(FILTER(INDIRECT(""'""&amp;DL$1&amp;""'!$C$4:$C$66""),INDIRECT(""'""&amp;DL$1&amp;""'!$D$4:$D$66"")=DL$2),$G$4:$BQ$4,$G158:$BQ158)))"),-0.14200000928571427)</f>
        <v>-0.1420000093</v>
      </c>
      <c r="DM158" s="207" t="str">
        <f>IFERROR(__xludf.DUMMYFUNCTION("IF(OR(DL158&gt;$BS158+$BT158*$BT$2,DL158&lt;$BS158-$BT158*$BT$2),AVEDEV(ARRAYFORMULA(XLOOKUP(FILTER(INDIRECT(""'""&amp;DL$1&amp;""'!$C$4:$C$66""),INDIRECT(""'""&amp;DL$1&amp;""'!$D$4:$D$66"")=DL$2),$G$4:$BQ$4,$G158:$BQ158))),"""")"),"")</f>
        <v/>
      </c>
      <c r="DN158" s="208" t="str">
        <f t="shared" si="21"/>
        <v/>
      </c>
      <c r="DO158" s="209" t="s">
        <v>444</v>
      </c>
      <c r="DP158" s="210">
        <f>IFERROR(__xludf.DUMMYFUNCTION("AVERAGE(ARRAYFORMULA(XLOOKUP(FILTER(INDIRECT(""'""&amp;DP$1&amp;""'!$C$4:$C$66""),INDIRECT(""'""&amp;DP$1&amp;""'!$D$4:$D$66"")=DP$2),$G$4:$BQ$4,$G158:$BQ158)))"),0.0533222216666667)</f>
        <v>0.05332222167</v>
      </c>
      <c r="DQ158" s="207" t="str">
        <f>IFERROR(__xludf.DUMMYFUNCTION("IF(OR(DP158&gt;$BS158+$BT158*$BT$2,DP158&lt;$BS158-$BT158*$BT$2),AVEDEV(ARRAYFORMULA(XLOOKUP(FILTER(INDIRECT(""'""&amp;DP$1&amp;""'!$C$4:$C$66""),INDIRECT(""'""&amp;DP$1&amp;""'!$D$4:$D$66"")=DP$2),$G$4:$BQ$4,$G158:$BQ158))),"""")"),"")</f>
        <v/>
      </c>
      <c r="DR158" s="208" t="str">
        <f t="shared" si="22"/>
        <v/>
      </c>
      <c r="DS158" s="210">
        <f>IFERROR(__xludf.DUMMYFUNCTION("AVERAGE(ARRAYFORMULA(XLOOKUP(FILTER(INDIRECT(""'""&amp;DS$1&amp;""'!$C$4:$C$66""),INDIRECT(""'""&amp;DS$1&amp;""'!$D$4:$D$66"")=DS$2),$G$4:$BQ$4,$G158:$BQ158)))"),0.32714814777777773)</f>
        <v>0.3271481478</v>
      </c>
      <c r="DT158" s="207" t="str">
        <f>IFERROR(__xludf.DUMMYFUNCTION("IF(OR(DS158&gt;$BS158+$BT158*$BT$2,DS158&lt;$BS158-$BT158*$BT$2),AVEDEV(ARRAYFORMULA(XLOOKUP(FILTER(INDIRECT(""'""&amp;DS$1&amp;""'!$C$4:$C$66""),INDIRECT(""'""&amp;DS$1&amp;""'!$D$4:$D$66"")=DS$2),$G$4:$BQ$4,$G158:$BQ158))),"""")"),"")</f>
        <v/>
      </c>
      <c r="DU158" s="208" t="str">
        <f t="shared" si="23"/>
        <v/>
      </c>
      <c r="DV158" s="210">
        <f>IFERROR(__xludf.DUMMYFUNCTION("AVERAGE(ARRAYFORMULA(XLOOKUP(FILTER(INDIRECT(""'""&amp;DV$1&amp;""'!$C$4:$C$66""),INDIRECT(""'""&amp;DV$1&amp;""'!$D$4:$D$66"")=DV$2),$G$4:$BQ$4,$G158:$BQ158)))"),-0.41666668375)</f>
        <v>-0.4166666838</v>
      </c>
      <c r="DW158" s="207">
        <f>IFERROR(__xludf.DUMMYFUNCTION("IF(OR(DV158&gt;$BS158+$BT158*$BT$2,DV158&lt;$BS158-$BT158*$BT$2),AVEDEV(ARRAYFORMULA(XLOOKUP(FILTER(INDIRECT(""'""&amp;DV$1&amp;""'!$C$4:$C$66""),INDIRECT(""'""&amp;DV$1&amp;""'!$D$4:$D$66"")=DV$2),$G$4:$BQ$4,$G158:$BQ158))),"""")"),0.31250002031249996)</f>
        <v>0.3125000203</v>
      </c>
      <c r="DX158" s="208">
        <f t="shared" si="24"/>
        <v>-0.04608105891</v>
      </c>
      <c r="DY158" s="210">
        <f>IFERROR(__xludf.DUMMYFUNCTION("AVERAGE(ARRAYFORMULA(XLOOKUP(FILTER(INDIRECT(""'""&amp;DY$1&amp;""'!$C$4:$C$66""),INDIRECT(""'""&amp;DY$1&amp;""'!$D$4:$D$66"")=DY$2),$G$4:$BQ$4,$G158:$BQ158)))"),0.17385185666666664)</f>
        <v>0.1738518567</v>
      </c>
      <c r="DZ158" s="207" t="str">
        <f>IFERROR(__xludf.DUMMYFUNCTION("IF(OR(DY158&gt;$BS158+$BT158*$BT$2,DY158&lt;$BS158-$BT158*$BT$2),AVEDEV(ARRAYFORMULA(XLOOKUP(FILTER(INDIRECT(""'""&amp;DY$1&amp;""'!$C$4:$C$66""),INDIRECT(""'""&amp;DY$1&amp;""'!$D$4:$D$66"")=DY$2),$G$4:$BQ$4,$G158:$BQ158))),"""")"),"")</f>
        <v/>
      </c>
      <c r="EA158" s="208" t="str">
        <f t="shared" si="25"/>
        <v/>
      </c>
      <c r="EB158" s="191"/>
    </row>
    <row r="159" outlineLevel="1">
      <c r="A159" s="2"/>
      <c r="B159" s="204">
        <v>155.0</v>
      </c>
      <c r="C159" s="204" t="s">
        <v>601</v>
      </c>
      <c r="D159" s="204" t="s">
        <v>602</v>
      </c>
      <c r="E159" s="205" t="b">
        <f>VLOOKUP(D159,'Feature Set List'!A155:C246,2,0)</f>
        <v>1</v>
      </c>
      <c r="F159" s="205" t="b">
        <f>VLOOKUP(D159,'Feature Set List'!A155:C246,3,0)</f>
        <v>1</v>
      </c>
      <c r="G159" s="205">
        <v>0.37037037</v>
      </c>
      <c r="H159" s="205">
        <v>0.09876543</v>
      </c>
      <c r="I159" s="205">
        <v>0.09876543</v>
      </c>
      <c r="J159" s="205">
        <v>0.09876543</v>
      </c>
      <c r="K159" s="205">
        <v>0.83950617</v>
      </c>
      <c r="L159" s="205">
        <v>-1.1358025</v>
      </c>
      <c r="M159" s="205">
        <v>2.69135802</v>
      </c>
      <c r="N159" s="205">
        <v>0.09876543</v>
      </c>
      <c r="O159" s="205">
        <v>0.09876543</v>
      </c>
      <c r="P159" s="205">
        <v>-0.5432099</v>
      </c>
      <c r="Q159" s="205">
        <v>0.09876543</v>
      </c>
      <c r="R159" s="205">
        <v>-0.6419753</v>
      </c>
      <c r="S159" s="205">
        <v>0.09876543</v>
      </c>
      <c r="T159" s="205">
        <v>-1.037037</v>
      </c>
      <c r="U159" s="205">
        <v>0.09876543</v>
      </c>
      <c r="V159" s="205">
        <v>-0.4938272</v>
      </c>
      <c r="W159" s="205">
        <v>0.2962963</v>
      </c>
      <c r="X159" s="205">
        <v>0.69135802</v>
      </c>
      <c r="Y159" s="205">
        <v>-0.1481481</v>
      </c>
      <c r="Z159" s="205">
        <v>1.67901235</v>
      </c>
      <c r="AA159" s="205">
        <v>-0.3950617</v>
      </c>
      <c r="AB159" s="205">
        <v>0.79012346</v>
      </c>
      <c r="AC159" s="205">
        <v>0.34567901</v>
      </c>
      <c r="AD159" s="205">
        <v>-0.0987654</v>
      </c>
      <c r="AE159" s="205">
        <v>-1.0617284</v>
      </c>
      <c r="AF159" s="205">
        <v>-0.8395062</v>
      </c>
      <c r="AG159" s="205">
        <v>0.0</v>
      </c>
      <c r="AH159" s="205">
        <v>-1.382716</v>
      </c>
      <c r="AI159" s="205">
        <v>1.45679012</v>
      </c>
      <c r="AJ159" s="205">
        <v>0.24691358</v>
      </c>
      <c r="AK159" s="205">
        <v>-0.962963</v>
      </c>
      <c r="AL159" s="205">
        <v>-0.9382716</v>
      </c>
      <c r="AM159" s="205">
        <v>-0.5925926</v>
      </c>
      <c r="AN159" s="205">
        <v>-0.345679</v>
      </c>
      <c r="AO159" s="205">
        <v>0.09876543</v>
      </c>
      <c r="AP159" s="205">
        <v>0.09876543</v>
      </c>
      <c r="AQ159" s="205">
        <v>0.44444444</v>
      </c>
      <c r="AR159" s="205">
        <v>-1.5061728</v>
      </c>
      <c r="AS159" s="205">
        <v>-0.8888889</v>
      </c>
      <c r="AT159" s="205">
        <v>-0.7407407</v>
      </c>
      <c r="AU159" s="205">
        <v>0.22222222</v>
      </c>
      <c r="AV159" s="205">
        <v>-0.0493827</v>
      </c>
      <c r="AW159" s="205">
        <v>0.34567901</v>
      </c>
      <c r="AX159" s="205">
        <v>-0.8395062</v>
      </c>
      <c r="AY159" s="205">
        <v>-0.2962963</v>
      </c>
      <c r="AZ159" s="205">
        <v>0.04938272</v>
      </c>
      <c r="BA159" s="205">
        <v>-1.4320988</v>
      </c>
      <c r="BB159" s="205">
        <v>0.83950617</v>
      </c>
      <c r="BC159" s="205">
        <v>0.09876543</v>
      </c>
      <c r="BD159" s="205">
        <v>-1.0123457</v>
      </c>
      <c r="BE159" s="205">
        <v>0.09876543</v>
      </c>
      <c r="BF159" s="205">
        <v>-0.5925926</v>
      </c>
      <c r="BG159" s="205">
        <v>-0.7901235</v>
      </c>
      <c r="BH159" s="205">
        <v>-0.0987654</v>
      </c>
      <c r="BI159" s="205">
        <v>-1.0123457</v>
      </c>
      <c r="BJ159" s="205">
        <v>2.07407407</v>
      </c>
      <c r="BK159" s="205">
        <v>-0.5185185</v>
      </c>
      <c r="BL159" s="205">
        <v>-0.8395062</v>
      </c>
      <c r="BM159" s="205">
        <v>0.66666667</v>
      </c>
      <c r="BN159" s="205">
        <v>-1.6296296</v>
      </c>
      <c r="BO159" s="205">
        <v>0.17283951</v>
      </c>
      <c r="BP159" s="205">
        <v>1.43209877</v>
      </c>
      <c r="BQ159" s="205">
        <v>-0.345679</v>
      </c>
      <c r="BR159" s="206"/>
      <c r="BS159" s="207">
        <f t="shared" si="6"/>
        <v>-0.1011169898</v>
      </c>
      <c r="BT159" s="207">
        <f t="shared" si="7"/>
        <v>0.6391011836</v>
      </c>
      <c r="BU159" s="206"/>
      <c r="BV159" s="207">
        <f>IFERROR(__xludf.DUMMYFUNCTION("AVERAGE(ARRAYFORMULA(XLOOKUP(FILTER(INDIRECT(""'""&amp;BV$1&amp;""'!$C$4:$C$66""),INDIRECT(""'""&amp;BV$1&amp;""'!$D$4:$D$66"")=BV$2),$G$4:$BQ$4,$G159:$BQ159)))"),0.09876542571428573)</f>
        <v>0.09876542571</v>
      </c>
      <c r="BW159" s="207" t="str">
        <f>IFERROR(__xludf.DUMMYFUNCTION("IF(OR(BV159&gt;$BS159+$BT159*$BT$2,BV159&lt;$BS159-$BT159*$BT$2),AVEDEV(ARRAYFORMULA(XLOOKUP(FILTER(INDIRECT(""'""&amp;BV$1&amp;""'!$C$4:$C$66""),INDIRECT(""'""&amp;BV$1&amp;""'!$D$4:$D$66"")=BV$2),$G$4:$BQ$4,$G159:$BQ159))),"""")"),"")</f>
        <v/>
      </c>
      <c r="BX159" s="208" t="str">
        <f t="shared" si="8"/>
        <v/>
      </c>
      <c r="BY159" s="207">
        <f>IFERROR(__xludf.DUMMYFUNCTION("AVERAGE(ARRAYFORMULA(XLOOKUP(FILTER(INDIRECT(""'""&amp;BY$1&amp;""'!$C$4:$C$66""),INDIRECT(""'""&amp;BY$1&amp;""'!$D$4:$D$66"")=BY$2),$G$4:$BQ$4,$G159:$BQ159)))"),-0.126396235)</f>
        <v>-0.126396235</v>
      </c>
      <c r="BZ159" s="207" t="str">
        <f>IFERROR(__xludf.DUMMYFUNCTION("IF(OR(BY159&gt;$BS159+$BT159*$BT$2,BY159&lt;$BS159-$BT159*$BT$2),AVEDEV(ARRAYFORMULA(XLOOKUP(FILTER(INDIRECT(""'""&amp;BY$1&amp;""'!$C$4:$C$66""),INDIRECT(""'""&amp;BY$1&amp;""'!$D$4:$D$66"")=BY$2),$G$4:$BQ$4,$G159:$BQ159))),"""")"),"")</f>
        <v/>
      </c>
      <c r="CA159" s="208" t="str">
        <f t="shared" si="9"/>
        <v/>
      </c>
      <c r="CB159" s="207">
        <f>IFERROR(__xludf.DUMMYFUNCTION("AVERAGE(ARRAYFORMULA(XLOOKUP(FILTER(INDIRECT(""'""&amp;CB$1&amp;""'!$C$4:$C$66""),INDIRECT(""'""&amp;CB$1&amp;""'!$D$4:$D$66"")=CB$2),$G$4:$BQ$4,$G159:$BQ159)))"),-0.09652076545454541)</f>
        <v>-0.09652076545</v>
      </c>
      <c r="CC159" s="207" t="str">
        <f>IFERROR(__xludf.DUMMYFUNCTION("IF(OR(CB159&gt;$BS159+$BT159*$BT$2,CB159&lt;$BS159-$BT159*$BT$2),AVEDEV(ARRAYFORMULA(XLOOKUP(FILTER(INDIRECT(""'""&amp;CB$1&amp;""'!$C$4:$C$66""),INDIRECT(""'""&amp;CB$1&amp;""'!$D$4:$D$66"")=CB$2),$G$4:$BQ$4,$G159:$BQ159))),"""")"),"")</f>
        <v/>
      </c>
      <c r="CD159" s="208" t="str">
        <f t="shared" si="10"/>
        <v/>
      </c>
      <c r="CE159" s="209" t="s">
        <v>444</v>
      </c>
      <c r="CF159" s="207">
        <f>IFERROR(__xludf.DUMMYFUNCTION("AVERAGE(ARRAYFORMULA(XLOOKUP(FILTER(INDIRECT(""'""&amp;CF$1&amp;""'!$C$4:$C$66""),INDIRECT(""'""&amp;CF$1&amp;""'!$D$4:$D$66"")=CF$2),$G$4:$BQ$4,$G159:$BQ159)))"),0.03549382250000001)</f>
        <v>0.0354938225</v>
      </c>
      <c r="CG159" s="207" t="str">
        <f>IFERROR(__xludf.DUMMYFUNCTION("IF(OR(CF159&gt;$BS159+$BT159*$BT$2,CF159&lt;$BS159-$BT159*$BT$2),AVEDEV(ARRAYFORMULA(XLOOKUP(FILTER(INDIRECT(""'""&amp;CF$1&amp;""'!$C$4:$C$66""),INDIRECT(""'""&amp;CF$1&amp;""'!$D$4:$D$66"")=CF$2),$G$4:$BQ$4,$G159:$BQ159))),"""")"),"")</f>
        <v/>
      </c>
      <c r="CH159" s="208" t="str">
        <f t="shared" si="11"/>
        <v/>
      </c>
      <c r="CI159" s="207">
        <f>IFERROR(__xludf.DUMMYFUNCTION("AVERAGE(ARRAYFORMULA(XLOOKUP(FILTER(INDIRECT(""'""&amp;CI$1&amp;""'!$C$4:$C$66""),INDIRECT(""'""&amp;CI$1&amp;""'!$D$4:$D$66"")=CI$2),$G$4:$BQ$4,$G159:$BQ159)))"),-0.011947424838709676)</f>
        <v>-0.01194742484</v>
      </c>
      <c r="CJ159" s="207" t="str">
        <f>IFERROR(__xludf.DUMMYFUNCTION("IF(OR(CI159&gt;$BS159+$BT159*$BT$2,CI159&lt;$BS159-$BT159*$BT$2),AVEDEV(ARRAYFORMULA(XLOOKUP(FILTER(INDIRECT(""'""&amp;CI$1&amp;""'!$C$4:$C$66""),INDIRECT(""'""&amp;CI$1&amp;""'!$D$4:$D$66"")=CI$2),$G$4:$BQ$4,$G159:$BQ159))),"""")"),"")</f>
        <v/>
      </c>
      <c r="CK159" s="208" t="str">
        <f t="shared" si="12"/>
        <v/>
      </c>
      <c r="CL159" s="207">
        <f>IFERROR(__xludf.DUMMYFUNCTION("AVERAGE(ARRAYFORMULA(XLOOKUP(FILTER(INDIRECT(""'""&amp;CL$1&amp;""'!$C$4:$C$66""),INDIRECT(""'""&amp;CL$1&amp;""'!$D$4:$D$66"")=CL$2),$G$4:$BQ$4,$G159:$BQ159)))"),-0.9382716199999999)</f>
        <v>-0.93827162</v>
      </c>
      <c r="CM159" s="207">
        <f>IFERROR(__xludf.DUMMYFUNCTION("IF(OR(CL159&gt;$BS159+$BT159*$BT$2,CL159&lt;$BS159-$BT159*$BT$2),AVEDEV(ARRAYFORMULA(XLOOKUP(FILTER(INDIRECT(""'""&amp;CL$1&amp;""'!$C$4:$C$66""),INDIRECT(""'""&amp;CL$1&amp;""'!$D$4:$D$66"")=CL$2),$G$4:$BQ$4,$G159:$BQ159))),"""")"),0.23703702399999993)</f>
        <v>0.237037024</v>
      </c>
      <c r="CN159" s="208">
        <f t="shared" si="13"/>
        <v>-0.1980534465</v>
      </c>
      <c r="CO159" s="209" t="s">
        <v>444</v>
      </c>
      <c r="CP159" s="210">
        <f>IFERROR(__xludf.DUMMYFUNCTION("AVERAGE(ARRAYFORMULA(XLOOKUP(FILTER(INDIRECT(""'""&amp;CP$1&amp;""'!$C$4:$C$66""),INDIRECT(""'""&amp;CP$1&amp;""'!$D$4:$D$66"")=CP$2),$G$4:$BQ$4,$G159:$BQ159)))"),0.02962964)</f>
        <v>0.02962964</v>
      </c>
      <c r="CQ159" s="207" t="str">
        <f>IFERROR(__xludf.DUMMYFUNCTION("IF(OR(CP159&gt;$BS159+$BT159*$BT$2,CP159&lt;$BS159-$BT159*$BT$2),AVEDEV(ARRAYFORMULA(XLOOKUP(FILTER(INDIRECT(""'""&amp;CP$1&amp;""'!$C$4:$C$66""),INDIRECT(""'""&amp;CP$1&amp;""'!$D$4:$D$66"")=CP$2),$G$4:$BQ$4,$G159:$BQ159))),"""")"),"")</f>
        <v/>
      </c>
      <c r="CR159" s="208" t="str">
        <f t="shared" si="14"/>
        <v/>
      </c>
      <c r="CS159" s="210">
        <f>IFERROR(__xludf.DUMMYFUNCTION("AVERAGE(ARRAYFORMULA(XLOOKUP(FILTER(INDIRECT(""'""&amp;CS$1&amp;""'!$C$4:$C$66""),INDIRECT(""'""&amp;CS$1&amp;""'!$D$4:$D$66"")=CS$2),$G$4:$BQ$4,$G159:$BQ159)))"),-0.015194682307692303)</f>
        <v>-0.01519468231</v>
      </c>
      <c r="CT159" s="207" t="str">
        <f>IFERROR(__xludf.DUMMYFUNCTION("IF(OR(CS159&gt;$BS159+$BT159*$BT$2,CS159&lt;$BS159-$BT159*$BT$2),AVEDEV(ARRAYFORMULA(XLOOKUP(FILTER(INDIRECT(""'""&amp;CS$1&amp;""'!$C$4:$C$66""),INDIRECT(""'""&amp;CS$1&amp;""'!$D$4:$D$66"")=CS$2),$G$4:$BQ$4,$G159:$BQ159))),"""")"),"")</f>
        <v/>
      </c>
      <c r="CU159" s="208" t="str">
        <f t="shared" si="15"/>
        <v/>
      </c>
      <c r="CV159" s="210">
        <f>IFERROR(__xludf.DUMMYFUNCTION("AVERAGE(ARRAYFORMULA(XLOOKUP(FILTER(INDIRECT(""'""&amp;CV$1&amp;""'!$C$4:$C$66""),INDIRECT(""'""&amp;CV$1&amp;""'!$D$4:$D$66"")=CV$2),$G$4:$BQ$4,$G159:$BQ159)))"),-0.9382716199999999)</f>
        <v>-0.93827162</v>
      </c>
      <c r="CW159" s="207">
        <f>IFERROR(__xludf.DUMMYFUNCTION("IF(OR(CV159&gt;$BS159+$BT159*$BT$2,CV159&lt;$BS159-$BT159*$BT$2),AVEDEV(ARRAYFORMULA(XLOOKUP(FILTER(INDIRECT(""'""&amp;CV$1&amp;""'!$C$4:$C$66""),INDIRECT(""'""&amp;CV$1&amp;""'!$D$4:$D$66"")=CV$2),$G$4:$BQ$4,$G159:$BQ159))),"""")"),0.23703702399999993)</f>
        <v>0.237037024</v>
      </c>
      <c r="CX159" s="208">
        <f t="shared" si="16"/>
        <v>-0.1980534465</v>
      </c>
      <c r="CY159" s="209" t="s">
        <v>444</v>
      </c>
      <c r="CZ159" s="210">
        <f>IFERROR(__xludf.DUMMYFUNCTION("AVERAGE(ARRAYFORMULA(XLOOKUP(FILTER(INDIRECT(""'""&amp;CZ$1&amp;""'!$C$4:$C$66""),INDIRECT(""'""&amp;CZ$1&amp;""'!$D$4:$D$66"")=CZ$2),$G$4:$BQ$4,$G159:$BQ159)))"),-0.13756614357142857)</f>
        <v>-0.1375661436</v>
      </c>
      <c r="DA159" s="207" t="str">
        <f>IFERROR(__xludf.DUMMYFUNCTION("IF(OR(CZ159&gt;$BS159+$BT159*$BT$2,CZ159&lt;$BS159-$BT159*$BT$2),AVEDEV(ARRAYFORMULA(XLOOKUP(FILTER(INDIRECT(""'""&amp;CZ$1&amp;""'!$C$4:$C$66""),INDIRECT(""'""&amp;CZ$1&amp;""'!$D$4:$D$66"")=CZ$2),$G$4:$BQ$4,$G159:$BQ159))),"""")"),"")</f>
        <v/>
      </c>
      <c r="DB159" s="208" t="str">
        <f t="shared" si="17"/>
        <v/>
      </c>
      <c r="DC159" s="210">
        <f>IFERROR(__xludf.DUMMYFUNCTION("AVERAGE(ARRAYFORMULA(XLOOKUP(FILTER(INDIRECT(""'""&amp;DC$1&amp;""'!$C$4:$C$66""),INDIRECT(""'""&amp;DC$1&amp;""'!$D$4:$D$66"")=DC$2),$G$4:$BQ$4,$G159:$BQ159)))"),-0.19753086777777773)</f>
        <v>-0.1975308678</v>
      </c>
      <c r="DD159" s="207" t="str">
        <f>IFERROR(__xludf.DUMMYFUNCTION("IF(OR(DC159&gt;$BS159+$BT159*$BT$2,DC159&lt;$BS159-$BT159*$BT$2),AVEDEV(ARRAYFORMULA(XLOOKUP(FILTER(INDIRECT(""'""&amp;DC$1&amp;""'!$C$4:$C$66""),INDIRECT(""'""&amp;DC$1&amp;""'!$D$4:$D$66"")=DC$2),$G$4:$BQ$4,$G159:$BQ159))),"""")"),"")</f>
        <v/>
      </c>
      <c r="DE159" s="208" t="str">
        <f t="shared" si="18"/>
        <v/>
      </c>
      <c r="DF159" s="210">
        <f>IFERROR(__xludf.DUMMYFUNCTION("AVERAGE(ARRAYFORMULA(XLOOKUP(FILTER(INDIRECT(""'""&amp;DF$1&amp;""'!$C$4:$C$66""),INDIRECT(""'""&amp;DF$1&amp;""'!$D$4:$D$66"")=DF$2),$G$4:$BQ$4,$G159:$BQ159)))"),-0.2267115518181818)</f>
        <v>-0.2267115518</v>
      </c>
      <c r="DG159" s="207" t="str">
        <f>IFERROR(__xludf.DUMMYFUNCTION("IF(OR(DF159&gt;$BS159+$BT159*$BT$2,DF159&lt;$BS159-$BT159*$BT$2),AVEDEV(ARRAYFORMULA(XLOOKUP(FILTER(INDIRECT(""'""&amp;DF$1&amp;""'!$C$4:$C$66""),INDIRECT(""'""&amp;DF$1&amp;""'!$D$4:$D$66"")=DF$2),$G$4:$BQ$4,$G159:$BQ159))),"""")"),"")</f>
        <v/>
      </c>
      <c r="DH159" s="208" t="str">
        <f t="shared" si="19"/>
        <v/>
      </c>
      <c r="DI159" s="210">
        <f>IFERROR(__xludf.DUMMYFUNCTION("AVERAGE(ARRAYFORMULA(XLOOKUP(FILTER(INDIRECT(""'""&amp;DI$1&amp;""'!$C$4:$C$66""),INDIRECT(""'""&amp;DI$1&amp;""'!$D$4:$D$66"")=DI$2),$G$4:$BQ$4,$G159:$BQ159)))"),-0.0987654)</f>
        <v>-0.0987654</v>
      </c>
      <c r="DJ159" s="207" t="str">
        <f>IFERROR(__xludf.DUMMYFUNCTION("IF(OR(DI159&gt;$BS159+$BT159*$BT$2,DI159&lt;$BS159-$BT159*$BT$2),AVEDEV(ARRAYFORMULA(XLOOKUP(FILTER(INDIRECT(""'""&amp;DI$1&amp;""'!$C$4:$C$66""),INDIRECT(""'""&amp;DI$1&amp;""'!$D$4:$D$66"")=DI$2),$G$4:$BQ$4,$G159:$BQ159))),"""")"),"")</f>
        <v/>
      </c>
      <c r="DK159" s="208" t="str">
        <f t="shared" si="20"/>
        <v/>
      </c>
      <c r="DL159" s="210">
        <f>IFERROR(__xludf.DUMMYFUNCTION("AVERAGE(ARRAYFORMULA(XLOOKUP(FILTER(INDIRECT(""'""&amp;DL$1&amp;""'!$C$4:$C$66""),INDIRECT(""'""&amp;DL$1&amp;""'!$D$4:$D$66"")=DL$2),$G$4:$BQ$4,$G159:$BQ159)))"),-0.042328038571428576)</f>
        <v>-0.04232803857</v>
      </c>
      <c r="DM159" s="207" t="str">
        <f>IFERROR(__xludf.DUMMYFUNCTION("IF(OR(DL159&gt;$BS159+$BT159*$BT$2,DL159&lt;$BS159-$BT159*$BT$2),AVEDEV(ARRAYFORMULA(XLOOKUP(FILTER(INDIRECT(""'""&amp;DL$1&amp;""'!$C$4:$C$66""),INDIRECT(""'""&amp;DL$1&amp;""'!$D$4:$D$66"")=DL$2),$G$4:$BQ$4,$G159:$BQ159))),"""")"),"")</f>
        <v/>
      </c>
      <c r="DN159" s="208" t="str">
        <f t="shared" si="21"/>
        <v/>
      </c>
      <c r="DO159" s="209" t="s">
        <v>444</v>
      </c>
      <c r="DP159" s="210">
        <f>IFERROR(__xludf.DUMMYFUNCTION("AVERAGE(ARRAYFORMULA(XLOOKUP(FILTER(INDIRECT(""'""&amp;DP$1&amp;""'!$C$4:$C$66""),INDIRECT(""'""&amp;DP$1&amp;""'!$D$4:$D$66"")=DP$2),$G$4:$BQ$4,$G159:$BQ159)))"),0.018930039000000003)</f>
        <v>0.018930039</v>
      </c>
      <c r="DQ159" s="207" t="str">
        <f>IFERROR(__xludf.DUMMYFUNCTION("IF(OR(DP159&gt;$BS159+$BT159*$BT$2,DP159&lt;$BS159-$BT159*$BT$2),AVEDEV(ARRAYFORMULA(XLOOKUP(FILTER(INDIRECT(""'""&amp;DP$1&amp;""'!$C$4:$C$66""),INDIRECT(""'""&amp;DP$1&amp;""'!$D$4:$D$66"")=DP$2),$G$4:$BQ$4,$G159:$BQ159))),"""")"),"")</f>
        <v/>
      </c>
      <c r="DR159" s="208" t="str">
        <f t="shared" si="22"/>
        <v/>
      </c>
      <c r="DS159" s="210">
        <f>IFERROR(__xludf.DUMMYFUNCTION("AVERAGE(ARRAYFORMULA(XLOOKUP(FILTER(INDIRECT(""'""&amp;DS$1&amp;""'!$C$4:$C$66""),INDIRECT(""'""&amp;DS$1&amp;""'!$D$4:$D$66"")=DS$2),$G$4:$BQ$4,$G159:$BQ159)))"),-0.019204393333333285)</f>
        <v>-0.01920439333</v>
      </c>
      <c r="DT159" s="207" t="str">
        <f>IFERROR(__xludf.DUMMYFUNCTION("IF(OR(DS159&gt;$BS159+$BT159*$BT$2,DS159&lt;$BS159-$BT159*$BT$2),AVEDEV(ARRAYFORMULA(XLOOKUP(FILTER(INDIRECT(""'""&amp;DS$1&amp;""'!$C$4:$C$66""),INDIRECT(""'""&amp;DS$1&amp;""'!$D$4:$D$66"")=DS$2),$G$4:$BQ$4,$G159:$BQ159))),"""")"),"")</f>
        <v/>
      </c>
      <c r="DU159" s="208" t="str">
        <f t="shared" si="23"/>
        <v/>
      </c>
      <c r="DV159" s="210">
        <f>IFERROR(__xludf.DUMMYFUNCTION("AVERAGE(ARRAYFORMULA(XLOOKUP(FILTER(INDIRECT(""'""&amp;DV$1&amp;""'!$C$4:$C$66""),INDIRECT(""'""&amp;DV$1&amp;""'!$D$4:$D$66"")=DV$2),$G$4:$BQ$4,$G159:$BQ159)))"),-0.09259258875000001)</f>
        <v>-0.09259258875</v>
      </c>
      <c r="DW159" s="207" t="str">
        <f>IFERROR(__xludf.DUMMYFUNCTION("IF(OR(DV159&gt;$BS159+$BT159*$BT$2,DV159&lt;$BS159-$BT159*$BT$2),AVEDEV(ARRAYFORMULA(XLOOKUP(FILTER(INDIRECT(""'""&amp;DV$1&amp;""'!$C$4:$C$66""),INDIRECT(""'""&amp;DV$1&amp;""'!$D$4:$D$66"")=DV$2),$G$4:$BQ$4,$G159:$BQ159))),"""")"),"")</f>
        <v/>
      </c>
      <c r="DX159" s="208" t="str">
        <f t="shared" si="24"/>
        <v/>
      </c>
      <c r="DY159" s="210">
        <f>IFERROR(__xludf.DUMMYFUNCTION("AVERAGE(ARRAYFORMULA(XLOOKUP(FILTER(INDIRECT(""'""&amp;DY$1&amp;""'!$C$4:$C$66""),INDIRECT(""'""&amp;DY$1&amp;""'!$D$4:$D$66"")=DY$2),$G$4:$BQ$4,$G159:$BQ159)))"),-0.4197530755555556)</f>
        <v>-0.4197530756</v>
      </c>
      <c r="DZ159" s="207" t="str">
        <f>IFERROR(__xludf.DUMMYFUNCTION("IF(OR(DY159&gt;$BS159+$BT159*$BT$2,DY159&lt;$BS159-$BT159*$BT$2),AVEDEV(ARRAYFORMULA(XLOOKUP(FILTER(INDIRECT(""'""&amp;DY$1&amp;""'!$C$4:$C$66""),INDIRECT(""'""&amp;DY$1&amp;""'!$D$4:$D$66"")=DY$2),$G$4:$BQ$4,$G159:$BQ159))),"""")"),"")</f>
        <v/>
      </c>
      <c r="EA159" s="208" t="str">
        <f t="shared" si="25"/>
        <v/>
      </c>
      <c r="EB159" s="191"/>
    </row>
    <row r="160" outlineLevel="1">
      <c r="A160" s="2"/>
      <c r="B160" s="204">
        <v>156.0</v>
      </c>
      <c r="C160" s="204" t="s">
        <v>601</v>
      </c>
      <c r="D160" s="204" t="s">
        <v>603</v>
      </c>
      <c r="E160" s="205" t="b">
        <f>VLOOKUP(D160,'Feature Set List'!A156:C246,2,0)</f>
        <v>1</v>
      </c>
      <c r="F160" s="205" t="b">
        <f>VLOOKUP(D160,'Feature Set List'!A156:C246,3,0)</f>
        <v>1</v>
      </c>
      <c r="G160" s="205">
        <v>0.60215587</v>
      </c>
      <c r="H160" s="205">
        <v>-0.3972246</v>
      </c>
      <c r="I160" s="205">
        <v>0.32957502</v>
      </c>
      <c r="J160" s="205">
        <v>1.44220047</v>
      </c>
      <c r="K160" s="205">
        <v>-1.0083013</v>
      </c>
      <c r="L160" s="205">
        <v>-0.5181514</v>
      </c>
      <c r="M160" s="205">
        <v>2.93148309</v>
      </c>
      <c r="N160" s="205">
        <v>0.33948705</v>
      </c>
      <c r="O160" s="205">
        <v>-0.5964564</v>
      </c>
      <c r="P160" s="205">
        <v>1.10271342</v>
      </c>
      <c r="Q160" s="205">
        <v>-0.7136662</v>
      </c>
      <c r="R160" s="205">
        <v>-0.4138273</v>
      </c>
      <c r="S160" s="205">
        <v>-0.7183744</v>
      </c>
      <c r="T160" s="205">
        <v>-0.8103085</v>
      </c>
      <c r="U160" s="205">
        <v>0.20071862</v>
      </c>
      <c r="V160" s="205">
        <v>-0.2651468</v>
      </c>
      <c r="W160" s="205">
        <v>0.52781564</v>
      </c>
      <c r="X160" s="205">
        <v>0.91438483</v>
      </c>
      <c r="Y160" s="205">
        <v>0.08177425</v>
      </c>
      <c r="Z160" s="205">
        <v>1.91549994</v>
      </c>
      <c r="AA160" s="205">
        <v>-0.0223021</v>
      </c>
      <c r="AB160" s="205">
        <v>0.06690621</v>
      </c>
      <c r="AC160" s="205">
        <v>0.57737579</v>
      </c>
      <c r="AD160" s="205">
        <v>0.13133441</v>
      </c>
      <c r="AE160" s="205">
        <v>0.0</v>
      </c>
      <c r="AF160" s="205">
        <v>-0.6217321</v>
      </c>
      <c r="AG160" s="205">
        <v>0.24284475</v>
      </c>
      <c r="AH160" s="205">
        <v>0.64923801</v>
      </c>
      <c r="AI160" s="205">
        <v>1.69247925</v>
      </c>
      <c r="AJ160" s="205">
        <v>0.47825548</v>
      </c>
      <c r="AK160" s="205">
        <v>-0.7359683</v>
      </c>
      <c r="AL160" s="205">
        <v>-0.7111882</v>
      </c>
      <c r="AM160" s="205">
        <v>-0.3642671</v>
      </c>
      <c r="AN160" s="205">
        <v>-0.1164664</v>
      </c>
      <c r="AO160" s="205">
        <v>-0.4985751</v>
      </c>
      <c r="AP160" s="205">
        <v>0.39400322</v>
      </c>
      <c r="AQ160" s="205">
        <v>0.6764961</v>
      </c>
      <c r="AR160" s="205">
        <v>-1.2845992</v>
      </c>
      <c r="AS160" s="205">
        <v>-0.6616281</v>
      </c>
      <c r="AT160" s="205">
        <v>-0.5553215</v>
      </c>
      <c r="AU160" s="205">
        <v>-0.2725808</v>
      </c>
      <c r="AV160" s="205">
        <v>0.18089456</v>
      </c>
      <c r="AW160" s="205">
        <v>0.55011771</v>
      </c>
      <c r="AX160" s="205">
        <v>-0.6494858</v>
      </c>
      <c r="AY160" s="205">
        <v>-0.0669062</v>
      </c>
      <c r="AZ160" s="205">
        <v>0.28001487</v>
      </c>
      <c r="BA160" s="205">
        <v>0.03469211</v>
      </c>
      <c r="BB160" s="205">
        <v>1.40503036</v>
      </c>
      <c r="BC160" s="205">
        <v>-0.4708215</v>
      </c>
      <c r="BD160" s="205">
        <v>-0.7855284</v>
      </c>
      <c r="BE160" s="205">
        <v>0.32957502</v>
      </c>
      <c r="BF160" s="205">
        <v>-0.2775369</v>
      </c>
      <c r="BG160" s="205">
        <v>-0.5625077</v>
      </c>
      <c r="BH160" s="205">
        <v>0.13133441</v>
      </c>
      <c r="BI160" s="205">
        <v>-0.7855284</v>
      </c>
      <c r="BJ160" s="205">
        <v>0.20071862</v>
      </c>
      <c r="BK160" s="205">
        <v>-0.2995911</v>
      </c>
      <c r="BL160" s="205">
        <v>-0.6120679</v>
      </c>
      <c r="BM160" s="205">
        <v>0.89951679</v>
      </c>
      <c r="BN160" s="205">
        <v>-0.8886136</v>
      </c>
      <c r="BO160" s="205">
        <v>0.40391525</v>
      </c>
      <c r="BP160" s="205">
        <v>1.66769917</v>
      </c>
      <c r="BQ160" s="205">
        <v>-0.1164664</v>
      </c>
      <c r="BR160" s="206"/>
      <c r="BS160" s="207">
        <f t="shared" si="6"/>
        <v>0.07268429508</v>
      </c>
      <c r="BT160" s="207">
        <f t="shared" si="7"/>
        <v>0.6085970607</v>
      </c>
      <c r="BU160" s="206"/>
      <c r="BV160" s="207">
        <f>IFERROR(__xludf.DUMMYFUNCTION("AVERAGE(ARRAYFORMULA(XLOOKUP(FILTER(INDIRECT(""'""&amp;BV$1&amp;""'!$C$4:$C$66""),INDIRECT(""'""&amp;BV$1&amp;""'!$D$4:$D$66"")=BV$2),$G$4:$BQ$4,$G160:$BQ160)))"),0.23887994714285712)</f>
        <v>0.2388799471</v>
      </c>
      <c r="BW160" s="207" t="str">
        <f>IFERROR(__xludf.DUMMYFUNCTION("IF(OR(BV160&gt;$BS160+$BT160*$BT$2,BV160&lt;$BS160-$BT160*$BT$2),AVEDEV(ARRAYFORMULA(XLOOKUP(FILTER(INDIRECT(""'""&amp;BV$1&amp;""'!$C$4:$C$66""),INDIRECT(""'""&amp;BV$1&amp;""'!$D$4:$D$66"")=BV$2),$G$4:$BQ$4,$G160:$BQ160))),"""")"),"")</f>
        <v/>
      </c>
      <c r="BX160" s="208" t="str">
        <f t="shared" si="8"/>
        <v/>
      </c>
      <c r="BY160" s="207">
        <f>IFERROR(__xludf.DUMMYFUNCTION("AVERAGE(ARRAYFORMULA(XLOOKUP(FILTER(INDIRECT(""'""&amp;BY$1&amp;""'!$C$4:$C$66""),INDIRECT(""'""&amp;BY$1&amp;""'!$D$4:$D$66"")=BY$2),$G$4:$BQ$4,$G160:$BQ160)))"),-0.020821164285714292)</f>
        <v>-0.02082116429</v>
      </c>
      <c r="BZ160" s="207" t="str">
        <f>IFERROR(__xludf.DUMMYFUNCTION("IF(OR(BY160&gt;$BS160+$BT160*$BT$2,BY160&lt;$BS160-$BT160*$BT$2),AVEDEV(ARRAYFORMULA(XLOOKUP(FILTER(INDIRECT(""'""&amp;BY$1&amp;""'!$C$4:$C$66""),INDIRECT(""'""&amp;BY$1&amp;""'!$D$4:$D$66"")=BY$2),$G$4:$BQ$4,$G160:$BQ160))),"""")"),"")</f>
        <v/>
      </c>
      <c r="CA160" s="208" t="str">
        <f t="shared" si="9"/>
        <v/>
      </c>
      <c r="CB160" s="207">
        <f>IFERROR(__xludf.DUMMYFUNCTION("AVERAGE(ARRAYFORMULA(XLOOKUP(FILTER(INDIRECT(""'""&amp;CB$1&amp;""'!$C$4:$C$66""),INDIRECT(""'""&amp;CB$1&amp;""'!$D$4:$D$66"")=CB$2),$G$4:$BQ$4,$G160:$BQ160)))"),0.40999763999999994)</f>
        <v>0.40999764</v>
      </c>
      <c r="CC160" s="207" t="str">
        <f>IFERROR(__xludf.DUMMYFUNCTION("IF(OR(CB160&gt;$BS160+$BT160*$BT$2,CB160&lt;$BS160-$BT160*$BT$2),AVEDEV(ARRAYFORMULA(XLOOKUP(FILTER(INDIRECT(""'""&amp;CB$1&amp;""'!$C$4:$C$66""),INDIRECT(""'""&amp;CB$1&amp;""'!$D$4:$D$66"")=CB$2),$G$4:$BQ$4,$G160:$BQ160))),"""")"),"")</f>
        <v/>
      </c>
      <c r="CD160" s="208" t="str">
        <f t="shared" si="10"/>
        <v/>
      </c>
      <c r="CE160" s="209" t="s">
        <v>444</v>
      </c>
      <c r="CF160" s="207">
        <f>IFERROR(__xludf.DUMMYFUNCTION("AVERAGE(ARRAYFORMULA(XLOOKUP(FILTER(INDIRECT(""'""&amp;CF$1&amp;""'!$C$4:$C$66""),INDIRECT(""'""&amp;CF$1&amp;""'!$D$4:$D$66"")=CF$2),$G$4:$BQ$4,$G160:$BQ160)))"),0.231492383125)</f>
        <v>0.2314923831</v>
      </c>
      <c r="CG160" s="207" t="str">
        <f>IFERROR(__xludf.DUMMYFUNCTION("IF(OR(CF160&gt;$BS160+$BT160*$BT$2,CF160&lt;$BS160-$BT160*$BT$2),AVEDEV(ARRAYFORMULA(XLOOKUP(FILTER(INDIRECT(""'""&amp;CF$1&amp;""'!$C$4:$C$66""),INDIRECT(""'""&amp;CF$1&amp;""'!$D$4:$D$66"")=CF$2),$G$4:$BQ$4,$G160:$BQ160))),"""")"),"")</f>
        <v/>
      </c>
      <c r="CH160" s="208" t="str">
        <f t="shared" si="11"/>
        <v/>
      </c>
      <c r="CI160" s="207">
        <f>IFERROR(__xludf.DUMMYFUNCTION("AVERAGE(ARRAYFORMULA(XLOOKUP(FILTER(INDIRECT(""'""&amp;CI$1&amp;""'!$C$4:$C$66""),INDIRECT(""'""&amp;CI$1&amp;""'!$D$4:$D$66"")=CI$2),$G$4:$BQ$4,$G160:$BQ160)))"),0.08792131193548386)</f>
        <v>0.08792131194</v>
      </c>
      <c r="CJ160" s="207" t="str">
        <f>IFERROR(__xludf.DUMMYFUNCTION("IF(OR(CI160&gt;$BS160+$BT160*$BT$2,CI160&lt;$BS160-$BT160*$BT$2),AVEDEV(ARRAYFORMULA(XLOOKUP(FILTER(INDIRECT(""'""&amp;CI$1&amp;""'!$C$4:$C$66""),INDIRECT(""'""&amp;CI$1&amp;""'!$D$4:$D$66"")=CI$2),$G$4:$BQ$4,$G160:$BQ160))),"""")"),"")</f>
        <v/>
      </c>
      <c r="CK160" s="208" t="str">
        <f t="shared" si="12"/>
        <v/>
      </c>
      <c r="CL160" s="207">
        <f>IFERROR(__xludf.DUMMYFUNCTION("AVERAGE(ARRAYFORMULA(XLOOKUP(FILTER(INDIRECT(""'""&amp;CL$1&amp;""'!$C$4:$C$66""),INDIRECT(""'""&amp;CL$1&amp;""'!$D$4:$D$66"")=CL$2),$G$4:$BQ$4,$G160:$BQ160)))"),-0.17940775400000003)</f>
        <v>-0.179407754</v>
      </c>
      <c r="CM160" s="207" t="str">
        <f>IFERROR(__xludf.DUMMYFUNCTION("IF(OR(CL160&gt;$BS160+$BT160*$BT$2,CL160&lt;$BS160-$BT160*$BT$2),AVEDEV(ARRAYFORMULA(XLOOKUP(FILTER(INDIRECT(""'""&amp;CL$1&amp;""'!$C$4:$C$66""),INDIRECT(""'""&amp;CL$1&amp;""'!$D$4:$D$66"")=CL$2),$G$4:$BQ$4,$G160:$BQ160))),"""")"),"")</f>
        <v/>
      </c>
      <c r="CN160" s="208" t="str">
        <f t="shared" si="13"/>
        <v/>
      </c>
      <c r="CO160" s="209" t="s">
        <v>444</v>
      </c>
      <c r="CP160" s="210">
        <f>IFERROR(__xludf.DUMMYFUNCTION("AVERAGE(ARRAYFORMULA(XLOOKUP(FILTER(INDIRECT(""'""&amp;CP$1&amp;""'!$C$4:$C$66""),INDIRECT(""'""&amp;CP$1&amp;""'!$D$4:$D$66"")=CP$2),$G$4:$BQ$4,$G160:$BQ160)))"),0.39283029666666663)</f>
        <v>0.3928302967</v>
      </c>
      <c r="CQ160" s="207" t="str">
        <f>IFERROR(__xludf.DUMMYFUNCTION("IF(OR(CP160&gt;$BS160+$BT160*$BT$2,CP160&lt;$BS160-$BT160*$BT$2),AVEDEV(ARRAYFORMULA(XLOOKUP(FILTER(INDIRECT(""'""&amp;CP$1&amp;""'!$C$4:$C$66""),INDIRECT(""'""&amp;CP$1&amp;""'!$D$4:$D$66"")=CP$2),$G$4:$BQ$4,$G160:$BQ160))),"""")"),"")</f>
        <v/>
      </c>
      <c r="CR160" s="208" t="str">
        <f t="shared" si="14"/>
        <v/>
      </c>
      <c r="CS160" s="210">
        <f>IFERROR(__xludf.DUMMYFUNCTION("AVERAGE(ARRAYFORMULA(XLOOKUP(FILTER(INDIRECT(""'""&amp;CS$1&amp;""'!$C$4:$C$66""),INDIRECT(""'""&amp;CS$1&amp;""'!$D$4:$D$66"")=CS$2),$G$4:$BQ$4,$G160:$BQ160)))"),0.023699922820512816)</f>
        <v>0.02369992282</v>
      </c>
      <c r="CT160" s="207" t="str">
        <f>IFERROR(__xludf.DUMMYFUNCTION("IF(OR(CS160&gt;$BS160+$BT160*$BT$2,CS160&lt;$BS160-$BT160*$BT$2),AVEDEV(ARRAYFORMULA(XLOOKUP(FILTER(INDIRECT(""'""&amp;CS$1&amp;""'!$C$4:$C$66""),INDIRECT(""'""&amp;CS$1&amp;""'!$D$4:$D$66"")=CS$2),$G$4:$BQ$4,$G160:$BQ160))),"""")"),"")</f>
        <v/>
      </c>
      <c r="CU160" s="208" t="str">
        <f t="shared" si="15"/>
        <v/>
      </c>
      <c r="CV160" s="210">
        <f>IFERROR(__xludf.DUMMYFUNCTION("AVERAGE(ARRAYFORMULA(XLOOKUP(FILTER(INDIRECT(""'""&amp;CV$1&amp;""'!$C$4:$C$66""),INDIRECT(""'""&amp;CV$1&amp;""'!$D$4:$D$66"")=CV$2),$G$4:$BQ$4,$G160:$BQ160)))"),-0.17940775400000003)</f>
        <v>-0.179407754</v>
      </c>
      <c r="CW160" s="207" t="str">
        <f>IFERROR(__xludf.DUMMYFUNCTION("IF(OR(CV160&gt;$BS160+$BT160*$BT$2,CV160&lt;$BS160-$BT160*$BT$2),AVEDEV(ARRAYFORMULA(XLOOKUP(FILTER(INDIRECT(""'""&amp;CV$1&amp;""'!$C$4:$C$66""),INDIRECT(""'""&amp;CV$1&amp;""'!$D$4:$D$66"")=CV$2),$G$4:$BQ$4,$G160:$BQ160))),"""")"),"")</f>
        <v/>
      </c>
      <c r="CX160" s="208" t="str">
        <f t="shared" si="16"/>
        <v/>
      </c>
      <c r="CY160" s="209" t="s">
        <v>444</v>
      </c>
      <c r="CZ160" s="210">
        <f>IFERROR(__xludf.DUMMYFUNCTION("AVERAGE(ARRAYFORMULA(XLOOKUP(FILTER(INDIRECT(""'""&amp;CZ$1&amp;""'!$C$4:$C$66""),INDIRECT(""'""&amp;CZ$1&amp;""'!$D$4:$D$66"")=CZ$2),$G$4:$BQ$4,$G160:$BQ160)))"),0.18935518928571432)</f>
        <v>0.1893551893</v>
      </c>
      <c r="DA160" s="207" t="str">
        <f>IFERROR(__xludf.DUMMYFUNCTION("IF(OR(CZ160&gt;$BS160+$BT160*$BT$2,CZ160&lt;$BS160-$BT160*$BT$2),AVEDEV(ARRAYFORMULA(XLOOKUP(FILTER(INDIRECT(""'""&amp;CZ$1&amp;""'!$C$4:$C$66""),INDIRECT(""'""&amp;CZ$1&amp;""'!$D$4:$D$66"")=CZ$2),$G$4:$BQ$4,$G160:$BQ160))),"""")"),"")</f>
        <v/>
      </c>
      <c r="DB160" s="208" t="str">
        <f t="shared" si="17"/>
        <v/>
      </c>
      <c r="DC160" s="210">
        <f>IFERROR(__xludf.DUMMYFUNCTION("AVERAGE(ARRAYFORMULA(XLOOKUP(FILTER(INDIRECT(""'""&amp;DC$1&amp;""'!$C$4:$C$66""),INDIRECT(""'""&amp;DC$1&amp;""'!$D$4:$D$66"")=DC$2),$G$4:$BQ$4,$G160:$BQ160)))"),0.3700491533333333)</f>
        <v>0.3700491533</v>
      </c>
      <c r="DD160" s="207" t="str">
        <f>IFERROR(__xludf.DUMMYFUNCTION("IF(OR(DC160&gt;$BS160+$BT160*$BT$2,DC160&lt;$BS160-$BT160*$BT$2),AVEDEV(ARRAYFORMULA(XLOOKUP(FILTER(INDIRECT(""'""&amp;DC$1&amp;""'!$C$4:$C$66""),INDIRECT(""'""&amp;DC$1&amp;""'!$D$4:$D$66"")=DC$2),$G$4:$BQ$4,$G160:$BQ160))),"""")"),"")</f>
        <v/>
      </c>
      <c r="DE160" s="208" t="str">
        <f t="shared" si="18"/>
        <v/>
      </c>
      <c r="DF160" s="210">
        <f>IFERROR(__xludf.DUMMYFUNCTION("AVERAGE(ARRAYFORMULA(XLOOKUP(FILTER(INDIRECT(""'""&amp;DF$1&amp;""'!$C$4:$C$66""),INDIRECT(""'""&amp;DF$1&amp;""'!$D$4:$D$66"")=DF$2),$G$4:$BQ$4,$G160:$BQ160)))"),-0.005857100909090903)</f>
        <v>-0.005857100909</v>
      </c>
      <c r="DG160" s="207" t="str">
        <f>IFERROR(__xludf.DUMMYFUNCTION("IF(OR(DF160&gt;$BS160+$BT160*$BT$2,DF160&lt;$BS160-$BT160*$BT$2),AVEDEV(ARRAYFORMULA(XLOOKUP(FILTER(INDIRECT(""'""&amp;DF$1&amp;""'!$C$4:$C$66""),INDIRECT(""'""&amp;DF$1&amp;""'!$D$4:$D$66"")=DF$2),$G$4:$BQ$4,$G160:$BQ160))),"""")"),"")</f>
        <v/>
      </c>
      <c r="DH160" s="208" t="str">
        <f t="shared" si="19"/>
        <v/>
      </c>
      <c r="DI160" s="210">
        <f>IFERROR(__xludf.DUMMYFUNCTION("AVERAGE(ARRAYFORMULA(XLOOKUP(FILTER(INDIRECT(""'""&amp;DI$1&amp;""'!$C$4:$C$66""),INDIRECT(""'""&amp;DI$1&amp;""'!$D$4:$D$66"")=DI$2),$G$4:$BQ$4,$G160:$BQ160)))"),0.13133441)</f>
        <v>0.13133441</v>
      </c>
      <c r="DJ160" s="207" t="str">
        <f>IFERROR(__xludf.DUMMYFUNCTION("IF(OR(DI160&gt;$BS160+$BT160*$BT$2,DI160&lt;$BS160-$BT160*$BT$2),AVEDEV(ARRAYFORMULA(XLOOKUP(FILTER(INDIRECT(""'""&amp;DI$1&amp;""'!$C$4:$C$66""),INDIRECT(""'""&amp;DI$1&amp;""'!$D$4:$D$66"")=DI$2),$G$4:$BQ$4,$G160:$BQ160))),"""")"),"")</f>
        <v/>
      </c>
      <c r="DK160" s="208" t="str">
        <f t="shared" si="20"/>
        <v/>
      </c>
      <c r="DL160" s="210">
        <f>IFERROR(__xludf.DUMMYFUNCTION("AVERAGE(ARRAYFORMULA(XLOOKUP(FILTER(INDIRECT(""'""&amp;DL$1&amp;""'!$C$4:$C$66""),INDIRECT(""'""&amp;DL$1&amp;""'!$D$4:$D$66"")=DL$2),$G$4:$BQ$4,$G160:$BQ160)))"),-0.1266969992857143)</f>
        <v>-0.1266969993</v>
      </c>
      <c r="DM160" s="207" t="str">
        <f>IFERROR(__xludf.DUMMYFUNCTION("IF(OR(DL160&gt;$BS160+$BT160*$BT$2,DL160&lt;$BS160-$BT160*$BT$2),AVEDEV(ARRAYFORMULA(XLOOKUP(FILTER(INDIRECT(""'""&amp;DL$1&amp;""'!$C$4:$C$66""),INDIRECT(""'""&amp;DL$1&amp;""'!$D$4:$D$66"")=DL$2),$G$4:$BQ$4,$G160:$BQ160))),"""")"),"")</f>
        <v/>
      </c>
      <c r="DN160" s="208" t="str">
        <f t="shared" si="21"/>
        <v/>
      </c>
      <c r="DO160" s="209" t="s">
        <v>444</v>
      </c>
      <c r="DP160" s="210">
        <f>IFERROR(__xludf.DUMMYFUNCTION("AVERAGE(ARRAYFORMULA(XLOOKUP(FILTER(INDIRECT(""'""&amp;DP$1&amp;""'!$C$4:$C$66""),INDIRECT(""'""&amp;DP$1&amp;""'!$D$4:$D$66"")=DP$2),$G$4:$BQ$4,$G160:$BQ160)))"),0.13114442866666662)</f>
        <v>0.1311444287</v>
      </c>
      <c r="DQ160" s="207" t="str">
        <f>IFERROR(__xludf.DUMMYFUNCTION("IF(OR(DP160&gt;$BS160+$BT160*$BT$2,DP160&lt;$BS160-$BT160*$BT$2),AVEDEV(ARRAYFORMULA(XLOOKUP(FILTER(INDIRECT(""'""&amp;DP$1&amp;""'!$C$4:$C$66""),INDIRECT(""'""&amp;DP$1&amp;""'!$D$4:$D$66"")=DP$2),$G$4:$BQ$4,$G160:$BQ160))),"""")"),"")</f>
        <v/>
      </c>
      <c r="DR160" s="208" t="str">
        <f t="shared" si="22"/>
        <v/>
      </c>
      <c r="DS160" s="210">
        <f>IFERROR(__xludf.DUMMYFUNCTION("AVERAGE(ARRAYFORMULA(XLOOKUP(FILTER(INDIRECT(""'""&amp;DS$1&amp;""'!$C$4:$C$66""),INDIRECT(""'""&amp;DS$1&amp;""'!$D$4:$D$66"")=DS$2),$G$4:$BQ$4,$G160:$BQ160)))"),0.5500901755555555)</f>
        <v>0.5500901756</v>
      </c>
      <c r="DT160" s="207" t="str">
        <f>IFERROR(__xludf.DUMMYFUNCTION("IF(OR(DS160&gt;$BS160+$BT160*$BT$2,DS160&lt;$BS160-$BT160*$BT$2),AVEDEV(ARRAYFORMULA(XLOOKUP(FILTER(INDIRECT(""'""&amp;DS$1&amp;""'!$C$4:$C$66""),INDIRECT(""'""&amp;DS$1&amp;""'!$D$4:$D$66"")=DS$2),$G$4:$BQ$4,$G160:$BQ160))),"""")"),"")</f>
        <v/>
      </c>
      <c r="DU160" s="208" t="str">
        <f t="shared" si="23"/>
        <v/>
      </c>
      <c r="DV160" s="210">
        <f>IFERROR(__xludf.DUMMYFUNCTION("AVERAGE(ARRAYFORMULA(XLOOKUP(FILTER(INDIRECT(""'""&amp;DV$1&amp;""'!$C$4:$C$66""),INDIRECT(""'""&amp;DV$1&amp;""'!$D$4:$D$66"")=DV$2),$G$4:$BQ$4,$G160:$BQ160)))"),-0.10735967875000002)</f>
        <v>-0.1073596788</v>
      </c>
      <c r="DW160" s="207" t="str">
        <f>IFERROR(__xludf.DUMMYFUNCTION("IF(OR(DV160&gt;$BS160+$BT160*$BT$2,DV160&lt;$BS160-$BT160*$BT$2),AVEDEV(ARRAYFORMULA(XLOOKUP(FILTER(INDIRECT(""'""&amp;DV$1&amp;""'!$C$4:$C$66""),INDIRECT(""'""&amp;DV$1&amp;""'!$D$4:$D$66"")=DV$2),$G$4:$BQ$4,$G160:$BQ160))),"""")"),"")</f>
        <v/>
      </c>
      <c r="DX160" s="208" t="str">
        <f t="shared" si="24"/>
        <v/>
      </c>
      <c r="DY160" s="210">
        <f>IFERROR(__xludf.DUMMYFUNCTION("AVERAGE(ARRAYFORMULA(XLOOKUP(FILTER(INDIRECT(""'""&amp;DY$1&amp;""'!$C$4:$C$66""),INDIRECT(""'""&amp;DY$1&amp;""'!$D$4:$D$66"")=DY$2),$G$4:$BQ$4,$G160:$BQ160)))"),-0.13752942999999998)</f>
        <v>-0.13752943</v>
      </c>
      <c r="DZ160" s="207" t="str">
        <f>IFERROR(__xludf.DUMMYFUNCTION("IF(OR(DY160&gt;$BS160+$BT160*$BT$2,DY160&lt;$BS160-$BT160*$BT$2),AVEDEV(ARRAYFORMULA(XLOOKUP(FILTER(INDIRECT(""'""&amp;DY$1&amp;""'!$C$4:$C$66""),INDIRECT(""'""&amp;DY$1&amp;""'!$D$4:$D$66"")=DY$2),$G$4:$BQ$4,$G160:$BQ160))),"""")"),"")</f>
        <v/>
      </c>
      <c r="EA160" s="208" t="str">
        <f t="shared" si="25"/>
        <v/>
      </c>
      <c r="EB160" s="191"/>
    </row>
    <row r="161" outlineLevel="1">
      <c r="A161" s="2"/>
      <c r="B161" s="204">
        <v>157.0</v>
      </c>
      <c r="C161" s="204" t="s">
        <v>601</v>
      </c>
      <c r="D161" s="204" t="s">
        <v>604</v>
      </c>
      <c r="E161" s="205" t="b">
        <f>VLOOKUP(D161,'Feature Set List'!A157:C246,2,0)</f>
        <v>1</v>
      </c>
      <c r="F161" s="205" t="b">
        <f>VLOOKUP(D161,'Feature Set List'!A157:C246,3,0)</f>
        <v>1</v>
      </c>
      <c r="G161" s="215">
        <v>-5.27E-7</v>
      </c>
      <c r="H161" s="205">
        <v>0.06332429</v>
      </c>
      <c r="I161" s="215">
        <v>-5.27E-7</v>
      </c>
      <c r="J161" s="205">
        <v>1.30842576</v>
      </c>
      <c r="K161" s="205">
        <v>3.25628223</v>
      </c>
      <c r="L161" s="205">
        <v>3.58016343</v>
      </c>
      <c r="M161" s="215">
        <v>-5.27E-7</v>
      </c>
      <c r="N161" s="205">
        <v>2.27388739</v>
      </c>
      <c r="O161" s="205">
        <v>1.63150062</v>
      </c>
      <c r="P161" s="205">
        <v>2.43784385</v>
      </c>
      <c r="Q161" s="205">
        <v>0.86964065</v>
      </c>
      <c r="R161" s="215">
        <v>-5.27E-7</v>
      </c>
      <c r="S161" s="205">
        <v>0.90135682</v>
      </c>
      <c r="T161" s="215">
        <v>-5.27E-7</v>
      </c>
      <c r="U161" s="205">
        <v>0.21341165</v>
      </c>
      <c r="V161" s="215">
        <v>-5.27E-7</v>
      </c>
      <c r="W161" s="215">
        <v>-5.27E-7</v>
      </c>
      <c r="X161" s="205">
        <v>0.46042146</v>
      </c>
      <c r="Y161" s="215">
        <v>-5.27E-7</v>
      </c>
      <c r="Z161" s="215">
        <v>-5.27E-7</v>
      </c>
      <c r="AA161" s="205">
        <v>2.06020643</v>
      </c>
      <c r="AB161" s="205">
        <v>0.49724447</v>
      </c>
      <c r="AC161" s="205">
        <v>0.0</v>
      </c>
      <c r="AD161" s="215">
        <v>-5.27E-7</v>
      </c>
      <c r="AE161" s="205">
        <v>5.04905202</v>
      </c>
      <c r="AF161" s="205">
        <v>0.24526221</v>
      </c>
      <c r="AG161" s="205">
        <v>0.71589787</v>
      </c>
      <c r="AH161" s="205">
        <v>0.92702541</v>
      </c>
      <c r="AI161" s="215">
        <v>-5.27E-7</v>
      </c>
      <c r="AJ161" s="215">
        <v>-5.27E-7</v>
      </c>
      <c r="AK161" s="215">
        <v>-5.27E-7</v>
      </c>
      <c r="AL161" s="215">
        <v>-5.27E-7</v>
      </c>
      <c r="AM161" s="215">
        <v>-5.27E-7</v>
      </c>
      <c r="AN161" s="215">
        <v>-5.27E-7</v>
      </c>
      <c r="AO161" s="205">
        <v>3.4968413</v>
      </c>
      <c r="AP161" s="205">
        <v>2.71334445</v>
      </c>
      <c r="AQ161" s="215">
        <v>-5.27E-7</v>
      </c>
      <c r="AR161" s="205">
        <v>0.11619353</v>
      </c>
      <c r="AS161" s="215">
        <v>-5.27E-7</v>
      </c>
      <c r="AT161" s="205">
        <v>0.19970381</v>
      </c>
      <c r="AU161" s="205">
        <v>2.0024185</v>
      </c>
      <c r="AV161" s="215">
        <v>-5.27E-7</v>
      </c>
      <c r="AW161" s="205">
        <v>1.21542751</v>
      </c>
      <c r="AX161" s="205">
        <v>0.57384707</v>
      </c>
      <c r="AY161" s="215">
        <v>-5.27E-7</v>
      </c>
      <c r="AZ161" s="215">
        <v>-5.27E-7</v>
      </c>
      <c r="BA161" s="205">
        <v>1.29780891</v>
      </c>
      <c r="BB161" s="205">
        <v>4.58406075</v>
      </c>
      <c r="BC161" s="205">
        <v>0.45020778</v>
      </c>
      <c r="BD161" s="215">
        <v>-5.27E-7</v>
      </c>
      <c r="BE161" s="215">
        <v>-5.27E-7</v>
      </c>
      <c r="BF161" s="205">
        <v>1.14352857</v>
      </c>
      <c r="BG161" s="215">
        <v>-5.27E-7</v>
      </c>
      <c r="BH161" s="215">
        <v>-5.27E-7</v>
      </c>
      <c r="BI161" s="215">
        <v>-5.27E-7</v>
      </c>
      <c r="BJ161" s="205">
        <v>1.07297354</v>
      </c>
      <c r="BK161" s="205">
        <v>0.32119286</v>
      </c>
      <c r="BL161" s="215">
        <v>-5.27E-7</v>
      </c>
      <c r="BM161" s="215">
        <v>-5.27E-7</v>
      </c>
      <c r="BN161" s="205">
        <v>0.66106653</v>
      </c>
      <c r="BO161" s="215">
        <v>-5.27E-7</v>
      </c>
      <c r="BP161" s="215">
        <v>-5.27E-7</v>
      </c>
      <c r="BQ161" s="215">
        <v>-5.27E-7</v>
      </c>
      <c r="BR161" s="206"/>
      <c r="BS161" s="207">
        <f t="shared" si="6"/>
        <v>0.7355483386</v>
      </c>
      <c r="BT161" s="207">
        <f t="shared" si="7"/>
        <v>0.8840117367</v>
      </c>
      <c r="BU161" s="206"/>
      <c r="BV161" s="207">
        <f>IFERROR(__xludf.DUMMYFUNCTION("AVERAGE(ARRAYFORMULA(XLOOKUP(FILTER(INDIRECT(""'""&amp;BV$1&amp;""'!$C$4:$C$66""),INDIRECT(""'""&amp;BV$1&amp;""'!$D$4:$D$66"")=BV$2),$G$4:$BQ$4,$G161:$BQ161)))"),1.2506762255714285)</f>
        <v>1.250676226</v>
      </c>
      <c r="BW161" s="207" t="str">
        <f>IFERROR(__xludf.DUMMYFUNCTION("IF(OR(BV161&gt;$BS161+$BT161*$BT$2,BV161&lt;$BS161-$BT161*$BT$2),AVEDEV(ARRAYFORMULA(XLOOKUP(FILTER(INDIRECT(""'""&amp;BV$1&amp;""'!$C$4:$C$66""),INDIRECT(""'""&amp;BV$1&amp;""'!$D$4:$D$66"")=BV$2),$G$4:$BQ$4,$G161:$BQ161))),"""")"),"")</f>
        <v/>
      </c>
      <c r="BX161" s="208" t="str">
        <f t="shared" si="8"/>
        <v/>
      </c>
      <c r="BY161" s="207">
        <f>IFERROR(__xludf.DUMMYFUNCTION("AVERAGE(ARRAYFORMULA(XLOOKUP(FILTER(INDIRECT(""'""&amp;BY$1&amp;""'!$C$4:$C$66""),INDIRECT(""'""&amp;BY$1&amp;""'!$D$4:$D$66"")=BY$2),$G$4:$BQ$4,$G161:$BQ161)))"),0.6671742761190477)</f>
        <v>0.6671742761</v>
      </c>
      <c r="BZ161" s="207" t="str">
        <f>IFERROR(__xludf.DUMMYFUNCTION("IF(OR(BY161&gt;$BS161+$BT161*$BT$2,BY161&lt;$BS161-$BT161*$BT$2),AVEDEV(ARRAYFORMULA(XLOOKUP(FILTER(INDIRECT(""'""&amp;BY$1&amp;""'!$C$4:$C$66""),INDIRECT(""'""&amp;BY$1&amp;""'!$D$4:$D$66"")=BY$2),$G$4:$BQ$4,$G161:$BQ161))),"""")"),"")</f>
        <v/>
      </c>
      <c r="CA161" s="208" t="str">
        <f t="shared" si="9"/>
        <v/>
      </c>
      <c r="CB161" s="207">
        <f>IFERROR(__xludf.DUMMYFUNCTION("AVERAGE(ARRAYFORMULA(XLOOKUP(FILTER(INDIRECT(""'""&amp;CB$1&amp;""'!$C$4:$C$66""),INDIRECT(""'""&amp;CB$1&amp;""'!$D$4:$D$66"")=CB$2),$G$4:$BQ$4,$G161:$BQ161)))"),0.6873704282727272)</f>
        <v>0.6873704283</v>
      </c>
      <c r="CC161" s="207" t="str">
        <f>IFERROR(__xludf.DUMMYFUNCTION("IF(OR(CB161&gt;$BS161+$BT161*$BT$2,CB161&lt;$BS161-$BT161*$BT$2),AVEDEV(ARRAYFORMULA(XLOOKUP(FILTER(INDIRECT(""'""&amp;CB$1&amp;""'!$C$4:$C$66""),INDIRECT(""'""&amp;CB$1&amp;""'!$D$4:$D$66"")=CB$2),$G$4:$BQ$4,$G161:$BQ161))),"""")"),"")</f>
        <v/>
      </c>
      <c r="CD161" s="208" t="str">
        <f t="shared" si="10"/>
        <v/>
      </c>
      <c r="CE161" s="209" t="s">
        <v>444</v>
      </c>
      <c r="CF161" s="207">
        <f>IFERROR(__xludf.DUMMYFUNCTION("AVERAGE(ARRAYFORMULA(XLOOKUP(FILTER(INDIRECT(""'""&amp;CF$1&amp;""'!$C$4:$C$66""),INDIRECT(""'""&amp;CF$1&amp;""'!$D$4:$D$66"")=CF$2),$G$4:$BQ$4,$G161:$BQ161)))"),1.4210215120000003)</f>
        <v>1.421021512</v>
      </c>
      <c r="CG161" s="207" t="str">
        <f>IFERROR(__xludf.DUMMYFUNCTION("IF(OR(CF161&gt;$BS161+$BT161*$BT$2,CF161&lt;$BS161-$BT161*$BT$2),AVEDEV(ARRAYFORMULA(XLOOKUP(FILTER(INDIRECT(""'""&amp;CF$1&amp;""'!$C$4:$C$66""),INDIRECT(""'""&amp;CF$1&amp;""'!$D$4:$D$66"")=CF$2),$G$4:$BQ$4,$G161:$BQ161))),"""")"),"")</f>
        <v/>
      </c>
      <c r="CH161" s="208" t="str">
        <f t="shared" si="11"/>
        <v/>
      </c>
      <c r="CI161" s="207">
        <f>IFERROR(__xludf.DUMMYFUNCTION("AVERAGE(ARRAYFORMULA(XLOOKUP(FILTER(INDIRECT(""'""&amp;CI$1&amp;""'!$C$4:$C$66""),INDIRECT(""'""&amp;CI$1&amp;""'!$D$4:$D$66"")=CI$2),$G$4:$BQ$4,$G161:$BQ161)))"),0.4263816536774196)</f>
        <v>0.4263816537</v>
      </c>
      <c r="CJ161" s="207" t="str">
        <f>IFERROR(__xludf.DUMMYFUNCTION("IF(OR(CI161&gt;$BS161+$BT161*$BT$2,CI161&lt;$BS161-$BT161*$BT$2),AVEDEV(ARRAYFORMULA(XLOOKUP(FILTER(INDIRECT(""'""&amp;CI$1&amp;""'!$C$4:$C$66""),INDIRECT(""'""&amp;CI$1&amp;""'!$D$4:$D$66"")=CI$2),$G$4:$BQ$4,$G161:$BQ161))),"""")"),"")</f>
        <v/>
      </c>
      <c r="CK161" s="208" t="str">
        <f t="shared" si="12"/>
        <v/>
      </c>
      <c r="CL161" s="207">
        <f>IFERROR(__xludf.DUMMYFUNCTION("AVERAGE(ARRAYFORMULA(XLOOKUP(FILTER(INDIRECT(""'""&amp;CL$1&amp;""'!$C$4:$C$66""),INDIRECT(""'""&amp;CL$1&amp;""'!$D$4:$D$66"")=CL$2),$G$4:$BQ$4,$G161:$BQ161)))"),0.7471302358)</f>
        <v>0.7471302358</v>
      </c>
      <c r="CM161" s="207" t="str">
        <f>IFERROR(__xludf.DUMMYFUNCTION("IF(OR(CL161&gt;$BS161+$BT161*$BT$2,CL161&lt;$BS161-$BT161*$BT$2),AVEDEV(ARRAYFORMULA(XLOOKUP(FILTER(INDIRECT(""'""&amp;CL$1&amp;""'!$C$4:$C$66""),INDIRECT(""'""&amp;CL$1&amp;""'!$D$4:$D$66"")=CL$2),$G$4:$BQ$4,$G161:$BQ161))),"""")"),"")</f>
        <v/>
      </c>
      <c r="CN161" s="208" t="str">
        <f t="shared" si="13"/>
        <v/>
      </c>
      <c r="CO161" s="209" t="s">
        <v>444</v>
      </c>
      <c r="CP161" s="210">
        <f>IFERROR(__xludf.DUMMYFUNCTION("AVERAGE(ARRAYFORMULA(XLOOKUP(FILTER(INDIRECT(""'""&amp;CP$1&amp;""'!$C$4:$C$66""),INDIRECT(""'""&amp;CP$1&amp;""'!$D$4:$D$66"")=CP$2),$G$4:$BQ$4,$G161:$BQ161)))"),1.0843340503333332)</f>
        <v>1.08433405</v>
      </c>
      <c r="CQ161" s="207" t="str">
        <f>IFERROR(__xludf.DUMMYFUNCTION("IF(OR(CP161&gt;$BS161+$BT161*$BT$2,CP161&lt;$BS161-$BT161*$BT$2),AVEDEV(ARRAYFORMULA(XLOOKUP(FILTER(INDIRECT(""'""&amp;CP$1&amp;""'!$C$4:$C$66""),INDIRECT(""'""&amp;CP$1&amp;""'!$D$4:$D$66"")=CP$2),$G$4:$BQ$4,$G161:$BQ161))),"""")"),"")</f>
        <v/>
      </c>
      <c r="CR161" s="208" t="str">
        <f t="shared" si="14"/>
        <v/>
      </c>
      <c r="CS161" s="210">
        <f>IFERROR(__xludf.DUMMYFUNCTION("AVERAGE(ARRAYFORMULA(XLOOKUP(FILTER(INDIRECT(""'""&amp;CS$1&amp;""'!$C$4:$C$66""),INDIRECT(""'""&amp;CS$1&amp;""'!$D$4:$D$66"")=CS$2),$G$4:$BQ$4,$G161:$BQ161)))"),0.6240119610256409)</f>
        <v>0.624011961</v>
      </c>
      <c r="CT161" s="207" t="str">
        <f>IFERROR(__xludf.DUMMYFUNCTION("IF(OR(CS161&gt;$BS161+$BT161*$BT$2,CS161&lt;$BS161-$BT161*$BT$2),AVEDEV(ARRAYFORMULA(XLOOKUP(FILTER(INDIRECT(""'""&amp;CS$1&amp;""'!$C$4:$C$66""),INDIRECT(""'""&amp;CS$1&amp;""'!$D$4:$D$66"")=CS$2),$G$4:$BQ$4,$G161:$BQ161))),"""")"),"")</f>
        <v/>
      </c>
      <c r="CU161" s="208" t="str">
        <f t="shared" si="15"/>
        <v/>
      </c>
      <c r="CV161" s="210">
        <f>IFERROR(__xludf.DUMMYFUNCTION("AVERAGE(ARRAYFORMULA(XLOOKUP(FILTER(INDIRECT(""'""&amp;CV$1&amp;""'!$C$4:$C$66""),INDIRECT(""'""&amp;CV$1&amp;""'!$D$4:$D$66"")=CV$2),$G$4:$BQ$4,$G161:$BQ161)))"),0.7471302358)</f>
        <v>0.7471302358</v>
      </c>
      <c r="CW161" s="207" t="str">
        <f>IFERROR(__xludf.DUMMYFUNCTION("IF(OR(CV161&gt;$BS161+$BT161*$BT$2,CV161&lt;$BS161-$BT161*$BT$2),AVEDEV(ARRAYFORMULA(XLOOKUP(FILTER(INDIRECT(""'""&amp;CV$1&amp;""'!$C$4:$C$66""),INDIRECT(""'""&amp;CV$1&amp;""'!$D$4:$D$66"")=CV$2),$G$4:$BQ$4,$G161:$BQ161))),"""")"),"")</f>
        <v/>
      </c>
      <c r="CX161" s="208" t="str">
        <f t="shared" si="16"/>
        <v/>
      </c>
      <c r="CY161" s="209" t="s">
        <v>444</v>
      </c>
      <c r="CZ161" s="210">
        <f>IFERROR(__xludf.DUMMYFUNCTION("AVERAGE(ARRAYFORMULA(XLOOKUP(FILTER(INDIRECT(""'""&amp;CZ$1&amp;""'!$C$4:$C$66""),INDIRECT(""'""&amp;CZ$1&amp;""'!$D$4:$D$66"")=CZ$2),$G$4:$BQ$4,$G161:$BQ161)))"),1.0574341489285717)</f>
        <v>1.057434149</v>
      </c>
      <c r="DA161" s="207" t="str">
        <f>IFERROR(__xludf.DUMMYFUNCTION("IF(OR(CZ161&gt;$BS161+$BT161*$BT$2,CZ161&lt;$BS161-$BT161*$BT$2),AVEDEV(ARRAYFORMULA(XLOOKUP(FILTER(INDIRECT(""'""&amp;CZ$1&amp;""'!$C$4:$C$66""),INDIRECT(""'""&amp;CZ$1&amp;""'!$D$4:$D$66"")=CZ$2),$G$4:$BQ$4,$G161:$BQ161))),"""")"),"")</f>
        <v/>
      </c>
      <c r="DB161" s="208" t="str">
        <f t="shared" si="17"/>
        <v/>
      </c>
      <c r="DC161" s="210">
        <f>IFERROR(__xludf.DUMMYFUNCTION("AVERAGE(ARRAYFORMULA(XLOOKUP(FILTER(INDIRECT(""'""&amp;DC$1&amp;""'!$C$4:$C$66""),INDIRECT(""'""&amp;DC$1&amp;""'!$D$4:$D$66"")=DC$2),$G$4:$BQ$4,$G161:$BQ161)))"),0.8401195294444443)</f>
        <v>0.8401195294</v>
      </c>
      <c r="DD161" s="207" t="str">
        <f>IFERROR(__xludf.DUMMYFUNCTION("IF(OR(DC161&gt;$BS161+$BT161*$BT$2,DC161&lt;$BS161-$BT161*$BT$2),AVEDEV(ARRAYFORMULA(XLOOKUP(FILTER(INDIRECT(""'""&amp;DC$1&amp;""'!$C$4:$C$66""),INDIRECT(""'""&amp;DC$1&amp;""'!$D$4:$D$66"")=DC$2),$G$4:$BQ$4,$G161:$BQ161))),"""")"),"")</f>
        <v/>
      </c>
      <c r="DE161" s="208" t="str">
        <f t="shared" si="18"/>
        <v/>
      </c>
      <c r="DF161" s="210">
        <f>IFERROR(__xludf.DUMMYFUNCTION("AVERAGE(ARRAYFORMULA(XLOOKUP(FILTER(INDIRECT(""'""&amp;DF$1&amp;""'!$C$4:$C$66""),INDIRECT(""'""&amp;DF$1&amp;""'!$D$4:$D$66"")=DF$2),$G$4:$BQ$4,$G161:$BQ161)))"),0.416866755)</f>
        <v>0.416866755</v>
      </c>
      <c r="DG161" s="207" t="str">
        <f>IFERROR(__xludf.DUMMYFUNCTION("IF(OR(DF161&gt;$BS161+$BT161*$BT$2,DF161&lt;$BS161-$BT161*$BT$2),AVEDEV(ARRAYFORMULA(XLOOKUP(FILTER(INDIRECT(""'""&amp;DF$1&amp;""'!$C$4:$C$66""),INDIRECT(""'""&amp;DF$1&amp;""'!$D$4:$D$66"")=DF$2),$G$4:$BQ$4,$G161:$BQ161))),"""")"),"")</f>
        <v/>
      </c>
      <c r="DH161" s="208" t="str">
        <f t="shared" si="19"/>
        <v/>
      </c>
      <c r="DI161" s="210">
        <f>IFERROR(__xludf.DUMMYFUNCTION("AVERAGE(ARRAYFORMULA(XLOOKUP(FILTER(INDIRECT(""'""&amp;DI$1&amp;""'!$C$4:$C$66""),INDIRECT(""'""&amp;DI$1&amp;""'!$D$4:$D$66"")=DI$2),$G$4:$BQ$4,$G161:$BQ161)))"),-5.27E-7)</f>
        <v>-0.000000527</v>
      </c>
      <c r="DJ161" s="207" t="str">
        <f>IFERROR(__xludf.DUMMYFUNCTION("IF(OR(DI161&gt;$BS161+$BT161*$BT$2,DI161&lt;$BS161-$BT161*$BT$2),AVEDEV(ARRAYFORMULA(XLOOKUP(FILTER(INDIRECT(""'""&amp;DI$1&amp;""'!$C$4:$C$66""),INDIRECT(""'""&amp;DI$1&amp;""'!$D$4:$D$66"")=DI$2),$G$4:$BQ$4,$G161:$BQ161))),"""")"),"")</f>
        <v/>
      </c>
      <c r="DK161" s="208" t="str">
        <f t="shared" si="20"/>
        <v/>
      </c>
      <c r="DL161" s="210">
        <f>IFERROR(__xludf.DUMMYFUNCTION("AVERAGE(ARRAYFORMULA(XLOOKUP(FILTER(INDIRECT(""'""&amp;DL$1&amp;""'!$C$4:$C$66""),INDIRECT(""'""&amp;DL$1&amp;""'!$D$4:$D$66"")=DL$2),$G$4:$BQ$4,$G161:$BQ161)))"),0.3839590022142857)</f>
        <v>0.3839590022</v>
      </c>
      <c r="DM161" s="207" t="str">
        <f>IFERROR(__xludf.DUMMYFUNCTION("IF(OR(DL161&gt;$BS161+$BT161*$BT$2,DL161&lt;$BS161-$BT161*$BT$2),AVEDEV(ARRAYFORMULA(XLOOKUP(FILTER(INDIRECT(""'""&amp;DL$1&amp;""'!$C$4:$C$66""),INDIRECT(""'""&amp;DL$1&amp;""'!$D$4:$D$66"")=DL$2),$G$4:$BQ$4,$G161:$BQ161))),"""")"),"")</f>
        <v/>
      </c>
      <c r="DN161" s="208" t="str">
        <f t="shared" si="21"/>
        <v/>
      </c>
      <c r="DO161" s="209" t="s">
        <v>444</v>
      </c>
      <c r="DP161" s="210">
        <f>IFERROR(__xludf.DUMMYFUNCTION("AVERAGE(ARRAYFORMULA(XLOOKUP(FILTER(INDIRECT(""'""&amp;DP$1&amp;""'!$C$4:$C$66""),INDIRECT(""'""&amp;DP$1&amp;""'!$D$4:$D$66"")=DP$2),$G$4:$BQ$4,$G161:$BQ161)))"),0.8673210865333334)</f>
        <v>0.8673210865</v>
      </c>
      <c r="DQ161" s="207" t="str">
        <f>IFERROR(__xludf.DUMMYFUNCTION("IF(OR(DP161&gt;$BS161+$BT161*$BT$2,DP161&lt;$BS161-$BT161*$BT$2),AVEDEV(ARRAYFORMULA(XLOOKUP(FILTER(INDIRECT(""'""&amp;DP$1&amp;""'!$C$4:$C$66""),INDIRECT(""'""&amp;DP$1&amp;""'!$D$4:$D$66"")=DP$2),$G$4:$BQ$4,$G161:$BQ161))),"""")"),"")</f>
        <v/>
      </c>
      <c r="DR161" s="208" t="str">
        <f t="shared" si="22"/>
        <v/>
      </c>
      <c r="DS161" s="210">
        <f>IFERROR(__xludf.DUMMYFUNCTION("AVERAGE(ARRAYFORMULA(XLOOKUP(FILTER(INDIRECT(""'""&amp;DS$1&amp;""'!$C$4:$C$66""),INDIRECT(""'""&amp;DS$1&amp;""'!$D$4:$D$66"")=DS$2),$G$4:$BQ$4,$G161:$BQ161)))"),0.8128681142222222)</f>
        <v>0.8128681142</v>
      </c>
      <c r="DT161" s="207" t="str">
        <f>IFERROR(__xludf.DUMMYFUNCTION("IF(OR(DS161&gt;$BS161+$BT161*$BT$2,DS161&lt;$BS161-$BT161*$BT$2),AVEDEV(ARRAYFORMULA(XLOOKUP(FILTER(INDIRECT(""'""&amp;DS$1&amp;""'!$C$4:$C$66""),INDIRECT(""'""&amp;DS$1&amp;""'!$D$4:$D$66"")=DS$2),$G$4:$BQ$4,$G161:$BQ161))),"""")"),"")</f>
        <v/>
      </c>
      <c r="DU161" s="208" t="str">
        <f t="shared" si="23"/>
        <v/>
      </c>
      <c r="DV161" s="210">
        <f>IFERROR(__xludf.DUMMYFUNCTION("AVERAGE(ARRAYFORMULA(XLOOKUP(FILTER(INDIRECT(""'""&amp;DV$1&amp;""'!$C$4:$C$66""),INDIRECT(""'""&amp;DV$1&amp;""'!$D$4:$D$66"")=DV$2),$G$4:$BQ$4,$G161:$BQ161)))"),0.6008091764999999)</f>
        <v>0.6008091765</v>
      </c>
      <c r="DW161" s="207" t="str">
        <f>IFERROR(__xludf.DUMMYFUNCTION("IF(OR(DV161&gt;$BS161+$BT161*$BT$2,DV161&lt;$BS161-$BT161*$BT$2),AVEDEV(ARRAYFORMULA(XLOOKUP(FILTER(INDIRECT(""'""&amp;DV$1&amp;""'!$C$4:$C$66""),INDIRECT(""'""&amp;DV$1&amp;""'!$D$4:$D$66"")=DV$2),$G$4:$BQ$4,$G161:$BQ161))),"""")"),"")</f>
        <v/>
      </c>
      <c r="DX161" s="208" t="str">
        <f t="shared" si="24"/>
        <v/>
      </c>
      <c r="DY161" s="210">
        <f>IFERROR(__xludf.DUMMYFUNCTION("AVERAGE(ARRAYFORMULA(XLOOKUP(FILTER(INDIRECT(""'""&amp;DY$1&amp;""'!$C$4:$C$66""),INDIRECT(""'""&amp;DY$1&amp;""'!$D$4:$D$66"")=DY$2),$G$4:$BQ$4,$G161:$BQ161)))"),0.2357503431111111)</f>
        <v>0.2357503431</v>
      </c>
      <c r="DZ161" s="207" t="str">
        <f>IFERROR(__xludf.DUMMYFUNCTION("IF(OR(DY161&gt;$BS161+$BT161*$BT$2,DY161&lt;$BS161-$BT161*$BT$2),AVEDEV(ARRAYFORMULA(XLOOKUP(FILTER(INDIRECT(""'""&amp;DY$1&amp;""'!$C$4:$C$66""),INDIRECT(""'""&amp;DY$1&amp;""'!$D$4:$D$66"")=DY$2),$G$4:$BQ$4,$G161:$BQ161))),"""")"),"")</f>
        <v/>
      </c>
      <c r="EA161" s="208" t="str">
        <f t="shared" si="25"/>
        <v/>
      </c>
      <c r="EB161" s="191"/>
    </row>
    <row r="162" outlineLevel="1">
      <c r="A162" s="2"/>
      <c r="B162" s="204">
        <v>158.0</v>
      </c>
      <c r="C162" s="204" t="s">
        <v>601</v>
      </c>
      <c r="D162" s="204" t="s">
        <v>605</v>
      </c>
      <c r="E162" s="205" t="b">
        <f>VLOOKUP(D162,'Feature Set List'!A158:C246,2,0)</f>
        <v>1</v>
      </c>
      <c r="F162" s="205" t="b">
        <f>VLOOKUP(D162,'Feature Set List'!A158:C246,3,0)</f>
        <v>1</v>
      </c>
      <c r="G162" s="205">
        <v>0.18067227</v>
      </c>
      <c r="H162" s="205">
        <v>-0.0042017</v>
      </c>
      <c r="I162" s="205">
        <v>-1.1246499</v>
      </c>
      <c r="J162" s="205">
        <v>-1.0672269</v>
      </c>
      <c r="K162" s="205">
        <v>-0.732493</v>
      </c>
      <c r="L162" s="205">
        <v>1.45378151</v>
      </c>
      <c r="M162" s="205">
        <v>-1.2156863</v>
      </c>
      <c r="N162" s="205">
        <v>-0.4579832</v>
      </c>
      <c r="O162" s="205">
        <v>0.0</v>
      </c>
      <c r="P162" s="205">
        <v>0.08823529</v>
      </c>
      <c r="Q162" s="205">
        <v>-0.697479</v>
      </c>
      <c r="R162" s="205">
        <v>-0.7156863</v>
      </c>
      <c r="S162" s="205">
        <v>1.80532213</v>
      </c>
      <c r="T162" s="205">
        <v>1.53361345</v>
      </c>
      <c r="U162" s="205">
        <v>-0.6526611</v>
      </c>
      <c r="V162" s="205">
        <v>-1.17507</v>
      </c>
      <c r="W162" s="205">
        <v>0.11204482</v>
      </c>
      <c r="X162" s="205">
        <v>0.21568627</v>
      </c>
      <c r="Y162" s="205">
        <v>0.28991597</v>
      </c>
      <c r="Z162" s="205">
        <v>0.09943978</v>
      </c>
      <c r="AA162" s="205">
        <v>0.54201681</v>
      </c>
      <c r="AB162" s="205">
        <v>-0.2044818</v>
      </c>
      <c r="AC162" s="205">
        <v>0.64845938</v>
      </c>
      <c r="AD162" s="205">
        <v>0.00980392</v>
      </c>
      <c r="AE162" s="205">
        <v>1.68347339</v>
      </c>
      <c r="AF162" s="205">
        <v>0.05602241</v>
      </c>
      <c r="AG162" s="205">
        <v>0.05042017</v>
      </c>
      <c r="AH162" s="205">
        <v>-0.4187675</v>
      </c>
      <c r="AI162" s="205">
        <v>-0.9733894</v>
      </c>
      <c r="AJ162" s="205">
        <v>-0.557423</v>
      </c>
      <c r="AK162" s="205">
        <v>-0.6330532</v>
      </c>
      <c r="AL162" s="205">
        <v>0.6372549</v>
      </c>
      <c r="AM162" s="205">
        <v>0.24369748</v>
      </c>
      <c r="AN162" s="205">
        <v>-0.82493</v>
      </c>
      <c r="AO162" s="205">
        <v>-0.6834734</v>
      </c>
      <c r="AP162" s="205">
        <v>-2.2266106</v>
      </c>
      <c r="AQ162" s="205">
        <v>-0.1288515</v>
      </c>
      <c r="AR162" s="205">
        <v>0.22408964</v>
      </c>
      <c r="AS162" s="205">
        <v>0.0952381</v>
      </c>
      <c r="AT162" s="205">
        <v>-0.7240896</v>
      </c>
      <c r="AU162" s="205">
        <v>1.49719888</v>
      </c>
      <c r="AV162" s="205">
        <v>0.62464986</v>
      </c>
      <c r="AW162" s="205">
        <v>0.37394958</v>
      </c>
      <c r="AX162" s="205">
        <v>-0.4047619</v>
      </c>
      <c r="AY162" s="205">
        <v>-0.1078431</v>
      </c>
      <c r="AZ162" s="205">
        <v>-1.1988796</v>
      </c>
      <c r="BA162" s="205">
        <v>1.78291317</v>
      </c>
      <c r="BB162" s="205">
        <v>0.22128852</v>
      </c>
      <c r="BC162" s="205">
        <v>0.20868347</v>
      </c>
      <c r="BD162" s="205">
        <v>11.7030812</v>
      </c>
      <c r="BE162" s="205">
        <v>-0.2717087</v>
      </c>
      <c r="BF162" s="205">
        <v>0.74929972</v>
      </c>
      <c r="BG162" s="205">
        <v>1.3837535</v>
      </c>
      <c r="BH162" s="205">
        <v>0.00980392</v>
      </c>
      <c r="BI162" s="205">
        <v>-0.0056022</v>
      </c>
      <c r="BJ162" s="205">
        <v>-0.2128852</v>
      </c>
      <c r="BK162" s="205">
        <v>-1.3067227</v>
      </c>
      <c r="BL162" s="205">
        <v>-1.8739496</v>
      </c>
      <c r="BM162" s="205">
        <v>-0.0910364</v>
      </c>
      <c r="BN162" s="205">
        <v>0.93557423</v>
      </c>
      <c r="BO162" s="205">
        <v>0.91736695</v>
      </c>
      <c r="BP162" s="205">
        <v>-1.0980392</v>
      </c>
      <c r="BQ162" s="205">
        <v>-0.4271709</v>
      </c>
      <c r="BR162" s="206"/>
      <c r="BS162" s="207">
        <f t="shared" si="6"/>
        <v>0.1295229173</v>
      </c>
      <c r="BT162" s="207">
        <f t="shared" si="7"/>
        <v>0.8532290534</v>
      </c>
      <c r="BU162" s="206"/>
      <c r="BV162" s="207">
        <f>IFERROR(__xludf.DUMMYFUNCTION("AVERAGE(ARRAYFORMULA(XLOOKUP(FILTER(INDIRECT(""'""&amp;BV$1&amp;""'!$C$4:$C$66""),INDIRECT(""'""&amp;BV$1&amp;""'!$D$4:$D$66"")=BV$2),$G$4:$BQ$4,$G162:$BQ162)))"),-0.4503801585714286)</f>
        <v>-0.4503801586</v>
      </c>
      <c r="BW162" s="207" t="str">
        <f>IFERROR(__xludf.DUMMYFUNCTION("IF(OR(BV162&gt;$BS162+$BT162*$BT$2,BV162&lt;$BS162-$BT162*$BT$2),AVEDEV(ARRAYFORMULA(XLOOKUP(FILTER(INDIRECT(""'""&amp;BV$1&amp;""'!$C$4:$C$66""),INDIRECT(""'""&amp;BV$1&amp;""'!$D$4:$D$66"")=BV$2),$G$4:$BQ$4,$G162:$BQ162))),"""")"),"")</f>
        <v/>
      </c>
      <c r="BX162" s="208" t="str">
        <f t="shared" si="8"/>
        <v/>
      </c>
      <c r="BY162" s="207">
        <f>IFERROR(__xludf.DUMMYFUNCTION("AVERAGE(ARRAYFORMULA(XLOOKUP(FILTER(INDIRECT(""'""&amp;BY$1&amp;""'!$C$4:$C$66""),INDIRECT(""'""&amp;BY$1&amp;""'!$D$4:$D$66"")=BY$2),$G$4:$BQ$4,$G162:$BQ162)))"),-0.08939575880952381)</f>
        <v>-0.08939575881</v>
      </c>
      <c r="BZ162" s="207" t="str">
        <f>IFERROR(__xludf.DUMMYFUNCTION("IF(OR(BY162&gt;$BS162+$BT162*$BT$2,BY162&lt;$BS162-$BT162*$BT$2),AVEDEV(ARRAYFORMULA(XLOOKUP(FILTER(INDIRECT(""'""&amp;BY$1&amp;""'!$C$4:$C$66""),INDIRECT(""'""&amp;BY$1&amp;""'!$D$4:$D$66"")=BY$2),$G$4:$BQ$4,$G162:$BQ162))),"""")"),"")</f>
        <v/>
      </c>
      <c r="CA162" s="208" t="str">
        <f t="shared" si="9"/>
        <v/>
      </c>
      <c r="CB162" s="207">
        <f>IFERROR(__xludf.DUMMYFUNCTION("AVERAGE(ARRAYFORMULA(XLOOKUP(FILTER(INDIRECT(""'""&amp;CB$1&amp;""'!$C$4:$C$66""),INDIRECT(""'""&amp;CB$1&amp;""'!$D$4:$D$66"")=CB$2),$G$4:$BQ$4,$G162:$BQ162)))"),0.2719633263636364)</f>
        <v>0.2719633264</v>
      </c>
      <c r="CC162" s="207" t="str">
        <f>IFERROR(__xludf.DUMMYFUNCTION("IF(OR(CB162&gt;$BS162+$BT162*$BT$2,CB162&lt;$BS162-$BT162*$BT$2),AVEDEV(ARRAYFORMULA(XLOOKUP(FILTER(INDIRECT(""'""&amp;CB$1&amp;""'!$C$4:$C$66""),INDIRECT(""'""&amp;CB$1&amp;""'!$D$4:$D$66"")=CB$2),$G$4:$BQ$4,$G162:$BQ162))),"""")"),"")</f>
        <v/>
      </c>
      <c r="CD162" s="208" t="str">
        <f t="shared" si="10"/>
        <v/>
      </c>
      <c r="CE162" s="209" t="s">
        <v>444</v>
      </c>
      <c r="CF162" s="207">
        <f>IFERROR(__xludf.DUMMYFUNCTION("AVERAGE(ARRAYFORMULA(XLOOKUP(FILTER(INDIRECT(""'""&amp;CF$1&amp;""'!$C$4:$C$66""),INDIRECT(""'""&amp;CF$1&amp;""'!$D$4:$D$66"")=CF$2),$G$4:$BQ$4,$G162:$BQ162)))"),-0.3560749262500001)</f>
        <v>-0.3560749263</v>
      </c>
      <c r="CG162" s="207" t="str">
        <f>IFERROR(__xludf.DUMMYFUNCTION("IF(OR(CF162&gt;$BS162+$BT162*$BT$2,CF162&lt;$BS162-$BT162*$BT$2),AVEDEV(ARRAYFORMULA(XLOOKUP(FILTER(INDIRECT(""'""&amp;CF$1&amp;""'!$C$4:$C$66""),INDIRECT(""'""&amp;CF$1&amp;""'!$D$4:$D$66"")=CF$2),$G$4:$BQ$4,$G162:$BQ162))),"""")"),"")</f>
        <v/>
      </c>
      <c r="CH162" s="208" t="str">
        <f t="shared" si="11"/>
        <v/>
      </c>
      <c r="CI162" s="207">
        <f>IFERROR(__xludf.DUMMYFUNCTION("AVERAGE(ARRAYFORMULA(XLOOKUP(FILTER(INDIRECT(""'""&amp;CI$1&amp;""'!$C$4:$C$66""),INDIRECT(""'""&amp;CI$1&amp;""'!$D$4:$D$66"")=CI$2),$G$4:$BQ$4,$G162:$BQ162)))"),-0.05118822290322582)</f>
        <v>-0.0511882229</v>
      </c>
      <c r="CJ162" s="207" t="str">
        <f>IFERROR(__xludf.DUMMYFUNCTION("IF(OR(CI162&gt;$BS162+$BT162*$BT$2,CI162&lt;$BS162-$BT162*$BT$2),AVEDEV(ARRAYFORMULA(XLOOKUP(FILTER(INDIRECT(""'""&amp;CI$1&amp;""'!$C$4:$C$66""),INDIRECT(""'""&amp;CI$1&amp;""'!$D$4:$D$66"")=CI$2),$G$4:$BQ$4,$G162:$BQ162))),"""")"),"")</f>
        <v/>
      </c>
      <c r="CK162" s="208" t="str">
        <f t="shared" si="12"/>
        <v/>
      </c>
      <c r="CL162" s="207">
        <f>IFERROR(__xludf.DUMMYFUNCTION("AVERAGE(ARRAYFORMULA(XLOOKUP(FILTER(INDIRECT(""'""&amp;CL$1&amp;""'!$C$4:$C$66""),INDIRECT(""'""&amp;CL$1&amp;""'!$D$4:$D$66"")=CL$2),$G$4:$BQ$4,$G162:$BQ162)))"),0.976750702)</f>
        <v>0.976750702</v>
      </c>
      <c r="CM162" s="207" t="str">
        <f>IFERROR(__xludf.DUMMYFUNCTION("IF(OR(CL162&gt;$BS162+$BT162*$BT$2,CL162&lt;$BS162-$BT162*$BT$2),AVEDEV(ARRAYFORMULA(XLOOKUP(FILTER(INDIRECT(""'""&amp;CL$1&amp;""'!$C$4:$C$66""),INDIRECT(""'""&amp;CL$1&amp;""'!$D$4:$D$66"")=CL$2),$G$4:$BQ$4,$G162:$BQ162))),"""")"),"")</f>
        <v/>
      </c>
      <c r="CN162" s="208" t="str">
        <f t="shared" si="13"/>
        <v/>
      </c>
      <c r="CO162" s="209" t="s">
        <v>444</v>
      </c>
      <c r="CP162" s="210">
        <f>IFERROR(__xludf.DUMMYFUNCTION("AVERAGE(ARRAYFORMULA(XLOOKUP(FILTER(INDIRECT(""'""&amp;CP$1&amp;""'!$C$4:$C$66""),INDIRECT(""'""&amp;CP$1&amp;""'!$D$4:$D$66"")=CP$2),$G$4:$BQ$4,$G162:$BQ162)))"),0.125210084)</f>
        <v>0.125210084</v>
      </c>
      <c r="CQ162" s="207" t="str">
        <f>IFERROR(__xludf.DUMMYFUNCTION("IF(OR(CP162&gt;$BS162+$BT162*$BT$2,CP162&lt;$BS162-$BT162*$BT$2),AVEDEV(ARRAYFORMULA(XLOOKUP(FILTER(INDIRECT(""'""&amp;CP$1&amp;""'!$C$4:$C$66""),INDIRECT(""'""&amp;CP$1&amp;""'!$D$4:$D$66"")=CP$2),$G$4:$BQ$4,$G162:$BQ162))),"""")"),"")</f>
        <v/>
      </c>
      <c r="CR162" s="208" t="str">
        <f t="shared" si="14"/>
        <v/>
      </c>
      <c r="CS162" s="210">
        <f>IFERROR(__xludf.DUMMYFUNCTION("AVERAGE(ARRAYFORMULA(XLOOKUP(FILTER(INDIRECT(""'""&amp;CS$1&amp;""'!$C$4:$C$66""),INDIRECT(""'""&amp;CS$1&amp;""'!$D$4:$D$66"")=CS$2),$G$4:$BQ$4,$G162:$BQ162)))"),-0.22573439897435896)</f>
        <v>-0.225734399</v>
      </c>
      <c r="CT162" s="207" t="str">
        <f>IFERROR(__xludf.DUMMYFUNCTION("IF(OR(CS162&gt;$BS162+$BT162*$BT$2,CS162&lt;$BS162-$BT162*$BT$2),AVEDEV(ARRAYFORMULA(XLOOKUP(FILTER(INDIRECT(""'""&amp;CS$1&amp;""'!$C$4:$C$66""),INDIRECT(""'""&amp;CS$1&amp;""'!$D$4:$D$66"")=CS$2),$G$4:$BQ$4,$G162:$BQ162))),"""")"),"")</f>
        <v/>
      </c>
      <c r="CU162" s="208" t="str">
        <f t="shared" si="15"/>
        <v/>
      </c>
      <c r="CV162" s="210">
        <f>IFERROR(__xludf.DUMMYFUNCTION("AVERAGE(ARRAYFORMULA(XLOOKUP(FILTER(INDIRECT(""'""&amp;CV$1&amp;""'!$C$4:$C$66""),INDIRECT(""'""&amp;CV$1&amp;""'!$D$4:$D$66"")=CV$2),$G$4:$BQ$4,$G162:$BQ162)))"),0.976750702)</f>
        <v>0.976750702</v>
      </c>
      <c r="CW162" s="207" t="str">
        <f>IFERROR(__xludf.DUMMYFUNCTION("IF(OR(CV162&gt;$BS162+$BT162*$BT$2,CV162&lt;$BS162-$BT162*$BT$2),AVEDEV(ARRAYFORMULA(XLOOKUP(FILTER(INDIRECT(""'""&amp;CV$1&amp;""'!$C$4:$C$66""),INDIRECT(""'""&amp;CV$1&amp;""'!$D$4:$D$66"")=CV$2),$G$4:$BQ$4,$G162:$BQ162))),"""")"),"")</f>
        <v/>
      </c>
      <c r="CX162" s="208" t="str">
        <f t="shared" si="16"/>
        <v/>
      </c>
      <c r="CY162" s="209" t="s">
        <v>444</v>
      </c>
      <c r="CZ162" s="210">
        <f>IFERROR(__xludf.DUMMYFUNCTION("AVERAGE(ARRAYFORMULA(XLOOKUP(FILTER(INDIRECT(""'""&amp;CZ$1&amp;""'!$C$4:$C$66""),INDIRECT(""'""&amp;CZ$1&amp;""'!$D$4:$D$66"")=CZ$2),$G$4:$BQ$4,$G162:$BQ162)))"),-0.31990796000000005)</f>
        <v>-0.31990796</v>
      </c>
      <c r="DA162" s="207" t="str">
        <f>IFERROR(__xludf.DUMMYFUNCTION("IF(OR(CZ162&gt;$BS162+$BT162*$BT$2,CZ162&lt;$BS162-$BT162*$BT$2),AVEDEV(ARRAYFORMULA(XLOOKUP(FILTER(INDIRECT(""'""&amp;CZ$1&amp;""'!$C$4:$C$66""),INDIRECT(""'""&amp;CZ$1&amp;""'!$D$4:$D$66"")=CZ$2),$G$4:$BQ$4,$G162:$BQ162))),"""")"),"")</f>
        <v/>
      </c>
      <c r="DB162" s="208" t="str">
        <f t="shared" si="17"/>
        <v/>
      </c>
      <c r="DC162" s="210">
        <f>IFERROR(__xludf.DUMMYFUNCTION("AVERAGE(ARRAYFORMULA(XLOOKUP(FILTER(INDIRECT(""'""&amp;DC$1&amp;""'!$C$4:$C$66""),INDIRECT(""'""&amp;DC$1&amp;""'!$D$4:$D$66"")=DC$2),$G$4:$BQ$4,$G162:$BQ162)))"),0.4757236211111112)</f>
        <v>0.4757236211</v>
      </c>
      <c r="DD162" s="207" t="str">
        <f>IFERROR(__xludf.DUMMYFUNCTION("IF(OR(DC162&gt;$BS162+$BT162*$BT$2,DC162&lt;$BS162-$BT162*$BT$2),AVEDEV(ARRAYFORMULA(XLOOKUP(FILTER(INDIRECT(""'""&amp;DC$1&amp;""'!$C$4:$C$66""),INDIRECT(""'""&amp;DC$1&amp;""'!$D$4:$D$66"")=DC$2),$G$4:$BQ$4,$G162:$BQ162))),"""")"),"")</f>
        <v/>
      </c>
      <c r="DE162" s="208" t="str">
        <f t="shared" si="18"/>
        <v/>
      </c>
      <c r="DF162" s="210">
        <f>IFERROR(__xludf.DUMMYFUNCTION("AVERAGE(ARRAYFORMULA(XLOOKUP(FILTER(INDIRECT(""'""&amp;DF$1&amp;""'!$C$4:$C$66""),INDIRECT(""'""&amp;DF$1&amp;""'!$D$4:$D$66"")=DF$2),$G$4:$BQ$4,$G162:$BQ162)))"),0.3290043281818182)</f>
        <v>0.3290043282</v>
      </c>
      <c r="DG162" s="207" t="str">
        <f>IFERROR(__xludf.DUMMYFUNCTION("IF(OR(DF162&gt;$BS162+$BT162*$BT$2,DF162&lt;$BS162-$BT162*$BT$2),AVEDEV(ARRAYFORMULA(XLOOKUP(FILTER(INDIRECT(""'""&amp;DF$1&amp;""'!$C$4:$C$66""),INDIRECT(""'""&amp;DF$1&amp;""'!$D$4:$D$66"")=DF$2),$G$4:$BQ$4,$G162:$BQ162))),"""")"),"")</f>
        <v/>
      </c>
      <c r="DH162" s="208" t="str">
        <f t="shared" si="19"/>
        <v/>
      </c>
      <c r="DI162" s="210">
        <f>IFERROR(__xludf.DUMMYFUNCTION("AVERAGE(ARRAYFORMULA(XLOOKUP(FILTER(INDIRECT(""'""&amp;DI$1&amp;""'!$C$4:$C$66""),INDIRECT(""'""&amp;DI$1&amp;""'!$D$4:$D$66"")=DI$2),$G$4:$BQ$4,$G162:$BQ162)))"),0.00980392)</f>
        <v>0.00980392</v>
      </c>
      <c r="DJ162" s="207" t="str">
        <f>IFERROR(__xludf.DUMMYFUNCTION("IF(OR(DI162&gt;$BS162+$BT162*$BT$2,DI162&lt;$BS162-$BT162*$BT$2),AVEDEV(ARRAYFORMULA(XLOOKUP(FILTER(INDIRECT(""'""&amp;DI$1&amp;""'!$C$4:$C$66""),INDIRECT(""'""&amp;DI$1&amp;""'!$D$4:$D$66"")=DI$2),$G$4:$BQ$4,$G162:$BQ162))),"""")"),"")</f>
        <v/>
      </c>
      <c r="DK162" s="208" t="str">
        <f t="shared" si="20"/>
        <v/>
      </c>
      <c r="DL162" s="210">
        <f>IFERROR(__xludf.DUMMYFUNCTION("AVERAGE(ARRAYFORMULA(XLOOKUP(FILTER(INDIRECT(""'""&amp;DL$1&amp;""'!$C$4:$C$66""),INDIRECT(""'""&amp;DL$1&amp;""'!$D$4:$D$66"")=DL$2),$G$4:$BQ$4,$G162:$BQ162)))"),-0.24829932714285716)</f>
        <v>-0.2482993271</v>
      </c>
      <c r="DM162" s="207" t="str">
        <f>IFERROR(__xludf.DUMMYFUNCTION("IF(OR(DL162&gt;$BS162+$BT162*$BT$2,DL162&lt;$BS162-$BT162*$BT$2),AVEDEV(ARRAYFORMULA(XLOOKUP(FILTER(INDIRECT(""'""&amp;DL$1&amp;""'!$C$4:$C$66""),INDIRECT(""'""&amp;DL$1&amp;""'!$D$4:$D$66"")=DL$2),$G$4:$BQ$4,$G162:$BQ162))),"""")"),"")</f>
        <v/>
      </c>
      <c r="DN162" s="208" t="str">
        <f t="shared" si="21"/>
        <v/>
      </c>
      <c r="DO162" s="209" t="s">
        <v>444</v>
      </c>
      <c r="DP162" s="210">
        <f>IFERROR(__xludf.DUMMYFUNCTION("AVERAGE(ARRAYFORMULA(XLOOKUP(FILTER(INDIRECT(""'""&amp;DP$1&amp;""'!$C$4:$C$66""),INDIRECT(""'""&amp;DP$1&amp;""'!$D$4:$D$66"")=DP$2),$G$4:$BQ$4,$G162:$BQ162)))"),-0.27711484566666655)</f>
        <v>-0.2771148457</v>
      </c>
      <c r="DQ162" s="207" t="str">
        <f>IFERROR(__xludf.DUMMYFUNCTION("IF(OR(DP162&gt;$BS162+$BT162*$BT$2,DP162&lt;$BS162-$BT162*$BT$2),AVEDEV(ARRAYFORMULA(XLOOKUP(FILTER(INDIRECT(""'""&amp;DP$1&amp;""'!$C$4:$C$66""),INDIRECT(""'""&amp;DP$1&amp;""'!$D$4:$D$66"")=DP$2),$G$4:$BQ$4,$G162:$BQ162))),"""")"),"")</f>
        <v/>
      </c>
      <c r="DR162" s="208" t="str">
        <f t="shared" si="22"/>
        <v/>
      </c>
      <c r="DS162" s="210">
        <f>IFERROR(__xludf.DUMMYFUNCTION("AVERAGE(ARRAYFORMULA(XLOOKUP(FILTER(INDIRECT(""'""&amp;DS$1&amp;""'!$C$4:$C$66""),INDIRECT(""'""&amp;DS$1&amp;""'!$D$4:$D$66"")=DS$2),$G$4:$BQ$4,$G162:$BQ162)))"),0.4965764077777778)</f>
        <v>0.4965764078</v>
      </c>
      <c r="DT162" s="207" t="str">
        <f>IFERROR(__xludf.DUMMYFUNCTION("IF(OR(DS162&gt;$BS162+$BT162*$BT$2,DS162&lt;$BS162-$BT162*$BT$2),AVEDEV(ARRAYFORMULA(XLOOKUP(FILTER(INDIRECT(""'""&amp;DS$1&amp;""'!$C$4:$C$66""),INDIRECT(""'""&amp;DS$1&amp;""'!$D$4:$D$66"")=DS$2),$G$4:$BQ$4,$G162:$BQ162))),"""")"),"")</f>
        <v/>
      </c>
      <c r="DU162" s="208" t="str">
        <f t="shared" si="23"/>
        <v/>
      </c>
      <c r="DV162" s="210">
        <f>IFERROR(__xludf.DUMMYFUNCTION("AVERAGE(ARRAYFORMULA(XLOOKUP(FILTER(INDIRECT(""'""&amp;DV$1&amp;""'!$C$4:$C$66""),INDIRECT(""'""&amp;DV$1&amp;""'!$D$4:$D$66"")=DV$2),$G$4:$BQ$4,$G162:$BQ162)))"),-0.11064426999999999)</f>
        <v>-0.11064427</v>
      </c>
      <c r="DW162" s="207" t="str">
        <f>IFERROR(__xludf.DUMMYFUNCTION("IF(OR(DV162&gt;$BS162+$BT162*$BT$2,DV162&lt;$BS162-$BT162*$BT$2),AVEDEV(ARRAYFORMULA(XLOOKUP(FILTER(INDIRECT(""'""&amp;DV$1&amp;""'!$C$4:$C$66""),INDIRECT(""'""&amp;DV$1&amp;""'!$D$4:$D$66"")=DV$2),$G$4:$BQ$4,$G162:$BQ162))),"""")"),"")</f>
        <v/>
      </c>
      <c r="DX162" s="208" t="str">
        <f t="shared" si="24"/>
        <v/>
      </c>
      <c r="DY162" s="210">
        <f>IFERROR(__xludf.DUMMYFUNCTION("AVERAGE(ARRAYFORMULA(XLOOKUP(FILTER(INDIRECT(""'""&amp;DY$1&amp;""'!$C$4:$C$66""),INDIRECT(""'""&amp;DY$1&amp;""'!$D$4:$D$66"")=DY$2),$G$4:$BQ$4,$G162:$BQ162)))"),0.3257080622222222)</f>
        <v>0.3257080622</v>
      </c>
      <c r="DZ162" s="207" t="str">
        <f>IFERROR(__xludf.DUMMYFUNCTION("IF(OR(DY162&gt;$BS162+$BT162*$BT$2,DY162&lt;$BS162-$BT162*$BT$2),AVEDEV(ARRAYFORMULA(XLOOKUP(FILTER(INDIRECT(""'""&amp;DY$1&amp;""'!$C$4:$C$66""),INDIRECT(""'""&amp;DY$1&amp;""'!$D$4:$D$66"")=DY$2),$G$4:$BQ$4,$G162:$BQ162))),"""")"),"")</f>
        <v/>
      </c>
      <c r="EA162" s="208" t="str">
        <f t="shared" si="25"/>
        <v/>
      </c>
      <c r="EB162" s="191"/>
    </row>
    <row r="163" outlineLevel="1">
      <c r="A163" s="2"/>
      <c r="B163" s="204">
        <v>159.0</v>
      </c>
      <c r="C163" s="204" t="s">
        <v>601</v>
      </c>
      <c r="D163" s="204" t="s">
        <v>606</v>
      </c>
      <c r="E163" s="205" t="b">
        <f>VLOOKUP(D163,'Feature Set List'!A159:C246,2,0)</f>
        <v>1</v>
      </c>
      <c r="F163" s="205" t="b">
        <f>VLOOKUP(D163,'Feature Set List'!A159:C246,3,0)</f>
        <v>1</v>
      </c>
      <c r="G163" s="205">
        <v>0.0</v>
      </c>
      <c r="H163" s="205">
        <v>-0.4457143</v>
      </c>
      <c r="I163" s="205">
        <v>-0.2306494</v>
      </c>
      <c r="J163" s="205">
        <v>0.49350649</v>
      </c>
      <c r="K163" s="205">
        <v>-1.3532468</v>
      </c>
      <c r="L163" s="205">
        <v>-0.3605195</v>
      </c>
      <c r="M163" s="205">
        <v>0.81246753</v>
      </c>
      <c r="N163" s="205">
        <v>0.22025974</v>
      </c>
      <c r="O163" s="205">
        <v>0.97038961</v>
      </c>
      <c r="P163" s="205">
        <v>0.06857143</v>
      </c>
      <c r="Q163" s="205">
        <v>-1.1670649</v>
      </c>
      <c r="R163" s="205">
        <v>0.72311688</v>
      </c>
      <c r="S163" s="205">
        <v>0.92051948</v>
      </c>
      <c r="T163" s="205">
        <v>-0.7064935</v>
      </c>
      <c r="U163" s="205">
        <v>0.44051948</v>
      </c>
      <c r="V163" s="205">
        <v>-0.1776623</v>
      </c>
      <c r="W163" s="205">
        <v>1.05038961</v>
      </c>
      <c r="X163" s="205">
        <v>1.26857143</v>
      </c>
      <c r="Y163" s="205">
        <v>0.16103896</v>
      </c>
      <c r="Z163" s="205">
        <v>0.48935065</v>
      </c>
      <c r="AA163" s="205">
        <v>-0.0166234</v>
      </c>
      <c r="AB163" s="205">
        <v>0.11012987</v>
      </c>
      <c r="AC163" s="205">
        <v>0.28467532</v>
      </c>
      <c r="AD163" s="205">
        <v>-0.1381818</v>
      </c>
      <c r="AE163" s="205">
        <v>-0.2950649</v>
      </c>
      <c r="AF163" s="205">
        <v>-0.2877922</v>
      </c>
      <c r="AG163" s="205">
        <v>0.1974026</v>
      </c>
      <c r="AH163" s="205">
        <v>1.08155844</v>
      </c>
      <c r="AI163" s="205">
        <v>0.35220779</v>
      </c>
      <c r="AJ163" s="205">
        <v>2.17142857</v>
      </c>
      <c r="AK163" s="205">
        <v>-1.0723117</v>
      </c>
      <c r="AL163" s="205">
        <v>-0.4768831</v>
      </c>
      <c r="AM163" s="205">
        <v>-0.0051948</v>
      </c>
      <c r="AN163" s="205">
        <v>0.11220779</v>
      </c>
      <c r="AO163" s="205">
        <v>-1.2424935</v>
      </c>
      <c r="AP163" s="205">
        <v>-0.9974026</v>
      </c>
      <c r="AQ163" s="205">
        <v>0.81246753</v>
      </c>
      <c r="AR163" s="205">
        <v>-0.8542338</v>
      </c>
      <c r="AS163" s="205">
        <v>-0.5215584</v>
      </c>
      <c r="AT163" s="205">
        <v>0.32103896</v>
      </c>
      <c r="AU163" s="205">
        <v>-1.7448312</v>
      </c>
      <c r="AV163" s="205">
        <v>0.66805195</v>
      </c>
      <c r="AW163" s="205">
        <v>0.23896104</v>
      </c>
      <c r="AX163" s="205">
        <v>-0.3418182</v>
      </c>
      <c r="AY163" s="205">
        <v>0.56311688</v>
      </c>
      <c r="AZ163" s="205">
        <v>0.87896104</v>
      </c>
      <c r="BA163" s="205">
        <v>-0.1309091</v>
      </c>
      <c r="BB163" s="205">
        <v>-0.5911688</v>
      </c>
      <c r="BC163" s="205">
        <v>0.07584416</v>
      </c>
      <c r="BD163" s="205">
        <v>-1.6337662</v>
      </c>
      <c r="BE163" s="205">
        <v>0.71376623</v>
      </c>
      <c r="BF163" s="205">
        <v>0.08</v>
      </c>
      <c r="BG163" s="205">
        <v>-0.5485714</v>
      </c>
      <c r="BH163" s="205">
        <v>-0.3407792</v>
      </c>
      <c r="BI163" s="205">
        <v>-0.7584416</v>
      </c>
      <c r="BJ163" s="205">
        <v>0.95272727</v>
      </c>
      <c r="BK163" s="205">
        <v>-0.4477922</v>
      </c>
      <c r="BL163" s="205">
        <v>-0.4664935</v>
      </c>
      <c r="BM163" s="205">
        <v>-0.6784416</v>
      </c>
      <c r="BN163" s="205">
        <v>-1.0992208</v>
      </c>
      <c r="BO163" s="205">
        <v>0.81246753</v>
      </c>
      <c r="BP163" s="205">
        <v>-0.265974</v>
      </c>
      <c r="BQ163" s="205">
        <v>1.25818182</v>
      </c>
      <c r="BR163" s="206"/>
      <c r="BS163" s="207">
        <f t="shared" si="6"/>
        <v>-0.00148258127</v>
      </c>
      <c r="BT163" s="207">
        <f t="shared" si="7"/>
        <v>0.6143282121</v>
      </c>
      <c r="BU163" s="206"/>
      <c r="BV163" s="207">
        <f>IFERROR(__xludf.DUMMYFUNCTION("AVERAGE(ARRAYFORMULA(XLOOKUP(FILTER(INDIRECT(""'""&amp;BV$1&amp;""'!$C$4:$C$66""),INDIRECT(""'""&amp;BV$1&amp;""'!$D$4:$D$66"")=BV$2),$G$4:$BQ$4,$G163:$BQ163)))"),0.09797403142857149)</f>
        <v>0.09797403143</v>
      </c>
      <c r="BW163" s="207" t="str">
        <f>IFERROR(__xludf.DUMMYFUNCTION("IF(OR(BV163&gt;$BS163+$BT163*$BT$2,BV163&lt;$BS163-$BT163*$BT$2),AVEDEV(ARRAYFORMULA(XLOOKUP(FILTER(INDIRECT(""'""&amp;BV$1&amp;""'!$C$4:$C$66""),INDIRECT(""'""&amp;BV$1&amp;""'!$D$4:$D$66"")=BV$2),$G$4:$BQ$4,$G163:$BQ163))),"""")"),"")</f>
        <v/>
      </c>
      <c r="BX163" s="208" t="str">
        <f t="shared" si="8"/>
        <v/>
      </c>
      <c r="BY163" s="207">
        <f>IFERROR(__xludf.DUMMYFUNCTION("AVERAGE(ARRAYFORMULA(XLOOKUP(FILTER(INDIRECT(""'""&amp;BY$1&amp;""'!$C$4:$C$66""),INDIRECT(""'""&amp;BY$1&amp;""'!$D$4:$D$66"")=BY$2),$G$4:$BQ$4,$G163:$BQ163)))"),0.048160792619047606)</f>
        <v>0.04816079262</v>
      </c>
      <c r="BZ163" s="207" t="str">
        <f>IFERROR(__xludf.DUMMYFUNCTION("IF(OR(BY163&gt;$BS163+$BT163*$BT$2,BY163&lt;$BS163-$BT163*$BT$2),AVEDEV(ARRAYFORMULA(XLOOKUP(FILTER(INDIRECT(""'""&amp;BY$1&amp;""'!$C$4:$C$66""),INDIRECT(""'""&amp;BY$1&amp;""'!$D$4:$D$66"")=BY$2),$G$4:$BQ$4,$G163:$BQ163))),"""")"),"")</f>
        <v/>
      </c>
      <c r="CA163" s="208" t="str">
        <f t="shared" si="9"/>
        <v/>
      </c>
      <c r="CB163" s="207">
        <f>IFERROR(__xludf.DUMMYFUNCTION("AVERAGE(ARRAYFORMULA(XLOOKUP(FILTER(INDIRECT(""'""&amp;CB$1&amp;""'!$C$4:$C$66""),INDIRECT(""'""&amp;CB$1&amp;""'!$D$4:$D$66"")=CB$2),$G$4:$BQ$4,$G163:$BQ163)))"),0.07338842454545456)</f>
        <v>0.07338842455</v>
      </c>
      <c r="CC163" s="207" t="str">
        <f>IFERROR(__xludf.DUMMYFUNCTION("IF(OR(CB163&gt;$BS163+$BT163*$BT$2,CB163&lt;$BS163-$BT163*$BT$2),AVEDEV(ARRAYFORMULA(XLOOKUP(FILTER(INDIRECT(""'""&amp;CB$1&amp;""'!$C$4:$C$66""),INDIRECT(""'""&amp;CB$1&amp;""'!$D$4:$D$66"")=CB$2),$G$4:$BQ$4,$G163:$BQ163))),"""")"),"")</f>
        <v/>
      </c>
      <c r="CD163" s="208" t="str">
        <f t="shared" si="10"/>
        <v/>
      </c>
      <c r="CE163" s="209" t="s">
        <v>444</v>
      </c>
      <c r="CF163" s="207">
        <f>IFERROR(__xludf.DUMMYFUNCTION("AVERAGE(ARRAYFORMULA(XLOOKUP(FILTER(INDIRECT(""'""&amp;CF$1&amp;""'!$C$4:$C$66""),INDIRECT(""'""&amp;CF$1&amp;""'!$D$4:$D$66"")=CF$2),$G$4:$BQ$4,$G163:$BQ163)))"),-0.111012985625)</f>
        <v>-0.1110129856</v>
      </c>
      <c r="CG163" s="207" t="str">
        <f>IFERROR(__xludf.DUMMYFUNCTION("IF(OR(CF163&gt;$BS163+$BT163*$BT$2,CF163&lt;$BS163-$BT163*$BT$2),AVEDEV(ARRAYFORMULA(XLOOKUP(FILTER(INDIRECT(""'""&amp;CF$1&amp;""'!$C$4:$C$66""),INDIRECT(""'""&amp;CF$1&amp;""'!$D$4:$D$66"")=CF$2),$G$4:$BQ$4,$G163:$BQ163))),"""")"),"")</f>
        <v/>
      </c>
      <c r="CH163" s="208" t="str">
        <f t="shared" si="11"/>
        <v/>
      </c>
      <c r="CI163" s="207">
        <f>IFERROR(__xludf.DUMMYFUNCTION("AVERAGE(ARRAYFORMULA(XLOOKUP(FILTER(INDIRECT(""'""&amp;CI$1&amp;""'!$C$4:$C$66""),INDIRECT(""'""&amp;CI$1&amp;""'!$D$4:$D$66"")=CI$2),$G$4:$BQ$4,$G163:$BQ163)))"),0.2784985341935483)</f>
        <v>0.2784985342</v>
      </c>
      <c r="CJ163" s="207" t="str">
        <f>IFERROR(__xludf.DUMMYFUNCTION("IF(OR(CI163&gt;$BS163+$BT163*$BT$2,CI163&lt;$BS163-$BT163*$BT$2),AVEDEV(ARRAYFORMULA(XLOOKUP(FILTER(INDIRECT(""'""&amp;CI$1&amp;""'!$C$4:$C$66""),INDIRECT(""'""&amp;CI$1&amp;""'!$D$4:$D$66"")=CI$2),$G$4:$BQ$4,$G163:$BQ163))),"""")"),"")</f>
        <v/>
      </c>
      <c r="CK163" s="208" t="str">
        <f t="shared" si="12"/>
        <v/>
      </c>
      <c r="CL163" s="207">
        <f>IFERROR(__xludf.DUMMYFUNCTION("AVERAGE(ARRAYFORMULA(XLOOKUP(FILTER(INDIRECT(""'""&amp;CL$1&amp;""'!$C$4:$C$66""),INDIRECT(""'""&amp;CL$1&amp;""'!$D$4:$D$66"")=CL$2),$G$4:$BQ$4,$G163:$BQ163)))"),-0.367792194)</f>
        <v>-0.367792194</v>
      </c>
      <c r="CM163" s="207" t="str">
        <f>IFERROR(__xludf.DUMMYFUNCTION("IF(OR(CL163&gt;$BS163+$BT163*$BT$2,CL163&lt;$BS163-$BT163*$BT$2),AVEDEV(ARRAYFORMULA(XLOOKUP(FILTER(INDIRECT(""'""&amp;CL$1&amp;""'!$C$4:$C$66""),INDIRECT(""'""&amp;CL$1&amp;""'!$D$4:$D$66"")=CL$2),$G$4:$BQ$4,$G163:$BQ163))),"""")"),"")</f>
        <v/>
      </c>
      <c r="CN163" s="208" t="str">
        <f t="shared" si="13"/>
        <v/>
      </c>
      <c r="CO163" s="209" t="s">
        <v>444</v>
      </c>
      <c r="CP163" s="210">
        <f>IFERROR(__xludf.DUMMYFUNCTION("AVERAGE(ARRAYFORMULA(XLOOKUP(FILTER(INDIRECT(""'""&amp;CP$1&amp;""'!$C$4:$C$66""),INDIRECT(""'""&amp;CP$1&amp;""'!$D$4:$D$66"")=CP$2),$G$4:$BQ$4,$G163:$BQ163)))"),0.2555151506666667)</f>
        <v>0.2555151507</v>
      </c>
      <c r="CQ163" s="207" t="str">
        <f>IFERROR(__xludf.DUMMYFUNCTION("IF(OR(CP163&gt;$BS163+$BT163*$BT$2,CP163&lt;$BS163-$BT163*$BT$2),AVEDEV(ARRAYFORMULA(XLOOKUP(FILTER(INDIRECT(""'""&amp;CP$1&amp;""'!$C$4:$C$66""),INDIRECT(""'""&amp;CP$1&amp;""'!$D$4:$D$66"")=CP$2),$G$4:$BQ$4,$G163:$BQ163))),"""")"),"")</f>
        <v/>
      </c>
      <c r="CR163" s="208" t="str">
        <f t="shared" si="14"/>
        <v/>
      </c>
      <c r="CS163" s="210">
        <f>IFERROR(__xludf.DUMMYFUNCTION("AVERAGE(ARRAYFORMULA(XLOOKUP(FILTER(INDIRECT(""'""&amp;CS$1&amp;""'!$C$4:$C$66""),INDIRECT(""'""&amp;CS$1&amp;""'!$D$4:$D$66"")=CS$2),$G$4:$BQ$4,$G163:$BQ163)))"),0.05098900999999997)</f>
        <v>0.05098901</v>
      </c>
      <c r="CT163" s="207" t="str">
        <f>IFERROR(__xludf.DUMMYFUNCTION("IF(OR(CS163&gt;$BS163+$BT163*$BT$2,CS163&lt;$BS163-$BT163*$BT$2),AVEDEV(ARRAYFORMULA(XLOOKUP(FILTER(INDIRECT(""'""&amp;CS$1&amp;""'!$C$4:$C$66""),INDIRECT(""'""&amp;CS$1&amp;""'!$D$4:$D$66"")=CS$2),$G$4:$BQ$4,$G163:$BQ163))),"""")"),"")</f>
        <v/>
      </c>
      <c r="CU163" s="208" t="str">
        <f t="shared" si="15"/>
        <v/>
      </c>
      <c r="CV163" s="210">
        <f>IFERROR(__xludf.DUMMYFUNCTION("AVERAGE(ARRAYFORMULA(XLOOKUP(FILTER(INDIRECT(""'""&amp;CV$1&amp;""'!$C$4:$C$66""),INDIRECT(""'""&amp;CV$1&amp;""'!$D$4:$D$66"")=CV$2),$G$4:$BQ$4,$G163:$BQ163)))"),-0.367792194)</f>
        <v>-0.367792194</v>
      </c>
      <c r="CW163" s="207" t="str">
        <f>IFERROR(__xludf.DUMMYFUNCTION("IF(OR(CV163&gt;$BS163+$BT163*$BT$2,CV163&lt;$BS163-$BT163*$BT$2),AVEDEV(ARRAYFORMULA(XLOOKUP(FILTER(INDIRECT(""'""&amp;CV$1&amp;""'!$C$4:$C$66""),INDIRECT(""'""&amp;CV$1&amp;""'!$D$4:$D$66"")=CV$2),$G$4:$BQ$4,$G163:$BQ163))),"""")"),"")</f>
        <v/>
      </c>
      <c r="CX163" s="208" t="str">
        <f t="shared" si="16"/>
        <v/>
      </c>
      <c r="CY163" s="209" t="s">
        <v>444</v>
      </c>
      <c r="CZ163" s="210">
        <f>IFERROR(__xludf.DUMMYFUNCTION("AVERAGE(ARRAYFORMULA(XLOOKUP(FILTER(INDIRECT(""'""&amp;CZ$1&amp;""'!$C$4:$C$66""),INDIRECT(""'""&amp;CZ$1&amp;""'!$D$4:$D$66"")=CZ$2),$G$4:$BQ$4,$G163:$BQ163)))"),-0.10843042214285713)</f>
        <v>-0.1084304221</v>
      </c>
      <c r="DA163" s="207" t="str">
        <f>IFERROR(__xludf.DUMMYFUNCTION("IF(OR(CZ163&gt;$BS163+$BT163*$BT$2,CZ163&lt;$BS163-$BT163*$BT$2),AVEDEV(ARRAYFORMULA(XLOOKUP(FILTER(INDIRECT(""'""&amp;CZ$1&amp;""'!$C$4:$C$66""),INDIRECT(""'""&amp;CZ$1&amp;""'!$D$4:$D$66"")=CZ$2),$G$4:$BQ$4,$G163:$BQ163))),"""")"),"")</f>
        <v/>
      </c>
      <c r="DB163" s="208" t="str">
        <f t="shared" si="17"/>
        <v/>
      </c>
      <c r="DC163" s="210">
        <f>IFERROR(__xludf.DUMMYFUNCTION("AVERAGE(ARRAYFORMULA(XLOOKUP(FILTER(INDIRECT(""'""&amp;DC$1&amp;""'!$C$4:$C$66""),INDIRECT(""'""&amp;DC$1&amp;""'!$D$4:$D$66"")=DC$2),$G$4:$BQ$4,$G163:$BQ163)))"),0.06741702555555558)</f>
        <v>0.06741702556</v>
      </c>
      <c r="DD163" s="207" t="str">
        <f>IFERROR(__xludf.DUMMYFUNCTION("IF(OR(DC163&gt;$BS163+$BT163*$BT$2,DC163&lt;$BS163-$BT163*$BT$2),AVEDEV(ARRAYFORMULA(XLOOKUP(FILTER(INDIRECT(""'""&amp;DC$1&amp;""'!$C$4:$C$66""),INDIRECT(""'""&amp;DC$1&amp;""'!$D$4:$D$66"")=DC$2),$G$4:$BQ$4,$G163:$BQ163))),"""")"),"")</f>
        <v/>
      </c>
      <c r="DE163" s="208" t="str">
        <f t="shared" si="18"/>
        <v/>
      </c>
      <c r="DF163" s="210">
        <f>IFERROR(__xludf.DUMMYFUNCTION("AVERAGE(ARRAYFORMULA(XLOOKUP(FILTER(INDIRECT(""'""&amp;DF$1&amp;""'!$C$4:$C$66""),INDIRECT(""'""&amp;DF$1&amp;""'!$D$4:$D$66"")=DF$2),$G$4:$BQ$4,$G163:$BQ163)))"),0.4097284536363636)</f>
        <v>0.4097284536</v>
      </c>
      <c r="DG163" s="207" t="str">
        <f>IFERROR(__xludf.DUMMYFUNCTION("IF(OR(DF163&gt;$BS163+$BT163*$BT$2,DF163&lt;$BS163-$BT163*$BT$2),AVEDEV(ARRAYFORMULA(XLOOKUP(FILTER(INDIRECT(""'""&amp;DF$1&amp;""'!$C$4:$C$66""),INDIRECT(""'""&amp;DF$1&amp;""'!$D$4:$D$66"")=DF$2),$G$4:$BQ$4,$G163:$BQ163))),"""")"),"")</f>
        <v/>
      </c>
      <c r="DH163" s="208" t="str">
        <f t="shared" si="19"/>
        <v/>
      </c>
      <c r="DI163" s="210">
        <f>IFERROR(__xludf.DUMMYFUNCTION("AVERAGE(ARRAYFORMULA(XLOOKUP(FILTER(INDIRECT(""'""&amp;DI$1&amp;""'!$C$4:$C$66""),INDIRECT(""'""&amp;DI$1&amp;""'!$D$4:$D$66"")=DI$2),$G$4:$BQ$4,$G163:$BQ163)))"),-0.23948049999999999)</f>
        <v>-0.2394805</v>
      </c>
      <c r="DJ163" s="207" t="str">
        <f>IFERROR(__xludf.DUMMYFUNCTION("IF(OR(DI163&gt;$BS163+$BT163*$BT$2,DI163&lt;$BS163-$BT163*$BT$2),AVEDEV(ARRAYFORMULA(XLOOKUP(FILTER(INDIRECT(""'""&amp;DI$1&amp;""'!$C$4:$C$66""),INDIRECT(""'""&amp;DI$1&amp;""'!$D$4:$D$66"")=DI$2),$G$4:$BQ$4,$G163:$BQ163))),"""")"),"")</f>
        <v/>
      </c>
      <c r="DK163" s="208" t="str">
        <f t="shared" si="20"/>
        <v/>
      </c>
      <c r="DL163" s="210">
        <f>IFERROR(__xludf.DUMMYFUNCTION("AVERAGE(ARRAYFORMULA(XLOOKUP(FILTER(INDIRECT(""'""&amp;DL$1&amp;""'!$C$4:$C$66""),INDIRECT(""'""&amp;DL$1&amp;""'!$D$4:$D$66"")=DL$2),$G$4:$BQ$4,$G163:$BQ163)))"),0.16189238928571428)</f>
        <v>0.1618923893</v>
      </c>
      <c r="DM163" s="207" t="str">
        <f>IFERROR(__xludf.DUMMYFUNCTION("IF(OR(DL163&gt;$BS163+$BT163*$BT$2,DL163&lt;$BS163-$BT163*$BT$2),AVEDEV(ARRAYFORMULA(XLOOKUP(FILTER(INDIRECT(""'""&amp;DL$1&amp;""'!$C$4:$C$66""),INDIRECT(""'""&amp;DL$1&amp;""'!$D$4:$D$66"")=DL$2),$G$4:$BQ$4,$G163:$BQ163))),"""")"),"")</f>
        <v/>
      </c>
      <c r="DN163" s="208" t="str">
        <f t="shared" si="21"/>
        <v/>
      </c>
      <c r="DO163" s="209" t="s">
        <v>444</v>
      </c>
      <c r="DP163" s="210">
        <f>IFERROR(__xludf.DUMMYFUNCTION("AVERAGE(ARRAYFORMULA(XLOOKUP(FILTER(INDIRECT(""'""&amp;DP$1&amp;""'!$C$4:$C$66""),INDIRECT(""'""&amp;DP$1&amp;""'!$D$4:$D$66"")=DP$2),$G$4:$BQ$4,$G163:$BQ163)))"),-0.04612640466666667)</f>
        <v>-0.04612640467</v>
      </c>
      <c r="DQ163" s="207" t="str">
        <f>IFERROR(__xludf.DUMMYFUNCTION("IF(OR(DP163&gt;$BS163+$BT163*$BT$2,DP163&lt;$BS163-$BT163*$BT$2),AVEDEV(ARRAYFORMULA(XLOOKUP(FILTER(INDIRECT(""'""&amp;DP$1&amp;""'!$C$4:$C$66""),INDIRECT(""'""&amp;DP$1&amp;""'!$D$4:$D$66"")=DP$2),$G$4:$BQ$4,$G163:$BQ163))),"""")"),"")</f>
        <v/>
      </c>
      <c r="DR163" s="208" t="str">
        <f t="shared" si="22"/>
        <v/>
      </c>
      <c r="DS163" s="210">
        <f>IFERROR(__xludf.DUMMYFUNCTION("AVERAGE(ARRAYFORMULA(XLOOKUP(FILTER(INDIRECT(""'""&amp;DS$1&amp;""'!$C$4:$C$66""),INDIRECT(""'""&amp;DS$1&amp;""'!$D$4:$D$66"")=DS$2),$G$4:$BQ$4,$G163:$BQ163)))"),0.08034631333333335)</f>
        <v>0.08034631333</v>
      </c>
      <c r="DT163" s="207" t="str">
        <f>IFERROR(__xludf.DUMMYFUNCTION("IF(OR(DS163&gt;$BS163+$BT163*$BT$2,DS163&lt;$BS163-$BT163*$BT$2),AVEDEV(ARRAYFORMULA(XLOOKUP(FILTER(INDIRECT(""'""&amp;DS$1&amp;""'!$C$4:$C$66""),INDIRECT(""'""&amp;DS$1&amp;""'!$D$4:$D$66"")=DS$2),$G$4:$BQ$4,$G163:$BQ163))),"""")"),"")</f>
        <v/>
      </c>
      <c r="DU163" s="208" t="str">
        <f t="shared" si="23"/>
        <v/>
      </c>
      <c r="DV163" s="210">
        <f>IFERROR(__xludf.DUMMYFUNCTION("AVERAGE(ARRAYFORMULA(XLOOKUP(FILTER(INDIRECT(""'""&amp;DV$1&amp;""'!$C$4:$C$66""),INDIRECT(""'""&amp;DV$1&amp;""'!$D$4:$D$66"")=DV$2),$G$4:$BQ$4,$G163:$BQ163)))"),0.8314285674999999)</f>
        <v>0.8314285675</v>
      </c>
      <c r="DW163" s="207">
        <f>IFERROR(__xludf.DUMMYFUNCTION("IF(OR(DV163&gt;$BS163+$BT163*$BT$2,DV163&lt;$BS163-$BT163*$BT$2),AVEDEV(ARRAYFORMULA(XLOOKUP(FILTER(INDIRECT(""'""&amp;DV$1&amp;""'!$C$4:$C$66""),INDIRECT(""'""&amp;DV$1&amp;""'!$D$4:$D$66"")=DV$2),$G$4:$BQ$4,$G163:$BQ163))),"""")"),0.40389610749999993)</f>
        <v>0.4038961075</v>
      </c>
      <c r="DX163" s="208">
        <f t="shared" si="24"/>
        <v>0.2185829367</v>
      </c>
      <c r="DY163" s="210">
        <f>IFERROR(__xludf.DUMMYFUNCTION("AVERAGE(ARRAYFORMULA(XLOOKUP(FILTER(INDIRECT(""'""&amp;DY$1&amp;""'!$C$4:$C$66""),INDIRECT(""'""&amp;DY$1&amp;""'!$D$4:$D$66"")=DY$2),$G$4:$BQ$4,$G163:$BQ163)))"),-0.13113996333333336)</f>
        <v>-0.1311399633</v>
      </c>
      <c r="DZ163" s="207" t="str">
        <f>IFERROR(__xludf.DUMMYFUNCTION("IF(OR(DY163&gt;$BS163+$BT163*$BT$2,DY163&lt;$BS163-$BT163*$BT$2),AVEDEV(ARRAYFORMULA(XLOOKUP(FILTER(INDIRECT(""'""&amp;DY$1&amp;""'!$C$4:$C$66""),INDIRECT(""'""&amp;DY$1&amp;""'!$D$4:$D$66"")=DY$2),$G$4:$BQ$4,$G163:$BQ163))),"""")"),"")</f>
        <v/>
      </c>
      <c r="EA163" s="208" t="str">
        <f t="shared" si="25"/>
        <v/>
      </c>
      <c r="EB163" s="191"/>
    </row>
    <row r="164" outlineLevel="1">
      <c r="A164" s="2"/>
      <c r="B164" s="204">
        <v>160.0</v>
      </c>
      <c r="C164" s="204" t="s">
        <v>601</v>
      </c>
      <c r="D164" s="204" t="s">
        <v>607</v>
      </c>
      <c r="E164" s="205" t="b">
        <f>VLOOKUP(D164,'Feature Set List'!A160:C246,2,0)</f>
        <v>1</v>
      </c>
      <c r="F164" s="205" t="b">
        <f>VLOOKUP(D164,'Feature Set List'!A160:C246,3,0)</f>
        <v>1</v>
      </c>
      <c r="G164" s="205">
        <v>-0.3203079</v>
      </c>
      <c r="H164" s="205">
        <v>-0.2417604</v>
      </c>
      <c r="I164" s="205">
        <v>0.10519045</v>
      </c>
      <c r="J164" s="205">
        <v>0.51115058</v>
      </c>
      <c r="K164" s="205">
        <v>-1.0063154</v>
      </c>
      <c r="L164" s="205">
        <v>0.39984212</v>
      </c>
      <c r="M164" s="205">
        <v>0.55259522</v>
      </c>
      <c r="N164" s="205">
        <v>0.41207815</v>
      </c>
      <c r="O164" s="205">
        <v>1.58871127</v>
      </c>
      <c r="P164" s="205">
        <v>1.21373594</v>
      </c>
      <c r="Q164" s="205">
        <v>-0.79179</v>
      </c>
      <c r="R164" s="205">
        <v>0.96112098</v>
      </c>
      <c r="S164" s="205">
        <v>0.87428459</v>
      </c>
      <c r="T164" s="205">
        <v>0.1997237</v>
      </c>
      <c r="U164" s="205">
        <v>0.09275706</v>
      </c>
      <c r="V164" s="205">
        <v>-0.2226169</v>
      </c>
      <c r="W164" s="205">
        <v>0.3357016</v>
      </c>
      <c r="X164" s="205">
        <v>0.55456878</v>
      </c>
      <c r="Y164" s="205">
        <v>0.41128873</v>
      </c>
      <c r="Z164" s="205">
        <v>-0.4322084</v>
      </c>
      <c r="AA164" s="205">
        <v>-0.4592461</v>
      </c>
      <c r="AB164" s="205">
        <v>-0.1545293</v>
      </c>
      <c r="AC164" s="205">
        <v>0.27373199</v>
      </c>
      <c r="AD164" s="205">
        <v>-0.6589698</v>
      </c>
      <c r="AE164" s="205">
        <v>1.18413262</v>
      </c>
      <c r="AF164" s="205">
        <v>0.11762384</v>
      </c>
      <c r="AG164" s="205">
        <v>-0.4789816</v>
      </c>
      <c r="AH164" s="205">
        <v>1.01045984</v>
      </c>
      <c r="AI164" s="205">
        <v>0.01776199</v>
      </c>
      <c r="AJ164" s="205">
        <v>2.06039076</v>
      </c>
      <c r="AK164" s="205">
        <v>-0.8229722</v>
      </c>
      <c r="AL164" s="205">
        <v>-0.5117426</v>
      </c>
      <c r="AM164" s="205">
        <v>0.65127294</v>
      </c>
      <c r="AN164" s="205">
        <v>0.0</v>
      </c>
      <c r="AO164" s="205">
        <v>-1.0817052</v>
      </c>
      <c r="AP164" s="205">
        <v>-0.5289126</v>
      </c>
      <c r="AQ164" s="205">
        <v>0.35070061</v>
      </c>
      <c r="AR164" s="205">
        <v>-0.9034932</v>
      </c>
      <c r="AS164" s="205">
        <v>0.37852773</v>
      </c>
      <c r="AT164" s="205">
        <v>0.55456878</v>
      </c>
      <c r="AU164" s="205">
        <v>-0.9392145</v>
      </c>
      <c r="AV164" s="205">
        <v>-0.0684823</v>
      </c>
      <c r="AW164" s="205">
        <v>-0.1720939</v>
      </c>
      <c r="AX164" s="205">
        <v>0.18946122</v>
      </c>
      <c r="AY164" s="205">
        <v>-1.1837379</v>
      </c>
      <c r="AZ164" s="205">
        <v>0.79928952</v>
      </c>
      <c r="BA164" s="205">
        <v>1.16834419</v>
      </c>
      <c r="BB164" s="205">
        <v>-0.6078547</v>
      </c>
      <c r="BC164" s="205">
        <v>0.55062167</v>
      </c>
      <c r="BD164" s="205">
        <v>-0.3191237</v>
      </c>
      <c r="BE164" s="205">
        <v>-0.0759818</v>
      </c>
      <c r="BF164" s="205">
        <v>-0.2123545</v>
      </c>
      <c r="BG164" s="205">
        <v>0.68679692</v>
      </c>
      <c r="BH164" s="205">
        <v>-0.9135583</v>
      </c>
      <c r="BI164" s="205">
        <v>-0.5054273</v>
      </c>
      <c r="BJ164" s="205">
        <v>1.40714427</v>
      </c>
      <c r="BK164" s="205">
        <v>-0.1908427</v>
      </c>
      <c r="BL164" s="205">
        <v>-0.7485692</v>
      </c>
      <c r="BM164" s="205">
        <v>-0.4849023</v>
      </c>
      <c r="BN164" s="205">
        <v>-0.2757055</v>
      </c>
      <c r="BO164" s="205">
        <v>-0.2725479</v>
      </c>
      <c r="BP164" s="205">
        <v>-0.4110914</v>
      </c>
      <c r="BQ164" s="205">
        <v>0.05703572</v>
      </c>
      <c r="BR164" s="206"/>
      <c r="BS164" s="207">
        <f t="shared" si="6"/>
        <v>0.05831070286</v>
      </c>
      <c r="BT164" s="207">
        <f t="shared" si="7"/>
        <v>0.5684065298</v>
      </c>
      <c r="BU164" s="206"/>
      <c r="BV164" s="207">
        <f>IFERROR(__xludf.DUMMYFUNCTION("AVERAGE(ARRAYFORMULA(XLOOKUP(FILTER(INDIRECT(""'""&amp;BV$1&amp;""'!$C$4:$C$66""),INDIRECT(""'""&amp;BV$1&amp;""'!$D$4:$D$66"")=BV$2),$G$4:$BQ$4,$G164:$BQ164)))"),-0.43578899428571427)</f>
        <v>-0.4357889943</v>
      </c>
      <c r="BW164" s="207" t="str">
        <f>IFERROR(__xludf.DUMMYFUNCTION("IF(OR(BV164&gt;$BS164+$BT164*$BT$2,BV164&lt;$BS164-$BT164*$BT$2),AVEDEV(ARRAYFORMULA(XLOOKUP(FILTER(INDIRECT(""'""&amp;BV$1&amp;""'!$C$4:$C$66""),INDIRECT(""'""&amp;BV$1&amp;""'!$D$4:$D$66"")=BV$2),$G$4:$BQ$4,$G164:$BQ164))),"""")"),"")</f>
        <v/>
      </c>
      <c r="BX164" s="208" t="str">
        <f t="shared" si="8"/>
        <v/>
      </c>
      <c r="BY164" s="207">
        <f>IFERROR(__xludf.DUMMYFUNCTION("AVERAGE(ARRAYFORMULA(XLOOKUP(FILTER(INDIRECT(""'""&amp;BY$1&amp;""'!$C$4:$C$66""),INDIRECT(""'""&amp;BY$1&amp;""'!$D$4:$D$66"")=BY$2),$G$4:$BQ$4,$G164:$BQ164)))"),0.08295976976190475)</f>
        <v>0.08295976976</v>
      </c>
      <c r="BZ164" s="207" t="str">
        <f>IFERROR(__xludf.DUMMYFUNCTION("IF(OR(BY164&gt;$BS164+$BT164*$BT$2,BY164&lt;$BS164-$BT164*$BT$2),AVEDEV(ARRAYFORMULA(XLOOKUP(FILTER(INDIRECT(""'""&amp;BY$1&amp;""'!$C$4:$C$66""),INDIRECT(""'""&amp;BY$1&amp;""'!$D$4:$D$66"")=BY$2),$G$4:$BQ$4,$G164:$BQ164))),"""")"),"")</f>
        <v/>
      </c>
      <c r="CA164" s="208" t="str">
        <f t="shared" si="9"/>
        <v/>
      </c>
      <c r="CB164" s="207">
        <f>IFERROR(__xludf.DUMMYFUNCTION("AVERAGE(ARRAYFORMULA(XLOOKUP(FILTER(INDIRECT(""'""&amp;CB$1&amp;""'!$C$4:$C$66""),INDIRECT(""'""&amp;CB$1&amp;""'!$D$4:$D$66"")=CB$2),$G$4:$BQ$4,$G164:$BQ164)))"),0.39935769636363644)</f>
        <v>0.3993576964</v>
      </c>
      <c r="CC164" s="207" t="str">
        <f>IFERROR(__xludf.DUMMYFUNCTION("IF(OR(CB164&gt;$BS164+$BT164*$BT$2,CB164&lt;$BS164-$BT164*$BT$2),AVEDEV(ARRAYFORMULA(XLOOKUP(FILTER(INDIRECT(""'""&amp;CB$1&amp;""'!$C$4:$C$66""),INDIRECT(""'""&amp;CB$1&amp;""'!$D$4:$D$66"")=CB$2),$G$4:$BQ$4,$G164:$BQ164))),"""")"),"")</f>
        <v/>
      </c>
      <c r="CD164" s="208" t="str">
        <f t="shared" si="10"/>
        <v/>
      </c>
      <c r="CE164" s="209" t="s">
        <v>444</v>
      </c>
      <c r="CF164" s="207">
        <f>IFERROR(__xludf.DUMMYFUNCTION("AVERAGE(ARRAYFORMULA(XLOOKUP(FILTER(INDIRECT(""'""&amp;CF$1&amp;""'!$C$4:$C$66""),INDIRECT(""'""&amp;CF$1&amp;""'!$D$4:$D$66"")=CF$2),$G$4:$BQ$4,$G164:$BQ164)))"),-0.073169525625)</f>
        <v>-0.07316952563</v>
      </c>
      <c r="CG164" s="207" t="str">
        <f>IFERROR(__xludf.DUMMYFUNCTION("IF(OR(CF164&gt;$BS164+$BT164*$BT$2,CF164&lt;$BS164-$BT164*$BT$2),AVEDEV(ARRAYFORMULA(XLOOKUP(FILTER(INDIRECT(""'""&amp;CF$1&amp;""'!$C$4:$C$66""),INDIRECT(""'""&amp;CF$1&amp;""'!$D$4:$D$66"")=CF$2),$G$4:$BQ$4,$G164:$BQ164))),"""")"),"")</f>
        <v/>
      </c>
      <c r="CH164" s="208" t="str">
        <f t="shared" si="11"/>
        <v/>
      </c>
      <c r="CI164" s="207">
        <f>IFERROR(__xludf.DUMMYFUNCTION("AVERAGE(ARRAYFORMULA(XLOOKUP(FILTER(INDIRECT(""'""&amp;CI$1&amp;""'!$C$4:$C$66""),INDIRECT(""'""&amp;CI$1&amp;""'!$D$4:$D$66"")=CI$2),$G$4:$BQ$4,$G164:$BQ164)))"),0.17476779548387092)</f>
        <v>0.1747677955</v>
      </c>
      <c r="CJ164" s="207" t="str">
        <f>IFERROR(__xludf.DUMMYFUNCTION("IF(OR(CI164&gt;$BS164+$BT164*$BT$2,CI164&lt;$BS164-$BT164*$BT$2),AVEDEV(ARRAYFORMULA(XLOOKUP(FILTER(INDIRECT(""'""&amp;CI$1&amp;""'!$C$4:$C$66""),INDIRECT(""'""&amp;CI$1&amp;""'!$D$4:$D$66"")=CI$2),$G$4:$BQ$4,$G164:$BQ164))),"""")"),"")</f>
        <v/>
      </c>
      <c r="CK164" s="208" t="str">
        <f t="shared" si="12"/>
        <v/>
      </c>
      <c r="CL164" s="207">
        <f>IFERROR(__xludf.DUMMYFUNCTION("AVERAGE(ARRAYFORMULA(XLOOKUP(FILTER(INDIRECT(""'""&amp;CL$1&amp;""'!$C$4:$C$66""),INDIRECT(""'""&amp;CL$1&amp;""'!$D$4:$D$66"")=CL$2),$G$4:$BQ$4,$G164:$BQ164)))"),0.7294256960000001)</f>
        <v>0.729425696</v>
      </c>
      <c r="CM164" s="207">
        <f>IFERROR(__xludf.DUMMYFUNCTION("IF(OR(CL164&gt;$BS164+$BT164*$BT$2,CL164&lt;$BS164-$BT164*$BT$2),AVEDEV(ARRAYFORMULA(XLOOKUP(FILTER(INDIRECT(""'""&amp;CL$1&amp;""'!$C$4:$C$66""),INDIRECT(""'""&amp;CL$1&amp;""'!$D$4:$D$66"")=CL$2),$G$4:$BQ$4,$G164:$BQ164))),"""")"),0.3692914952)</f>
        <v>0.3692914952</v>
      </c>
      <c r="CN164" s="208">
        <f t="shared" si="13"/>
        <v>0.1027084634</v>
      </c>
      <c r="CO164" s="209" t="s">
        <v>444</v>
      </c>
      <c r="CP164" s="210">
        <f>IFERROR(__xludf.DUMMYFUNCTION("AVERAGE(ARRAYFORMULA(XLOOKUP(FILTER(INDIRECT(""'""&amp;CP$1&amp;""'!$C$4:$C$66""),INDIRECT(""'""&amp;CP$1&amp;""'!$D$4:$D$66"")=CP$2),$G$4:$BQ$4,$G164:$BQ164)))"),0.14121439666666666)</f>
        <v>0.1412143967</v>
      </c>
      <c r="CQ164" s="207" t="str">
        <f>IFERROR(__xludf.DUMMYFUNCTION("IF(OR(CP164&gt;$BS164+$BT164*$BT$2,CP164&lt;$BS164-$BT164*$BT$2),AVEDEV(ARRAYFORMULA(XLOOKUP(FILTER(INDIRECT(""'""&amp;CP$1&amp;""'!$C$4:$C$66""),INDIRECT(""'""&amp;CP$1&amp;""'!$D$4:$D$66"")=CP$2),$G$4:$BQ$4,$G164:$BQ164))),"""")"),"")</f>
        <v/>
      </c>
      <c r="CR164" s="208" t="str">
        <f t="shared" si="14"/>
        <v/>
      </c>
      <c r="CS164" s="210">
        <f>IFERROR(__xludf.DUMMYFUNCTION("AVERAGE(ARRAYFORMULA(XLOOKUP(FILTER(INDIRECT(""'""&amp;CS$1&amp;""'!$C$4:$C$66""),INDIRECT(""'""&amp;CS$1&amp;""'!$D$4:$D$66"")=CS$2),$G$4:$BQ$4,$G164:$BQ164)))"),-0.004873158974358961)</f>
        <v>-0.004873158974</v>
      </c>
      <c r="CT164" s="207" t="str">
        <f>IFERROR(__xludf.DUMMYFUNCTION("IF(OR(CS164&gt;$BS164+$BT164*$BT$2,CS164&lt;$BS164-$BT164*$BT$2),AVEDEV(ARRAYFORMULA(XLOOKUP(FILTER(INDIRECT(""'""&amp;CS$1&amp;""'!$C$4:$C$66""),INDIRECT(""'""&amp;CS$1&amp;""'!$D$4:$D$66"")=CS$2),$G$4:$BQ$4,$G164:$BQ164))),"""")"),"")</f>
        <v/>
      </c>
      <c r="CU164" s="208" t="str">
        <f t="shared" si="15"/>
        <v/>
      </c>
      <c r="CV164" s="210">
        <f>IFERROR(__xludf.DUMMYFUNCTION("AVERAGE(ARRAYFORMULA(XLOOKUP(FILTER(INDIRECT(""'""&amp;CV$1&amp;""'!$C$4:$C$66""),INDIRECT(""'""&amp;CV$1&amp;""'!$D$4:$D$66"")=CV$2),$G$4:$BQ$4,$G164:$BQ164)))"),0.7294256960000001)</f>
        <v>0.729425696</v>
      </c>
      <c r="CW164" s="207">
        <f>IFERROR(__xludf.DUMMYFUNCTION("IF(OR(CV164&gt;$BS164+$BT164*$BT$2,CV164&lt;$BS164-$BT164*$BT$2),AVEDEV(ARRAYFORMULA(XLOOKUP(FILTER(INDIRECT(""'""&amp;CV$1&amp;""'!$C$4:$C$66""),INDIRECT(""'""&amp;CV$1&amp;""'!$D$4:$D$66"")=CV$2),$G$4:$BQ$4,$G164:$BQ164))),"""")"),0.3692914952)</f>
        <v>0.3692914952</v>
      </c>
      <c r="CX164" s="208">
        <f t="shared" si="16"/>
        <v>0.1027084634</v>
      </c>
      <c r="CY164" s="209" t="s">
        <v>444</v>
      </c>
      <c r="CZ164" s="210">
        <f>IFERROR(__xludf.DUMMYFUNCTION("AVERAGE(ARRAYFORMULA(XLOOKUP(FILTER(INDIRECT(""'""&amp;CZ$1&amp;""'!$C$4:$C$66""),INDIRECT(""'""&amp;CZ$1&amp;""'!$D$4:$D$66"")=CZ$2),$G$4:$BQ$4,$G164:$BQ164)))"),-0.064746675)</f>
        <v>-0.064746675</v>
      </c>
      <c r="DA164" s="207" t="str">
        <f>IFERROR(__xludf.DUMMYFUNCTION("IF(OR(CZ164&gt;$BS164+$BT164*$BT$2,CZ164&lt;$BS164-$BT164*$BT$2),AVEDEV(ARRAYFORMULA(XLOOKUP(FILTER(INDIRECT(""'""&amp;CZ$1&amp;""'!$C$4:$C$66""),INDIRECT(""'""&amp;CZ$1&amp;""'!$D$4:$D$66"")=CZ$2),$G$4:$BQ$4,$G164:$BQ164))),"""")"),"")</f>
        <v/>
      </c>
      <c r="DB164" s="208" t="str">
        <f t="shared" si="17"/>
        <v/>
      </c>
      <c r="DC164" s="210">
        <f>IFERROR(__xludf.DUMMYFUNCTION("AVERAGE(ARRAYFORMULA(XLOOKUP(FILTER(INDIRECT(""'""&amp;DC$1&amp;""'!$C$4:$C$66""),INDIRECT(""'""&amp;DC$1&amp;""'!$D$4:$D$66"")=DC$2),$G$4:$BQ$4,$G164:$BQ164)))"),0.4531719377777778)</f>
        <v>0.4531719378</v>
      </c>
      <c r="DD164" s="207" t="str">
        <f>IFERROR(__xludf.DUMMYFUNCTION("IF(OR(DC164&gt;$BS164+$BT164*$BT$2,DC164&lt;$BS164-$BT164*$BT$2),AVEDEV(ARRAYFORMULA(XLOOKUP(FILTER(INDIRECT(""'""&amp;DC$1&amp;""'!$C$4:$C$66""),INDIRECT(""'""&amp;DC$1&amp;""'!$D$4:$D$66"")=DC$2),$G$4:$BQ$4,$G164:$BQ164))),"""")"),"")</f>
        <v/>
      </c>
      <c r="DE164" s="208" t="str">
        <f t="shared" si="18"/>
        <v/>
      </c>
      <c r="DF164" s="210">
        <f>IFERROR(__xludf.DUMMYFUNCTION("AVERAGE(ARRAYFORMULA(XLOOKUP(FILTER(INDIRECT(""'""&amp;DF$1&amp;""'!$C$4:$C$66""),INDIRECT(""'""&amp;DF$1&amp;""'!$D$4:$D$66"")=DF$2),$G$4:$BQ$4,$G164:$BQ164)))"),0.35414536181818174)</f>
        <v>0.3541453618</v>
      </c>
      <c r="DG164" s="207" t="str">
        <f>IFERROR(__xludf.DUMMYFUNCTION("IF(OR(DF164&gt;$BS164+$BT164*$BT$2,DF164&lt;$BS164-$BT164*$BT$2),AVEDEV(ARRAYFORMULA(XLOOKUP(FILTER(INDIRECT(""'""&amp;DF$1&amp;""'!$C$4:$C$66""),INDIRECT(""'""&amp;DF$1&amp;""'!$D$4:$D$66"")=DF$2),$G$4:$BQ$4,$G164:$BQ164))),"""")"),"")</f>
        <v/>
      </c>
      <c r="DH164" s="208" t="str">
        <f t="shared" si="19"/>
        <v/>
      </c>
      <c r="DI164" s="210">
        <f>IFERROR(__xludf.DUMMYFUNCTION("AVERAGE(ARRAYFORMULA(XLOOKUP(FILTER(INDIRECT(""'""&amp;DI$1&amp;""'!$C$4:$C$66""),INDIRECT(""'""&amp;DI$1&amp;""'!$D$4:$D$66"")=DI$2),$G$4:$BQ$4,$G164:$BQ164)))"),-0.78626405)</f>
        <v>-0.78626405</v>
      </c>
      <c r="DJ164" s="207">
        <f>IFERROR(__xludf.DUMMYFUNCTION("IF(OR(DI164&gt;$BS164+$BT164*$BT$2,DI164&lt;$BS164-$BT164*$BT$2),AVEDEV(ARRAYFORMULA(XLOOKUP(FILTER(INDIRECT(""'""&amp;DI$1&amp;""'!$C$4:$C$66""),INDIRECT(""'""&amp;DI$1&amp;""'!$D$4:$D$66"")=DI$2),$G$4:$BQ$4,$G164:$BQ164))),"""")"),0.12729425)</f>
        <v>0.12729425</v>
      </c>
      <c r="DK164" s="208">
        <f t="shared" si="20"/>
        <v>-0.2761682231</v>
      </c>
      <c r="DL164" s="210">
        <f>IFERROR(__xludf.DUMMYFUNCTION("AVERAGE(ARRAYFORMULA(XLOOKUP(FILTER(INDIRECT(""'""&amp;DL$1&amp;""'!$C$4:$C$66""),INDIRECT(""'""&amp;DL$1&amp;""'!$D$4:$D$66"")=DL$2),$G$4:$BQ$4,$G164:$BQ164)))"),0.2496264350000001)</f>
        <v>0.249626435</v>
      </c>
      <c r="DM164" s="207" t="str">
        <f>IFERROR(__xludf.DUMMYFUNCTION("IF(OR(DL164&gt;$BS164+$BT164*$BT$2,DL164&lt;$BS164-$BT164*$BT$2),AVEDEV(ARRAYFORMULA(XLOOKUP(FILTER(INDIRECT(""'""&amp;DL$1&amp;""'!$C$4:$C$66""),INDIRECT(""'""&amp;DL$1&amp;""'!$D$4:$D$66"")=DL$2),$G$4:$BQ$4,$G164:$BQ164))),"""")"),"")</f>
        <v/>
      </c>
      <c r="DN164" s="208" t="str">
        <f t="shared" si="21"/>
        <v/>
      </c>
      <c r="DO164" s="209" t="s">
        <v>444</v>
      </c>
      <c r="DP164" s="210">
        <f>IFERROR(__xludf.DUMMYFUNCTION("AVERAGE(ARRAYFORMULA(XLOOKUP(FILTER(INDIRECT(""'""&amp;DP$1&amp;""'!$C$4:$C$66""),INDIRECT(""'""&amp;DP$1&amp;""'!$D$4:$D$66"")=DP$2),$G$4:$BQ$4,$G164:$BQ164)))"),3.420853333333233E-4)</f>
        <v>0.0003420853333</v>
      </c>
      <c r="DQ164" s="207" t="str">
        <f>IFERROR(__xludf.DUMMYFUNCTION("IF(OR(DP164&gt;$BS164+$BT164*$BT$2,DP164&lt;$BS164-$BT164*$BT$2),AVEDEV(ARRAYFORMULA(XLOOKUP(FILTER(INDIRECT(""'""&amp;DP$1&amp;""'!$C$4:$C$66""),INDIRECT(""'""&amp;DP$1&amp;""'!$D$4:$D$66"")=DP$2),$G$4:$BQ$4,$G164:$BQ164))),"""")"),"")</f>
        <v/>
      </c>
      <c r="DR164" s="208" t="str">
        <f t="shared" si="22"/>
        <v/>
      </c>
      <c r="DS164" s="210">
        <f>IFERROR(__xludf.DUMMYFUNCTION("AVERAGE(ARRAYFORMULA(XLOOKUP(FILTER(INDIRECT(""'""&amp;DS$1&amp;""'!$C$4:$C$66""),INDIRECT(""'""&amp;DS$1&amp;""'!$D$4:$D$66"")=DS$2),$G$4:$BQ$4,$G164:$BQ164)))"),0.33291669666666673)</f>
        <v>0.3329166967</v>
      </c>
      <c r="DT164" s="207" t="str">
        <f>IFERROR(__xludf.DUMMYFUNCTION("IF(OR(DS164&gt;$BS164+$BT164*$BT$2,DS164&lt;$BS164-$BT164*$BT$2),AVEDEV(ARRAYFORMULA(XLOOKUP(FILTER(INDIRECT(""'""&amp;DS$1&amp;""'!$C$4:$C$66""),INDIRECT(""'""&amp;DS$1&amp;""'!$D$4:$D$66"")=DS$2),$G$4:$BQ$4,$G164:$BQ164))),"""")"),"")</f>
        <v/>
      </c>
      <c r="DU164" s="208" t="str">
        <f t="shared" si="23"/>
        <v/>
      </c>
      <c r="DV164" s="210">
        <f>IFERROR(__xludf.DUMMYFUNCTION("AVERAGE(ARRAYFORMULA(XLOOKUP(FILTER(INDIRECT(""'""&amp;DV$1&amp;""'!$C$4:$C$66""),INDIRECT(""'""&amp;DV$1&amp;""'!$D$4:$D$66"")=DV$2),$G$4:$BQ$4,$G164:$BQ164)))"),0.5916962725000001)</f>
        <v>0.5916962725</v>
      </c>
      <c r="DW164" s="207" t="str">
        <f>IFERROR(__xludf.DUMMYFUNCTION("IF(OR(DV164&gt;$BS164+$BT164*$BT$2,DV164&lt;$BS164-$BT164*$BT$2),AVEDEV(ARRAYFORMULA(XLOOKUP(FILTER(INDIRECT(""'""&amp;DV$1&amp;""'!$C$4:$C$66""),INDIRECT(""'""&amp;DV$1&amp;""'!$D$4:$D$66"")=DV$2),$G$4:$BQ$4,$G164:$BQ164))),"""")"),"")</f>
        <v/>
      </c>
      <c r="DX164" s="208" t="str">
        <f t="shared" si="24"/>
        <v/>
      </c>
      <c r="DY164" s="210">
        <f>IFERROR(__xludf.DUMMYFUNCTION("AVERAGE(ARRAYFORMULA(XLOOKUP(FILTER(INDIRECT(""'""&amp;DY$1&amp;""'!$C$4:$C$66""),INDIRECT(""'""&amp;DY$1&amp;""'!$D$4:$D$66"")=DY$2),$G$4:$BQ$4,$G164:$BQ164)))"),-0.08157357333333337)</f>
        <v>-0.08157357333</v>
      </c>
      <c r="DZ164" s="207" t="str">
        <f>IFERROR(__xludf.DUMMYFUNCTION("IF(OR(DY164&gt;$BS164+$BT164*$BT$2,DY164&lt;$BS164-$BT164*$BT$2),AVEDEV(ARRAYFORMULA(XLOOKUP(FILTER(INDIRECT(""'""&amp;DY$1&amp;""'!$C$4:$C$66""),INDIRECT(""'""&amp;DY$1&amp;""'!$D$4:$D$66"")=DY$2),$G$4:$BQ$4,$G164:$BQ164))),"""")"),"")</f>
        <v/>
      </c>
      <c r="EA164" s="208" t="str">
        <f t="shared" si="25"/>
        <v/>
      </c>
      <c r="EB164" s="191"/>
    </row>
    <row r="165" outlineLevel="1">
      <c r="A165" s="2"/>
      <c r="B165" s="204">
        <v>161.0</v>
      </c>
      <c r="C165" s="204" t="s">
        <v>601</v>
      </c>
      <c r="D165" s="204" t="s">
        <v>608</v>
      </c>
      <c r="E165" s="205" t="b">
        <f>VLOOKUP(D165,'Feature Set List'!A161:C246,2,0)</f>
        <v>1</v>
      </c>
      <c r="F165" s="205" t="b">
        <f>VLOOKUP(D165,'Feature Set List'!A161:C246,3,0)</f>
        <v>1</v>
      </c>
      <c r="G165" s="205">
        <v>-0.2918057</v>
      </c>
      <c r="H165" s="205">
        <v>0.64242493</v>
      </c>
      <c r="I165" s="205">
        <v>0.43544647</v>
      </c>
      <c r="J165" s="205">
        <v>0.23864729</v>
      </c>
      <c r="K165" s="205">
        <v>2.04150879</v>
      </c>
      <c r="L165" s="205">
        <v>-0.4401968</v>
      </c>
      <c r="M165" s="205">
        <v>-0.9780015</v>
      </c>
      <c r="N165" s="205">
        <v>0.81999661</v>
      </c>
      <c r="O165" s="205">
        <v>-0.1775717</v>
      </c>
      <c r="P165" s="205">
        <v>-0.8192049</v>
      </c>
      <c r="Q165" s="205">
        <v>1.93971611</v>
      </c>
      <c r="R165" s="205">
        <v>-0.1673924</v>
      </c>
      <c r="S165" s="205">
        <v>0.27144715</v>
      </c>
      <c r="T165" s="205">
        <v>-0.3540123</v>
      </c>
      <c r="U165" s="205">
        <v>-0.3189504</v>
      </c>
      <c r="V165" s="205">
        <v>1.36289091</v>
      </c>
      <c r="W165" s="205">
        <v>-0.8790364</v>
      </c>
      <c r="X165" s="205">
        <v>-0.3598937</v>
      </c>
      <c r="Y165" s="205">
        <v>-0.760052</v>
      </c>
      <c r="Z165" s="205">
        <v>0.23638523</v>
      </c>
      <c r="AA165" s="205">
        <v>-0.1187581</v>
      </c>
      <c r="AB165" s="205">
        <v>-0.5949217</v>
      </c>
      <c r="AC165" s="205">
        <v>-0.6860827</v>
      </c>
      <c r="AD165" s="205">
        <v>1.15478143</v>
      </c>
      <c r="AE165" s="205">
        <v>0.98852005</v>
      </c>
      <c r="AF165" s="205">
        <v>-0.4289996</v>
      </c>
      <c r="AG165" s="205">
        <v>1.17400894</v>
      </c>
      <c r="AH165" s="205">
        <v>-0.4489057</v>
      </c>
      <c r="AI165" s="205">
        <v>-0.5249109</v>
      </c>
      <c r="AJ165" s="205">
        <v>-0.7310977</v>
      </c>
      <c r="AK165" s="205">
        <v>1.90465419</v>
      </c>
      <c r="AL165" s="205">
        <v>0.50783238</v>
      </c>
      <c r="AM165" s="205">
        <v>-0.1300684</v>
      </c>
      <c r="AN165" s="205">
        <v>-0.3584233</v>
      </c>
      <c r="AO165" s="205">
        <v>2.28128711</v>
      </c>
      <c r="AP165" s="205">
        <v>0.96363739</v>
      </c>
      <c r="AQ165" s="205">
        <v>0.46032913</v>
      </c>
      <c r="AR165" s="205">
        <v>3.0436012</v>
      </c>
      <c r="AS165" s="205">
        <v>-0.301985</v>
      </c>
      <c r="AT165" s="205">
        <v>0.25674377</v>
      </c>
      <c r="AU165" s="205">
        <v>3.34558616</v>
      </c>
      <c r="AV165" s="205">
        <v>-0.1368546</v>
      </c>
      <c r="AW165" s="205">
        <v>0.5881355</v>
      </c>
      <c r="AX165" s="205">
        <v>2.23717695</v>
      </c>
      <c r="AY165" s="205">
        <v>0.0644687</v>
      </c>
      <c r="AZ165" s="205">
        <v>0.0</v>
      </c>
      <c r="BA165" s="205">
        <v>-0.6933213</v>
      </c>
      <c r="BB165" s="205">
        <v>0.63337669</v>
      </c>
      <c r="BC165" s="205">
        <v>0.31329526</v>
      </c>
      <c r="BD165" s="205">
        <v>0.06220664</v>
      </c>
      <c r="BE165" s="205">
        <v>-0.0678618</v>
      </c>
      <c r="BF165" s="205">
        <v>0.08482724</v>
      </c>
      <c r="BG165" s="205">
        <v>-0.4889442</v>
      </c>
      <c r="BH165" s="205">
        <v>1.22038116</v>
      </c>
      <c r="BI165" s="205">
        <v>1.09936097</v>
      </c>
      <c r="BJ165" s="205">
        <v>-0.0067862</v>
      </c>
      <c r="BK165" s="205">
        <v>0.10857886</v>
      </c>
      <c r="BL165" s="205">
        <v>-0.3087711</v>
      </c>
      <c r="BM165" s="205">
        <v>-0.2499576</v>
      </c>
      <c r="BN165" s="205">
        <v>0.59379065</v>
      </c>
      <c r="BO165" s="205">
        <v>-0.5709438</v>
      </c>
      <c r="BP165" s="205">
        <v>-0.3643047</v>
      </c>
      <c r="BQ165" s="205">
        <v>-1.0115931</v>
      </c>
      <c r="BR165" s="206"/>
      <c r="BS165" s="207">
        <f t="shared" si="6"/>
        <v>0.2746894375</v>
      </c>
      <c r="BT165" s="207">
        <f t="shared" si="7"/>
        <v>0.7439327593</v>
      </c>
      <c r="BU165" s="206"/>
      <c r="BV165" s="207">
        <f>IFERROR(__xludf.DUMMYFUNCTION("AVERAGE(ARRAYFORMULA(XLOOKUP(FILTER(INDIRECT(""'""&amp;BV$1&amp;""'!$C$4:$C$66""),INDIRECT(""'""&amp;BV$1&amp;""'!$D$4:$D$66"")=BV$2),$G$4:$BQ$4,$G165:$BQ165)))"),0.27480792857142855)</f>
        <v>0.2748079286</v>
      </c>
      <c r="BW165" s="207" t="str">
        <f>IFERROR(__xludf.DUMMYFUNCTION("IF(OR(BV165&gt;$BS165+$BT165*$BT$2,BV165&lt;$BS165-$BT165*$BT$2),AVEDEV(ARRAYFORMULA(XLOOKUP(FILTER(INDIRECT(""'""&amp;BV$1&amp;""'!$C$4:$C$66""),INDIRECT(""'""&amp;BV$1&amp;""'!$D$4:$D$66"")=BV$2),$G$4:$BQ$4,$G165:$BQ165))),"""")"),"")</f>
        <v/>
      </c>
      <c r="BX165" s="208" t="str">
        <f t="shared" si="8"/>
        <v/>
      </c>
      <c r="BY165" s="207">
        <f>IFERROR(__xludf.DUMMYFUNCTION("AVERAGE(ARRAYFORMULA(XLOOKUP(FILTER(INDIRECT(""'""&amp;BY$1&amp;""'!$C$4:$C$66""),INDIRECT(""'""&amp;BY$1&amp;""'!$D$4:$D$66"")=BY$2),$G$4:$BQ$4,$G165:$BQ165)))"),0.4150744735714287)</f>
        <v>0.4150744736</v>
      </c>
      <c r="BZ165" s="207" t="str">
        <f>IFERROR(__xludf.DUMMYFUNCTION("IF(OR(BY165&gt;$BS165+$BT165*$BT$2,BY165&lt;$BS165-$BT165*$BT$2),AVEDEV(ARRAYFORMULA(XLOOKUP(FILTER(INDIRECT(""'""&amp;BY$1&amp;""'!$C$4:$C$66""),INDIRECT(""'""&amp;BY$1&amp;""'!$D$4:$D$66"")=BY$2),$G$4:$BQ$4,$G165:$BQ165))),"""")"),"")</f>
        <v/>
      </c>
      <c r="CA165" s="208" t="str">
        <f t="shared" si="9"/>
        <v/>
      </c>
      <c r="CB165" s="207">
        <f>IFERROR(__xludf.DUMMYFUNCTION("AVERAGE(ARRAYFORMULA(XLOOKUP(FILTER(INDIRECT(""'""&amp;CB$1&amp;""'!$C$4:$C$66""),INDIRECT(""'""&amp;CB$1&amp;""'!$D$4:$D$66"")=CB$2),$G$4:$BQ$4,$G165:$BQ165)))"),-0.5358716454545455)</f>
        <v>-0.5358716455</v>
      </c>
      <c r="CC165" s="207">
        <f>IFERROR(__xludf.DUMMYFUNCTION("IF(OR(CB165&gt;$BS165+$BT165*$BT$2,CB165&lt;$BS165-$BT165*$BT$2),AVEDEV(ARRAYFORMULA(XLOOKUP(FILTER(INDIRECT(""'""&amp;CB$1&amp;""'!$C$4:$C$66""),INDIRECT(""'""&amp;CB$1&amp;""'!$D$4:$D$66"")=CB$2),$G$4:$BQ$4,$G165:$BQ165))),"""")"),0.26368324958677686)</f>
        <v>0.2636832496</v>
      </c>
      <c r="CD165" s="208">
        <f t="shared" si="10"/>
        <v>-0.0666283236</v>
      </c>
      <c r="CE165" s="209" t="s">
        <v>444</v>
      </c>
      <c r="CF165" s="207">
        <f>IFERROR(__xludf.DUMMYFUNCTION("AVERAGE(ARRAYFORMULA(XLOOKUP(FILTER(INDIRECT(""'""&amp;CF$1&amp;""'!$C$4:$C$66""),INDIRECT(""'""&amp;CF$1&amp;""'!$D$4:$D$66"")=CF$2),$G$4:$BQ$4,$G165:$BQ165)))"),0.707240008125)</f>
        <v>0.7072400081</v>
      </c>
      <c r="CG165" s="207" t="str">
        <f>IFERROR(__xludf.DUMMYFUNCTION("IF(OR(CF165&gt;$BS165+$BT165*$BT$2,CF165&lt;$BS165-$BT165*$BT$2),AVEDEV(ARRAYFORMULA(XLOOKUP(FILTER(INDIRECT(""'""&amp;CF$1&amp;""'!$C$4:$C$66""),INDIRECT(""'""&amp;CF$1&amp;""'!$D$4:$D$66"")=CF$2),$G$4:$BQ$4,$G165:$BQ165))),"""")"),"")</f>
        <v/>
      </c>
      <c r="CH165" s="208" t="str">
        <f t="shared" si="11"/>
        <v/>
      </c>
      <c r="CI165" s="207">
        <f>IFERROR(__xludf.DUMMYFUNCTION("AVERAGE(ARRAYFORMULA(XLOOKUP(FILTER(INDIRECT(""'""&amp;CI$1&amp;""'!$C$4:$C$66""),INDIRECT(""'""&amp;CI$1&amp;""'!$D$4:$D$66"")=CI$2),$G$4:$BQ$4,$G165:$BQ165)))"),-0.03151195161290323)</f>
        <v>-0.03151195161</v>
      </c>
      <c r="CJ165" s="207" t="str">
        <f>IFERROR(__xludf.DUMMYFUNCTION("IF(OR(CI165&gt;$BS165+$BT165*$BT$2,CI165&lt;$BS165-$BT165*$BT$2),AVEDEV(ARRAYFORMULA(XLOOKUP(FILTER(INDIRECT(""'""&amp;CI$1&amp;""'!$C$4:$C$66""),INDIRECT(""'""&amp;CI$1&amp;""'!$D$4:$D$66"")=CI$2),$G$4:$BQ$4,$G165:$BQ165))),"""")"),"")</f>
        <v/>
      </c>
      <c r="CK165" s="208" t="str">
        <f t="shared" si="12"/>
        <v/>
      </c>
      <c r="CL165" s="207">
        <f>IFERROR(__xludf.DUMMYFUNCTION("AVERAGE(ARRAYFORMULA(XLOOKUP(FILTER(INDIRECT(""'""&amp;CL$1&amp;""'!$C$4:$C$66""),INDIRECT(""'""&amp;CL$1&amp;""'!$D$4:$D$66"")=CL$2),$G$4:$BQ$4,$G165:$BQ165)))"),-0.53149354)</f>
        <v>-0.53149354</v>
      </c>
      <c r="CM165" s="207">
        <f>IFERROR(__xludf.DUMMYFUNCTION("IF(OR(CL165&gt;$BS165+$BT165*$BT$2,CL165&lt;$BS165-$BT165*$BT$2),AVEDEV(ARRAYFORMULA(XLOOKUP(FILTER(INDIRECT(""'""&amp;CL$1&amp;""'!$C$4:$C$66""),INDIRECT(""'""&amp;CL$1&amp;""'!$D$4:$D$66"")=CL$2),$G$4:$BQ$4,$G165:$BQ165))),"""")"),0.17981564800000002)</f>
        <v>0.179815648</v>
      </c>
      <c r="CN165" s="208">
        <f t="shared" si="13"/>
        <v>-0.06225021815</v>
      </c>
      <c r="CO165" s="209" t="s">
        <v>444</v>
      </c>
      <c r="CP165" s="210">
        <f>IFERROR(__xludf.DUMMYFUNCTION("AVERAGE(ARRAYFORMULA(XLOOKUP(FILTER(INDIRECT(""'""&amp;CP$1&amp;""'!$C$4:$C$66""),INDIRECT(""'""&amp;CP$1&amp;""'!$D$4:$D$66"")=CP$2),$G$4:$BQ$4,$G165:$BQ165)))"),-0.11796640533333334)</f>
        <v>-0.1179664053</v>
      </c>
      <c r="CQ165" s="207" t="str">
        <f>IFERROR(__xludf.DUMMYFUNCTION("IF(OR(CP165&gt;$BS165+$BT165*$BT$2,CP165&lt;$BS165-$BT165*$BT$2),AVEDEV(ARRAYFORMULA(XLOOKUP(FILTER(INDIRECT(""'""&amp;CP$1&amp;""'!$C$4:$C$66""),INDIRECT(""'""&amp;CP$1&amp;""'!$D$4:$D$66"")=CP$2),$G$4:$BQ$4,$G165:$BQ165))),"""")"),"")</f>
        <v/>
      </c>
      <c r="CR165" s="208" t="str">
        <f t="shared" si="14"/>
        <v/>
      </c>
      <c r="CS165" s="210">
        <f>IFERROR(__xludf.DUMMYFUNCTION("AVERAGE(ARRAYFORMULA(XLOOKUP(FILTER(INDIRECT(""'""&amp;CS$1&amp;""'!$C$4:$C$66""),INDIRECT(""'""&amp;CS$1&amp;""'!$D$4:$D$66"")=CS$2),$G$4:$BQ$4,$G165:$BQ165)))"),0.4666135941025642)</f>
        <v>0.4666135941</v>
      </c>
      <c r="CT165" s="207" t="str">
        <f>IFERROR(__xludf.DUMMYFUNCTION("IF(OR(CS165&gt;$BS165+$BT165*$BT$2,CS165&lt;$BS165-$BT165*$BT$2),AVEDEV(ARRAYFORMULA(XLOOKUP(FILTER(INDIRECT(""'""&amp;CS$1&amp;""'!$C$4:$C$66""),INDIRECT(""'""&amp;CS$1&amp;""'!$D$4:$D$66"")=CS$2),$G$4:$BQ$4,$G165:$BQ165))),"""")"),"")</f>
        <v/>
      </c>
      <c r="CU165" s="208" t="str">
        <f t="shared" si="15"/>
        <v/>
      </c>
      <c r="CV165" s="210">
        <f>IFERROR(__xludf.DUMMYFUNCTION("AVERAGE(ARRAYFORMULA(XLOOKUP(FILTER(INDIRECT(""'""&amp;CV$1&amp;""'!$C$4:$C$66""),INDIRECT(""'""&amp;CV$1&amp;""'!$D$4:$D$66"")=CV$2),$G$4:$BQ$4,$G165:$BQ165)))"),-0.53149354)</f>
        <v>-0.53149354</v>
      </c>
      <c r="CW165" s="207">
        <f>IFERROR(__xludf.DUMMYFUNCTION("IF(OR(CV165&gt;$BS165+$BT165*$BT$2,CV165&lt;$BS165-$BT165*$BT$2),AVEDEV(ARRAYFORMULA(XLOOKUP(FILTER(INDIRECT(""'""&amp;CV$1&amp;""'!$C$4:$C$66""),INDIRECT(""'""&amp;CV$1&amp;""'!$D$4:$D$66"")=CV$2),$G$4:$BQ$4,$G165:$BQ165))),"""")"),0.17981564800000002)</f>
        <v>0.179815648</v>
      </c>
      <c r="CX165" s="208">
        <f t="shared" si="16"/>
        <v>-0.06225021815</v>
      </c>
      <c r="CY165" s="209" t="s">
        <v>444</v>
      </c>
      <c r="CZ165" s="210">
        <f>IFERROR(__xludf.DUMMYFUNCTION("AVERAGE(ARRAYFORMULA(XLOOKUP(FILTER(INDIRECT(""'""&amp;CZ$1&amp;""'!$C$4:$C$66""),INDIRECT(""'""&amp;CZ$1&amp;""'!$D$4:$D$66"")=CZ$2),$G$4:$BQ$4,$G165:$BQ165)))"),0.6656837514285714)</f>
        <v>0.6656837514</v>
      </c>
      <c r="DA165" s="207" t="str">
        <f>IFERROR(__xludf.DUMMYFUNCTION("IF(OR(CZ165&gt;$BS165+$BT165*$BT$2,CZ165&lt;$BS165-$BT165*$BT$2),AVEDEV(ARRAYFORMULA(XLOOKUP(FILTER(INDIRECT(""'""&amp;CZ$1&amp;""'!$C$4:$C$66""),INDIRECT(""'""&amp;CZ$1&amp;""'!$D$4:$D$66"")=CZ$2),$G$4:$BQ$4,$G165:$BQ165))),"""")"),"")</f>
        <v/>
      </c>
      <c r="DB165" s="208" t="str">
        <f t="shared" si="17"/>
        <v/>
      </c>
      <c r="DC165" s="210">
        <f>IFERROR(__xludf.DUMMYFUNCTION("AVERAGE(ARRAYFORMULA(XLOOKUP(FILTER(INDIRECT(""'""&amp;DC$1&amp;""'!$C$4:$C$66""),INDIRECT(""'""&amp;DC$1&amp;""'!$D$4:$D$66"")=DC$2),$G$4:$BQ$4,$G165:$BQ165)))"),-0.6271811666666667)</f>
        <v>-0.6271811667</v>
      </c>
      <c r="DD165" s="207">
        <f>IFERROR(__xludf.DUMMYFUNCTION("IF(OR(DC165&gt;$BS165+$BT165*$BT$2,DC165&lt;$BS165-$BT165*$BT$2),AVEDEV(ARRAYFORMULA(XLOOKUP(FILTER(INDIRECT(""'""&amp;DC$1&amp;""'!$C$4:$C$66""),INDIRECT(""'""&amp;DC$1&amp;""'!$D$4:$D$66"")=DC$2),$G$4:$BQ$4,$G165:$BQ165))),"""")"),0.2208245037037037)</f>
        <v>0.2208245037</v>
      </c>
      <c r="DE165" s="208">
        <f t="shared" si="18"/>
        <v>-0.1579378448</v>
      </c>
      <c r="DF165" s="210">
        <f>IFERROR(__xludf.DUMMYFUNCTION("AVERAGE(ARRAYFORMULA(XLOOKUP(FILTER(INDIRECT(""'""&amp;DF$1&amp;""'!$C$4:$C$66""),INDIRECT(""'""&amp;DF$1&amp;""'!$D$4:$D$66"")=DF$2),$G$4:$BQ$4,$G165:$BQ165)))"),-0.24066257090909088)</f>
        <v>-0.2406625709</v>
      </c>
      <c r="DG165" s="207" t="str">
        <f>IFERROR(__xludf.DUMMYFUNCTION("IF(OR(DF165&gt;$BS165+$BT165*$BT$2,DF165&lt;$BS165-$BT165*$BT$2),AVEDEV(ARRAYFORMULA(XLOOKUP(FILTER(INDIRECT(""'""&amp;DF$1&amp;""'!$C$4:$C$66""),INDIRECT(""'""&amp;DF$1&amp;""'!$D$4:$D$66"")=DF$2),$G$4:$BQ$4,$G165:$BQ165))),"""")"),"")</f>
        <v/>
      </c>
      <c r="DH165" s="208" t="str">
        <f t="shared" si="19"/>
        <v/>
      </c>
      <c r="DI165" s="210">
        <f>IFERROR(__xludf.DUMMYFUNCTION("AVERAGE(ARRAYFORMULA(XLOOKUP(FILTER(INDIRECT(""'""&amp;DI$1&amp;""'!$C$4:$C$66""),INDIRECT(""'""&amp;DI$1&amp;""'!$D$4:$D$66"")=DI$2),$G$4:$BQ$4,$G165:$BQ165)))"),1.1875812950000002)</f>
        <v>1.187581295</v>
      </c>
      <c r="DJ165" s="207">
        <f>IFERROR(__xludf.DUMMYFUNCTION("IF(OR(DI165&gt;$BS165+$BT165*$BT$2,DI165&lt;$BS165-$BT165*$BT$2),AVEDEV(ARRAYFORMULA(XLOOKUP(FILTER(INDIRECT(""'""&amp;DI$1&amp;""'!$C$4:$C$66""),INDIRECT(""'""&amp;DI$1&amp;""'!$D$4:$D$66"")=DI$2),$G$4:$BQ$4,$G165:$BQ165))),"""")"),0.032799864999999984)</f>
        <v>0.032799865</v>
      </c>
      <c r="DK165" s="208">
        <f t="shared" si="20"/>
        <v>0.1689590982</v>
      </c>
      <c r="DL165" s="210">
        <f>IFERROR(__xludf.DUMMYFUNCTION("AVERAGE(ARRAYFORMULA(XLOOKUP(FILTER(INDIRECT(""'""&amp;DL$1&amp;""'!$C$4:$C$66""),INDIRECT(""'""&amp;DL$1&amp;""'!$D$4:$D$66"")=DL$2),$G$4:$BQ$4,$G165:$BQ165)))"),0.47472551928571427)</f>
        <v>0.4747255193</v>
      </c>
      <c r="DM165" s="207" t="str">
        <f>IFERROR(__xludf.DUMMYFUNCTION("IF(OR(DL165&gt;$BS165+$BT165*$BT$2,DL165&lt;$BS165-$BT165*$BT$2),AVEDEV(ARRAYFORMULA(XLOOKUP(FILTER(INDIRECT(""'""&amp;DL$1&amp;""'!$C$4:$C$66""),INDIRECT(""'""&amp;DL$1&amp;""'!$D$4:$D$66"")=DL$2),$G$4:$BQ$4,$G165:$BQ165))),"""")"),"")</f>
        <v/>
      </c>
      <c r="DN165" s="208" t="str">
        <f t="shared" si="21"/>
        <v/>
      </c>
      <c r="DO165" s="209" t="s">
        <v>444</v>
      </c>
      <c r="DP165" s="210">
        <f>IFERROR(__xludf.DUMMYFUNCTION("AVERAGE(ARRAYFORMULA(XLOOKUP(FILTER(INDIRECT(""'""&amp;DP$1&amp;""'!$C$4:$C$66""),INDIRECT(""'""&amp;DP$1&amp;""'!$D$4:$D$66"")=DP$2),$G$4:$BQ$4,$G165:$BQ165)))"),0.4487059129999999)</f>
        <v>0.448705913</v>
      </c>
      <c r="DQ165" s="207" t="str">
        <f>IFERROR(__xludf.DUMMYFUNCTION("IF(OR(DP165&gt;$BS165+$BT165*$BT$2,DP165&lt;$BS165-$BT165*$BT$2),AVEDEV(ARRAYFORMULA(XLOOKUP(FILTER(INDIRECT(""'""&amp;DP$1&amp;""'!$C$4:$C$66""),INDIRECT(""'""&amp;DP$1&amp;""'!$D$4:$D$66"")=DP$2),$G$4:$BQ$4,$G165:$BQ165))),"""")"),"")</f>
        <v/>
      </c>
      <c r="DR165" s="208" t="str">
        <f t="shared" si="22"/>
        <v/>
      </c>
      <c r="DS165" s="210">
        <f>IFERROR(__xludf.DUMMYFUNCTION("AVERAGE(ARRAYFORMULA(XLOOKUP(FILTER(INDIRECT(""'""&amp;DS$1&amp;""'!$C$4:$C$66""),INDIRECT(""'""&amp;DS$1&amp;""'!$D$4:$D$66"")=DS$2),$G$4:$BQ$4,$G165:$BQ165)))"),-0.5380434555555555)</f>
        <v>-0.5380434556</v>
      </c>
      <c r="DT165" s="207">
        <f>IFERROR(__xludf.DUMMYFUNCTION("IF(OR(DS165&gt;$BS165+$BT165*$BT$2,DS165&lt;$BS165-$BT165*$BT$2),AVEDEV(ARRAYFORMULA(XLOOKUP(FILTER(INDIRECT(""'""&amp;DS$1&amp;""'!$C$4:$C$66""),INDIRECT(""'""&amp;DS$1&amp;""'!$D$4:$D$66"")=DS$2),$G$4:$BQ$4,$G165:$BQ165))),"""")"),0.2705311728395062)</f>
        <v>0.2705311728</v>
      </c>
      <c r="DU165" s="208">
        <f t="shared" si="23"/>
        <v>-0.0688001337</v>
      </c>
      <c r="DV165" s="210">
        <f>IFERROR(__xludf.DUMMYFUNCTION("AVERAGE(ARRAYFORMULA(XLOOKUP(FILTER(INDIRECT(""'""&amp;DV$1&amp;""'!$C$4:$C$66""),INDIRECT(""'""&amp;DV$1&amp;""'!$D$4:$D$66"")=DV$2),$G$4:$BQ$4,$G165:$BQ165)))"),-0.14723180624999999)</f>
        <v>-0.1472318063</v>
      </c>
      <c r="DW165" s="207" t="str">
        <f>IFERROR(__xludf.DUMMYFUNCTION("IF(OR(DV165&gt;$BS165+$BT165*$BT$2,DV165&lt;$BS165-$BT165*$BT$2),AVEDEV(ARRAYFORMULA(XLOOKUP(FILTER(INDIRECT(""'""&amp;DV$1&amp;""'!$C$4:$C$66""),INDIRECT(""'""&amp;DV$1&amp;""'!$D$4:$D$66"")=DV$2),$G$4:$BQ$4,$G165:$BQ165))),"""")"),"")</f>
        <v/>
      </c>
      <c r="DX165" s="208" t="str">
        <f t="shared" si="24"/>
        <v/>
      </c>
      <c r="DY165" s="210">
        <f>IFERROR(__xludf.DUMMYFUNCTION("AVERAGE(ARRAYFORMULA(XLOOKUP(FILTER(INDIRECT(""'""&amp;DY$1&amp;""'!$C$4:$C$66""),INDIRECT(""'""&amp;DY$1&amp;""'!$D$4:$D$66"")=DY$2),$G$4:$BQ$4,$G165:$BQ165)))"),0.15167110444444448)</f>
        <v>0.1516711044</v>
      </c>
      <c r="DZ165" s="207" t="str">
        <f>IFERROR(__xludf.DUMMYFUNCTION("IF(OR(DY165&gt;$BS165+$BT165*$BT$2,DY165&lt;$BS165-$BT165*$BT$2),AVEDEV(ARRAYFORMULA(XLOOKUP(FILTER(INDIRECT(""'""&amp;DY$1&amp;""'!$C$4:$C$66""),INDIRECT(""'""&amp;DY$1&amp;""'!$D$4:$D$66"")=DY$2),$G$4:$BQ$4,$G165:$BQ165))),"""")"),"")</f>
        <v/>
      </c>
      <c r="EA165" s="208" t="str">
        <f t="shared" si="25"/>
        <v/>
      </c>
      <c r="EB165" s="191"/>
    </row>
    <row r="166" outlineLevel="1">
      <c r="A166" s="2"/>
      <c r="B166" s="204">
        <v>162.0</v>
      </c>
      <c r="C166" s="204" t="s">
        <v>601</v>
      </c>
      <c r="D166" s="204" t="s">
        <v>609</v>
      </c>
      <c r="E166" s="205" t="b">
        <f>VLOOKUP(D166,'Feature Set List'!A162:C246,2,0)</f>
        <v>1</v>
      </c>
      <c r="F166" s="205" t="b">
        <f>VLOOKUP(D166,'Feature Set List'!A162:C246,3,0)</f>
        <v>1</v>
      </c>
      <c r="G166" s="205">
        <v>0.84570365</v>
      </c>
      <c r="H166" s="205">
        <v>0.45967211</v>
      </c>
      <c r="I166" s="205">
        <v>4.16573001</v>
      </c>
      <c r="J166" s="205">
        <v>0.45502112</v>
      </c>
      <c r="K166" s="205">
        <v>0.75190884</v>
      </c>
      <c r="L166" s="205">
        <v>-0.6040851</v>
      </c>
      <c r="M166" s="205">
        <v>-0.7736909</v>
      </c>
      <c r="N166" s="205">
        <v>2.69446921</v>
      </c>
      <c r="O166" s="205">
        <v>0.19844192</v>
      </c>
      <c r="P166" s="205">
        <v>-0.9062439</v>
      </c>
      <c r="Q166" s="205">
        <v>0.44184334</v>
      </c>
      <c r="R166" s="205">
        <v>-0.9010503</v>
      </c>
      <c r="S166" s="205">
        <v>-0.4681989</v>
      </c>
      <c r="T166" s="205">
        <v>-0.4699818</v>
      </c>
      <c r="U166" s="205">
        <v>-0.1782877</v>
      </c>
      <c r="V166" s="205">
        <v>0.1496066</v>
      </c>
      <c r="W166" s="205">
        <v>-0.8578737</v>
      </c>
      <c r="X166" s="205">
        <v>-0.5433898</v>
      </c>
      <c r="Y166" s="205">
        <v>3.12778574</v>
      </c>
      <c r="Z166" s="205">
        <v>-0.7819077</v>
      </c>
      <c r="AA166" s="205">
        <v>-0.3682028</v>
      </c>
      <c r="AB166" s="205">
        <v>4.61765048</v>
      </c>
      <c r="AC166" s="205">
        <v>0.49455447</v>
      </c>
      <c r="AD166" s="205">
        <v>0.6286578</v>
      </c>
      <c r="AE166" s="205">
        <v>-0.2759583</v>
      </c>
      <c r="AF166" s="205">
        <v>13.2746793</v>
      </c>
      <c r="AG166" s="205">
        <v>0.39300802</v>
      </c>
      <c r="AH166" s="205">
        <v>-0.5102128</v>
      </c>
      <c r="AI166" s="205">
        <v>-0.2550289</v>
      </c>
      <c r="AJ166" s="205">
        <v>1.48986473</v>
      </c>
      <c r="AK166" s="205">
        <v>0.45734661</v>
      </c>
      <c r="AL166" s="205">
        <v>2.13712647</v>
      </c>
      <c r="AM166" s="205">
        <v>5.29436844</v>
      </c>
      <c r="AN166" s="205">
        <v>-0.5266463</v>
      </c>
      <c r="AO166" s="205">
        <v>-0.5365684</v>
      </c>
      <c r="AP166" s="205">
        <v>0.11317391</v>
      </c>
      <c r="AQ166" s="205">
        <v>-0.7195845</v>
      </c>
      <c r="AR166" s="205">
        <v>-0.0434092</v>
      </c>
      <c r="AS166" s="205">
        <v>-0.2038681</v>
      </c>
      <c r="AT166" s="205">
        <v>1.22243324</v>
      </c>
      <c r="AU166" s="205">
        <v>-0.866323</v>
      </c>
      <c r="AV166" s="205">
        <v>0.18758963</v>
      </c>
      <c r="AW166" s="205">
        <v>3.01461184</v>
      </c>
      <c r="AX166" s="205">
        <v>-0.2767335</v>
      </c>
      <c r="AY166" s="205">
        <v>-0.2999884</v>
      </c>
      <c r="AZ166" s="205">
        <v>-0.736018</v>
      </c>
      <c r="BA166" s="205">
        <v>-0.7207473</v>
      </c>
      <c r="BB166" s="205">
        <v>-0.6026123</v>
      </c>
      <c r="BC166" s="205">
        <v>-0.5401341</v>
      </c>
      <c r="BD166" s="205">
        <v>-0.5206775</v>
      </c>
      <c r="BE166" s="205">
        <v>-0.033332</v>
      </c>
      <c r="BF166" s="205">
        <v>0.13332817</v>
      </c>
      <c r="BG166" s="205">
        <v>0.0</v>
      </c>
      <c r="BH166" s="205">
        <v>1.74411845</v>
      </c>
      <c r="BI166" s="205">
        <v>0.29766288</v>
      </c>
      <c r="BJ166" s="205">
        <v>0.22014651</v>
      </c>
      <c r="BK166" s="205">
        <v>-0.3278943</v>
      </c>
      <c r="BL166" s="205">
        <v>-0.7633813</v>
      </c>
      <c r="BM166" s="205">
        <v>-0.3674276</v>
      </c>
      <c r="BN166" s="205">
        <v>0.17286152</v>
      </c>
      <c r="BO166" s="205">
        <v>0.49300415</v>
      </c>
      <c r="BP166" s="205">
        <v>0.11704973</v>
      </c>
      <c r="BQ166" s="205">
        <v>0.28370993</v>
      </c>
      <c r="BR166" s="206"/>
      <c r="BS166" s="207">
        <f t="shared" si="6"/>
        <v>0.5412328638</v>
      </c>
      <c r="BT166" s="207">
        <f t="shared" si="7"/>
        <v>1.188312638</v>
      </c>
      <c r="BU166" s="206"/>
      <c r="BV166" s="207">
        <f>IFERROR(__xludf.DUMMYFUNCTION("AVERAGE(ARRAYFORMULA(XLOOKUP(FILTER(INDIRECT(""'""&amp;BV$1&amp;""'!$C$4:$C$66""),INDIRECT(""'""&amp;BV$1&amp;""'!$D$4:$D$66"")=BV$2),$G$4:$BQ$4,$G166:$BQ166)))"),-0.4225085571428572)</f>
        <v>-0.4225085571</v>
      </c>
      <c r="BW166" s="207" t="str">
        <f>IFERROR(__xludf.DUMMYFUNCTION("IF(OR(BV166&gt;$BS166+$BT166*$BT$2,BV166&lt;$BS166-$BT166*$BT$2),AVEDEV(ARRAYFORMULA(XLOOKUP(FILTER(INDIRECT(""'""&amp;BV$1&amp;""'!$C$4:$C$66""),INDIRECT(""'""&amp;BV$1&amp;""'!$D$4:$D$66"")=BV$2),$G$4:$BQ$4,$G166:$BQ166))),"""")"),"")</f>
        <v/>
      </c>
      <c r="BX166" s="208" t="str">
        <f t="shared" si="8"/>
        <v/>
      </c>
      <c r="BY166" s="207">
        <f>IFERROR(__xludf.DUMMYFUNCTION("AVERAGE(ARRAYFORMULA(XLOOKUP(FILTER(INDIRECT(""'""&amp;BY$1&amp;""'!$C$4:$C$66""),INDIRECT(""'""&amp;BY$1&amp;""'!$D$4:$D$66"")=BY$2),$G$4:$BQ$4,$G166:$BQ166)))"),0.5348666766666668)</f>
        <v>0.5348666767</v>
      </c>
      <c r="BZ166" s="207" t="str">
        <f>IFERROR(__xludf.DUMMYFUNCTION("IF(OR(BY166&gt;$BS166+$BT166*$BT$2,BY166&lt;$BS166-$BT166*$BT$2),AVEDEV(ARRAYFORMULA(XLOOKUP(FILTER(INDIRECT(""'""&amp;BY$1&amp;""'!$C$4:$C$66""),INDIRECT(""'""&amp;BY$1&amp;""'!$D$4:$D$66"")=BY$2),$G$4:$BQ$4,$G166:$BQ166))),"""")"),"")</f>
        <v/>
      </c>
      <c r="CA166" s="208" t="str">
        <f t="shared" si="9"/>
        <v/>
      </c>
      <c r="CB166" s="207">
        <f>IFERROR(__xludf.DUMMYFUNCTION("AVERAGE(ARRAYFORMULA(XLOOKUP(FILTER(INDIRECT(""'""&amp;CB$1&amp;""'!$C$4:$C$66""),INDIRECT(""'""&amp;CB$1&amp;""'!$D$4:$D$66"")=CB$2),$G$4:$BQ$4,$G166:$BQ166)))"),1.0738273081818184)</f>
        <v>1.073827308</v>
      </c>
      <c r="CC166" s="207" t="str">
        <f>IFERROR(__xludf.DUMMYFUNCTION("IF(OR(CB166&gt;$BS166+$BT166*$BT$2,CB166&lt;$BS166-$BT166*$BT$2),AVEDEV(ARRAYFORMULA(XLOOKUP(FILTER(INDIRECT(""'""&amp;CB$1&amp;""'!$C$4:$C$66""),INDIRECT(""'""&amp;CB$1&amp;""'!$D$4:$D$66"")=CB$2),$G$4:$BQ$4,$G166:$BQ166))),"""")"),"")</f>
        <v/>
      </c>
      <c r="CD166" s="208" t="str">
        <f t="shared" si="10"/>
        <v/>
      </c>
      <c r="CE166" s="209" t="s">
        <v>444</v>
      </c>
      <c r="CF166" s="207">
        <f>IFERROR(__xludf.DUMMYFUNCTION("AVERAGE(ARRAYFORMULA(XLOOKUP(FILTER(INDIRECT(""'""&amp;CF$1&amp;""'!$C$4:$C$66""),INDIRECT(""'""&amp;CF$1&amp;""'!$D$4:$D$66"")=CF$2),$G$4:$BQ$4,$G166:$BQ166)))"),0.488319248125)</f>
        <v>0.4883192481</v>
      </c>
      <c r="CG166" s="207" t="str">
        <f>IFERROR(__xludf.DUMMYFUNCTION("IF(OR(CF166&gt;$BS166+$BT166*$BT$2,CF166&lt;$BS166-$BT166*$BT$2),AVEDEV(ARRAYFORMULA(XLOOKUP(FILTER(INDIRECT(""'""&amp;CF$1&amp;""'!$C$4:$C$66""),INDIRECT(""'""&amp;CF$1&amp;""'!$D$4:$D$66"")=CF$2),$G$4:$BQ$4,$G166:$BQ166))),"""")"),"")</f>
        <v/>
      </c>
      <c r="CH166" s="208" t="str">
        <f t="shared" si="11"/>
        <v/>
      </c>
      <c r="CI166" s="207">
        <f>IFERROR(__xludf.DUMMYFUNCTION("AVERAGE(ARRAYFORMULA(XLOOKUP(FILTER(INDIRECT(""'""&amp;CI$1&amp;""'!$C$4:$C$66""),INDIRECT(""'""&amp;CI$1&amp;""'!$D$4:$D$66"")=CI$2),$G$4:$BQ$4,$G166:$BQ166)))"),0.8709314851612905)</f>
        <v>0.8709314852</v>
      </c>
      <c r="CJ166" s="207" t="str">
        <f>IFERROR(__xludf.DUMMYFUNCTION("IF(OR(CI166&gt;$BS166+$BT166*$BT$2,CI166&lt;$BS166-$BT166*$BT$2),AVEDEV(ARRAYFORMULA(XLOOKUP(FILTER(INDIRECT(""'""&amp;CI$1&amp;""'!$C$4:$C$66""),INDIRECT(""'""&amp;CI$1&amp;""'!$D$4:$D$66"")=CI$2),$G$4:$BQ$4,$G166:$BQ166))),"""")"),"")</f>
        <v/>
      </c>
      <c r="CK166" s="208" t="str">
        <f t="shared" si="12"/>
        <v/>
      </c>
      <c r="CL166" s="207">
        <f>IFERROR(__xludf.DUMMYFUNCTION("AVERAGE(ARRAYFORMULA(XLOOKUP(FILTER(INDIRECT(""'""&amp;CL$1&amp;""'!$C$4:$C$66""),INDIRECT(""'""&amp;CL$1&amp;""'!$D$4:$D$66"")=CL$2),$G$4:$BQ$4,$G166:$BQ166)))"),-0.46016822)</f>
        <v>-0.46016822</v>
      </c>
      <c r="CM166" s="207" t="str">
        <f>IFERROR(__xludf.DUMMYFUNCTION("IF(OR(CL166&gt;$BS166+$BT166*$BT$2,CL166&lt;$BS166-$BT166*$BT$2),AVEDEV(ARRAYFORMULA(XLOOKUP(FILTER(INDIRECT(""'""&amp;CL$1&amp;""'!$C$4:$C$66""),INDIRECT(""'""&amp;CL$1&amp;""'!$D$4:$D$66"")=CL$2),$G$4:$BQ$4,$G166:$BQ166))),"""")"),"")</f>
        <v/>
      </c>
      <c r="CN166" s="208" t="str">
        <f t="shared" si="13"/>
        <v/>
      </c>
      <c r="CO166" s="209" t="s">
        <v>444</v>
      </c>
      <c r="CP166" s="210">
        <f>IFERROR(__xludf.DUMMYFUNCTION("AVERAGE(ARRAYFORMULA(XLOOKUP(FILTER(INDIRECT(""'""&amp;CP$1&amp;""'!$C$4:$C$66""),INDIRECT(""'""&amp;CP$1&amp;""'!$D$4:$D$66"")=CP$2),$G$4:$BQ$4,$G166:$BQ166)))"),0.707745176)</f>
        <v>0.707745176</v>
      </c>
      <c r="CQ166" s="207" t="str">
        <f>IFERROR(__xludf.DUMMYFUNCTION("IF(OR(CP166&gt;$BS166+$BT166*$BT$2,CP166&lt;$BS166-$BT166*$BT$2),AVEDEV(ARRAYFORMULA(XLOOKUP(FILTER(INDIRECT(""'""&amp;CP$1&amp;""'!$C$4:$C$66""),INDIRECT(""'""&amp;CP$1&amp;""'!$D$4:$D$66"")=CP$2),$G$4:$BQ$4,$G166:$BQ166))),"""")"),"")</f>
        <v/>
      </c>
      <c r="CR166" s="208" t="str">
        <f t="shared" si="14"/>
        <v/>
      </c>
      <c r="CS166" s="210">
        <f>IFERROR(__xludf.DUMMYFUNCTION("AVERAGE(ARRAYFORMULA(XLOOKUP(FILTER(INDIRECT(""'""&amp;CS$1&amp;""'!$C$4:$C$66""),INDIRECT(""'""&amp;CS$1&amp;""'!$D$4:$D$66"")=CS$2),$G$4:$BQ$4,$G166:$BQ166)))"),0.6094098889743591)</f>
        <v>0.609409889</v>
      </c>
      <c r="CT166" s="207" t="str">
        <f>IFERROR(__xludf.DUMMYFUNCTION("IF(OR(CS166&gt;$BS166+$BT166*$BT$2,CS166&lt;$BS166-$BT166*$BT$2),AVEDEV(ARRAYFORMULA(XLOOKUP(FILTER(INDIRECT(""'""&amp;CS$1&amp;""'!$C$4:$C$66""),INDIRECT(""'""&amp;CS$1&amp;""'!$D$4:$D$66"")=CS$2),$G$4:$BQ$4,$G166:$BQ166))),"""")"),"")</f>
        <v/>
      </c>
      <c r="CU166" s="208" t="str">
        <f t="shared" si="15"/>
        <v/>
      </c>
      <c r="CV166" s="210">
        <f>IFERROR(__xludf.DUMMYFUNCTION("AVERAGE(ARRAYFORMULA(XLOOKUP(FILTER(INDIRECT(""'""&amp;CV$1&amp;""'!$C$4:$C$66""),INDIRECT(""'""&amp;CV$1&amp;""'!$D$4:$D$66"")=CV$2),$G$4:$BQ$4,$G166:$BQ166)))"),-0.46016822)</f>
        <v>-0.46016822</v>
      </c>
      <c r="CW166" s="207" t="str">
        <f>IFERROR(__xludf.DUMMYFUNCTION("IF(OR(CV166&gt;$BS166+$BT166*$BT$2,CV166&lt;$BS166-$BT166*$BT$2),AVEDEV(ARRAYFORMULA(XLOOKUP(FILTER(INDIRECT(""'""&amp;CV$1&amp;""'!$C$4:$C$66""),INDIRECT(""'""&amp;CV$1&amp;""'!$D$4:$D$66"")=CV$2),$G$4:$BQ$4,$G166:$BQ166))),"""")"),"")</f>
        <v/>
      </c>
      <c r="CX166" s="208" t="str">
        <f t="shared" si="16"/>
        <v/>
      </c>
      <c r="CY166" s="209" t="s">
        <v>444</v>
      </c>
      <c r="CZ166" s="210">
        <f>IFERROR(__xludf.DUMMYFUNCTION("AVERAGE(ARRAYFORMULA(XLOOKUP(FILTER(INDIRECT(""'""&amp;CZ$1&amp;""'!$C$4:$C$66""),INDIRECT(""'""&amp;CZ$1&amp;""'!$D$4:$D$66"")=CZ$2),$G$4:$BQ$4,$G166:$BQ166)))"),0.6020641471428572)</f>
        <v>0.6020641471</v>
      </c>
      <c r="DA166" s="207" t="str">
        <f>IFERROR(__xludf.DUMMYFUNCTION("IF(OR(CZ166&gt;$BS166+$BT166*$BT$2,CZ166&lt;$BS166-$BT166*$BT$2),AVEDEV(ARRAYFORMULA(XLOOKUP(FILTER(INDIRECT(""'""&amp;CZ$1&amp;""'!$C$4:$C$66""),INDIRECT(""'""&amp;CZ$1&amp;""'!$D$4:$D$66"")=CZ$2),$G$4:$BQ$4,$G166:$BQ166))),"""")"),"")</f>
        <v/>
      </c>
      <c r="DB166" s="208" t="str">
        <f t="shared" si="17"/>
        <v/>
      </c>
      <c r="DC166" s="210">
        <f>IFERROR(__xludf.DUMMYFUNCTION("AVERAGE(ARRAYFORMULA(XLOOKUP(FILTER(INDIRECT(""'""&amp;DC$1&amp;""'!$C$4:$C$66""),INDIRECT(""'""&amp;DC$1&amp;""'!$D$4:$D$66"")=DC$2),$G$4:$BQ$4,$G166:$BQ166)))"),1.4350606655555558)</f>
        <v>1.435060666</v>
      </c>
      <c r="DD166" s="207" t="str">
        <f>IFERROR(__xludf.DUMMYFUNCTION("IF(OR(DC166&gt;$BS166+$BT166*$BT$2,DC166&lt;$BS166-$BT166*$BT$2),AVEDEV(ARRAYFORMULA(XLOOKUP(FILTER(INDIRECT(""'""&amp;DC$1&amp;""'!$C$4:$C$66""),INDIRECT(""'""&amp;DC$1&amp;""'!$D$4:$D$66"")=DC$2),$G$4:$BQ$4,$G166:$BQ166))),"""")"),"")</f>
        <v/>
      </c>
      <c r="DE166" s="208" t="str">
        <f t="shared" si="18"/>
        <v/>
      </c>
      <c r="DF166" s="210">
        <f>IFERROR(__xludf.DUMMYFUNCTION("AVERAGE(ARRAYFORMULA(XLOOKUP(FILTER(INDIRECT(""'""&amp;DF$1&amp;""'!$C$4:$C$66""),INDIRECT(""'""&amp;DF$1&amp;""'!$D$4:$D$66"")=DF$2),$G$4:$BQ$4,$G166:$BQ166)))"),0.9297243554545457)</f>
        <v>0.9297243555</v>
      </c>
      <c r="DG166" s="207" t="str">
        <f>IFERROR(__xludf.DUMMYFUNCTION("IF(OR(DF166&gt;$BS166+$BT166*$BT$2,DF166&lt;$BS166-$BT166*$BT$2),AVEDEV(ARRAYFORMULA(XLOOKUP(FILTER(INDIRECT(""'""&amp;DF$1&amp;""'!$C$4:$C$66""),INDIRECT(""'""&amp;DF$1&amp;""'!$D$4:$D$66"")=DF$2),$G$4:$BQ$4,$G166:$BQ166))),"""")"),"")</f>
        <v/>
      </c>
      <c r="DH166" s="208" t="str">
        <f t="shared" si="19"/>
        <v/>
      </c>
      <c r="DI166" s="210">
        <f>IFERROR(__xludf.DUMMYFUNCTION("AVERAGE(ARRAYFORMULA(XLOOKUP(FILTER(INDIRECT(""'""&amp;DI$1&amp;""'!$C$4:$C$66""),INDIRECT(""'""&amp;DI$1&amp;""'!$D$4:$D$66"")=DI$2),$G$4:$BQ$4,$G166:$BQ166)))"),1.1863881250000001)</f>
        <v>1.186388125</v>
      </c>
      <c r="DJ166" s="207" t="str">
        <f>IFERROR(__xludf.DUMMYFUNCTION("IF(OR(DI166&gt;$BS166+$BT166*$BT$2,DI166&lt;$BS166-$BT166*$BT$2),AVEDEV(ARRAYFORMULA(XLOOKUP(FILTER(INDIRECT(""'""&amp;DI$1&amp;""'!$C$4:$C$66""),INDIRECT(""'""&amp;DI$1&amp;""'!$D$4:$D$66"")=DI$2),$G$4:$BQ$4,$G166:$BQ166))),"""")"),"")</f>
        <v/>
      </c>
      <c r="DK166" s="208" t="str">
        <f t="shared" si="20"/>
        <v/>
      </c>
      <c r="DL166" s="210">
        <f>IFERROR(__xludf.DUMMYFUNCTION("AVERAGE(ARRAYFORMULA(XLOOKUP(FILTER(INDIRECT(""'""&amp;DL$1&amp;""'!$C$4:$C$66""),INDIRECT(""'""&amp;DL$1&amp;""'!$D$4:$D$66"")=DL$2),$G$4:$BQ$4,$G166:$BQ166)))"),0.010835675714285722)</f>
        <v>0.01083567571</v>
      </c>
      <c r="DM166" s="207" t="str">
        <f>IFERROR(__xludf.DUMMYFUNCTION("IF(OR(DL166&gt;$BS166+$BT166*$BT$2,DL166&lt;$BS166-$BT166*$BT$2),AVEDEV(ARRAYFORMULA(XLOOKUP(FILTER(INDIRECT(""'""&amp;DL$1&amp;""'!$C$4:$C$66""),INDIRECT(""'""&amp;DL$1&amp;""'!$D$4:$D$66"")=DL$2),$G$4:$BQ$4,$G166:$BQ166))),"""")"),"")</f>
        <v/>
      </c>
      <c r="DN166" s="208" t="str">
        <f t="shared" si="21"/>
        <v/>
      </c>
      <c r="DO166" s="209" t="s">
        <v>444</v>
      </c>
      <c r="DP166" s="210">
        <f>IFERROR(__xludf.DUMMYFUNCTION("AVERAGE(ARRAYFORMULA(XLOOKUP(FILTER(INDIRECT(""'""&amp;DP$1&amp;""'!$C$4:$C$66""),INDIRECT(""'""&amp;DP$1&amp;""'!$D$4:$D$66"")=DP$2),$G$4:$BQ$4,$G166:$BQ166)))"),0.35298889800000016)</f>
        <v>0.352988898</v>
      </c>
      <c r="DQ166" s="207" t="str">
        <f>IFERROR(__xludf.DUMMYFUNCTION("IF(OR(DP166&gt;$BS166+$BT166*$BT$2,DP166&lt;$BS166-$BT166*$BT$2),AVEDEV(ARRAYFORMULA(XLOOKUP(FILTER(INDIRECT(""'""&amp;DP$1&amp;""'!$C$4:$C$66""),INDIRECT(""'""&amp;DP$1&amp;""'!$D$4:$D$66"")=DP$2),$G$4:$BQ$4,$G166:$BQ166))),"""")"),"")</f>
        <v/>
      </c>
      <c r="DR166" s="208" t="str">
        <f t="shared" si="22"/>
        <v/>
      </c>
      <c r="DS166" s="210">
        <f>IFERROR(__xludf.DUMMYFUNCTION("AVERAGE(ARRAYFORMULA(XLOOKUP(FILTER(INDIRECT(""'""&amp;DS$1&amp;""'!$C$4:$C$66""),INDIRECT(""'""&amp;DS$1&amp;""'!$D$4:$D$66"")=DS$2),$G$4:$BQ$4,$G166:$BQ166)))"),-0.4074174466666667)</f>
        <v>-0.4074174467</v>
      </c>
      <c r="DT166" s="207" t="str">
        <f>IFERROR(__xludf.DUMMYFUNCTION("IF(OR(DS166&gt;$BS166+$BT166*$BT$2,DS166&lt;$BS166-$BT166*$BT$2),AVEDEV(ARRAYFORMULA(XLOOKUP(FILTER(INDIRECT(""'""&amp;DS$1&amp;""'!$C$4:$C$66""),INDIRECT(""'""&amp;DS$1&amp;""'!$D$4:$D$66"")=DS$2),$G$4:$BQ$4,$G166:$BQ166))),"""")"),"")</f>
        <v/>
      </c>
      <c r="DU166" s="208" t="str">
        <f t="shared" si="23"/>
        <v/>
      </c>
      <c r="DV166" s="210">
        <f>IFERROR(__xludf.DUMMYFUNCTION("AVERAGE(ARRAYFORMULA(XLOOKUP(FILTER(INDIRECT(""'""&amp;DV$1&amp;""'!$C$4:$C$66""),INDIRECT(""'""&amp;DV$1&amp;""'!$D$4:$D$66"")=DV$2),$G$4:$BQ$4,$G166:$BQ166)))"),-0.15792993125000002)</f>
        <v>-0.1579299313</v>
      </c>
      <c r="DW166" s="207" t="str">
        <f>IFERROR(__xludf.DUMMYFUNCTION("IF(OR(DV166&gt;$BS166+$BT166*$BT$2,DV166&lt;$BS166-$BT166*$BT$2),AVEDEV(ARRAYFORMULA(XLOOKUP(FILTER(INDIRECT(""'""&amp;DV$1&amp;""'!$C$4:$C$66""),INDIRECT(""'""&amp;DV$1&amp;""'!$D$4:$D$66"")=DV$2),$G$4:$BQ$4,$G166:$BQ166))),"""")"),"")</f>
        <v/>
      </c>
      <c r="DX166" s="208" t="str">
        <f t="shared" si="24"/>
        <v/>
      </c>
      <c r="DY166" s="210">
        <f>IFERROR(__xludf.DUMMYFUNCTION("AVERAGE(ARRAYFORMULA(XLOOKUP(FILTER(INDIRECT(""'""&amp;DY$1&amp;""'!$C$4:$C$66""),INDIRECT(""'""&amp;DY$1&amp;""'!$D$4:$D$66"")=DY$2),$G$4:$BQ$4,$G166:$BQ166)))"),3.0606910155555553)</f>
        <v>3.060691016</v>
      </c>
      <c r="DZ166" s="207">
        <f>IFERROR(__xludf.DUMMYFUNCTION("IF(OR(DY166&gt;$BS166+$BT166*$BT$2,DY166&lt;$BS166-$BT166*$BT$2),AVEDEV(ARRAYFORMULA(XLOOKUP(FILTER(INDIRECT(""'""&amp;DY$1&amp;""'!$C$4:$C$66""),INDIRECT(""'""&amp;DY$1&amp;""'!$D$4:$D$66"")=DY$2),$G$4:$BQ$4,$G166:$BQ166))),"""")"),2.781057874074074)</f>
        <v>2.781057874</v>
      </c>
      <c r="EA166" s="208" t="str">
        <f t="shared" si="25"/>
        <v/>
      </c>
      <c r="EB166" s="191"/>
    </row>
    <row r="167" outlineLevel="1">
      <c r="A167" s="2"/>
      <c r="B167" s="204">
        <v>163.0</v>
      </c>
      <c r="C167" s="204" t="s">
        <v>601</v>
      </c>
      <c r="D167" s="204" t="s">
        <v>610</v>
      </c>
      <c r="E167" s="205" t="b">
        <f>VLOOKUP(D167,'Feature Set List'!A163:C246,2,0)</f>
        <v>1</v>
      </c>
      <c r="F167" s="205" t="b">
        <f>VLOOKUP(D167,'Feature Set List'!A163:C246,3,0)</f>
        <v>1</v>
      </c>
      <c r="G167" s="205">
        <v>-0.197521</v>
      </c>
      <c r="H167" s="205">
        <v>-0.0994233</v>
      </c>
      <c r="I167" s="205">
        <v>-0.8001591</v>
      </c>
      <c r="J167" s="205">
        <v>-0.1020746</v>
      </c>
      <c r="K167" s="205">
        <v>5.84874395</v>
      </c>
      <c r="L167" s="205">
        <v>0.38973951</v>
      </c>
      <c r="M167" s="205">
        <v>-0.5785113</v>
      </c>
      <c r="N167" s="205">
        <v>0.51832704</v>
      </c>
      <c r="O167" s="205">
        <v>0.26247763</v>
      </c>
      <c r="P167" s="205">
        <v>-0.5868629</v>
      </c>
      <c r="Q167" s="205">
        <v>3.59779943</v>
      </c>
      <c r="R167" s="205">
        <v>0.53158348</v>
      </c>
      <c r="S167" s="205">
        <v>0.52495526</v>
      </c>
      <c r="T167" s="205">
        <v>-0.0755617</v>
      </c>
      <c r="U167" s="205">
        <v>-0.5355604</v>
      </c>
      <c r="V167" s="205">
        <v>-0.041095</v>
      </c>
      <c r="W167" s="205">
        <v>-0.5127593</v>
      </c>
      <c r="X167" s="205">
        <v>-0.8275999</v>
      </c>
      <c r="Y167" s="205">
        <v>-0.3181547</v>
      </c>
      <c r="Z167" s="205">
        <v>-1.3019156</v>
      </c>
      <c r="AA167" s="205">
        <v>-0.1736594</v>
      </c>
      <c r="AB167" s="205">
        <v>0.19354411</v>
      </c>
      <c r="AC167" s="205">
        <v>-0.1643799</v>
      </c>
      <c r="AD167" s="205">
        <v>-0.7716577</v>
      </c>
      <c r="AE167" s="205">
        <v>1.20368529</v>
      </c>
      <c r="AF167" s="205">
        <v>0.23463909</v>
      </c>
      <c r="AG167" s="205">
        <v>-0.6882747</v>
      </c>
      <c r="AH167" s="205">
        <v>-0.8208391</v>
      </c>
      <c r="AI167" s="205">
        <v>-0.0119308</v>
      </c>
      <c r="AJ167" s="205">
        <v>0.16570557</v>
      </c>
      <c r="AK167" s="205">
        <v>0.80731756</v>
      </c>
      <c r="AL167" s="205">
        <v>0.86962285</v>
      </c>
      <c r="AM167" s="205">
        <v>-0.1020746</v>
      </c>
      <c r="AN167" s="205">
        <v>0.0</v>
      </c>
      <c r="AO167" s="205">
        <v>3.0648903</v>
      </c>
      <c r="AP167" s="205">
        <v>-0.5762577</v>
      </c>
      <c r="AQ167" s="205">
        <v>-0.6760787</v>
      </c>
      <c r="AR167" s="205">
        <v>0.98495393</v>
      </c>
      <c r="AS167" s="205">
        <v>0.06628223</v>
      </c>
      <c r="AT167" s="205">
        <v>0.25452376</v>
      </c>
      <c r="AU167" s="205">
        <v>6.08868562</v>
      </c>
      <c r="AV167" s="205">
        <v>-1.2267515</v>
      </c>
      <c r="AW167" s="205">
        <v>-0.3287599</v>
      </c>
      <c r="AX167" s="205">
        <v>1.2514085</v>
      </c>
      <c r="AY167" s="205">
        <v>-1.5264798</v>
      </c>
      <c r="AZ167" s="205">
        <v>0.03711805</v>
      </c>
      <c r="BA167" s="205">
        <v>0.29561874</v>
      </c>
      <c r="BB167" s="205">
        <v>0.47458076</v>
      </c>
      <c r="BC167" s="205">
        <v>0.41227547</v>
      </c>
      <c r="BD167" s="205">
        <v>1.53642209</v>
      </c>
      <c r="BE167" s="205">
        <v>-0.3314111</v>
      </c>
      <c r="BF167" s="205">
        <v>-0.7100152</v>
      </c>
      <c r="BG167" s="205">
        <v>0.18956718</v>
      </c>
      <c r="BH167" s="205">
        <v>-0.7727182</v>
      </c>
      <c r="BI167" s="205">
        <v>0.35394711</v>
      </c>
      <c r="BJ167" s="205">
        <v>0.21740571</v>
      </c>
      <c r="BK167" s="205">
        <v>-0.0278385</v>
      </c>
      <c r="BL167" s="205">
        <v>0.41360111</v>
      </c>
      <c r="BM167" s="205">
        <v>1.07642341</v>
      </c>
      <c r="BN167" s="205">
        <v>3.25710877</v>
      </c>
      <c r="BO167" s="205">
        <v>-0.9689136</v>
      </c>
      <c r="BP167" s="205">
        <v>0.23066216</v>
      </c>
      <c r="BQ167" s="205">
        <v>-0.7819977</v>
      </c>
      <c r="BR167" s="206"/>
      <c r="BS167" s="207">
        <f t="shared" si="6"/>
        <v>0.2970853773</v>
      </c>
      <c r="BT167" s="207">
        <f t="shared" si="7"/>
        <v>0.8655353617</v>
      </c>
      <c r="BU167" s="206"/>
      <c r="BV167" s="207">
        <f>IFERROR(__xludf.DUMMYFUNCTION("AVERAGE(ARRAYFORMULA(XLOOKUP(FILTER(INDIRECT(""'""&amp;BV$1&amp;""'!$C$4:$C$66""),INDIRECT(""'""&amp;BV$1&amp;""'!$D$4:$D$66"")=BV$2),$G$4:$BQ$4,$G167:$BQ167)))"),0.10457442428571428)</f>
        <v>0.1045744243</v>
      </c>
      <c r="BW167" s="207" t="str">
        <f>IFERROR(__xludf.DUMMYFUNCTION("IF(OR(BV167&gt;$BS167+$BT167*$BT$2,BV167&lt;$BS167-$BT167*$BT$2),AVEDEV(ARRAYFORMULA(XLOOKUP(FILTER(INDIRECT(""'""&amp;BV$1&amp;""'!$C$4:$C$66""),INDIRECT(""'""&amp;BV$1&amp;""'!$D$4:$D$66"")=BV$2),$G$4:$BQ$4,$G167:$BQ167))),"""")"),"")</f>
        <v/>
      </c>
      <c r="BX167" s="208" t="str">
        <f t="shared" si="8"/>
        <v/>
      </c>
      <c r="BY167" s="207">
        <f>IFERROR(__xludf.DUMMYFUNCTION("AVERAGE(ARRAYFORMULA(XLOOKUP(FILTER(INDIRECT(""'""&amp;BY$1&amp;""'!$C$4:$C$66""),INDIRECT(""'""&amp;BY$1&amp;""'!$D$4:$D$66"")=BY$2),$G$4:$BQ$4,$G167:$BQ167)))"),0.2713152688095238)</f>
        <v>0.2713152688</v>
      </c>
      <c r="BZ167" s="207" t="str">
        <f>IFERROR(__xludf.DUMMYFUNCTION("IF(OR(BY167&gt;$BS167+$BT167*$BT$2,BY167&lt;$BS167-$BT167*$BT$2),AVEDEV(ARRAYFORMULA(XLOOKUP(FILTER(INDIRECT(""'""&amp;BY$1&amp;""'!$C$4:$C$66""),INDIRECT(""'""&amp;BY$1&amp;""'!$D$4:$D$66"")=BY$2),$G$4:$BQ$4,$G167:$BQ167))),"""")"),"")</f>
        <v/>
      </c>
      <c r="CA167" s="208" t="str">
        <f t="shared" si="9"/>
        <v/>
      </c>
      <c r="CB167" s="207">
        <f>IFERROR(__xludf.DUMMYFUNCTION("AVERAGE(ARRAYFORMULA(XLOOKUP(FILTER(INDIRECT(""'""&amp;CB$1&amp;""'!$C$4:$C$66""),INDIRECT(""'""&amp;CB$1&amp;""'!$D$4:$D$66"")=CB$2),$G$4:$BQ$4,$G167:$BQ167)))"),-0.02143928181818179)</f>
        <v>-0.02143928182</v>
      </c>
      <c r="CC167" s="207" t="str">
        <f>IFERROR(__xludf.DUMMYFUNCTION("IF(OR(CB167&gt;$BS167+$BT167*$BT$2,CB167&lt;$BS167-$BT167*$BT$2),AVEDEV(ARRAYFORMULA(XLOOKUP(FILTER(INDIRECT(""'""&amp;CB$1&amp;""'!$C$4:$C$66""),INDIRECT(""'""&amp;CB$1&amp;""'!$D$4:$D$66"")=CB$2),$G$4:$BQ$4,$G167:$BQ167))),"""")"),"")</f>
        <v/>
      </c>
      <c r="CD167" s="208" t="str">
        <f t="shared" si="10"/>
        <v/>
      </c>
      <c r="CE167" s="209" t="s">
        <v>444</v>
      </c>
      <c r="CF167" s="207">
        <f>IFERROR(__xludf.DUMMYFUNCTION("AVERAGE(ARRAYFORMULA(XLOOKUP(FILTER(INDIRECT(""'""&amp;CF$1&amp;""'!$C$4:$C$66""),INDIRECT(""'""&amp;CF$1&amp;""'!$D$4:$D$66"")=CF$2),$G$4:$BQ$4,$G167:$BQ167)))"),0.33360675375000004)</f>
        <v>0.3336067538</v>
      </c>
      <c r="CG167" s="207" t="str">
        <f>IFERROR(__xludf.DUMMYFUNCTION("IF(OR(CF167&gt;$BS167+$BT167*$BT$2,CF167&lt;$BS167-$BT167*$BT$2),AVEDEV(ARRAYFORMULA(XLOOKUP(FILTER(INDIRECT(""'""&amp;CF$1&amp;""'!$C$4:$C$66""),INDIRECT(""'""&amp;CF$1&amp;""'!$D$4:$D$66"")=CF$2),$G$4:$BQ$4,$G167:$BQ167))),"""")"),"")</f>
        <v/>
      </c>
      <c r="CH167" s="208" t="str">
        <f t="shared" si="11"/>
        <v/>
      </c>
      <c r="CI167" s="207">
        <f>IFERROR(__xludf.DUMMYFUNCTION("AVERAGE(ARRAYFORMULA(XLOOKUP(FILTER(INDIRECT(""'""&amp;CI$1&amp;""'!$C$4:$C$66""),INDIRECT(""'""&amp;CI$1&amp;""'!$D$4:$D$66"")=CI$2),$G$4:$BQ$4,$G167:$BQ167)))"),0.060239864516129026)</f>
        <v>0.06023986452</v>
      </c>
      <c r="CJ167" s="207" t="str">
        <f>IFERROR(__xludf.DUMMYFUNCTION("IF(OR(CI167&gt;$BS167+$BT167*$BT$2,CI167&lt;$BS167-$BT167*$BT$2),AVEDEV(ARRAYFORMULA(XLOOKUP(FILTER(INDIRECT(""'""&amp;CI$1&amp;""'!$C$4:$C$66""),INDIRECT(""'""&amp;CI$1&amp;""'!$D$4:$D$66"")=CI$2),$G$4:$BQ$4,$G167:$BQ167))),"""")"),"")</f>
        <v/>
      </c>
      <c r="CK167" s="208" t="str">
        <f t="shared" si="12"/>
        <v/>
      </c>
      <c r="CL167" s="207">
        <f>IFERROR(__xludf.DUMMYFUNCTION("AVERAGE(ARRAYFORMULA(XLOOKUP(FILTER(INDIRECT(""'""&amp;CL$1&amp;""'!$C$4:$C$66""),INDIRECT(""'""&amp;CL$1&amp;""'!$D$4:$D$66"")=CL$2),$G$4:$BQ$4,$G167:$BQ167)))"),-0.022191289999999995)</f>
        <v>-0.02219129</v>
      </c>
      <c r="CM167" s="207" t="str">
        <f>IFERROR(__xludf.DUMMYFUNCTION("IF(OR(CL167&gt;$BS167+$BT167*$BT$2,CL167&lt;$BS167-$BT167*$BT$2),AVEDEV(ARRAYFORMULA(XLOOKUP(FILTER(INDIRECT(""'""&amp;CL$1&amp;""'!$C$4:$C$66""),INDIRECT(""'""&amp;CL$1&amp;""'!$D$4:$D$66"")=CL$2),$G$4:$BQ$4,$G167:$BQ167))),"""")"),"")</f>
        <v/>
      </c>
      <c r="CN167" s="208" t="str">
        <f t="shared" si="13"/>
        <v/>
      </c>
      <c r="CO167" s="209" t="s">
        <v>444</v>
      </c>
      <c r="CP167" s="210">
        <f>IFERROR(__xludf.DUMMYFUNCTION("AVERAGE(ARRAYFORMULA(XLOOKUP(FILTER(INDIRECT(""'""&amp;CP$1&amp;""'!$C$4:$C$66""),INDIRECT(""'""&amp;CP$1&amp;""'!$D$4:$D$66"")=CP$2),$G$4:$BQ$4,$G167:$BQ167)))"),-0.04113031533333337)</f>
        <v>-0.04113031533</v>
      </c>
      <c r="CQ167" s="207" t="str">
        <f>IFERROR(__xludf.DUMMYFUNCTION("IF(OR(CP167&gt;$BS167+$BT167*$BT$2,CP167&lt;$BS167-$BT167*$BT$2),AVEDEV(ARRAYFORMULA(XLOOKUP(FILTER(INDIRECT(""'""&amp;CP$1&amp;""'!$C$4:$C$66""),INDIRECT(""'""&amp;CP$1&amp;""'!$D$4:$D$66"")=CP$2),$G$4:$BQ$4,$G167:$BQ167))),"""")"),"")</f>
        <v/>
      </c>
      <c r="CR167" s="208" t="str">
        <f t="shared" si="14"/>
        <v/>
      </c>
      <c r="CS167" s="210">
        <f>IFERROR(__xludf.DUMMYFUNCTION("AVERAGE(ARRAYFORMULA(XLOOKUP(FILTER(INDIRECT(""'""&amp;CS$1&amp;""'!$C$4:$C$66""),INDIRECT(""'""&amp;CS$1&amp;""'!$D$4:$D$66"")=CS$2),$G$4:$BQ$4,$G167:$BQ167)))"),0.3129676982051283)</f>
        <v>0.3129676982</v>
      </c>
      <c r="CT167" s="207" t="str">
        <f>IFERROR(__xludf.DUMMYFUNCTION("IF(OR(CS167&gt;$BS167+$BT167*$BT$2,CS167&lt;$BS167-$BT167*$BT$2),AVEDEV(ARRAYFORMULA(XLOOKUP(FILTER(INDIRECT(""'""&amp;CS$1&amp;""'!$C$4:$C$66""),INDIRECT(""'""&amp;CS$1&amp;""'!$D$4:$D$66"")=CS$2),$G$4:$BQ$4,$G167:$BQ167))),"""")"),"")</f>
        <v/>
      </c>
      <c r="CU167" s="208" t="str">
        <f t="shared" si="15"/>
        <v/>
      </c>
      <c r="CV167" s="210">
        <f>IFERROR(__xludf.DUMMYFUNCTION("AVERAGE(ARRAYFORMULA(XLOOKUP(FILTER(INDIRECT(""'""&amp;CV$1&amp;""'!$C$4:$C$66""),INDIRECT(""'""&amp;CV$1&amp;""'!$D$4:$D$66"")=CV$2),$G$4:$BQ$4,$G167:$BQ167)))"),-0.022191289999999995)</f>
        <v>-0.02219129</v>
      </c>
      <c r="CW167" s="207" t="str">
        <f>IFERROR(__xludf.DUMMYFUNCTION("IF(OR(CV167&gt;$BS167+$BT167*$BT$2,CV167&lt;$BS167-$BT167*$BT$2),AVEDEV(ARRAYFORMULA(XLOOKUP(FILTER(INDIRECT(""'""&amp;CV$1&amp;""'!$C$4:$C$66""),INDIRECT(""'""&amp;CV$1&amp;""'!$D$4:$D$66"")=CV$2),$G$4:$BQ$4,$G167:$BQ167))),"""")"),"")</f>
        <v/>
      </c>
      <c r="CX167" s="208" t="str">
        <f t="shared" si="16"/>
        <v/>
      </c>
      <c r="CY167" s="209" t="s">
        <v>444</v>
      </c>
      <c r="CZ167" s="210">
        <f>IFERROR(__xludf.DUMMYFUNCTION("AVERAGE(ARRAYFORMULA(XLOOKUP(FILTER(INDIRECT(""'""&amp;CZ$1&amp;""'!$C$4:$C$66""),INDIRECT(""'""&amp;CZ$1&amp;""'!$D$4:$D$66"")=CZ$2),$G$4:$BQ$4,$G167:$BQ167)))"),0.009800309999999994)</f>
        <v>0.00980031</v>
      </c>
      <c r="DA167" s="207" t="str">
        <f>IFERROR(__xludf.DUMMYFUNCTION("IF(OR(CZ167&gt;$BS167+$BT167*$BT$2,CZ167&lt;$BS167-$BT167*$BT$2),AVEDEV(ARRAYFORMULA(XLOOKUP(FILTER(INDIRECT(""'""&amp;CZ$1&amp;""'!$C$4:$C$66""),INDIRECT(""'""&amp;CZ$1&amp;""'!$D$4:$D$66"")=CZ$2),$G$4:$BQ$4,$G167:$BQ167))),"""")"),"")</f>
        <v/>
      </c>
      <c r="DB167" s="208" t="str">
        <f t="shared" si="17"/>
        <v/>
      </c>
      <c r="DC167" s="210">
        <f>IFERROR(__xludf.DUMMYFUNCTION("AVERAGE(ARRAYFORMULA(XLOOKUP(FILTER(INDIRECT(""'""&amp;DC$1&amp;""'!$C$4:$C$66""),INDIRECT(""'""&amp;DC$1&amp;""'!$D$4:$D$66"")=DC$2),$G$4:$BQ$4,$G167:$BQ167)))"),-0.14993039555555557)</f>
        <v>-0.1499303956</v>
      </c>
      <c r="DD167" s="207" t="str">
        <f>IFERROR(__xludf.DUMMYFUNCTION("IF(OR(DC167&gt;$BS167+$BT167*$BT$2,DC167&lt;$BS167-$BT167*$BT$2),AVEDEV(ARRAYFORMULA(XLOOKUP(FILTER(INDIRECT(""'""&amp;DC$1&amp;""'!$C$4:$C$66""),INDIRECT(""'""&amp;DC$1&amp;""'!$D$4:$D$66"")=DC$2),$G$4:$BQ$4,$G167:$BQ167))),"""")"),"")</f>
        <v/>
      </c>
      <c r="DE167" s="208" t="str">
        <f t="shared" si="18"/>
        <v/>
      </c>
      <c r="DF167" s="210">
        <f>IFERROR(__xludf.DUMMYFUNCTION("AVERAGE(ARRAYFORMULA(XLOOKUP(FILTER(INDIRECT(""'""&amp;DF$1&amp;""'!$C$4:$C$66""),INDIRECT(""'""&amp;DF$1&amp;""'!$D$4:$D$66"")=DF$2),$G$4:$BQ$4,$G167:$BQ167)))"),-0.20517361272727275)</f>
        <v>-0.2051736127</v>
      </c>
      <c r="DG167" s="207" t="str">
        <f>IFERROR(__xludf.DUMMYFUNCTION("IF(OR(DF167&gt;$BS167+$BT167*$BT$2,DF167&lt;$BS167-$BT167*$BT$2),AVEDEV(ARRAYFORMULA(XLOOKUP(FILTER(INDIRECT(""'""&amp;DF$1&amp;""'!$C$4:$C$66""),INDIRECT(""'""&amp;DF$1&amp;""'!$D$4:$D$66"")=DF$2),$G$4:$BQ$4,$G167:$BQ167))),"""")"),"")</f>
        <v/>
      </c>
      <c r="DH167" s="208" t="str">
        <f t="shared" si="19"/>
        <v/>
      </c>
      <c r="DI167" s="210">
        <f>IFERROR(__xludf.DUMMYFUNCTION("AVERAGE(ARRAYFORMULA(XLOOKUP(FILTER(INDIRECT(""'""&amp;DI$1&amp;""'!$C$4:$C$66""),INDIRECT(""'""&amp;DI$1&amp;""'!$D$4:$D$66"")=DI$2),$G$4:$BQ$4,$G167:$BQ167)))"),-0.77218795)</f>
        <v>-0.77218795</v>
      </c>
      <c r="DJ167" s="207">
        <f>IFERROR(__xludf.DUMMYFUNCTION("IF(OR(DI167&gt;$BS167+$BT167*$BT$2,DI167&lt;$BS167-$BT167*$BT$2),AVEDEV(ARRAYFORMULA(XLOOKUP(FILTER(INDIRECT(""'""&amp;DI$1&amp;""'!$C$4:$C$66""),INDIRECT(""'""&amp;DI$1&amp;""'!$D$4:$D$66"")=DI$2),$G$4:$BQ$4,$G167:$BQ167))),"""")"),5.302500000000099E-4)</f>
        <v>0.00053025</v>
      </c>
      <c r="DK167" s="208">
        <f t="shared" si="20"/>
        <v>-0.2037379656</v>
      </c>
      <c r="DL167" s="210">
        <f>IFERROR(__xludf.DUMMYFUNCTION("AVERAGE(ARRAYFORMULA(XLOOKUP(FILTER(INDIRECT(""'""&amp;DL$1&amp;""'!$C$4:$C$66""),INDIRECT(""'""&amp;DL$1&amp;""'!$D$4:$D$66"")=DL$2),$G$4:$BQ$4,$G167:$BQ167)))"),0.6558153185714285)</f>
        <v>0.6558153186</v>
      </c>
      <c r="DM167" s="207" t="str">
        <f>IFERROR(__xludf.DUMMYFUNCTION("IF(OR(DL167&gt;$BS167+$BT167*$BT$2,DL167&lt;$BS167-$BT167*$BT$2),AVEDEV(ARRAYFORMULA(XLOOKUP(FILTER(INDIRECT(""'""&amp;DL$1&amp;""'!$C$4:$C$66""),INDIRECT(""'""&amp;DL$1&amp;""'!$D$4:$D$66"")=DL$2),$G$4:$BQ$4,$G167:$BQ167))),"""")"),"")</f>
        <v/>
      </c>
      <c r="DN167" s="208" t="str">
        <f t="shared" si="21"/>
        <v/>
      </c>
      <c r="DO167" s="209" t="s">
        <v>444</v>
      </c>
      <c r="DP167" s="210">
        <f>IFERROR(__xludf.DUMMYFUNCTION("AVERAGE(ARRAYFORMULA(XLOOKUP(FILTER(INDIRECT(""'""&amp;DP$1&amp;""'!$C$4:$C$66""),INDIRECT(""'""&amp;DP$1&amp;""'!$D$4:$D$66"")=DP$2),$G$4:$BQ$4,$G167:$BQ167)))"),0.3363292993333333)</f>
        <v>0.3363292993</v>
      </c>
      <c r="DQ167" s="207" t="str">
        <f>IFERROR(__xludf.DUMMYFUNCTION("IF(OR(DP167&gt;$BS167+$BT167*$BT$2,DP167&lt;$BS167-$BT167*$BT$2),AVEDEV(ARRAYFORMULA(XLOOKUP(FILTER(INDIRECT(""'""&amp;DP$1&amp;""'!$C$4:$C$66""),INDIRECT(""'""&amp;DP$1&amp;""'!$D$4:$D$66"")=DP$2),$G$4:$BQ$4,$G167:$BQ167))),"""")"),"")</f>
        <v/>
      </c>
      <c r="DR167" s="208" t="str">
        <f t="shared" si="22"/>
        <v/>
      </c>
      <c r="DS167" s="210">
        <f>IFERROR(__xludf.DUMMYFUNCTION("AVERAGE(ARRAYFORMULA(XLOOKUP(FILTER(INDIRECT(""'""&amp;DS$1&amp;""'!$C$4:$C$66""),INDIRECT(""'""&amp;DS$1&amp;""'!$D$4:$D$66"")=DS$2),$G$4:$BQ$4,$G167:$BQ167)))"),-0.15735400444444442)</f>
        <v>-0.1573540044</v>
      </c>
      <c r="DT167" s="207" t="str">
        <f>IFERROR(__xludf.DUMMYFUNCTION("IF(OR(DS167&gt;$BS167+$BT167*$BT$2,DS167&lt;$BS167-$BT167*$BT$2),AVEDEV(ARRAYFORMULA(XLOOKUP(FILTER(INDIRECT(""'""&amp;DS$1&amp;""'!$C$4:$C$66""),INDIRECT(""'""&amp;DS$1&amp;""'!$D$4:$D$66"")=DS$2),$G$4:$BQ$4,$G167:$BQ167))),"""")"),"")</f>
        <v/>
      </c>
      <c r="DU167" s="208" t="str">
        <f t="shared" si="23"/>
        <v/>
      </c>
      <c r="DV167" s="210">
        <f>IFERROR(__xludf.DUMMYFUNCTION("AVERAGE(ARRAYFORMULA(XLOOKUP(FILTER(INDIRECT(""'""&amp;DV$1&amp;""'!$C$4:$C$66""),INDIRECT(""'""&amp;DV$1&amp;""'!$D$4:$D$66"")=DV$2),$G$4:$BQ$4,$G167:$BQ167)))"),-0.08923245125)</f>
        <v>-0.08923245125</v>
      </c>
      <c r="DW167" s="207" t="str">
        <f>IFERROR(__xludf.DUMMYFUNCTION("IF(OR(DV167&gt;$BS167+$BT167*$BT$2,DV167&lt;$BS167-$BT167*$BT$2),AVEDEV(ARRAYFORMULA(XLOOKUP(FILTER(INDIRECT(""'""&amp;DV$1&amp;""'!$C$4:$C$66""),INDIRECT(""'""&amp;DV$1&amp;""'!$D$4:$D$66"")=DV$2),$G$4:$BQ$4,$G167:$BQ167))),"""")"),"")</f>
        <v/>
      </c>
      <c r="DX167" s="208" t="str">
        <f t="shared" si="24"/>
        <v/>
      </c>
      <c r="DY167" s="210">
        <f>IFERROR(__xludf.DUMMYFUNCTION("AVERAGE(ARRAYFORMULA(XLOOKUP(FILTER(INDIRECT(""'""&amp;DY$1&amp;""'!$C$4:$C$66""),INDIRECT(""'""&amp;DY$1&amp;""'!$D$4:$D$66"")=DY$2),$G$4:$BQ$4,$G167:$BQ167)))"),0.03286126555555555)</f>
        <v>0.03286126556</v>
      </c>
      <c r="DZ167" s="207" t="str">
        <f>IFERROR(__xludf.DUMMYFUNCTION("IF(OR(DY167&gt;$BS167+$BT167*$BT$2,DY167&lt;$BS167-$BT167*$BT$2),AVEDEV(ARRAYFORMULA(XLOOKUP(FILTER(INDIRECT(""'""&amp;DY$1&amp;""'!$C$4:$C$66""),INDIRECT(""'""&amp;DY$1&amp;""'!$D$4:$D$66"")=DY$2),$G$4:$BQ$4,$G167:$BQ167))),"""")"),"")</f>
        <v/>
      </c>
      <c r="EA167" s="208" t="str">
        <f t="shared" si="25"/>
        <v/>
      </c>
      <c r="EB167" s="191"/>
    </row>
    <row r="168" outlineLevel="1">
      <c r="A168" s="2"/>
      <c r="B168" s="204">
        <v>164.0</v>
      </c>
      <c r="C168" s="204" t="s">
        <v>601</v>
      </c>
      <c r="D168" s="204" t="s">
        <v>611</v>
      </c>
      <c r="E168" s="205" t="b">
        <f>VLOOKUP(D168,'Feature Set List'!A164:C246,2,0)</f>
        <v>1</v>
      </c>
      <c r="F168" s="205" t="b">
        <f>VLOOKUP(D168,'Feature Set List'!A164:C246,3,0)</f>
        <v>1</v>
      </c>
      <c r="G168" s="205">
        <v>1.46094485</v>
      </c>
      <c r="H168" s="205">
        <v>1.20910973</v>
      </c>
      <c r="I168" s="205">
        <v>0.62375306</v>
      </c>
      <c r="J168" s="205">
        <v>0.7762093</v>
      </c>
      <c r="K168" s="205">
        <v>0.16864295</v>
      </c>
      <c r="L168" s="205">
        <v>0.10653115</v>
      </c>
      <c r="M168" s="205">
        <v>-0.5830981</v>
      </c>
      <c r="N168" s="205">
        <v>0.43026539</v>
      </c>
      <c r="O168" s="205">
        <v>0.76792772</v>
      </c>
      <c r="P168" s="205">
        <v>-1.0287973</v>
      </c>
      <c r="Q168" s="205">
        <v>-0.1486919</v>
      </c>
      <c r="R168" s="205">
        <v>-0.9900245</v>
      </c>
      <c r="S168" s="205">
        <v>0.21833239</v>
      </c>
      <c r="T168" s="205">
        <v>-0.1084133</v>
      </c>
      <c r="U168" s="205">
        <v>-0.4490871</v>
      </c>
      <c r="V168" s="205">
        <v>0.5428195</v>
      </c>
      <c r="W168" s="205">
        <v>-0.5383023</v>
      </c>
      <c r="X168" s="205">
        <v>-0.2951252</v>
      </c>
      <c r="Y168" s="205">
        <v>0.15132693</v>
      </c>
      <c r="Z168" s="205">
        <v>-1.0479955</v>
      </c>
      <c r="AA168" s="205">
        <v>-0.2017692</v>
      </c>
      <c r="AB168" s="205">
        <v>2.30378317</v>
      </c>
      <c r="AC168" s="205">
        <v>0.0</v>
      </c>
      <c r="AD168" s="205">
        <v>1.59194429</v>
      </c>
      <c r="AE168" s="205">
        <v>0.47204969</v>
      </c>
      <c r="AF168" s="205">
        <v>0.04479578</v>
      </c>
      <c r="AG168" s="205">
        <v>1.11613025</v>
      </c>
      <c r="AH168" s="205">
        <v>-0.2789385</v>
      </c>
      <c r="AI168" s="205">
        <v>0.04404291</v>
      </c>
      <c r="AJ168" s="205">
        <v>-0.6049313</v>
      </c>
      <c r="AK168" s="205">
        <v>1.23056653</v>
      </c>
      <c r="AL168" s="205">
        <v>2.39149257</v>
      </c>
      <c r="AM168" s="205">
        <v>0.19461698</v>
      </c>
      <c r="AN168" s="205">
        <v>-0.467156</v>
      </c>
      <c r="AO168" s="205">
        <v>-1.1640128</v>
      </c>
      <c r="AP168" s="205">
        <v>0.18068888</v>
      </c>
      <c r="AQ168" s="205">
        <v>-0.2988895</v>
      </c>
      <c r="AR168" s="205">
        <v>-0.3937512</v>
      </c>
      <c r="AS168" s="205">
        <v>-0.2619989</v>
      </c>
      <c r="AT168" s="205">
        <v>2.67381893</v>
      </c>
      <c r="AU168" s="205">
        <v>-1.2109166</v>
      </c>
      <c r="AV168" s="205">
        <v>0.25635234</v>
      </c>
      <c r="AW168" s="205">
        <v>0.12572934</v>
      </c>
      <c r="AX168" s="205">
        <v>-0.1185771</v>
      </c>
      <c r="AY168" s="205">
        <v>-0.6508564</v>
      </c>
      <c r="AZ168" s="205">
        <v>-0.807077</v>
      </c>
      <c r="BA168" s="205">
        <v>-0.7528703</v>
      </c>
      <c r="BB168" s="205">
        <v>-0.9301713</v>
      </c>
      <c r="BC168" s="205">
        <v>-0.3470732</v>
      </c>
      <c r="BD168" s="205">
        <v>-0.5913796</v>
      </c>
      <c r="BE168" s="205">
        <v>0.07114625</v>
      </c>
      <c r="BF168" s="205">
        <v>0.7912667</v>
      </c>
      <c r="BG168" s="205">
        <v>-0.0274798</v>
      </c>
      <c r="BH168" s="205">
        <v>0.83305101</v>
      </c>
      <c r="BI168" s="205">
        <v>0.28232637</v>
      </c>
      <c r="BJ168" s="205">
        <v>-0.1464333</v>
      </c>
      <c r="BK168" s="205">
        <v>-0.2721626</v>
      </c>
      <c r="BL168" s="205">
        <v>-1.1099191</v>
      </c>
      <c r="BM168" s="205">
        <v>-0.4355355</v>
      </c>
      <c r="BN168" s="205">
        <v>-0.0248447</v>
      </c>
      <c r="BO168" s="205">
        <v>1.43722944</v>
      </c>
      <c r="BP168" s="205">
        <v>0.57255788</v>
      </c>
      <c r="BQ168" s="205">
        <v>1.17334839</v>
      </c>
      <c r="BR168" s="206"/>
      <c r="BS168" s="207">
        <f t="shared" si="6"/>
        <v>0.1262939932</v>
      </c>
      <c r="BT168" s="207">
        <f t="shared" si="7"/>
        <v>0.6529178228</v>
      </c>
      <c r="BU168" s="206"/>
      <c r="BV168" s="207">
        <f>IFERROR(__xludf.DUMMYFUNCTION("AVERAGE(ARRAYFORMULA(XLOOKUP(FILTER(INDIRECT(""'""&amp;BV$1&amp;""'!$C$4:$C$66""),INDIRECT(""'""&amp;BV$1&amp;""'!$D$4:$D$66"")=BV$2),$G$4:$BQ$4,$G168:$BQ168)))"),-0.6468608071428571)</f>
        <v>-0.6468608071</v>
      </c>
      <c r="BW168" s="207">
        <f>IFERROR(__xludf.DUMMYFUNCTION("IF(OR(BV168&gt;$BS168+$BT168*$BT$2,BV168&lt;$BS168-$BT168*$BT$2),AVEDEV(ARRAYFORMULA(XLOOKUP(FILTER(INDIRECT(""'""&amp;BV$1&amp;""'!$C$4:$C$66""),INDIRECT(""'""&amp;BV$1&amp;""'!$D$4:$D$66"")=BV$2),$G$4:$BQ$4,$G168:$BQ168))),"""")"),0.36214753469387756)</f>
        <v>0.3621475347</v>
      </c>
      <c r="BX168" s="208">
        <f t="shared" si="8"/>
        <v>-0.1202369775</v>
      </c>
      <c r="BY168" s="207">
        <f>IFERROR(__xludf.DUMMYFUNCTION("AVERAGE(ARRAYFORMULA(XLOOKUP(FILTER(INDIRECT(""'""&amp;BY$1&amp;""'!$C$4:$C$66""),INDIRECT(""'""&amp;BY$1&amp;""'!$D$4:$D$66"")=BY$2),$G$4:$BQ$4,$G168:$BQ168)))"),0.3846091773809524)</f>
        <v>0.3846091774</v>
      </c>
      <c r="BZ168" s="207" t="str">
        <f>IFERROR(__xludf.DUMMYFUNCTION("IF(OR(BY168&gt;$BS168+$BT168*$BT$2,BY168&lt;$BS168-$BT168*$BT$2),AVEDEV(ARRAYFORMULA(XLOOKUP(FILTER(INDIRECT(""'""&amp;BY$1&amp;""'!$C$4:$C$66""),INDIRECT(""'""&amp;BY$1&amp;""'!$D$4:$D$66"")=BY$2),$G$4:$BQ$4,$G168:$BQ168))),"""")"),"")</f>
        <v/>
      </c>
      <c r="CA168" s="208" t="str">
        <f t="shared" si="9"/>
        <v/>
      </c>
      <c r="CB168" s="207">
        <f>IFERROR(__xludf.DUMMYFUNCTION("AVERAGE(ARRAYFORMULA(XLOOKUP(FILTER(INDIRECT(""'""&amp;CB$1&amp;""'!$C$4:$C$66""),INDIRECT(""'""&amp;CB$1&amp;""'!$D$4:$D$66"")=CB$2),$G$4:$BQ$4,$G168:$BQ168)))"),-0.2264086445454545)</f>
        <v>-0.2264086445</v>
      </c>
      <c r="CC168" s="207" t="str">
        <f>IFERROR(__xludf.DUMMYFUNCTION("IF(OR(CB168&gt;$BS168+$BT168*$BT$2,CB168&lt;$BS168-$BT168*$BT$2),AVEDEV(ARRAYFORMULA(XLOOKUP(FILTER(INDIRECT(""'""&amp;CB$1&amp;""'!$C$4:$C$66""),INDIRECT(""'""&amp;CB$1&amp;""'!$D$4:$D$66"")=CB$2),$G$4:$BQ$4,$G168:$BQ168))),"""")"),"")</f>
        <v/>
      </c>
      <c r="CD168" s="208" t="str">
        <f t="shared" si="10"/>
        <v/>
      </c>
      <c r="CE168" s="209" t="s">
        <v>444</v>
      </c>
      <c r="CF168" s="207">
        <f>IFERROR(__xludf.DUMMYFUNCTION("AVERAGE(ARRAYFORMULA(XLOOKUP(FILTER(INDIRECT(""'""&amp;CF$1&amp;""'!$C$4:$C$66""),INDIRECT(""'""&amp;CF$1&amp;""'!$D$4:$D$66"")=CF$2),$G$4:$BQ$4,$G168:$BQ168)))"),0.5051995125000001)</f>
        <v>0.5051995125</v>
      </c>
      <c r="CG168" s="207" t="str">
        <f>IFERROR(__xludf.DUMMYFUNCTION("IF(OR(CF168&gt;$BS168+$BT168*$BT$2,CF168&lt;$BS168-$BT168*$BT$2),AVEDEV(ARRAYFORMULA(XLOOKUP(FILTER(INDIRECT(""'""&amp;CF$1&amp;""'!$C$4:$C$66""),INDIRECT(""'""&amp;CF$1&amp;""'!$D$4:$D$66"")=CF$2),$G$4:$BQ$4,$G168:$BQ168))),"""")"),"")</f>
        <v/>
      </c>
      <c r="CH168" s="208" t="str">
        <f t="shared" si="11"/>
        <v/>
      </c>
      <c r="CI168" s="207">
        <f>IFERROR(__xludf.DUMMYFUNCTION("AVERAGE(ARRAYFORMULA(XLOOKUP(FILTER(INDIRECT(""'""&amp;CI$1&amp;""'!$C$4:$C$66""),INDIRECT(""'""&amp;CI$1&amp;""'!$D$4:$D$66"")=CI$2),$G$4:$BQ$4,$G168:$BQ168)))"),0.12419931354838708)</f>
        <v>0.1241993135</v>
      </c>
      <c r="CJ168" s="207" t="str">
        <f>IFERROR(__xludf.DUMMYFUNCTION("IF(OR(CI168&gt;$BS168+$BT168*$BT$2,CI168&lt;$BS168-$BT168*$BT$2),AVEDEV(ARRAYFORMULA(XLOOKUP(FILTER(INDIRECT(""'""&amp;CI$1&amp;""'!$C$4:$C$66""),INDIRECT(""'""&amp;CI$1&amp;""'!$D$4:$D$66"")=CI$2),$G$4:$BQ$4,$G168:$BQ168))),"""")"),"")</f>
        <v/>
      </c>
      <c r="CK168" s="208" t="str">
        <f t="shared" si="12"/>
        <v/>
      </c>
      <c r="CL168" s="207">
        <f>IFERROR(__xludf.DUMMYFUNCTION("AVERAGE(ARRAYFORMULA(XLOOKUP(FILTER(INDIRECT(""'""&amp;CL$1&amp;""'!$C$4:$C$66""),INDIRECT(""'""&amp;CL$1&amp;""'!$D$4:$D$66"")=CL$2),$G$4:$BQ$4,$G168:$BQ168)))"),-0.43591192)</f>
        <v>-0.43591192</v>
      </c>
      <c r="CM168" s="207" t="str">
        <f>IFERROR(__xludf.DUMMYFUNCTION("IF(OR(CL168&gt;$BS168+$BT168*$BT$2,CL168&lt;$BS168-$BT168*$BT$2),AVEDEV(ARRAYFORMULA(XLOOKUP(FILTER(INDIRECT(""'""&amp;CL$1&amp;""'!$C$4:$C$66""),INDIRECT(""'""&amp;CL$1&amp;""'!$D$4:$D$66"")=CL$2),$G$4:$BQ$4,$G168:$BQ168))),"""")"),"")</f>
        <v/>
      </c>
      <c r="CN168" s="208" t="str">
        <f t="shared" si="13"/>
        <v/>
      </c>
      <c r="CO168" s="209" t="s">
        <v>444</v>
      </c>
      <c r="CP168" s="210">
        <f>IFERROR(__xludf.DUMMYFUNCTION("AVERAGE(ARRAYFORMULA(XLOOKUP(FILTER(INDIRECT(""'""&amp;CP$1&amp;""'!$C$4:$C$66""),INDIRECT(""'""&amp;CP$1&amp;""'!$D$4:$D$66"")=CP$2),$G$4:$BQ$4,$G168:$BQ168)))"),0.42732918999999997)</f>
        <v>0.42732919</v>
      </c>
      <c r="CQ168" s="207" t="str">
        <f>IFERROR(__xludf.DUMMYFUNCTION("IF(OR(CP168&gt;$BS168+$BT168*$BT$2,CP168&lt;$BS168-$BT168*$BT$2),AVEDEV(ARRAYFORMULA(XLOOKUP(FILTER(INDIRECT(""'""&amp;CP$1&amp;""'!$C$4:$C$66""),INDIRECT(""'""&amp;CP$1&amp;""'!$D$4:$D$66"")=CP$2),$G$4:$BQ$4,$G168:$BQ168))),"""")"),"")</f>
        <v/>
      </c>
      <c r="CR168" s="208" t="str">
        <f t="shared" si="14"/>
        <v/>
      </c>
      <c r="CS168" s="210">
        <f>IFERROR(__xludf.DUMMYFUNCTION("AVERAGE(ARRAYFORMULA(XLOOKUP(FILTER(INDIRECT(""'""&amp;CS$1&amp;""'!$C$4:$C$66""),INDIRECT(""'""&amp;CS$1&amp;""'!$D$4:$D$66"")=CS$2),$G$4:$BQ$4,$G168:$BQ168)))"),0.1542206553846154)</f>
        <v>0.1542206554</v>
      </c>
      <c r="CT168" s="207" t="str">
        <f>IFERROR(__xludf.DUMMYFUNCTION("IF(OR(CS168&gt;$BS168+$BT168*$BT$2,CS168&lt;$BS168-$BT168*$BT$2),AVEDEV(ARRAYFORMULA(XLOOKUP(FILTER(INDIRECT(""'""&amp;CS$1&amp;""'!$C$4:$C$66""),INDIRECT(""'""&amp;CS$1&amp;""'!$D$4:$D$66"")=CS$2),$G$4:$BQ$4,$G168:$BQ168))),"""")"),"")</f>
        <v/>
      </c>
      <c r="CU168" s="208" t="str">
        <f t="shared" si="15"/>
        <v/>
      </c>
      <c r="CV168" s="210">
        <f>IFERROR(__xludf.DUMMYFUNCTION("AVERAGE(ARRAYFORMULA(XLOOKUP(FILTER(INDIRECT(""'""&amp;CV$1&amp;""'!$C$4:$C$66""),INDIRECT(""'""&amp;CV$1&amp;""'!$D$4:$D$66"")=CV$2),$G$4:$BQ$4,$G168:$BQ168)))"),-0.43591192)</f>
        <v>-0.43591192</v>
      </c>
      <c r="CW168" s="207" t="str">
        <f>IFERROR(__xludf.DUMMYFUNCTION("IF(OR(CV168&gt;$BS168+$BT168*$BT$2,CV168&lt;$BS168-$BT168*$BT$2),AVEDEV(ARRAYFORMULA(XLOOKUP(FILTER(INDIRECT(""'""&amp;CV$1&amp;""'!$C$4:$C$66""),INDIRECT(""'""&amp;CV$1&amp;""'!$D$4:$D$66"")=CV$2),$G$4:$BQ$4,$G168:$BQ168))),"""")"),"")</f>
        <v/>
      </c>
      <c r="CX168" s="208" t="str">
        <f t="shared" si="16"/>
        <v/>
      </c>
      <c r="CY168" s="209" t="s">
        <v>444</v>
      </c>
      <c r="CZ168" s="210">
        <f>IFERROR(__xludf.DUMMYFUNCTION("AVERAGE(ARRAYFORMULA(XLOOKUP(FILTER(INDIRECT(""'""&amp;CZ$1&amp;""'!$C$4:$C$66""),INDIRECT(""'""&amp;CZ$1&amp;""'!$D$4:$D$66"")=CZ$2),$G$4:$BQ$4,$G168:$BQ168)))"),0.6242370492857143)</f>
        <v>0.6242370493</v>
      </c>
      <c r="DA168" s="207" t="str">
        <f>IFERROR(__xludf.DUMMYFUNCTION("IF(OR(CZ168&gt;$BS168+$BT168*$BT$2,CZ168&lt;$BS168-$BT168*$BT$2),AVEDEV(ARRAYFORMULA(XLOOKUP(FILTER(INDIRECT(""'""&amp;CZ$1&amp;""'!$C$4:$C$66""),INDIRECT(""'""&amp;CZ$1&amp;""'!$D$4:$D$66"")=CZ$2),$G$4:$BQ$4,$G168:$BQ168))),"""")"),"")</f>
        <v/>
      </c>
      <c r="DB168" s="208" t="str">
        <f t="shared" si="17"/>
        <v/>
      </c>
      <c r="DC168" s="210">
        <f>IFERROR(__xludf.DUMMYFUNCTION("AVERAGE(ARRAYFORMULA(XLOOKUP(FILTER(INDIRECT(""'""&amp;DC$1&amp;""'!$C$4:$C$66""),INDIRECT(""'""&amp;DC$1&amp;""'!$D$4:$D$66"")=DC$2),$G$4:$BQ$4,$G168:$BQ168)))"),-0.13865362111111112)</f>
        <v>-0.1386536211</v>
      </c>
      <c r="DD168" s="207" t="str">
        <f>IFERROR(__xludf.DUMMYFUNCTION("IF(OR(DC168&gt;$BS168+$BT168*$BT$2,DC168&lt;$BS168-$BT168*$BT$2),AVEDEV(ARRAYFORMULA(XLOOKUP(FILTER(INDIRECT(""'""&amp;DC$1&amp;""'!$C$4:$C$66""),INDIRECT(""'""&amp;DC$1&amp;""'!$D$4:$D$66"")=DC$2),$G$4:$BQ$4,$G168:$BQ168))),"""")"),"")</f>
        <v/>
      </c>
      <c r="DE168" s="208" t="str">
        <f t="shared" si="18"/>
        <v/>
      </c>
      <c r="DF168" s="210">
        <f>IFERROR(__xludf.DUMMYFUNCTION("AVERAGE(ARRAYFORMULA(XLOOKUP(FILTER(INDIRECT(""'""&amp;DF$1&amp;""'!$C$4:$C$66""),INDIRECT(""'""&amp;DF$1&amp;""'!$D$4:$D$66"")=DF$2),$G$4:$BQ$4,$G168:$BQ168)))"),0.5244426136363637)</f>
        <v>0.5244426136</v>
      </c>
      <c r="DG168" s="207" t="str">
        <f>IFERROR(__xludf.DUMMYFUNCTION("IF(OR(DF168&gt;$BS168+$BT168*$BT$2,DF168&lt;$BS168-$BT168*$BT$2),AVEDEV(ARRAYFORMULA(XLOOKUP(FILTER(INDIRECT(""'""&amp;DF$1&amp;""'!$C$4:$C$66""),INDIRECT(""'""&amp;DF$1&amp;""'!$D$4:$D$66"")=DF$2),$G$4:$BQ$4,$G168:$BQ168))),"""")"),"")</f>
        <v/>
      </c>
      <c r="DH168" s="208" t="str">
        <f t="shared" si="19"/>
        <v/>
      </c>
      <c r="DI168" s="210">
        <f>IFERROR(__xludf.DUMMYFUNCTION("AVERAGE(ARRAYFORMULA(XLOOKUP(FILTER(INDIRECT(""'""&amp;DI$1&amp;""'!$C$4:$C$66""),INDIRECT(""'""&amp;DI$1&amp;""'!$D$4:$D$66"")=DI$2),$G$4:$BQ$4,$G168:$BQ168)))"),1.21249765)</f>
        <v>1.21249765</v>
      </c>
      <c r="DJ168" s="207">
        <f>IFERROR(__xludf.DUMMYFUNCTION("IF(OR(DI168&gt;$BS168+$BT168*$BT$2,DI168&lt;$BS168-$BT168*$BT$2),AVEDEV(ARRAYFORMULA(XLOOKUP(FILTER(INDIRECT(""'""&amp;DI$1&amp;""'!$C$4:$C$66""),INDIRECT(""'""&amp;DI$1&amp;""'!$D$4:$D$66"")=DI$2),$G$4:$BQ$4,$G168:$BQ168))),"""")"),0.37944664)</f>
        <v>0.37944664</v>
      </c>
      <c r="DK168" s="208">
        <f t="shared" si="20"/>
        <v>0.433285834</v>
      </c>
      <c r="DL168" s="210">
        <f>IFERROR(__xludf.DUMMYFUNCTION("AVERAGE(ARRAYFORMULA(XLOOKUP(FILTER(INDIRECT(""'""&amp;DL$1&amp;""'!$C$4:$C$66""),INDIRECT(""'""&amp;DL$1&amp;""'!$D$4:$D$66"")=DL$2),$G$4:$BQ$4,$G168:$BQ168)))"),-0.10666559571428572)</f>
        <v>-0.1066655957</v>
      </c>
      <c r="DM168" s="207" t="str">
        <f>IFERROR(__xludf.DUMMYFUNCTION("IF(OR(DL168&gt;$BS168+$BT168*$BT$2,DL168&lt;$BS168-$BT168*$BT$2),AVEDEV(ARRAYFORMULA(XLOOKUP(FILTER(INDIRECT(""'""&amp;DL$1&amp;""'!$C$4:$C$66""),INDIRECT(""'""&amp;DL$1&amp;""'!$D$4:$D$66"")=DL$2),$G$4:$BQ$4,$G168:$BQ168))),"""")"),"")</f>
        <v/>
      </c>
      <c r="DN168" s="208" t="str">
        <f t="shared" si="21"/>
        <v/>
      </c>
      <c r="DO168" s="209" t="s">
        <v>444</v>
      </c>
      <c r="DP168" s="210">
        <f>IFERROR(__xludf.DUMMYFUNCTION("AVERAGE(ARRAYFORMULA(XLOOKUP(FILTER(INDIRECT(""'""&amp;DP$1&amp;""'!$C$4:$C$66""),INDIRECT(""'""&amp;DP$1&amp;""'!$D$4:$D$66"")=DP$2),$G$4:$BQ$4,$G168:$BQ168)))"),0.4115565563333333)</f>
        <v>0.4115565563</v>
      </c>
      <c r="DQ168" s="207" t="str">
        <f>IFERROR(__xludf.DUMMYFUNCTION("IF(OR(DP168&gt;$BS168+$BT168*$BT$2,DP168&lt;$BS168-$BT168*$BT$2),AVEDEV(ARRAYFORMULA(XLOOKUP(FILTER(INDIRECT(""'""&amp;DP$1&amp;""'!$C$4:$C$66""),INDIRECT(""'""&amp;DP$1&amp;""'!$D$4:$D$66"")=DP$2),$G$4:$BQ$4,$G168:$BQ168))),"""")"),"")</f>
        <v/>
      </c>
      <c r="DR168" s="208" t="str">
        <f t="shared" si="22"/>
        <v/>
      </c>
      <c r="DS168" s="210">
        <f>IFERROR(__xludf.DUMMYFUNCTION("AVERAGE(ARRAYFORMULA(XLOOKUP(FILTER(INDIRECT(""'""&amp;DS$1&amp;""'!$C$4:$C$66""),INDIRECT(""'""&amp;DS$1&amp;""'!$D$4:$D$66"")=DS$2),$G$4:$BQ$4,$G168:$BQ168)))"),-0.18035427333333337)</f>
        <v>-0.1803542733</v>
      </c>
      <c r="DT168" s="207" t="str">
        <f>IFERROR(__xludf.DUMMYFUNCTION("IF(OR(DS168&gt;$BS168+$BT168*$BT$2,DS168&lt;$BS168-$BT168*$BT$2),AVEDEV(ARRAYFORMULA(XLOOKUP(FILTER(INDIRECT(""'""&amp;DS$1&amp;""'!$C$4:$C$66""),INDIRECT(""'""&amp;DS$1&amp;""'!$D$4:$D$66"")=DS$2),$G$4:$BQ$4,$G168:$BQ168))),"""")"),"")</f>
        <v/>
      </c>
      <c r="DU168" s="208" t="str">
        <f t="shared" si="23"/>
        <v/>
      </c>
      <c r="DV168" s="210">
        <f>IFERROR(__xludf.DUMMYFUNCTION("AVERAGE(ARRAYFORMULA(XLOOKUP(FILTER(INDIRECT(""'""&amp;DV$1&amp;""'!$C$4:$C$66""),INDIRECT(""'""&amp;DV$1&amp;""'!$D$4:$D$66"")=DV$2),$G$4:$BQ$4,$G168:$BQ168)))"),-0.33968567375000003)</f>
        <v>-0.3396856738</v>
      </c>
      <c r="DW168" s="207" t="str">
        <f>IFERROR(__xludf.DUMMYFUNCTION("IF(OR(DV168&gt;$BS168+$BT168*$BT$2,DV168&lt;$BS168-$BT168*$BT$2),AVEDEV(ARRAYFORMULA(XLOOKUP(FILTER(INDIRECT(""'""&amp;DV$1&amp;""'!$C$4:$C$66""),INDIRECT(""'""&amp;DV$1&amp;""'!$D$4:$D$66"")=DV$2),$G$4:$BQ$4,$G168:$BQ168))),"""")"),"")</f>
        <v/>
      </c>
      <c r="DX168" s="208" t="str">
        <f t="shared" si="24"/>
        <v/>
      </c>
      <c r="DY168" s="210">
        <f>IFERROR(__xludf.DUMMYFUNCTION("AVERAGE(ARRAYFORMULA(XLOOKUP(FILTER(INDIRECT(""'""&amp;DY$1&amp;""'!$C$4:$C$66""),INDIRECT(""'""&amp;DY$1&amp;""'!$D$4:$D$66"")=DY$2),$G$4:$BQ$4,$G168:$BQ168)))"),0.45465001888888895)</f>
        <v>0.4546500189</v>
      </c>
      <c r="DZ168" s="207" t="str">
        <f>IFERROR(__xludf.DUMMYFUNCTION("IF(OR(DY168&gt;$BS168+$BT168*$BT$2,DY168&lt;$BS168-$BT168*$BT$2),AVEDEV(ARRAYFORMULA(XLOOKUP(FILTER(INDIRECT(""'""&amp;DY$1&amp;""'!$C$4:$C$66""),INDIRECT(""'""&amp;DY$1&amp;""'!$D$4:$D$66"")=DY$2),$G$4:$BQ$4,$G168:$BQ168))),"""")"),"")</f>
        <v/>
      </c>
      <c r="EA168" s="208" t="str">
        <f t="shared" si="25"/>
        <v/>
      </c>
      <c r="EB168" s="191"/>
    </row>
    <row r="169" outlineLevel="1">
      <c r="A169" s="2"/>
      <c r="B169" s="204">
        <v>165.0</v>
      </c>
      <c r="C169" s="204" t="s">
        <v>601</v>
      </c>
      <c r="D169" s="204" t="s">
        <v>612</v>
      </c>
      <c r="E169" s="205" t="b">
        <f>VLOOKUP(D169,'Feature Set List'!A165:C246,2,0)</f>
        <v>1</v>
      </c>
      <c r="F169" s="205" t="b">
        <f>VLOOKUP(D169,'Feature Set List'!A165:C246,3,0)</f>
        <v>0</v>
      </c>
      <c r="G169" s="205">
        <v>-0.2523059</v>
      </c>
      <c r="H169" s="205">
        <v>-0.1205147</v>
      </c>
      <c r="I169" s="205">
        <v>-0.0201243</v>
      </c>
      <c r="J169" s="205">
        <v>2.18557178</v>
      </c>
      <c r="K169" s="205">
        <v>0.04013301</v>
      </c>
      <c r="L169" s="205">
        <v>-0.0803238</v>
      </c>
      <c r="M169" s="205">
        <v>0.0</v>
      </c>
      <c r="N169" s="205">
        <v>0.13768975</v>
      </c>
      <c r="O169" s="205">
        <v>1.63215267</v>
      </c>
      <c r="P169" s="205">
        <v>0.13913546</v>
      </c>
      <c r="Q169" s="205">
        <v>-0.0925257</v>
      </c>
      <c r="R169" s="205">
        <v>-0.1205147</v>
      </c>
      <c r="S169" s="205">
        <v>0.15272517</v>
      </c>
      <c r="T169" s="205">
        <v>0.16712448</v>
      </c>
      <c r="U169" s="205">
        <v>0.91450051</v>
      </c>
      <c r="V169" s="205">
        <v>-0.1330635</v>
      </c>
      <c r="W169" s="205">
        <v>-0.0389186</v>
      </c>
      <c r="X169" s="205">
        <v>1.18455978</v>
      </c>
      <c r="Y169" s="205">
        <v>-0.1570045</v>
      </c>
      <c r="Z169" s="205">
        <v>-0.2231025</v>
      </c>
      <c r="AA169" s="205">
        <v>-0.3212954</v>
      </c>
      <c r="AB169" s="205">
        <v>0.34199798</v>
      </c>
      <c r="AC169" s="205">
        <v>-0.3212954</v>
      </c>
      <c r="AD169" s="205">
        <v>-0.1599537</v>
      </c>
      <c r="AE169" s="205">
        <v>-0.0737314</v>
      </c>
      <c r="AF169" s="205">
        <v>0.11947376</v>
      </c>
      <c r="AG169" s="205">
        <v>-0.1655053</v>
      </c>
      <c r="AH169" s="205">
        <v>0.19754229</v>
      </c>
      <c r="AI169" s="205">
        <v>0.09177389</v>
      </c>
      <c r="AJ169" s="205">
        <v>0.82602284</v>
      </c>
      <c r="AK169" s="205">
        <v>1.08682955</v>
      </c>
      <c r="AL169" s="205">
        <v>-0.2285962</v>
      </c>
      <c r="AM169" s="205">
        <v>-0.3212954</v>
      </c>
      <c r="AN169" s="205">
        <v>-0.1441087</v>
      </c>
      <c r="AO169" s="205">
        <v>3.99444846</v>
      </c>
      <c r="AP169" s="205">
        <v>1.93748735</v>
      </c>
      <c r="AQ169" s="205">
        <v>-0.1864392</v>
      </c>
      <c r="AR169" s="205">
        <v>3.35891282</v>
      </c>
      <c r="AS169" s="205">
        <v>0.58198641</v>
      </c>
      <c r="AT169" s="205">
        <v>1.35978025</v>
      </c>
      <c r="AU169" s="205">
        <v>6.38681509</v>
      </c>
      <c r="AV169" s="205">
        <v>0.94688449</v>
      </c>
      <c r="AW169" s="205">
        <v>-0.2517855</v>
      </c>
      <c r="AX169" s="205">
        <v>-0.1009108</v>
      </c>
      <c r="AY169" s="205">
        <v>3.50174931</v>
      </c>
      <c r="AZ169" s="205">
        <v>-0.0150354</v>
      </c>
      <c r="BA169" s="205">
        <v>0.0072864</v>
      </c>
      <c r="BB169" s="205">
        <v>0.87286396</v>
      </c>
      <c r="BC169" s="205">
        <v>2.00514674</v>
      </c>
      <c r="BD169" s="205">
        <v>-0.0803238</v>
      </c>
      <c r="BE169" s="205">
        <v>1.93748735</v>
      </c>
      <c r="BF169" s="205">
        <v>-0.1248518</v>
      </c>
      <c r="BG169" s="205">
        <v>0.10894897</v>
      </c>
      <c r="BH169" s="205">
        <v>-0.1599537</v>
      </c>
      <c r="BI169" s="205">
        <v>0.64270638</v>
      </c>
      <c r="BJ169" s="205">
        <v>-0.0042793</v>
      </c>
      <c r="BK169" s="205">
        <v>0.05915859</v>
      </c>
      <c r="BL169" s="205">
        <v>-0.3212954</v>
      </c>
      <c r="BM169" s="205">
        <v>-0.3212954</v>
      </c>
      <c r="BN169" s="205">
        <v>1.18455978</v>
      </c>
      <c r="BO169" s="205">
        <v>-0.3212954</v>
      </c>
      <c r="BP169" s="205">
        <v>-0.1135752</v>
      </c>
      <c r="BQ169" s="205">
        <v>-0.1795576</v>
      </c>
      <c r="BR169" s="206"/>
      <c r="BS169" s="207">
        <f t="shared" si="6"/>
        <v>0.5229948741</v>
      </c>
      <c r="BT169" s="207">
        <f t="shared" si="7"/>
        <v>0.8445575527</v>
      </c>
      <c r="BU169" s="206"/>
      <c r="BV169" s="207">
        <f>IFERROR(__xludf.DUMMYFUNCTION("AVERAGE(ARRAYFORMULA(XLOOKUP(FILTER(INDIRECT(""'""&amp;BV$1&amp;""'!$C$4:$C$66""),INDIRECT(""'""&amp;BV$1&amp;""'!$D$4:$D$66"")=BV$2),$G$4:$BQ$4,$G169:$BQ169)))"),1.7263305671428573)</f>
        <v>1.726330567</v>
      </c>
      <c r="BW169" s="207">
        <f>IFERROR(__xludf.DUMMYFUNCTION("IF(OR(BV169&gt;$BS169+$BT169*$BT$2,BV169&lt;$BS169-$BT169*$BT$2),AVEDEV(ARRAYFORMULA(XLOOKUP(FILTER(INDIRECT(""'""&amp;BV$1&amp;""'!$C$4:$C$66""),INDIRECT(""'""&amp;BV$1&amp;""'!$D$4:$D$66"")=BV$2),$G$4:$BQ$4,$G169:$BQ169))),"""")"),1.215626691020408)</f>
        <v>1.215626691</v>
      </c>
      <c r="BX169" s="208">
        <f t="shared" si="8"/>
        <v>0.3587781403</v>
      </c>
      <c r="BY169" s="207">
        <f>IFERROR(__xludf.DUMMYFUNCTION("AVERAGE(ARRAYFORMULA(XLOOKUP(FILTER(INDIRECT(""'""&amp;BY$1&amp;""'!$C$4:$C$66""),INDIRECT(""'""&amp;BY$1&amp;""'!$D$4:$D$66"")=BY$2),$G$4:$BQ$4,$G169:$BQ169)))"),0.3573776097619048)</f>
        <v>0.3573776098</v>
      </c>
      <c r="BZ169" s="207" t="str">
        <f>IFERROR(__xludf.DUMMYFUNCTION("IF(OR(BY169&gt;$BS169+$BT169*$BT$2,BY169&lt;$BS169-$BT169*$BT$2),AVEDEV(ARRAYFORMULA(XLOOKUP(FILTER(INDIRECT(""'""&amp;BY$1&amp;""'!$C$4:$C$66""),INDIRECT(""'""&amp;BY$1&amp;""'!$D$4:$D$66"")=BY$2),$G$4:$BQ$4,$G169:$BQ169))),"""")"),"")</f>
        <v/>
      </c>
      <c r="CA169" s="208" t="str">
        <f t="shared" si="9"/>
        <v/>
      </c>
      <c r="CB169" s="207">
        <f>IFERROR(__xludf.DUMMYFUNCTION("AVERAGE(ARRAYFORMULA(XLOOKUP(FILTER(INDIRECT(""'""&amp;CB$1&amp;""'!$C$4:$C$66""),INDIRECT(""'""&amp;CB$1&amp;""'!$D$4:$D$66"")=CB$2),$G$4:$BQ$4,$G169:$BQ169)))"),-0.03926031818181819)</f>
        <v>-0.03926031818</v>
      </c>
      <c r="CC169" s="207" t="str">
        <f>IFERROR(__xludf.DUMMYFUNCTION("IF(OR(CB169&gt;$BS169+$BT169*$BT$2,CB169&lt;$BS169-$BT169*$BT$2),AVEDEV(ARRAYFORMULA(XLOOKUP(FILTER(INDIRECT(""'""&amp;CB$1&amp;""'!$C$4:$C$66""),INDIRECT(""'""&amp;CB$1&amp;""'!$D$4:$D$66"")=CB$2),$G$4:$BQ$4,$G169:$BQ169))),"""")"),"")</f>
        <v/>
      </c>
      <c r="CD169" s="208" t="str">
        <f t="shared" si="10"/>
        <v/>
      </c>
      <c r="CE169" s="209" t="s">
        <v>444</v>
      </c>
      <c r="CF169" s="207">
        <f>IFERROR(__xludf.DUMMYFUNCTION("AVERAGE(ARRAYFORMULA(XLOOKUP(FILTER(INDIRECT(""'""&amp;CF$1&amp;""'!$C$4:$C$66""),INDIRECT(""'""&amp;CF$1&amp;""'!$D$4:$D$66"")=CF$2),$G$4:$BQ$4,$G169:$BQ169)))"),0.47317116562499995)</f>
        <v>0.4731711656</v>
      </c>
      <c r="CG169" s="207" t="str">
        <f>IFERROR(__xludf.DUMMYFUNCTION("IF(OR(CF169&gt;$BS169+$BT169*$BT$2,CF169&lt;$BS169-$BT169*$BT$2),AVEDEV(ARRAYFORMULA(XLOOKUP(FILTER(INDIRECT(""'""&amp;CF$1&amp;""'!$C$4:$C$66""),INDIRECT(""'""&amp;CF$1&amp;""'!$D$4:$D$66"")=CF$2),$G$4:$BQ$4,$G169:$BQ169))),"""")"),"")</f>
        <v/>
      </c>
      <c r="CH169" s="208" t="str">
        <f t="shared" si="11"/>
        <v/>
      </c>
      <c r="CI169" s="207">
        <f>IFERROR(__xludf.DUMMYFUNCTION("AVERAGE(ARRAYFORMULA(XLOOKUP(FILTER(INDIRECT(""'""&amp;CI$1&amp;""'!$C$4:$C$66""),INDIRECT(""'""&amp;CI$1&amp;""'!$D$4:$D$66"")=CI$2),$G$4:$BQ$4,$G169:$BQ169)))"),0.35052488870967735)</f>
        <v>0.3505248887</v>
      </c>
      <c r="CJ169" s="207" t="str">
        <f>IFERROR(__xludf.DUMMYFUNCTION("IF(OR(CI169&gt;$BS169+$BT169*$BT$2,CI169&lt;$BS169-$BT169*$BT$2),AVEDEV(ARRAYFORMULA(XLOOKUP(FILTER(INDIRECT(""'""&amp;CI$1&amp;""'!$C$4:$C$66""),INDIRECT(""'""&amp;CI$1&amp;""'!$D$4:$D$66"")=CI$2),$G$4:$BQ$4,$G169:$BQ169))),"""")"),"")</f>
        <v/>
      </c>
      <c r="CK169" s="208" t="str">
        <f t="shared" si="12"/>
        <v/>
      </c>
      <c r="CL169" s="207">
        <f>IFERROR(__xludf.DUMMYFUNCTION("AVERAGE(ARRAYFORMULA(XLOOKUP(FILTER(INDIRECT(""'""&amp;CL$1&amp;""'!$C$4:$C$66""),INDIRECT(""'""&amp;CL$1&amp;""'!$D$4:$D$66"")=CL$2),$G$4:$BQ$4,$G169:$BQ169)))"),0.200896344)</f>
        <v>0.200896344</v>
      </c>
      <c r="CM169" s="207" t="str">
        <f>IFERROR(__xludf.DUMMYFUNCTION("IF(OR(CL169&gt;$BS169+$BT169*$BT$2,CL169&lt;$BS169-$BT169*$BT$2),AVEDEV(ARRAYFORMULA(XLOOKUP(FILTER(INDIRECT(""'""&amp;CL$1&amp;""'!$C$4:$C$66""),INDIRECT(""'""&amp;CL$1&amp;""'!$D$4:$D$66"")=CL$2),$G$4:$BQ$4,$G169:$BQ169))),"""")"),"")</f>
        <v/>
      </c>
      <c r="CN169" s="208" t="str">
        <f t="shared" si="13"/>
        <v/>
      </c>
      <c r="CO169" s="209" t="s">
        <v>444</v>
      </c>
      <c r="CP169" s="210">
        <f>IFERROR(__xludf.DUMMYFUNCTION("AVERAGE(ARRAYFORMULA(XLOOKUP(FILTER(INDIRECT(""'""&amp;CP$1&amp;""'!$C$4:$C$66""),INDIRECT(""'""&amp;CP$1&amp;""'!$D$4:$D$66"")=CP$2),$G$4:$BQ$4,$G169:$BQ169)))"),0.3452132313333333)</f>
        <v>0.3452132313</v>
      </c>
      <c r="CQ169" s="207" t="str">
        <f>IFERROR(__xludf.DUMMYFUNCTION("IF(OR(CP169&gt;$BS169+$BT169*$BT$2,CP169&lt;$BS169-$BT169*$BT$2),AVEDEV(ARRAYFORMULA(XLOOKUP(FILTER(INDIRECT(""'""&amp;CP$1&amp;""'!$C$4:$C$66""),INDIRECT(""'""&amp;CP$1&amp;""'!$D$4:$D$66"")=CP$2),$G$4:$BQ$4,$G169:$BQ169))),"""")"),"")</f>
        <v/>
      </c>
      <c r="CR169" s="208" t="str">
        <f t="shared" si="14"/>
        <v/>
      </c>
      <c r="CS169" s="210">
        <f>IFERROR(__xludf.DUMMYFUNCTION("AVERAGE(ARRAYFORMULA(XLOOKUP(FILTER(INDIRECT(""'""&amp;CS$1&amp;""'!$C$4:$C$66""),INDIRECT(""'""&amp;CS$1&amp;""'!$D$4:$D$66"")=CS$2),$G$4:$BQ$4,$G169:$BQ169)))"),0.5333570587179489)</f>
        <v>0.5333570587</v>
      </c>
      <c r="CT169" s="207" t="str">
        <f>IFERROR(__xludf.DUMMYFUNCTION("IF(OR(CS169&gt;$BS169+$BT169*$BT$2,CS169&lt;$BS169-$BT169*$BT$2),AVEDEV(ARRAYFORMULA(XLOOKUP(FILTER(INDIRECT(""'""&amp;CS$1&amp;""'!$C$4:$C$66""),INDIRECT(""'""&amp;CS$1&amp;""'!$D$4:$D$66"")=CS$2),$G$4:$BQ$4,$G169:$BQ169))),"""")"),"")</f>
        <v/>
      </c>
      <c r="CU169" s="208" t="str">
        <f t="shared" si="15"/>
        <v/>
      </c>
      <c r="CV169" s="210">
        <f>IFERROR(__xludf.DUMMYFUNCTION("AVERAGE(ARRAYFORMULA(XLOOKUP(FILTER(INDIRECT(""'""&amp;CV$1&amp;""'!$C$4:$C$66""),INDIRECT(""'""&amp;CV$1&amp;""'!$D$4:$D$66"")=CV$2),$G$4:$BQ$4,$G169:$BQ169)))"),0.200896344)</f>
        <v>0.200896344</v>
      </c>
      <c r="CW169" s="207" t="str">
        <f>IFERROR(__xludf.DUMMYFUNCTION("IF(OR(CV169&gt;$BS169+$BT169*$BT$2,CV169&lt;$BS169-$BT169*$BT$2),AVEDEV(ARRAYFORMULA(XLOOKUP(FILTER(INDIRECT(""'""&amp;CV$1&amp;""'!$C$4:$C$66""),INDIRECT(""'""&amp;CV$1&amp;""'!$D$4:$D$66"")=CV$2),$G$4:$BQ$4,$G169:$BQ169))),"""")"),"")</f>
        <v/>
      </c>
      <c r="CX169" s="208" t="str">
        <f t="shared" si="16"/>
        <v/>
      </c>
      <c r="CY169" s="209" t="s">
        <v>444</v>
      </c>
      <c r="CZ169" s="210">
        <f>IFERROR(__xludf.DUMMYFUNCTION("AVERAGE(ARRAYFORMULA(XLOOKUP(FILTER(INDIRECT(""'""&amp;CZ$1&amp;""'!$C$4:$C$66""),INDIRECT(""'""&amp;CZ$1&amp;""'!$D$4:$D$66"")=CZ$2),$G$4:$BQ$4,$G169:$BQ169)))"),0.301001665)</f>
        <v>0.301001665</v>
      </c>
      <c r="DA169" s="207" t="str">
        <f>IFERROR(__xludf.DUMMYFUNCTION("IF(OR(CZ169&gt;$BS169+$BT169*$BT$2,CZ169&lt;$BS169-$BT169*$BT$2),AVEDEV(ARRAYFORMULA(XLOOKUP(FILTER(INDIRECT(""'""&amp;CZ$1&amp;""'!$C$4:$C$66""),INDIRECT(""'""&amp;CZ$1&amp;""'!$D$4:$D$66"")=CZ$2),$G$4:$BQ$4,$G169:$BQ169))),"""")"),"")</f>
        <v/>
      </c>
      <c r="DB169" s="208" t="str">
        <f t="shared" si="17"/>
        <v/>
      </c>
      <c r="DC169" s="210">
        <f>IFERROR(__xludf.DUMMYFUNCTION("AVERAGE(ARRAYFORMULA(XLOOKUP(FILTER(INDIRECT(""'""&amp;DC$1&amp;""'!$C$4:$C$66""),INDIRECT(""'""&amp;DC$1&amp;""'!$D$4:$D$66"")=DC$2),$G$4:$BQ$4,$G169:$BQ169)))"),-0.01061474444444445)</f>
        <v>-0.01061474444</v>
      </c>
      <c r="DD169" s="207" t="str">
        <f>IFERROR(__xludf.DUMMYFUNCTION("IF(OR(DC169&gt;$BS169+$BT169*$BT$2,DC169&lt;$BS169-$BT169*$BT$2),AVEDEV(ARRAYFORMULA(XLOOKUP(FILTER(INDIRECT(""'""&amp;DC$1&amp;""'!$C$4:$C$66""),INDIRECT(""'""&amp;DC$1&amp;""'!$D$4:$D$66"")=DC$2),$G$4:$BQ$4,$G169:$BQ169))),"""")"),"")</f>
        <v/>
      </c>
      <c r="DE169" s="208" t="str">
        <f t="shared" si="18"/>
        <v/>
      </c>
      <c r="DF169" s="210">
        <f>IFERROR(__xludf.DUMMYFUNCTION("AVERAGE(ARRAYFORMULA(XLOOKUP(FILTER(INDIRECT(""'""&amp;DF$1&amp;""'!$C$4:$C$66""),INDIRECT(""'""&amp;DF$1&amp;""'!$D$4:$D$66"")=DF$2),$G$4:$BQ$4,$G169:$BQ169)))"),0.16433292272727276)</f>
        <v>0.1643329227</v>
      </c>
      <c r="DG169" s="207" t="str">
        <f>IFERROR(__xludf.DUMMYFUNCTION("IF(OR(DF169&gt;$BS169+$BT169*$BT$2,DF169&lt;$BS169-$BT169*$BT$2),AVEDEV(ARRAYFORMULA(XLOOKUP(FILTER(INDIRECT(""'""&amp;DF$1&amp;""'!$C$4:$C$66""),INDIRECT(""'""&amp;DF$1&amp;""'!$D$4:$D$66"")=DF$2),$G$4:$BQ$4,$G169:$BQ169))),"""")"),"")</f>
        <v/>
      </c>
      <c r="DH169" s="208" t="str">
        <f t="shared" si="19"/>
        <v/>
      </c>
      <c r="DI169" s="210">
        <f>IFERROR(__xludf.DUMMYFUNCTION("AVERAGE(ARRAYFORMULA(XLOOKUP(FILTER(INDIRECT(""'""&amp;DI$1&amp;""'!$C$4:$C$66""),INDIRECT(""'""&amp;DI$1&amp;""'!$D$4:$D$66"")=DI$2),$G$4:$BQ$4,$G169:$BQ169)))"),-0.1599537)</f>
        <v>-0.1599537</v>
      </c>
      <c r="DJ169" s="207" t="str">
        <f>IFERROR(__xludf.DUMMYFUNCTION("IF(OR(DI169&gt;$BS169+$BT169*$BT$2,DI169&lt;$BS169-$BT169*$BT$2),AVEDEV(ARRAYFORMULA(XLOOKUP(FILTER(INDIRECT(""'""&amp;DI$1&amp;""'!$C$4:$C$66""),INDIRECT(""'""&amp;DI$1&amp;""'!$D$4:$D$66"")=DI$2),$G$4:$BQ$4,$G169:$BQ169))),"""")"),"")</f>
        <v/>
      </c>
      <c r="DK169" s="208" t="str">
        <f t="shared" si="20"/>
        <v/>
      </c>
      <c r="DL169" s="210">
        <f>IFERROR(__xludf.DUMMYFUNCTION("AVERAGE(ARRAYFORMULA(XLOOKUP(FILTER(INDIRECT(""'""&amp;DL$1&amp;""'!$C$4:$C$66""),INDIRECT(""'""&amp;DL$1&amp;""'!$D$4:$D$66"")=DL$2),$G$4:$BQ$4,$G169:$BQ169)))"),0.6193519092857142)</f>
        <v>0.6193519093</v>
      </c>
      <c r="DM169" s="207" t="str">
        <f>IFERROR(__xludf.DUMMYFUNCTION("IF(OR(DL169&gt;$BS169+$BT169*$BT$2,DL169&lt;$BS169-$BT169*$BT$2),AVEDEV(ARRAYFORMULA(XLOOKUP(FILTER(INDIRECT(""'""&amp;DL$1&amp;""'!$C$4:$C$66""),INDIRECT(""'""&amp;DL$1&amp;""'!$D$4:$D$66"")=DL$2),$G$4:$BQ$4,$G169:$BQ169))),"""")"),"")</f>
        <v/>
      </c>
      <c r="DN169" s="208" t="str">
        <f t="shared" si="21"/>
        <v/>
      </c>
      <c r="DO169" s="209" t="s">
        <v>444</v>
      </c>
      <c r="DP169" s="210">
        <f>IFERROR(__xludf.DUMMYFUNCTION("AVERAGE(ARRAYFORMULA(XLOOKUP(FILTER(INDIRECT(""'""&amp;DP$1&amp;""'!$C$4:$C$66""),INDIRECT(""'""&amp;DP$1&amp;""'!$D$4:$D$66"")=DP$2),$G$4:$BQ$4,$G169:$BQ169)))"),0.35976868466666667)</f>
        <v>0.3597686847</v>
      </c>
      <c r="DQ169" s="207" t="str">
        <f>IFERROR(__xludf.DUMMYFUNCTION("IF(OR(DP169&gt;$BS169+$BT169*$BT$2,DP169&lt;$BS169-$BT169*$BT$2),AVEDEV(ARRAYFORMULA(XLOOKUP(FILTER(INDIRECT(""'""&amp;DP$1&amp;""'!$C$4:$C$66""),INDIRECT(""'""&amp;DP$1&amp;""'!$D$4:$D$66"")=DP$2),$G$4:$BQ$4,$G169:$BQ169))),"""")"),"")</f>
        <v/>
      </c>
      <c r="DR169" s="208" t="str">
        <f t="shared" si="22"/>
        <v/>
      </c>
      <c r="DS169" s="210">
        <f>IFERROR(__xludf.DUMMYFUNCTION("AVERAGE(ARRAYFORMULA(XLOOKUP(FILTER(INDIRECT(""'""&amp;DS$1&amp;""'!$C$4:$C$66""),INDIRECT(""'""&amp;DS$1&amp;""'!$D$4:$D$66"")=DS$2),$G$4:$BQ$4,$G169:$BQ169)))"),0.06306523666666665)</f>
        <v>0.06306523667</v>
      </c>
      <c r="DT169" s="207" t="str">
        <f>IFERROR(__xludf.DUMMYFUNCTION("IF(OR(DS169&gt;$BS169+$BT169*$BT$2,DS169&lt;$BS169-$BT169*$BT$2),AVEDEV(ARRAYFORMULA(XLOOKUP(FILTER(INDIRECT(""'""&amp;DS$1&amp;""'!$C$4:$C$66""),INDIRECT(""'""&amp;DS$1&amp;""'!$D$4:$D$66"")=DS$2),$G$4:$BQ$4,$G169:$BQ169))),"""")"),"")</f>
        <v/>
      </c>
      <c r="DU169" s="208" t="str">
        <f t="shared" si="23"/>
        <v/>
      </c>
      <c r="DV169" s="210">
        <f>IFERROR(__xludf.DUMMYFUNCTION("AVERAGE(ARRAYFORMULA(XLOOKUP(FILTER(INDIRECT(""'""&amp;DV$1&amp;""'!$C$4:$C$66""),INDIRECT(""'""&amp;DV$1&amp;""'!$D$4:$D$66"")=DV$2),$G$4:$BQ$4,$G169:$BQ169)))"),0.8212881250000001)</f>
        <v>0.821288125</v>
      </c>
      <c r="DW169" s="207" t="str">
        <f>IFERROR(__xludf.DUMMYFUNCTION("IF(OR(DV169&gt;$BS169+$BT169*$BT$2,DV169&lt;$BS169-$BT169*$BT$2),AVEDEV(ARRAYFORMULA(XLOOKUP(FILTER(INDIRECT(""'""&amp;DV$1&amp;""'!$C$4:$C$66""),INDIRECT(""'""&amp;DV$1&amp;""'!$D$4:$D$66"")=DV$2),$G$4:$BQ$4,$G169:$BQ169))),"""")"),"")</f>
        <v/>
      </c>
      <c r="DX169" s="208" t="str">
        <f t="shared" si="24"/>
        <v/>
      </c>
      <c r="DY169" s="210">
        <f>IFERROR(__xludf.DUMMYFUNCTION("AVERAGE(ARRAYFORMULA(XLOOKUP(FILTER(INDIRECT(""'""&amp;DY$1&amp;""'!$C$4:$C$66""),INDIRECT(""'""&amp;DY$1&amp;""'!$D$4:$D$66"")=DY$2),$G$4:$BQ$4,$G169:$BQ169)))"),0.05719241666666668)</f>
        <v>0.05719241667</v>
      </c>
      <c r="DZ169" s="207" t="str">
        <f>IFERROR(__xludf.DUMMYFUNCTION("IF(OR(DY169&gt;$BS169+$BT169*$BT$2,DY169&lt;$BS169-$BT169*$BT$2),AVEDEV(ARRAYFORMULA(XLOOKUP(FILTER(INDIRECT(""'""&amp;DY$1&amp;""'!$C$4:$C$66""),INDIRECT(""'""&amp;DY$1&amp;""'!$D$4:$D$66"")=DY$2),$G$4:$BQ$4,$G169:$BQ169))),"""")"),"")</f>
        <v/>
      </c>
      <c r="EA169" s="208" t="str">
        <f t="shared" si="25"/>
        <v/>
      </c>
      <c r="EB169" s="191"/>
    </row>
    <row r="170" outlineLevel="1">
      <c r="A170" s="2"/>
      <c r="B170" s="204">
        <v>166.0</v>
      </c>
      <c r="C170" s="204" t="s">
        <v>601</v>
      </c>
      <c r="D170" s="204" t="s">
        <v>613</v>
      </c>
      <c r="E170" s="205" t="b">
        <f>VLOOKUP(D170,'Feature Set List'!A166:C246,2,0)</f>
        <v>1</v>
      </c>
      <c r="F170" s="205" t="b">
        <f>VLOOKUP(D170,'Feature Set List'!A166:C246,3,0)</f>
        <v>0</v>
      </c>
      <c r="G170" s="205">
        <v>6.84665523</v>
      </c>
      <c r="H170" s="205">
        <v>-0.2033619</v>
      </c>
      <c r="I170" s="205">
        <v>-0.1009949</v>
      </c>
      <c r="J170" s="205">
        <v>-0.5702916</v>
      </c>
      <c r="K170" s="205">
        <v>-0.0459691</v>
      </c>
      <c r="L170" s="205">
        <v>-0.3331732</v>
      </c>
      <c r="M170" s="205">
        <v>-0.9573928</v>
      </c>
      <c r="N170" s="205">
        <v>0.84871355</v>
      </c>
      <c r="O170" s="205">
        <v>-0.1111492</v>
      </c>
      <c r="P170" s="205">
        <v>6.82607204</v>
      </c>
      <c r="Q170" s="205">
        <v>-0.3372899</v>
      </c>
      <c r="R170" s="205">
        <v>-0.4677873</v>
      </c>
      <c r="S170" s="205">
        <v>1.2109777</v>
      </c>
      <c r="T170" s="205">
        <v>14.4171527</v>
      </c>
      <c r="U170" s="205">
        <v>-1.0180446</v>
      </c>
      <c r="V170" s="205">
        <v>-0.1694683</v>
      </c>
      <c r="W170" s="205">
        <v>-0.4267581</v>
      </c>
      <c r="X170" s="205">
        <v>0.45900515</v>
      </c>
      <c r="Y170" s="205">
        <v>2.67375643</v>
      </c>
      <c r="Z170" s="205">
        <v>-0.4827444</v>
      </c>
      <c r="AA170" s="205">
        <v>0.28336192</v>
      </c>
      <c r="AB170" s="205">
        <v>0.33413379</v>
      </c>
      <c r="AC170" s="205">
        <v>-0.326175</v>
      </c>
      <c r="AD170" s="205">
        <v>-0.0225043</v>
      </c>
      <c r="AE170" s="205">
        <v>0.71149228</v>
      </c>
      <c r="AF170" s="205">
        <v>0.0</v>
      </c>
      <c r="AG170" s="205">
        <v>-0.0629846</v>
      </c>
      <c r="AH170" s="205">
        <v>-0.1722127</v>
      </c>
      <c r="AI170" s="205">
        <v>-0.6325901</v>
      </c>
      <c r="AJ170" s="205">
        <v>0.62915952</v>
      </c>
      <c r="AK170" s="205">
        <v>-0.1293997</v>
      </c>
      <c r="AL170" s="205">
        <v>0.49056604</v>
      </c>
      <c r="AM170" s="205">
        <v>0.23259005</v>
      </c>
      <c r="AN170" s="205">
        <v>-0.2485077</v>
      </c>
      <c r="AO170" s="205">
        <v>-0.5497084</v>
      </c>
      <c r="AP170" s="205">
        <v>0.58799314</v>
      </c>
      <c r="AQ170" s="205">
        <v>0.52212693</v>
      </c>
      <c r="AR170" s="205">
        <v>0.19554031</v>
      </c>
      <c r="AS170" s="205">
        <v>8.07204117</v>
      </c>
      <c r="AT170" s="205">
        <v>-0.4327959</v>
      </c>
      <c r="AU170" s="205">
        <v>0.04226415</v>
      </c>
      <c r="AV170" s="205">
        <v>1.26861063</v>
      </c>
      <c r="AW170" s="205">
        <v>1.19176672</v>
      </c>
      <c r="AX170" s="205">
        <v>-0.3805146</v>
      </c>
      <c r="AY170" s="205">
        <v>-0.8819211</v>
      </c>
      <c r="AZ170" s="205">
        <v>-0.1355746</v>
      </c>
      <c r="BA170" s="205">
        <v>11.509434</v>
      </c>
      <c r="BB170" s="205">
        <v>-0.335506</v>
      </c>
      <c r="BC170" s="205">
        <v>0.3025729</v>
      </c>
      <c r="BD170" s="205">
        <v>1.20274443</v>
      </c>
      <c r="BE170" s="205">
        <v>0.44802744</v>
      </c>
      <c r="BF170" s="205">
        <v>-0.1247341</v>
      </c>
      <c r="BG170" s="205">
        <v>14.8150943</v>
      </c>
      <c r="BH170" s="205">
        <v>-0.0225043</v>
      </c>
      <c r="BI170" s="205">
        <v>0.44665523</v>
      </c>
      <c r="BJ170" s="205">
        <v>0.20926244</v>
      </c>
      <c r="BK170" s="205">
        <v>-0.3634991</v>
      </c>
      <c r="BL170" s="205">
        <v>0.38765009</v>
      </c>
      <c r="BM170" s="205">
        <v>-0.2803431</v>
      </c>
      <c r="BN170" s="205">
        <v>3.59313894</v>
      </c>
      <c r="BO170" s="205">
        <v>0.80891938</v>
      </c>
      <c r="BP170" s="205">
        <v>-0.5923842</v>
      </c>
      <c r="BQ170" s="205">
        <v>2.38559177</v>
      </c>
      <c r="BR170" s="206"/>
      <c r="BS170" s="207">
        <f t="shared" si="6"/>
        <v>1.159282311</v>
      </c>
      <c r="BT170" s="207">
        <f t="shared" si="7"/>
        <v>1.934678286</v>
      </c>
      <c r="BU170" s="206"/>
      <c r="BV170" s="207">
        <f>IFERROR(__xludf.DUMMYFUNCTION("AVERAGE(ARRAYFORMULA(XLOOKUP(FILTER(INDIRECT(""'""&amp;BV$1&amp;""'!$C$4:$C$66""),INDIRECT(""'""&amp;BV$1&amp;""'!$D$4:$D$66"")=BV$2),$G$4:$BQ$4,$G170:$BQ170)))"),-0.21292820285714287)</f>
        <v>-0.2129282029</v>
      </c>
      <c r="BW170" s="207" t="str">
        <f>IFERROR(__xludf.DUMMYFUNCTION("IF(OR(BV170&gt;$BS170+$BT170*$BT$2,BV170&lt;$BS170-$BT170*$BT$2),AVEDEV(ARRAYFORMULA(XLOOKUP(FILTER(INDIRECT(""'""&amp;BV$1&amp;""'!$C$4:$C$66""),INDIRECT(""'""&amp;BV$1&amp;""'!$D$4:$D$66"")=BV$2),$G$4:$BQ$4,$G170:$BQ170))),"""")"),"")</f>
        <v/>
      </c>
      <c r="BX170" s="208" t="str">
        <f t="shared" si="8"/>
        <v/>
      </c>
      <c r="BY170" s="207">
        <f>IFERROR(__xludf.DUMMYFUNCTION("AVERAGE(ARRAYFORMULA(XLOOKUP(FILTER(INDIRECT(""'""&amp;BY$1&amp;""'!$C$4:$C$66""),INDIRECT(""'""&amp;BY$1&amp;""'!$D$4:$D$66"")=BY$2),$G$4:$BQ$4,$G170:$BQ170)))"),0.7914628740476191)</f>
        <v>0.791462874</v>
      </c>
      <c r="BZ170" s="207" t="str">
        <f>IFERROR(__xludf.DUMMYFUNCTION("IF(OR(BY170&gt;$BS170+$BT170*$BT$2,BY170&lt;$BS170-$BT170*$BT$2),AVEDEV(ARRAYFORMULA(XLOOKUP(FILTER(INDIRECT(""'""&amp;BY$1&amp;""'!$C$4:$C$66""),INDIRECT(""'""&amp;BY$1&amp;""'!$D$4:$D$66"")=BY$2),$G$4:$BQ$4,$G170:$BQ170))),"""")"),"")</f>
        <v/>
      </c>
      <c r="CA170" s="208" t="str">
        <f t="shared" si="9"/>
        <v/>
      </c>
      <c r="CB170" s="207">
        <f>IFERROR(__xludf.DUMMYFUNCTION("AVERAGE(ARRAYFORMULA(XLOOKUP(FILTER(INDIRECT(""'""&amp;CB$1&amp;""'!$C$4:$C$66""),INDIRECT(""'""&amp;CB$1&amp;""'!$D$4:$D$66"")=CB$2),$G$4:$BQ$4,$G170:$BQ170)))"),3.6490753272727265)</f>
        <v>3.649075327</v>
      </c>
      <c r="CC170" s="207">
        <f>IFERROR(__xludf.DUMMYFUNCTION("IF(OR(CB170&gt;$BS170+$BT170*$BT$2,CB170&lt;$BS170-$BT170*$BT$2),AVEDEV(ARRAYFORMULA(XLOOKUP(FILTER(INDIRECT(""'""&amp;CB$1&amp;""'!$C$4:$C$66""),INDIRECT(""'""&amp;CB$1&amp;""'!$D$4:$D$66"")=CB$2),$G$4:$BQ$4,$G170:$BQ170))),"""")"),4.546002301983472)</f>
        <v>4.546002302</v>
      </c>
      <c r="CD170" s="208" t="str">
        <f t="shared" si="10"/>
        <v/>
      </c>
      <c r="CE170" s="209" t="s">
        <v>444</v>
      </c>
      <c r="CF170" s="207">
        <f>IFERROR(__xludf.DUMMYFUNCTION("AVERAGE(ARRAYFORMULA(XLOOKUP(FILTER(INDIRECT(""'""&amp;CF$1&amp;""'!$C$4:$C$66""),INDIRECT(""'""&amp;CF$1&amp;""'!$D$4:$D$66"")=CF$2),$G$4:$BQ$4,$G170:$BQ170)))"),0.00855916999999998)</f>
        <v>0.00855917</v>
      </c>
      <c r="CG170" s="207" t="str">
        <f>IFERROR(__xludf.DUMMYFUNCTION("IF(OR(CF170&gt;$BS170+$BT170*$BT$2,CF170&lt;$BS170-$BT170*$BT$2),AVEDEV(ARRAYFORMULA(XLOOKUP(FILTER(INDIRECT(""'""&amp;CF$1&amp;""'!$C$4:$C$66""),INDIRECT(""'""&amp;CF$1&amp;""'!$D$4:$D$66"")=CF$2),$G$4:$BQ$4,$G170:$BQ170))),"""")"),"")</f>
        <v/>
      </c>
      <c r="CH170" s="208" t="str">
        <f t="shared" si="11"/>
        <v/>
      </c>
      <c r="CI170" s="207">
        <f>IFERROR(__xludf.DUMMYFUNCTION("AVERAGE(ARRAYFORMULA(XLOOKUP(FILTER(INDIRECT(""'""&amp;CI$1&amp;""'!$C$4:$C$66""),INDIRECT(""'""&amp;CI$1&amp;""'!$D$4:$D$66"")=CI$2),$G$4:$BQ$4,$G170:$BQ170)))"),0.27828473870967746)</f>
        <v>0.2782847387</v>
      </c>
      <c r="CJ170" s="207" t="str">
        <f>IFERROR(__xludf.DUMMYFUNCTION("IF(OR(CI170&gt;$BS170+$BT170*$BT$2,CI170&lt;$BS170-$BT170*$BT$2),AVEDEV(ARRAYFORMULA(XLOOKUP(FILTER(INDIRECT(""'""&amp;CI$1&amp;""'!$C$4:$C$66""),INDIRECT(""'""&amp;CI$1&amp;""'!$D$4:$D$66"")=CI$2),$G$4:$BQ$4,$G170:$BQ170))),"""")"),"")</f>
        <v/>
      </c>
      <c r="CK170" s="208" t="str">
        <f t="shared" si="12"/>
        <v/>
      </c>
      <c r="CL170" s="207">
        <f>IFERROR(__xludf.DUMMYFUNCTION("AVERAGE(ARRAYFORMULA(XLOOKUP(FILTER(INDIRECT(""'""&amp;CL$1&amp;""'!$C$4:$C$66""),INDIRECT(""'""&amp;CL$1&amp;""'!$D$4:$D$66"")=CL$2),$G$4:$BQ$4,$G170:$BQ170)))"),11.127958842)</f>
        <v>11.12795884</v>
      </c>
      <c r="CM170" s="207">
        <f>IFERROR(__xludf.DUMMYFUNCTION("IF(OR(CL170&gt;$BS170+$BT170*$BT$2,CL170&lt;$BS170-$BT170*$BT$2),AVEDEV(ARRAYFORMULA(XLOOKUP(FILTER(INDIRECT(""'""&amp;CL$1&amp;""'!$C$4:$C$66""),INDIRECT(""'""&amp;CL$1&amp;""'!$D$4:$D$66"")=CL$2),$G$4:$BQ$4,$G170:$BQ170))),"""")"),2.9431217896)</f>
        <v>2.94312179</v>
      </c>
      <c r="CN170" s="208" t="str">
        <f t="shared" si="13"/>
        <v/>
      </c>
      <c r="CO170" s="209" t="s">
        <v>444</v>
      </c>
      <c r="CP170" s="210">
        <f>IFERROR(__xludf.DUMMYFUNCTION("AVERAGE(ARRAYFORMULA(XLOOKUP(FILTER(INDIRECT(""'""&amp;CP$1&amp;""'!$C$4:$C$66""),INDIRECT(""'""&amp;CP$1&amp;""'!$D$4:$D$66"")=CP$2),$G$4:$BQ$4,$G170:$BQ170)))"),0.723265858)</f>
        <v>0.723265858</v>
      </c>
      <c r="CQ170" s="207" t="str">
        <f>IFERROR(__xludf.DUMMYFUNCTION("IF(OR(CP170&gt;$BS170+$BT170*$BT$2,CP170&lt;$BS170-$BT170*$BT$2),AVEDEV(ARRAYFORMULA(XLOOKUP(FILTER(INDIRECT(""'""&amp;CP$1&amp;""'!$C$4:$C$66""),INDIRECT(""'""&amp;CP$1&amp;""'!$D$4:$D$66"")=CP$2),$G$4:$BQ$4,$G170:$BQ170))),"""")"),"")</f>
        <v/>
      </c>
      <c r="CR170" s="208" t="str">
        <f t="shared" si="14"/>
        <v/>
      </c>
      <c r="CS170" s="210">
        <f>IFERROR(__xludf.DUMMYFUNCTION("AVERAGE(ARRAYFORMULA(XLOOKUP(FILTER(INDIRECT(""'""&amp;CS$1&amp;""'!$C$4:$C$66""),INDIRECT(""'""&amp;CS$1&amp;""'!$D$4:$D$66"")=CS$2),$G$4:$BQ$4,$G170:$BQ170)))"),0.1285728133333333)</f>
        <v>0.1285728133</v>
      </c>
      <c r="CT170" s="207" t="str">
        <f>IFERROR(__xludf.DUMMYFUNCTION("IF(OR(CS170&gt;$BS170+$BT170*$BT$2,CS170&lt;$BS170-$BT170*$BT$2),AVEDEV(ARRAYFORMULA(XLOOKUP(FILTER(INDIRECT(""'""&amp;CS$1&amp;""'!$C$4:$C$66""),INDIRECT(""'""&amp;CS$1&amp;""'!$D$4:$D$66"")=CS$2),$G$4:$BQ$4,$G170:$BQ170))),"""")"),"")</f>
        <v/>
      </c>
      <c r="CU170" s="208" t="str">
        <f t="shared" si="15"/>
        <v/>
      </c>
      <c r="CV170" s="210">
        <f>IFERROR(__xludf.DUMMYFUNCTION("AVERAGE(ARRAYFORMULA(XLOOKUP(FILTER(INDIRECT(""'""&amp;CV$1&amp;""'!$C$4:$C$66""),INDIRECT(""'""&amp;CV$1&amp;""'!$D$4:$D$66"")=CV$2),$G$4:$BQ$4,$G170:$BQ170)))"),11.127958842)</f>
        <v>11.12795884</v>
      </c>
      <c r="CW170" s="207">
        <f>IFERROR(__xludf.DUMMYFUNCTION("IF(OR(CV170&gt;$BS170+$BT170*$BT$2,CV170&lt;$BS170-$BT170*$BT$2),AVEDEV(ARRAYFORMULA(XLOOKUP(FILTER(INDIRECT(""'""&amp;CV$1&amp;""'!$C$4:$C$66""),INDIRECT(""'""&amp;CV$1&amp;""'!$D$4:$D$66"")=CV$2),$G$4:$BQ$4,$G170:$BQ170))),"""")"),2.9431217896)</f>
        <v>2.94312179</v>
      </c>
      <c r="CX170" s="208" t="str">
        <f t="shared" si="16"/>
        <v/>
      </c>
      <c r="CY170" s="209" t="s">
        <v>444</v>
      </c>
      <c r="CZ170" s="210">
        <f>IFERROR(__xludf.DUMMYFUNCTION("AVERAGE(ARRAYFORMULA(XLOOKUP(FILTER(INDIRECT(""'""&amp;CZ$1&amp;""'!$C$4:$C$66""),INDIRECT(""'""&amp;CZ$1&amp;""'!$D$4:$D$66"")=CZ$2),$G$4:$BQ$4,$G170:$BQ170)))"),0.1497378042857143)</f>
        <v>0.1497378043</v>
      </c>
      <c r="DA170" s="207" t="str">
        <f>IFERROR(__xludf.DUMMYFUNCTION("IF(OR(CZ170&gt;$BS170+$BT170*$BT$2,CZ170&lt;$BS170-$BT170*$BT$2),AVEDEV(ARRAYFORMULA(XLOOKUP(FILTER(INDIRECT(""'""&amp;CZ$1&amp;""'!$C$4:$C$66""),INDIRECT(""'""&amp;CZ$1&amp;""'!$D$4:$D$66"")=CZ$2),$G$4:$BQ$4,$G170:$BQ170))),"""")"),"")</f>
        <v/>
      </c>
      <c r="DB170" s="208" t="str">
        <f t="shared" si="17"/>
        <v/>
      </c>
      <c r="DC170" s="210">
        <f>IFERROR(__xludf.DUMMYFUNCTION("AVERAGE(ARRAYFORMULA(XLOOKUP(FILTER(INDIRECT(""'""&amp;DC$1&amp;""'!$C$4:$C$66""),INDIRECT(""'""&amp;DC$1&amp;""'!$D$4:$D$66"")=DC$2),$G$4:$BQ$4,$G170:$BQ170)))"),4.506194033333333)</f>
        <v>4.506194033</v>
      </c>
      <c r="DD170" s="207">
        <f>IFERROR(__xludf.DUMMYFUNCTION("IF(OR(DC170&gt;$BS170+$BT170*$BT$2,DC170&lt;$BS170-$BT170*$BT$2),AVEDEV(ARRAYFORMULA(XLOOKUP(FILTER(INDIRECT(""'""&amp;DC$1&amp;""'!$C$4:$C$66""),INDIRECT(""'""&amp;DC$1&amp;""'!$D$4:$D$66"")=DC$2),$G$4:$BQ$4,$G170:$BQ170))),"""")"),4.794341741481482)</f>
        <v>4.794341741</v>
      </c>
      <c r="DE170" s="208" t="str">
        <f t="shared" si="18"/>
        <v/>
      </c>
      <c r="DF170" s="210">
        <f>IFERROR(__xludf.DUMMYFUNCTION("AVERAGE(ARRAYFORMULA(XLOOKUP(FILTER(INDIRECT(""'""&amp;DF$1&amp;""'!$C$4:$C$66""),INDIRECT(""'""&amp;DF$1&amp;""'!$D$4:$D$66"")=DF$2),$G$4:$BQ$4,$G170:$BQ170)))"),1.6260845063636362)</f>
        <v>1.626084506</v>
      </c>
      <c r="DG170" s="207" t="str">
        <f>IFERROR(__xludf.DUMMYFUNCTION("IF(OR(DF170&gt;$BS170+$BT170*$BT$2,DF170&lt;$BS170-$BT170*$BT$2),AVEDEV(ARRAYFORMULA(XLOOKUP(FILTER(INDIRECT(""'""&amp;DF$1&amp;""'!$C$4:$C$66""),INDIRECT(""'""&amp;DF$1&amp;""'!$D$4:$D$66"")=DF$2),$G$4:$BQ$4,$G170:$BQ170))),"""")"),"")</f>
        <v/>
      </c>
      <c r="DH170" s="208" t="str">
        <f t="shared" si="19"/>
        <v/>
      </c>
      <c r="DI170" s="210">
        <f>IFERROR(__xludf.DUMMYFUNCTION("AVERAGE(ARRAYFORMULA(XLOOKUP(FILTER(INDIRECT(""'""&amp;DI$1&amp;""'!$C$4:$C$66""),INDIRECT(""'""&amp;DI$1&amp;""'!$D$4:$D$66"")=DI$2),$G$4:$BQ$4,$G170:$BQ170)))"),-0.0225043)</f>
        <v>-0.0225043</v>
      </c>
      <c r="DJ170" s="207" t="str">
        <f>IFERROR(__xludf.DUMMYFUNCTION("IF(OR(DI170&gt;$BS170+$BT170*$BT$2,DI170&lt;$BS170-$BT170*$BT$2),AVEDEV(ARRAYFORMULA(XLOOKUP(FILTER(INDIRECT(""'""&amp;DI$1&amp;""'!$C$4:$C$66""),INDIRECT(""'""&amp;DI$1&amp;""'!$D$4:$D$66"")=DI$2),$G$4:$BQ$4,$G170:$BQ170))),"""")"),"")</f>
        <v/>
      </c>
      <c r="DK170" s="208" t="str">
        <f t="shared" si="20"/>
        <v/>
      </c>
      <c r="DL170" s="210">
        <f>IFERROR(__xludf.DUMMYFUNCTION("AVERAGE(ARRAYFORMULA(XLOOKUP(FILTER(INDIRECT(""'""&amp;DL$1&amp;""'!$C$4:$C$66""),INDIRECT(""'""&amp;DL$1&amp;""'!$D$4:$D$66"")=DL$2),$G$4:$BQ$4,$G170:$BQ170)))"),0.3672531292857143)</f>
        <v>0.3672531293</v>
      </c>
      <c r="DM170" s="207" t="str">
        <f>IFERROR(__xludf.DUMMYFUNCTION("IF(OR(DL170&gt;$BS170+$BT170*$BT$2,DL170&lt;$BS170-$BT170*$BT$2),AVEDEV(ARRAYFORMULA(XLOOKUP(FILTER(INDIRECT(""'""&amp;DL$1&amp;""'!$C$4:$C$66""),INDIRECT(""'""&amp;DL$1&amp;""'!$D$4:$D$66"")=DL$2),$G$4:$BQ$4,$G170:$BQ170))),"""")"),"")</f>
        <v/>
      </c>
      <c r="DN170" s="208" t="str">
        <f t="shared" si="21"/>
        <v/>
      </c>
      <c r="DO170" s="209" t="s">
        <v>444</v>
      </c>
      <c r="DP170" s="210">
        <f>IFERROR(__xludf.DUMMYFUNCTION("AVERAGE(ARRAYFORMULA(XLOOKUP(FILTER(INDIRECT(""'""&amp;DP$1&amp;""'!$C$4:$C$66""),INDIRECT(""'""&amp;DP$1&amp;""'!$D$4:$D$66"")=DP$2),$G$4:$BQ$4,$G170:$BQ170)))"),0.5497266970000001)</f>
        <v>0.549726697</v>
      </c>
      <c r="DQ170" s="207" t="str">
        <f>IFERROR(__xludf.DUMMYFUNCTION("IF(OR(DP170&gt;$BS170+$BT170*$BT$2,DP170&lt;$BS170-$BT170*$BT$2),AVEDEV(ARRAYFORMULA(XLOOKUP(FILTER(INDIRECT(""'""&amp;DP$1&amp;""'!$C$4:$C$66""),INDIRECT(""'""&amp;DP$1&amp;""'!$D$4:$D$66"")=DP$2),$G$4:$BQ$4,$G170:$BQ170))),"""")"),"")</f>
        <v/>
      </c>
      <c r="DR170" s="208" t="str">
        <f t="shared" si="22"/>
        <v/>
      </c>
      <c r="DS170" s="210">
        <f>IFERROR(__xludf.DUMMYFUNCTION("AVERAGE(ARRAYFORMULA(XLOOKUP(FILTER(INDIRECT(""'""&amp;DS$1&amp;""'!$C$4:$C$66""),INDIRECT(""'""&amp;DS$1&amp;""'!$D$4:$D$66"")=DS$2),$G$4:$BQ$4,$G170:$BQ170)))"),4.318917488888889)</f>
        <v>4.318917489</v>
      </c>
      <c r="DT170" s="207">
        <f>IFERROR(__xludf.DUMMYFUNCTION("IF(OR(DS170&gt;$BS170+$BT170*$BT$2,DS170&lt;$BS170-$BT170*$BT$2),AVEDEV(ARRAYFORMULA(XLOOKUP(FILTER(INDIRECT(""'""&amp;DS$1&amp;""'!$C$4:$C$66""),INDIRECT(""'""&amp;DS$1&amp;""'!$D$4:$D$66"")=DS$2),$G$4:$BQ$4,$G170:$BQ170))),"""")"),4.960809780987654)</f>
        <v>4.960809781</v>
      </c>
      <c r="DU170" s="208" t="str">
        <f t="shared" si="23"/>
        <v/>
      </c>
      <c r="DV170" s="210">
        <f>IFERROR(__xludf.DUMMYFUNCTION("AVERAGE(ARRAYFORMULA(XLOOKUP(FILTER(INDIRECT(""'""&amp;DV$1&amp;""'!$C$4:$C$66""),INDIRECT(""'""&amp;DV$1&amp;""'!$D$4:$D$66"")=DV$2),$G$4:$BQ$4,$G170:$BQ170)))"),-0.061372207500000026)</f>
        <v>-0.0613722075</v>
      </c>
      <c r="DW170" s="207" t="str">
        <f>IFERROR(__xludf.DUMMYFUNCTION("IF(OR(DV170&gt;$BS170+$BT170*$BT$2,DV170&lt;$BS170-$BT170*$BT$2),AVEDEV(ARRAYFORMULA(XLOOKUP(FILTER(INDIRECT(""'""&amp;DV$1&amp;""'!$C$4:$C$66""),INDIRECT(""'""&amp;DV$1&amp;""'!$D$4:$D$66"")=DV$2),$G$4:$BQ$4,$G170:$BQ170))),"""")"),"")</f>
        <v/>
      </c>
      <c r="DX170" s="208" t="str">
        <f t="shared" si="24"/>
        <v/>
      </c>
      <c r="DY170" s="210">
        <f>IFERROR(__xludf.DUMMYFUNCTION("AVERAGE(ARRAYFORMULA(XLOOKUP(FILTER(INDIRECT(""'""&amp;DY$1&amp;""'!$C$4:$C$66""),INDIRECT(""'""&amp;DY$1&amp;""'!$D$4:$D$66"")=DY$2),$G$4:$BQ$4,$G170:$BQ170)))"),1.8363560100000003)</f>
        <v>1.83635601</v>
      </c>
      <c r="DZ170" s="207" t="str">
        <f>IFERROR(__xludf.DUMMYFUNCTION("IF(OR(DY170&gt;$BS170+$BT170*$BT$2,DY170&lt;$BS170-$BT170*$BT$2),AVEDEV(ARRAYFORMULA(XLOOKUP(FILTER(INDIRECT(""'""&amp;DY$1&amp;""'!$C$4:$C$66""),INDIRECT(""'""&amp;DY$1&amp;""'!$D$4:$D$66"")=DY$2),$G$4:$BQ$4,$G170:$BQ170))),"""")"),"")</f>
        <v/>
      </c>
      <c r="EA170" s="208" t="str">
        <f t="shared" si="25"/>
        <v/>
      </c>
      <c r="EB170" s="191"/>
    </row>
    <row r="171" outlineLevel="1">
      <c r="A171" s="2"/>
      <c r="B171" s="204">
        <v>167.0</v>
      </c>
      <c r="C171" s="204" t="s">
        <v>601</v>
      </c>
      <c r="D171" s="204" t="s">
        <v>614</v>
      </c>
      <c r="E171" s="205" t="b">
        <f>VLOOKUP(D171,'Feature Set List'!A167:C246,2,0)</f>
        <v>1</v>
      </c>
      <c r="F171" s="205" t="b">
        <f>VLOOKUP(D171,'Feature Set List'!A167:C246,3,0)</f>
        <v>1</v>
      </c>
      <c r="G171" s="205">
        <v>-0.0389284</v>
      </c>
      <c r="H171" s="205">
        <v>0.44788614</v>
      </c>
      <c r="I171" s="205">
        <v>-0.9284219</v>
      </c>
      <c r="J171" s="205">
        <v>-0.3202177</v>
      </c>
      <c r="K171" s="205">
        <v>4.54290498</v>
      </c>
      <c r="L171" s="205">
        <v>0.08162411</v>
      </c>
      <c r="M171" s="205">
        <v>-0.9200502</v>
      </c>
      <c r="N171" s="205">
        <v>-0.0133947</v>
      </c>
      <c r="O171" s="205">
        <v>0.17915446</v>
      </c>
      <c r="P171" s="205">
        <v>-0.8158225</v>
      </c>
      <c r="Q171" s="205">
        <v>2.80577648</v>
      </c>
      <c r="R171" s="205">
        <v>-0.1314357</v>
      </c>
      <c r="S171" s="205">
        <v>0.06195061</v>
      </c>
      <c r="T171" s="205">
        <v>0.62369192</v>
      </c>
      <c r="U171" s="205">
        <v>-0.9702805</v>
      </c>
      <c r="V171" s="205">
        <v>0.21389703</v>
      </c>
      <c r="W171" s="205">
        <v>-0.6622018</v>
      </c>
      <c r="X171" s="205">
        <v>-0.5391377</v>
      </c>
      <c r="Y171" s="205">
        <v>0.81456676</v>
      </c>
      <c r="Z171" s="205">
        <v>-0.1896191</v>
      </c>
      <c r="AA171" s="205">
        <v>-0.1766429</v>
      </c>
      <c r="AB171" s="205">
        <v>-0.786103</v>
      </c>
      <c r="AC171" s="205">
        <v>-0.2226873</v>
      </c>
      <c r="AD171" s="205">
        <v>1.02218501</v>
      </c>
      <c r="AE171" s="205">
        <v>0.76935956</v>
      </c>
      <c r="AF171" s="205">
        <v>0.70196735</v>
      </c>
      <c r="AG171" s="205">
        <v>-0.0766011</v>
      </c>
      <c r="AH171" s="205">
        <v>-0.5098368</v>
      </c>
      <c r="AI171" s="205">
        <v>-0.3327752</v>
      </c>
      <c r="AJ171" s="205">
        <v>-0.9928841</v>
      </c>
      <c r="AK171" s="205">
        <v>1.35119297</v>
      </c>
      <c r="AL171" s="205">
        <v>1.08664713</v>
      </c>
      <c r="AM171" s="205">
        <v>0.51946421</v>
      </c>
      <c r="AN171" s="205">
        <v>0.42988698</v>
      </c>
      <c r="AO171" s="205">
        <v>-0.1121808</v>
      </c>
      <c r="AP171" s="205">
        <v>0.97781499</v>
      </c>
      <c r="AQ171" s="205">
        <v>-0.3415655</v>
      </c>
      <c r="AR171" s="205">
        <v>3.10297195</v>
      </c>
      <c r="AS171" s="205">
        <v>-0.1054835</v>
      </c>
      <c r="AT171" s="205">
        <v>0.0</v>
      </c>
      <c r="AU171" s="205">
        <v>2.09501884</v>
      </c>
      <c r="AV171" s="205">
        <v>0.1100879</v>
      </c>
      <c r="AW171" s="205">
        <v>-0.0033487</v>
      </c>
      <c r="AX171" s="205">
        <v>1.54667225</v>
      </c>
      <c r="AY171" s="205">
        <v>-0.5265802</v>
      </c>
      <c r="AZ171" s="205">
        <v>-0.481373</v>
      </c>
      <c r="BA171" s="205">
        <v>-0.3930515</v>
      </c>
      <c r="BB171" s="205">
        <v>-0.356216</v>
      </c>
      <c r="BC171" s="205">
        <v>1.17287568</v>
      </c>
      <c r="BD171" s="205">
        <v>0.50355797</v>
      </c>
      <c r="BE171" s="205">
        <v>-0.8890749</v>
      </c>
      <c r="BF171" s="205">
        <v>0.30096275</v>
      </c>
      <c r="BG171" s="205">
        <v>0.16073671</v>
      </c>
      <c r="BH171" s="205">
        <v>0.53578903</v>
      </c>
      <c r="BI171" s="205">
        <v>1.69359565</v>
      </c>
      <c r="BJ171" s="205">
        <v>-0.0694851</v>
      </c>
      <c r="BK171" s="205">
        <v>0.96986187</v>
      </c>
      <c r="BL171" s="205">
        <v>-0.7321055</v>
      </c>
      <c r="BM171" s="205">
        <v>-0.1364588</v>
      </c>
      <c r="BN171" s="205">
        <v>3.92339891</v>
      </c>
      <c r="BO171" s="205">
        <v>-0.142319</v>
      </c>
      <c r="BP171" s="205">
        <v>0.17706153</v>
      </c>
      <c r="BQ171" s="205">
        <v>0.10129761</v>
      </c>
      <c r="BR171" s="206"/>
      <c r="BS171" s="207">
        <f t="shared" si="6"/>
        <v>0.3191678768</v>
      </c>
      <c r="BT171" s="207">
        <f t="shared" si="7"/>
        <v>0.7814410584</v>
      </c>
      <c r="BU171" s="206"/>
      <c r="BV171" s="207">
        <f>IFERROR(__xludf.DUMMYFUNCTION("AVERAGE(ARRAYFORMULA(XLOOKUP(FILTER(INDIRECT(""'""&amp;BV$1&amp;""'!$C$4:$C$66""),INDIRECT(""'""&amp;BV$1&amp;""'!$D$4:$D$66"")=BV$2),$G$4:$BQ$4,$G171:$BQ171)))"),-0.5893679428571429)</f>
        <v>-0.5893679429</v>
      </c>
      <c r="BW171" s="207">
        <f>IFERROR(__xludf.DUMMYFUNCTION("IF(OR(BV171&gt;$BS171+$BT171*$BT$2,BV171&lt;$BS171-$BT171*$BT$2),AVEDEV(ARRAYFORMULA(XLOOKUP(FILTER(INDIRECT(""'""&amp;BV$1&amp;""'!$C$4:$C$66""),INDIRECT(""'""&amp;BV$1&amp;""'!$D$4:$D$66"")=BV$2),$G$4:$BQ$4,$G171:$BQ171))),"""")"),0.2352448775510204)</f>
        <v>0.2352448776</v>
      </c>
      <c r="BX171" s="208">
        <f t="shared" si="8"/>
        <v>-0.1270947613</v>
      </c>
      <c r="BY171" s="207">
        <f>IFERROR(__xludf.DUMMYFUNCTION("AVERAGE(ARRAYFORMULA(XLOOKUP(FILTER(INDIRECT(""'""&amp;BY$1&amp;""'!$C$4:$C$66""),INDIRECT(""'""&amp;BY$1&amp;""'!$D$4:$D$66"")=BY$2),$G$4:$BQ$4,$G171:$BQ171)))"),0.5664055473809522)</f>
        <v>0.5664055474</v>
      </c>
      <c r="BZ171" s="207" t="str">
        <f>IFERROR(__xludf.DUMMYFUNCTION("IF(OR(BY171&gt;$BS171+$BT171*$BT$2,BY171&lt;$BS171-$BT171*$BT$2),AVEDEV(ARRAYFORMULA(XLOOKUP(FILTER(INDIRECT(""'""&amp;BY$1&amp;""'!$C$4:$C$66""),INDIRECT(""'""&amp;BY$1&amp;""'!$D$4:$D$66"")=BY$2),$G$4:$BQ$4,$G171:$BQ171))),"""")"),"")</f>
        <v/>
      </c>
      <c r="CA171" s="208" t="str">
        <f t="shared" si="9"/>
        <v/>
      </c>
      <c r="CB171" s="207">
        <f>IFERROR(__xludf.DUMMYFUNCTION("AVERAGE(ARRAYFORMULA(XLOOKUP(FILTER(INDIRECT(""'""&amp;CB$1&amp;""'!$C$4:$C$66""),INDIRECT(""'""&amp;CB$1&amp;""'!$D$4:$D$66"")=CB$2),$G$4:$BQ$4,$G171:$BQ171)))"),-0.11145782363636365)</f>
        <v>-0.1114578236</v>
      </c>
      <c r="CC171" s="207" t="str">
        <f>IFERROR(__xludf.DUMMYFUNCTION("IF(OR(CB171&gt;$BS171+$BT171*$BT$2,CB171&lt;$BS171-$BT171*$BT$2),AVEDEV(ARRAYFORMULA(XLOOKUP(FILTER(INDIRECT(""'""&amp;CB$1&amp;""'!$C$4:$C$66""),INDIRECT(""'""&amp;CB$1&amp;""'!$D$4:$D$66"")=CB$2),$G$4:$BQ$4,$G171:$BQ171))),"""")"),"")</f>
        <v/>
      </c>
      <c r="CD171" s="208" t="str">
        <f t="shared" si="10"/>
        <v/>
      </c>
      <c r="CE171" s="209" t="s">
        <v>444</v>
      </c>
      <c r="CF171" s="207">
        <f>IFERROR(__xludf.DUMMYFUNCTION("AVERAGE(ARRAYFORMULA(XLOOKUP(FILTER(INDIRECT(""'""&amp;CF$1&amp;""'!$C$4:$C$66""),INDIRECT(""'""&amp;CF$1&amp;""'!$D$4:$D$66"")=CF$2),$G$4:$BQ$4,$G171:$BQ171)))"),0.38685118874999996)</f>
        <v>0.3868511888</v>
      </c>
      <c r="CG171" s="207" t="str">
        <f>IFERROR(__xludf.DUMMYFUNCTION("IF(OR(CF171&gt;$BS171+$BT171*$BT$2,CF171&lt;$BS171-$BT171*$BT$2),AVEDEV(ARRAYFORMULA(XLOOKUP(FILTER(INDIRECT(""'""&amp;CF$1&amp;""'!$C$4:$C$66""),INDIRECT(""'""&amp;CF$1&amp;""'!$D$4:$D$66"")=CF$2),$G$4:$BQ$4,$G171:$BQ171))),"""")"),"")</f>
        <v/>
      </c>
      <c r="CH171" s="208" t="str">
        <f t="shared" si="11"/>
        <v/>
      </c>
      <c r="CI171" s="207">
        <f>IFERROR(__xludf.DUMMYFUNCTION("AVERAGE(ARRAYFORMULA(XLOOKUP(FILTER(INDIRECT(""'""&amp;CI$1&amp;""'!$C$4:$C$66""),INDIRECT(""'""&amp;CI$1&amp;""'!$D$4:$D$66"")=CI$2),$G$4:$BQ$4,$G171:$BQ171)))"),0.31707152193548394)</f>
        <v>0.3170715219</v>
      </c>
      <c r="CJ171" s="207" t="str">
        <f>IFERROR(__xludf.DUMMYFUNCTION("IF(OR(CI171&gt;$BS171+$BT171*$BT$2,CI171&lt;$BS171-$BT171*$BT$2),AVEDEV(ARRAYFORMULA(XLOOKUP(FILTER(INDIRECT(""'""&amp;CI$1&amp;""'!$C$4:$C$66""),INDIRECT(""'""&amp;CI$1&amp;""'!$D$4:$D$66"")=CI$2),$G$4:$BQ$4,$G171:$BQ171))),"""")"),"")</f>
        <v/>
      </c>
      <c r="CK171" s="208" t="str">
        <f t="shared" si="12"/>
        <v/>
      </c>
      <c r="CL171" s="207">
        <f>IFERROR(__xludf.DUMMYFUNCTION("AVERAGE(ARRAYFORMULA(XLOOKUP(FILTER(INDIRECT(""'""&amp;CL$1&amp;""'!$C$4:$C$66""),INDIRECT(""'""&amp;CL$1&amp;""'!$D$4:$D$66"")=CL$2),$G$4:$BQ$4,$G171:$BQ171)))"),-0.10598577400000002)</f>
        <v>-0.105985774</v>
      </c>
      <c r="CM171" s="207" t="str">
        <f>IFERROR(__xludf.DUMMYFUNCTION("IF(OR(CL171&gt;$BS171+$BT171*$BT$2,CL171&lt;$BS171-$BT171*$BT$2),AVEDEV(ARRAYFORMULA(XLOOKUP(FILTER(INDIRECT(""'""&amp;CL$1&amp;""'!$C$4:$C$66""),INDIRECT(""'""&amp;CL$1&amp;""'!$D$4:$D$66"")=CL$2),$G$4:$BQ$4,$G171:$BQ171))),"""")"),"")</f>
        <v/>
      </c>
      <c r="CN171" s="208" t="str">
        <f t="shared" si="13"/>
        <v/>
      </c>
      <c r="CO171" s="209" t="s">
        <v>444</v>
      </c>
      <c r="CP171" s="210">
        <f>IFERROR(__xludf.DUMMYFUNCTION("AVERAGE(ARRAYFORMULA(XLOOKUP(FILTER(INDIRECT(""'""&amp;CP$1&amp;""'!$C$4:$C$66""),INDIRECT(""'""&amp;CP$1&amp;""'!$D$4:$D$66"")=CP$2),$G$4:$BQ$4,$G171:$BQ171)))"),-0.21314357866666675)</f>
        <v>-0.2131435787</v>
      </c>
      <c r="CQ171" s="207" t="str">
        <f>IFERROR(__xludf.DUMMYFUNCTION("IF(OR(CP171&gt;$BS171+$BT171*$BT$2,CP171&lt;$BS171-$BT171*$BT$2),AVEDEV(ARRAYFORMULA(XLOOKUP(FILTER(INDIRECT(""'""&amp;CP$1&amp;""'!$C$4:$C$66""),INDIRECT(""'""&amp;CP$1&amp;""'!$D$4:$D$66"")=CP$2),$G$4:$BQ$4,$G171:$BQ171))),"""")"),"")</f>
        <v/>
      </c>
      <c r="CR171" s="208" t="str">
        <f t="shared" si="14"/>
        <v/>
      </c>
      <c r="CS171" s="210">
        <f>IFERROR(__xludf.DUMMYFUNCTION("AVERAGE(ARRAYFORMULA(XLOOKUP(FILTER(INDIRECT(""'""&amp;CS$1&amp;""'!$C$4:$C$66""),INDIRECT(""'""&amp;CS$1&amp;""'!$D$4:$D$66"")=CS$2),$G$4:$BQ$4,$G171:$BQ171)))"),0.5870925482051279)</f>
        <v>0.5870925482</v>
      </c>
      <c r="CT171" s="207" t="str">
        <f>IFERROR(__xludf.DUMMYFUNCTION("IF(OR(CS171&gt;$BS171+$BT171*$BT$2,CS171&lt;$BS171-$BT171*$BT$2),AVEDEV(ARRAYFORMULA(XLOOKUP(FILTER(INDIRECT(""'""&amp;CS$1&amp;""'!$C$4:$C$66""),INDIRECT(""'""&amp;CS$1&amp;""'!$D$4:$D$66"")=CS$2),$G$4:$BQ$4,$G171:$BQ171))),"""")"),"")</f>
        <v/>
      </c>
      <c r="CU171" s="208" t="str">
        <f t="shared" si="15"/>
        <v/>
      </c>
      <c r="CV171" s="210">
        <f>IFERROR(__xludf.DUMMYFUNCTION("AVERAGE(ARRAYFORMULA(XLOOKUP(FILTER(INDIRECT(""'""&amp;CV$1&amp;""'!$C$4:$C$66""),INDIRECT(""'""&amp;CV$1&amp;""'!$D$4:$D$66"")=CV$2),$G$4:$BQ$4,$G171:$BQ171)))"),-0.10598577400000002)</f>
        <v>-0.105985774</v>
      </c>
      <c r="CW171" s="207" t="str">
        <f>IFERROR(__xludf.DUMMYFUNCTION("IF(OR(CV171&gt;$BS171+$BT171*$BT$2,CV171&lt;$BS171-$BT171*$BT$2),AVEDEV(ARRAYFORMULA(XLOOKUP(FILTER(INDIRECT(""'""&amp;CV$1&amp;""'!$C$4:$C$66""),INDIRECT(""'""&amp;CV$1&amp;""'!$D$4:$D$66"")=CV$2),$G$4:$BQ$4,$G171:$BQ171))),"""")"),"")</f>
        <v/>
      </c>
      <c r="CX171" s="208" t="str">
        <f t="shared" si="16"/>
        <v/>
      </c>
      <c r="CY171" s="209" t="s">
        <v>444</v>
      </c>
      <c r="CZ171" s="210">
        <f>IFERROR(__xludf.DUMMYFUNCTION("AVERAGE(ARRAYFORMULA(XLOOKUP(FILTER(INDIRECT(""'""&amp;CZ$1&amp;""'!$C$4:$C$66""),INDIRECT(""'""&amp;CZ$1&amp;""'!$D$4:$D$66"")=CZ$2),$G$4:$BQ$4,$G171:$BQ171)))"),0.3592656814285714)</f>
        <v>0.3592656814</v>
      </c>
      <c r="DA171" s="207" t="str">
        <f>IFERROR(__xludf.DUMMYFUNCTION("IF(OR(CZ171&gt;$BS171+$BT171*$BT$2,CZ171&lt;$BS171-$BT171*$BT$2),AVEDEV(ARRAYFORMULA(XLOOKUP(FILTER(INDIRECT(""'""&amp;CZ$1&amp;""'!$C$4:$C$66""),INDIRECT(""'""&amp;CZ$1&amp;""'!$D$4:$D$66"")=CZ$2),$G$4:$BQ$4,$G171:$BQ171))),"""")"),"")</f>
        <v/>
      </c>
      <c r="DB171" s="208" t="str">
        <f t="shared" si="17"/>
        <v/>
      </c>
      <c r="DC171" s="210">
        <f>IFERROR(__xludf.DUMMYFUNCTION("AVERAGE(ARRAYFORMULA(XLOOKUP(FILTER(INDIRECT(""'""&amp;DC$1&amp;""'!$C$4:$C$66""),INDIRECT(""'""&amp;DC$1&amp;""'!$D$4:$D$66"")=DC$2),$G$4:$BQ$4,$G171:$BQ171)))"),-0.06757825111111113)</f>
        <v>-0.06757825111</v>
      </c>
      <c r="DD171" s="207" t="str">
        <f>IFERROR(__xludf.DUMMYFUNCTION("IF(OR(DC171&gt;$BS171+$BT171*$BT$2,DC171&lt;$BS171-$BT171*$BT$2),AVEDEV(ARRAYFORMULA(XLOOKUP(FILTER(INDIRECT(""'""&amp;DC$1&amp;""'!$C$4:$C$66""),INDIRECT(""'""&amp;DC$1&amp;""'!$D$4:$D$66"")=DC$2),$G$4:$BQ$4,$G171:$BQ171))),"""")"),"")</f>
        <v/>
      </c>
      <c r="DE171" s="208" t="str">
        <f t="shared" si="18"/>
        <v/>
      </c>
      <c r="DF171" s="210">
        <f>IFERROR(__xludf.DUMMYFUNCTION("AVERAGE(ARRAYFORMULA(XLOOKUP(FILTER(INDIRECT(""'""&amp;DF$1&amp;""'!$C$4:$C$66""),INDIRECT(""'""&amp;DF$1&amp;""'!$D$4:$D$66"")=DF$2),$G$4:$BQ$4,$G171:$BQ171)))"),-0.13333841545454547)</f>
        <v>-0.1333384155</v>
      </c>
      <c r="DG171" s="207" t="str">
        <f>IFERROR(__xludf.DUMMYFUNCTION("IF(OR(DF171&gt;$BS171+$BT171*$BT$2,DF171&lt;$BS171-$BT171*$BT$2),AVEDEV(ARRAYFORMULA(XLOOKUP(FILTER(INDIRECT(""'""&amp;DF$1&amp;""'!$C$4:$C$66""),INDIRECT(""'""&amp;DF$1&amp;""'!$D$4:$D$66"")=DF$2),$G$4:$BQ$4,$G171:$BQ171))),"""")"),"")</f>
        <v/>
      </c>
      <c r="DH171" s="208" t="str">
        <f t="shared" si="19"/>
        <v/>
      </c>
      <c r="DI171" s="210">
        <f>IFERROR(__xludf.DUMMYFUNCTION("AVERAGE(ARRAYFORMULA(XLOOKUP(FILTER(INDIRECT(""'""&amp;DI$1&amp;""'!$C$4:$C$66""),INDIRECT(""'""&amp;DI$1&amp;""'!$D$4:$D$66"")=DI$2),$G$4:$BQ$4,$G171:$BQ171)))"),0.77898702)</f>
        <v>0.77898702</v>
      </c>
      <c r="DJ171" s="207" t="str">
        <f>IFERROR(__xludf.DUMMYFUNCTION("IF(OR(DI171&gt;$BS171+$BT171*$BT$2,DI171&lt;$BS171-$BT171*$BT$2),AVEDEV(ARRAYFORMULA(XLOOKUP(FILTER(INDIRECT(""'""&amp;DI$1&amp;""'!$C$4:$C$66""),INDIRECT(""'""&amp;DI$1&amp;""'!$D$4:$D$66"")=DI$2),$G$4:$BQ$4,$G171:$BQ171))),"""")"),"")</f>
        <v/>
      </c>
      <c r="DK171" s="208" t="str">
        <f t="shared" si="20"/>
        <v/>
      </c>
      <c r="DL171" s="210">
        <f>IFERROR(__xludf.DUMMYFUNCTION("AVERAGE(ARRAYFORMULA(XLOOKUP(FILTER(INDIRECT(""'""&amp;DL$1&amp;""'!$C$4:$C$66""),INDIRECT(""'""&amp;DL$1&amp;""'!$D$4:$D$66"")=DL$2),$G$4:$BQ$4,$G171:$BQ171)))"),0.9820905357142857)</f>
        <v>0.9820905357</v>
      </c>
      <c r="DM171" s="207" t="str">
        <f>IFERROR(__xludf.DUMMYFUNCTION("IF(OR(DL171&gt;$BS171+$BT171*$BT$2,DL171&lt;$BS171-$BT171*$BT$2),AVEDEV(ARRAYFORMULA(XLOOKUP(FILTER(INDIRECT(""'""&amp;DL$1&amp;""'!$C$4:$C$66""),INDIRECT(""'""&amp;DL$1&amp;""'!$D$4:$D$66"")=DL$2),$G$4:$BQ$4,$G171:$BQ171))),"""")"),"")</f>
        <v/>
      </c>
      <c r="DN171" s="208" t="str">
        <f t="shared" si="21"/>
        <v/>
      </c>
      <c r="DO171" s="209" t="s">
        <v>444</v>
      </c>
      <c r="DP171" s="210">
        <f>IFERROR(__xludf.DUMMYFUNCTION("AVERAGE(ARRAYFORMULA(XLOOKUP(FILTER(INDIRECT(""'""&amp;DP$1&amp;""'!$C$4:$C$66""),INDIRECT(""'""&amp;DP$1&amp;""'!$D$4:$D$66"")=DP$2),$G$4:$BQ$4,$G171:$BQ171)))"),0.4880284636666667)</f>
        <v>0.4880284637</v>
      </c>
      <c r="DQ171" s="207" t="str">
        <f>IFERROR(__xludf.DUMMYFUNCTION("IF(OR(DP171&gt;$BS171+$BT171*$BT$2,DP171&lt;$BS171-$BT171*$BT$2),AVEDEV(ARRAYFORMULA(XLOOKUP(FILTER(INDIRECT(""'""&amp;DP$1&amp;""'!$C$4:$C$66""),INDIRECT(""'""&amp;DP$1&amp;""'!$D$4:$D$66"")=DP$2),$G$4:$BQ$4,$G171:$BQ171))),"""")"),"")</f>
        <v/>
      </c>
      <c r="DR171" s="208" t="str">
        <f t="shared" si="22"/>
        <v/>
      </c>
      <c r="DS171" s="210">
        <f>IFERROR(__xludf.DUMMYFUNCTION("AVERAGE(ARRAYFORMULA(XLOOKUP(FILTER(INDIRECT(""'""&amp;DS$1&amp;""'!$C$4:$C$66""),INDIRECT(""'""&amp;DS$1&amp;""'!$D$4:$D$66"")=DS$2),$G$4:$BQ$4,$G171:$BQ171)))"),-0.23901214111111113)</f>
        <v>-0.2390121411</v>
      </c>
      <c r="DT171" s="207" t="str">
        <f>IFERROR(__xludf.DUMMYFUNCTION("IF(OR(DS171&gt;$BS171+$BT171*$BT$2,DS171&lt;$BS171-$BT171*$BT$2),AVEDEV(ARRAYFORMULA(XLOOKUP(FILTER(INDIRECT(""'""&amp;DS$1&amp;""'!$C$4:$C$66""),INDIRECT(""'""&amp;DS$1&amp;""'!$D$4:$D$66"")=DS$2),$G$4:$BQ$4,$G171:$BQ171))),"""")"),"")</f>
        <v/>
      </c>
      <c r="DU171" s="208" t="str">
        <f t="shared" si="23"/>
        <v/>
      </c>
      <c r="DV171" s="210">
        <f>IFERROR(__xludf.DUMMYFUNCTION("AVERAGE(ARRAYFORMULA(XLOOKUP(FILTER(INDIRECT(""'""&amp;DV$1&amp;""'!$C$4:$C$66""),INDIRECT(""'""&amp;DV$1&amp;""'!$D$4:$D$66"")=DV$2),$G$4:$BQ$4,$G171:$BQ171)))"),-0.37976141625)</f>
        <v>-0.3797614163</v>
      </c>
      <c r="DW171" s="207" t="str">
        <f>IFERROR(__xludf.DUMMYFUNCTION("IF(OR(DV171&gt;$BS171+$BT171*$BT$2,DV171&lt;$BS171-$BT171*$BT$2),AVEDEV(ARRAYFORMULA(XLOOKUP(FILTER(INDIRECT(""'""&amp;DV$1&amp;""'!$C$4:$C$66""),INDIRECT(""'""&amp;DV$1&amp;""'!$D$4:$D$66"")=DV$2),$G$4:$BQ$4,$G171:$BQ171))),"""")"),"")</f>
        <v/>
      </c>
      <c r="DX171" s="208" t="str">
        <f t="shared" si="24"/>
        <v/>
      </c>
      <c r="DY171" s="210">
        <f>IFERROR(__xludf.DUMMYFUNCTION("AVERAGE(ARRAYFORMULA(XLOOKUP(FILTER(INDIRECT(""'""&amp;DY$1&amp;""'!$C$4:$C$66""),INDIRECT(""'""&amp;DY$1&amp;""'!$D$4:$D$66"")=DY$2),$G$4:$BQ$4,$G171:$BQ171)))"),0.8073577855555556)</f>
        <v>0.8073577856</v>
      </c>
      <c r="DZ171" s="207" t="str">
        <f>IFERROR(__xludf.DUMMYFUNCTION("IF(OR(DY171&gt;$BS171+$BT171*$BT$2,DY171&lt;$BS171-$BT171*$BT$2),AVEDEV(ARRAYFORMULA(XLOOKUP(FILTER(INDIRECT(""'""&amp;DY$1&amp;""'!$C$4:$C$66""),INDIRECT(""'""&amp;DY$1&amp;""'!$D$4:$D$66"")=DY$2),$G$4:$BQ$4,$G171:$BQ171))),"""")"),"")</f>
        <v/>
      </c>
      <c r="EA171" s="208" t="str">
        <f t="shared" si="25"/>
        <v/>
      </c>
      <c r="EB171" s="191"/>
    </row>
    <row r="172" outlineLevel="1">
      <c r="A172" s="2"/>
      <c r="B172" s="204">
        <v>168.0</v>
      </c>
      <c r="C172" s="204" t="s">
        <v>601</v>
      </c>
      <c r="D172" s="204" t="s">
        <v>615</v>
      </c>
      <c r="E172" s="205" t="b">
        <f>VLOOKUP(D172,'Feature Set List'!A168:C246,2,0)</f>
        <v>1</v>
      </c>
      <c r="F172" s="205" t="b">
        <f>VLOOKUP(D172,'Feature Set List'!A168:C246,3,0)</f>
        <v>1</v>
      </c>
      <c r="G172" s="205">
        <v>2.06630447</v>
      </c>
      <c r="H172" s="205">
        <v>0.0</v>
      </c>
      <c r="I172" s="205">
        <v>0.02017962</v>
      </c>
      <c r="J172" s="205">
        <v>-0.5894223</v>
      </c>
      <c r="K172" s="205">
        <v>2.31245149</v>
      </c>
      <c r="L172" s="205">
        <v>-0.1201907</v>
      </c>
      <c r="M172" s="205">
        <v>-1.2484754</v>
      </c>
      <c r="N172" s="205">
        <v>-0.13527</v>
      </c>
      <c r="O172" s="205">
        <v>-0.2590088</v>
      </c>
      <c r="P172" s="205">
        <v>0.41844994</v>
      </c>
      <c r="Q172" s="205">
        <v>1.57622796</v>
      </c>
      <c r="R172" s="205">
        <v>-0.3694423</v>
      </c>
      <c r="S172" s="205">
        <v>0.03015855</v>
      </c>
      <c r="T172" s="205">
        <v>4.14414015</v>
      </c>
      <c r="U172" s="205">
        <v>-1.1642089</v>
      </c>
      <c r="V172" s="205">
        <v>-0.6810068</v>
      </c>
      <c r="W172" s="205">
        <v>-0.7415456</v>
      </c>
      <c r="X172" s="205">
        <v>-0.7599512</v>
      </c>
      <c r="Y172" s="205">
        <v>1.07284621</v>
      </c>
      <c r="Z172" s="205">
        <v>-0.5313228</v>
      </c>
      <c r="AA172" s="205">
        <v>-0.3689988</v>
      </c>
      <c r="AB172" s="205">
        <v>-0.4350815</v>
      </c>
      <c r="AC172" s="205">
        <v>-0.2572347</v>
      </c>
      <c r="AD172" s="205">
        <v>0.6803415</v>
      </c>
      <c r="AE172" s="205">
        <v>0.90431312</v>
      </c>
      <c r="AF172" s="205">
        <v>0.33373988</v>
      </c>
      <c r="AG172" s="205">
        <v>-0.2814059</v>
      </c>
      <c r="AH172" s="205">
        <v>-0.4135713</v>
      </c>
      <c r="AI172" s="205">
        <v>-0.4856414</v>
      </c>
      <c r="AJ172" s="205">
        <v>-0.2261892</v>
      </c>
      <c r="AK172" s="205">
        <v>-0.0538862</v>
      </c>
      <c r="AL172" s="205">
        <v>0.34881916</v>
      </c>
      <c r="AM172" s="205">
        <v>1.32121078</v>
      </c>
      <c r="AN172" s="205">
        <v>0.13194367</v>
      </c>
      <c r="AO172" s="205">
        <v>-0.40581</v>
      </c>
      <c r="AP172" s="205">
        <v>0.49473334</v>
      </c>
      <c r="AQ172" s="205">
        <v>-0.7717042</v>
      </c>
      <c r="AR172" s="205">
        <v>0.65883136</v>
      </c>
      <c r="AS172" s="205">
        <v>1.23694423</v>
      </c>
      <c r="AT172" s="205">
        <v>-0.1146469</v>
      </c>
      <c r="AU172" s="205">
        <v>0.65062646</v>
      </c>
      <c r="AV172" s="205">
        <v>0.5741213</v>
      </c>
      <c r="AW172" s="205">
        <v>0.5605943</v>
      </c>
      <c r="AX172" s="205">
        <v>0.00887016</v>
      </c>
      <c r="AY172" s="205">
        <v>-0.9752744</v>
      </c>
      <c r="AZ172" s="205">
        <v>-0.2093358</v>
      </c>
      <c r="BA172" s="205">
        <v>1.17263555</v>
      </c>
      <c r="BB172" s="205">
        <v>-0.6754629</v>
      </c>
      <c r="BC172" s="205">
        <v>0.17740326</v>
      </c>
      <c r="BD172" s="205">
        <v>1.2192039</v>
      </c>
      <c r="BE172" s="205">
        <v>-0.6767934</v>
      </c>
      <c r="BF172" s="205">
        <v>0.22951547</v>
      </c>
      <c r="BG172" s="205">
        <v>4.13970507</v>
      </c>
      <c r="BH172" s="205">
        <v>0.25501719</v>
      </c>
      <c r="BI172" s="205">
        <v>0.44151236</v>
      </c>
      <c r="BJ172" s="205">
        <v>-0.1729682</v>
      </c>
      <c r="BK172" s="205">
        <v>0.0082049</v>
      </c>
      <c r="BL172" s="205">
        <v>-0.596075</v>
      </c>
      <c r="BM172" s="205">
        <v>-0.3330746</v>
      </c>
      <c r="BN172" s="205">
        <v>3.19281517</v>
      </c>
      <c r="BO172" s="205">
        <v>0.71582215</v>
      </c>
      <c r="BP172" s="205">
        <v>-0.1268433</v>
      </c>
      <c r="BQ172" s="205">
        <v>-0.256126</v>
      </c>
      <c r="BR172" s="206"/>
      <c r="BS172" s="207">
        <f t="shared" si="6"/>
        <v>0.2644716535</v>
      </c>
      <c r="BT172" s="207">
        <f t="shared" si="7"/>
        <v>0.7667791054</v>
      </c>
      <c r="BU172" s="206"/>
      <c r="BV172" s="207">
        <f>IFERROR(__xludf.DUMMYFUNCTION("AVERAGE(ARRAYFORMULA(XLOOKUP(FILTER(INDIRECT(""'""&amp;BV$1&amp;""'!$C$4:$C$66""),INDIRECT(""'""&amp;BV$1&amp;""'!$D$4:$D$66"")=BV$2),$G$4:$BQ$4,$G172:$BQ172)))"),-0.7505108285714286)</f>
        <v>-0.7505108286</v>
      </c>
      <c r="BW172" s="207">
        <f>IFERROR(__xludf.DUMMYFUNCTION("IF(OR(BV172&gt;$BS172+$BT172*$BT$2,BV172&lt;$BS172-$BT172*$BT$2),AVEDEV(ARRAYFORMULA(XLOOKUP(FILTER(INDIRECT(""'""&amp;BV$1&amp;""'!$C$4:$C$66""),INDIRECT(""'""&amp;BV$1&amp;""'!$D$4:$D$66"")=BV$2),$G$4:$BQ$4,$G172:$BQ172))),"""")"),0.1851148612244898)</f>
        <v>0.1851148612</v>
      </c>
      <c r="BX172" s="208">
        <f t="shared" si="8"/>
        <v>-0.2482033767</v>
      </c>
      <c r="BY172" s="207">
        <f>IFERROR(__xludf.DUMMYFUNCTION("AVERAGE(ARRAYFORMULA(XLOOKUP(FILTER(INDIRECT(""'""&amp;BY$1&amp;""'!$C$4:$C$66""),INDIRECT(""'""&amp;BY$1&amp;""'!$D$4:$D$66"")=BY$2),$G$4:$BQ$4,$G172:$BQ172)))"),0.3207091878571428)</f>
        <v>0.3207091879</v>
      </c>
      <c r="BZ172" s="207" t="str">
        <f>IFERROR(__xludf.DUMMYFUNCTION("IF(OR(BY172&gt;$BS172+$BT172*$BT$2,BY172&lt;$BS172-$BT172*$BT$2),AVEDEV(ARRAYFORMULA(XLOOKUP(FILTER(INDIRECT(""'""&amp;BY$1&amp;""'!$C$4:$C$66""),INDIRECT(""'""&amp;BY$1&amp;""'!$D$4:$D$66"")=BY$2),$G$4:$BQ$4,$G172:$BQ172))),"""")"),"")</f>
        <v/>
      </c>
      <c r="CA172" s="208" t="str">
        <f t="shared" si="9"/>
        <v/>
      </c>
      <c r="CB172" s="207">
        <f>IFERROR(__xludf.DUMMYFUNCTION("AVERAGE(ARRAYFORMULA(XLOOKUP(FILTER(INDIRECT(""'""&amp;CB$1&amp;""'!$C$4:$C$66""),INDIRECT(""'""&amp;CB$1&amp;""'!$D$4:$D$66"")=CB$2),$G$4:$BQ$4,$G172:$BQ172)))"),0.5959540090909091)</f>
        <v>0.5959540091</v>
      </c>
      <c r="CC172" s="207" t="str">
        <f>IFERROR(__xludf.DUMMYFUNCTION("IF(OR(CB172&gt;$BS172+$BT172*$BT$2,CB172&lt;$BS172-$BT172*$BT$2),AVEDEV(ARRAYFORMULA(XLOOKUP(FILTER(INDIRECT(""'""&amp;CB$1&amp;""'!$C$4:$C$66""),INDIRECT(""'""&amp;CB$1&amp;""'!$D$4:$D$66"")=CB$2),$G$4:$BQ$4,$G172:$BQ172))),"""")"),"")</f>
        <v/>
      </c>
      <c r="CD172" s="208" t="str">
        <f t="shared" si="10"/>
        <v/>
      </c>
      <c r="CE172" s="209" t="s">
        <v>444</v>
      </c>
      <c r="CF172" s="207">
        <f>IFERROR(__xludf.DUMMYFUNCTION("AVERAGE(ARRAYFORMULA(XLOOKUP(FILTER(INDIRECT(""'""&amp;CF$1&amp;""'!$C$4:$C$66""),INDIRECT(""'""&amp;CF$1&amp;""'!$D$4:$D$66"")=CF$2),$G$4:$BQ$4,$G172:$BQ172)))"),-0.028190486250000042)</f>
        <v>-0.02819048625</v>
      </c>
      <c r="CG172" s="207" t="str">
        <f>IFERROR(__xludf.DUMMYFUNCTION("IF(OR(CF172&gt;$BS172+$BT172*$BT$2,CF172&lt;$BS172-$BT172*$BT$2),AVEDEV(ARRAYFORMULA(XLOOKUP(FILTER(INDIRECT(""'""&amp;CF$1&amp;""'!$C$4:$C$66""),INDIRECT(""'""&amp;CF$1&amp;""'!$D$4:$D$66"")=CF$2),$G$4:$BQ$4,$G172:$BQ172))),"""")"),"")</f>
        <v/>
      </c>
      <c r="CH172" s="208" t="str">
        <f t="shared" si="11"/>
        <v/>
      </c>
      <c r="CI172" s="207">
        <f>IFERROR(__xludf.DUMMYFUNCTION("AVERAGE(ARRAYFORMULA(XLOOKUP(FILTER(INDIRECT(""'""&amp;CI$1&amp;""'!$C$4:$C$66""),INDIRECT(""'""&amp;CI$1&amp;""'!$D$4:$D$66"")=CI$2),$G$4:$BQ$4,$G172:$BQ172)))"),0.08890192548387095)</f>
        <v>0.08890192548</v>
      </c>
      <c r="CJ172" s="207" t="str">
        <f>IFERROR(__xludf.DUMMYFUNCTION("IF(OR(CI172&gt;$BS172+$BT172*$BT$2,CI172&lt;$BS172-$BT172*$BT$2),AVEDEV(ARRAYFORMULA(XLOOKUP(FILTER(INDIRECT(""'""&amp;CI$1&amp;""'!$C$4:$C$66""),INDIRECT(""'""&amp;CI$1&amp;""'!$D$4:$D$66"")=CI$2),$G$4:$BQ$4,$G172:$BQ172))),"""")"),"")</f>
        <v/>
      </c>
      <c r="CK172" s="208" t="str">
        <f t="shared" si="12"/>
        <v/>
      </c>
      <c r="CL172" s="207">
        <f>IFERROR(__xludf.DUMMYFUNCTION("AVERAGE(ARRAYFORMULA(XLOOKUP(FILTER(INDIRECT(""'""&amp;CL$1&amp;""'!$C$4:$C$66""),INDIRECT(""'""&amp;CL$1&amp;""'!$D$4:$D$66"")=CL$2),$G$4:$BQ$4,$G172:$BQ172)))"),2.222374988)</f>
        <v>2.222374988</v>
      </c>
      <c r="CM172" s="207">
        <f>IFERROR(__xludf.DUMMYFUNCTION("IF(OR(CL172&gt;$BS172+$BT172*$BT$2,CL172&lt;$BS172-$BT172*$BT$2),AVEDEV(ARRAYFORMULA(XLOOKUP(FILTER(INDIRECT(""'""&amp;CL$1&amp;""'!$C$4:$C$66""),INDIRECT(""'""&amp;CL$1&amp;""'!$D$4:$D$66"")=CL$2),$G$4:$BQ$4,$G172:$BQ172))),"""")"),1.5356380975999997)</f>
        <v>1.535638098</v>
      </c>
      <c r="CN172" s="208">
        <f t="shared" si="13"/>
        <v>1.191124229</v>
      </c>
      <c r="CO172" s="209" t="s">
        <v>444</v>
      </c>
      <c r="CP172" s="210">
        <f>IFERROR(__xludf.DUMMYFUNCTION("AVERAGE(ARRAYFORMULA(XLOOKUP(FILTER(INDIRECT(""'""&amp;CP$1&amp;""'!$C$4:$C$66""),INDIRECT(""'""&amp;CP$1&amp;""'!$D$4:$D$66"")=CP$2),$G$4:$BQ$4,$G172:$BQ172)))"),-0.038333883333333325)</f>
        <v>-0.03833388333</v>
      </c>
      <c r="CQ172" s="207" t="str">
        <f>IFERROR(__xludf.DUMMYFUNCTION("IF(OR(CP172&gt;$BS172+$BT172*$BT$2,CP172&lt;$BS172-$BT172*$BT$2),AVEDEV(ARRAYFORMULA(XLOOKUP(FILTER(INDIRECT(""'""&amp;CP$1&amp;""'!$C$4:$C$66""),INDIRECT(""'""&amp;CP$1&amp;""'!$D$4:$D$66"")=CP$2),$G$4:$BQ$4,$G172:$BQ172))),"""")"),"")</f>
        <v/>
      </c>
      <c r="CR172" s="208" t="str">
        <f t="shared" si="14"/>
        <v/>
      </c>
      <c r="CS172" s="210">
        <f>IFERROR(__xludf.DUMMYFUNCTION("AVERAGE(ARRAYFORMULA(XLOOKUP(FILTER(INDIRECT(""'""&amp;CS$1&amp;""'!$C$4:$C$66""),INDIRECT(""'""&amp;CS$1&amp;""'!$D$4:$D$66"")=CS$2),$G$4:$BQ$4,$G172:$BQ172)))"),0.12386955128205124)</f>
        <v>0.1238695513</v>
      </c>
      <c r="CT172" s="207" t="str">
        <f>IFERROR(__xludf.DUMMYFUNCTION("IF(OR(CS172&gt;$BS172+$BT172*$BT$2,CS172&lt;$BS172-$BT172*$BT$2),AVEDEV(ARRAYFORMULA(XLOOKUP(FILTER(INDIRECT(""'""&amp;CS$1&amp;""'!$C$4:$C$66""),INDIRECT(""'""&amp;CS$1&amp;""'!$D$4:$D$66"")=CS$2),$G$4:$BQ$4,$G172:$BQ172))),"""")"),"")</f>
        <v/>
      </c>
      <c r="CU172" s="208" t="str">
        <f t="shared" si="15"/>
        <v/>
      </c>
      <c r="CV172" s="210">
        <f>IFERROR(__xludf.DUMMYFUNCTION("AVERAGE(ARRAYFORMULA(XLOOKUP(FILTER(INDIRECT(""'""&amp;CV$1&amp;""'!$C$4:$C$66""),INDIRECT(""'""&amp;CV$1&amp;""'!$D$4:$D$66"")=CV$2),$G$4:$BQ$4,$G172:$BQ172)))"),2.222374988)</f>
        <v>2.222374988</v>
      </c>
      <c r="CW172" s="207">
        <f>IFERROR(__xludf.DUMMYFUNCTION("IF(OR(CV172&gt;$BS172+$BT172*$BT$2,CV172&lt;$BS172-$BT172*$BT$2),AVEDEV(ARRAYFORMULA(XLOOKUP(FILTER(INDIRECT(""'""&amp;CV$1&amp;""'!$C$4:$C$66""),INDIRECT(""'""&amp;CV$1&amp;""'!$D$4:$D$66"")=CV$2),$G$4:$BQ$4,$G172:$BQ172))),"""")"),1.5356380975999997)</f>
        <v>1.535638098</v>
      </c>
      <c r="CX172" s="208">
        <f t="shared" si="16"/>
        <v>1.191124229</v>
      </c>
      <c r="CY172" s="209" t="s">
        <v>444</v>
      </c>
      <c r="CZ172" s="210">
        <f>IFERROR(__xludf.DUMMYFUNCTION("AVERAGE(ARRAYFORMULA(XLOOKUP(FILTER(INDIRECT(""'""&amp;CZ$1&amp;""'!$C$4:$C$66""),INDIRECT(""'""&amp;CZ$1&amp;""'!$D$4:$D$66"")=CZ$2),$G$4:$BQ$4,$G172:$BQ172)))"),-0.03229689357142856)</f>
        <v>-0.03229689357</v>
      </c>
      <c r="DA172" s="207" t="str">
        <f>IFERROR(__xludf.DUMMYFUNCTION("IF(OR(CZ172&gt;$BS172+$BT172*$BT$2,CZ172&lt;$BS172-$BT172*$BT$2),AVEDEV(ARRAYFORMULA(XLOOKUP(FILTER(INDIRECT(""'""&amp;CZ$1&amp;""'!$C$4:$C$66""),INDIRECT(""'""&amp;CZ$1&amp;""'!$D$4:$D$66"")=CZ$2),$G$4:$BQ$4,$G172:$BQ172))),"""")"),"")</f>
        <v/>
      </c>
      <c r="DB172" s="208" t="str">
        <f t="shared" si="17"/>
        <v/>
      </c>
      <c r="DC172" s="210">
        <f>IFERROR(__xludf.DUMMYFUNCTION("AVERAGE(ARRAYFORMULA(XLOOKUP(FILTER(INDIRECT(""'""&amp;DC$1&amp;""'!$C$4:$C$66""),INDIRECT(""'""&amp;DC$1&amp;""'!$D$4:$D$66"")=DC$2),$G$4:$BQ$4,$G172:$BQ172)))"),0.7886560555555556)</f>
        <v>0.7886560556</v>
      </c>
      <c r="DD172" s="207" t="str">
        <f>IFERROR(__xludf.DUMMYFUNCTION("IF(OR(DC172&gt;$BS172+$BT172*$BT$2,DC172&lt;$BS172-$BT172*$BT$2),AVEDEV(ARRAYFORMULA(XLOOKUP(FILTER(INDIRECT(""'""&amp;DC$1&amp;""'!$C$4:$C$66""),INDIRECT(""'""&amp;DC$1&amp;""'!$D$4:$D$66"")=DC$2),$G$4:$BQ$4,$G172:$BQ172))),"""")"),"")</f>
        <v/>
      </c>
      <c r="DE172" s="208" t="str">
        <f t="shared" si="18"/>
        <v/>
      </c>
      <c r="DF172" s="210">
        <f>IFERROR(__xludf.DUMMYFUNCTION("AVERAGE(ARRAYFORMULA(XLOOKUP(FILTER(INDIRECT(""'""&amp;DF$1&amp;""'!$C$4:$C$66""),INDIRECT(""'""&amp;DF$1&amp;""'!$D$4:$D$66"")=DF$2),$G$4:$BQ$4,$G172:$BQ172)))"),0.4529226227272727)</f>
        <v>0.4529226227</v>
      </c>
      <c r="DG172" s="207" t="str">
        <f>IFERROR(__xludf.DUMMYFUNCTION("IF(OR(DF172&gt;$BS172+$BT172*$BT$2,DF172&lt;$BS172-$BT172*$BT$2),AVEDEV(ARRAYFORMULA(XLOOKUP(FILTER(INDIRECT(""'""&amp;DF$1&amp;""'!$C$4:$C$66""),INDIRECT(""'""&amp;DF$1&amp;""'!$D$4:$D$66"")=DF$2),$G$4:$BQ$4,$G172:$BQ172))),"""")"),"")</f>
        <v/>
      </c>
      <c r="DH172" s="208" t="str">
        <f t="shared" si="19"/>
        <v/>
      </c>
      <c r="DI172" s="210">
        <f>IFERROR(__xludf.DUMMYFUNCTION("AVERAGE(ARRAYFORMULA(XLOOKUP(FILTER(INDIRECT(""'""&amp;DI$1&amp;""'!$C$4:$C$66""),INDIRECT(""'""&amp;DI$1&amp;""'!$D$4:$D$66"")=DI$2),$G$4:$BQ$4,$G172:$BQ172)))"),0.467679345)</f>
        <v>0.467679345</v>
      </c>
      <c r="DJ172" s="207" t="str">
        <f>IFERROR(__xludf.DUMMYFUNCTION("IF(OR(DI172&gt;$BS172+$BT172*$BT$2,DI172&lt;$BS172-$BT172*$BT$2),AVEDEV(ARRAYFORMULA(XLOOKUP(FILTER(INDIRECT(""'""&amp;DI$1&amp;""'!$C$4:$C$66""),INDIRECT(""'""&amp;DI$1&amp;""'!$D$4:$D$66"")=DI$2),$G$4:$BQ$4,$G172:$BQ172))),"""")"),"")</f>
        <v/>
      </c>
      <c r="DK172" s="208" t="str">
        <f t="shared" si="20"/>
        <v/>
      </c>
      <c r="DL172" s="210">
        <f>IFERROR(__xludf.DUMMYFUNCTION("AVERAGE(ARRAYFORMULA(XLOOKUP(FILTER(INDIRECT(""'""&amp;DL$1&amp;""'!$C$4:$C$66""),INDIRECT(""'""&amp;DL$1&amp;""'!$D$4:$D$66"")=DL$2),$G$4:$BQ$4,$G172:$BQ172)))"),0.30326452428571427)</f>
        <v>0.3032645243</v>
      </c>
      <c r="DM172" s="207" t="str">
        <f>IFERROR(__xludf.DUMMYFUNCTION("IF(OR(DL172&gt;$BS172+$BT172*$BT$2,DL172&lt;$BS172-$BT172*$BT$2),AVEDEV(ARRAYFORMULA(XLOOKUP(FILTER(INDIRECT(""'""&amp;DL$1&amp;""'!$C$4:$C$66""),INDIRECT(""'""&amp;DL$1&amp;""'!$D$4:$D$66"")=DL$2),$G$4:$BQ$4,$G172:$BQ172))),"""")"),"")</f>
        <v/>
      </c>
      <c r="DN172" s="208" t="str">
        <f t="shared" si="21"/>
        <v/>
      </c>
      <c r="DO172" s="209" t="s">
        <v>444</v>
      </c>
      <c r="DP172" s="210">
        <f>IFERROR(__xludf.DUMMYFUNCTION("AVERAGE(ARRAYFORMULA(XLOOKUP(FILTER(INDIRECT(""'""&amp;DP$1&amp;""'!$C$4:$C$66""),INDIRECT(""'""&amp;DP$1&amp;""'!$D$4:$D$66"")=DP$2),$G$4:$BQ$4,$G172:$BQ172)))"),0.13717707199999996)</f>
        <v>0.137177072</v>
      </c>
      <c r="DQ172" s="207" t="str">
        <f>IFERROR(__xludf.DUMMYFUNCTION("IF(OR(DP172&gt;$BS172+$BT172*$BT$2,DP172&lt;$BS172-$BT172*$BT$2),AVEDEV(ARRAYFORMULA(XLOOKUP(FILTER(INDIRECT(""'""&amp;DP$1&amp;""'!$C$4:$C$66""),INDIRECT(""'""&amp;DP$1&amp;""'!$D$4:$D$66"")=DP$2),$G$4:$BQ$4,$G172:$BQ172))),"""")"),"")</f>
        <v/>
      </c>
      <c r="DR172" s="208" t="str">
        <f t="shared" si="22"/>
        <v/>
      </c>
      <c r="DS172" s="210">
        <f>IFERROR(__xludf.DUMMYFUNCTION("AVERAGE(ARRAYFORMULA(XLOOKUP(FILTER(INDIRECT(""'""&amp;DS$1&amp;""'!$C$4:$C$66""),INDIRECT(""'""&amp;DS$1&amp;""'!$D$4:$D$66"")=DS$2),$G$4:$BQ$4,$G172:$BQ172)))"),0.6591516788888889)</f>
        <v>0.6591516789</v>
      </c>
      <c r="DT172" s="207" t="str">
        <f>IFERROR(__xludf.DUMMYFUNCTION("IF(OR(DS172&gt;$BS172+$BT172*$BT$2,DS172&lt;$BS172-$BT172*$BT$2),AVEDEV(ARRAYFORMULA(XLOOKUP(FILTER(INDIRECT(""'""&amp;DS$1&amp;""'!$C$4:$C$66""),INDIRECT(""'""&amp;DS$1&amp;""'!$D$4:$D$66"")=DS$2),$G$4:$BQ$4,$G172:$BQ172))),"""")"),"")</f>
        <v/>
      </c>
      <c r="DU172" s="208" t="str">
        <f t="shared" si="23"/>
        <v/>
      </c>
      <c r="DV172" s="210">
        <f>IFERROR(__xludf.DUMMYFUNCTION("AVERAGE(ARRAYFORMULA(XLOOKUP(FILTER(INDIRECT(""'""&amp;DV$1&amp;""'!$C$4:$C$66""),INDIRECT(""'""&amp;DV$1&amp;""'!$D$4:$D$66"")=DV$2),$G$4:$BQ$4,$G172:$BQ172)))"),-0.44278745625)</f>
        <v>-0.4427874563</v>
      </c>
      <c r="DW172" s="207" t="str">
        <f>IFERROR(__xludf.DUMMYFUNCTION("IF(OR(DV172&gt;$BS172+$BT172*$BT$2,DV172&lt;$BS172-$BT172*$BT$2),AVEDEV(ARRAYFORMULA(XLOOKUP(FILTER(INDIRECT(""'""&amp;DV$1&amp;""'!$C$4:$C$66""),INDIRECT(""'""&amp;DV$1&amp;""'!$D$4:$D$66"")=DV$2),$G$4:$BQ$4,$G172:$BQ172))),"""")"),"")</f>
        <v/>
      </c>
      <c r="DX172" s="208" t="str">
        <f t="shared" si="24"/>
        <v/>
      </c>
      <c r="DY172" s="210">
        <f>IFERROR(__xludf.DUMMYFUNCTION("AVERAGE(ARRAYFORMULA(XLOOKUP(FILTER(INDIRECT(""'""&amp;DY$1&amp;""'!$C$4:$C$66""),INDIRECT(""'""&amp;DY$1&amp;""'!$D$4:$D$66"")=DY$2),$G$4:$BQ$4,$G172:$BQ172)))"),1.0410368233333331)</f>
        <v>1.041036823</v>
      </c>
      <c r="DZ172" s="207">
        <f>IFERROR(__xludf.DUMMYFUNCTION("IF(OR(DY172&gt;$BS172+$BT172*$BT$2,DY172&lt;$BS172-$BT172*$BT$2),AVEDEV(ARRAYFORMULA(XLOOKUP(FILTER(INDIRECT(""'""&amp;DY$1&amp;""'!$C$4:$C$66""),INDIRECT(""'""&amp;DY$1&amp;""'!$D$4:$D$66"")=DY$2),$G$4:$BQ$4,$G172:$BQ172))),"""")"),0.5910375770370369)</f>
        <v>0.591037577</v>
      </c>
      <c r="EA172" s="208">
        <f t="shared" si="25"/>
        <v>0.009786064455</v>
      </c>
      <c r="EB172" s="191"/>
    </row>
    <row r="173" outlineLevel="1">
      <c r="A173" s="2"/>
      <c r="B173" s="204">
        <v>169.0</v>
      </c>
      <c r="C173" s="204" t="s">
        <v>601</v>
      </c>
      <c r="D173" s="204" t="s">
        <v>616</v>
      </c>
      <c r="E173" s="205" t="b">
        <f>VLOOKUP(D173,'Feature Set List'!A169:C246,2,0)</f>
        <v>1</v>
      </c>
      <c r="F173" s="205" t="b">
        <f>VLOOKUP(D173,'Feature Set List'!A169:C246,3,0)</f>
        <v>1</v>
      </c>
      <c r="G173" s="205">
        <v>0.7134697</v>
      </c>
      <c r="H173" s="205">
        <v>-0.7556849</v>
      </c>
      <c r="I173" s="205">
        <v>1.00587531</v>
      </c>
      <c r="J173" s="205">
        <v>-0.0266565</v>
      </c>
      <c r="K173" s="205">
        <v>-0.6404635</v>
      </c>
      <c r="L173" s="205">
        <v>0.00190404</v>
      </c>
      <c r="M173" s="205">
        <v>0.051953</v>
      </c>
      <c r="N173" s="205">
        <v>0.05304102</v>
      </c>
      <c r="O173" s="205">
        <v>-0.5119138</v>
      </c>
      <c r="P173" s="205">
        <v>0.47845719</v>
      </c>
      <c r="Q173" s="205">
        <v>-0.2507888</v>
      </c>
      <c r="R173" s="205">
        <v>0.04542487</v>
      </c>
      <c r="S173" s="205">
        <v>-0.3196061</v>
      </c>
      <c r="T173" s="205">
        <v>0.15177891</v>
      </c>
      <c r="U173" s="205">
        <v>0.44173648</v>
      </c>
      <c r="V173" s="205">
        <v>-0.7604613</v>
      </c>
      <c r="W173" s="205">
        <v>0.60330758</v>
      </c>
      <c r="X173" s="205">
        <v>-0.6003699</v>
      </c>
      <c r="Y173" s="205">
        <v>0.63431618</v>
      </c>
      <c r="Z173" s="205">
        <v>-0.7768796</v>
      </c>
      <c r="AA173" s="205">
        <v>-0.4033837</v>
      </c>
      <c r="AB173" s="205">
        <v>0.76134262</v>
      </c>
      <c r="AC173" s="205">
        <v>0.13926667</v>
      </c>
      <c r="AD173" s="205">
        <v>-0.6988902</v>
      </c>
      <c r="AE173" s="205">
        <v>-0.2646611</v>
      </c>
      <c r="AF173" s="205">
        <v>0.0</v>
      </c>
      <c r="AG173" s="205">
        <v>-0.6902949</v>
      </c>
      <c r="AH173" s="205">
        <v>0.63921227</v>
      </c>
      <c r="AI173" s="205">
        <v>0.29757371</v>
      </c>
      <c r="AJ173" s="205">
        <v>1.39484278</v>
      </c>
      <c r="AK173" s="205">
        <v>-0.7319933</v>
      </c>
      <c r="AL173" s="205">
        <v>-0.6799859</v>
      </c>
      <c r="AM173" s="205">
        <v>0.93814601</v>
      </c>
      <c r="AN173" s="205">
        <v>0.18877162</v>
      </c>
      <c r="AO173" s="205">
        <v>-0.777886</v>
      </c>
      <c r="AP173" s="205">
        <v>-0.6490589</v>
      </c>
      <c r="AQ173" s="205">
        <v>-0.6528125</v>
      </c>
      <c r="AR173" s="205">
        <v>-0.7561745</v>
      </c>
      <c r="AS173" s="205">
        <v>0.24589272</v>
      </c>
      <c r="AT173" s="205">
        <v>0.41290393</v>
      </c>
      <c r="AU173" s="205">
        <v>-0.7863671</v>
      </c>
      <c r="AV173" s="205">
        <v>0.03073659</v>
      </c>
      <c r="AW173" s="205">
        <v>0.08921771</v>
      </c>
      <c r="AX173" s="205">
        <v>-0.769462</v>
      </c>
      <c r="AY173" s="205">
        <v>-0.7756882</v>
      </c>
      <c r="AZ173" s="205">
        <v>0.42079208</v>
      </c>
      <c r="BA173" s="205">
        <v>0.24698074</v>
      </c>
      <c r="BB173" s="205">
        <v>-0.3761832</v>
      </c>
      <c r="BC173" s="205">
        <v>-0.1496029</v>
      </c>
      <c r="BD173" s="205">
        <v>0.68708519</v>
      </c>
      <c r="BE173" s="205">
        <v>1.30453705</v>
      </c>
      <c r="BF173" s="205">
        <v>-0.4624089</v>
      </c>
      <c r="BG173" s="205">
        <v>0.05766511</v>
      </c>
      <c r="BH173" s="205">
        <v>-0.7479328</v>
      </c>
      <c r="BI173" s="205">
        <v>-0.7432271</v>
      </c>
      <c r="BJ173" s="205">
        <v>-0.1822435</v>
      </c>
      <c r="BK173" s="205">
        <v>-0.1096181</v>
      </c>
      <c r="BL173" s="205">
        <v>0.42976825</v>
      </c>
      <c r="BM173" s="205">
        <v>-0.1283865</v>
      </c>
      <c r="BN173" s="205">
        <v>0.01414427</v>
      </c>
      <c r="BO173" s="205">
        <v>0.79806332</v>
      </c>
      <c r="BP173" s="205">
        <v>0.20890001</v>
      </c>
      <c r="BQ173" s="205">
        <v>-0.5152323</v>
      </c>
      <c r="BR173" s="206"/>
      <c r="BS173" s="207">
        <f t="shared" si="6"/>
        <v>-0.05090811222</v>
      </c>
      <c r="BT173" s="207">
        <f t="shared" si="7"/>
        <v>0.4806481947</v>
      </c>
      <c r="BU173" s="206"/>
      <c r="BV173" s="207">
        <f>IFERROR(__xludf.DUMMYFUNCTION("AVERAGE(ARRAYFORMULA(XLOOKUP(FILTER(INDIRECT(""'""&amp;BV$1&amp;""'!$C$4:$C$66""),INDIRECT(""'""&amp;BV$1&amp;""'!$D$4:$D$66"")=BV$2),$G$4:$BQ$4,$G173:$BQ173)))"),-0.050583645714285703)</f>
        <v>-0.05058364571</v>
      </c>
      <c r="BW173" s="207" t="str">
        <f>IFERROR(__xludf.DUMMYFUNCTION("IF(OR(BV173&gt;$BS173+$BT173*$BT$2,BV173&lt;$BS173-$BT173*$BT$2),AVEDEV(ARRAYFORMULA(XLOOKUP(FILTER(INDIRECT(""'""&amp;BV$1&amp;""'!$C$4:$C$66""),INDIRECT(""'""&amp;BV$1&amp;""'!$D$4:$D$66"")=BV$2),$G$4:$BQ$4,$G173:$BQ173))),"""")"),"")</f>
        <v/>
      </c>
      <c r="BX173" s="208" t="str">
        <f t="shared" si="8"/>
        <v/>
      </c>
      <c r="BY173" s="207">
        <f>IFERROR(__xludf.DUMMYFUNCTION("AVERAGE(ARRAYFORMULA(XLOOKUP(FILTER(INDIRECT(""'""&amp;BY$1&amp;""'!$C$4:$C$66""),INDIRECT(""'""&amp;BY$1&amp;""'!$D$4:$D$66"")=BY$2),$G$4:$BQ$4,$G173:$BQ173)))"),-0.16510218738095234)</f>
        <v>-0.1651021874</v>
      </c>
      <c r="BZ173" s="207" t="str">
        <f>IFERROR(__xludf.DUMMYFUNCTION("IF(OR(BY173&gt;$BS173+$BT173*$BT$2,BY173&lt;$BS173-$BT173*$BT$2),AVEDEV(ARRAYFORMULA(XLOOKUP(FILTER(INDIRECT(""'""&amp;BY$1&amp;""'!$C$4:$C$66""),INDIRECT(""'""&amp;BY$1&amp;""'!$D$4:$D$66"")=BY$2),$G$4:$BQ$4,$G173:$BQ173))),"""")"),"")</f>
        <v/>
      </c>
      <c r="CA173" s="208" t="str">
        <f t="shared" si="9"/>
        <v/>
      </c>
      <c r="CB173" s="207">
        <f>IFERROR(__xludf.DUMMYFUNCTION("AVERAGE(ARRAYFORMULA(XLOOKUP(FILTER(INDIRECT(""'""&amp;CB$1&amp;""'!$C$4:$C$66""),INDIRECT(""'""&amp;CB$1&amp;""'!$D$4:$D$66"")=CB$2),$G$4:$BQ$4,$G173:$BQ173)))"),0.28859753818181816)</f>
        <v>0.2885975382</v>
      </c>
      <c r="CC173" s="207" t="str">
        <f>IFERROR(__xludf.DUMMYFUNCTION("IF(OR(CB173&gt;$BS173+$BT173*$BT$2,CB173&lt;$BS173-$BT173*$BT$2),AVEDEV(ARRAYFORMULA(XLOOKUP(FILTER(INDIRECT(""'""&amp;CB$1&amp;""'!$C$4:$C$66""),INDIRECT(""'""&amp;CB$1&amp;""'!$D$4:$D$66"")=CB$2),$G$4:$BQ$4,$G173:$BQ173))),"""")"),"")</f>
        <v/>
      </c>
      <c r="CD173" s="208" t="str">
        <f t="shared" si="10"/>
        <v/>
      </c>
      <c r="CE173" s="209" t="s">
        <v>444</v>
      </c>
      <c r="CF173" s="207">
        <f>IFERROR(__xludf.DUMMYFUNCTION("AVERAGE(ARRAYFORMULA(XLOOKUP(FILTER(INDIRECT(""'""&amp;CF$1&amp;""'!$C$4:$C$66""),INDIRECT(""'""&amp;CF$1&amp;""'!$D$4:$D$66"")=CF$2),$G$4:$BQ$4,$G173:$BQ173)))"),-0.2947628843750001)</f>
        <v>-0.2947628844</v>
      </c>
      <c r="CG173" s="207" t="str">
        <f>IFERROR(__xludf.DUMMYFUNCTION("IF(OR(CF173&gt;$BS173+$BT173*$BT$2,CF173&lt;$BS173-$BT173*$BT$2),AVEDEV(ARRAYFORMULA(XLOOKUP(FILTER(INDIRECT(""'""&amp;CF$1&amp;""'!$C$4:$C$66""),INDIRECT(""'""&amp;CF$1&amp;""'!$D$4:$D$66"")=CF$2),$G$4:$BQ$4,$G173:$BQ173))),"""")"),"")</f>
        <v/>
      </c>
      <c r="CH173" s="208" t="str">
        <f t="shared" si="11"/>
        <v/>
      </c>
      <c r="CI173" s="207">
        <f>IFERROR(__xludf.DUMMYFUNCTION("AVERAGE(ARRAYFORMULA(XLOOKUP(FILTER(INDIRECT(""'""&amp;CI$1&amp;""'!$C$4:$C$66""),INDIRECT(""'""&amp;CI$1&amp;""'!$D$4:$D$66"")=CI$2),$G$4:$BQ$4,$G173:$BQ173)))"),0.0165356335483871)</f>
        <v>0.01653563355</v>
      </c>
      <c r="CJ173" s="207" t="str">
        <f>IFERROR(__xludf.DUMMYFUNCTION("IF(OR(CI173&gt;$BS173+$BT173*$BT$2,CI173&lt;$BS173-$BT173*$BT$2),AVEDEV(ARRAYFORMULA(XLOOKUP(FILTER(INDIRECT(""'""&amp;CI$1&amp;""'!$C$4:$C$66""),INDIRECT(""'""&amp;CI$1&amp;""'!$D$4:$D$66"")=CI$2),$G$4:$BQ$4,$G173:$BQ173))),"""")"),"")</f>
        <v/>
      </c>
      <c r="CK173" s="208" t="str">
        <f t="shared" si="12"/>
        <v/>
      </c>
      <c r="CL173" s="207">
        <f>IFERROR(__xludf.DUMMYFUNCTION("AVERAGE(ARRAYFORMULA(XLOOKUP(FILTER(INDIRECT(""'""&amp;CL$1&amp;""'!$C$4:$C$66""),INDIRECT(""'""&amp;CL$1&amp;""'!$D$4:$D$66"")=CL$2),$G$4:$BQ$4,$G173:$BQ173)))"),0.23615493400000004)</f>
        <v>0.236154934</v>
      </c>
      <c r="CM173" s="207" t="str">
        <f>IFERROR(__xludf.DUMMYFUNCTION("IF(OR(CL173&gt;$BS173+$BT173*$BT$2,CL173&lt;$BS173-$BT173*$BT$2),AVEDEV(ARRAYFORMULA(XLOOKUP(FILTER(INDIRECT(""'""&amp;CL$1&amp;""'!$C$4:$C$66""),INDIRECT(""'""&amp;CL$1&amp;""'!$D$4:$D$66"")=CL$2),$G$4:$BQ$4,$G173:$BQ173))),"""")"),"")</f>
        <v/>
      </c>
      <c r="CN173" s="208" t="str">
        <f t="shared" si="13"/>
        <v/>
      </c>
      <c r="CO173" s="209" t="s">
        <v>444</v>
      </c>
      <c r="CP173" s="210">
        <f>IFERROR(__xludf.DUMMYFUNCTION("AVERAGE(ARRAYFORMULA(XLOOKUP(FILTER(INDIRECT(""'""&amp;CP$1&amp;""'!$C$4:$C$66""),INDIRECT(""'""&amp;CP$1&amp;""'!$D$4:$D$66"")=CP$2),$G$4:$BQ$4,$G173:$BQ173)))"),0.27499365600000003)</f>
        <v>0.274993656</v>
      </c>
      <c r="CQ173" s="207" t="str">
        <f>IFERROR(__xludf.DUMMYFUNCTION("IF(OR(CP173&gt;$BS173+$BT173*$BT$2,CP173&lt;$BS173-$BT173*$BT$2),AVEDEV(ARRAYFORMULA(XLOOKUP(FILTER(INDIRECT(""'""&amp;CP$1&amp;""'!$C$4:$C$66""),INDIRECT(""'""&amp;CP$1&amp;""'!$D$4:$D$66"")=CP$2),$G$4:$BQ$4,$G173:$BQ173))),"""")"),"")</f>
        <v/>
      </c>
      <c r="CR173" s="208" t="str">
        <f t="shared" si="14"/>
        <v/>
      </c>
      <c r="CS173" s="210">
        <f>IFERROR(__xludf.DUMMYFUNCTION("AVERAGE(ARRAYFORMULA(XLOOKUP(FILTER(INDIRECT(""'""&amp;CS$1&amp;""'!$C$4:$C$66""),INDIRECT(""'""&amp;CS$1&amp;""'!$D$4:$D$66"")=CS$2),$G$4:$BQ$4,$G173:$BQ173)))"),-0.252544928974359)</f>
        <v>-0.252544929</v>
      </c>
      <c r="CT173" s="207" t="str">
        <f>IFERROR(__xludf.DUMMYFUNCTION("IF(OR(CS173&gt;$BS173+$BT173*$BT$2,CS173&lt;$BS173-$BT173*$BT$2),AVEDEV(ARRAYFORMULA(XLOOKUP(FILTER(INDIRECT(""'""&amp;CS$1&amp;""'!$C$4:$C$66""),INDIRECT(""'""&amp;CS$1&amp;""'!$D$4:$D$66"")=CS$2),$G$4:$BQ$4,$G173:$BQ173))),"""")"),"")</f>
        <v/>
      </c>
      <c r="CU173" s="208" t="str">
        <f t="shared" si="15"/>
        <v/>
      </c>
      <c r="CV173" s="210">
        <f>IFERROR(__xludf.DUMMYFUNCTION("AVERAGE(ARRAYFORMULA(XLOOKUP(FILTER(INDIRECT(""'""&amp;CV$1&amp;""'!$C$4:$C$66""),INDIRECT(""'""&amp;CV$1&amp;""'!$D$4:$D$66"")=CV$2),$G$4:$BQ$4,$G173:$BQ173)))"),0.23615493400000004)</f>
        <v>0.236154934</v>
      </c>
      <c r="CW173" s="207" t="str">
        <f>IFERROR(__xludf.DUMMYFUNCTION("IF(OR(CV173&gt;$BS173+$BT173*$BT$2,CV173&lt;$BS173-$BT173*$BT$2),AVEDEV(ARRAYFORMULA(XLOOKUP(FILTER(INDIRECT(""'""&amp;CV$1&amp;""'!$C$4:$C$66""),INDIRECT(""'""&amp;CV$1&amp;""'!$D$4:$D$66"")=CV$2),$G$4:$BQ$4,$G173:$BQ173))),"""")"),"")</f>
        <v/>
      </c>
      <c r="CX173" s="208" t="str">
        <f t="shared" si="16"/>
        <v/>
      </c>
      <c r="CY173" s="209" t="s">
        <v>444</v>
      </c>
      <c r="CZ173" s="210">
        <f>IFERROR(__xludf.DUMMYFUNCTION("AVERAGE(ARRAYFORMULA(XLOOKUP(FILTER(INDIRECT(""'""&amp;CZ$1&amp;""'!$C$4:$C$66""),INDIRECT(""'""&amp;CZ$1&amp;""'!$D$4:$D$66"")=CZ$2),$G$4:$BQ$4,$G173:$BQ173)))"),-0.38170027571428566)</f>
        <v>-0.3817002757</v>
      </c>
      <c r="DA173" s="207" t="str">
        <f>IFERROR(__xludf.DUMMYFUNCTION("IF(OR(CZ173&gt;$BS173+$BT173*$BT$2,CZ173&lt;$BS173-$BT173*$BT$2),AVEDEV(ARRAYFORMULA(XLOOKUP(FILTER(INDIRECT(""'""&amp;CZ$1&amp;""'!$C$4:$C$66""),INDIRECT(""'""&amp;CZ$1&amp;""'!$D$4:$D$66"")=CZ$2),$G$4:$BQ$4,$G173:$BQ173))),"""")"),"")</f>
        <v/>
      </c>
      <c r="DB173" s="208" t="str">
        <f t="shared" si="17"/>
        <v/>
      </c>
      <c r="DC173" s="210">
        <f>IFERROR(__xludf.DUMMYFUNCTION("AVERAGE(ARRAYFORMULA(XLOOKUP(FILTER(INDIRECT(""'""&amp;DC$1&amp;""'!$C$4:$C$66""),INDIRECT(""'""&amp;DC$1&amp;""'!$D$4:$D$66"")=DC$2),$G$4:$BQ$4,$G173:$BQ173)))"),0.32024081555555556)</f>
        <v>0.3202408156</v>
      </c>
      <c r="DD173" s="207" t="str">
        <f>IFERROR(__xludf.DUMMYFUNCTION("IF(OR(DC173&gt;$BS173+$BT173*$BT$2,DC173&lt;$BS173-$BT173*$BT$2),AVEDEV(ARRAYFORMULA(XLOOKUP(FILTER(INDIRECT(""'""&amp;DC$1&amp;""'!$C$4:$C$66""),INDIRECT(""'""&amp;DC$1&amp;""'!$D$4:$D$66"")=DC$2),$G$4:$BQ$4,$G173:$BQ173))),"""")"),"")</f>
        <v/>
      </c>
      <c r="DE173" s="208" t="str">
        <f t="shared" si="18"/>
        <v/>
      </c>
      <c r="DF173" s="210">
        <f>IFERROR(__xludf.DUMMYFUNCTION("AVERAGE(ARRAYFORMULA(XLOOKUP(FILTER(INDIRECT(""'""&amp;DF$1&amp;""'!$C$4:$C$66""),INDIRECT(""'""&amp;DF$1&amp;""'!$D$4:$D$66"")=DF$2),$G$4:$BQ$4,$G173:$BQ173)))"),0.31592170909090905)</f>
        <v>0.3159217091</v>
      </c>
      <c r="DG173" s="207" t="str">
        <f>IFERROR(__xludf.DUMMYFUNCTION("IF(OR(DF173&gt;$BS173+$BT173*$BT$2,DF173&lt;$BS173-$BT173*$BT$2),AVEDEV(ARRAYFORMULA(XLOOKUP(FILTER(INDIRECT(""'""&amp;DF$1&amp;""'!$C$4:$C$66""),INDIRECT(""'""&amp;DF$1&amp;""'!$D$4:$D$66"")=DF$2),$G$4:$BQ$4,$G173:$BQ173))),"""")"),"")</f>
        <v/>
      </c>
      <c r="DH173" s="208" t="str">
        <f t="shared" si="19"/>
        <v/>
      </c>
      <c r="DI173" s="210">
        <f>IFERROR(__xludf.DUMMYFUNCTION("AVERAGE(ARRAYFORMULA(XLOOKUP(FILTER(INDIRECT(""'""&amp;DI$1&amp;""'!$C$4:$C$66""),INDIRECT(""'""&amp;DI$1&amp;""'!$D$4:$D$66"")=DI$2),$G$4:$BQ$4,$G173:$BQ173)))"),-0.7234115)</f>
        <v>-0.7234115</v>
      </c>
      <c r="DJ173" s="207">
        <f>IFERROR(__xludf.DUMMYFUNCTION("IF(OR(DI173&gt;$BS173+$BT173*$BT$2,DI173&lt;$BS173-$BT173*$BT$2),AVEDEV(ARRAYFORMULA(XLOOKUP(FILTER(INDIRECT(""'""&amp;DI$1&amp;""'!$C$4:$C$66""),INDIRECT(""'""&amp;DI$1&amp;""'!$D$4:$D$66"")=DI$2),$G$4:$BQ$4,$G173:$BQ173))),"""")"),0.024521299999999968)</f>
        <v>0.0245213</v>
      </c>
      <c r="DK173" s="208">
        <f t="shared" si="20"/>
        <v>-0.1918551931</v>
      </c>
      <c r="DL173" s="210">
        <f>IFERROR(__xludf.DUMMYFUNCTION("AVERAGE(ARRAYFORMULA(XLOOKUP(FILTER(INDIRECT(""'""&amp;DL$1&amp;""'!$C$4:$C$66""),INDIRECT(""'""&amp;DL$1&amp;""'!$D$4:$D$66"")=DL$2),$G$4:$BQ$4,$G173:$BQ173)))"),-0.20024578214285713)</f>
        <v>-0.2002457821</v>
      </c>
      <c r="DM173" s="207" t="str">
        <f>IFERROR(__xludf.DUMMYFUNCTION("IF(OR(DL173&gt;$BS173+$BT173*$BT$2,DL173&lt;$BS173-$BT173*$BT$2),AVEDEV(ARRAYFORMULA(XLOOKUP(FILTER(INDIRECT(""'""&amp;DL$1&amp;""'!$C$4:$C$66""),INDIRECT(""'""&amp;DL$1&amp;""'!$D$4:$D$66"")=DL$2),$G$4:$BQ$4,$G173:$BQ173))),"""")"),"")</f>
        <v/>
      </c>
      <c r="DN173" s="208" t="str">
        <f t="shared" si="21"/>
        <v/>
      </c>
      <c r="DO173" s="209" t="s">
        <v>444</v>
      </c>
      <c r="DP173" s="210">
        <f>IFERROR(__xludf.DUMMYFUNCTION("AVERAGE(ARRAYFORMULA(XLOOKUP(FILTER(INDIRECT(""'""&amp;DP$1&amp;""'!$C$4:$C$66""),INDIRECT(""'""&amp;DP$1&amp;""'!$D$4:$D$66"")=DP$2),$G$4:$BQ$4,$G173:$BQ173)))"),-0.204150173)</f>
        <v>-0.204150173</v>
      </c>
      <c r="DQ173" s="207" t="str">
        <f>IFERROR(__xludf.DUMMYFUNCTION("IF(OR(DP173&gt;$BS173+$BT173*$BT$2,DP173&lt;$BS173-$BT173*$BT$2),AVEDEV(ARRAYFORMULA(XLOOKUP(FILTER(INDIRECT(""'""&amp;DP$1&amp;""'!$C$4:$C$66""),INDIRECT(""'""&amp;DP$1&amp;""'!$D$4:$D$66"")=DP$2),$G$4:$BQ$4,$G173:$BQ173))),"""")"),"")</f>
        <v/>
      </c>
      <c r="DR173" s="208" t="str">
        <f t="shared" si="22"/>
        <v/>
      </c>
      <c r="DS173" s="210">
        <f>IFERROR(__xludf.DUMMYFUNCTION("AVERAGE(ARRAYFORMULA(XLOOKUP(FILTER(INDIRECT(""'""&amp;DS$1&amp;""'!$C$4:$C$66""),INDIRECT(""'""&amp;DS$1&amp;""'!$D$4:$D$66"")=DS$2),$G$4:$BQ$4,$G173:$BQ173)))"),0.23891125)</f>
        <v>0.23891125</v>
      </c>
      <c r="DT173" s="207" t="str">
        <f>IFERROR(__xludf.DUMMYFUNCTION("IF(OR(DS173&gt;$BS173+$BT173*$BT$2,DS173&lt;$BS173-$BT173*$BT$2),AVEDEV(ARRAYFORMULA(XLOOKUP(FILTER(INDIRECT(""'""&amp;DS$1&amp;""'!$C$4:$C$66""),INDIRECT(""'""&amp;DS$1&amp;""'!$D$4:$D$66"")=DS$2),$G$4:$BQ$4,$G173:$BQ173))),"""")"),"")</f>
        <v/>
      </c>
      <c r="DU173" s="208" t="str">
        <f t="shared" si="23"/>
        <v/>
      </c>
      <c r="DV173" s="210">
        <f>IFERROR(__xludf.DUMMYFUNCTION("AVERAGE(ARRAYFORMULA(XLOOKUP(FILTER(INDIRECT(""'""&amp;DV$1&amp;""'!$C$4:$C$66""),INDIRECT(""'""&amp;DV$1&amp;""'!$D$4:$D$66"")=DV$2),$G$4:$BQ$4,$G173:$BQ173)))"),0.03652555125000001)</f>
        <v>0.03652555125</v>
      </c>
      <c r="DW173" s="207" t="str">
        <f>IFERROR(__xludf.DUMMYFUNCTION("IF(OR(DV173&gt;$BS173+$BT173*$BT$2,DV173&lt;$BS173-$BT173*$BT$2),AVEDEV(ARRAYFORMULA(XLOOKUP(FILTER(INDIRECT(""'""&amp;DV$1&amp;""'!$C$4:$C$66""),INDIRECT(""'""&amp;DV$1&amp;""'!$D$4:$D$66"")=DV$2),$G$4:$BQ$4,$G173:$BQ173))),"""")"),"")</f>
        <v/>
      </c>
      <c r="DX173" s="208" t="str">
        <f t="shared" si="24"/>
        <v/>
      </c>
      <c r="DY173" s="210">
        <f>IFERROR(__xludf.DUMMYFUNCTION("AVERAGE(ARRAYFORMULA(XLOOKUP(FILTER(INDIRECT(""'""&amp;DY$1&amp;""'!$C$4:$C$66""),INDIRECT(""'""&amp;DY$1&amp;""'!$D$4:$D$66"")=DY$2),$G$4:$BQ$4,$G173:$BQ173)))"),0.14143969)</f>
        <v>0.14143969</v>
      </c>
      <c r="DZ173" s="207" t="str">
        <f>IFERROR(__xludf.DUMMYFUNCTION("IF(OR(DY173&gt;$BS173+$BT173*$BT$2,DY173&lt;$BS173-$BT173*$BT$2),AVEDEV(ARRAYFORMULA(XLOOKUP(FILTER(INDIRECT(""'""&amp;DY$1&amp;""'!$C$4:$C$66""),INDIRECT(""'""&amp;DY$1&amp;""'!$D$4:$D$66"")=DY$2),$G$4:$BQ$4,$G173:$BQ173))),"""")"),"")</f>
        <v/>
      </c>
      <c r="EA173" s="208" t="str">
        <f t="shared" si="25"/>
        <v/>
      </c>
      <c r="EB173" s="191"/>
    </row>
    <row r="174" outlineLevel="1">
      <c r="A174" s="2"/>
      <c r="B174" s="204">
        <v>170.0</v>
      </c>
      <c r="C174" s="204" t="s">
        <v>601</v>
      </c>
      <c r="D174" s="204" t="s">
        <v>617</v>
      </c>
      <c r="E174" s="205" t="b">
        <f>VLOOKUP(D174,'Feature Set List'!A170:C246,2,0)</f>
        <v>1</v>
      </c>
      <c r="F174" s="205" t="b">
        <f>VLOOKUP(D174,'Feature Set List'!A170:C246,3,0)</f>
        <v>0</v>
      </c>
      <c r="G174" s="205">
        <v>0.66666667</v>
      </c>
      <c r="H174" s="205">
        <v>0.33333333</v>
      </c>
      <c r="I174" s="205">
        <v>0.0</v>
      </c>
      <c r="J174" s="205">
        <v>0.66666667</v>
      </c>
      <c r="K174" s="205">
        <v>0.0</v>
      </c>
      <c r="L174" s="205">
        <v>-0.6666667</v>
      </c>
      <c r="M174" s="205">
        <v>-1.0</v>
      </c>
      <c r="N174" s="205">
        <v>0.33333333</v>
      </c>
      <c r="O174" s="205">
        <v>1.33333333</v>
      </c>
      <c r="P174" s="205">
        <v>-1.0</v>
      </c>
      <c r="Q174" s="205">
        <v>0.0</v>
      </c>
      <c r="R174" s="205">
        <v>-0.3333333</v>
      </c>
      <c r="S174" s="205">
        <v>1.0</v>
      </c>
      <c r="T174" s="205">
        <v>-0.3333333</v>
      </c>
      <c r="U174" s="205">
        <v>0.33333333</v>
      </c>
      <c r="V174" s="205">
        <v>0.33333333</v>
      </c>
      <c r="W174" s="205">
        <v>-0.6666667</v>
      </c>
      <c r="X174" s="205">
        <v>1.0</v>
      </c>
      <c r="Y174" s="205">
        <v>-1.0</v>
      </c>
      <c r="Z174" s="205">
        <v>1.66666667</v>
      </c>
      <c r="AA174" s="205">
        <v>0.33333333</v>
      </c>
      <c r="AB174" s="205">
        <v>0.0</v>
      </c>
      <c r="AC174" s="205">
        <v>0.0</v>
      </c>
      <c r="AD174" s="205">
        <v>0.33333333</v>
      </c>
      <c r="AE174" s="205">
        <v>0.33333333</v>
      </c>
      <c r="AF174" s="205">
        <v>-0.6666667</v>
      </c>
      <c r="AG174" s="205">
        <v>0.33333333</v>
      </c>
      <c r="AH174" s="205">
        <v>0.0</v>
      </c>
      <c r="AI174" s="205">
        <v>-0.3333333</v>
      </c>
      <c r="AJ174" s="205">
        <v>-0.6666667</v>
      </c>
      <c r="AK174" s="205">
        <v>0.0</v>
      </c>
      <c r="AL174" s="205">
        <v>0.0</v>
      </c>
      <c r="AM174" s="205">
        <v>0.33333333</v>
      </c>
      <c r="AN174" s="205">
        <v>0.0</v>
      </c>
      <c r="AO174" s="205">
        <v>0.66666667</v>
      </c>
      <c r="AP174" s="205">
        <v>0.66666667</v>
      </c>
      <c r="AQ174" s="205">
        <v>0.66666667</v>
      </c>
      <c r="AR174" s="205">
        <v>-0.3333333</v>
      </c>
      <c r="AS174" s="205">
        <v>-0.6666667</v>
      </c>
      <c r="AT174" s="205">
        <v>0.33333333</v>
      </c>
      <c r="AU174" s="205">
        <v>-0.3333333</v>
      </c>
      <c r="AV174" s="205">
        <v>0.33333333</v>
      </c>
      <c r="AW174" s="205">
        <v>0.66666667</v>
      </c>
      <c r="AX174" s="205">
        <v>0.33333333</v>
      </c>
      <c r="AY174" s="205">
        <v>0.33333333</v>
      </c>
      <c r="AZ174" s="205">
        <v>0.66666667</v>
      </c>
      <c r="BA174" s="205">
        <v>-0.6666667</v>
      </c>
      <c r="BB174" s="205">
        <v>0.33333333</v>
      </c>
      <c r="BC174" s="205">
        <v>0.33333333</v>
      </c>
      <c r="BD174" s="205">
        <v>-1.0</v>
      </c>
      <c r="BE174" s="205">
        <v>0.66666667</v>
      </c>
      <c r="BF174" s="205">
        <v>0.33333333</v>
      </c>
      <c r="BG174" s="205">
        <v>-0.6666667</v>
      </c>
      <c r="BH174" s="205">
        <v>0.33333333</v>
      </c>
      <c r="BI174" s="205">
        <v>-0.6666667</v>
      </c>
      <c r="BJ174" s="205">
        <v>0.33333333</v>
      </c>
      <c r="BK174" s="205">
        <v>-0.3333333</v>
      </c>
      <c r="BL174" s="205">
        <v>-0.6666667</v>
      </c>
      <c r="BM174" s="205">
        <v>-0.6666667</v>
      </c>
      <c r="BN174" s="205">
        <v>-1.0</v>
      </c>
      <c r="BO174" s="205">
        <v>-0.6666667</v>
      </c>
      <c r="BP174" s="205">
        <v>-0.6666667</v>
      </c>
      <c r="BQ174" s="205">
        <v>-1.0</v>
      </c>
      <c r="BR174" s="206"/>
      <c r="BS174" s="207">
        <f t="shared" si="6"/>
        <v>0.005291001587</v>
      </c>
      <c r="BT174" s="207">
        <f t="shared" si="7"/>
        <v>0.5134794683</v>
      </c>
      <c r="BU174" s="206"/>
      <c r="BV174" s="207">
        <f>IFERROR(__xludf.DUMMYFUNCTION("AVERAGE(ARRAYFORMULA(XLOOKUP(FILTER(INDIRECT(""'""&amp;BV$1&amp;""'!$C$4:$C$66""),INDIRECT(""'""&amp;BV$1&amp;""'!$D$4:$D$66"")=BV$2),$G$4:$BQ$4,$G174:$BQ174)))"),0.3809523757142857)</f>
        <v>0.3809523757</v>
      </c>
      <c r="BW174" s="207" t="str">
        <f>IFERROR(__xludf.DUMMYFUNCTION("IF(OR(BV174&gt;$BS174+$BT174*$BT$2,BV174&lt;$BS174-$BT174*$BT$2),AVEDEV(ARRAYFORMULA(XLOOKUP(FILTER(INDIRECT(""'""&amp;BV$1&amp;""'!$C$4:$C$66""),INDIRECT(""'""&amp;BV$1&amp;""'!$D$4:$D$66"")=BV$2),$G$4:$BQ$4,$G174:$BQ174))),"""")"),"")</f>
        <v/>
      </c>
      <c r="BX174" s="208" t="str">
        <f t="shared" si="8"/>
        <v/>
      </c>
      <c r="BY174" s="207">
        <f>IFERROR(__xludf.DUMMYFUNCTION("AVERAGE(ARRAYFORMULA(XLOOKUP(FILTER(INDIRECT(""'""&amp;BY$1&amp;""'!$C$4:$C$66""),INDIRECT(""'""&amp;BY$1&amp;""'!$D$4:$D$66"")=BY$2),$G$4:$BQ$4,$G174:$BQ174)))"),0.10317460071428569)</f>
        <v>0.1031746007</v>
      </c>
      <c r="BZ174" s="207" t="str">
        <f>IFERROR(__xludf.DUMMYFUNCTION("IF(OR(BY174&gt;$BS174+$BT174*$BT$2,BY174&lt;$BS174-$BT174*$BT$2),AVEDEV(ARRAYFORMULA(XLOOKUP(FILTER(INDIRECT(""'""&amp;BY$1&amp;""'!$C$4:$C$66""),INDIRECT(""'""&amp;BY$1&amp;""'!$D$4:$D$66"")=BY$2),$G$4:$BQ$4,$G174:$BQ174))),"""")"),"")</f>
        <v/>
      </c>
      <c r="CA174" s="208" t="str">
        <f t="shared" si="9"/>
        <v/>
      </c>
      <c r="CB174" s="207">
        <f>IFERROR(__xludf.DUMMYFUNCTION("AVERAGE(ARRAYFORMULA(XLOOKUP(FILTER(INDIRECT(""'""&amp;CB$1&amp;""'!$C$4:$C$66""),INDIRECT(""'""&amp;CB$1&amp;""'!$D$4:$D$66"")=CB$2),$G$4:$BQ$4,$G174:$BQ174)))"),-0.4848484963636364)</f>
        <v>-0.4848484964</v>
      </c>
      <c r="CC174" s="207" t="str">
        <f>IFERROR(__xludf.DUMMYFUNCTION("IF(OR(CB174&gt;$BS174+$BT174*$BT$2,CB174&lt;$BS174-$BT174*$BT$2),AVEDEV(ARRAYFORMULA(XLOOKUP(FILTER(INDIRECT(""'""&amp;CB$1&amp;""'!$C$4:$C$66""),INDIRECT(""'""&amp;CB$1&amp;""'!$D$4:$D$66"")=CB$2),$G$4:$BQ$4,$G174:$BQ174))),"""")"),"")</f>
        <v/>
      </c>
      <c r="CD174" s="208" t="str">
        <f t="shared" si="10"/>
        <v/>
      </c>
      <c r="CE174" s="209" t="s">
        <v>444</v>
      </c>
      <c r="CF174" s="207">
        <f>IFERROR(__xludf.DUMMYFUNCTION("AVERAGE(ARRAYFORMULA(XLOOKUP(FILTER(INDIRECT(""'""&amp;CF$1&amp;""'!$C$4:$C$66""),INDIRECT(""'""&amp;CF$1&amp;""'!$D$4:$D$66"")=CF$2),$G$4:$BQ$4,$G174:$BQ174)))"),0.33333333437500007)</f>
        <v>0.3333333344</v>
      </c>
      <c r="CG174" s="207" t="str">
        <f>IFERROR(__xludf.DUMMYFUNCTION("IF(OR(CF174&gt;$BS174+$BT174*$BT$2,CF174&lt;$BS174-$BT174*$BT$2),AVEDEV(ARRAYFORMULA(XLOOKUP(FILTER(INDIRECT(""'""&amp;CF$1&amp;""'!$C$4:$C$66""),INDIRECT(""'""&amp;CF$1&amp;""'!$D$4:$D$66"")=CF$2),$G$4:$BQ$4,$G174:$BQ174))),"""")"),"")</f>
        <v/>
      </c>
      <c r="CH174" s="208" t="str">
        <f t="shared" si="11"/>
        <v/>
      </c>
      <c r="CI174" s="207">
        <f>IFERROR(__xludf.DUMMYFUNCTION("AVERAGE(ARRAYFORMULA(XLOOKUP(FILTER(INDIRECT(""'""&amp;CI$1&amp;""'!$C$4:$C$66""),INDIRECT(""'""&amp;CI$1&amp;""'!$D$4:$D$66"")=CI$2),$G$4:$BQ$4,$G174:$BQ174)))"),-0.021505381290322586)</f>
        <v>-0.02150538129</v>
      </c>
      <c r="CJ174" s="207" t="str">
        <f>IFERROR(__xludf.DUMMYFUNCTION("IF(OR(CI174&gt;$BS174+$BT174*$BT$2,CI174&lt;$BS174-$BT174*$BT$2),AVEDEV(ARRAYFORMULA(XLOOKUP(FILTER(INDIRECT(""'""&amp;CI$1&amp;""'!$C$4:$C$66""),INDIRECT(""'""&amp;CI$1&amp;""'!$D$4:$D$66"")=CI$2),$G$4:$BQ$4,$G174:$BQ174))),"""")"),"")</f>
        <v/>
      </c>
      <c r="CK174" s="208" t="str">
        <f t="shared" si="12"/>
        <v/>
      </c>
      <c r="CL174" s="207">
        <f>IFERROR(__xludf.DUMMYFUNCTION("AVERAGE(ARRAYFORMULA(XLOOKUP(FILTER(INDIRECT(""'""&amp;CL$1&amp;""'!$C$4:$C$66""),INDIRECT(""'""&amp;CL$1&amp;""'!$D$4:$D$66"")=CL$2),$G$4:$BQ$4,$G174:$BQ174)))"),-0.66666668)</f>
        <v>-0.66666668</v>
      </c>
      <c r="CM174" s="207">
        <f>IFERROR(__xludf.DUMMYFUNCTION("IF(OR(CL174&gt;$BS174+$BT174*$BT$2,CL174&lt;$BS174-$BT174*$BT$2),AVEDEV(ARRAYFORMULA(XLOOKUP(FILTER(INDIRECT(""'""&amp;CL$1&amp;""'!$C$4:$C$66""),INDIRECT(""'""&amp;CL$1&amp;""'!$D$4:$D$66"")=CL$2),$G$4:$BQ$4,$G174:$BQ174))),"""")"),0.133333352)</f>
        <v>0.133333352</v>
      </c>
      <c r="CN174" s="208">
        <f t="shared" si="13"/>
        <v>-0.1584782133</v>
      </c>
      <c r="CO174" s="209" t="s">
        <v>444</v>
      </c>
      <c r="CP174" s="210">
        <f>IFERROR(__xludf.DUMMYFUNCTION("AVERAGE(ARRAYFORMULA(XLOOKUP(FILTER(INDIRECT(""'""&amp;CP$1&amp;""'!$C$4:$C$66""),INDIRECT(""'""&amp;CP$1&amp;""'!$D$4:$D$66"")=CP$2),$G$4:$BQ$4,$G174:$BQ174)))"),0.133333328)</f>
        <v>0.133333328</v>
      </c>
      <c r="CQ174" s="207" t="str">
        <f>IFERROR(__xludf.DUMMYFUNCTION("IF(OR(CP174&gt;$BS174+$BT174*$BT$2,CP174&lt;$BS174-$BT174*$BT$2),AVEDEV(ARRAYFORMULA(XLOOKUP(FILTER(INDIRECT(""'""&amp;CP$1&amp;""'!$C$4:$C$66""),INDIRECT(""'""&amp;CP$1&amp;""'!$D$4:$D$66"")=CP$2),$G$4:$BQ$4,$G174:$BQ174))),"""")"),"")</f>
        <v/>
      </c>
      <c r="CR174" s="208" t="str">
        <f t="shared" si="14"/>
        <v/>
      </c>
      <c r="CS174" s="210">
        <f>IFERROR(__xludf.DUMMYFUNCTION("AVERAGE(ARRAYFORMULA(XLOOKUP(FILTER(INDIRECT(""'""&amp;CS$1&amp;""'!$C$4:$C$66""),INDIRECT(""'""&amp;CS$1&amp;""'!$D$4:$D$66"")=CS$2),$G$4:$BQ$4,$G174:$BQ174)))"),0.09401709179487179)</f>
        <v>0.09401709179</v>
      </c>
      <c r="CT174" s="207" t="str">
        <f>IFERROR(__xludf.DUMMYFUNCTION("IF(OR(CS174&gt;$BS174+$BT174*$BT$2,CS174&lt;$BS174-$BT174*$BT$2),AVEDEV(ARRAYFORMULA(XLOOKUP(FILTER(INDIRECT(""'""&amp;CS$1&amp;""'!$C$4:$C$66""),INDIRECT(""'""&amp;CS$1&amp;""'!$D$4:$D$66"")=CS$2),$G$4:$BQ$4,$G174:$BQ174))),"""")"),"")</f>
        <v/>
      </c>
      <c r="CU174" s="208" t="str">
        <f t="shared" si="15"/>
        <v/>
      </c>
      <c r="CV174" s="210">
        <f>IFERROR(__xludf.DUMMYFUNCTION("AVERAGE(ARRAYFORMULA(XLOOKUP(FILTER(INDIRECT(""'""&amp;CV$1&amp;""'!$C$4:$C$66""),INDIRECT(""'""&amp;CV$1&amp;""'!$D$4:$D$66"")=CV$2),$G$4:$BQ$4,$G174:$BQ174)))"),-0.66666668)</f>
        <v>-0.66666668</v>
      </c>
      <c r="CW174" s="207">
        <f>IFERROR(__xludf.DUMMYFUNCTION("IF(OR(CV174&gt;$BS174+$BT174*$BT$2,CV174&lt;$BS174-$BT174*$BT$2),AVEDEV(ARRAYFORMULA(XLOOKUP(FILTER(INDIRECT(""'""&amp;CV$1&amp;""'!$C$4:$C$66""),INDIRECT(""'""&amp;CV$1&amp;""'!$D$4:$D$66"")=CV$2),$G$4:$BQ$4,$G174:$BQ174))),"""")"),0.133333352)</f>
        <v>0.133333352</v>
      </c>
      <c r="CX174" s="208">
        <f t="shared" si="16"/>
        <v>-0.1584782133</v>
      </c>
      <c r="CY174" s="209" t="s">
        <v>444</v>
      </c>
      <c r="CZ174" s="210">
        <f>IFERROR(__xludf.DUMMYFUNCTION("AVERAGE(ARRAYFORMULA(XLOOKUP(FILTER(INDIRECT(""'""&amp;CZ$1&amp;""'!$C$4:$C$66""),INDIRECT(""'""&amp;CZ$1&amp;""'!$D$4:$D$66"")=CZ$2),$G$4:$BQ$4,$G174:$BQ174)))"),0.28571429)</f>
        <v>0.28571429</v>
      </c>
      <c r="DA174" s="207" t="str">
        <f>IFERROR(__xludf.DUMMYFUNCTION("IF(OR(CZ174&gt;$BS174+$BT174*$BT$2,CZ174&lt;$BS174-$BT174*$BT$2),AVEDEV(ARRAYFORMULA(XLOOKUP(FILTER(INDIRECT(""'""&amp;CZ$1&amp;""'!$C$4:$C$66""),INDIRECT(""'""&amp;CZ$1&amp;""'!$D$4:$D$66"")=CZ$2),$G$4:$BQ$4,$G174:$BQ174))),"""")"),"")</f>
        <v/>
      </c>
      <c r="DB174" s="208" t="str">
        <f t="shared" si="17"/>
        <v/>
      </c>
      <c r="DC174" s="210">
        <f>IFERROR(__xludf.DUMMYFUNCTION("AVERAGE(ARRAYFORMULA(XLOOKUP(FILTER(INDIRECT(""'""&amp;DC$1&amp;""'!$C$4:$C$66""),INDIRECT(""'""&amp;DC$1&amp;""'!$D$4:$D$66"")=DC$2),$G$4:$BQ$4,$G174:$BQ174)))"),-0.5925926033333333)</f>
        <v>-0.5925926033</v>
      </c>
      <c r="DD174" s="207">
        <f>IFERROR(__xludf.DUMMYFUNCTION("IF(OR(DC174&gt;$BS174+$BT174*$BT$2,DC174&lt;$BS174-$BT174*$BT$2),AVEDEV(ARRAYFORMULA(XLOOKUP(FILTER(INDIRECT(""'""&amp;DC$1&amp;""'!$C$4:$C$66""),INDIRECT(""'""&amp;DC$1&amp;""'!$D$4:$D$66"")=DC$2),$G$4:$BQ$4,$G174:$BQ174))),"""")"),0.3374485725925926)</f>
        <v>0.3374485726</v>
      </c>
      <c r="DE174" s="208">
        <f t="shared" si="18"/>
        <v>-0.08440413659</v>
      </c>
      <c r="DF174" s="210">
        <f>IFERROR(__xludf.DUMMYFUNCTION("AVERAGE(ARRAYFORMULA(XLOOKUP(FILTER(INDIRECT(""'""&amp;DF$1&amp;""'!$C$4:$C$66""),INDIRECT(""'""&amp;DF$1&amp;""'!$D$4:$D$66"")=DF$2),$G$4:$BQ$4,$G174:$BQ174)))"),0.15151514454545453)</f>
        <v>0.1515151445</v>
      </c>
      <c r="DG174" s="207" t="str">
        <f>IFERROR(__xludf.DUMMYFUNCTION("IF(OR(DF174&gt;$BS174+$BT174*$BT$2,DF174&lt;$BS174-$BT174*$BT$2),AVEDEV(ARRAYFORMULA(XLOOKUP(FILTER(INDIRECT(""'""&amp;DF$1&amp;""'!$C$4:$C$66""),INDIRECT(""'""&amp;DF$1&amp;""'!$D$4:$D$66"")=DF$2),$G$4:$BQ$4,$G174:$BQ174))),"""")"),"")</f>
        <v/>
      </c>
      <c r="DH174" s="208" t="str">
        <f t="shared" si="19"/>
        <v/>
      </c>
      <c r="DI174" s="210">
        <f>IFERROR(__xludf.DUMMYFUNCTION("AVERAGE(ARRAYFORMULA(XLOOKUP(FILTER(INDIRECT(""'""&amp;DI$1&amp;""'!$C$4:$C$66""),INDIRECT(""'""&amp;DI$1&amp;""'!$D$4:$D$66"")=DI$2),$G$4:$BQ$4,$G174:$BQ174)))"),0.33333333)</f>
        <v>0.33333333</v>
      </c>
      <c r="DJ174" s="207" t="str">
        <f>IFERROR(__xludf.DUMMYFUNCTION("IF(OR(DI174&gt;$BS174+$BT174*$BT$2,DI174&lt;$BS174-$BT174*$BT$2),AVEDEV(ARRAYFORMULA(XLOOKUP(FILTER(INDIRECT(""'""&amp;DI$1&amp;""'!$C$4:$C$66""),INDIRECT(""'""&amp;DI$1&amp;""'!$D$4:$D$66"")=DI$2),$G$4:$BQ$4,$G174:$BQ174))),"""")"),"")</f>
        <v/>
      </c>
      <c r="DK174" s="208" t="str">
        <f t="shared" si="20"/>
        <v/>
      </c>
      <c r="DL174" s="210">
        <f>IFERROR(__xludf.DUMMYFUNCTION("AVERAGE(ARRAYFORMULA(XLOOKUP(FILTER(INDIRECT(""'""&amp;DL$1&amp;""'!$C$4:$C$66""),INDIRECT(""'""&amp;DL$1&amp;""'!$D$4:$D$66"")=DL$2),$G$4:$BQ$4,$G174:$BQ174)))"),-0.0476190507142857)</f>
        <v>-0.04761905071</v>
      </c>
      <c r="DM174" s="207" t="str">
        <f>IFERROR(__xludf.DUMMYFUNCTION("IF(OR(DL174&gt;$BS174+$BT174*$BT$2,DL174&lt;$BS174-$BT174*$BT$2),AVEDEV(ARRAYFORMULA(XLOOKUP(FILTER(INDIRECT(""'""&amp;DL$1&amp;""'!$C$4:$C$66""),INDIRECT(""'""&amp;DL$1&amp;""'!$D$4:$D$66"")=DL$2),$G$4:$BQ$4,$G174:$BQ174))),"""")"),"")</f>
        <v/>
      </c>
      <c r="DN174" s="208" t="str">
        <f t="shared" si="21"/>
        <v/>
      </c>
      <c r="DO174" s="209" t="s">
        <v>444</v>
      </c>
      <c r="DP174" s="210">
        <f>IFERROR(__xludf.DUMMYFUNCTION("AVERAGE(ARRAYFORMULA(XLOOKUP(FILTER(INDIRECT(""'""&amp;DP$1&amp;""'!$C$4:$C$66""),INDIRECT(""'""&amp;DP$1&amp;""'!$D$4:$D$66"")=DP$2),$G$4:$BQ$4,$G174:$BQ174)))"),0.14444444266666664)</f>
        <v>0.1444444427</v>
      </c>
      <c r="DQ174" s="207" t="str">
        <f>IFERROR(__xludf.DUMMYFUNCTION("IF(OR(DP174&gt;$BS174+$BT174*$BT$2,DP174&lt;$BS174-$BT174*$BT$2),AVEDEV(ARRAYFORMULA(XLOOKUP(FILTER(INDIRECT(""'""&amp;DP$1&amp;""'!$C$4:$C$66""),INDIRECT(""'""&amp;DP$1&amp;""'!$D$4:$D$66"")=DP$2),$G$4:$BQ$4,$G174:$BQ174))),"""")"),"")</f>
        <v/>
      </c>
      <c r="DR174" s="208" t="str">
        <f t="shared" si="22"/>
        <v/>
      </c>
      <c r="DS174" s="210">
        <f>IFERROR(__xludf.DUMMYFUNCTION("AVERAGE(ARRAYFORMULA(XLOOKUP(FILTER(INDIRECT(""'""&amp;DS$1&amp;""'!$C$4:$C$66""),INDIRECT(""'""&amp;DS$1&amp;""'!$D$4:$D$66"")=DS$2),$G$4:$BQ$4,$G174:$BQ174)))"),-0.4444444555555555)</f>
        <v>-0.4444444556</v>
      </c>
      <c r="DT174" s="207" t="str">
        <f>IFERROR(__xludf.DUMMYFUNCTION("IF(OR(DS174&gt;$BS174+$BT174*$BT$2,DS174&lt;$BS174-$BT174*$BT$2),AVEDEV(ARRAYFORMULA(XLOOKUP(FILTER(INDIRECT(""'""&amp;DS$1&amp;""'!$C$4:$C$66""),INDIRECT(""'""&amp;DS$1&amp;""'!$D$4:$D$66"")=DS$2),$G$4:$BQ$4,$G174:$BQ174))),"""")"),"")</f>
        <v/>
      </c>
      <c r="DU174" s="208" t="str">
        <f t="shared" si="23"/>
        <v/>
      </c>
      <c r="DV174" s="210">
        <f>IFERROR(__xludf.DUMMYFUNCTION("AVERAGE(ARRAYFORMULA(XLOOKUP(FILTER(INDIRECT(""'""&amp;DV$1&amp;""'!$C$4:$C$66""),INDIRECT(""'""&amp;DV$1&amp;""'!$D$4:$D$66"")=DV$2),$G$4:$BQ$4,$G174:$BQ174)))"),0.37499999874999995)</f>
        <v>0.3749999988</v>
      </c>
      <c r="DW174" s="207" t="str">
        <f>IFERROR(__xludf.DUMMYFUNCTION("IF(OR(DV174&gt;$BS174+$BT174*$BT$2,DV174&lt;$BS174-$BT174*$BT$2),AVEDEV(ARRAYFORMULA(XLOOKUP(FILTER(INDIRECT(""'""&amp;DV$1&amp;""'!$C$4:$C$66""),INDIRECT(""'""&amp;DV$1&amp;""'!$D$4:$D$66"")=DV$2),$G$4:$BQ$4,$G174:$BQ174))),"""")"),"")</f>
        <v/>
      </c>
      <c r="DX174" s="208" t="str">
        <f t="shared" si="24"/>
        <v/>
      </c>
      <c r="DY174" s="210">
        <f>IFERROR(__xludf.DUMMYFUNCTION("AVERAGE(ARRAYFORMULA(XLOOKUP(FILTER(INDIRECT(""'""&amp;DY$1&amp;""'!$C$4:$C$66""),INDIRECT(""'""&amp;DY$1&amp;""'!$D$4:$D$66"")=DY$2),$G$4:$BQ$4,$G174:$BQ174)))"),-0.25925927111111113)</f>
        <v>-0.2592592711</v>
      </c>
      <c r="DZ174" s="207" t="str">
        <f>IFERROR(__xludf.DUMMYFUNCTION("IF(OR(DY174&gt;$BS174+$BT174*$BT$2,DY174&lt;$BS174-$BT174*$BT$2),AVEDEV(ARRAYFORMULA(XLOOKUP(FILTER(INDIRECT(""'""&amp;DY$1&amp;""'!$C$4:$C$66""),INDIRECT(""'""&amp;DY$1&amp;""'!$D$4:$D$66"")=DY$2),$G$4:$BQ$4,$G174:$BQ174))),"""")"),"")</f>
        <v/>
      </c>
      <c r="EA174" s="208" t="str">
        <f t="shared" si="25"/>
        <v/>
      </c>
      <c r="EB174" s="191"/>
    </row>
    <row r="175" outlineLevel="1">
      <c r="A175" s="2"/>
      <c r="B175" s="204">
        <v>171.0</v>
      </c>
      <c r="C175" s="204" t="s">
        <v>601</v>
      </c>
      <c r="D175" s="204" t="s">
        <v>618</v>
      </c>
      <c r="E175" s="205" t="b">
        <f>VLOOKUP(D175,'Feature Set List'!A171:C246,2,0)</f>
        <v>1</v>
      </c>
      <c r="F175" s="205" t="b">
        <f>VLOOKUP(D175,'Feature Set List'!A171:C246,3,0)</f>
        <v>0</v>
      </c>
      <c r="G175" s="205">
        <v>0.0</v>
      </c>
      <c r="H175" s="205">
        <v>-0.3636364</v>
      </c>
      <c r="I175" s="205">
        <v>0.0</v>
      </c>
      <c r="J175" s="205">
        <v>-0.5454545</v>
      </c>
      <c r="K175" s="205">
        <v>1.09090909</v>
      </c>
      <c r="L175" s="205">
        <v>0.72727273</v>
      </c>
      <c r="M175" s="205">
        <v>0.36363636</v>
      </c>
      <c r="N175" s="205">
        <v>0.90909091</v>
      </c>
      <c r="O175" s="205">
        <v>-0.5454545</v>
      </c>
      <c r="P175" s="205">
        <v>0.54545455</v>
      </c>
      <c r="Q175" s="205">
        <v>0.72727273</v>
      </c>
      <c r="R175" s="205">
        <v>-0.1818182</v>
      </c>
      <c r="S175" s="205">
        <v>0.0</v>
      </c>
      <c r="T175" s="205">
        <v>0.72727273</v>
      </c>
      <c r="U175" s="205">
        <v>1.09090909</v>
      </c>
      <c r="V175" s="205">
        <v>-0.3636364</v>
      </c>
      <c r="W175" s="205">
        <v>0.54545455</v>
      </c>
      <c r="X175" s="205">
        <v>0.72727273</v>
      </c>
      <c r="Y175" s="205">
        <v>-0.3636364</v>
      </c>
      <c r="Z175" s="205">
        <v>-0.3636364</v>
      </c>
      <c r="AA175" s="205">
        <v>1.45454545</v>
      </c>
      <c r="AB175" s="205">
        <v>0.0</v>
      </c>
      <c r="AC175" s="205">
        <v>-0.5454545</v>
      </c>
      <c r="AD175" s="205">
        <v>-0.1818182</v>
      </c>
      <c r="AE175" s="205">
        <v>0.90909091</v>
      </c>
      <c r="AF175" s="205">
        <v>0.72727273</v>
      </c>
      <c r="AG175" s="205">
        <v>-1.0909091</v>
      </c>
      <c r="AH175" s="205">
        <v>0.54545455</v>
      </c>
      <c r="AI175" s="205">
        <v>0.18181818</v>
      </c>
      <c r="AJ175" s="205">
        <v>0.36363636</v>
      </c>
      <c r="AK175" s="205">
        <v>-0.7272727</v>
      </c>
      <c r="AL175" s="205">
        <v>-0.3636364</v>
      </c>
      <c r="AM175" s="205">
        <v>1.81818182</v>
      </c>
      <c r="AN175" s="205">
        <v>-0.1818182</v>
      </c>
      <c r="AO175" s="205">
        <v>0.0</v>
      </c>
      <c r="AP175" s="205">
        <v>-0.7272727</v>
      </c>
      <c r="AQ175" s="205">
        <v>-0.9090909</v>
      </c>
      <c r="AR175" s="205">
        <v>-0.1818182</v>
      </c>
      <c r="AS175" s="205">
        <v>0.54545455</v>
      </c>
      <c r="AT175" s="205">
        <v>0.72727273</v>
      </c>
      <c r="AU175" s="205">
        <v>0.0</v>
      </c>
      <c r="AV175" s="205">
        <v>-0.1818182</v>
      </c>
      <c r="AW175" s="205">
        <v>0.18181818</v>
      </c>
      <c r="AX175" s="205">
        <v>-0.5454545</v>
      </c>
      <c r="AY175" s="205">
        <v>-0.3636364</v>
      </c>
      <c r="AZ175" s="205">
        <v>0.0</v>
      </c>
      <c r="BA175" s="205">
        <v>0.18181818</v>
      </c>
      <c r="BB175" s="205">
        <v>-0.3636364</v>
      </c>
      <c r="BC175" s="205">
        <v>0.18181818</v>
      </c>
      <c r="BD175" s="205">
        <v>2.36363636</v>
      </c>
      <c r="BE175" s="205">
        <v>0.0</v>
      </c>
      <c r="BF175" s="205">
        <v>1.09090909</v>
      </c>
      <c r="BG175" s="205">
        <v>0.90909091</v>
      </c>
      <c r="BH175" s="205">
        <v>-0.1818182</v>
      </c>
      <c r="BI175" s="205">
        <v>0.36363636</v>
      </c>
      <c r="BJ175" s="205">
        <v>-0.9090909</v>
      </c>
      <c r="BK175" s="205">
        <v>-0.1818182</v>
      </c>
      <c r="BL175" s="205">
        <v>1.27272727</v>
      </c>
      <c r="BM175" s="205">
        <v>-0.1818182</v>
      </c>
      <c r="BN175" s="205">
        <v>2.18181818</v>
      </c>
      <c r="BO175" s="205">
        <v>0.18181818</v>
      </c>
      <c r="BP175" s="205">
        <v>0.18181818</v>
      </c>
      <c r="BQ175" s="205">
        <v>-0.1818182</v>
      </c>
      <c r="BR175" s="206"/>
      <c r="BS175" s="207">
        <f t="shared" si="6"/>
        <v>0.2077922051</v>
      </c>
      <c r="BT175" s="207">
        <f t="shared" si="7"/>
        <v>0.5631828514</v>
      </c>
      <c r="BU175" s="206"/>
      <c r="BV175" s="207">
        <f>IFERROR(__xludf.DUMMYFUNCTION("AVERAGE(ARRAYFORMULA(XLOOKUP(FILTER(INDIRECT(""'""&amp;BV$1&amp;""'!$C$4:$C$66""),INDIRECT(""'""&amp;BV$1&amp;""'!$D$4:$D$66"")=BV$2),$G$4:$BQ$4,$G175:$BQ175)))"),0.33766232714285715)</f>
        <v>0.3376623271</v>
      </c>
      <c r="BW175" s="207" t="str">
        <f>IFERROR(__xludf.DUMMYFUNCTION("IF(OR(BV175&gt;$BS175+$BT175*$BT$2,BV175&lt;$BS175-$BT175*$BT$2),AVEDEV(ARRAYFORMULA(XLOOKUP(FILTER(INDIRECT(""'""&amp;BV$1&amp;""'!$C$4:$C$66""),INDIRECT(""'""&amp;BV$1&amp;""'!$D$4:$D$66"")=BV$2),$G$4:$BQ$4,$G175:$BQ175))),"""")"),"")</f>
        <v/>
      </c>
      <c r="BX175" s="208" t="str">
        <f t="shared" si="8"/>
        <v/>
      </c>
      <c r="BY175" s="207">
        <f>IFERROR(__xludf.DUMMYFUNCTION("AVERAGE(ARRAYFORMULA(XLOOKUP(FILTER(INDIRECT(""'""&amp;BY$1&amp;""'!$C$4:$C$66""),INDIRECT(""'""&amp;BY$1&amp;""'!$D$4:$D$66"")=BY$2),$G$4:$BQ$4,$G175:$BQ175)))"),0.12121211999999999)</f>
        <v>0.12121212</v>
      </c>
      <c r="BZ175" s="207" t="str">
        <f>IFERROR(__xludf.DUMMYFUNCTION("IF(OR(BY175&gt;$BS175+$BT175*$BT$2,BY175&lt;$BS175-$BT175*$BT$2),AVEDEV(ARRAYFORMULA(XLOOKUP(FILTER(INDIRECT(""'""&amp;BY$1&amp;""'!$C$4:$C$66""),INDIRECT(""'""&amp;BY$1&amp;""'!$D$4:$D$66"")=BY$2),$G$4:$BQ$4,$G175:$BQ175))),"""")"),"")</f>
        <v/>
      </c>
      <c r="CA175" s="208" t="str">
        <f t="shared" si="9"/>
        <v/>
      </c>
      <c r="CB175" s="207">
        <f>IFERROR(__xludf.DUMMYFUNCTION("AVERAGE(ARRAYFORMULA(XLOOKUP(FILTER(INDIRECT(""'""&amp;CB$1&amp;""'!$C$4:$C$66""),INDIRECT(""'""&amp;CB$1&amp;""'!$D$4:$D$66"")=CB$2),$G$4:$BQ$4,$G175:$BQ175)))"),0.2975206572727273)</f>
        <v>0.2975206573</v>
      </c>
      <c r="CC175" s="207" t="str">
        <f>IFERROR(__xludf.DUMMYFUNCTION("IF(OR(CB175&gt;$BS175+$BT175*$BT$2,CB175&lt;$BS175-$BT175*$BT$2),AVEDEV(ARRAYFORMULA(XLOOKUP(FILTER(INDIRECT(""'""&amp;CB$1&amp;""'!$C$4:$C$66""),INDIRECT(""'""&amp;CB$1&amp;""'!$D$4:$D$66"")=CB$2),$G$4:$BQ$4,$G175:$BQ175))),"""")"),"")</f>
        <v/>
      </c>
      <c r="CD175" s="208" t="str">
        <f t="shared" si="10"/>
        <v/>
      </c>
      <c r="CE175" s="209" t="s">
        <v>444</v>
      </c>
      <c r="CF175" s="207">
        <f>IFERROR(__xludf.DUMMYFUNCTION("AVERAGE(ARRAYFORMULA(XLOOKUP(FILTER(INDIRECT(""'""&amp;CF$1&amp;""'!$C$4:$C$66""),INDIRECT(""'""&amp;CF$1&amp;""'!$D$4:$D$66"")=CF$2),$G$4:$BQ$4,$G175:$BQ175)))"),0.0681818175)</f>
        <v>0.0681818175</v>
      </c>
      <c r="CG175" s="207" t="str">
        <f>IFERROR(__xludf.DUMMYFUNCTION("IF(OR(CF175&gt;$BS175+$BT175*$BT$2,CF175&lt;$BS175-$BT175*$BT$2),AVEDEV(ARRAYFORMULA(XLOOKUP(FILTER(INDIRECT(""'""&amp;CF$1&amp;""'!$C$4:$C$66""),INDIRECT(""'""&amp;CF$1&amp;""'!$D$4:$D$66"")=CF$2),$G$4:$BQ$4,$G175:$BQ175))),"""")"),"")</f>
        <v/>
      </c>
      <c r="CH175" s="208" t="str">
        <f t="shared" si="11"/>
        <v/>
      </c>
      <c r="CI175" s="207">
        <f>IFERROR(__xludf.DUMMYFUNCTION("AVERAGE(ARRAYFORMULA(XLOOKUP(FILTER(INDIRECT(""'""&amp;CI$1&amp;""'!$C$4:$C$66""),INDIRECT(""'""&amp;CI$1&amp;""'!$D$4:$D$66"")=CI$2),$G$4:$BQ$4,$G175:$BQ175)))"),0.17595307354838707)</f>
        <v>0.1759530735</v>
      </c>
      <c r="CJ175" s="207" t="str">
        <f>IFERROR(__xludf.DUMMYFUNCTION("IF(OR(CI175&gt;$BS175+$BT175*$BT$2,CI175&lt;$BS175-$BT175*$BT$2),AVEDEV(ARRAYFORMULA(XLOOKUP(FILTER(INDIRECT(""'""&amp;CI$1&amp;""'!$C$4:$C$66""),INDIRECT(""'""&amp;CI$1&amp;""'!$D$4:$D$66"")=CI$2),$G$4:$BQ$4,$G175:$BQ175))),"""")"),"")</f>
        <v/>
      </c>
      <c r="CK175" s="208" t="str">
        <f t="shared" si="12"/>
        <v/>
      </c>
      <c r="CL175" s="207">
        <f>IFERROR(__xludf.DUMMYFUNCTION("AVERAGE(ARRAYFORMULA(XLOOKUP(FILTER(INDIRECT(""'""&amp;CL$1&amp;""'!$C$4:$C$66""),INDIRECT(""'""&amp;CL$1&amp;""'!$D$4:$D$66"")=CL$2),$G$4:$BQ$4,$G175:$BQ175)))"),0.581818184)</f>
        <v>0.581818184</v>
      </c>
      <c r="CM175" s="207" t="str">
        <f>IFERROR(__xludf.DUMMYFUNCTION("IF(OR(CL175&gt;$BS175+$BT175*$BT$2,CL175&lt;$BS175-$BT175*$BT$2),AVEDEV(ARRAYFORMULA(XLOOKUP(FILTER(INDIRECT(""'""&amp;CL$1&amp;""'!$C$4:$C$66""),INDIRECT(""'""&amp;CL$1&amp;""'!$D$4:$D$66"")=CL$2),$G$4:$BQ$4,$G175:$BQ175))),"""")"),"")</f>
        <v/>
      </c>
      <c r="CN175" s="208" t="str">
        <f t="shared" si="13"/>
        <v/>
      </c>
      <c r="CO175" s="209" t="s">
        <v>444</v>
      </c>
      <c r="CP175" s="210">
        <f>IFERROR(__xludf.DUMMYFUNCTION("AVERAGE(ARRAYFORMULA(XLOOKUP(FILTER(INDIRECT(""'""&amp;CP$1&amp;""'!$C$4:$C$66""),INDIRECT(""'""&amp;CP$1&amp;""'!$D$4:$D$66"")=CP$2),$G$4:$BQ$4,$G175:$BQ175)))"),0.3393939366666666)</f>
        <v>0.3393939367</v>
      </c>
      <c r="CQ175" s="207" t="str">
        <f>IFERROR(__xludf.DUMMYFUNCTION("IF(OR(CP175&gt;$BS175+$BT175*$BT$2,CP175&lt;$BS175-$BT175*$BT$2),AVEDEV(ARRAYFORMULA(XLOOKUP(FILTER(INDIRECT(""'""&amp;CP$1&amp;""'!$C$4:$C$66""),INDIRECT(""'""&amp;CP$1&amp;""'!$D$4:$D$66"")=CP$2),$G$4:$BQ$4,$G175:$BQ175))),"""")"),"")</f>
        <v/>
      </c>
      <c r="CR175" s="208" t="str">
        <f t="shared" si="14"/>
        <v/>
      </c>
      <c r="CS175" s="210">
        <f>IFERROR(__xludf.DUMMYFUNCTION("AVERAGE(ARRAYFORMULA(XLOOKUP(FILTER(INDIRECT(""'""&amp;CS$1&amp;""'!$C$4:$C$66""),INDIRECT(""'""&amp;CS$1&amp;""'!$D$4:$D$66"")=CS$2),$G$4:$BQ$4,$G175:$BQ175)))"),0.03729603384615389)</f>
        <v>0.03729603385</v>
      </c>
      <c r="CT175" s="207" t="str">
        <f>IFERROR(__xludf.DUMMYFUNCTION("IF(OR(CS175&gt;$BS175+$BT175*$BT$2,CS175&lt;$BS175-$BT175*$BT$2),AVEDEV(ARRAYFORMULA(XLOOKUP(FILTER(INDIRECT(""'""&amp;CS$1&amp;""'!$C$4:$C$66""),INDIRECT(""'""&amp;CS$1&amp;""'!$D$4:$D$66"")=CS$2),$G$4:$BQ$4,$G175:$BQ175))),"""")"),"")</f>
        <v/>
      </c>
      <c r="CU175" s="208" t="str">
        <f t="shared" si="15"/>
        <v/>
      </c>
      <c r="CV175" s="210">
        <f>IFERROR(__xludf.DUMMYFUNCTION("AVERAGE(ARRAYFORMULA(XLOOKUP(FILTER(INDIRECT(""'""&amp;CV$1&amp;""'!$C$4:$C$66""),INDIRECT(""'""&amp;CV$1&amp;""'!$D$4:$D$66"")=CV$2),$G$4:$BQ$4,$G175:$BQ175)))"),0.581818184)</f>
        <v>0.581818184</v>
      </c>
      <c r="CW175" s="207" t="str">
        <f>IFERROR(__xludf.DUMMYFUNCTION("IF(OR(CV175&gt;$BS175+$BT175*$BT$2,CV175&lt;$BS175-$BT175*$BT$2),AVEDEV(ARRAYFORMULA(XLOOKUP(FILTER(INDIRECT(""'""&amp;CV$1&amp;""'!$C$4:$C$66""),INDIRECT(""'""&amp;CV$1&amp;""'!$D$4:$D$66"")=CV$2),$G$4:$BQ$4,$G175:$BQ175))),"""")"),"")</f>
        <v/>
      </c>
      <c r="CX175" s="208" t="str">
        <f t="shared" si="16"/>
        <v/>
      </c>
      <c r="CY175" s="209" t="s">
        <v>444</v>
      </c>
      <c r="CZ175" s="210">
        <f>IFERROR(__xludf.DUMMYFUNCTION("AVERAGE(ARRAYFORMULA(XLOOKUP(FILTER(INDIRECT(""'""&amp;CZ$1&amp;""'!$C$4:$C$66""),INDIRECT(""'""&amp;CZ$1&amp;""'!$D$4:$D$66"")=CZ$2),$G$4:$BQ$4,$G175:$BQ175)))"),-0.14285714500000002)</f>
        <v>-0.142857145</v>
      </c>
      <c r="DA175" s="207" t="str">
        <f>IFERROR(__xludf.DUMMYFUNCTION("IF(OR(CZ175&gt;$BS175+$BT175*$BT$2,CZ175&lt;$BS175-$BT175*$BT$2),AVEDEV(ARRAYFORMULA(XLOOKUP(FILTER(INDIRECT(""'""&amp;CZ$1&amp;""'!$C$4:$C$66""),INDIRECT(""'""&amp;CZ$1&amp;""'!$D$4:$D$66"")=CZ$2),$G$4:$BQ$4,$G175:$BQ175))),"""")"),"")</f>
        <v/>
      </c>
      <c r="DB175" s="208" t="str">
        <f t="shared" si="17"/>
        <v/>
      </c>
      <c r="DC175" s="210">
        <f>IFERROR(__xludf.DUMMYFUNCTION("AVERAGE(ARRAYFORMULA(XLOOKUP(FILTER(INDIRECT(""'""&amp;DC$1&amp;""'!$C$4:$C$66""),INDIRECT(""'""&amp;DC$1&amp;""'!$D$4:$D$66"")=DC$2),$G$4:$BQ$4,$G175:$BQ175)))"),0.3838383811111112)</f>
        <v>0.3838383811</v>
      </c>
      <c r="DD175" s="207" t="str">
        <f>IFERROR(__xludf.DUMMYFUNCTION("IF(OR(DC175&gt;$BS175+$BT175*$BT$2,DC175&lt;$BS175-$BT175*$BT$2),AVEDEV(ARRAYFORMULA(XLOOKUP(FILTER(INDIRECT(""'""&amp;DC$1&amp;""'!$C$4:$C$66""),INDIRECT(""'""&amp;DC$1&amp;""'!$D$4:$D$66"")=DC$2),$G$4:$BQ$4,$G175:$BQ175))),"""")"),"")</f>
        <v/>
      </c>
      <c r="DE175" s="208" t="str">
        <f t="shared" si="18"/>
        <v/>
      </c>
      <c r="DF175" s="210">
        <f>IFERROR(__xludf.DUMMYFUNCTION("AVERAGE(ARRAYFORMULA(XLOOKUP(FILTER(INDIRECT(""'""&amp;DF$1&amp;""'!$C$4:$C$66""),INDIRECT(""'""&amp;DF$1&amp;""'!$D$4:$D$66"")=DF$2),$G$4:$BQ$4,$G175:$BQ175)))"),0.4462809945454545)</f>
        <v>0.4462809945</v>
      </c>
      <c r="DG175" s="207" t="str">
        <f>IFERROR(__xludf.DUMMYFUNCTION("IF(OR(DF175&gt;$BS175+$BT175*$BT$2,DF175&lt;$BS175-$BT175*$BT$2),AVEDEV(ARRAYFORMULA(XLOOKUP(FILTER(INDIRECT(""'""&amp;DF$1&amp;""'!$C$4:$C$66""),INDIRECT(""'""&amp;DF$1&amp;""'!$D$4:$D$66"")=DF$2),$G$4:$BQ$4,$G175:$BQ175))),"""")"),"")</f>
        <v/>
      </c>
      <c r="DH175" s="208" t="str">
        <f t="shared" si="19"/>
        <v/>
      </c>
      <c r="DI175" s="210">
        <f>IFERROR(__xludf.DUMMYFUNCTION("AVERAGE(ARRAYFORMULA(XLOOKUP(FILTER(INDIRECT(""'""&amp;DI$1&amp;""'!$C$4:$C$66""),INDIRECT(""'""&amp;DI$1&amp;""'!$D$4:$D$66"")=DI$2),$G$4:$BQ$4,$G175:$BQ175)))"),-0.1818182)</f>
        <v>-0.1818182</v>
      </c>
      <c r="DJ175" s="207" t="str">
        <f>IFERROR(__xludf.DUMMYFUNCTION("IF(OR(DI175&gt;$BS175+$BT175*$BT$2,DI175&lt;$BS175-$BT175*$BT$2),AVEDEV(ARRAYFORMULA(XLOOKUP(FILTER(INDIRECT(""'""&amp;DI$1&amp;""'!$C$4:$C$66""),INDIRECT(""'""&amp;DI$1&amp;""'!$D$4:$D$66"")=DI$2),$G$4:$BQ$4,$G175:$BQ175))),"""")"),"")</f>
        <v/>
      </c>
      <c r="DK175" s="208" t="str">
        <f t="shared" si="20"/>
        <v/>
      </c>
      <c r="DL175" s="210">
        <f>IFERROR(__xludf.DUMMYFUNCTION("AVERAGE(ARRAYFORMULA(XLOOKUP(FILTER(INDIRECT(""'""&amp;DL$1&amp;""'!$C$4:$C$66""),INDIRECT(""'""&amp;DL$1&amp;""'!$D$4:$D$66"")=DL$2),$G$4:$BQ$4,$G175:$BQ175)))"),0.06493506357142859)</f>
        <v>0.06493506357</v>
      </c>
      <c r="DM175" s="207" t="str">
        <f>IFERROR(__xludf.DUMMYFUNCTION("IF(OR(DL175&gt;$BS175+$BT175*$BT$2,DL175&lt;$BS175-$BT175*$BT$2),AVEDEV(ARRAYFORMULA(XLOOKUP(FILTER(INDIRECT(""'""&amp;DL$1&amp;""'!$C$4:$C$66""),INDIRECT(""'""&amp;DL$1&amp;""'!$D$4:$D$66"")=DL$2),$G$4:$BQ$4,$G175:$BQ175))),"""")"),"")</f>
        <v/>
      </c>
      <c r="DN175" s="208" t="str">
        <f t="shared" si="21"/>
        <v/>
      </c>
      <c r="DO175" s="209" t="s">
        <v>444</v>
      </c>
      <c r="DP175" s="210">
        <f>IFERROR(__xludf.DUMMYFUNCTION("AVERAGE(ARRAYFORMULA(XLOOKUP(FILTER(INDIRECT(""'""&amp;DP$1&amp;""'!$C$4:$C$66""),INDIRECT(""'""&amp;DP$1&amp;""'!$D$4:$D$66"")=DP$2),$G$4:$BQ$4,$G175:$BQ175)))"),-0.018181819333333325)</f>
        <v>-0.01818181933</v>
      </c>
      <c r="DQ175" s="207" t="str">
        <f>IFERROR(__xludf.DUMMYFUNCTION("IF(OR(DP175&gt;$BS175+$BT175*$BT$2,DP175&lt;$BS175-$BT175*$BT$2),AVEDEV(ARRAYFORMULA(XLOOKUP(FILTER(INDIRECT(""'""&amp;DP$1&amp;""'!$C$4:$C$66""),INDIRECT(""'""&amp;DP$1&amp;""'!$D$4:$D$66"")=DP$2),$G$4:$BQ$4,$G175:$BQ175))),"""")"),"")</f>
        <v/>
      </c>
      <c r="DR175" s="208" t="str">
        <f t="shared" si="22"/>
        <v/>
      </c>
      <c r="DS175" s="210">
        <f>IFERROR(__xludf.DUMMYFUNCTION("AVERAGE(ARRAYFORMULA(XLOOKUP(FILTER(INDIRECT(""'""&amp;DS$1&amp;""'!$C$4:$C$66""),INDIRECT(""'""&amp;DS$1&amp;""'!$D$4:$D$66"")=DS$2),$G$4:$BQ$4,$G175:$BQ175)))"),0.30303030000000003)</f>
        <v>0.3030303</v>
      </c>
      <c r="DT175" s="207" t="str">
        <f>IFERROR(__xludf.DUMMYFUNCTION("IF(OR(DS175&gt;$BS175+$BT175*$BT$2,DS175&lt;$BS175-$BT175*$BT$2),AVEDEV(ARRAYFORMULA(XLOOKUP(FILTER(INDIRECT(""'""&amp;DS$1&amp;""'!$C$4:$C$66""),INDIRECT(""'""&amp;DS$1&amp;""'!$D$4:$D$66"")=DS$2),$G$4:$BQ$4,$G175:$BQ175))),"""")"),"")</f>
        <v/>
      </c>
      <c r="DU175" s="208" t="str">
        <f t="shared" si="23"/>
        <v/>
      </c>
      <c r="DV175" s="210">
        <f>IFERROR(__xludf.DUMMYFUNCTION("AVERAGE(ARRAYFORMULA(XLOOKUP(FILTER(INDIRECT(""'""&amp;DV$1&amp;""'!$C$4:$C$66""),INDIRECT(""'""&amp;DV$1&amp;""'!$D$4:$D$66"")=DV$2),$G$4:$BQ$4,$G175:$BQ175)))"),0.22727272499999995)</f>
        <v>0.227272725</v>
      </c>
      <c r="DW175" s="207" t="str">
        <f>IFERROR(__xludf.DUMMYFUNCTION("IF(OR(DV175&gt;$BS175+$BT175*$BT$2,DV175&lt;$BS175-$BT175*$BT$2),AVEDEV(ARRAYFORMULA(XLOOKUP(FILTER(INDIRECT(""'""&amp;DV$1&amp;""'!$C$4:$C$66""),INDIRECT(""'""&amp;DV$1&amp;""'!$D$4:$D$66"")=DV$2),$G$4:$BQ$4,$G175:$BQ175))),"""")"),"")</f>
        <v/>
      </c>
      <c r="DX175" s="208" t="str">
        <f t="shared" si="24"/>
        <v/>
      </c>
      <c r="DY175" s="210">
        <f>IFERROR(__xludf.DUMMYFUNCTION("AVERAGE(ARRAYFORMULA(XLOOKUP(FILTER(INDIRECT(""'""&amp;DY$1&amp;""'!$C$4:$C$66""),INDIRECT(""'""&amp;DY$1&amp;""'!$D$4:$D$66"")=DY$2),$G$4:$BQ$4,$G175:$BQ175)))"),0.5454545377777777)</f>
        <v>0.5454545378</v>
      </c>
      <c r="DZ175" s="207" t="str">
        <f>IFERROR(__xludf.DUMMYFUNCTION("IF(OR(DY175&gt;$BS175+$BT175*$BT$2,DY175&lt;$BS175-$BT175*$BT$2),AVEDEV(ARRAYFORMULA(XLOOKUP(FILTER(INDIRECT(""'""&amp;DY$1&amp;""'!$C$4:$C$66""),INDIRECT(""'""&amp;DY$1&amp;""'!$D$4:$D$66"")=DY$2),$G$4:$BQ$4,$G175:$BQ175))),"""")"),"")</f>
        <v/>
      </c>
      <c r="EA175" s="208" t="str">
        <f t="shared" si="25"/>
        <v/>
      </c>
      <c r="EB175" s="191"/>
    </row>
    <row r="176" outlineLevel="1">
      <c r="A176" s="2"/>
      <c r="B176" s="204">
        <v>172.0</v>
      </c>
      <c r="C176" s="204" t="s">
        <v>601</v>
      </c>
      <c r="D176" s="204" t="s">
        <v>619</v>
      </c>
      <c r="E176" s="205" t="b">
        <f>VLOOKUP(D176,'Feature Set List'!A172:C246,2,0)</f>
        <v>1</v>
      </c>
      <c r="F176" s="205" t="b">
        <f>VLOOKUP(D176,'Feature Set List'!A172:C246,3,0)</f>
        <v>0</v>
      </c>
      <c r="G176" s="205">
        <v>0.0</v>
      </c>
      <c r="H176" s="205">
        <v>1.0</v>
      </c>
      <c r="I176" s="205">
        <v>1.66666667</v>
      </c>
      <c r="J176" s="205">
        <v>0.66666667</v>
      </c>
      <c r="K176" s="205">
        <v>0.33333333</v>
      </c>
      <c r="L176" s="205">
        <v>-0.6666667</v>
      </c>
      <c r="M176" s="205">
        <v>0.0</v>
      </c>
      <c r="N176" s="205">
        <v>-0.3333333</v>
      </c>
      <c r="O176" s="205">
        <v>0.66666667</v>
      </c>
      <c r="P176" s="205">
        <v>0.66666667</v>
      </c>
      <c r="Q176" s="205">
        <v>-0.6666667</v>
      </c>
      <c r="R176" s="205">
        <v>1.0</v>
      </c>
      <c r="S176" s="205">
        <v>0.33333333</v>
      </c>
      <c r="T176" s="205">
        <v>-0.3333333</v>
      </c>
      <c r="U176" s="205">
        <v>1.33333333</v>
      </c>
      <c r="V176" s="205">
        <v>-0.3333333</v>
      </c>
      <c r="W176" s="205">
        <v>-0.3333333</v>
      </c>
      <c r="X176" s="205">
        <v>0.33333333</v>
      </c>
      <c r="Y176" s="205">
        <v>-0.3333333</v>
      </c>
      <c r="Z176" s="205">
        <v>1.0</v>
      </c>
      <c r="AA176" s="205">
        <v>-0.3333333</v>
      </c>
      <c r="AB176" s="205">
        <v>-0.3333333</v>
      </c>
      <c r="AC176" s="205">
        <v>0.0</v>
      </c>
      <c r="AD176" s="205">
        <v>-0.3333333</v>
      </c>
      <c r="AE176" s="205">
        <v>-0.3333333</v>
      </c>
      <c r="AF176" s="205">
        <v>-1.0</v>
      </c>
      <c r="AG176" s="205">
        <v>-0.3333333</v>
      </c>
      <c r="AH176" s="205">
        <v>1.0</v>
      </c>
      <c r="AI176" s="205">
        <v>0.0</v>
      </c>
      <c r="AJ176" s="205">
        <v>1.66666667</v>
      </c>
      <c r="AK176" s="205">
        <v>-0.6666667</v>
      </c>
      <c r="AL176" s="205">
        <v>-0.6666667</v>
      </c>
      <c r="AM176" s="205">
        <v>-0.3333333</v>
      </c>
      <c r="AN176" s="205">
        <v>-0.3333333</v>
      </c>
      <c r="AO176" s="205">
        <v>0.0</v>
      </c>
      <c r="AP176" s="205">
        <v>0.0</v>
      </c>
      <c r="AQ176" s="205">
        <v>0.0</v>
      </c>
      <c r="AR176" s="205">
        <v>-1.0</v>
      </c>
      <c r="AS176" s="205">
        <v>0.0</v>
      </c>
      <c r="AT176" s="205">
        <v>0.66666667</v>
      </c>
      <c r="AU176" s="205">
        <v>-1.3333333</v>
      </c>
      <c r="AV176" s="205">
        <v>1.33333333</v>
      </c>
      <c r="AW176" s="205">
        <v>0.0</v>
      </c>
      <c r="AX176" s="205">
        <v>-0.3333333</v>
      </c>
      <c r="AY176" s="205">
        <v>-0.3333333</v>
      </c>
      <c r="AZ176" s="205">
        <v>1.66666667</v>
      </c>
      <c r="BA176" s="205">
        <v>-0.3333333</v>
      </c>
      <c r="BB176" s="205">
        <v>0.33333333</v>
      </c>
      <c r="BC176" s="205">
        <v>-0.3333333</v>
      </c>
      <c r="BD176" s="205">
        <v>2.66666667</v>
      </c>
      <c r="BE176" s="205">
        <v>1.66666667</v>
      </c>
      <c r="BF176" s="205">
        <v>1.0</v>
      </c>
      <c r="BG176" s="205">
        <v>-0.3333333</v>
      </c>
      <c r="BH176" s="205">
        <v>-0.3333333</v>
      </c>
      <c r="BI176" s="205">
        <v>-0.6666667</v>
      </c>
      <c r="BJ176" s="205">
        <v>-0.3333333</v>
      </c>
      <c r="BK176" s="205">
        <v>-0.3333333</v>
      </c>
      <c r="BL176" s="205">
        <v>-0.6666667</v>
      </c>
      <c r="BM176" s="205">
        <v>0.33333333</v>
      </c>
      <c r="BN176" s="205">
        <v>2.66666667</v>
      </c>
      <c r="BO176" s="205">
        <v>1.33333333</v>
      </c>
      <c r="BP176" s="205">
        <v>0.33333333</v>
      </c>
      <c r="BQ176" s="205">
        <v>0.0</v>
      </c>
      <c r="BR176" s="206"/>
      <c r="BS176" s="207">
        <f t="shared" si="6"/>
        <v>0.1851851932</v>
      </c>
      <c r="BT176" s="207">
        <f t="shared" si="7"/>
        <v>0.6737213344</v>
      </c>
      <c r="BU176" s="206"/>
      <c r="BV176" s="207">
        <f>IFERROR(__xludf.DUMMYFUNCTION("AVERAGE(ARRAYFORMULA(XLOOKUP(FILTER(INDIRECT(""'""&amp;BV$1&amp;""'!$C$4:$C$66""),INDIRECT(""'""&amp;BV$1&amp;""'!$D$4:$D$66"")=BV$2),$G$4:$BQ$4,$G176:$BQ176)))"),0.38095238000000003)</f>
        <v>0.38095238</v>
      </c>
      <c r="BW176" s="207" t="str">
        <f>IFERROR(__xludf.DUMMYFUNCTION("IF(OR(BV176&gt;$BS176+$BT176*$BT$2,BV176&lt;$BS176-$BT176*$BT$2),AVEDEV(ARRAYFORMULA(XLOOKUP(FILTER(INDIRECT(""'""&amp;BV$1&amp;""'!$C$4:$C$66""),INDIRECT(""'""&amp;BV$1&amp;""'!$D$4:$D$66"")=BV$2),$G$4:$BQ$4,$G176:$BQ176))),"""")"),"")</f>
        <v/>
      </c>
      <c r="BX176" s="208" t="str">
        <f t="shared" si="8"/>
        <v/>
      </c>
      <c r="BY176" s="207">
        <f>IFERROR(__xludf.DUMMYFUNCTION("AVERAGE(ARRAYFORMULA(XLOOKUP(FILTER(INDIRECT(""'""&amp;BY$1&amp;""'!$C$4:$C$66""),INDIRECT(""'""&amp;BY$1&amp;""'!$D$4:$D$66"")=BY$2),$G$4:$BQ$4,$G176:$BQ176)))"),0.15079365952380958)</f>
        <v>0.1507936595</v>
      </c>
      <c r="BZ176" s="207" t="str">
        <f>IFERROR(__xludf.DUMMYFUNCTION("IF(OR(BY176&gt;$BS176+$BT176*$BT$2,BY176&lt;$BS176-$BT176*$BT$2),AVEDEV(ARRAYFORMULA(XLOOKUP(FILTER(INDIRECT(""'""&amp;BY$1&amp;""'!$C$4:$C$66""),INDIRECT(""'""&amp;BY$1&amp;""'!$D$4:$D$66"")=BY$2),$G$4:$BQ$4,$G176:$BQ176))),"""")"),"")</f>
        <v/>
      </c>
      <c r="CA176" s="208" t="str">
        <f t="shared" si="9"/>
        <v/>
      </c>
      <c r="CB176" s="207">
        <f>IFERROR(__xludf.DUMMYFUNCTION("AVERAGE(ARRAYFORMULA(XLOOKUP(FILTER(INDIRECT(""'""&amp;CB$1&amp;""'!$C$4:$C$66""),INDIRECT(""'""&amp;CB$1&amp;""'!$D$4:$D$66"")=CB$2),$G$4:$BQ$4,$G176:$BQ176)))"),-0.030303020909090924)</f>
        <v>-0.03030302091</v>
      </c>
      <c r="CC176" s="207" t="str">
        <f>IFERROR(__xludf.DUMMYFUNCTION("IF(OR(CB176&gt;$BS176+$BT176*$BT$2,CB176&lt;$BS176-$BT176*$BT$2),AVEDEV(ARRAYFORMULA(XLOOKUP(FILTER(INDIRECT(""'""&amp;CB$1&amp;""'!$C$4:$C$66""),INDIRECT(""'""&amp;CB$1&amp;""'!$D$4:$D$66"")=CB$2),$G$4:$BQ$4,$G176:$BQ176))),"""")"),"")</f>
        <v/>
      </c>
      <c r="CD176" s="208" t="str">
        <f t="shared" si="10"/>
        <v/>
      </c>
      <c r="CE176" s="209" t="s">
        <v>444</v>
      </c>
      <c r="CF176" s="207">
        <f>IFERROR(__xludf.DUMMYFUNCTION("AVERAGE(ARRAYFORMULA(XLOOKUP(FILTER(INDIRECT(""'""&amp;CF$1&amp;""'!$C$4:$C$66""),INDIRECT(""'""&amp;CF$1&amp;""'!$D$4:$D$66"")=CF$2),$G$4:$BQ$4,$G176:$BQ176)))"),0.20833333937500004)</f>
        <v>0.2083333394</v>
      </c>
      <c r="CG176" s="207" t="str">
        <f>IFERROR(__xludf.DUMMYFUNCTION("IF(OR(CF176&gt;$BS176+$BT176*$BT$2,CF176&lt;$BS176-$BT176*$BT$2),AVEDEV(ARRAYFORMULA(XLOOKUP(FILTER(INDIRECT(""'""&amp;CF$1&amp;""'!$C$4:$C$66""),INDIRECT(""'""&amp;CF$1&amp;""'!$D$4:$D$66"")=CF$2),$G$4:$BQ$4,$G176:$BQ176))),"""")"),"")</f>
        <v/>
      </c>
      <c r="CH176" s="208" t="str">
        <f t="shared" si="11"/>
        <v/>
      </c>
      <c r="CI176" s="207">
        <f>IFERROR(__xludf.DUMMYFUNCTION("AVERAGE(ARRAYFORMULA(XLOOKUP(FILTER(INDIRECT(""'""&amp;CI$1&amp;""'!$C$4:$C$66""),INDIRECT(""'""&amp;CI$1&amp;""'!$D$4:$D$66"")=CI$2),$G$4:$BQ$4,$G176:$BQ176)))"),0.18279570774193551)</f>
        <v>0.1827957077</v>
      </c>
      <c r="CJ176" s="207" t="str">
        <f>IFERROR(__xludf.DUMMYFUNCTION("IF(OR(CI176&gt;$BS176+$BT176*$BT$2,CI176&lt;$BS176-$BT176*$BT$2),AVEDEV(ARRAYFORMULA(XLOOKUP(FILTER(INDIRECT(""'""&amp;CI$1&amp;""'!$C$4:$C$66""),INDIRECT(""'""&amp;CI$1&amp;""'!$D$4:$D$66"")=CI$2),$G$4:$BQ$4,$G176:$BQ176))),"""")"),"")</f>
        <v/>
      </c>
      <c r="CK176" s="208" t="str">
        <f t="shared" si="12"/>
        <v/>
      </c>
      <c r="CL176" s="207">
        <f>IFERROR(__xludf.DUMMYFUNCTION("AVERAGE(ARRAYFORMULA(XLOOKUP(FILTER(INDIRECT(""'""&amp;CL$1&amp;""'!$C$4:$C$66""),INDIRECT(""'""&amp;CL$1&amp;""'!$D$4:$D$66"")=CL$2),$G$4:$BQ$4,$G176:$BQ176)))"),-0.066666646)</f>
        <v>-0.066666646</v>
      </c>
      <c r="CM176" s="207" t="str">
        <f>IFERROR(__xludf.DUMMYFUNCTION("IF(OR(CL176&gt;$BS176+$BT176*$BT$2,CL176&lt;$BS176-$BT176*$BT$2),AVEDEV(ARRAYFORMULA(XLOOKUP(FILTER(INDIRECT(""'""&amp;CL$1&amp;""'!$C$4:$C$66""),INDIRECT(""'""&amp;CL$1&amp;""'!$D$4:$D$66"")=CL$2),$G$4:$BQ$4,$G176:$BQ176))),"""")"),"")</f>
        <v/>
      </c>
      <c r="CN176" s="208" t="str">
        <f t="shared" si="13"/>
        <v/>
      </c>
      <c r="CO176" s="209" t="s">
        <v>444</v>
      </c>
      <c r="CP176" s="210">
        <f>IFERROR(__xludf.DUMMYFUNCTION("AVERAGE(ARRAYFORMULA(XLOOKUP(FILTER(INDIRECT(""'""&amp;CP$1&amp;""'!$C$4:$C$66""),INDIRECT(""'""&amp;CP$1&amp;""'!$D$4:$D$66"")=CP$2),$G$4:$BQ$4,$G176:$BQ176)))"),0.3555555660000001)</f>
        <v>0.355555566</v>
      </c>
      <c r="CQ176" s="207" t="str">
        <f>IFERROR(__xludf.DUMMYFUNCTION("IF(OR(CP176&gt;$BS176+$BT176*$BT$2,CP176&lt;$BS176-$BT176*$BT$2),AVEDEV(ARRAYFORMULA(XLOOKUP(FILTER(INDIRECT(""'""&amp;CP$1&amp;""'!$C$4:$C$66""),INDIRECT(""'""&amp;CP$1&amp;""'!$D$4:$D$66"")=CP$2),$G$4:$BQ$4,$G176:$BQ176))),"""")"),"")</f>
        <v/>
      </c>
      <c r="CR176" s="208" t="str">
        <f t="shared" si="14"/>
        <v/>
      </c>
      <c r="CS176" s="210">
        <f>IFERROR(__xludf.DUMMYFUNCTION("AVERAGE(ARRAYFORMULA(XLOOKUP(FILTER(INDIRECT(""'""&amp;CS$1&amp;""'!$C$4:$C$66""),INDIRECT(""'""&amp;CS$1&amp;""'!$D$4:$D$66"")=CS$2),$G$4:$BQ$4,$G176:$BQ176)))"),0.1111111171794872)</f>
        <v>0.1111111172</v>
      </c>
      <c r="CT176" s="207" t="str">
        <f>IFERROR(__xludf.DUMMYFUNCTION("IF(OR(CS176&gt;$BS176+$BT176*$BT$2,CS176&lt;$BS176-$BT176*$BT$2),AVEDEV(ARRAYFORMULA(XLOOKUP(FILTER(INDIRECT(""'""&amp;CS$1&amp;""'!$C$4:$C$66""),INDIRECT(""'""&amp;CS$1&amp;""'!$D$4:$D$66"")=CS$2),$G$4:$BQ$4,$G176:$BQ176))),"""")"),"")</f>
        <v/>
      </c>
      <c r="CU176" s="208" t="str">
        <f t="shared" si="15"/>
        <v/>
      </c>
      <c r="CV176" s="210">
        <f>IFERROR(__xludf.DUMMYFUNCTION("AVERAGE(ARRAYFORMULA(XLOOKUP(FILTER(INDIRECT(""'""&amp;CV$1&amp;""'!$C$4:$C$66""),INDIRECT(""'""&amp;CV$1&amp;""'!$D$4:$D$66"")=CV$2),$G$4:$BQ$4,$G176:$BQ176)))"),-0.066666646)</f>
        <v>-0.066666646</v>
      </c>
      <c r="CW176" s="207" t="str">
        <f>IFERROR(__xludf.DUMMYFUNCTION("IF(OR(CV176&gt;$BS176+$BT176*$BT$2,CV176&lt;$BS176-$BT176*$BT$2),AVEDEV(ARRAYFORMULA(XLOOKUP(FILTER(INDIRECT(""'""&amp;CV$1&amp;""'!$C$4:$C$66""),INDIRECT(""'""&amp;CV$1&amp;""'!$D$4:$D$66"")=CV$2),$G$4:$BQ$4,$G176:$BQ176))),"""")"),"")</f>
        <v/>
      </c>
      <c r="CX176" s="208" t="str">
        <f t="shared" si="16"/>
        <v/>
      </c>
      <c r="CY176" s="209" t="s">
        <v>444</v>
      </c>
      <c r="CZ176" s="210">
        <f>IFERROR(__xludf.DUMMYFUNCTION("AVERAGE(ARRAYFORMULA(XLOOKUP(FILTER(INDIRECT(""'""&amp;CZ$1&amp;""'!$C$4:$C$66""),INDIRECT(""'""&amp;CZ$1&amp;""'!$D$4:$D$66"")=CZ$2),$G$4:$BQ$4,$G176:$BQ176)))"),-0.023809516428571428)</f>
        <v>-0.02380951643</v>
      </c>
      <c r="DA176" s="207" t="str">
        <f>IFERROR(__xludf.DUMMYFUNCTION("IF(OR(CZ176&gt;$BS176+$BT176*$BT$2,CZ176&lt;$BS176-$BT176*$BT$2),AVEDEV(ARRAYFORMULA(XLOOKUP(FILTER(INDIRECT(""'""&amp;CZ$1&amp;""'!$C$4:$C$66""),INDIRECT(""'""&amp;CZ$1&amp;""'!$D$4:$D$66"")=CZ$2),$G$4:$BQ$4,$G176:$BQ176))),"""")"),"")</f>
        <v/>
      </c>
      <c r="DB176" s="208" t="str">
        <f t="shared" si="17"/>
        <v/>
      </c>
      <c r="DC176" s="210">
        <f>IFERROR(__xludf.DUMMYFUNCTION("AVERAGE(ARRAYFORMULA(XLOOKUP(FILTER(INDIRECT(""'""&amp;DC$1&amp;""'!$C$4:$C$66""),INDIRECT(""'""&amp;DC$1&amp;""'!$D$4:$D$66"")=DC$2),$G$4:$BQ$4,$G176:$BQ176)))"),-0.25925924777777776)</f>
        <v>-0.2592592478</v>
      </c>
      <c r="DD176" s="207" t="str">
        <f>IFERROR(__xludf.DUMMYFUNCTION("IF(OR(DC176&gt;$BS176+$BT176*$BT$2,DC176&lt;$BS176-$BT176*$BT$2),AVEDEV(ARRAYFORMULA(XLOOKUP(FILTER(INDIRECT(""'""&amp;DC$1&amp;""'!$C$4:$C$66""),INDIRECT(""'""&amp;DC$1&amp;""'!$D$4:$D$66"")=DC$2),$G$4:$BQ$4,$G176:$BQ176))),"""")"),"")</f>
        <v/>
      </c>
      <c r="DE176" s="208" t="str">
        <f t="shared" si="18"/>
        <v/>
      </c>
      <c r="DF176" s="210">
        <f>IFERROR(__xludf.DUMMYFUNCTION("AVERAGE(ARRAYFORMULA(XLOOKUP(FILTER(INDIRECT(""'""&amp;DF$1&amp;""'!$C$4:$C$66""),INDIRECT(""'""&amp;DF$1&amp;""'!$D$4:$D$66"")=DF$2),$G$4:$BQ$4,$G176:$BQ176)))"),0.45454546636363635)</f>
        <v>0.4545454664</v>
      </c>
      <c r="DG176" s="207" t="str">
        <f>IFERROR(__xludf.DUMMYFUNCTION("IF(OR(DF176&gt;$BS176+$BT176*$BT$2,DF176&lt;$BS176-$BT176*$BT$2),AVEDEV(ARRAYFORMULA(XLOOKUP(FILTER(INDIRECT(""'""&amp;DF$1&amp;""'!$C$4:$C$66""),INDIRECT(""'""&amp;DF$1&amp;""'!$D$4:$D$66"")=DF$2),$G$4:$BQ$4,$G176:$BQ176))),"""")"),"")</f>
        <v/>
      </c>
      <c r="DH176" s="208" t="str">
        <f t="shared" si="19"/>
        <v/>
      </c>
      <c r="DI176" s="210">
        <f>IFERROR(__xludf.DUMMYFUNCTION("AVERAGE(ARRAYFORMULA(XLOOKUP(FILTER(INDIRECT(""'""&amp;DI$1&amp;""'!$C$4:$C$66""),INDIRECT(""'""&amp;DI$1&amp;""'!$D$4:$D$66"")=DI$2),$G$4:$BQ$4,$G176:$BQ176)))"),-0.3333333)</f>
        <v>-0.3333333</v>
      </c>
      <c r="DJ176" s="207" t="str">
        <f>IFERROR(__xludf.DUMMYFUNCTION("IF(OR(DI176&gt;$BS176+$BT176*$BT$2,DI176&lt;$BS176-$BT176*$BT$2),AVEDEV(ARRAYFORMULA(XLOOKUP(FILTER(INDIRECT(""'""&amp;DI$1&amp;""'!$C$4:$C$66""),INDIRECT(""'""&amp;DI$1&amp;""'!$D$4:$D$66"")=DI$2),$G$4:$BQ$4,$G176:$BQ176))),"""")"),"")</f>
        <v/>
      </c>
      <c r="DK176" s="208" t="str">
        <f t="shared" si="20"/>
        <v/>
      </c>
      <c r="DL176" s="210">
        <f>IFERROR(__xludf.DUMMYFUNCTION("AVERAGE(ARRAYFORMULA(XLOOKUP(FILTER(INDIRECT(""'""&amp;DL$1&amp;""'!$C$4:$C$66""),INDIRECT(""'""&amp;DL$1&amp;""'!$D$4:$D$66"")=DL$2),$G$4:$BQ$4,$G176:$BQ176)))"),0.26190476714285715)</f>
        <v>0.2619047671</v>
      </c>
      <c r="DM176" s="207" t="str">
        <f>IFERROR(__xludf.DUMMYFUNCTION("IF(OR(DL176&gt;$BS176+$BT176*$BT$2,DL176&lt;$BS176-$BT176*$BT$2),AVEDEV(ARRAYFORMULA(XLOOKUP(FILTER(INDIRECT(""'""&amp;DL$1&amp;""'!$C$4:$C$66""),INDIRECT(""'""&amp;DL$1&amp;""'!$D$4:$D$66"")=DL$2),$G$4:$BQ$4,$G176:$BQ176))),"""")"),"")</f>
        <v/>
      </c>
      <c r="DN176" s="208" t="str">
        <f t="shared" si="21"/>
        <v/>
      </c>
      <c r="DO176" s="209" t="s">
        <v>444</v>
      </c>
      <c r="DP176" s="210">
        <f>IFERROR(__xludf.DUMMYFUNCTION("AVERAGE(ARRAYFORMULA(XLOOKUP(FILTER(INDIRECT(""'""&amp;DP$1&amp;""'!$C$4:$C$66""),INDIRECT(""'""&amp;DP$1&amp;""'!$D$4:$D$66"")=DP$2),$G$4:$BQ$4,$G176:$BQ176)))"),0.05555556333333335)</f>
        <v>0.05555556333</v>
      </c>
      <c r="DQ176" s="207" t="str">
        <f>IFERROR(__xludf.DUMMYFUNCTION("IF(OR(DP176&gt;$BS176+$BT176*$BT$2,DP176&lt;$BS176-$BT176*$BT$2),AVEDEV(ARRAYFORMULA(XLOOKUP(FILTER(INDIRECT(""'""&amp;DP$1&amp;""'!$C$4:$C$66""),INDIRECT(""'""&amp;DP$1&amp;""'!$D$4:$D$66"")=DP$2),$G$4:$BQ$4,$G176:$BQ176))),"""")"),"")</f>
        <v/>
      </c>
      <c r="DR176" s="208" t="str">
        <f t="shared" si="22"/>
        <v/>
      </c>
      <c r="DS176" s="210">
        <f>IFERROR(__xludf.DUMMYFUNCTION("AVERAGE(ARRAYFORMULA(XLOOKUP(FILTER(INDIRECT(""'""&amp;DS$1&amp;""'!$C$4:$C$66""),INDIRECT(""'""&amp;DS$1&amp;""'!$D$4:$D$66"")=DS$2),$G$4:$BQ$4,$G176:$BQ176)))"),0.0740740811111111)</f>
        <v>0.07407408111</v>
      </c>
      <c r="DT176" s="207" t="str">
        <f>IFERROR(__xludf.DUMMYFUNCTION("IF(OR(DS176&gt;$BS176+$BT176*$BT$2,DS176&lt;$BS176-$BT176*$BT$2),AVEDEV(ARRAYFORMULA(XLOOKUP(FILTER(INDIRECT(""'""&amp;DS$1&amp;""'!$C$4:$C$66""),INDIRECT(""'""&amp;DS$1&amp;""'!$D$4:$D$66"")=DS$2),$G$4:$BQ$4,$G176:$BQ176))),"""")"),"")</f>
        <v/>
      </c>
      <c r="DU176" s="208" t="str">
        <f t="shared" si="23"/>
        <v/>
      </c>
      <c r="DV176" s="210">
        <f>IFERROR(__xludf.DUMMYFUNCTION("AVERAGE(ARRAYFORMULA(XLOOKUP(FILTER(INDIRECT(""'""&amp;DV$1&amp;""'!$C$4:$C$66""),INDIRECT(""'""&amp;DV$1&amp;""'!$D$4:$D$66"")=DV$2),$G$4:$BQ$4,$G176:$BQ176)))"),0.7500000087500001)</f>
        <v>0.7500000088</v>
      </c>
      <c r="DW176" s="207" t="str">
        <f>IFERROR(__xludf.DUMMYFUNCTION("IF(OR(DV176&gt;$BS176+$BT176*$BT$2,DV176&lt;$BS176-$BT176*$BT$2),AVEDEV(ARRAYFORMULA(XLOOKUP(FILTER(INDIRECT(""'""&amp;DV$1&amp;""'!$C$4:$C$66""),INDIRECT(""'""&amp;DV$1&amp;""'!$D$4:$D$66"")=DV$2),$G$4:$BQ$4,$G176:$BQ176))),"""")"),"")</f>
        <v/>
      </c>
      <c r="DX176" s="208" t="str">
        <f t="shared" si="24"/>
        <v/>
      </c>
      <c r="DY176" s="210">
        <f>IFERROR(__xludf.DUMMYFUNCTION("AVERAGE(ARRAYFORMULA(XLOOKUP(FILTER(INDIRECT(""'""&amp;DY$1&amp;""'!$C$4:$C$66""),INDIRECT(""'""&amp;DY$1&amp;""'!$D$4:$D$66"")=DY$2),$G$4:$BQ$4,$G176:$BQ176)))"),0.1851852)</f>
        <v>0.1851852</v>
      </c>
      <c r="DZ176" s="207" t="str">
        <f>IFERROR(__xludf.DUMMYFUNCTION("IF(OR(DY176&gt;$BS176+$BT176*$BT$2,DY176&lt;$BS176-$BT176*$BT$2),AVEDEV(ARRAYFORMULA(XLOOKUP(FILTER(INDIRECT(""'""&amp;DY$1&amp;""'!$C$4:$C$66""),INDIRECT(""'""&amp;DY$1&amp;""'!$D$4:$D$66"")=DY$2),$G$4:$BQ$4,$G176:$BQ176))),"""")"),"")</f>
        <v/>
      </c>
      <c r="EA176" s="208" t="str">
        <f t="shared" si="25"/>
        <v/>
      </c>
      <c r="EB176" s="191"/>
    </row>
    <row r="177" outlineLevel="1">
      <c r="A177" s="2"/>
      <c r="B177" s="204">
        <v>173.0</v>
      </c>
      <c r="C177" s="204" t="s">
        <v>601</v>
      </c>
      <c r="D177" s="204" t="s">
        <v>620</v>
      </c>
      <c r="E177" s="205" t="b">
        <f>VLOOKUP(D177,'Feature Set List'!A173:C246,2,0)</f>
        <v>1</v>
      </c>
      <c r="F177" s="205" t="b">
        <f>VLOOKUP(D177,'Feature Set List'!A173:C246,3,0)</f>
        <v>0</v>
      </c>
      <c r="G177" s="205">
        <v>-0.4</v>
      </c>
      <c r="H177" s="205">
        <v>0.12307692</v>
      </c>
      <c r="I177" s="205">
        <v>1.93846154</v>
      </c>
      <c r="J177" s="205">
        <v>-0.4923077</v>
      </c>
      <c r="K177" s="205">
        <v>1.93846154</v>
      </c>
      <c r="L177" s="205">
        <v>-0.5230769</v>
      </c>
      <c r="M177" s="205">
        <v>-0.2153846</v>
      </c>
      <c r="N177" s="205">
        <v>1.84615385</v>
      </c>
      <c r="O177" s="205">
        <v>-0.4923077</v>
      </c>
      <c r="P177" s="205">
        <v>-0.4307692</v>
      </c>
      <c r="Q177" s="205">
        <v>0.61538462</v>
      </c>
      <c r="R177" s="205">
        <v>-0.3692308</v>
      </c>
      <c r="S177" s="205">
        <v>0.61538462</v>
      </c>
      <c r="T177" s="205">
        <v>0.52307692</v>
      </c>
      <c r="U177" s="205">
        <v>0.03076923</v>
      </c>
      <c r="V177" s="205">
        <v>-0.2769231</v>
      </c>
      <c r="W177" s="205">
        <v>-0.4307692</v>
      </c>
      <c r="X177" s="205">
        <v>2.64615385</v>
      </c>
      <c r="Y177" s="205">
        <v>-0.0615385</v>
      </c>
      <c r="Z177" s="205">
        <v>-0.3384615</v>
      </c>
      <c r="AA177" s="205">
        <v>-0.4615385</v>
      </c>
      <c r="AB177" s="205">
        <v>-0.0615385</v>
      </c>
      <c r="AC177" s="205">
        <v>-0.4</v>
      </c>
      <c r="AD177" s="205">
        <v>0.55384615</v>
      </c>
      <c r="AE177" s="205">
        <v>1.13846154</v>
      </c>
      <c r="AF177" s="205">
        <v>-0.4923077</v>
      </c>
      <c r="AG177" s="205">
        <v>0.06153846</v>
      </c>
      <c r="AH177" s="205">
        <v>-0.3692308</v>
      </c>
      <c r="AI177" s="205">
        <v>0.06153846</v>
      </c>
      <c r="AJ177" s="205">
        <v>-0.4615385</v>
      </c>
      <c r="AK177" s="205">
        <v>0.61538462</v>
      </c>
      <c r="AL177" s="205">
        <v>0.64615385</v>
      </c>
      <c r="AM177" s="205">
        <v>-0.3384615</v>
      </c>
      <c r="AN177" s="205">
        <v>-0.4923077</v>
      </c>
      <c r="AO177" s="205">
        <v>0.70769231</v>
      </c>
      <c r="AP177" s="205">
        <v>0.06153846</v>
      </c>
      <c r="AQ177" s="205">
        <v>2.36923077</v>
      </c>
      <c r="AR177" s="205">
        <v>1.56923077</v>
      </c>
      <c r="AS177" s="205">
        <v>-0.5230769</v>
      </c>
      <c r="AT177" s="205">
        <v>0.83076923</v>
      </c>
      <c r="AU177" s="205">
        <v>-0.3076923</v>
      </c>
      <c r="AV177" s="205">
        <v>0.0</v>
      </c>
      <c r="AW177" s="205">
        <v>0.21538462</v>
      </c>
      <c r="AX177" s="205">
        <v>-0.5230769</v>
      </c>
      <c r="AY177" s="205">
        <v>1.41538462</v>
      </c>
      <c r="AZ177" s="205">
        <v>0.06153846</v>
      </c>
      <c r="BA177" s="205">
        <v>-0.4307692</v>
      </c>
      <c r="BB177" s="205">
        <v>0.64615385</v>
      </c>
      <c r="BC177" s="205">
        <v>-0.4</v>
      </c>
      <c r="BD177" s="205">
        <v>0.55384615</v>
      </c>
      <c r="BE177" s="205">
        <v>0.70769231</v>
      </c>
      <c r="BF177" s="205">
        <v>-0.2769231</v>
      </c>
      <c r="BG177" s="205">
        <v>-0.4615385</v>
      </c>
      <c r="BH177" s="205">
        <v>0.55384615</v>
      </c>
      <c r="BI177" s="205">
        <v>0.55384615</v>
      </c>
      <c r="BJ177" s="205">
        <v>-0.3384615</v>
      </c>
      <c r="BK177" s="205">
        <v>0.18461538</v>
      </c>
      <c r="BL177" s="205">
        <v>-0.4923077</v>
      </c>
      <c r="BM177" s="205">
        <v>-0.2769231</v>
      </c>
      <c r="BN177" s="205">
        <v>0.43076923</v>
      </c>
      <c r="BO177" s="205">
        <v>-0.4923077</v>
      </c>
      <c r="BP177" s="205">
        <v>0.03076923</v>
      </c>
      <c r="BQ177" s="205">
        <v>-0.4923077</v>
      </c>
      <c r="BR177" s="206"/>
      <c r="BS177" s="207">
        <f t="shared" si="6"/>
        <v>0.1924297914</v>
      </c>
      <c r="BT177" s="207">
        <f t="shared" si="7"/>
        <v>0.609678859</v>
      </c>
      <c r="BU177" s="206"/>
      <c r="BV177" s="207">
        <f>IFERROR(__xludf.DUMMYFUNCTION("AVERAGE(ARRAYFORMULA(XLOOKUP(FILTER(INDIRECT(""'""&amp;BV$1&amp;""'!$C$4:$C$66""),INDIRECT(""'""&amp;BV$1&amp;""'!$D$4:$D$66"")=BV$2),$G$4:$BQ$4,$G177:$BQ177)))"),0.80879121)</f>
        <v>0.80879121</v>
      </c>
      <c r="BW177" s="207">
        <f>IFERROR(__xludf.DUMMYFUNCTION("IF(OR(BV177&gt;$BS177+$BT177*$BT$2,BV177&lt;$BS177-$BT177*$BT$2),AVEDEV(ARRAYFORMULA(XLOOKUP(FILTER(INDIRECT(""'""&amp;BV$1&amp;""'!$C$4:$C$66""),INDIRECT(""'""&amp;BV$1&amp;""'!$D$4:$D$66"")=BV$2),$G$4:$BQ$4,$G177:$BQ177))),"""")"),0.6982731571428572)</f>
        <v>0.6982731571</v>
      </c>
      <c r="BX177" s="208">
        <f t="shared" si="8"/>
        <v>0.006682559615</v>
      </c>
      <c r="BY177" s="207">
        <f>IFERROR(__xludf.DUMMYFUNCTION("AVERAGE(ARRAYFORMULA(XLOOKUP(FILTER(INDIRECT(""'""&amp;BY$1&amp;""'!$C$4:$C$66""),INDIRECT(""'""&amp;BY$1&amp;""'!$D$4:$D$66"")=BY$2),$G$4:$BQ$4,$G177:$BQ177)))"),0.1655677623809524)</f>
        <v>0.1655677624</v>
      </c>
      <c r="BZ177" s="207" t="str">
        <f>IFERROR(__xludf.DUMMYFUNCTION("IF(OR(BY177&gt;$BS177+$BT177*$BT$2,BY177&lt;$BS177-$BT177*$BT$2),AVEDEV(ARRAYFORMULA(XLOOKUP(FILTER(INDIRECT(""'""&amp;BY$1&amp;""'!$C$4:$C$66""),INDIRECT(""'""&amp;BY$1&amp;""'!$D$4:$D$66"")=BY$2),$G$4:$BQ$4,$G177:$BQ177))),"""")"),"")</f>
        <v/>
      </c>
      <c r="CA177" s="208" t="str">
        <f t="shared" si="9"/>
        <v/>
      </c>
      <c r="CB177" s="207">
        <f>IFERROR(__xludf.DUMMYFUNCTION("AVERAGE(ARRAYFORMULA(XLOOKUP(FILTER(INDIRECT(""'""&amp;CB$1&amp;""'!$C$4:$C$66""),INDIRECT(""'""&amp;CB$1&amp;""'!$D$4:$D$66"")=CB$2),$G$4:$BQ$4,$G177:$BQ177)))"),-0.2433566381818182)</f>
        <v>-0.2433566382</v>
      </c>
      <c r="CC177" s="207" t="str">
        <f>IFERROR(__xludf.DUMMYFUNCTION("IF(OR(CB177&gt;$BS177+$BT177*$BT$2,CB177&lt;$BS177-$BT177*$BT$2),AVEDEV(ARRAYFORMULA(XLOOKUP(FILTER(INDIRECT(""'""&amp;CB$1&amp;""'!$C$4:$C$66""),INDIRECT(""'""&amp;CB$1&amp;""'!$D$4:$D$66"")=CB$2),$G$4:$BQ$4,$G177:$BQ177))),"""")"),"")</f>
        <v/>
      </c>
      <c r="CD177" s="208" t="str">
        <f t="shared" si="10"/>
        <v/>
      </c>
      <c r="CE177" s="209" t="s">
        <v>444</v>
      </c>
      <c r="CF177" s="207">
        <f>IFERROR(__xludf.DUMMYFUNCTION("AVERAGE(ARRAYFORMULA(XLOOKUP(FILTER(INDIRECT(""'""&amp;CF$1&amp;""'!$C$4:$C$66""),INDIRECT(""'""&amp;CF$1&amp;""'!$D$4:$D$66"")=CF$2),$G$4:$BQ$4,$G177:$BQ177)))"),0.555769228125)</f>
        <v>0.5557692281</v>
      </c>
      <c r="CG177" s="207" t="str">
        <f>IFERROR(__xludf.DUMMYFUNCTION("IF(OR(CF177&gt;$BS177+$BT177*$BT$2,CF177&lt;$BS177-$BT177*$BT$2),AVEDEV(ARRAYFORMULA(XLOOKUP(FILTER(INDIRECT(""'""&amp;CF$1&amp;""'!$C$4:$C$66""),INDIRECT(""'""&amp;CF$1&amp;""'!$D$4:$D$66"")=CF$2),$G$4:$BQ$4,$G177:$BQ177))),"""")"),"")</f>
        <v/>
      </c>
      <c r="CH177" s="208" t="str">
        <f t="shared" si="11"/>
        <v/>
      </c>
      <c r="CI177" s="207">
        <f>IFERROR(__xludf.DUMMYFUNCTION("AVERAGE(ARRAYFORMULA(XLOOKUP(FILTER(INDIRECT(""'""&amp;CI$1&amp;""'!$C$4:$C$66""),INDIRECT(""'""&amp;CI$1&amp;""'!$D$4:$D$66"")=CI$2),$G$4:$BQ$4,$G177:$BQ177)))"),-0.01191067193548386)</f>
        <v>-0.01191067194</v>
      </c>
      <c r="CJ177" s="207" t="str">
        <f>IFERROR(__xludf.DUMMYFUNCTION("IF(OR(CI177&gt;$BS177+$BT177*$BT$2,CI177&lt;$BS177-$BT177*$BT$2),AVEDEV(ARRAYFORMULA(XLOOKUP(FILTER(INDIRECT(""'""&amp;CI$1&amp;""'!$C$4:$C$66""),INDIRECT(""'""&amp;CI$1&amp;""'!$D$4:$D$66"")=CI$2),$G$4:$BQ$4,$G177:$BQ177))),"""")"),"")</f>
        <v/>
      </c>
      <c r="CK177" s="208" t="str">
        <f t="shared" si="12"/>
        <v/>
      </c>
      <c r="CL177" s="207">
        <f>IFERROR(__xludf.DUMMYFUNCTION("AVERAGE(ARRAYFORMULA(XLOOKUP(FILTER(INDIRECT(""'""&amp;CL$1&amp;""'!$C$4:$C$66""),INDIRECT(""'""&amp;CL$1&amp;""'!$D$4:$D$66"")=CL$2),$G$4:$BQ$4,$G177:$BQ177)))"),-0.264615376)</f>
        <v>-0.264615376</v>
      </c>
      <c r="CM177" s="207" t="str">
        <f>IFERROR(__xludf.DUMMYFUNCTION("IF(OR(CL177&gt;$BS177+$BT177*$BT$2,CL177&lt;$BS177-$BT177*$BT$2),AVEDEV(ARRAYFORMULA(XLOOKUP(FILTER(INDIRECT(""'""&amp;CL$1&amp;""'!$C$4:$C$66""),INDIRECT(""'""&amp;CL$1&amp;""'!$D$4:$D$66"")=CL$2),$G$4:$BQ$4,$G177:$BQ177))),"""")"),"")</f>
        <v/>
      </c>
      <c r="CN177" s="208" t="str">
        <f t="shared" si="13"/>
        <v/>
      </c>
      <c r="CO177" s="209" t="s">
        <v>444</v>
      </c>
      <c r="CP177" s="210">
        <f>IFERROR(__xludf.DUMMYFUNCTION("AVERAGE(ARRAYFORMULA(XLOOKUP(FILTER(INDIRECT(""'""&amp;CP$1&amp;""'!$C$4:$C$66""),INDIRECT(""'""&amp;CP$1&amp;""'!$D$4:$D$66"")=CP$2),$G$4:$BQ$4,$G177:$BQ177)))"),0.35487178399999997)</f>
        <v>0.354871784</v>
      </c>
      <c r="CQ177" s="207" t="str">
        <f>IFERROR(__xludf.DUMMYFUNCTION("IF(OR(CP177&gt;$BS177+$BT177*$BT$2,CP177&lt;$BS177-$BT177*$BT$2),AVEDEV(ARRAYFORMULA(XLOOKUP(FILTER(INDIRECT(""'""&amp;CP$1&amp;""'!$C$4:$C$66""),INDIRECT(""'""&amp;CP$1&amp;""'!$D$4:$D$66"")=CP$2),$G$4:$BQ$4,$G177:$BQ177))),"""")"),"")</f>
        <v/>
      </c>
      <c r="CR177" s="208" t="str">
        <f t="shared" si="14"/>
        <v/>
      </c>
      <c r="CS177" s="210">
        <f>IFERROR(__xludf.DUMMYFUNCTION("AVERAGE(ARRAYFORMULA(XLOOKUP(FILTER(INDIRECT(""'""&amp;CS$1&amp;""'!$C$4:$C$66""),INDIRECT(""'""&amp;CS$1&amp;""'!$D$4:$D$66"")=CS$2),$G$4:$BQ$4,$G177:$BQ177)))"),0.16489152025641032)</f>
        <v>0.1648915203</v>
      </c>
      <c r="CT177" s="207" t="str">
        <f>IFERROR(__xludf.DUMMYFUNCTION("IF(OR(CS177&gt;$BS177+$BT177*$BT$2,CS177&lt;$BS177-$BT177*$BT$2),AVEDEV(ARRAYFORMULA(XLOOKUP(FILTER(INDIRECT(""'""&amp;CS$1&amp;""'!$C$4:$C$66""),INDIRECT(""'""&amp;CS$1&amp;""'!$D$4:$D$66"")=CS$2),$G$4:$BQ$4,$G177:$BQ177))),"""")"),"")</f>
        <v/>
      </c>
      <c r="CU177" s="208" t="str">
        <f t="shared" si="15"/>
        <v/>
      </c>
      <c r="CV177" s="210">
        <f>IFERROR(__xludf.DUMMYFUNCTION("AVERAGE(ARRAYFORMULA(XLOOKUP(FILTER(INDIRECT(""'""&amp;CV$1&amp;""'!$C$4:$C$66""),INDIRECT(""'""&amp;CV$1&amp;""'!$D$4:$D$66"")=CV$2),$G$4:$BQ$4,$G177:$BQ177)))"),-0.264615376)</f>
        <v>-0.264615376</v>
      </c>
      <c r="CW177" s="207" t="str">
        <f>IFERROR(__xludf.DUMMYFUNCTION("IF(OR(CV177&gt;$BS177+$BT177*$BT$2,CV177&lt;$BS177-$BT177*$BT$2),AVEDEV(ARRAYFORMULA(XLOOKUP(FILTER(INDIRECT(""'""&amp;CV$1&amp;""'!$C$4:$C$66""),INDIRECT(""'""&amp;CV$1&amp;""'!$D$4:$D$66"")=CV$2),$G$4:$BQ$4,$G177:$BQ177))),"""")"),"")</f>
        <v/>
      </c>
      <c r="CX177" s="208" t="str">
        <f t="shared" si="16"/>
        <v/>
      </c>
      <c r="CY177" s="209" t="s">
        <v>444</v>
      </c>
      <c r="CZ177" s="210">
        <f>IFERROR(__xludf.DUMMYFUNCTION("AVERAGE(ARRAYFORMULA(XLOOKUP(FILTER(INDIRECT(""'""&amp;CZ$1&amp;""'!$C$4:$C$66""),INDIRECT(""'""&amp;CZ$1&amp;""'!$D$4:$D$66"")=CZ$2),$G$4:$BQ$4,$G177:$BQ177)))"),0.4483516450000001)</f>
        <v>0.448351645</v>
      </c>
      <c r="DA177" s="207" t="str">
        <f>IFERROR(__xludf.DUMMYFUNCTION("IF(OR(CZ177&gt;$BS177+$BT177*$BT$2,CZ177&lt;$BS177-$BT177*$BT$2),AVEDEV(ARRAYFORMULA(XLOOKUP(FILTER(INDIRECT(""'""&amp;CZ$1&amp;""'!$C$4:$C$66""),INDIRECT(""'""&amp;CZ$1&amp;""'!$D$4:$D$66"")=CZ$2),$G$4:$BQ$4,$G177:$BQ177))),"""")"),"")</f>
        <v/>
      </c>
      <c r="DB177" s="208" t="str">
        <f t="shared" si="17"/>
        <v/>
      </c>
      <c r="DC177" s="210">
        <f>IFERROR(__xludf.DUMMYFUNCTION("AVERAGE(ARRAYFORMULA(XLOOKUP(FILTER(INDIRECT(""'""&amp;DC$1&amp;""'!$C$4:$C$66""),INDIRECT(""'""&amp;DC$1&amp;""'!$D$4:$D$66"")=DC$2),$G$4:$BQ$4,$G177:$BQ177)))"),-0.2735042644444445)</f>
        <v>-0.2735042644</v>
      </c>
      <c r="DD177" s="207" t="str">
        <f>IFERROR(__xludf.DUMMYFUNCTION("IF(OR(DC177&gt;$BS177+$BT177*$BT$2,DC177&lt;$BS177-$BT177*$BT$2),AVEDEV(ARRAYFORMULA(XLOOKUP(FILTER(INDIRECT(""'""&amp;DC$1&amp;""'!$C$4:$C$66""),INDIRECT(""'""&amp;DC$1&amp;""'!$D$4:$D$66"")=DC$2),$G$4:$BQ$4,$G177:$BQ177))),"""")"),"")</f>
        <v/>
      </c>
      <c r="DE177" s="208" t="str">
        <f t="shared" si="18"/>
        <v/>
      </c>
      <c r="DF177" s="210">
        <f>IFERROR(__xludf.DUMMYFUNCTION("AVERAGE(ARRAYFORMULA(XLOOKUP(FILTER(INDIRECT(""'""&amp;DF$1&amp;""'!$C$4:$C$66""),INDIRECT(""'""&amp;DF$1&amp;""'!$D$4:$D$66"")=DF$2),$G$4:$BQ$4,$G177:$BQ177)))"),-0.09790210818181819)</f>
        <v>-0.09790210818</v>
      </c>
      <c r="DG177" s="207" t="str">
        <f>IFERROR(__xludf.DUMMYFUNCTION("IF(OR(DF177&gt;$BS177+$BT177*$BT$2,DF177&lt;$BS177-$BT177*$BT$2),AVEDEV(ARRAYFORMULA(XLOOKUP(FILTER(INDIRECT(""'""&amp;DF$1&amp;""'!$C$4:$C$66""),INDIRECT(""'""&amp;DF$1&amp;""'!$D$4:$D$66"")=DF$2),$G$4:$BQ$4,$G177:$BQ177))),"""")"),"")</f>
        <v/>
      </c>
      <c r="DH177" s="208" t="str">
        <f t="shared" si="19"/>
        <v/>
      </c>
      <c r="DI177" s="210">
        <f>IFERROR(__xludf.DUMMYFUNCTION("AVERAGE(ARRAYFORMULA(XLOOKUP(FILTER(INDIRECT(""'""&amp;DI$1&amp;""'!$C$4:$C$66""),INDIRECT(""'""&amp;DI$1&amp;""'!$D$4:$D$66"")=DI$2),$G$4:$BQ$4,$G177:$BQ177)))"),0.55384615)</f>
        <v>0.55384615</v>
      </c>
      <c r="DJ177" s="207" t="str">
        <f>IFERROR(__xludf.DUMMYFUNCTION("IF(OR(DI177&gt;$BS177+$BT177*$BT$2,DI177&lt;$BS177-$BT177*$BT$2),AVEDEV(ARRAYFORMULA(XLOOKUP(FILTER(INDIRECT(""'""&amp;DI$1&amp;""'!$C$4:$C$66""),INDIRECT(""'""&amp;DI$1&amp;""'!$D$4:$D$66"")=DI$2),$G$4:$BQ$4,$G177:$BQ177))),"""")"),"")</f>
        <v/>
      </c>
      <c r="DK177" s="208" t="str">
        <f t="shared" si="20"/>
        <v/>
      </c>
      <c r="DL177" s="210">
        <f>IFERROR(__xludf.DUMMYFUNCTION("AVERAGE(ARRAYFORMULA(XLOOKUP(FILTER(INDIRECT(""'""&amp;DL$1&amp;""'!$C$4:$C$66""),INDIRECT(""'""&amp;DL$1&amp;""'!$D$4:$D$66"")=DL$2),$G$4:$BQ$4,$G177:$BQ177)))"),-0.05054945000000001)</f>
        <v>-0.05054945</v>
      </c>
      <c r="DM177" s="207" t="str">
        <f>IFERROR(__xludf.DUMMYFUNCTION("IF(OR(DL177&gt;$BS177+$BT177*$BT$2,DL177&lt;$BS177-$BT177*$BT$2),AVEDEV(ARRAYFORMULA(XLOOKUP(FILTER(INDIRECT(""'""&amp;DL$1&amp;""'!$C$4:$C$66""),INDIRECT(""'""&amp;DL$1&amp;""'!$D$4:$D$66"")=DL$2),$G$4:$BQ$4,$G177:$BQ177))),"""")"),"")</f>
        <v/>
      </c>
      <c r="DN177" s="208" t="str">
        <f t="shared" si="21"/>
        <v/>
      </c>
      <c r="DO177" s="209" t="s">
        <v>444</v>
      </c>
      <c r="DP177" s="210">
        <f>IFERROR(__xludf.DUMMYFUNCTION("AVERAGE(ARRAYFORMULA(XLOOKUP(FILTER(INDIRECT(""'""&amp;DP$1&amp;""'!$C$4:$C$66""),INDIRECT(""'""&amp;DP$1&amp;""'!$D$4:$D$66"")=DP$2),$G$4:$BQ$4,$G177:$BQ177)))"),0.25025640800000004)</f>
        <v>0.250256408</v>
      </c>
      <c r="DQ177" s="207" t="str">
        <f>IFERROR(__xludf.DUMMYFUNCTION("IF(OR(DP177&gt;$BS177+$BT177*$BT$2,DP177&lt;$BS177-$BT177*$BT$2),AVEDEV(ARRAYFORMULA(XLOOKUP(FILTER(INDIRECT(""'""&amp;DP$1&amp;""'!$C$4:$C$66""),INDIRECT(""'""&amp;DP$1&amp;""'!$D$4:$D$66"")=DP$2),$G$4:$BQ$4,$G177:$BQ177))),"""")"),"")</f>
        <v/>
      </c>
      <c r="DR177" s="208" t="str">
        <f t="shared" si="22"/>
        <v/>
      </c>
      <c r="DS177" s="210">
        <f>IFERROR(__xludf.DUMMYFUNCTION("AVERAGE(ARRAYFORMULA(XLOOKUP(FILTER(INDIRECT(""'""&amp;DS$1&amp;""'!$C$4:$C$66""),INDIRECT(""'""&amp;DS$1&amp;""'!$D$4:$D$66"")=DS$2),$G$4:$BQ$4,$G177:$BQ177)))"),-0.2427350311111111)</f>
        <v>-0.2427350311</v>
      </c>
      <c r="DT177" s="207" t="str">
        <f>IFERROR(__xludf.DUMMYFUNCTION("IF(OR(DS177&gt;$BS177+$BT177*$BT$2,DS177&lt;$BS177-$BT177*$BT$2),AVEDEV(ARRAYFORMULA(XLOOKUP(FILTER(INDIRECT(""'""&amp;DS$1&amp;""'!$C$4:$C$66""),INDIRECT(""'""&amp;DS$1&amp;""'!$D$4:$D$66"")=DS$2),$G$4:$BQ$4,$G177:$BQ177))),"""")"),"")</f>
        <v/>
      </c>
      <c r="DU177" s="208" t="str">
        <f t="shared" si="23"/>
        <v/>
      </c>
      <c r="DV177" s="210">
        <f>IFERROR(__xludf.DUMMYFUNCTION("AVERAGE(ARRAYFORMULA(XLOOKUP(FILTER(INDIRECT(""'""&amp;DV$1&amp;""'!$C$4:$C$66""),INDIRECT(""'""&amp;DV$1&amp;""'!$D$4:$D$66"")=DV$2),$G$4:$BQ$4,$G177:$BQ177)))"),0.04230767875)</f>
        <v>0.04230767875</v>
      </c>
      <c r="DW177" s="207" t="str">
        <f>IFERROR(__xludf.DUMMYFUNCTION("IF(OR(DV177&gt;$BS177+$BT177*$BT$2,DV177&lt;$BS177-$BT177*$BT$2),AVEDEV(ARRAYFORMULA(XLOOKUP(FILTER(INDIRECT(""'""&amp;DV$1&amp;""'!$C$4:$C$66""),INDIRECT(""'""&amp;DV$1&amp;""'!$D$4:$D$66"")=DV$2),$G$4:$BQ$4,$G177:$BQ177))),"""")"),"")</f>
        <v/>
      </c>
      <c r="DX177" s="208" t="str">
        <f t="shared" si="24"/>
        <v/>
      </c>
      <c r="DY177" s="210">
        <f>IFERROR(__xludf.DUMMYFUNCTION("AVERAGE(ARRAYFORMULA(XLOOKUP(FILTER(INDIRECT(""'""&amp;DY$1&amp;""'!$C$4:$C$66""),INDIRECT(""'""&amp;DY$1&amp;""'!$D$4:$D$66"")=DY$2),$G$4:$BQ$4,$G177:$BQ177)))"),-0.017094016666666663)</f>
        <v>-0.01709401667</v>
      </c>
      <c r="DZ177" s="207" t="str">
        <f>IFERROR(__xludf.DUMMYFUNCTION("IF(OR(DY177&gt;$BS177+$BT177*$BT$2,DY177&lt;$BS177-$BT177*$BT$2),AVEDEV(ARRAYFORMULA(XLOOKUP(FILTER(INDIRECT(""'""&amp;DY$1&amp;""'!$C$4:$C$66""),INDIRECT(""'""&amp;DY$1&amp;""'!$D$4:$D$66"")=DY$2),$G$4:$BQ$4,$G177:$BQ177))),"""")"),"")</f>
        <v/>
      </c>
      <c r="EA177" s="208" t="str">
        <f t="shared" si="25"/>
        <v/>
      </c>
      <c r="EB177" s="191"/>
    </row>
    <row r="178" outlineLevel="1">
      <c r="A178" s="2"/>
      <c r="B178" s="204">
        <v>174.0</v>
      </c>
      <c r="C178" s="204" t="s">
        <v>601</v>
      </c>
      <c r="D178" s="204" t="s">
        <v>621</v>
      </c>
      <c r="E178" s="205" t="b">
        <f>VLOOKUP(D178,'Feature Set List'!A174:C246,2,0)</f>
        <v>1</v>
      </c>
      <c r="F178" s="205" t="b">
        <f>VLOOKUP(D178,'Feature Set List'!A174:C246,3,0)</f>
        <v>0</v>
      </c>
      <c r="G178" s="205">
        <v>0.37931034</v>
      </c>
      <c r="H178" s="205">
        <v>4.31034483</v>
      </c>
      <c r="I178" s="205">
        <v>-0.5172414</v>
      </c>
      <c r="J178" s="205">
        <v>0.0</v>
      </c>
      <c r="K178" s="205">
        <v>0.20689655</v>
      </c>
      <c r="L178" s="205">
        <v>0.86206897</v>
      </c>
      <c r="M178" s="205">
        <v>0.68965517</v>
      </c>
      <c r="N178" s="205">
        <v>0.13793103</v>
      </c>
      <c r="O178" s="205">
        <v>-0.0344828</v>
      </c>
      <c r="P178" s="205">
        <v>-0.1724138</v>
      </c>
      <c r="Q178" s="205">
        <v>-0.1034483</v>
      </c>
      <c r="R178" s="205">
        <v>1.20689655</v>
      </c>
      <c r="S178" s="205">
        <v>3.34482759</v>
      </c>
      <c r="T178" s="205">
        <v>-0.1724138</v>
      </c>
      <c r="U178" s="205">
        <v>-0.3103448</v>
      </c>
      <c r="V178" s="205">
        <v>1.4137931</v>
      </c>
      <c r="W178" s="205">
        <v>-0.1034483</v>
      </c>
      <c r="X178" s="205">
        <v>0.5862069</v>
      </c>
      <c r="Y178" s="205">
        <v>-0.3793103</v>
      </c>
      <c r="Z178" s="205">
        <v>1.27586207</v>
      </c>
      <c r="AA178" s="205">
        <v>-0.1034483</v>
      </c>
      <c r="AB178" s="205">
        <v>-0.3793103</v>
      </c>
      <c r="AC178" s="205">
        <v>-0.1034483</v>
      </c>
      <c r="AD178" s="205">
        <v>-0.3448276</v>
      </c>
      <c r="AE178" s="205">
        <v>-0.2413793</v>
      </c>
      <c r="AF178" s="205">
        <v>0.0</v>
      </c>
      <c r="AG178" s="205">
        <v>0.79310345</v>
      </c>
      <c r="AH178" s="205">
        <v>0.4137931</v>
      </c>
      <c r="AI178" s="205">
        <v>2.10344828</v>
      </c>
      <c r="AJ178" s="205">
        <v>0.27586207</v>
      </c>
      <c r="AK178" s="205">
        <v>-0.137931</v>
      </c>
      <c r="AL178" s="205">
        <v>-0.1034483</v>
      </c>
      <c r="AM178" s="205">
        <v>1.27586207</v>
      </c>
      <c r="AN178" s="205">
        <v>0.44827586</v>
      </c>
      <c r="AO178" s="205">
        <v>-0.5172414</v>
      </c>
      <c r="AP178" s="205">
        <v>-0.5172414</v>
      </c>
      <c r="AQ178" s="205">
        <v>0.4137931</v>
      </c>
      <c r="AR178" s="205">
        <v>0.0</v>
      </c>
      <c r="AS178" s="205">
        <v>-0.0344828</v>
      </c>
      <c r="AT178" s="205">
        <v>-0.4482759</v>
      </c>
      <c r="AU178" s="205">
        <v>1.34482759</v>
      </c>
      <c r="AV178" s="205">
        <v>2.03448276</v>
      </c>
      <c r="AW178" s="205">
        <v>-0.4137931</v>
      </c>
      <c r="AX178" s="205">
        <v>0.86206897</v>
      </c>
      <c r="AY178" s="205">
        <v>0.48275862</v>
      </c>
      <c r="AZ178" s="205">
        <v>2.17241379</v>
      </c>
      <c r="BA178" s="205">
        <v>-0.0689655</v>
      </c>
      <c r="BB178" s="205">
        <v>-0.1034483</v>
      </c>
      <c r="BC178" s="205">
        <v>1.13793103</v>
      </c>
      <c r="BD178" s="205">
        <v>-0.3448276</v>
      </c>
      <c r="BE178" s="205">
        <v>2.24137931</v>
      </c>
      <c r="BF178" s="205">
        <v>1.37931034</v>
      </c>
      <c r="BG178" s="205">
        <v>0.03448276</v>
      </c>
      <c r="BH178" s="205">
        <v>-0.3448276</v>
      </c>
      <c r="BI178" s="205">
        <v>-0.1724138</v>
      </c>
      <c r="BJ178" s="205">
        <v>0.75862069</v>
      </c>
      <c r="BK178" s="205">
        <v>-0.2413793</v>
      </c>
      <c r="BL178" s="205">
        <v>0.0</v>
      </c>
      <c r="BM178" s="205">
        <v>-0.4827586</v>
      </c>
      <c r="BN178" s="205">
        <v>-0.2758621</v>
      </c>
      <c r="BO178" s="205">
        <v>0.24137931</v>
      </c>
      <c r="BP178" s="205">
        <v>2.10344828</v>
      </c>
      <c r="BQ178" s="205">
        <v>-0.137931</v>
      </c>
      <c r="BR178" s="206"/>
      <c r="BS178" s="207">
        <f t="shared" si="6"/>
        <v>0.4384236425</v>
      </c>
      <c r="BT178" s="207">
        <f t="shared" si="7"/>
        <v>0.7359449551</v>
      </c>
      <c r="BU178" s="206"/>
      <c r="BV178" s="207">
        <f>IFERROR(__xludf.DUMMYFUNCTION("AVERAGE(ARRAYFORMULA(XLOOKUP(FILTER(INDIRECT(""'""&amp;BV$1&amp;""'!$C$4:$C$66""),INDIRECT(""'""&amp;BV$1&amp;""'!$D$4:$D$66"")=BV$2),$G$4:$BQ$4,$G178:$BQ178)))"),0.3399014757142857)</f>
        <v>0.3399014757</v>
      </c>
      <c r="BW178" s="207" t="str">
        <f>IFERROR(__xludf.DUMMYFUNCTION("IF(OR(BV178&gt;$BS178+$BT178*$BT$2,BV178&lt;$BS178-$BT178*$BT$2),AVEDEV(ARRAYFORMULA(XLOOKUP(FILTER(INDIRECT(""'""&amp;BV$1&amp;""'!$C$4:$C$66""),INDIRECT(""'""&amp;BV$1&amp;""'!$D$4:$D$66"")=BV$2),$G$4:$BQ$4,$G178:$BQ178))),"""")"),"")</f>
        <v/>
      </c>
      <c r="BX178" s="208" t="str">
        <f t="shared" si="8"/>
        <v/>
      </c>
      <c r="BY178" s="207">
        <f>IFERROR(__xludf.DUMMYFUNCTION("AVERAGE(ARRAYFORMULA(XLOOKUP(FILTER(INDIRECT(""'""&amp;BY$1&amp;""'!$C$4:$C$66""),INDIRECT(""'""&amp;BY$1&amp;""'!$D$4:$D$66"")=BY$2),$G$4:$BQ$4,$G178:$BQ178)))"),0.5246305378571428)</f>
        <v>0.5246305379</v>
      </c>
      <c r="BZ178" s="207" t="str">
        <f>IFERROR(__xludf.DUMMYFUNCTION("IF(OR(BY178&gt;$BS178+$BT178*$BT$2,BY178&lt;$BS178-$BT178*$BT$2),AVEDEV(ARRAYFORMULA(XLOOKUP(FILTER(INDIRECT(""'""&amp;BY$1&amp;""'!$C$4:$C$66""),INDIRECT(""'""&amp;BY$1&amp;""'!$D$4:$D$66"")=BY$2),$G$4:$BQ$4,$G178:$BQ178))),"""")"),"")</f>
        <v/>
      </c>
      <c r="CA178" s="208" t="str">
        <f t="shared" si="9"/>
        <v/>
      </c>
      <c r="CB178" s="207">
        <f>IFERROR(__xludf.DUMMYFUNCTION("AVERAGE(ARRAYFORMULA(XLOOKUP(FILTER(INDIRECT(""'""&amp;CB$1&amp;""'!$C$4:$C$66""),INDIRECT(""'""&amp;CB$1&amp;""'!$D$4:$D$66"")=CB$2),$G$4:$BQ$4,$G178:$BQ178)))"),0.2476489063636363)</f>
        <v>0.2476489064</v>
      </c>
      <c r="CC178" s="207" t="str">
        <f>IFERROR(__xludf.DUMMYFUNCTION("IF(OR(CB178&gt;$BS178+$BT178*$BT$2,CB178&lt;$BS178-$BT178*$BT$2),AVEDEV(ARRAYFORMULA(XLOOKUP(FILTER(INDIRECT(""'""&amp;CB$1&amp;""'!$C$4:$C$66""),INDIRECT(""'""&amp;CB$1&amp;""'!$D$4:$D$66"")=CB$2),$G$4:$BQ$4,$G178:$BQ178))),"""")"),"")</f>
        <v/>
      </c>
      <c r="CD178" s="208" t="str">
        <f t="shared" si="10"/>
        <v/>
      </c>
      <c r="CE178" s="209" t="s">
        <v>444</v>
      </c>
      <c r="CF178" s="207">
        <f>IFERROR(__xludf.DUMMYFUNCTION("AVERAGE(ARRAYFORMULA(XLOOKUP(FILTER(INDIRECT(""'""&amp;CF$1&amp;""'!$C$4:$C$66""),INDIRECT(""'""&amp;CF$1&amp;""'!$D$4:$D$66"")=CF$2),$G$4:$BQ$4,$G178:$BQ178)))"),0.53663793)</f>
        <v>0.53663793</v>
      </c>
      <c r="CG178" s="207" t="str">
        <f>IFERROR(__xludf.DUMMYFUNCTION("IF(OR(CF178&gt;$BS178+$BT178*$BT$2,CF178&lt;$BS178-$BT178*$BT$2),AVEDEV(ARRAYFORMULA(XLOOKUP(FILTER(INDIRECT(""'""&amp;CF$1&amp;""'!$C$4:$C$66""),INDIRECT(""'""&amp;CF$1&amp;""'!$D$4:$D$66"")=CF$2),$G$4:$BQ$4,$G178:$BQ178))),"""")"),"")</f>
        <v/>
      </c>
      <c r="CH178" s="208" t="str">
        <f t="shared" si="11"/>
        <v/>
      </c>
      <c r="CI178" s="207">
        <f>IFERROR(__xludf.DUMMYFUNCTION("AVERAGE(ARRAYFORMULA(XLOOKUP(FILTER(INDIRECT(""'""&amp;CI$1&amp;""'!$C$4:$C$66""),INDIRECT(""'""&amp;CI$1&amp;""'!$D$4:$D$66"")=CI$2),$G$4:$BQ$4,$G178:$BQ178)))"),0.577308117096774)</f>
        <v>0.5773081171</v>
      </c>
      <c r="CJ178" s="207" t="str">
        <f>IFERROR(__xludf.DUMMYFUNCTION("IF(OR(CI178&gt;$BS178+$BT178*$BT$2,CI178&lt;$BS178-$BT178*$BT$2),AVEDEV(ARRAYFORMULA(XLOOKUP(FILTER(INDIRECT(""'""&amp;CI$1&amp;""'!$C$4:$C$66""),INDIRECT(""'""&amp;CI$1&amp;""'!$D$4:$D$66"")=CI$2),$G$4:$BQ$4,$G178:$BQ178))),"""")"),"")</f>
        <v/>
      </c>
      <c r="CK178" s="208" t="str">
        <f t="shared" si="12"/>
        <v/>
      </c>
      <c r="CL178" s="207">
        <f>IFERROR(__xludf.DUMMYFUNCTION("AVERAGE(ARRAYFORMULA(XLOOKUP(FILTER(INDIRECT(""'""&amp;CL$1&amp;""'!$C$4:$C$66""),INDIRECT(""'""&amp;CL$1&amp;""'!$D$4:$D$66"")=CL$2),$G$4:$BQ$4,$G178:$BQ178)))"),-0.082758628)</f>
        <v>-0.082758628</v>
      </c>
      <c r="CM178" s="207" t="str">
        <f>IFERROR(__xludf.DUMMYFUNCTION("IF(OR(CL178&gt;$BS178+$BT178*$BT$2,CL178&lt;$BS178-$BT178*$BT$2),AVEDEV(ARRAYFORMULA(XLOOKUP(FILTER(INDIRECT(""'""&amp;CL$1&amp;""'!$C$4:$C$66""),INDIRECT(""'""&amp;CL$1&amp;""'!$D$4:$D$66"")=CL$2),$G$4:$BQ$4,$G178:$BQ178))),"""")"),"")</f>
        <v/>
      </c>
      <c r="CN178" s="208" t="str">
        <f t="shared" si="13"/>
        <v/>
      </c>
      <c r="CO178" s="209" t="s">
        <v>444</v>
      </c>
      <c r="CP178" s="210">
        <f>IFERROR(__xludf.DUMMYFUNCTION("AVERAGE(ARRAYFORMULA(XLOOKUP(FILTER(INDIRECT(""'""&amp;CP$1&amp;""'!$C$4:$C$66""),INDIRECT(""'""&amp;CP$1&amp;""'!$D$4:$D$66"")=CP$2),$G$4:$BQ$4,$G178:$BQ178)))"),0.096551726)</f>
        <v>0.096551726</v>
      </c>
      <c r="CQ178" s="207" t="str">
        <f>IFERROR(__xludf.DUMMYFUNCTION("IF(OR(CP178&gt;$BS178+$BT178*$BT$2,CP178&lt;$BS178-$BT178*$BT$2),AVEDEV(ARRAYFORMULA(XLOOKUP(FILTER(INDIRECT(""'""&amp;CP$1&amp;""'!$C$4:$C$66""),INDIRECT(""'""&amp;CP$1&amp;""'!$D$4:$D$66"")=CP$2),$G$4:$BQ$4,$G178:$BQ178))),"""")"),"")</f>
        <v/>
      </c>
      <c r="CR178" s="208" t="str">
        <f t="shared" si="14"/>
        <v/>
      </c>
      <c r="CS178" s="210">
        <f>IFERROR(__xludf.DUMMYFUNCTION("AVERAGE(ARRAYFORMULA(XLOOKUP(FILTER(INDIRECT(""'""&amp;CS$1&amp;""'!$C$4:$C$66""),INDIRECT(""'""&amp;CS$1&amp;""'!$D$4:$D$66"")=CS$2),$G$4:$BQ$4,$G178:$BQ178)))"),0.669319183076923)</f>
        <v>0.6693191831</v>
      </c>
      <c r="CT178" s="207" t="str">
        <f>IFERROR(__xludf.DUMMYFUNCTION("IF(OR(CS178&gt;$BS178+$BT178*$BT$2,CS178&lt;$BS178-$BT178*$BT$2),AVEDEV(ARRAYFORMULA(XLOOKUP(FILTER(INDIRECT(""'""&amp;CS$1&amp;""'!$C$4:$C$66""),INDIRECT(""'""&amp;CS$1&amp;""'!$D$4:$D$66"")=CS$2),$G$4:$BQ$4,$G178:$BQ178))),"""")"),"")</f>
        <v/>
      </c>
      <c r="CU178" s="208" t="str">
        <f t="shared" si="15"/>
        <v/>
      </c>
      <c r="CV178" s="210">
        <f>IFERROR(__xludf.DUMMYFUNCTION("AVERAGE(ARRAYFORMULA(XLOOKUP(FILTER(INDIRECT(""'""&amp;CV$1&amp;""'!$C$4:$C$66""),INDIRECT(""'""&amp;CV$1&amp;""'!$D$4:$D$66"")=CV$2),$G$4:$BQ$4,$G178:$BQ178)))"),-0.082758628)</f>
        <v>-0.082758628</v>
      </c>
      <c r="CW178" s="207" t="str">
        <f>IFERROR(__xludf.DUMMYFUNCTION("IF(OR(CV178&gt;$BS178+$BT178*$BT$2,CV178&lt;$BS178-$BT178*$BT$2),AVEDEV(ARRAYFORMULA(XLOOKUP(FILTER(INDIRECT(""'""&amp;CV$1&amp;""'!$C$4:$C$66""),INDIRECT(""'""&amp;CV$1&amp;""'!$D$4:$D$66"")=CV$2),$G$4:$BQ$4,$G178:$BQ178))),"""")"),"")</f>
        <v/>
      </c>
      <c r="CX178" s="208" t="str">
        <f t="shared" si="16"/>
        <v/>
      </c>
      <c r="CY178" s="209" t="s">
        <v>444</v>
      </c>
      <c r="CZ178" s="210">
        <f>IFERROR(__xludf.DUMMYFUNCTION("AVERAGE(ARRAYFORMULA(XLOOKUP(FILTER(INDIRECT(""'""&amp;CZ$1&amp;""'!$C$4:$C$66""),INDIRECT(""'""&amp;CZ$1&amp;""'!$D$4:$D$66"")=CZ$2),$G$4:$BQ$4,$G178:$BQ178)))"),0.6354679807142857)</f>
        <v>0.6354679807</v>
      </c>
      <c r="DA178" s="207" t="str">
        <f>IFERROR(__xludf.DUMMYFUNCTION("IF(OR(CZ178&gt;$BS178+$BT178*$BT$2,CZ178&lt;$BS178-$BT178*$BT$2),AVEDEV(ARRAYFORMULA(XLOOKUP(FILTER(INDIRECT(""'""&amp;CZ$1&amp;""'!$C$4:$C$66""),INDIRECT(""'""&amp;CZ$1&amp;""'!$D$4:$D$66"")=CZ$2),$G$4:$BQ$4,$G178:$BQ178))),"""")"),"")</f>
        <v/>
      </c>
      <c r="DB178" s="208" t="str">
        <f t="shared" si="17"/>
        <v/>
      </c>
      <c r="DC178" s="210">
        <f>IFERROR(__xludf.DUMMYFUNCTION("AVERAGE(ARRAYFORMULA(XLOOKUP(FILTER(INDIRECT(""'""&amp;DC$1&amp;""'!$C$4:$C$66""),INDIRECT(""'""&amp;DC$1&amp;""'!$D$4:$D$66"")=DC$2),$G$4:$BQ$4,$G178:$BQ178)))"),0.11494253111111112)</f>
        <v>0.1149425311</v>
      </c>
      <c r="DD178" s="207" t="str">
        <f>IFERROR(__xludf.DUMMYFUNCTION("IF(OR(DC178&gt;$BS178+$BT178*$BT$2,DC178&lt;$BS178-$BT178*$BT$2),AVEDEV(ARRAYFORMULA(XLOOKUP(FILTER(INDIRECT(""'""&amp;DC$1&amp;""'!$C$4:$C$66""),INDIRECT(""'""&amp;DC$1&amp;""'!$D$4:$D$66"")=DC$2),$G$4:$BQ$4,$G178:$BQ178))),"""")"),"")</f>
        <v/>
      </c>
      <c r="DE178" s="208" t="str">
        <f t="shared" si="18"/>
        <v/>
      </c>
      <c r="DF178" s="210">
        <f>IFERROR(__xludf.DUMMYFUNCTION("AVERAGE(ARRAYFORMULA(XLOOKUP(FILTER(INDIRECT(""'""&amp;DF$1&amp;""'!$C$4:$C$66""),INDIRECT(""'""&amp;DF$1&amp;""'!$D$4:$D$66"")=DF$2),$G$4:$BQ$4,$G178:$BQ178)))"),0.7711598709090908)</f>
        <v>0.7711598709</v>
      </c>
      <c r="DG178" s="207" t="str">
        <f>IFERROR(__xludf.DUMMYFUNCTION("IF(OR(DF178&gt;$BS178+$BT178*$BT$2,DF178&lt;$BS178-$BT178*$BT$2),AVEDEV(ARRAYFORMULA(XLOOKUP(FILTER(INDIRECT(""'""&amp;DF$1&amp;""'!$C$4:$C$66""),INDIRECT(""'""&amp;DF$1&amp;""'!$D$4:$D$66"")=DF$2),$G$4:$BQ$4,$G178:$BQ178))),"""")"),"")</f>
        <v/>
      </c>
      <c r="DH178" s="208" t="str">
        <f t="shared" si="19"/>
        <v/>
      </c>
      <c r="DI178" s="210">
        <f>IFERROR(__xludf.DUMMYFUNCTION("AVERAGE(ARRAYFORMULA(XLOOKUP(FILTER(INDIRECT(""'""&amp;DI$1&amp;""'!$C$4:$C$66""),INDIRECT(""'""&amp;DI$1&amp;""'!$D$4:$D$66"")=DI$2),$G$4:$BQ$4,$G178:$BQ178)))"),-0.3448276)</f>
        <v>-0.3448276</v>
      </c>
      <c r="DJ178" s="207">
        <f>IFERROR(__xludf.DUMMYFUNCTION("IF(OR(DI178&gt;$BS178+$BT178*$BT$2,DI178&lt;$BS178-$BT178*$BT$2),AVEDEV(ARRAYFORMULA(XLOOKUP(FILTER(INDIRECT(""'""&amp;DI$1&amp;""'!$C$4:$C$66""),INDIRECT(""'""&amp;DI$1&amp;""'!$D$4:$D$66"")=DI$2),$G$4:$BQ$4,$G178:$BQ178))),"""")"),0.0)</f>
        <v>0</v>
      </c>
      <c r="DK178" s="208">
        <f t="shared" si="20"/>
        <v>-0.04730628749</v>
      </c>
      <c r="DL178" s="210">
        <f>IFERROR(__xludf.DUMMYFUNCTION("AVERAGE(ARRAYFORMULA(XLOOKUP(FILTER(INDIRECT(""'""&amp;DL$1&amp;""'!$C$4:$C$66""),INDIRECT(""'""&amp;DL$1&amp;""'!$D$4:$D$66"")=DL$2),$G$4:$BQ$4,$G178:$BQ178)))"),0.524630537142857)</f>
        <v>0.5246305371</v>
      </c>
      <c r="DM178" s="207" t="str">
        <f>IFERROR(__xludf.DUMMYFUNCTION("IF(OR(DL178&gt;$BS178+$BT178*$BT$2,DL178&lt;$BS178-$BT178*$BT$2),AVEDEV(ARRAYFORMULA(XLOOKUP(FILTER(INDIRECT(""'""&amp;DL$1&amp;""'!$C$4:$C$66""),INDIRECT(""'""&amp;DL$1&amp;""'!$D$4:$D$66"")=DL$2),$G$4:$BQ$4,$G178:$BQ178))),"""")"),"")</f>
        <v/>
      </c>
      <c r="DN178" s="208" t="str">
        <f t="shared" si="21"/>
        <v/>
      </c>
      <c r="DO178" s="209" t="s">
        <v>444</v>
      </c>
      <c r="DP178" s="210">
        <f>IFERROR(__xludf.DUMMYFUNCTION("AVERAGE(ARRAYFORMULA(XLOOKUP(FILTER(INDIRECT(""'""&amp;DP$1&amp;""'!$C$4:$C$66""),INDIRECT(""'""&amp;DP$1&amp;""'!$D$4:$D$66"")=DP$2),$G$4:$BQ$4,$G178:$BQ178)))"),0.5781609183333333)</f>
        <v>0.5781609183</v>
      </c>
      <c r="DQ178" s="207" t="str">
        <f>IFERROR(__xludf.DUMMYFUNCTION("IF(OR(DP178&gt;$BS178+$BT178*$BT$2,DP178&lt;$BS178-$BT178*$BT$2),AVEDEV(ARRAYFORMULA(XLOOKUP(FILTER(INDIRECT(""'""&amp;DP$1&amp;""'!$C$4:$C$66""),INDIRECT(""'""&amp;DP$1&amp;""'!$D$4:$D$66"")=DP$2),$G$4:$BQ$4,$G178:$BQ178))),"""")"),"")</f>
        <v/>
      </c>
      <c r="DR178" s="208" t="str">
        <f t="shared" si="22"/>
        <v/>
      </c>
      <c r="DS178" s="210">
        <f>IFERROR(__xludf.DUMMYFUNCTION("AVERAGE(ARRAYFORMULA(XLOOKUP(FILTER(INDIRECT(""'""&amp;DS$1&amp;""'!$C$4:$C$66""),INDIRECT(""'""&amp;DS$1&amp;""'!$D$4:$D$66"")=DS$2),$G$4:$BQ$4,$G178:$BQ178)))"),0.3295019155555555)</f>
        <v>0.3295019156</v>
      </c>
      <c r="DT178" s="207" t="str">
        <f>IFERROR(__xludf.DUMMYFUNCTION("IF(OR(DS178&gt;$BS178+$BT178*$BT$2,DS178&lt;$BS178-$BT178*$BT$2),AVEDEV(ARRAYFORMULA(XLOOKUP(FILTER(INDIRECT(""'""&amp;DS$1&amp;""'!$C$4:$C$66""),INDIRECT(""'""&amp;DS$1&amp;""'!$D$4:$D$66"")=DS$2),$G$4:$BQ$4,$G178:$BQ178))),"""")"),"")</f>
        <v/>
      </c>
      <c r="DU178" s="208" t="str">
        <f t="shared" si="23"/>
        <v/>
      </c>
      <c r="DV178" s="210">
        <f>IFERROR(__xludf.DUMMYFUNCTION("AVERAGE(ARRAYFORMULA(XLOOKUP(FILTER(INDIRECT(""'""&amp;DV$1&amp;""'!$C$4:$C$66""),INDIRECT(""'""&amp;DV$1&amp;""'!$D$4:$D$66"")=DV$2),$G$4:$BQ$4,$G178:$BQ178)))"),0.8793103399999999)</f>
        <v>0.87931034</v>
      </c>
      <c r="DW178" s="207" t="str">
        <f>IFERROR(__xludf.DUMMYFUNCTION("IF(OR(DV178&gt;$BS178+$BT178*$BT$2,DV178&lt;$BS178-$BT178*$BT$2),AVEDEV(ARRAYFORMULA(XLOOKUP(FILTER(INDIRECT(""'""&amp;DV$1&amp;""'!$C$4:$C$66""),INDIRECT(""'""&amp;DV$1&amp;""'!$D$4:$D$66"")=DV$2),$G$4:$BQ$4,$G178:$BQ178))),"""")"),"")</f>
        <v/>
      </c>
      <c r="DX178" s="208" t="str">
        <f t="shared" si="24"/>
        <v/>
      </c>
      <c r="DY178" s="210">
        <f>IFERROR(__xludf.DUMMYFUNCTION("AVERAGE(ARRAYFORMULA(XLOOKUP(FILTER(INDIRECT(""'""&amp;DY$1&amp;""'!$C$4:$C$66""),INDIRECT(""'""&amp;DY$1&amp;""'!$D$4:$D$66"")=DY$2),$G$4:$BQ$4,$G178:$BQ178)))"),-0.030651346666666628)</f>
        <v>-0.03065134667</v>
      </c>
      <c r="DZ178" s="207" t="str">
        <f>IFERROR(__xludf.DUMMYFUNCTION("IF(OR(DY178&gt;$BS178+$BT178*$BT$2,DY178&lt;$BS178-$BT178*$BT$2),AVEDEV(ARRAYFORMULA(XLOOKUP(FILTER(INDIRECT(""'""&amp;DY$1&amp;""'!$C$4:$C$66""),INDIRECT(""'""&amp;DY$1&amp;""'!$D$4:$D$66"")=DY$2),$G$4:$BQ$4,$G178:$BQ178))),"""")"),"")</f>
        <v/>
      </c>
      <c r="EA178" s="208" t="str">
        <f t="shared" si="25"/>
        <v/>
      </c>
      <c r="EB178" s="191"/>
    </row>
    <row r="179" outlineLevel="1">
      <c r="A179" s="2"/>
      <c r="B179" s="204">
        <v>175.0</v>
      </c>
      <c r="C179" s="204" t="s">
        <v>601</v>
      </c>
      <c r="D179" s="204" t="s">
        <v>622</v>
      </c>
      <c r="E179" s="205" t="b">
        <f>VLOOKUP(D179,'Feature Set List'!A175:C246,2,0)</f>
        <v>1</v>
      </c>
      <c r="F179" s="205" t="b">
        <f>VLOOKUP(D179,'Feature Set List'!A175:C246,3,0)</f>
        <v>0</v>
      </c>
      <c r="G179" s="205">
        <v>-0.0153374</v>
      </c>
      <c r="H179" s="205">
        <v>2.2101227</v>
      </c>
      <c r="I179" s="205">
        <v>2.28527607</v>
      </c>
      <c r="J179" s="205">
        <v>-0.2592025</v>
      </c>
      <c r="K179" s="205">
        <v>0.70092025</v>
      </c>
      <c r="L179" s="205">
        <v>0.75153374</v>
      </c>
      <c r="M179" s="205">
        <v>-0.0153374</v>
      </c>
      <c r="N179" s="205">
        <v>0.72546012</v>
      </c>
      <c r="O179" s="205">
        <v>-0.2960123</v>
      </c>
      <c r="P179" s="205">
        <v>-0.5322086</v>
      </c>
      <c r="Q179" s="205">
        <v>-0.0444785</v>
      </c>
      <c r="R179" s="205">
        <v>0.75153374</v>
      </c>
      <c r="S179" s="205">
        <v>0.71165644</v>
      </c>
      <c r="T179" s="205">
        <v>-0.0460123</v>
      </c>
      <c r="U179" s="205">
        <v>-0.3819018</v>
      </c>
      <c r="V179" s="205">
        <v>0.75153374</v>
      </c>
      <c r="W179" s="205">
        <v>-0.4616564</v>
      </c>
      <c r="X179" s="205">
        <v>0.73006135</v>
      </c>
      <c r="Y179" s="205">
        <v>-0.398773</v>
      </c>
      <c r="Z179" s="205">
        <v>0.75153374</v>
      </c>
      <c r="AA179" s="205">
        <v>-0.4171779</v>
      </c>
      <c r="AB179" s="205">
        <v>-0.398773</v>
      </c>
      <c r="AC179" s="205">
        <v>-0.5030675</v>
      </c>
      <c r="AD179" s="205">
        <v>0.24079755</v>
      </c>
      <c r="AE179" s="205">
        <v>0.68711656</v>
      </c>
      <c r="AF179" s="205">
        <v>-0.2592025</v>
      </c>
      <c r="AG179" s="205">
        <v>-0.2883436</v>
      </c>
      <c r="AH179" s="205">
        <v>-0.0322086</v>
      </c>
      <c r="AI179" s="205">
        <v>0.6993865</v>
      </c>
      <c r="AJ179" s="205">
        <v>-0.0153374</v>
      </c>
      <c r="AK179" s="205">
        <v>0.0</v>
      </c>
      <c r="AL179" s="205">
        <v>-0.0153374</v>
      </c>
      <c r="AM179" s="205">
        <v>0.75153374</v>
      </c>
      <c r="AN179" s="205">
        <v>0.22852761</v>
      </c>
      <c r="AO179" s="205">
        <v>0.75153374</v>
      </c>
      <c r="AP179" s="205">
        <v>-0.053681</v>
      </c>
      <c r="AQ179" s="205">
        <v>0.75153374</v>
      </c>
      <c r="AR179" s="205">
        <v>0.69631902</v>
      </c>
      <c r="AS179" s="205">
        <v>-0.2453988</v>
      </c>
      <c r="AT179" s="205">
        <v>0.75153374</v>
      </c>
      <c r="AU179" s="205">
        <v>0.75153374</v>
      </c>
      <c r="AV179" s="205">
        <v>0.75153374</v>
      </c>
      <c r="AW179" s="205">
        <v>-0.0337423</v>
      </c>
      <c r="AX179" s="205">
        <v>0.75153374</v>
      </c>
      <c r="AY179" s="205">
        <v>-0.0260736</v>
      </c>
      <c r="AZ179" s="205">
        <v>0.75153374</v>
      </c>
      <c r="BA179" s="205">
        <v>-0.4248466</v>
      </c>
      <c r="BB179" s="205">
        <v>-0.0153374</v>
      </c>
      <c r="BC179" s="205">
        <v>0.75153374</v>
      </c>
      <c r="BD179" s="205">
        <v>0.24079755</v>
      </c>
      <c r="BE179" s="205">
        <v>-0.0153374</v>
      </c>
      <c r="BF179" s="205">
        <v>0.71932515</v>
      </c>
      <c r="BG179" s="205">
        <v>-0.2714724</v>
      </c>
      <c r="BH179" s="205">
        <v>0.24079755</v>
      </c>
      <c r="BI179" s="205">
        <v>-0.0153374</v>
      </c>
      <c r="BJ179" s="205">
        <v>0.25153374</v>
      </c>
      <c r="BK179" s="205">
        <v>-0.303681</v>
      </c>
      <c r="BL179" s="205">
        <v>-0.2592025</v>
      </c>
      <c r="BM179" s="205">
        <v>-0.5199387</v>
      </c>
      <c r="BN179" s="205">
        <v>0.00153374</v>
      </c>
      <c r="BO179" s="205">
        <v>0.00306748</v>
      </c>
      <c r="BP179" s="205">
        <v>0.75153374</v>
      </c>
      <c r="BQ179" s="205">
        <v>-0.4079755</v>
      </c>
      <c r="BR179" s="206"/>
      <c r="BS179" s="207">
        <f t="shared" si="6"/>
        <v>0.2368536356</v>
      </c>
      <c r="BT179" s="207">
        <f t="shared" si="7"/>
        <v>0.4771155909</v>
      </c>
      <c r="BU179" s="206"/>
      <c r="BV179" s="207">
        <f>IFERROR(__xludf.DUMMYFUNCTION("AVERAGE(ARRAYFORMULA(XLOOKUP(FILTER(INDIRECT(""'""&amp;BV$1&amp;""'!$C$4:$C$66""),INDIRECT(""'""&amp;BV$1&amp;""'!$D$4:$D$66"")=BV$2),$G$4:$BQ$4,$G179:$BQ179)))"),0.11196319857142857)</f>
        <v>0.1119631986</v>
      </c>
      <c r="BW179" s="207" t="str">
        <f>IFERROR(__xludf.DUMMYFUNCTION("IF(OR(BV179&gt;$BS179+$BT179*$BT$2,BV179&lt;$BS179-$BT179*$BT$2),AVEDEV(ARRAYFORMULA(XLOOKUP(FILTER(INDIRECT(""'""&amp;BV$1&amp;""'!$C$4:$C$66""),INDIRECT(""'""&amp;BV$1&amp;""'!$D$4:$D$66"")=BV$2),$G$4:$BQ$4,$G179:$BQ179))),"""")"),"")</f>
        <v/>
      </c>
      <c r="BX179" s="208" t="str">
        <f t="shared" si="8"/>
        <v/>
      </c>
      <c r="BY179" s="207">
        <f>IFERROR(__xludf.DUMMYFUNCTION("AVERAGE(ARRAYFORMULA(XLOOKUP(FILTER(INDIRECT(""'""&amp;BY$1&amp;""'!$C$4:$C$66""),INDIRECT(""'""&amp;BY$1&amp;""'!$D$4:$D$66"")=BY$2),$G$4:$BQ$4,$G179:$BQ179)))"),0.2864446359523809)</f>
        <v>0.286444636</v>
      </c>
      <c r="BZ179" s="207" t="str">
        <f>IFERROR(__xludf.DUMMYFUNCTION("IF(OR(BY179&gt;$BS179+$BT179*$BT$2,BY179&lt;$BS179-$BT179*$BT$2),AVEDEV(ARRAYFORMULA(XLOOKUP(FILTER(INDIRECT(""'""&amp;BY$1&amp;""'!$C$4:$C$66""),INDIRECT(""'""&amp;BY$1&amp;""'!$D$4:$D$66"")=BY$2),$G$4:$BQ$4,$G179:$BQ179))),"""")"),"")</f>
        <v/>
      </c>
      <c r="CA179" s="208" t="str">
        <f t="shared" si="9"/>
        <v/>
      </c>
      <c r="CB179" s="207">
        <f>IFERROR(__xludf.DUMMYFUNCTION("AVERAGE(ARRAYFORMULA(XLOOKUP(FILTER(INDIRECT(""'""&amp;CB$1&amp;""'!$C$4:$C$66""),INDIRECT(""'""&amp;CB$1&amp;""'!$D$4:$D$66"")=CB$2),$G$4:$BQ$4,$G179:$BQ179)))"),-0.10638594727272728)</f>
        <v>-0.1063859473</v>
      </c>
      <c r="CC179" s="207" t="str">
        <f>IFERROR(__xludf.DUMMYFUNCTION("IF(OR(CB179&gt;$BS179+$BT179*$BT$2,CB179&lt;$BS179-$BT179*$BT$2),AVEDEV(ARRAYFORMULA(XLOOKUP(FILTER(INDIRECT(""'""&amp;CB$1&amp;""'!$C$4:$C$66""),INDIRECT(""'""&amp;CB$1&amp;""'!$D$4:$D$66"")=CB$2),$G$4:$BQ$4,$G179:$BQ179))),"""")"),"")</f>
        <v/>
      </c>
      <c r="CD179" s="208" t="str">
        <f t="shared" si="10"/>
        <v/>
      </c>
      <c r="CE179" s="209" t="s">
        <v>444</v>
      </c>
      <c r="CF179" s="207">
        <f>IFERROR(__xludf.DUMMYFUNCTION("AVERAGE(ARRAYFORMULA(XLOOKUP(FILTER(INDIRECT(""'""&amp;CF$1&amp;""'!$C$4:$C$66""),INDIRECT(""'""&amp;CF$1&amp;""'!$D$4:$D$66"")=CF$2),$G$4:$BQ$4,$G179:$BQ179)))"),0.43529524374999995)</f>
        <v>0.4352952438</v>
      </c>
      <c r="CG179" s="207" t="str">
        <f>IFERROR(__xludf.DUMMYFUNCTION("IF(OR(CF179&gt;$BS179+$BT179*$BT$2,CF179&lt;$BS179-$BT179*$BT$2),AVEDEV(ARRAYFORMULA(XLOOKUP(FILTER(INDIRECT(""'""&amp;CF$1&amp;""'!$C$4:$C$66""),INDIRECT(""'""&amp;CF$1&amp;""'!$D$4:$D$66"")=CF$2),$G$4:$BQ$4,$G179:$BQ179))),"""")"),"")</f>
        <v/>
      </c>
      <c r="CH179" s="208" t="str">
        <f t="shared" si="11"/>
        <v/>
      </c>
      <c r="CI179" s="207">
        <f>IFERROR(__xludf.DUMMYFUNCTION("AVERAGE(ARRAYFORMULA(XLOOKUP(FILTER(INDIRECT(""'""&amp;CI$1&amp;""'!$C$4:$C$66""),INDIRECT(""'""&amp;CI$1&amp;""'!$D$4:$D$66"")=CI$2),$G$4:$BQ$4,$G179:$BQ179)))"),0.13101128225806458)</f>
        <v>0.1310112823</v>
      </c>
      <c r="CJ179" s="207" t="str">
        <f>IFERROR(__xludf.DUMMYFUNCTION("IF(OR(CI179&gt;$BS179+$BT179*$BT$2,CI179&lt;$BS179-$BT179*$BT$2),AVEDEV(ARRAYFORMULA(XLOOKUP(FILTER(INDIRECT(""'""&amp;CI$1&amp;""'!$C$4:$C$66""),INDIRECT(""'""&amp;CI$1&amp;""'!$D$4:$D$66"")=CI$2),$G$4:$BQ$4,$G179:$BQ179))),"""")"),"")</f>
        <v/>
      </c>
      <c r="CK179" s="208" t="str">
        <f t="shared" si="12"/>
        <v/>
      </c>
      <c r="CL179" s="207">
        <f>IFERROR(__xludf.DUMMYFUNCTION("AVERAGE(ARRAYFORMULA(XLOOKUP(FILTER(INDIRECT(""'""&amp;CL$1&amp;""'!$C$4:$C$66""),INDIRECT(""'""&amp;CL$1&amp;""'!$D$4:$D$66"")=CL$2),$G$4:$BQ$4,$G179:$BQ179)))"),-0.30398774)</f>
        <v>-0.30398774</v>
      </c>
      <c r="CM179" s="207">
        <f>IFERROR(__xludf.DUMMYFUNCTION("IF(OR(CL179&gt;$BS179+$BT179*$BT$2,CL179&lt;$BS179-$BT179*$BT$2),AVEDEV(ARRAYFORMULA(XLOOKUP(FILTER(INDIRECT(""'""&amp;CL$1&amp;""'!$C$4:$C$66""),INDIRECT(""'""&amp;CL$1&amp;""'!$D$4:$D$66"")=CL$2),$G$4:$BQ$4,$G179:$BQ179))),"""")"),0.13963188799999998)</f>
        <v>0.139631888</v>
      </c>
      <c r="CN179" s="208">
        <f t="shared" si="13"/>
        <v>-0.06372578462</v>
      </c>
      <c r="CO179" s="209" t="s">
        <v>444</v>
      </c>
      <c r="CP179" s="210">
        <f>IFERROR(__xludf.DUMMYFUNCTION("AVERAGE(ARRAYFORMULA(XLOOKUP(FILTER(INDIRECT(""'""&amp;CP$1&amp;""'!$C$4:$C$66""),INDIRECT(""'""&amp;CP$1&amp;""'!$D$4:$D$66"")=CP$2),$G$4:$BQ$4,$G179:$BQ179)))"),0.013292436666666678)</f>
        <v>0.01329243667</v>
      </c>
      <c r="CQ179" s="207" t="str">
        <f>IFERROR(__xludf.DUMMYFUNCTION("IF(OR(CP179&gt;$BS179+$BT179*$BT$2,CP179&lt;$BS179-$BT179*$BT$2),AVEDEV(ARRAYFORMULA(XLOOKUP(FILTER(INDIRECT(""'""&amp;CP$1&amp;""'!$C$4:$C$66""),INDIRECT(""'""&amp;CP$1&amp;""'!$D$4:$D$66"")=CP$2),$G$4:$BQ$4,$G179:$BQ179))),"""")"),"")</f>
        <v/>
      </c>
      <c r="CR179" s="208" t="str">
        <f t="shared" si="14"/>
        <v/>
      </c>
      <c r="CS179" s="210">
        <f>IFERROR(__xludf.DUMMYFUNCTION("AVERAGE(ARRAYFORMULA(XLOOKUP(FILTER(INDIRECT(""'""&amp;CS$1&amp;""'!$C$4:$C$66""),INDIRECT(""'""&amp;CS$1&amp;""'!$D$4:$D$66"")=CS$2),$G$4:$BQ$4,$G179:$BQ179)))"),0.33907503410256407)</f>
        <v>0.3390750341</v>
      </c>
      <c r="CT179" s="207" t="str">
        <f>IFERROR(__xludf.DUMMYFUNCTION("IF(OR(CS179&gt;$BS179+$BT179*$BT$2,CS179&lt;$BS179-$BT179*$BT$2),AVEDEV(ARRAYFORMULA(XLOOKUP(FILTER(INDIRECT(""'""&amp;CS$1&amp;""'!$C$4:$C$66""),INDIRECT(""'""&amp;CS$1&amp;""'!$D$4:$D$66"")=CS$2),$G$4:$BQ$4,$G179:$BQ179))),"""")"),"")</f>
        <v/>
      </c>
      <c r="CU179" s="208" t="str">
        <f t="shared" si="15"/>
        <v/>
      </c>
      <c r="CV179" s="210">
        <f>IFERROR(__xludf.DUMMYFUNCTION("AVERAGE(ARRAYFORMULA(XLOOKUP(FILTER(INDIRECT(""'""&amp;CV$1&amp;""'!$C$4:$C$66""),INDIRECT(""'""&amp;CV$1&amp;""'!$D$4:$D$66"")=CV$2),$G$4:$BQ$4,$G179:$BQ179)))"),-0.30398774)</f>
        <v>-0.30398774</v>
      </c>
      <c r="CW179" s="207">
        <f>IFERROR(__xludf.DUMMYFUNCTION("IF(OR(CV179&gt;$BS179+$BT179*$BT$2,CV179&lt;$BS179-$BT179*$BT$2),AVEDEV(ARRAYFORMULA(XLOOKUP(FILTER(INDIRECT(""'""&amp;CV$1&amp;""'!$C$4:$C$66""),INDIRECT(""'""&amp;CV$1&amp;""'!$D$4:$D$66"")=CV$2),$G$4:$BQ$4,$G179:$BQ179))),"""")"),0.13963188799999998)</f>
        <v>0.139631888</v>
      </c>
      <c r="CX179" s="208">
        <f t="shared" si="16"/>
        <v>-0.06372578462</v>
      </c>
      <c r="CY179" s="209" t="s">
        <v>444</v>
      </c>
      <c r="CZ179" s="210">
        <f>IFERROR(__xludf.DUMMYFUNCTION("AVERAGE(ARRAYFORMULA(XLOOKUP(FILTER(INDIRECT(""'""&amp;CZ$1&amp;""'!$C$4:$C$66""),INDIRECT(""'""&amp;CZ$1&amp;""'!$D$4:$D$66"")=CZ$2),$G$4:$BQ$4,$G179:$BQ179)))"),0.39932076499999997)</f>
        <v>0.399320765</v>
      </c>
      <c r="DA179" s="207" t="str">
        <f>IFERROR(__xludf.DUMMYFUNCTION("IF(OR(CZ179&gt;$BS179+$BT179*$BT$2,CZ179&lt;$BS179-$BT179*$BT$2),AVEDEV(ARRAYFORMULA(XLOOKUP(FILTER(INDIRECT(""'""&amp;CZ$1&amp;""'!$C$4:$C$66""),INDIRECT(""'""&amp;CZ$1&amp;""'!$D$4:$D$66"")=CZ$2),$G$4:$BQ$4,$G179:$BQ179))),"""")"),"")</f>
        <v/>
      </c>
      <c r="DB179" s="208" t="str">
        <f t="shared" si="17"/>
        <v/>
      </c>
      <c r="DC179" s="210">
        <f>IFERROR(__xludf.DUMMYFUNCTION("AVERAGE(ARRAYFORMULA(XLOOKUP(FILTER(INDIRECT(""'""&amp;DC$1&amp;""'!$C$4:$C$66""),INDIRECT(""'""&amp;DC$1&amp;""'!$D$4:$D$66"")=DC$2),$G$4:$BQ$4,$G179:$BQ179)))"),-0.15576005111111113)</f>
        <v>-0.1557600511</v>
      </c>
      <c r="DD179" s="207" t="str">
        <f>IFERROR(__xludf.DUMMYFUNCTION("IF(OR(DC179&gt;$BS179+$BT179*$BT$2,DC179&lt;$BS179-$BT179*$BT$2),AVEDEV(ARRAYFORMULA(XLOOKUP(FILTER(INDIRECT(""'""&amp;DC$1&amp;""'!$C$4:$C$66""),INDIRECT(""'""&amp;DC$1&amp;""'!$D$4:$D$66"")=DC$2),$G$4:$BQ$4,$G179:$BQ179))),"""")"),"")</f>
        <v/>
      </c>
      <c r="DE179" s="208" t="str">
        <f t="shared" si="18"/>
        <v/>
      </c>
      <c r="DF179" s="210">
        <f>IFERROR(__xludf.DUMMYFUNCTION("AVERAGE(ARRAYFORMULA(XLOOKUP(FILTER(INDIRECT(""'""&amp;DF$1&amp;""'!$C$4:$C$66""),INDIRECT(""'""&amp;DF$1&amp;""'!$D$4:$D$66"")=DF$2),$G$4:$BQ$4,$G179:$BQ179)))"),0.19074177090909086)</f>
        <v>0.1907417709</v>
      </c>
      <c r="DG179" s="207" t="str">
        <f>IFERROR(__xludf.DUMMYFUNCTION("IF(OR(DF179&gt;$BS179+$BT179*$BT$2,DF179&lt;$BS179-$BT179*$BT$2),AVEDEV(ARRAYFORMULA(XLOOKUP(FILTER(INDIRECT(""'""&amp;DF$1&amp;""'!$C$4:$C$66""),INDIRECT(""'""&amp;DF$1&amp;""'!$D$4:$D$66"")=DF$2),$G$4:$BQ$4,$G179:$BQ179))),"""")"),"")</f>
        <v/>
      </c>
      <c r="DH179" s="208" t="str">
        <f t="shared" si="19"/>
        <v/>
      </c>
      <c r="DI179" s="210">
        <f>IFERROR(__xludf.DUMMYFUNCTION("AVERAGE(ARRAYFORMULA(XLOOKUP(FILTER(INDIRECT(""'""&amp;DI$1&amp;""'!$C$4:$C$66""),INDIRECT(""'""&amp;DI$1&amp;""'!$D$4:$D$66"")=DI$2),$G$4:$BQ$4,$G179:$BQ179)))"),0.24079755)</f>
        <v>0.24079755</v>
      </c>
      <c r="DJ179" s="207" t="str">
        <f>IFERROR(__xludf.DUMMYFUNCTION("IF(OR(DI179&gt;$BS179+$BT179*$BT$2,DI179&lt;$BS179-$BT179*$BT$2),AVEDEV(ARRAYFORMULA(XLOOKUP(FILTER(INDIRECT(""'""&amp;DI$1&amp;""'!$C$4:$C$66""),INDIRECT(""'""&amp;DI$1&amp;""'!$D$4:$D$66"")=DI$2),$G$4:$BQ$4,$G179:$BQ179))),"""")"),"")</f>
        <v/>
      </c>
      <c r="DK179" s="208" t="str">
        <f t="shared" si="20"/>
        <v/>
      </c>
      <c r="DL179" s="210">
        <f>IFERROR(__xludf.DUMMYFUNCTION("AVERAGE(ARRAYFORMULA(XLOOKUP(FILTER(INDIRECT(""'""&amp;DL$1&amp;""'!$C$4:$C$66""),INDIRECT(""'""&amp;DL$1&amp;""'!$D$4:$D$66"")=DL$2),$G$4:$BQ$4,$G179:$BQ179)))"),0.2968886935714285)</f>
        <v>0.2968886936</v>
      </c>
      <c r="DM179" s="207" t="str">
        <f>IFERROR(__xludf.DUMMYFUNCTION("IF(OR(DL179&gt;$BS179+$BT179*$BT$2,DL179&lt;$BS179-$BT179*$BT$2),AVEDEV(ARRAYFORMULA(XLOOKUP(FILTER(INDIRECT(""'""&amp;DL$1&amp;""'!$C$4:$C$66""),INDIRECT(""'""&amp;DL$1&amp;""'!$D$4:$D$66"")=DL$2),$G$4:$BQ$4,$G179:$BQ179))),"""")"),"")</f>
        <v/>
      </c>
      <c r="DN179" s="208" t="str">
        <f t="shared" si="21"/>
        <v/>
      </c>
      <c r="DO179" s="209" t="s">
        <v>444</v>
      </c>
      <c r="DP179" s="210">
        <f>IFERROR(__xludf.DUMMYFUNCTION("AVERAGE(ARRAYFORMULA(XLOOKUP(FILTER(INDIRECT(""'""&amp;DP$1&amp;""'!$C$4:$C$66""),INDIRECT(""'""&amp;DP$1&amp;""'!$D$4:$D$66"")=DP$2),$G$4:$BQ$4,$G179:$BQ179)))"),0.2952965203333333)</f>
        <v>0.2952965203</v>
      </c>
      <c r="DQ179" s="207" t="str">
        <f>IFERROR(__xludf.DUMMYFUNCTION("IF(OR(DP179&gt;$BS179+$BT179*$BT$2,DP179&lt;$BS179-$BT179*$BT$2),AVEDEV(ARRAYFORMULA(XLOOKUP(FILTER(INDIRECT(""'""&amp;DP$1&amp;""'!$C$4:$C$66""),INDIRECT(""'""&amp;DP$1&amp;""'!$D$4:$D$66"")=DP$2),$G$4:$BQ$4,$G179:$BQ179))),"""")"),"")</f>
        <v/>
      </c>
      <c r="DR179" s="208" t="str">
        <f t="shared" si="22"/>
        <v/>
      </c>
      <c r="DS179" s="210">
        <f>IFERROR(__xludf.DUMMYFUNCTION("AVERAGE(ARRAYFORMULA(XLOOKUP(FILTER(INDIRECT(""'""&amp;DS$1&amp;""'!$C$4:$C$66""),INDIRECT(""'""&amp;DS$1&amp;""'!$D$4:$D$66"")=DS$2),$G$4:$BQ$4,$G179:$BQ179)))"),-0.05691888000000002)</f>
        <v>-0.05691888</v>
      </c>
      <c r="DT179" s="207" t="str">
        <f>IFERROR(__xludf.DUMMYFUNCTION("IF(OR(DS179&gt;$BS179+$BT179*$BT$2,DS179&lt;$BS179-$BT179*$BT$2),AVEDEV(ARRAYFORMULA(XLOOKUP(FILTER(INDIRECT(""'""&amp;DS$1&amp;""'!$C$4:$C$66""),INDIRECT(""'""&amp;DS$1&amp;""'!$D$4:$D$66"")=DS$2),$G$4:$BQ$4,$G179:$BQ179))),"""")"),"")</f>
        <v/>
      </c>
      <c r="DU179" s="208" t="str">
        <f t="shared" si="23"/>
        <v/>
      </c>
      <c r="DV179" s="210">
        <f>IFERROR(__xludf.DUMMYFUNCTION("AVERAGE(ARRAYFORMULA(XLOOKUP(FILTER(INDIRECT(""'""&amp;DV$1&amp;""'!$C$4:$C$66""),INDIRECT(""'""&amp;DV$1&amp;""'!$D$4:$D$66"")=DV$2),$G$4:$BQ$4,$G179:$BQ179)))"),0.134777615)</f>
        <v>0.134777615</v>
      </c>
      <c r="DW179" s="207" t="str">
        <f>IFERROR(__xludf.DUMMYFUNCTION("IF(OR(DV179&gt;$BS179+$BT179*$BT$2,DV179&lt;$BS179-$BT179*$BT$2),AVEDEV(ARRAYFORMULA(XLOOKUP(FILTER(INDIRECT(""'""&amp;DV$1&amp;""'!$C$4:$C$66""),INDIRECT(""'""&amp;DV$1&amp;""'!$D$4:$D$66"")=DV$2),$G$4:$BQ$4,$G179:$BQ179))),"""")"),"")</f>
        <v/>
      </c>
      <c r="DX179" s="208" t="str">
        <f t="shared" si="24"/>
        <v/>
      </c>
      <c r="DY179" s="210">
        <f>IFERROR(__xludf.DUMMYFUNCTION("AVERAGE(ARRAYFORMULA(XLOOKUP(FILTER(INDIRECT(""'""&amp;DY$1&amp;""'!$C$4:$C$66""),INDIRECT(""'""&amp;DY$1&amp;""'!$D$4:$D$66"")=DY$2),$G$4:$BQ$4,$G179:$BQ179)))"),0.033401495555555556)</f>
        <v>0.03340149556</v>
      </c>
      <c r="DZ179" s="207" t="str">
        <f>IFERROR(__xludf.DUMMYFUNCTION("IF(OR(DY179&gt;$BS179+$BT179*$BT$2,DY179&lt;$BS179-$BT179*$BT$2),AVEDEV(ARRAYFORMULA(XLOOKUP(FILTER(INDIRECT(""'""&amp;DY$1&amp;""'!$C$4:$C$66""),INDIRECT(""'""&amp;DY$1&amp;""'!$D$4:$D$66"")=DY$2),$G$4:$BQ$4,$G179:$BQ179))),"""")"),"")</f>
        <v/>
      </c>
      <c r="EA179" s="208" t="str">
        <f t="shared" si="25"/>
        <v/>
      </c>
      <c r="EB179" s="191"/>
    </row>
    <row r="180" outlineLevel="1">
      <c r="A180" s="2"/>
      <c r="B180" s="204">
        <v>176.0</v>
      </c>
      <c r="C180" s="204" t="s">
        <v>601</v>
      </c>
      <c r="D180" s="204" t="s">
        <v>623</v>
      </c>
      <c r="E180" s="205" t="b">
        <f>VLOOKUP(D180,'Feature Set List'!A176:C246,2,0)</f>
        <v>1</v>
      </c>
      <c r="F180" s="205" t="b">
        <f>VLOOKUP(D180,'Feature Set List'!A176:C246,3,0)</f>
        <v>0</v>
      </c>
      <c r="G180" s="205">
        <v>0.10461957</v>
      </c>
      <c r="H180" s="205">
        <v>0.38179348</v>
      </c>
      <c r="I180" s="205">
        <v>-0.21875</v>
      </c>
      <c r="J180" s="205">
        <v>-0.0461957</v>
      </c>
      <c r="K180" s="205">
        <v>0.0</v>
      </c>
      <c r="L180" s="205">
        <v>-0.4959239</v>
      </c>
      <c r="M180" s="205">
        <v>-0.7516304</v>
      </c>
      <c r="N180" s="205">
        <v>1.05706522</v>
      </c>
      <c r="O180" s="205">
        <v>-0.0964674</v>
      </c>
      <c r="P180" s="205">
        <v>-0.85</v>
      </c>
      <c r="Q180" s="205">
        <v>1.31929348</v>
      </c>
      <c r="R180" s="205">
        <v>-0.1861413</v>
      </c>
      <c r="S180" s="205">
        <v>0.38179348</v>
      </c>
      <c r="T180" s="205">
        <v>-0.2608696</v>
      </c>
      <c r="U180" s="205">
        <v>-0.28125</v>
      </c>
      <c r="V180" s="205">
        <v>0.92255435</v>
      </c>
      <c r="W180" s="205">
        <v>-0.5896739</v>
      </c>
      <c r="X180" s="205">
        <v>-0.5095109</v>
      </c>
      <c r="Y180" s="205">
        <v>-1.0921196</v>
      </c>
      <c r="Z180" s="205">
        <v>-0.0230978</v>
      </c>
      <c r="AA180" s="205">
        <v>0.0</v>
      </c>
      <c r="AB180" s="205">
        <v>0.53125</v>
      </c>
      <c r="AC180" s="205">
        <v>-0.2649457</v>
      </c>
      <c r="AD180" s="205">
        <v>1.1861413</v>
      </c>
      <c r="AE180" s="205">
        <v>0.39673913</v>
      </c>
      <c r="AF180" s="205">
        <v>0.01222826</v>
      </c>
      <c r="AG180" s="205">
        <v>1.36005435</v>
      </c>
      <c r="AH180" s="205">
        <v>-0.0570652</v>
      </c>
      <c r="AI180" s="205">
        <v>-0.1100543</v>
      </c>
      <c r="AJ180" s="205">
        <v>-0.7173913</v>
      </c>
      <c r="AK180" s="205">
        <v>2.29076087</v>
      </c>
      <c r="AL180" s="205">
        <v>1.2513587</v>
      </c>
      <c r="AM180" s="205">
        <v>-0.1725543</v>
      </c>
      <c r="AN180" s="205">
        <v>0.51358696</v>
      </c>
      <c r="AO180" s="205">
        <v>0.99456522</v>
      </c>
      <c r="AP180" s="205">
        <v>0.69565217</v>
      </c>
      <c r="AQ180" s="205">
        <v>0.30434783</v>
      </c>
      <c r="AR180" s="205">
        <v>3.60597826</v>
      </c>
      <c r="AS180" s="205">
        <v>-0.3586957</v>
      </c>
      <c r="AT180" s="205">
        <v>0.01358696</v>
      </c>
      <c r="AU180" s="205">
        <v>4.33152174</v>
      </c>
      <c r="AV180" s="205">
        <v>-0.1480978</v>
      </c>
      <c r="AW180" s="205">
        <v>0.75679348</v>
      </c>
      <c r="AX180" s="205">
        <v>1.3125</v>
      </c>
      <c r="AY180" s="205">
        <v>0.74048913</v>
      </c>
      <c r="AZ180" s="205">
        <v>-0.4048913</v>
      </c>
      <c r="BA180" s="205">
        <v>-0.6059783</v>
      </c>
      <c r="BB180" s="205">
        <v>0.07336957</v>
      </c>
      <c r="BC180" s="205">
        <v>0.33967391</v>
      </c>
      <c r="BD180" s="205">
        <v>-1.220788</v>
      </c>
      <c r="BE180" s="205">
        <v>-0.6684783</v>
      </c>
      <c r="BF180" s="205">
        <v>-0.1630435</v>
      </c>
      <c r="BG180" s="205">
        <v>-0.5108696</v>
      </c>
      <c r="BH180" s="205">
        <v>1.19293478</v>
      </c>
      <c r="BI180" s="205">
        <v>-0.0665761</v>
      </c>
      <c r="BJ180" s="205">
        <v>0.6861413</v>
      </c>
      <c r="BK180" s="205">
        <v>0.55027174</v>
      </c>
      <c r="BL180" s="205">
        <v>0.19157609</v>
      </c>
      <c r="BM180" s="205">
        <v>-0.6304348</v>
      </c>
      <c r="BN180" s="205">
        <v>-1.2387228</v>
      </c>
      <c r="BO180" s="205">
        <v>-0.5679348</v>
      </c>
      <c r="BP180" s="205">
        <v>0.09375</v>
      </c>
      <c r="BQ180" s="205">
        <v>-1.1497283</v>
      </c>
      <c r="BR180" s="206"/>
      <c r="BS180" s="207">
        <f t="shared" si="6"/>
        <v>0.2084842973</v>
      </c>
      <c r="BT180" s="207">
        <f t="shared" si="7"/>
        <v>0.7015758014</v>
      </c>
      <c r="BU180" s="206"/>
      <c r="BV180" s="207">
        <f>IFERROR(__xludf.DUMMYFUNCTION("AVERAGE(ARRAYFORMULA(XLOOKUP(FILTER(INDIRECT(""'""&amp;BV$1&amp;""'!$C$4:$C$66""),INDIRECT(""'""&amp;BV$1&amp;""'!$D$4:$D$66"")=BV$2),$G$4:$BQ$4,$G180:$BQ180)))"),0.0772515442857143)</f>
        <v>0.07725154429</v>
      </c>
      <c r="BW180" s="207" t="str">
        <f>IFERROR(__xludf.DUMMYFUNCTION("IF(OR(BV180&gt;$BS180+$BT180*$BT$2,BV180&lt;$BS180-$BT180*$BT$2),AVEDEV(ARRAYFORMULA(XLOOKUP(FILTER(INDIRECT(""'""&amp;BV$1&amp;""'!$C$4:$C$66""),INDIRECT(""'""&amp;BV$1&amp;""'!$D$4:$D$66"")=BV$2),$G$4:$BQ$4,$G180:$BQ180))),"""")"),"")</f>
        <v/>
      </c>
      <c r="BX180" s="208" t="str">
        <f t="shared" si="8"/>
        <v/>
      </c>
      <c r="BY180" s="207">
        <f>IFERROR(__xludf.DUMMYFUNCTION("AVERAGE(ARRAYFORMULA(XLOOKUP(FILTER(INDIRECT(""'""&amp;BY$1&amp;""'!$C$4:$C$66""),INDIRECT(""'""&amp;BY$1&amp;""'!$D$4:$D$66"")=BY$2),$G$4:$BQ$4,$G180:$BQ180)))"),0.36348667023809533)</f>
        <v>0.3634866702</v>
      </c>
      <c r="BZ180" s="207" t="str">
        <f>IFERROR(__xludf.DUMMYFUNCTION("IF(OR(BY180&gt;$BS180+$BT180*$BT$2,BY180&lt;$BS180-$BT180*$BT$2),AVEDEV(ARRAYFORMULA(XLOOKUP(FILTER(INDIRECT(""'""&amp;BY$1&amp;""'!$C$4:$C$66""),INDIRECT(""'""&amp;BY$1&amp;""'!$D$4:$D$66"")=BY$2),$G$4:$BQ$4,$G180:$BQ180))),"""")"),"")</f>
        <v/>
      </c>
      <c r="CA180" s="208" t="str">
        <f t="shared" si="9"/>
        <v/>
      </c>
      <c r="CB180" s="207">
        <f>IFERROR(__xludf.DUMMYFUNCTION("AVERAGE(ARRAYFORMULA(XLOOKUP(FILTER(INDIRECT(""'""&amp;CB$1&amp;""'!$C$4:$C$66""),INDIRECT(""'""&amp;CB$1&amp;""'!$D$4:$D$66"")=CB$2),$G$4:$BQ$4,$G180:$BQ180)))"),-0.5058794518181821)</f>
        <v>-0.5058794518</v>
      </c>
      <c r="CC180" s="207">
        <f>IFERROR(__xludf.DUMMYFUNCTION("IF(OR(CB180&gt;$BS180+$BT180*$BT$2,CB180&lt;$BS180-$BT180*$BT$2),AVEDEV(ARRAYFORMULA(XLOOKUP(FILTER(INDIRECT(""'""&amp;CB$1&amp;""'!$C$4:$C$66""),INDIRECT(""'""&amp;CB$1&amp;""'!$D$4:$D$66"")=CB$2),$G$4:$BQ$4,$G180:$BQ180))),"""")"),0.2699200525619835)</f>
        <v>0.2699200526</v>
      </c>
      <c r="CD180" s="208">
        <f t="shared" si="10"/>
        <v>-0.0127879477</v>
      </c>
      <c r="CE180" s="209" t="s">
        <v>444</v>
      </c>
      <c r="CF180" s="207">
        <f>IFERROR(__xludf.DUMMYFUNCTION("AVERAGE(ARRAYFORMULA(XLOOKUP(FILTER(INDIRECT(""'""&amp;CF$1&amp;""'!$C$4:$C$66""),INDIRECT(""'""&amp;CF$1&amp;""'!$D$4:$D$66"")=CF$2),$G$4:$BQ$4,$G180:$BQ180)))"),0.478260869375)</f>
        <v>0.4782608694</v>
      </c>
      <c r="CG180" s="207" t="str">
        <f>IFERROR(__xludf.DUMMYFUNCTION("IF(OR(CF180&gt;$BS180+$BT180*$BT$2,CF180&lt;$BS180-$BT180*$BT$2),AVEDEV(ARRAYFORMULA(XLOOKUP(FILTER(INDIRECT(""'""&amp;CF$1&amp;""'!$C$4:$C$66""),INDIRECT(""'""&amp;CF$1&amp;""'!$D$4:$D$66"")=CF$2),$G$4:$BQ$4,$G180:$BQ180))),"""")"),"")</f>
        <v/>
      </c>
      <c r="CH180" s="208" t="str">
        <f t="shared" si="11"/>
        <v/>
      </c>
      <c r="CI180" s="207">
        <f>IFERROR(__xludf.DUMMYFUNCTION("AVERAGE(ARRAYFORMULA(XLOOKUP(FILTER(INDIRECT(""'""&amp;CI$1&amp;""'!$C$4:$C$66""),INDIRECT(""'""&amp;CI$1&amp;""'!$D$4:$D$66"")=CI$2),$G$4:$BQ$4,$G180:$BQ180)))"),0.021787343225806468)</f>
        <v>0.02178734323</v>
      </c>
      <c r="CJ180" s="207" t="str">
        <f>IFERROR(__xludf.DUMMYFUNCTION("IF(OR(CI180&gt;$BS180+$BT180*$BT$2,CI180&lt;$BS180-$BT180*$BT$2),AVEDEV(ARRAYFORMULA(XLOOKUP(FILTER(INDIRECT(""'""&amp;CI$1&amp;""'!$C$4:$C$66""),INDIRECT(""'""&amp;CI$1&amp;""'!$D$4:$D$66"")=CI$2),$G$4:$BQ$4,$G180:$BQ180))),"""")"),"")</f>
        <v/>
      </c>
      <c r="CK180" s="208" t="str">
        <f t="shared" si="12"/>
        <v/>
      </c>
      <c r="CL180" s="207">
        <f>IFERROR(__xludf.DUMMYFUNCTION("AVERAGE(ARRAYFORMULA(XLOOKUP(FILTER(INDIRECT(""'""&amp;CL$1&amp;""'!$C$4:$C$66""),INDIRECT(""'""&amp;CL$1&amp;""'!$D$4:$D$66"")=CL$2),$G$4:$BQ$4,$G180:$BQ180)))"),-0.51728264)</f>
        <v>-0.51728264</v>
      </c>
      <c r="CM180" s="207">
        <f>IFERROR(__xludf.DUMMYFUNCTION("IF(OR(CL180&gt;$BS180+$BT180*$BT$2,CL180&lt;$BS180-$BT180*$BT$2),AVEDEV(ARRAYFORMULA(XLOOKUP(FILTER(INDIRECT(""'""&amp;CL$1&amp;""'!$C$4:$C$66""),INDIRECT(""'""&amp;CL$1&amp;""'!$D$4:$D$66"")=CL$2),$G$4:$BQ$4,$G180:$BQ180))),"""")"),0.16856520799999997)</f>
        <v>0.168565208</v>
      </c>
      <c r="CN180" s="208">
        <f t="shared" si="13"/>
        <v>-0.02419113588</v>
      </c>
      <c r="CO180" s="209" t="s">
        <v>444</v>
      </c>
      <c r="CP180" s="210">
        <f>IFERROR(__xludf.DUMMYFUNCTION("AVERAGE(ARRAYFORMULA(XLOOKUP(FILTER(INDIRECT(""'""&amp;CP$1&amp;""'!$C$4:$C$66""),INDIRECT(""'""&amp;CP$1&amp;""'!$D$4:$D$66"")=CP$2),$G$4:$BQ$4,$G180:$BQ180)))"),-0.12634058999999997)</f>
        <v>-0.12634059</v>
      </c>
      <c r="CQ180" s="207" t="str">
        <f>IFERROR(__xludf.DUMMYFUNCTION("IF(OR(CP180&gt;$BS180+$BT180*$BT$2,CP180&lt;$BS180-$BT180*$BT$2),AVEDEV(ARRAYFORMULA(XLOOKUP(FILTER(INDIRECT(""'""&amp;CP$1&amp;""'!$C$4:$C$66""),INDIRECT(""'""&amp;CP$1&amp;""'!$D$4:$D$66"")=CP$2),$G$4:$BQ$4,$G180:$BQ180))),"""")"),"")</f>
        <v/>
      </c>
      <c r="CR180" s="208" t="str">
        <f t="shared" si="14"/>
        <v/>
      </c>
      <c r="CS180" s="210">
        <f>IFERROR(__xludf.DUMMYFUNCTION("AVERAGE(ARRAYFORMULA(XLOOKUP(FILTER(INDIRECT(""'""&amp;CS$1&amp;""'!$C$4:$C$66""),INDIRECT(""'""&amp;CS$1&amp;""'!$D$4:$D$66"")=CS$2),$G$4:$BQ$4,$G180:$BQ180)))"),0.3726275115384616)</f>
        <v>0.3726275115</v>
      </c>
      <c r="CT180" s="207" t="str">
        <f>IFERROR(__xludf.DUMMYFUNCTION("IF(OR(CS180&gt;$BS180+$BT180*$BT$2,CS180&lt;$BS180-$BT180*$BT$2),AVEDEV(ARRAYFORMULA(XLOOKUP(FILTER(INDIRECT(""'""&amp;CS$1&amp;""'!$C$4:$C$66""),INDIRECT(""'""&amp;CS$1&amp;""'!$D$4:$D$66"")=CS$2),$G$4:$BQ$4,$G180:$BQ180))),"""")"),"")</f>
        <v/>
      </c>
      <c r="CU180" s="208" t="str">
        <f t="shared" si="15"/>
        <v/>
      </c>
      <c r="CV180" s="210">
        <f>IFERROR(__xludf.DUMMYFUNCTION("AVERAGE(ARRAYFORMULA(XLOOKUP(FILTER(INDIRECT(""'""&amp;CV$1&amp;""'!$C$4:$C$66""),INDIRECT(""'""&amp;CV$1&amp;""'!$D$4:$D$66"")=CV$2),$G$4:$BQ$4,$G180:$BQ180)))"),-0.51728264)</f>
        <v>-0.51728264</v>
      </c>
      <c r="CW180" s="207">
        <f>IFERROR(__xludf.DUMMYFUNCTION("IF(OR(CV180&gt;$BS180+$BT180*$BT$2,CV180&lt;$BS180-$BT180*$BT$2),AVEDEV(ARRAYFORMULA(XLOOKUP(FILTER(INDIRECT(""'""&amp;CV$1&amp;""'!$C$4:$C$66""),INDIRECT(""'""&amp;CV$1&amp;""'!$D$4:$D$66"")=CV$2),$G$4:$BQ$4,$G180:$BQ180))),"""")"),0.16856520799999997)</f>
        <v>0.168565208</v>
      </c>
      <c r="CX180" s="208">
        <f t="shared" si="16"/>
        <v>-0.02419113588</v>
      </c>
      <c r="CY180" s="209" t="s">
        <v>444</v>
      </c>
      <c r="CZ180" s="210">
        <f>IFERROR(__xludf.DUMMYFUNCTION("AVERAGE(ARRAYFORMULA(XLOOKUP(FILTER(INDIRECT(""'""&amp;CZ$1&amp;""'!$C$4:$C$66""),INDIRECT(""'""&amp;CZ$1&amp;""'!$D$4:$D$66"")=CZ$2),$G$4:$BQ$4,$G180:$BQ180)))"),0.6891498442857144)</f>
        <v>0.6891498443</v>
      </c>
      <c r="DA180" s="207" t="str">
        <f>IFERROR(__xludf.DUMMYFUNCTION("IF(OR(CZ180&gt;$BS180+$BT180*$BT$2,CZ180&lt;$BS180-$BT180*$BT$2),AVEDEV(ARRAYFORMULA(XLOOKUP(FILTER(INDIRECT(""'""&amp;CZ$1&amp;""'!$C$4:$C$66""),INDIRECT(""'""&amp;CZ$1&amp;""'!$D$4:$D$66"")=CZ$2),$G$4:$BQ$4,$G180:$BQ180))),"""")"),"")</f>
        <v/>
      </c>
      <c r="DB180" s="208" t="str">
        <f t="shared" si="17"/>
        <v/>
      </c>
      <c r="DC180" s="210">
        <f>IFERROR(__xludf.DUMMYFUNCTION("AVERAGE(ARRAYFORMULA(XLOOKUP(FILTER(INDIRECT(""'""&amp;DC$1&amp;""'!$C$4:$C$66""),INDIRECT(""'""&amp;DC$1&amp;""'!$D$4:$D$66"")=DC$2),$G$4:$BQ$4,$G180:$BQ180)))"),-0.5032608744444445)</f>
        <v>-0.5032608744</v>
      </c>
      <c r="DD180" s="207">
        <f>IFERROR(__xludf.DUMMYFUNCTION("IF(OR(DC180&gt;$BS180+$BT180*$BT$2,DC180&lt;$BS180-$BT180*$BT$2),AVEDEV(ARRAYFORMULA(XLOOKUP(FILTER(INDIRECT(""'""&amp;DC$1&amp;""'!$C$4:$C$66""),INDIRECT(""'""&amp;DC$1&amp;""'!$D$4:$D$66"")=DC$2),$G$4:$BQ$4,$G180:$BQ180))),"""")"),0.30513285061728396)</f>
        <v>0.3051328506</v>
      </c>
      <c r="DE180" s="208">
        <f t="shared" si="18"/>
        <v>-0.01016937033</v>
      </c>
      <c r="DF180" s="210">
        <f>IFERROR(__xludf.DUMMYFUNCTION("AVERAGE(ARRAYFORMULA(XLOOKUP(FILTER(INDIRECT(""'""&amp;DF$1&amp;""'!$C$4:$C$66""),INDIRECT(""'""&amp;DF$1&amp;""'!$D$4:$D$66"")=DF$2),$G$4:$BQ$4,$G180:$BQ180)))"),-0.10906620545454547)</f>
        <v>-0.1090662055</v>
      </c>
      <c r="DG180" s="207" t="str">
        <f>IFERROR(__xludf.DUMMYFUNCTION("IF(OR(DF180&gt;$BS180+$BT180*$BT$2,DF180&lt;$BS180-$BT180*$BT$2),AVEDEV(ARRAYFORMULA(XLOOKUP(FILTER(INDIRECT(""'""&amp;DF$1&amp;""'!$C$4:$C$66""),INDIRECT(""'""&amp;DF$1&amp;""'!$D$4:$D$66"")=DF$2),$G$4:$BQ$4,$G180:$BQ180))),"""")"),"")</f>
        <v/>
      </c>
      <c r="DH180" s="208" t="str">
        <f t="shared" si="19"/>
        <v/>
      </c>
      <c r="DI180" s="210">
        <f>IFERROR(__xludf.DUMMYFUNCTION("AVERAGE(ARRAYFORMULA(XLOOKUP(FILTER(INDIRECT(""'""&amp;DI$1&amp;""'!$C$4:$C$66""),INDIRECT(""'""&amp;DI$1&amp;""'!$D$4:$D$66"")=DI$2),$G$4:$BQ$4,$G180:$BQ180)))"),1.18953804)</f>
        <v>1.18953804</v>
      </c>
      <c r="DJ180" s="207">
        <f>IFERROR(__xludf.DUMMYFUNCTION("IF(OR(DI180&gt;$BS180+$BT180*$BT$2,DI180&lt;$BS180-$BT180*$BT$2),AVEDEV(ARRAYFORMULA(XLOOKUP(FILTER(INDIRECT(""'""&amp;DI$1&amp;""'!$C$4:$C$66""),INDIRECT(""'""&amp;DI$1&amp;""'!$D$4:$D$66"")=DI$2),$G$4:$BQ$4,$G180:$BQ180))),"""")"),0.003396740000000009)</f>
        <v>0.00339674</v>
      </c>
      <c r="DK180" s="208">
        <f t="shared" si="20"/>
        <v>0.2794779413</v>
      </c>
      <c r="DL180" s="210">
        <f>IFERROR(__xludf.DUMMYFUNCTION("AVERAGE(ARRAYFORMULA(XLOOKUP(FILTER(INDIRECT(""'""&amp;DL$1&amp;""'!$C$4:$C$66""),INDIRECT(""'""&amp;DL$1&amp;""'!$D$4:$D$66"")=DL$2),$G$4:$BQ$4,$G180:$BQ180)))"),0.3137713507142857)</f>
        <v>0.3137713507</v>
      </c>
      <c r="DM180" s="207" t="str">
        <f>IFERROR(__xludf.DUMMYFUNCTION("IF(OR(DL180&gt;$BS180+$BT180*$BT$2,DL180&lt;$BS180-$BT180*$BT$2),AVEDEV(ARRAYFORMULA(XLOOKUP(FILTER(INDIRECT(""'""&amp;DL$1&amp;""'!$C$4:$C$66""),INDIRECT(""'""&amp;DL$1&amp;""'!$D$4:$D$66"")=DL$2),$G$4:$BQ$4,$G180:$BQ180))),"""")"),"")</f>
        <v/>
      </c>
      <c r="DN180" s="208" t="str">
        <f t="shared" si="21"/>
        <v/>
      </c>
      <c r="DO180" s="209" t="s">
        <v>444</v>
      </c>
      <c r="DP180" s="210">
        <f>IFERROR(__xludf.DUMMYFUNCTION("AVERAGE(ARRAYFORMULA(XLOOKUP(FILTER(INDIRECT(""'""&amp;DP$1&amp;""'!$C$4:$C$66""),INDIRECT(""'""&amp;DP$1&amp;""'!$D$4:$D$66"")=DP$2),$G$4:$BQ$4,$G180:$BQ180)))"),0.36778985066666664)</f>
        <v>0.3677898507</v>
      </c>
      <c r="DQ180" s="207" t="str">
        <f>IFERROR(__xludf.DUMMYFUNCTION("IF(OR(DP180&gt;$BS180+$BT180*$BT$2,DP180&lt;$BS180-$BT180*$BT$2),AVEDEV(ARRAYFORMULA(XLOOKUP(FILTER(INDIRECT(""'""&amp;DP$1&amp;""'!$C$4:$C$66""),INDIRECT(""'""&amp;DP$1&amp;""'!$D$4:$D$66"")=DP$2),$G$4:$BQ$4,$G180:$BQ180))),"""")"),"")</f>
        <v/>
      </c>
      <c r="DR180" s="208" t="str">
        <f t="shared" si="22"/>
        <v/>
      </c>
      <c r="DS180" s="210">
        <f>IFERROR(__xludf.DUMMYFUNCTION("AVERAGE(ARRAYFORMULA(XLOOKUP(FILTER(INDIRECT(""'""&amp;DS$1&amp;""'!$C$4:$C$66""),INDIRECT(""'""&amp;DS$1&amp;""'!$D$4:$D$66"")=DS$2),$G$4:$BQ$4,$G180:$BQ180)))"),-0.46977657)</f>
        <v>-0.46977657</v>
      </c>
      <c r="DT180" s="207" t="str">
        <f>IFERROR(__xludf.DUMMYFUNCTION("IF(OR(DS180&gt;$BS180+$BT180*$BT$2,DS180&lt;$BS180-$BT180*$BT$2),AVEDEV(ARRAYFORMULA(XLOOKUP(FILTER(INDIRECT(""'""&amp;DS$1&amp;""'!$C$4:$C$66""),INDIRECT(""'""&amp;DS$1&amp;""'!$D$4:$D$66"")=DS$2),$G$4:$BQ$4,$G180:$BQ180))),"""")"),"")</f>
        <v/>
      </c>
      <c r="DU180" s="208" t="str">
        <f t="shared" si="23"/>
        <v/>
      </c>
      <c r="DV180" s="210">
        <f>IFERROR(__xludf.DUMMYFUNCTION("AVERAGE(ARRAYFORMULA(XLOOKUP(FILTER(INDIRECT(""'""&amp;DV$1&amp;""'!$C$4:$C$66""),INDIRECT(""'""&amp;DV$1&amp;""'!$D$4:$D$66"")=DV$2),$G$4:$BQ$4,$G180:$BQ180)))"),-0.07048233624999999)</f>
        <v>-0.07048233625</v>
      </c>
      <c r="DW180" s="207" t="str">
        <f>IFERROR(__xludf.DUMMYFUNCTION("IF(OR(DV180&gt;$BS180+$BT180*$BT$2,DV180&lt;$BS180-$BT180*$BT$2),AVEDEV(ARRAYFORMULA(XLOOKUP(FILTER(INDIRECT(""'""&amp;DV$1&amp;""'!$C$4:$C$66""),INDIRECT(""'""&amp;DV$1&amp;""'!$D$4:$D$66"")=DV$2),$G$4:$BQ$4,$G180:$BQ180))),"""")"),"")</f>
        <v/>
      </c>
      <c r="DX180" s="208" t="str">
        <f t="shared" si="24"/>
        <v/>
      </c>
      <c r="DY180" s="210">
        <f>IFERROR(__xludf.DUMMYFUNCTION("AVERAGE(ARRAYFORMULA(XLOOKUP(FILTER(INDIRECT(""'""&amp;DY$1&amp;""'!$C$4:$C$66""),INDIRECT(""'""&amp;DY$1&amp;""'!$D$4:$D$66"")=DY$2),$G$4:$BQ$4,$G180:$BQ180)))"),-0.03132548666666661)</f>
        <v>-0.03132548667</v>
      </c>
      <c r="DZ180" s="207" t="str">
        <f>IFERROR(__xludf.DUMMYFUNCTION("IF(OR(DY180&gt;$BS180+$BT180*$BT$2,DY180&lt;$BS180-$BT180*$BT$2),AVEDEV(ARRAYFORMULA(XLOOKUP(FILTER(INDIRECT(""'""&amp;DY$1&amp;""'!$C$4:$C$66""),INDIRECT(""'""&amp;DY$1&amp;""'!$D$4:$D$66"")=DY$2),$G$4:$BQ$4,$G180:$BQ180))),"""")"),"")</f>
        <v/>
      </c>
      <c r="EA180" s="208" t="str">
        <f t="shared" si="25"/>
        <v/>
      </c>
      <c r="EB180" s="191"/>
    </row>
    <row r="181" outlineLevel="1">
      <c r="A181" s="2"/>
      <c r="B181" s="204">
        <v>177.0</v>
      </c>
      <c r="C181" s="204" t="s">
        <v>601</v>
      </c>
      <c r="D181" s="204" t="s">
        <v>624</v>
      </c>
      <c r="E181" s="205" t="b">
        <f>VLOOKUP(D181,'Feature Set List'!A177:C246,2,0)</f>
        <v>1</v>
      </c>
      <c r="F181" s="205" t="b">
        <f>VLOOKUP(D181,'Feature Set List'!A177:C246,3,0)</f>
        <v>0</v>
      </c>
      <c r="G181" s="205">
        <v>0.35542984</v>
      </c>
      <c r="H181" s="205">
        <v>0.21891526</v>
      </c>
      <c r="I181" s="205">
        <v>0.09100972</v>
      </c>
      <c r="J181" s="205">
        <v>0.1008486</v>
      </c>
      <c r="K181" s="205">
        <v>0.07994097</v>
      </c>
      <c r="L181" s="205">
        <v>-0.8268356</v>
      </c>
      <c r="M181" s="205">
        <v>-0.6221867</v>
      </c>
      <c r="N181" s="205">
        <v>1.14992006</v>
      </c>
      <c r="O181" s="205">
        <v>0.15127291</v>
      </c>
      <c r="P181" s="205">
        <v>-0.513098</v>
      </c>
      <c r="Q181" s="205">
        <v>1.07735826</v>
      </c>
      <c r="R181" s="205">
        <v>-0.0848604</v>
      </c>
      <c r="S181" s="205">
        <v>0.48210552</v>
      </c>
      <c r="T181" s="205">
        <v>-0.26565</v>
      </c>
      <c r="U181" s="205">
        <v>-0.0221375</v>
      </c>
      <c r="V181" s="205">
        <v>1.11425409</v>
      </c>
      <c r="W181" s="205">
        <v>-0.6769155</v>
      </c>
      <c r="X181" s="205">
        <v>-0.1771</v>
      </c>
      <c r="Y181" s="205">
        <v>-0.7289386</v>
      </c>
      <c r="Z181" s="205">
        <v>0.22383471</v>
      </c>
      <c r="AA181" s="205">
        <v>-0.052884</v>
      </c>
      <c r="AB181" s="205">
        <v>0.70348051</v>
      </c>
      <c r="AC181" s="205">
        <v>-0.0479646</v>
      </c>
      <c r="AD181" s="205">
        <v>1.35653671</v>
      </c>
      <c r="AE181" s="205">
        <v>0.57557496</v>
      </c>
      <c r="AF181" s="205">
        <v>-0.9813061</v>
      </c>
      <c r="AG181" s="205">
        <v>1.30365269</v>
      </c>
      <c r="AH181" s="205">
        <v>0.21522568</v>
      </c>
      <c r="AI181" s="205">
        <v>-0.2939368</v>
      </c>
      <c r="AJ181" s="205">
        <v>-0.3888821</v>
      </c>
      <c r="AK181" s="205">
        <v>1.14131103</v>
      </c>
      <c r="AL181" s="205">
        <v>0.63829787</v>
      </c>
      <c r="AM181" s="205">
        <v>-0.0184479</v>
      </c>
      <c r="AN181" s="205">
        <v>0.0</v>
      </c>
      <c r="AO181" s="205">
        <v>0.95806174</v>
      </c>
      <c r="AP181" s="205">
        <v>0.63829787</v>
      </c>
      <c r="AQ181" s="205">
        <v>0.58172427</v>
      </c>
      <c r="AR181" s="205">
        <v>3.36244004</v>
      </c>
      <c r="AS181" s="205">
        <v>-0.4138482</v>
      </c>
      <c r="AT181" s="205">
        <v>0.33698192</v>
      </c>
      <c r="AU181" s="205">
        <v>-0.3234534</v>
      </c>
      <c r="AV181" s="205">
        <v>0.05657361</v>
      </c>
      <c r="AW181" s="205">
        <v>0.72930759</v>
      </c>
      <c r="AX181" s="205">
        <v>1.38113393</v>
      </c>
      <c r="AY181" s="205">
        <v>0.94822285</v>
      </c>
      <c r="AZ181" s="205">
        <v>-0.1033083</v>
      </c>
      <c r="BA181" s="205">
        <v>-0.7204526</v>
      </c>
      <c r="BB181" s="205">
        <v>0.36772845</v>
      </c>
      <c r="BC181" s="205">
        <v>0.50916246</v>
      </c>
      <c r="BD181" s="205">
        <v>-0.8199483</v>
      </c>
      <c r="BE181" s="205">
        <v>-0.2816382</v>
      </c>
      <c r="BF181" s="205">
        <v>-0.0282868</v>
      </c>
      <c r="BG181" s="205">
        <v>-0.4980937</v>
      </c>
      <c r="BH181" s="205">
        <v>1.36514574</v>
      </c>
      <c r="BI181" s="205">
        <v>-0.3910958</v>
      </c>
      <c r="BJ181" s="205">
        <v>0.71823884</v>
      </c>
      <c r="BK181" s="205">
        <v>-0.0590333</v>
      </c>
      <c r="BL181" s="205">
        <v>-0.3781823</v>
      </c>
      <c r="BM181" s="205">
        <v>-0.689829</v>
      </c>
      <c r="BN181" s="205">
        <v>-0.9123109</v>
      </c>
      <c r="BO181" s="205">
        <v>-0.4208584</v>
      </c>
      <c r="BP181" s="205">
        <v>-0.4525889</v>
      </c>
      <c r="BQ181" s="205">
        <v>-0.7221744</v>
      </c>
      <c r="BR181" s="206"/>
      <c r="BS181" s="207">
        <f t="shared" si="6"/>
        <v>0.1589800381</v>
      </c>
      <c r="BT181" s="207">
        <f t="shared" si="7"/>
        <v>0.5815511714</v>
      </c>
      <c r="BU181" s="206"/>
      <c r="BV181" s="207">
        <f>IFERROR(__xludf.DUMMYFUNCTION("AVERAGE(ARRAYFORMULA(XLOOKUP(FILTER(INDIRECT(""'""&amp;BV$1&amp;""'!$C$4:$C$66""),INDIRECT(""'""&amp;BV$1&amp;""'!$D$4:$D$66"")=BV$2),$G$4:$BQ$4,$G181:$BQ181)))"),0.2021364342857143)</f>
        <v>0.2021364343</v>
      </c>
      <c r="BW181" s="207" t="str">
        <f>IFERROR(__xludf.DUMMYFUNCTION("IF(OR(BV181&gt;$BS181+$BT181*$BT$2,BV181&lt;$BS181-$BT181*$BT$2),AVEDEV(ARRAYFORMULA(XLOOKUP(FILTER(INDIRECT(""'""&amp;BV$1&amp;""'!$C$4:$C$66""),INDIRECT(""'""&amp;BV$1&amp;""'!$D$4:$D$66"")=BV$2),$G$4:$BQ$4,$G181:$BQ181))),"""")"),"")</f>
        <v/>
      </c>
      <c r="BX181" s="208" t="str">
        <f t="shared" si="8"/>
        <v/>
      </c>
      <c r="BY181" s="207">
        <f>IFERROR(__xludf.DUMMYFUNCTION("AVERAGE(ARRAYFORMULA(XLOOKUP(FILTER(INDIRECT(""'""&amp;BY$1&amp;""'!$C$4:$C$66""),INDIRECT(""'""&amp;BY$1&amp;""'!$D$4:$D$66"")=BY$2),$G$4:$BQ$4,$G181:$BQ181)))"),0.36729214047619035)</f>
        <v>0.3672921405</v>
      </c>
      <c r="BZ181" s="207" t="str">
        <f>IFERROR(__xludf.DUMMYFUNCTION("IF(OR(BY181&gt;$BS181+$BT181*$BT$2,BY181&lt;$BS181-$BT181*$BT$2),AVEDEV(ARRAYFORMULA(XLOOKUP(FILTER(INDIRECT(""'""&amp;BY$1&amp;""'!$C$4:$C$66""),INDIRECT(""'""&amp;BY$1&amp;""'!$D$4:$D$66"")=BY$2),$G$4:$BQ$4,$G181:$BQ181))),"""")"),"")</f>
        <v/>
      </c>
      <c r="CA181" s="208" t="str">
        <f t="shared" si="9"/>
        <v/>
      </c>
      <c r="CB181" s="207">
        <f>IFERROR(__xludf.DUMMYFUNCTION("AVERAGE(ARRAYFORMULA(XLOOKUP(FILTER(INDIRECT(""'""&amp;CB$1&amp;""'!$C$4:$C$66""),INDIRECT(""'""&amp;CB$1&amp;""'!$D$4:$D$66"")=CB$2),$G$4:$BQ$4,$G181:$BQ181)))"),-0.5248264145454546)</f>
        <v>-0.5248264145</v>
      </c>
      <c r="CC181" s="207">
        <f>IFERROR(__xludf.DUMMYFUNCTION("IF(OR(CB181&gt;$BS181+$BT181*$BT$2,CB181&lt;$BS181-$BT181*$BT$2),AVEDEV(ARRAYFORMULA(XLOOKUP(FILTER(INDIRECT(""'""&amp;CB$1&amp;""'!$C$4:$C$66""),INDIRECT(""'""&amp;CB$1&amp;""'!$D$4:$D$66"")=CB$2),$G$4:$BQ$4,$G181:$BQ181))),"""")"),0.28594167239669416)</f>
        <v>0.2859416724</v>
      </c>
      <c r="CD181" s="208">
        <f t="shared" si="10"/>
        <v>-0.1022552812</v>
      </c>
      <c r="CE181" s="209" t="s">
        <v>444</v>
      </c>
      <c r="CF181" s="207">
        <f>IFERROR(__xludf.DUMMYFUNCTION("AVERAGE(ARRAYFORMULA(XLOOKUP(FILTER(INDIRECT(""'""&amp;CF$1&amp;""'!$C$4:$C$66""),INDIRECT(""'""&amp;CF$1&amp;""'!$D$4:$D$66"")=CF$2),$G$4:$BQ$4,$G181:$BQ181)))"),0.49963104125)</f>
        <v>0.4996310413</v>
      </c>
      <c r="CG181" s="207" t="str">
        <f>IFERROR(__xludf.DUMMYFUNCTION("IF(OR(CF181&gt;$BS181+$BT181*$BT$2,CF181&lt;$BS181-$BT181*$BT$2),AVEDEV(ARRAYFORMULA(XLOOKUP(FILTER(INDIRECT(""'""&amp;CF$1&amp;""'!$C$4:$C$66""),INDIRECT(""'""&amp;CF$1&amp;""'!$D$4:$D$66"")=CF$2),$G$4:$BQ$4,$G181:$BQ181))),"""")"),"")</f>
        <v/>
      </c>
      <c r="CH181" s="208" t="str">
        <f t="shared" si="11"/>
        <v/>
      </c>
      <c r="CI181" s="207">
        <f>IFERROR(__xludf.DUMMYFUNCTION("AVERAGE(ARRAYFORMULA(XLOOKUP(FILTER(INDIRECT(""'""&amp;CI$1&amp;""'!$C$4:$C$66""),INDIRECT(""'""&amp;CI$1&amp;""'!$D$4:$D$66"")=CI$2),$G$4:$BQ$4,$G181:$BQ181)))"),0.0352930441935484)</f>
        <v>0.03529304419</v>
      </c>
      <c r="CJ181" s="207" t="str">
        <f>IFERROR(__xludf.DUMMYFUNCTION("IF(OR(CI181&gt;$BS181+$BT181*$BT$2,CI181&lt;$BS181-$BT181*$BT$2),AVEDEV(ARRAYFORMULA(XLOOKUP(FILTER(INDIRECT(""'""&amp;CI$1&amp;""'!$C$4:$C$66""),INDIRECT(""'""&amp;CI$1&amp;""'!$D$4:$D$66"")=CI$2),$G$4:$BQ$4,$G181:$BQ181))),"""")"),"")</f>
        <v/>
      </c>
      <c r="CK181" s="208" t="str">
        <f t="shared" si="12"/>
        <v/>
      </c>
      <c r="CL181" s="207">
        <f>IFERROR(__xludf.DUMMYFUNCTION("AVERAGE(ARRAYFORMULA(XLOOKUP(FILTER(INDIRECT(""'""&amp;CL$1&amp;""'!$C$4:$C$66""),INDIRECT(""'""&amp;CL$1&amp;""'!$D$4:$D$66"")=CL$2),$G$4:$BQ$4,$G181:$BQ181)))"),-0.4822285)</f>
        <v>-0.4822285</v>
      </c>
      <c r="CM181" s="207">
        <f>IFERROR(__xludf.DUMMYFUNCTION("IF(OR(CL181&gt;$BS181+$BT181*$BT$2,CL181&lt;$BS181-$BT181*$BT$2),AVEDEV(ARRAYFORMULA(XLOOKUP(FILTER(INDIRECT(""'""&amp;CL$1&amp;""'!$C$4:$C$66""),INDIRECT(""'""&amp;CL$1&amp;""'!$D$4:$D$66"")=CL$2),$G$4:$BQ$4,$G181:$BQ181))),"""")"),0.11398351999999998)</f>
        <v>0.11398352</v>
      </c>
      <c r="CN181" s="208">
        <f t="shared" si="13"/>
        <v>-0.05965736668</v>
      </c>
      <c r="CO181" s="209" t="s">
        <v>444</v>
      </c>
      <c r="CP181" s="210">
        <f>IFERROR(__xludf.DUMMYFUNCTION("AVERAGE(ARRAYFORMULA(XLOOKUP(FILTER(INDIRECT(""'""&amp;CP$1&amp;""'!$C$4:$C$66""),INDIRECT(""'""&amp;CP$1&amp;""'!$D$4:$D$66"")=CP$2),$G$4:$BQ$4,$G181:$BQ181)))"),0.08553274133333333)</f>
        <v>0.08553274133</v>
      </c>
      <c r="CQ181" s="207" t="str">
        <f>IFERROR(__xludf.DUMMYFUNCTION("IF(OR(CP181&gt;$BS181+$BT181*$BT$2,CP181&lt;$BS181-$BT181*$BT$2),AVEDEV(ARRAYFORMULA(XLOOKUP(FILTER(INDIRECT(""'""&amp;CP$1&amp;""'!$C$4:$C$66""),INDIRECT(""'""&amp;CP$1&amp;""'!$D$4:$D$66"")=CP$2),$G$4:$BQ$4,$G181:$BQ181))),"""")"),"")</f>
        <v/>
      </c>
      <c r="CR181" s="208" t="str">
        <f t="shared" si="14"/>
        <v/>
      </c>
      <c r="CS181" s="210">
        <f>IFERROR(__xludf.DUMMYFUNCTION("AVERAGE(ARRAYFORMULA(XLOOKUP(FILTER(INDIRECT(""'""&amp;CS$1&amp;""'!$C$4:$C$66""),INDIRECT(""'""&amp;CS$1&amp;""'!$D$4:$D$66"")=CS$2),$G$4:$BQ$4,$G181:$BQ181)))"),0.3224222579487179)</f>
        <v>0.3224222579</v>
      </c>
      <c r="CT181" s="207" t="str">
        <f>IFERROR(__xludf.DUMMYFUNCTION("IF(OR(CS181&gt;$BS181+$BT181*$BT$2,CS181&lt;$BS181-$BT181*$BT$2),AVEDEV(ARRAYFORMULA(XLOOKUP(FILTER(INDIRECT(""'""&amp;CS$1&amp;""'!$C$4:$C$66""),INDIRECT(""'""&amp;CS$1&amp;""'!$D$4:$D$66"")=CS$2),$G$4:$BQ$4,$G181:$BQ181))),"""")"),"")</f>
        <v/>
      </c>
      <c r="CU181" s="208" t="str">
        <f t="shared" si="15"/>
        <v/>
      </c>
      <c r="CV181" s="210">
        <f>IFERROR(__xludf.DUMMYFUNCTION("AVERAGE(ARRAYFORMULA(XLOOKUP(FILTER(INDIRECT(""'""&amp;CV$1&amp;""'!$C$4:$C$66""),INDIRECT(""'""&amp;CV$1&amp;""'!$D$4:$D$66"")=CV$2),$G$4:$BQ$4,$G181:$BQ181)))"),-0.4822285)</f>
        <v>-0.4822285</v>
      </c>
      <c r="CW181" s="207">
        <f>IFERROR(__xludf.DUMMYFUNCTION("IF(OR(CV181&gt;$BS181+$BT181*$BT$2,CV181&lt;$BS181-$BT181*$BT$2),AVEDEV(ARRAYFORMULA(XLOOKUP(FILTER(INDIRECT(""'""&amp;CV$1&amp;""'!$C$4:$C$66""),INDIRECT(""'""&amp;CV$1&amp;""'!$D$4:$D$66"")=CV$2),$G$4:$BQ$4,$G181:$BQ181))),"""")"),0.11398351999999998)</f>
        <v>0.11398352</v>
      </c>
      <c r="CX181" s="208">
        <f t="shared" si="16"/>
        <v>-0.05965736668</v>
      </c>
      <c r="CY181" s="209" t="s">
        <v>444</v>
      </c>
      <c r="CZ181" s="210">
        <f>IFERROR(__xludf.DUMMYFUNCTION("AVERAGE(ARRAYFORMULA(XLOOKUP(FILTER(INDIRECT(""'""&amp;CZ$1&amp;""'!$C$4:$C$66""),INDIRECT(""'""&amp;CZ$1&amp;""'!$D$4:$D$66"")=CZ$2),$G$4:$BQ$4,$G181:$BQ181)))"),0.5579176707142858)</f>
        <v>0.5579176707</v>
      </c>
      <c r="DA181" s="207" t="str">
        <f>IFERROR(__xludf.DUMMYFUNCTION("IF(OR(CZ181&gt;$BS181+$BT181*$BT$2,CZ181&lt;$BS181-$BT181*$BT$2),AVEDEV(ARRAYFORMULA(XLOOKUP(FILTER(INDIRECT(""'""&amp;CZ$1&amp;""'!$C$4:$C$66""),INDIRECT(""'""&amp;CZ$1&amp;""'!$D$4:$D$66"")=CZ$2),$G$4:$BQ$4,$G181:$BQ181))),"""")"),"")</f>
        <v/>
      </c>
      <c r="DB181" s="208" t="str">
        <f t="shared" si="17"/>
        <v/>
      </c>
      <c r="DC181" s="210">
        <f>IFERROR(__xludf.DUMMYFUNCTION("AVERAGE(ARRAYFORMULA(XLOOKUP(FILTER(INDIRECT(""'""&amp;DC$1&amp;""'!$C$4:$C$66""),INDIRECT(""'""&amp;DC$1&amp;""'!$D$4:$D$66"")=DC$2),$G$4:$BQ$4,$G181:$BQ181)))"),-0.5533281400000001)</f>
        <v>-0.55332814</v>
      </c>
      <c r="DD181" s="207">
        <f>IFERROR(__xludf.DUMMYFUNCTION("IF(OR(DC181&gt;$BS181+$BT181*$BT$2,DC181&lt;$BS181-$BT181*$BT$2),AVEDEV(ARRAYFORMULA(XLOOKUP(FILTER(INDIRECT(""'""&amp;DC$1&amp;""'!$C$4:$C$66""),INDIRECT(""'""&amp;DC$1&amp;""'!$D$4:$D$66"")=DC$2),$G$4:$BQ$4,$G181:$BQ181))),"""")"),0.2748147244444444)</f>
        <v>0.2748147244</v>
      </c>
      <c r="DE181" s="208">
        <f t="shared" si="18"/>
        <v>-0.1307570067</v>
      </c>
      <c r="DF181" s="210">
        <f>IFERROR(__xludf.DUMMYFUNCTION("AVERAGE(ARRAYFORMULA(XLOOKUP(FILTER(INDIRECT(""'""&amp;DF$1&amp;""'!$C$4:$C$66""),INDIRECT(""'""&amp;DF$1&amp;""'!$D$4:$D$66"")=DF$2),$G$4:$BQ$4,$G181:$BQ181)))"),0.05934639454545457)</f>
        <v>0.05934639455</v>
      </c>
      <c r="DG181" s="207" t="str">
        <f>IFERROR(__xludf.DUMMYFUNCTION("IF(OR(DF181&gt;$BS181+$BT181*$BT$2,DF181&lt;$BS181-$BT181*$BT$2),AVEDEV(ARRAYFORMULA(XLOOKUP(FILTER(INDIRECT(""'""&amp;DF$1&amp;""'!$C$4:$C$66""),INDIRECT(""'""&amp;DF$1&amp;""'!$D$4:$D$66"")=DF$2),$G$4:$BQ$4,$G181:$BQ181))),"""")"),"")</f>
        <v/>
      </c>
      <c r="DH181" s="208" t="str">
        <f t="shared" si="19"/>
        <v/>
      </c>
      <c r="DI181" s="210">
        <f>IFERROR(__xludf.DUMMYFUNCTION("AVERAGE(ARRAYFORMULA(XLOOKUP(FILTER(INDIRECT(""'""&amp;DI$1&amp;""'!$C$4:$C$66""),INDIRECT(""'""&amp;DI$1&amp;""'!$D$4:$D$66"")=DI$2),$G$4:$BQ$4,$G181:$BQ181)))"),1.3608412250000002)</f>
        <v>1.360841225</v>
      </c>
      <c r="DJ181" s="207">
        <f>IFERROR(__xludf.DUMMYFUNCTION("IF(OR(DI181&gt;$BS181+$BT181*$BT$2,DI181&lt;$BS181-$BT181*$BT$2),AVEDEV(ARRAYFORMULA(XLOOKUP(FILTER(INDIRECT(""'""&amp;DI$1&amp;""'!$C$4:$C$66""),INDIRECT(""'""&amp;DI$1&amp;""'!$D$4:$D$66"")=DI$2),$G$4:$BQ$4,$G181:$BQ181))),"""")"),0.004304514999999953)</f>
        <v>0.004304515</v>
      </c>
      <c r="DK181" s="208">
        <f t="shared" si="20"/>
        <v>0.6203100155</v>
      </c>
      <c r="DL181" s="210">
        <f>IFERROR(__xludf.DUMMYFUNCTION("AVERAGE(ARRAYFORMULA(XLOOKUP(FILTER(INDIRECT(""'""&amp;DL$1&amp;""'!$C$4:$C$66""),INDIRECT(""'""&amp;DL$1&amp;""'!$D$4:$D$66"")=DL$2),$G$4:$BQ$4,$G181:$BQ181)))"),0.3193949035714286)</f>
        <v>0.3193949036</v>
      </c>
      <c r="DM181" s="207" t="str">
        <f>IFERROR(__xludf.DUMMYFUNCTION("IF(OR(DL181&gt;$BS181+$BT181*$BT$2,DL181&lt;$BS181-$BT181*$BT$2),AVEDEV(ARRAYFORMULA(XLOOKUP(FILTER(INDIRECT(""'""&amp;DL$1&amp;""'!$C$4:$C$66""),INDIRECT(""'""&amp;DL$1&amp;""'!$D$4:$D$66"")=DL$2),$G$4:$BQ$4,$G181:$BQ181))),"""")"),"")</f>
        <v/>
      </c>
      <c r="DN181" s="208" t="str">
        <f t="shared" si="21"/>
        <v/>
      </c>
      <c r="DO181" s="209" t="s">
        <v>444</v>
      </c>
      <c r="DP181" s="210">
        <f>IFERROR(__xludf.DUMMYFUNCTION("AVERAGE(ARRAYFORMULA(XLOOKUP(FILTER(INDIRECT(""'""&amp;DP$1&amp;""'!$C$4:$C$66""),INDIRECT(""'""&amp;DP$1&amp;""'!$D$4:$D$66"")=DP$2),$G$4:$BQ$4,$G181:$BQ181)))"),0.3433689976666666)</f>
        <v>0.3433689977</v>
      </c>
      <c r="DQ181" s="207" t="str">
        <f>IFERROR(__xludf.DUMMYFUNCTION("IF(OR(DP181&gt;$BS181+$BT181*$BT$2,DP181&lt;$BS181-$BT181*$BT$2),AVEDEV(ARRAYFORMULA(XLOOKUP(FILTER(INDIRECT(""'""&amp;DP$1&amp;""'!$C$4:$C$66""),INDIRECT(""'""&amp;DP$1&amp;""'!$D$4:$D$66"")=DP$2),$G$4:$BQ$4,$G181:$BQ181))),"""")"),"")</f>
        <v/>
      </c>
      <c r="DR181" s="208" t="str">
        <f t="shared" si="22"/>
        <v/>
      </c>
      <c r="DS181" s="210">
        <f>IFERROR(__xludf.DUMMYFUNCTION("AVERAGE(ARRAYFORMULA(XLOOKUP(FILTER(INDIRECT(""'""&amp;DS$1&amp;""'!$C$4:$C$66""),INDIRECT(""'""&amp;DS$1&amp;""'!$D$4:$D$66"")=DS$2),$G$4:$BQ$4,$G181:$BQ181)))"),-0.4336626611111111)</f>
        <v>-0.4336626611</v>
      </c>
      <c r="DT181" s="207">
        <f>IFERROR(__xludf.DUMMYFUNCTION("IF(OR(DS181&gt;$BS181+$BT181*$BT$2,DS181&lt;$BS181-$BT181*$BT$2),AVEDEV(ARRAYFORMULA(XLOOKUP(FILTER(INDIRECT(""'""&amp;DS$1&amp;""'!$C$4:$C$66""),INDIRECT(""'""&amp;DS$1&amp;""'!$D$4:$D$66"")=DS$2),$G$4:$BQ$4,$G181:$BQ181))),"""")"),0.3216314296296296)</f>
        <v>0.3216314296</v>
      </c>
      <c r="DU181" s="208">
        <f t="shared" si="23"/>
        <v>-0.01109152779</v>
      </c>
      <c r="DV181" s="210">
        <f>IFERROR(__xludf.DUMMYFUNCTION("AVERAGE(ARRAYFORMULA(XLOOKUP(FILTER(INDIRECT(""'""&amp;DV$1&amp;""'!$C$4:$C$66""),INDIRECT(""'""&amp;DV$1&amp;""'!$D$4:$D$66"")=DV$2),$G$4:$BQ$4,$G181:$BQ181)))"),0.1161911225)</f>
        <v>0.1161911225</v>
      </c>
      <c r="DW181" s="207" t="str">
        <f>IFERROR(__xludf.DUMMYFUNCTION("IF(OR(DV181&gt;$BS181+$BT181*$BT$2,DV181&lt;$BS181-$BT181*$BT$2),AVEDEV(ARRAYFORMULA(XLOOKUP(FILTER(INDIRECT(""'""&amp;DV$1&amp;""'!$C$4:$C$66""),INDIRECT(""'""&amp;DV$1&amp;""'!$D$4:$D$66"")=DV$2),$G$4:$BQ$4,$G181:$BQ181))),"""")"),"")</f>
        <v/>
      </c>
      <c r="DX181" s="208" t="str">
        <f t="shared" si="24"/>
        <v/>
      </c>
      <c r="DY181" s="210">
        <f>IFERROR(__xludf.DUMMYFUNCTION("AVERAGE(ARRAYFORMULA(XLOOKUP(FILTER(INDIRECT(""'""&amp;DY$1&amp;""'!$C$4:$C$66""),INDIRECT(""'""&amp;DY$1&amp;""'!$D$4:$D$66"")=DY$2),$G$4:$BQ$4,$G181:$BQ181)))"),-0.002746673333333338)</f>
        <v>-0.002746673333</v>
      </c>
      <c r="DZ181" s="207" t="str">
        <f>IFERROR(__xludf.DUMMYFUNCTION("IF(OR(DY181&gt;$BS181+$BT181*$BT$2,DY181&lt;$BS181-$BT181*$BT$2),AVEDEV(ARRAYFORMULA(XLOOKUP(FILTER(INDIRECT(""'""&amp;DY$1&amp;""'!$C$4:$C$66""),INDIRECT(""'""&amp;DY$1&amp;""'!$D$4:$D$66"")=DY$2),$G$4:$BQ$4,$G181:$BQ181))),"""")"),"")</f>
        <v/>
      </c>
      <c r="EA181" s="208" t="str">
        <f t="shared" si="25"/>
        <v/>
      </c>
      <c r="EB181" s="191"/>
    </row>
    <row r="182" outlineLevel="1">
      <c r="A182" s="2"/>
      <c r="B182" s="204">
        <v>178.0</v>
      </c>
      <c r="C182" s="204" t="s">
        <v>601</v>
      </c>
      <c r="D182" s="204" t="s">
        <v>625</v>
      </c>
      <c r="E182" s="205" t="b">
        <f>VLOOKUP(D182,'Feature Set List'!A178:C246,2,0)</f>
        <v>1</v>
      </c>
      <c r="F182" s="205" t="b">
        <f>VLOOKUP(D182,'Feature Set List'!A178:C246,3,0)</f>
        <v>0</v>
      </c>
      <c r="G182" s="205">
        <v>-0.2509506</v>
      </c>
      <c r="H182" s="205">
        <v>0.58174905</v>
      </c>
      <c r="I182" s="205">
        <v>-0.2965779</v>
      </c>
      <c r="J182" s="205">
        <v>0.03422053</v>
      </c>
      <c r="K182" s="205">
        <v>0.18631179</v>
      </c>
      <c r="L182" s="205">
        <v>3.20152091</v>
      </c>
      <c r="M182" s="205">
        <v>0.68821293</v>
      </c>
      <c r="N182" s="205">
        <v>-0.1939163</v>
      </c>
      <c r="O182" s="205">
        <v>-0.1863118</v>
      </c>
      <c r="P182" s="205">
        <v>-0.1330798</v>
      </c>
      <c r="Q182" s="205">
        <v>0.25475285</v>
      </c>
      <c r="R182" s="205">
        <v>0.23954373</v>
      </c>
      <c r="S182" s="205">
        <v>-0.026616</v>
      </c>
      <c r="T182" s="205">
        <v>0.6539924</v>
      </c>
      <c r="U182" s="205">
        <v>-0.148289</v>
      </c>
      <c r="V182" s="205">
        <v>-0.3117871</v>
      </c>
      <c r="W182" s="205">
        <v>1.60836502</v>
      </c>
      <c r="X182" s="205">
        <v>-0.2623574</v>
      </c>
      <c r="Y182" s="205">
        <v>-0.0836502</v>
      </c>
      <c r="Z182" s="205">
        <v>-0.2091255</v>
      </c>
      <c r="AA182" s="205">
        <v>0.57034221</v>
      </c>
      <c r="AB182" s="205">
        <v>-0.2053232</v>
      </c>
      <c r="AC182" s="205">
        <v>-0.0494297</v>
      </c>
      <c r="AD182" s="205">
        <v>-0.3231939</v>
      </c>
      <c r="AE182" s="205">
        <v>-0.1863118</v>
      </c>
      <c r="AF182" s="205">
        <v>8.08365019</v>
      </c>
      <c r="AG182" s="205">
        <v>-0.0418251</v>
      </c>
      <c r="AH182" s="205">
        <v>-0.2509506</v>
      </c>
      <c r="AI182" s="205">
        <v>1.1634981</v>
      </c>
      <c r="AJ182" s="205">
        <v>-0.1711027</v>
      </c>
      <c r="AK182" s="205">
        <v>1.38403042</v>
      </c>
      <c r="AL182" s="205">
        <v>1.03041825</v>
      </c>
      <c r="AM182" s="205">
        <v>0.08365019</v>
      </c>
      <c r="AN182" s="205">
        <v>1.53231939</v>
      </c>
      <c r="AO182" s="205">
        <v>0.02281369</v>
      </c>
      <c r="AP182" s="205">
        <v>0.17110266</v>
      </c>
      <c r="AQ182" s="205">
        <v>-0.3422053</v>
      </c>
      <c r="AR182" s="205">
        <v>-0.2015209</v>
      </c>
      <c r="AS182" s="205">
        <v>0.98098859</v>
      </c>
      <c r="AT182" s="205">
        <v>-0.3764259</v>
      </c>
      <c r="AU182" s="205">
        <v>13.5285171</v>
      </c>
      <c r="AV182" s="205">
        <v>-0.0608365</v>
      </c>
      <c r="AW182" s="205">
        <v>0.08365019</v>
      </c>
      <c r="AX182" s="205">
        <v>-0.2053232</v>
      </c>
      <c r="AY182" s="205">
        <v>-0.3041825</v>
      </c>
      <c r="AZ182" s="205">
        <v>-0.21673</v>
      </c>
      <c r="BA182" s="205">
        <v>1.8365019</v>
      </c>
      <c r="BB182" s="205">
        <v>-0.3307985</v>
      </c>
      <c r="BC182" s="205">
        <v>-0.1520913</v>
      </c>
      <c r="BD182" s="205">
        <v>-0.1749049</v>
      </c>
      <c r="BE182" s="205">
        <v>-0.3726236</v>
      </c>
      <c r="BF182" s="205">
        <v>0.12547529</v>
      </c>
      <c r="BG182" s="205">
        <v>0.90114068</v>
      </c>
      <c r="BH182" s="205">
        <v>-0.3231939</v>
      </c>
      <c r="BI182" s="205">
        <v>1.7338403</v>
      </c>
      <c r="BJ182" s="205">
        <v>0.0</v>
      </c>
      <c r="BK182" s="205">
        <v>1.84030418</v>
      </c>
      <c r="BL182" s="205">
        <v>2.41064639</v>
      </c>
      <c r="BM182" s="205">
        <v>1.53612167</v>
      </c>
      <c r="BN182" s="205">
        <v>0.28897338</v>
      </c>
      <c r="BO182" s="205">
        <v>0.3878327</v>
      </c>
      <c r="BP182" s="205">
        <v>2.5513308</v>
      </c>
      <c r="BQ182" s="205">
        <v>-0.3498099</v>
      </c>
      <c r="BR182" s="206"/>
      <c r="BS182" s="207">
        <f t="shared" si="6"/>
        <v>0.6818154362</v>
      </c>
      <c r="BT182" s="207">
        <f t="shared" si="7"/>
        <v>1.092715695</v>
      </c>
      <c r="BU182" s="206"/>
      <c r="BV182" s="207">
        <f>IFERROR(__xludf.DUMMYFUNCTION("AVERAGE(ARRAYFORMULA(XLOOKUP(FILTER(INDIRECT(""'""&amp;BV$1&amp;""'!$C$4:$C$66""),INDIRECT(""'""&amp;BV$1&amp;""'!$D$4:$D$66"")=BV$2),$G$4:$BQ$4,$G182:$BQ182)))"),0.1450298685714286)</f>
        <v>0.1450298686</v>
      </c>
      <c r="BW182" s="207" t="str">
        <f>IFERROR(__xludf.DUMMYFUNCTION("IF(OR(BV182&gt;$BS182+$BT182*$BT$2,BV182&lt;$BS182-$BT182*$BT$2),AVEDEV(ARRAYFORMULA(XLOOKUP(FILTER(INDIRECT(""'""&amp;BV$1&amp;""'!$C$4:$C$66""),INDIRECT(""'""&amp;BV$1&amp;""'!$D$4:$D$66"")=BV$2),$G$4:$BQ$4,$G182:$BQ182))),"""")"),"")</f>
        <v/>
      </c>
      <c r="BX182" s="208" t="str">
        <f t="shared" si="8"/>
        <v/>
      </c>
      <c r="BY182" s="207">
        <f>IFERROR(__xludf.DUMMYFUNCTION("AVERAGE(ARRAYFORMULA(XLOOKUP(FILTER(INDIRECT(""'""&amp;BY$1&amp;""'!$C$4:$C$66""),INDIRECT(""'""&amp;BY$1&amp;""'!$D$4:$D$66"")=BY$2),$G$4:$BQ$4,$G182:$BQ182)))"),0.2847184447619048)</f>
        <v>0.2847184448</v>
      </c>
      <c r="BZ182" s="207" t="str">
        <f>IFERROR(__xludf.DUMMYFUNCTION("IF(OR(BY182&gt;$BS182+$BT182*$BT$2,BY182&lt;$BS182-$BT182*$BT$2),AVEDEV(ARRAYFORMULA(XLOOKUP(FILTER(INDIRECT(""'""&amp;BY$1&amp;""'!$C$4:$C$66""),INDIRECT(""'""&amp;BY$1&amp;""'!$D$4:$D$66"")=BY$2),$G$4:$BQ$4,$G182:$BQ182))),"""")"),"")</f>
        <v/>
      </c>
      <c r="CA182" s="208" t="str">
        <f t="shared" si="9"/>
        <v/>
      </c>
      <c r="CB182" s="207">
        <f>IFERROR(__xludf.DUMMYFUNCTION("AVERAGE(ARRAYFORMULA(XLOOKUP(FILTER(INDIRECT(""'""&amp;CB$1&amp;""'!$C$4:$C$66""),INDIRECT(""'""&amp;CB$1&amp;""'!$D$4:$D$66"")=CB$2),$G$4:$BQ$4,$G182:$BQ182)))"),1.5385413109090906)</f>
        <v>1.538541311</v>
      </c>
      <c r="CC182" s="207" t="str">
        <f>IFERROR(__xludf.DUMMYFUNCTION("IF(OR(CB182&gt;$BS182+$BT182*$BT$2,CB182&lt;$BS182-$BT182*$BT$2),AVEDEV(ARRAYFORMULA(XLOOKUP(FILTER(INDIRECT(""'""&amp;CB$1&amp;""'!$C$4:$C$66""),INDIRECT(""'""&amp;CB$1&amp;""'!$D$4:$D$66"")=CB$2),$G$4:$BQ$4,$G182:$BQ182))),"""")"),"")</f>
        <v/>
      </c>
      <c r="CD182" s="208" t="str">
        <f t="shared" si="10"/>
        <v/>
      </c>
      <c r="CE182" s="209" t="s">
        <v>444</v>
      </c>
      <c r="CF182" s="207">
        <f>IFERROR(__xludf.DUMMYFUNCTION("AVERAGE(ARRAYFORMULA(XLOOKUP(FILTER(INDIRECT(""'""&amp;CF$1&amp;""'!$C$4:$C$66""),INDIRECT(""'""&amp;CF$1&amp;""'!$D$4:$D$66"")=CF$2),$G$4:$BQ$4,$G182:$BQ182)))"),0.11240493937499998)</f>
        <v>0.1124049394</v>
      </c>
      <c r="CG182" s="207" t="str">
        <f>IFERROR(__xludf.DUMMYFUNCTION("IF(OR(CF182&gt;$BS182+$BT182*$BT$2,CF182&lt;$BS182-$BT182*$BT$2),AVEDEV(ARRAYFORMULA(XLOOKUP(FILTER(INDIRECT(""'""&amp;CF$1&amp;""'!$C$4:$C$66""),INDIRECT(""'""&amp;CF$1&amp;""'!$D$4:$D$66"")=CF$2),$G$4:$BQ$4,$G182:$BQ182))),"""")"),"")</f>
        <v/>
      </c>
      <c r="CH182" s="208" t="str">
        <f t="shared" si="11"/>
        <v/>
      </c>
      <c r="CI182" s="207">
        <f>IFERROR(__xludf.DUMMYFUNCTION("AVERAGE(ARRAYFORMULA(XLOOKUP(FILTER(INDIRECT(""'""&amp;CI$1&amp;""'!$C$4:$C$66""),INDIRECT(""'""&amp;CI$1&amp;""'!$D$4:$D$66"")=CI$2),$G$4:$BQ$4,$G182:$BQ182)))"),0.6587759041935485)</f>
        <v>0.6587759042</v>
      </c>
      <c r="CJ182" s="207" t="str">
        <f>IFERROR(__xludf.DUMMYFUNCTION("IF(OR(CI182&gt;$BS182+$BT182*$BT$2,CI182&lt;$BS182-$BT182*$BT$2),AVEDEV(ARRAYFORMULA(XLOOKUP(FILTER(INDIRECT(""'""&amp;CI$1&amp;""'!$C$4:$C$66""),INDIRECT(""'""&amp;CI$1&amp;""'!$D$4:$D$66"")=CI$2),$G$4:$BQ$4,$G182:$BQ182))),"""")"),"")</f>
        <v/>
      </c>
      <c r="CK182" s="208" t="str">
        <f t="shared" si="12"/>
        <v/>
      </c>
      <c r="CL182" s="207">
        <f>IFERROR(__xludf.DUMMYFUNCTION("AVERAGE(ARRAYFORMULA(XLOOKUP(FILTER(INDIRECT(""'""&amp;CL$1&amp;""'!$C$4:$C$66""),INDIRECT(""'""&amp;CL$1&amp;""'!$D$4:$D$66"")=CL$2),$G$4:$BQ$4,$G182:$BQ182)))"),0.847908754)</f>
        <v>0.847908754</v>
      </c>
      <c r="CM182" s="207" t="str">
        <f>IFERROR(__xludf.DUMMYFUNCTION("IF(OR(CL182&gt;$BS182+$BT182*$BT$2,CL182&lt;$BS182-$BT182*$BT$2),AVEDEV(ARRAYFORMULA(XLOOKUP(FILTER(INDIRECT(""'""&amp;CL$1&amp;""'!$C$4:$C$66""),INDIRECT(""'""&amp;CL$1&amp;""'!$D$4:$D$66"")=CL$2),$G$4:$BQ$4,$G182:$BQ182))),"""")"),"")</f>
        <v/>
      </c>
      <c r="CN182" s="208" t="str">
        <f t="shared" si="13"/>
        <v/>
      </c>
      <c r="CO182" s="209" t="s">
        <v>444</v>
      </c>
      <c r="CP182" s="210">
        <f>IFERROR(__xludf.DUMMYFUNCTION("AVERAGE(ARRAYFORMULA(XLOOKUP(FILTER(INDIRECT(""'""&amp;CP$1&amp;""'!$C$4:$C$66""),INDIRECT(""'""&amp;CP$1&amp;""'!$D$4:$D$66"")=CP$2),$G$4:$BQ$4,$G182:$BQ182)))"),-0.01444868133333335)</f>
        <v>-0.01444868133</v>
      </c>
      <c r="CQ182" s="207" t="str">
        <f>IFERROR(__xludf.DUMMYFUNCTION("IF(OR(CP182&gt;$BS182+$BT182*$BT$2,CP182&lt;$BS182-$BT182*$BT$2),AVEDEV(ARRAYFORMULA(XLOOKUP(FILTER(INDIRECT(""'""&amp;CP$1&amp;""'!$C$4:$C$66""),INDIRECT(""'""&amp;CP$1&amp;""'!$D$4:$D$66"")=CP$2),$G$4:$BQ$4,$G182:$BQ182))),"""")"),"")</f>
        <v/>
      </c>
      <c r="CR182" s="208" t="str">
        <f t="shared" si="14"/>
        <v/>
      </c>
      <c r="CS182" s="210">
        <f>IFERROR(__xludf.DUMMYFUNCTION("AVERAGE(ARRAYFORMULA(XLOOKUP(FILTER(INDIRECT(""'""&amp;CS$1&amp;""'!$C$4:$C$66""),INDIRECT(""'""&amp;CS$1&amp;""'!$D$4:$D$66"")=CS$2),$G$4:$BQ$4,$G182:$BQ182)))"),0.6016379035897438)</f>
        <v>0.6016379036</v>
      </c>
      <c r="CT182" s="207" t="str">
        <f>IFERROR(__xludf.DUMMYFUNCTION("IF(OR(CS182&gt;$BS182+$BT182*$BT$2,CS182&lt;$BS182-$BT182*$BT$2),AVEDEV(ARRAYFORMULA(XLOOKUP(FILTER(INDIRECT(""'""&amp;CS$1&amp;""'!$C$4:$C$66""),INDIRECT(""'""&amp;CS$1&amp;""'!$D$4:$D$66"")=CS$2),$G$4:$BQ$4,$G182:$BQ182))),"""")"),"")</f>
        <v/>
      </c>
      <c r="CU182" s="208" t="str">
        <f t="shared" si="15"/>
        <v/>
      </c>
      <c r="CV182" s="210">
        <f>IFERROR(__xludf.DUMMYFUNCTION("AVERAGE(ARRAYFORMULA(XLOOKUP(FILTER(INDIRECT(""'""&amp;CV$1&amp;""'!$C$4:$C$66""),INDIRECT(""'""&amp;CV$1&amp;""'!$D$4:$D$66"")=CV$2),$G$4:$BQ$4,$G182:$BQ182)))"),0.847908754)</f>
        <v>0.847908754</v>
      </c>
      <c r="CW182" s="207" t="str">
        <f>IFERROR(__xludf.DUMMYFUNCTION("IF(OR(CV182&gt;$BS182+$BT182*$BT$2,CV182&lt;$BS182-$BT182*$BT$2),AVEDEV(ARRAYFORMULA(XLOOKUP(FILTER(INDIRECT(""'""&amp;CV$1&amp;""'!$C$4:$C$66""),INDIRECT(""'""&amp;CV$1&amp;""'!$D$4:$D$66"")=CV$2),$G$4:$BQ$4,$G182:$BQ182))),"""")"),"")</f>
        <v/>
      </c>
      <c r="CX182" s="208" t="str">
        <f t="shared" si="16"/>
        <v/>
      </c>
      <c r="CY182" s="209" t="s">
        <v>444</v>
      </c>
      <c r="CZ182" s="210">
        <f>IFERROR(__xludf.DUMMYFUNCTION("AVERAGE(ARRAYFORMULA(XLOOKUP(FILTER(INDIRECT(""'""&amp;CZ$1&amp;""'!$C$4:$C$66""),INDIRECT(""'""&amp;CZ$1&amp;""'!$D$4:$D$66"")=CZ$2),$G$4:$BQ$4,$G182:$BQ182)))"),0.381314505)</f>
        <v>0.381314505</v>
      </c>
      <c r="DA182" s="207" t="str">
        <f>IFERROR(__xludf.DUMMYFUNCTION("IF(OR(CZ182&gt;$BS182+$BT182*$BT$2,CZ182&lt;$BS182-$BT182*$BT$2),AVEDEV(ARRAYFORMULA(XLOOKUP(FILTER(INDIRECT(""'""&amp;CZ$1&amp;""'!$C$4:$C$66""),INDIRECT(""'""&amp;CZ$1&amp;""'!$D$4:$D$66"")=CZ$2),$G$4:$BQ$4,$G182:$BQ182))),"""")"),"")</f>
        <v/>
      </c>
      <c r="DB182" s="208" t="str">
        <f t="shared" si="17"/>
        <v/>
      </c>
      <c r="DC182" s="210">
        <f>IFERROR(__xludf.DUMMYFUNCTION("AVERAGE(ARRAYFORMULA(XLOOKUP(FILTER(INDIRECT(""'""&amp;DC$1&amp;""'!$C$4:$C$66""),INDIRECT(""'""&amp;DC$1&amp;""'!$D$4:$D$66"")=DC$2),$G$4:$BQ$4,$G182:$BQ182)))"),1.7338403055555558)</f>
        <v>1.733840306</v>
      </c>
      <c r="DD182" s="207" t="str">
        <f>IFERROR(__xludf.DUMMYFUNCTION("IF(OR(DC182&gt;$BS182+$BT182*$BT$2,DC182&lt;$BS182-$BT182*$BT$2),AVEDEV(ARRAYFORMULA(XLOOKUP(FILTER(INDIRECT(""'""&amp;DC$1&amp;""'!$C$4:$C$66""),INDIRECT(""'""&amp;DC$1&amp;""'!$D$4:$D$66"")=DC$2),$G$4:$BQ$4,$G182:$BQ182))),"""")"),"")</f>
        <v/>
      </c>
      <c r="DE182" s="208" t="str">
        <f t="shared" si="18"/>
        <v/>
      </c>
      <c r="DF182" s="210">
        <f>IFERROR(__xludf.DUMMYFUNCTION("AVERAGE(ARRAYFORMULA(XLOOKUP(FILTER(INDIRECT(""'""&amp;DF$1&amp;""'!$C$4:$C$66""),INDIRECT(""'""&amp;DF$1&amp;""'!$D$4:$D$66"")=DF$2),$G$4:$BQ$4,$G182:$BQ182)))"),0.06878671636363635)</f>
        <v>0.06878671636</v>
      </c>
      <c r="DG182" s="207" t="str">
        <f>IFERROR(__xludf.DUMMYFUNCTION("IF(OR(DF182&gt;$BS182+$BT182*$BT$2,DF182&lt;$BS182-$BT182*$BT$2),AVEDEV(ARRAYFORMULA(XLOOKUP(FILTER(INDIRECT(""'""&amp;DF$1&amp;""'!$C$4:$C$66""),INDIRECT(""'""&amp;DF$1&amp;""'!$D$4:$D$66"")=DF$2),$G$4:$BQ$4,$G182:$BQ182))),"""")"),"")</f>
        <v/>
      </c>
      <c r="DH182" s="208" t="str">
        <f t="shared" si="19"/>
        <v/>
      </c>
      <c r="DI182" s="210">
        <f>IFERROR(__xludf.DUMMYFUNCTION("AVERAGE(ARRAYFORMULA(XLOOKUP(FILTER(INDIRECT(""'""&amp;DI$1&amp;""'!$C$4:$C$66""),INDIRECT(""'""&amp;DI$1&amp;""'!$D$4:$D$66"")=DI$2),$G$4:$BQ$4,$G182:$BQ182)))"),-0.3231939)</f>
        <v>-0.3231939</v>
      </c>
      <c r="DJ182" s="207" t="str">
        <f>IFERROR(__xludf.DUMMYFUNCTION("IF(OR(DI182&gt;$BS182+$BT182*$BT$2,DI182&lt;$BS182-$BT182*$BT$2),AVEDEV(ARRAYFORMULA(XLOOKUP(FILTER(INDIRECT(""'""&amp;DI$1&amp;""'!$C$4:$C$66""),INDIRECT(""'""&amp;DI$1&amp;""'!$D$4:$D$66"")=DI$2),$G$4:$BQ$4,$G182:$BQ182))),"""")"),"")</f>
        <v/>
      </c>
      <c r="DK182" s="208" t="str">
        <f t="shared" si="20"/>
        <v/>
      </c>
      <c r="DL182" s="210">
        <f>IFERROR(__xludf.DUMMYFUNCTION("AVERAGE(ARRAYFORMULA(XLOOKUP(FILTER(INDIRECT(""'""&amp;DL$1&amp;""'!$C$4:$C$66""),INDIRECT(""'""&amp;DL$1&amp;""'!$D$4:$D$66"")=DL$2),$G$4:$BQ$4,$G182:$BQ182)))"),0.3661053678571429)</f>
        <v>0.3661053679</v>
      </c>
      <c r="DM182" s="207" t="str">
        <f>IFERROR(__xludf.DUMMYFUNCTION("IF(OR(DL182&gt;$BS182+$BT182*$BT$2,DL182&lt;$BS182-$BT182*$BT$2),AVEDEV(ARRAYFORMULA(XLOOKUP(FILTER(INDIRECT(""'""&amp;DL$1&amp;""'!$C$4:$C$66""),INDIRECT(""'""&amp;DL$1&amp;""'!$D$4:$D$66"")=DL$2),$G$4:$BQ$4,$G182:$BQ182))),"""")"),"")</f>
        <v/>
      </c>
      <c r="DN182" s="208" t="str">
        <f t="shared" si="21"/>
        <v/>
      </c>
      <c r="DO182" s="209" t="s">
        <v>444</v>
      </c>
      <c r="DP182" s="210">
        <f>IFERROR(__xludf.DUMMYFUNCTION("AVERAGE(ARRAYFORMULA(XLOOKUP(FILTER(INDIRECT(""'""&amp;DP$1&amp;""'!$C$4:$C$66""),INDIRECT(""'""&amp;DP$1&amp;""'!$D$4:$D$66"")=DP$2),$G$4:$BQ$4,$G182:$BQ182)))"),0.3304182430000001)</f>
        <v>0.330418243</v>
      </c>
      <c r="DQ182" s="207" t="str">
        <f>IFERROR(__xludf.DUMMYFUNCTION("IF(OR(DP182&gt;$BS182+$BT182*$BT$2,DP182&lt;$BS182-$BT182*$BT$2),AVEDEV(ARRAYFORMULA(XLOOKUP(FILTER(INDIRECT(""'""&amp;DP$1&amp;""'!$C$4:$C$66""),INDIRECT(""'""&amp;DP$1&amp;""'!$D$4:$D$66"")=DP$2),$G$4:$BQ$4,$G182:$BQ182))),"""")"),"")</f>
        <v/>
      </c>
      <c r="DR182" s="208" t="str">
        <f t="shared" si="22"/>
        <v/>
      </c>
      <c r="DS182" s="210">
        <f>IFERROR(__xludf.DUMMYFUNCTION("AVERAGE(ARRAYFORMULA(XLOOKUP(FILTER(INDIRECT(""'""&amp;DS$1&amp;""'!$C$4:$C$66""),INDIRECT(""'""&amp;DS$1&amp;""'!$D$4:$D$66"")=DS$2),$G$4:$BQ$4,$G182:$BQ182)))"),1.0088719922222222)</f>
        <v>1.008871992</v>
      </c>
      <c r="DT182" s="207" t="str">
        <f>IFERROR(__xludf.DUMMYFUNCTION("IF(OR(DS182&gt;$BS182+$BT182*$BT$2,DS182&lt;$BS182-$BT182*$BT$2),AVEDEV(ARRAYFORMULA(XLOOKUP(FILTER(INDIRECT(""'""&amp;DS$1&amp;""'!$C$4:$C$66""),INDIRECT(""'""&amp;DS$1&amp;""'!$D$4:$D$66"")=DS$2),$G$4:$BQ$4,$G182:$BQ182))),"""")"),"")</f>
        <v/>
      </c>
      <c r="DU182" s="208" t="str">
        <f t="shared" si="23"/>
        <v/>
      </c>
      <c r="DV182" s="210">
        <f>IFERROR(__xludf.DUMMYFUNCTION("AVERAGE(ARRAYFORMULA(XLOOKUP(FILTER(INDIRECT(""'""&amp;DV$1&amp;""'!$C$4:$C$66""),INDIRECT(""'""&amp;DV$1&amp;""'!$D$4:$D$66"")=DV$2),$G$4:$BQ$4,$G182:$BQ182)))"),-0.030418257500000004)</f>
        <v>-0.0304182575</v>
      </c>
      <c r="DW182" s="207" t="str">
        <f>IFERROR(__xludf.DUMMYFUNCTION("IF(OR(DV182&gt;$BS182+$BT182*$BT$2,DV182&lt;$BS182-$BT182*$BT$2),AVEDEV(ARRAYFORMULA(XLOOKUP(FILTER(INDIRECT(""'""&amp;DV$1&amp;""'!$C$4:$C$66""),INDIRECT(""'""&amp;DV$1&amp;""'!$D$4:$D$66"")=DV$2),$G$4:$BQ$4,$G182:$BQ182))),"""")"),"")</f>
        <v/>
      </c>
      <c r="DX182" s="208" t="str">
        <f t="shared" si="24"/>
        <v/>
      </c>
      <c r="DY182" s="210">
        <f>IFERROR(__xludf.DUMMYFUNCTION("AVERAGE(ARRAYFORMULA(XLOOKUP(FILTER(INDIRECT(""'""&amp;DY$1&amp;""'!$C$4:$C$66""),INDIRECT(""'""&amp;DY$1&amp;""'!$D$4:$D$66"")=DY$2),$G$4:$BQ$4,$G182:$BQ182)))"),1.0198563600000001)</f>
        <v>1.01985636</v>
      </c>
      <c r="DZ182" s="207" t="str">
        <f>IFERROR(__xludf.DUMMYFUNCTION("IF(OR(DY182&gt;$BS182+$BT182*$BT$2,DY182&lt;$BS182-$BT182*$BT$2),AVEDEV(ARRAYFORMULA(XLOOKUP(FILTER(INDIRECT(""'""&amp;DY$1&amp;""'!$C$4:$C$66""),INDIRECT(""'""&amp;DY$1&amp;""'!$D$4:$D$66"")=DY$2),$G$4:$BQ$4,$G182:$BQ182))),"""")"),"")</f>
        <v/>
      </c>
      <c r="EA182" s="208" t="str">
        <f t="shared" si="25"/>
        <v/>
      </c>
      <c r="EB182" s="191"/>
    </row>
    <row r="183" outlineLevel="1">
      <c r="A183" s="2"/>
      <c r="B183" s="204">
        <v>179.0</v>
      </c>
      <c r="C183" s="204" t="s">
        <v>601</v>
      </c>
      <c r="D183" s="204" t="s">
        <v>626</v>
      </c>
      <c r="E183" s="205" t="b">
        <f>VLOOKUP(D183,'Feature Set List'!A179:C246,2,0)</f>
        <v>1</v>
      </c>
      <c r="F183" s="205" t="b">
        <f>VLOOKUP(D183,'Feature Set List'!A179:C246,3,0)</f>
        <v>0</v>
      </c>
      <c r="G183" s="205">
        <v>0.20423892</v>
      </c>
      <c r="H183" s="205">
        <v>0.26396917</v>
      </c>
      <c r="I183" s="205">
        <v>-0.0867052</v>
      </c>
      <c r="J183" s="205">
        <v>0.0</v>
      </c>
      <c r="K183" s="205">
        <v>0.01091843</v>
      </c>
      <c r="L183" s="205">
        <v>-0.6974952</v>
      </c>
      <c r="M183" s="205">
        <v>-0.7109827</v>
      </c>
      <c r="N183" s="205">
        <v>1.06936416</v>
      </c>
      <c r="O183" s="205">
        <v>0.00256904</v>
      </c>
      <c r="P183" s="205">
        <v>-0.7007065</v>
      </c>
      <c r="Q183" s="205">
        <v>1.1554271</v>
      </c>
      <c r="R183" s="205">
        <v>-0.1631342</v>
      </c>
      <c r="S183" s="205">
        <v>0.40141297</v>
      </c>
      <c r="T183" s="205">
        <v>-0.2928709</v>
      </c>
      <c r="U183" s="205">
        <v>-0.1753372</v>
      </c>
      <c r="V183" s="205">
        <v>0.98715478</v>
      </c>
      <c r="W183" s="205">
        <v>-0.6634554</v>
      </c>
      <c r="X183" s="205">
        <v>-0.3641618</v>
      </c>
      <c r="Y183" s="205">
        <v>-0.9280668</v>
      </c>
      <c r="Z183" s="205">
        <v>0.07450225</v>
      </c>
      <c r="AA183" s="205">
        <v>-0.0584457</v>
      </c>
      <c r="AB183" s="205">
        <v>0.58831085</v>
      </c>
      <c r="AC183" s="205">
        <v>-0.1811175</v>
      </c>
      <c r="AD183" s="205">
        <v>1.23827874</v>
      </c>
      <c r="AE183" s="205">
        <v>0.45728966</v>
      </c>
      <c r="AF183" s="205">
        <v>-0.5375723</v>
      </c>
      <c r="AG183" s="205">
        <v>1.29287091</v>
      </c>
      <c r="AH183" s="205">
        <v>0.05459216</v>
      </c>
      <c r="AI183" s="205">
        <v>-0.236352</v>
      </c>
      <c r="AJ183" s="205">
        <v>-0.5728966</v>
      </c>
      <c r="AK183" s="205">
        <v>1.64739884</v>
      </c>
      <c r="AL183" s="205">
        <v>0.89466924</v>
      </c>
      <c r="AM183" s="205">
        <v>-0.1226718</v>
      </c>
      <c r="AN183" s="205">
        <v>0.21130379</v>
      </c>
      <c r="AO183" s="205">
        <v>0.93898523</v>
      </c>
      <c r="AP183" s="205">
        <v>0.63134232</v>
      </c>
      <c r="AQ183" s="205">
        <v>0.41682723</v>
      </c>
      <c r="AR183" s="205">
        <v>3.42967245</v>
      </c>
      <c r="AS183" s="205">
        <v>-0.416185</v>
      </c>
      <c r="AT183" s="205">
        <v>0.15157354</v>
      </c>
      <c r="AU183" s="205">
        <v>1.8477842</v>
      </c>
      <c r="AV183" s="205">
        <v>-0.0719332</v>
      </c>
      <c r="AW183" s="205">
        <v>0.70777136</v>
      </c>
      <c r="AX183" s="205">
        <v>1.31021195</v>
      </c>
      <c r="AY183" s="205">
        <v>0.8150289</v>
      </c>
      <c r="AZ183" s="205">
        <v>-0.2761721</v>
      </c>
      <c r="BA183" s="205">
        <v>-0.6936416</v>
      </c>
      <c r="BB183" s="205">
        <v>0.19653179</v>
      </c>
      <c r="BC183" s="205">
        <v>0.39563263</v>
      </c>
      <c r="BD183" s="205">
        <v>-1.0359666</v>
      </c>
      <c r="BE183" s="205">
        <v>-0.4938985</v>
      </c>
      <c r="BF183" s="205">
        <v>-0.1226718</v>
      </c>
      <c r="BG183" s="205">
        <v>-0.5317919</v>
      </c>
      <c r="BH183" s="205">
        <v>1.24598587</v>
      </c>
      <c r="BI183" s="205">
        <v>-0.2665382</v>
      </c>
      <c r="BJ183" s="205">
        <v>0.66859345</v>
      </c>
      <c r="BK183" s="205">
        <v>0.19845857</v>
      </c>
      <c r="BL183" s="205">
        <v>-0.1380861</v>
      </c>
      <c r="BM183" s="205">
        <v>-0.6891458</v>
      </c>
      <c r="BN183" s="205">
        <v>-1.0924855</v>
      </c>
      <c r="BO183" s="205">
        <v>-0.5189467</v>
      </c>
      <c r="BP183" s="205">
        <v>-0.2228645</v>
      </c>
      <c r="BQ183" s="205">
        <v>-0.9511882</v>
      </c>
      <c r="BR183" s="206"/>
      <c r="BS183" s="207">
        <f t="shared" si="6"/>
        <v>0.1507171905</v>
      </c>
      <c r="BT183" s="207">
        <f t="shared" si="7"/>
        <v>0.6125944278</v>
      </c>
      <c r="BU183" s="206"/>
      <c r="BV183" s="207">
        <f>IFERROR(__xludf.DUMMYFUNCTION("AVERAGE(ARRAYFORMULA(XLOOKUP(FILTER(INDIRECT(""'""&amp;BV$1&amp;""'!$C$4:$C$66""),INDIRECT(""'""&amp;BV$1&amp;""'!$D$4:$D$66"")=BV$2),$G$4:$BQ$4,$G183:$BQ183)))"),0.11129461714285714)</f>
        <v>0.1112946171</v>
      </c>
      <c r="BW183" s="207" t="str">
        <f>IFERROR(__xludf.DUMMYFUNCTION("IF(OR(BV183&gt;$BS183+$BT183*$BT$2,BV183&lt;$BS183-$BT183*$BT$2),AVEDEV(ARRAYFORMULA(XLOOKUP(FILTER(INDIRECT(""'""&amp;BV$1&amp;""'!$C$4:$C$66""),INDIRECT(""'""&amp;BV$1&amp;""'!$D$4:$D$66"")=BV$2),$G$4:$BQ$4,$G183:$BQ183))),"""")"),"")</f>
        <v/>
      </c>
      <c r="BX183" s="208" t="str">
        <f t="shared" si="8"/>
        <v/>
      </c>
      <c r="BY183" s="207">
        <f>IFERROR(__xludf.DUMMYFUNCTION("AVERAGE(ARRAYFORMULA(XLOOKUP(FILTER(INDIRECT(""'""&amp;BY$1&amp;""'!$C$4:$C$66""),INDIRECT(""'""&amp;BY$1&amp;""'!$D$4:$D$66"")=BY$2),$G$4:$BQ$4,$G183:$BQ183)))"),0.33278282523809527)</f>
        <v>0.3327828252</v>
      </c>
      <c r="BZ183" s="207" t="str">
        <f>IFERROR(__xludf.DUMMYFUNCTION("IF(OR(BY183&gt;$BS183+$BT183*$BT$2,BY183&lt;$BS183-$BT183*$BT$2),AVEDEV(ARRAYFORMULA(XLOOKUP(FILTER(INDIRECT(""'""&amp;BY$1&amp;""'!$C$4:$C$66""),INDIRECT(""'""&amp;BY$1&amp;""'!$D$4:$D$66"")=BY$2),$G$4:$BQ$4,$G183:$BQ183))),"""")"),"")</f>
        <v/>
      </c>
      <c r="CA183" s="208" t="str">
        <f t="shared" si="9"/>
        <v/>
      </c>
      <c r="CB183" s="207">
        <f>IFERROR(__xludf.DUMMYFUNCTION("AVERAGE(ARRAYFORMULA(XLOOKUP(FILTER(INDIRECT(""'""&amp;CB$1&amp;""'!$C$4:$C$66""),INDIRECT(""'""&amp;CB$1&amp;""'!$D$4:$D$66"")=CB$2),$G$4:$BQ$4,$G183:$BQ183)))"),-0.5441700345454545)</f>
        <v>-0.5441700345</v>
      </c>
      <c r="CC183" s="207">
        <f>IFERROR(__xludf.DUMMYFUNCTION("IF(OR(CB183&gt;$BS183+$BT183*$BT$2,CB183&lt;$BS183-$BT183*$BT$2),AVEDEV(ARRAYFORMULA(XLOOKUP(FILTER(INDIRECT(""'""&amp;CB$1&amp;""'!$C$4:$C$66""),INDIRECT(""'""&amp;CB$1&amp;""'!$D$4:$D$66"")=CB$2),$G$4:$BQ$4,$G183:$BQ183))),"""")"),0.23169159239669426)</f>
        <v>0.2316915924</v>
      </c>
      <c r="CD183" s="208">
        <f t="shared" si="10"/>
        <v>-0.08229279718</v>
      </c>
      <c r="CE183" s="209" t="s">
        <v>444</v>
      </c>
      <c r="CF183" s="207">
        <f>IFERROR(__xludf.DUMMYFUNCTION("AVERAGE(ARRAYFORMULA(XLOOKUP(FILTER(INDIRECT(""'""&amp;CF$1&amp;""'!$C$4:$C$66""),INDIRECT(""'""&amp;CF$1&amp;""'!$D$4:$D$66"")=CF$2),$G$4:$BQ$4,$G183:$BQ183)))"),0.45616569937499996)</f>
        <v>0.4561656994</v>
      </c>
      <c r="CG183" s="207" t="str">
        <f>IFERROR(__xludf.DUMMYFUNCTION("IF(OR(CF183&gt;$BS183+$BT183*$BT$2,CF183&lt;$BS183-$BT183*$BT$2),AVEDEV(ARRAYFORMULA(XLOOKUP(FILTER(INDIRECT(""'""&amp;CF$1&amp;""'!$C$4:$C$66""),INDIRECT(""'""&amp;CF$1&amp;""'!$D$4:$D$66"")=CF$2),$G$4:$BQ$4,$G183:$BQ183))),"""")"),"")</f>
        <v/>
      </c>
      <c r="CH183" s="208" t="str">
        <f t="shared" si="11"/>
        <v/>
      </c>
      <c r="CI183" s="207">
        <f>IFERROR(__xludf.DUMMYFUNCTION("AVERAGE(ARRAYFORMULA(XLOOKUP(FILTER(INDIRECT(""'""&amp;CI$1&amp;""'!$C$4:$C$66""),INDIRECT(""'""&amp;CI$1&amp;""'!$D$4:$D$66"")=CI$2),$G$4:$BQ$4,$G183:$BQ183)))"),-0.0021339625806451753)</f>
        <v>-0.002133962581</v>
      </c>
      <c r="CJ183" s="207" t="str">
        <f>IFERROR(__xludf.DUMMYFUNCTION("IF(OR(CI183&gt;$BS183+$BT183*$BT$2,CI183&lt;$BS183-$BT183*$BT$2),AVEDEV(ARRAYFORMULA(XLOOKUP(FILTER(INDIRECT(""'""&amp;CI$1&amp;""'!$C$4:$C$66""),INDIRECT(""'""&amp;CI$1&amp;""'!$D$4:$D$66"")=CI$2),$G$4:$BQ$4,$G183:$BQ183))),"""")"),"")</f>
        <v/>
      </c>
      <c r="CK183" s="208" t="str">
        <f t="shared" si="12"/>
        <v/>
      </c>
      <c r="CL183" s="207">
        <f>IFERROR(__xludf.DUMMYFUNCTION("AVERAGE(ARRAYFORMULA(XLOOKUP(FILTER(INDIRECT(""'""&amp;CL$1&amp;""'!$C$4:$C$66""),INDIRECT(""'""&amp;CL$1&amp;""'!$D$4:$D$66"")=CL$2),$G$4:$BQ$4,$G183:$BQ183)))"),-0.5270391799999999)</f>
        <v>-0.52703918</v>
      </c>
      <c r="CM183" s="207">
        <f>IFERROR(__xludf.DUMMYFUNCTION("IF(OR(CL183&gt;$BS183+$BT183*$BT$2,CL183&lt;$BS183-$BT183*$BT$2),AVEDEV(ARRAYFORMULA(XLOOKUP(FILTER(INDIRECT(""'""&amp;CL$1&amp;""'!$C$4:$C$66""),INDIRECT(""'""&amp;CL$1&amp;""'!$D$4:$D$66"")=CL$2),$G$4:$BQ$4,$G183:$BQ183))),"""")"),0.138008984)</f>
        <v>0.138008984</v>
      </c>
      <c r="CN183" s="208">
        <f t="shared" si="13"/>
        <v>-0.06516194263</v>
      </c>
      <c r="CO183" s="209" t="s">
        <v>444</v>
      </c>
      <c r="CP183" s="210">
        <f>IFERROR(__xludf.DUMMYFUNCTION("AVERAGE(ARRAYFORMULA(XLOOKUP(FILTER(INDIRECT(""'""&amp;CP$1&amp;""'!$C$4:$C$66""),INDIRECT(""'""&amp;CP$1&amp;""'!$D$4:$D$66"")=CP$2),$G$4:$BQ$4,$G183:$BQ183)))"),-0.04581459466666667)</f>
        <v>-0.04581459467</v>
      </c>
      <c r="CQ183" s="207" t="str">
        <f>IFERROR(__xludf.DUMMYFUNCTION("IF(OR(CP183&gt;$BS183+$BT183*$BT$2,CP183&lt;$BS183-$BT183*$BT$2),AVEDEV(ARRAYFORMULA(XLOOKUP(FILTER(INDIRECT(""'""&amp;CP$1&amp;""'!$C$4:$C$66""),INDIRECT(""'""&amp;CP$1&amp;""'!$D$4:$D$66"")=CP$2),$G$4:$BQ$4,$G183:$BQ183))),"""")"),"")</f>
        <v/>
      </c>
      <c r="CR183" s="208" t="str">
        <f t="shared" si="14"/>
        <v/>
      </c>
      <c r="CS183" s="210">
        <f>IFERROR(__xludf.DUMMYFUNCTION("AVERAGE(ARRAYFORMULA(XLOOKUP(FILTER(INDIRECT(""'""&amp;CS$1&amp;""'!$C$4:$C$66""),INDIRECT(""'""&amp;CS$1&amp;""'!$D$4:$D$66"")=CS$2),$G$4:$BQ$4,$G183:$BQ183)))"),0.31360439794871803)</f>
        <v>0.3136043979</v>
      </c>
      <c r="CT183" s="207" t="str">
        <f>IFERROR(__xludf.DUMMYFUNCTION("IF(OR(CS183&gt;$BS183+$BT183*$BT$2,CS183&lt;$BS183-$BT183*$BT$2),AVEDEV(ARRAYFORMULA(XLOOKUP(FILTER(INDIRECT(""'""&amp;CS$1&amp;""'!$C$4:$C$66""),INDIRECT(""'""&amp;CS$1&amp;""'!$D$4:$D$66"")=CS$2),$G$4:$BQ$4,$G183:$BQ183))),"""")"),"")</f>
        <v/>
      </c>
      <c r="CU183" s="208" t="str">
        <f t="shared" si="15"/>
        <v/>
      </c>
      <c r="CV183" s="210">
        <f>IFERROR(__xludf.DUMMYFUNCTION("AVERAGE(ARRAYFORMULA(XLOOKUP(FILTER(INDIRECT(""'""&amp;CV$1&amp;""'!$C$4:$C$66""),INDIRECT(""'""&amp;CV$1&amp;""'!$D$4:$D$66"")=CV$2),$G$4:$BQ$4,$G183:$BQ183)))"),-0.5270391799999999)</f>
        <v>-0.52703918</v>
      </c>
      <c r="CW183" s="207">
        <f>IFERROR(__xludf.DUMMYFUNCTION("IF(OR(CV183&gt;$BS183+$BT183*$BT$2,CV183&lt;$BS183-$BT183*$BT$2),AVEDEV(ARRAYFORMULA(XLOOKUP(FILTER(INDIRECT(""'""&amp;CV$1&amp;""'!$C$4:$C$66""),INDIRECT(""'""&amp;CV$1&amp;""'!$D$4:$D$66"")=CV$2),$G$4:$BQ$4,$G183:$BQ183))),"""")"),0.138008984)</f>
        <v>0.138008984</v>
      </c>
      <c r="CX183" s="208">
        <f t="shared" si="16"/>
        <v>-0.06516194263</v>
      </c>
      <c r="CY183" s="209" t="s">
        <v>444</v>
      </c>
      <c r="CZ183" s="210">
        <f>IFERROR(__xludf.DUMMYFUNCTION("AVERAGE(ARRAYFORMULA(XLOOKUP(FILTER(INDIRECT(""'""&amp;CZ$1&amp;""'!$C$4:$C$66""),INDIRECT(""'""&amp;CZ$1&amp;""'!$D$4:$D$66"")=CZ$2),$G$4:$BQ$4,$G183:$BQ183)))"),0.5862923171428571)</f>
        <v>0.5862923171</v>
      </c>
      <c r="DA183" s="207" t="str">
        <f>IFERROR(__xludf.DUMMYFUNCTION("IF(OR(CZ183&gt;$BS183+$BT183*$BT$2,CZ183&lt;$BS183-$BT183*$BT$2),AVEDEV(ARRAYFORMULA(XLOOKUP(FILTER(INDIRECT(""'""&amp;CZ$1&amp;""'!$C$4:$C$66""),INDIRECT(""'""&amp;CZ$1&amp;""'!$D$4:$D$66"")=CZ$2),$G$4:$BQ$4,$G183:$BQ183))),"""")"),"")</f>
        <v/>
      </c>
      <c r="DB183" s="208" t="str">
        <f t="shared" si="17"/>
        <v/>
      </c>
      <c r="DC183" s="210">
        <f>IFERROR(__xludf.DUMMYFUNCTION("AVERAGE(ARRAYFORMULA(XLOOKUP(FILTER(INDIRECT(""'""&amp;DC$1&amp;""'!$C$4:$C$66""),INDIRECT(""'""&amp;DC$1&amp;""'!$D$4:$D$66"")=DC$2),$G$4:$BQ$4,$G183:$BQ183)))"),-0.5578391644444444)</f>
        <v>-0.5578391644</v>
      </c>
      <c r="DD183" s="207">
        <f>IFERROR(__xludf.DUMMYFUNCTION("IF(OR(DC183&gt;$BS183+$BT183*$BT$2,DC183&lt;$BS183-$BT183*$BT$2),AVEDEV(ARRAYFORMULA(XLOOKUP(FILTER(INDIRECT(""'""&amp;DC$1&amp;""'!$C$4:$C$66""),INDIRECT(""'""&amp;DC$1&amp;""'!$D$4:$D$66"")=DC$2),$G$4:$BQ$4,$G183:$BQ183))),"""")"),0.23273626962962968)</f>
        <v>0.2327362696</v>
      </c>
      <c r="DE183" s="208">
        <f t="shared" si="18"/>
        <v>-0.09596192707</v>
      </c>
      <c r="DF183" s="210">
        <f>IFERROR(__xludf.DUMMYFUNCTION("AVERAGE(ARRAYFORMULA(XLOOKUP(FILTER(INDIRECT(""'""&amp;DF$1&amp;""'!$C$4:$C$66""),INDIRECT(""'""&amp;DF$1&amp;""'!$D$4:$D$66"")=DF$2),$G$4:$BQ$4,$G183:$BQ183)))"),-0.05138085272727273)</f>
        <v>-0.05138085273</v>
      </c>
      <c r="DG183" s="207" t="str">
        <f>IFERROR(__xludf.DUMMYFUNCTION("IF(OR(DF183&gt;$BS183+$BT183*$BT$2,DF183&lt;$BS183-$BT183*$BT$2),AVEDEV(ARRAYFORMULA(XLOOKUP(FILTER(INDIRECT(""'""&amp;DF$1&amp;""'!$C$4:$C$66""),INDIRECT(""'""&amp;DF$1&amp;""'!$D$4:$D$66"")=DF$2),$G$4:$BQ$4,$G183:$BQ183))),"""")"),"")</f>
        <v/>
      </c>
      <c r="DH183" s="208" t="str">
        <f t="shared" si="19"/>
        <v/>
      </c>
      <c r="DI183" s="210">
        <f>IFERROR(__xludf.DUMMYFUNCTION("AVERAGE(ARRAYFORMULA(XLOOKUP(FILTER(INDIRECT(""'""&amp;DI$1&amp;""'!$C$4:$C$66""),INDIRECT(""'""&amp;DI$1&amp;""'!$D$4:$D$66"")=DI$2),$G$4:$BQ$4,$G183:$BQ183)))"),1.242132305)</f>
        <v>1.242132305</v>
      </c>
      <c r="DJ183" s="207">
        <f>IFERROR(__xludf.DUMMYFUNCTION("IF(OR(DI183&gt;$BS183+$BT183*$BT$2,DI183&lt;$BS183-$BT183*$BT$2),AVEDEV(ARRAYFORMULA(XLOOKUP(FILTER(INDIRECT(""'""&amp;DI$1&amp;""'!$C$4:$C$66""),INDIRECT(""'""&amp;DI$1&amp;""'!$D$4:$D$66"")=DI$2),$G$4:$BQ$4,$G183:$BQ183))),"""")"),0.0038535650000000032)</f>
        <v>0.003853565</v>
      </c>
      <c r="DK183" s="208">
        <f t="shared" si="20"/>
        <v>0.4788206867</v>
      </c>
      <c r="DL183" s="210">
        <f>IFERROR(__xludf.DUMMYFUNCTION("AVERAGE(ARRAYFORMULA(XLOOKUP(FILTER(INDIRECT(""'""&amp;DL$1&amp;""'!$C$4:$C$66""),INDIRECT(""'""&amp;DL$1&amp;""'!$D$4:$D$66"")=DL$2),$G$4:$BQ$4,$G183:$BQ183)))"),0.28420039)</f>
        <v>0.28420039</v>
      </c>
      <c r="DM183" s="207" t="str">
        <f>IFERROR(__xludf.DUMMYFUNCTION("IF(OR(DL183&gt;$BS183+$BT183*$BT$2,DL183&lt;$BS183-$BT183*$BT$2),AVEDEV(ARRAYFORMULA(XLOOKUP(FILTER(INDIRECT(""'""&amp;DL$1&amp;""'!$C$4:$C$66""),INDIRECT(""'""&amp;DL$1&amp;""'!$D$4:$D$66"")=DL$2),$G$4:$BQ$4,$G183:$BQ183))),"""")"),"")</f>
        <v/>
      </c>
      <c r="DN183" s="208" t="str">
        <f t="shared" si="21"/>
        <v/>
      </c>
      <c r="DO183" s="209" t="s">
        <v>444</v>
      </c>
      <c r="DP183" s="210">
        <f>IFERROR(__xludf.DUMMYFUNCTION("AVERAGE(ARRAYFORMULA(XLOOKUP(FILTER(INDIRECT(""'""&amp;DP$1&amp;""'!$C$4:$C$66""),INDIRECT(""'""&amp;DP$1&amp;""'!$D$4:$D$66"")=DP$2),$G$4:$BQ$4,$G183:$BQ183)))"),0.3223506740000001)</f>
        <v>0.322350674</v>
      </c>
      <c r="DQ183" s="207" t="str">
        <f>IFERROR(__xludf.DUMMYFUNCTION("IF(OR(DP183&gt;$BS183+$BT183*$BT$2,DP183&lt;$BS183-$BT183*$BT$2),AVEDEV(ARRAYFORMULA(XLOOKUP(FILTER(INDIRECT(""'""&amp;DP$1&amp;""'!$C$4:$C$66""),INDIRECT(""'""&amp;DP$1&amp;""'!$D$4:$D$66"")=DP$2),$G$4:$BQ$4,$G183:$BQ183))),"""")"),"")</f>
        <v/>
      </c>
      <c r="DR183" s="208" t="str">
        <f t="shared" si="22"/>
        <v/>
      </c>
      <c r="DS183" s="210">
        <f>IFERROR(__xludf.DUMMYFUNCTION("AVERAGE(ARRAYFORMULA(XLOOKUP(FILTER(INDIRECT(""'""&amp;DS$1&amp;""'!$C$4:$C$66""),INDIRECT(""'""&amp;DS$1&amp;""'!$D$4:$D$66"")=DS$2),$G$4:$BQ$4,$G183:$BQ183)))"),-0.4795547088888889)</f>
        <v>-0.4795547089</v>
      </c>
      <c r="DT183" s="207">
        <f>IFERROR(__xludf.DUMMYFUNCTION("IF(OR(DS183&gt;$BS183+$BT183*$BT$2,DS183&lt;$BS183-$BT183*$BT$2),AVEDEV(ARRAYFORMULA(XLOOKUP(FILTER(INDIRECT(""'""&amp;DS$1&amp;""'!$C$4:$C$66""),INDIRECT(""'""&amp;DS$1&amp;""'!$D$4:$D$66"")=DS$2),$G$4:$BQ$4,$G183:$BQ183))),"""")"),0.28402198814814805)</f>
        <v>0.2840219881</v>
      </c>
      <c r="DU183" s="208">
        <f t="shared" si="23"/>
        <v>-0.01767747152</v>
      </c>
      <c r="DV183" s="210">
        <f>IFERROR(__xludf.DUMMYFUNCTION("AVERAGE(ARRAYFORMULA(XLOOKUP(FILTER(INDIRECT(""'""&amp;DV$1&amp;""'!$C$4:$C$66""),INDIRECT(""'""&amp;DV$1&amp;""'!$D$4:$D$66"")=DV$2),$G$4:$BQ$4,$G183:$BQ183)))"),-0.0033718612499999967)</f>
        <v>-0.00337186125</v>
      </c>
      <c r="DW183" s="207" t="str">
        <f>IFERROR(__xludf.DUMMYFUNCTION("IF(OR(DV183&gt;$BS183+$BT183*$BT$2,DV183&lt;$BS183-$BT183*$BT$2),AVEDEV(ARRAYFORMULA(XLOOKUP(FILTER(INDIRECT(""'""&amp;DV$1&amp;""'!$C$4:$C$66""),INDIRECT(""'""&amp;DV$1&amp;""'!$D$4:$D$66"")=DV$2),$G$4:$BQ$4,$G183:$BQ183))),"""")"),"")</f>
        <v/>
      </c>
      <c r="DX183" s="208" t="str">
        <f t="shared" si="24"/>
        <v/>
      </c>
      <c r="DY183" s="210">
        <f>IFERROR(__xludf.DUMMYFUNCTION("AVERAGE(ARRAYFORMULA(XLOOKUP(FILTER(INDIRECT(""'""&amp;DY$1&amp;""'!$C$4:$C$66""),INDIRECT(""'""&amp;DY$1&amp;""'!$D$4:$D$66"")=DY$2),$G$4:$BQ$4,$G183:$BQ183)))"),-0.047099125555555586)</f>
        <v>-0.04709912556</v>
      </c>
      <c r="DZ183" s="207" t="str">
        <f>IFERROR(__xludf.DUMMYFUNCTION("IF(OR(DY183&gt;$BS183+$BT183*$BT$2,DY183&lt;$BS183-$BT183*$BT$2),AVEDEV(ARRAYFORMULA(XLOOKUP(FILTER(INDIRECT(""'""&amp;DY$1&amp;""'!$C$4:$C$66""),INDIRECT(""'""&amp;DY$1&amp;""'!$D$4:$D$66"")=DY$2),$G$4:$BQ$4,$G183:$BQ183))),"""")"),"")</f>
        <v/>
      </c>
      <c r="EA183" s="208" t="str">
        <f t="shared" si="25"/>
        <v/>
      </c>
      <c r="EB183" s="191"/>
    </row>
    <row r="184" outlineLevel="1">
      <c r="A184" s="2"/>
      <c r="B184" s="204">
        <v>180.0</v>
      </c>
      <c r="C184" s="204" t="s">
        <v>601</v>
      </c>
      <c r="D184" s="204" t="s">
        <v>627</v>
      </c>
      <c r="E184" s="205" t="b">
        <f>VLOOKUP(D184,'Feature Set List'!A180:C246,2,0)</f>
        <v>1</v>
      </c>
      <c r="F184" s="205" t="b">
        <f>VLOOKUP(D184,'Feature Set List'!A180:C246,3,0)</f>
        <v>0</v>
      </c>
      <c r="G184" s="205">
        <v>0.0254717</v>
      </c>
      <c r="H184" s="205">
        <v>0.27075472</v>
      </c>
      <c r="I184" s="205">
        <v>0.09716981</v>
      </c>
      <c r="J184" s="205">
        <v>0.11886792</v>
      </c>
      <c r="K184" s="205">
        <v>-0.2764151</v>
      </c>
      <c r="L184" s="205">
        <v>-0.9764151</v>
      </c>
      <c r="M184" s="205">
        <v>-0.9962264</v>
      </c>
      <c r="N184" s="205">
        <v>0.51792453</v>
      </c>
      <c r="O184" s="205">
        <v>0.2009434</v>
      </c>
      <c r="P184" s="205">
        <v>-0.854717</v>
      </c>
      <c r="Q184" s="205">
        <v>0.71132075</v>
      </c>
      <c r="R184" s="205">
        <v>-0.3349057</v>
      </c>
      <c r="S184" s="205">
        <v>0.39245283</v>
      </c>
      <c r="T184" s="205">
        <v>-0.6141509</v>
      </c>
      <c r="U184" s="205">
        <v>-0.1971698</v>
      </c>
      <c r="V184" s="205">
        <v>0.69245283</v>
      </c>
      <c r="W184" s="205">
        <v>-0.8424528</v>
      </c>
      <c r="X184" s="205">
        <v>-0.2122642</v>
      </c>
      <c r="Y184" s="205">
        <v>-1.195283</v>
      </c>
      <c r="Z184" s="205">
        <v>0.27924528</v>
      </c>
      <c r="AA184" s="205">
        <v>-0.2377358</v>
      </c>
      <c r="AB184" s="205">
        <v>0.15283019</v>
      </c>
      <c r="AC184" s="205">
        <v>-0.4358491</v>
      </c>
      <c r="AD184" s="205">
        <v>1.08679245</v>
      </c>
      <c r="AE184" s="205">
        <v>0.2745283</v>
      </c>
      <c r="AF184" s="205">
        <v>-0.745283</v>
      </c>
      <c r="AG184" s="205">
        <v>1.29811321</v>
      </c>
      <c r="AH184" s="205">
        <v>-0.1679245</v>
      </c>
      <c r="AI184" s="205">
        <v>-0.5179245</v>
      </c>
      <c r="AJ184" s="205">
        <v>-0.5037736</v>
      </c>
      <c r="AK184" s="205">
        <v>1.03679245</v>
      </c>
      <c r="AL184" s="205">
        <v>0.32264151</v>
      </c>
      <c r="AM184" s="205">
        <v>-0.3415094</v>
      </c>
      <c r="AN184" s="205">
        <v>-0.0764151</v>
      </c>
      <c r="AO184" s="205">
        <v>0.49056604</v>
      </c>
      <c r="AP184" s="205">
        <v>0.61698113</v>
      </c>
      <c r="AQ184" s="205">
        <v>0.58396226</v>
      </c>
      <c r="AR184" s="205">
        <v>2.08867925</v>
      </c>
      <c r="AS184" s="205">
        <v>-0.5990566</v>
      </c>
      <c r="AT184" s="205">
        <v>0.01415094</v>
      </c>
      <c r="AU184" s="205">
        <v>1.55660377</v>
      </c>
      <c r="AV184" s="205">
        <v>0.16886792</v>
      </c>
      <c r="AW184" s="205">
        <v>0.77075472</v>
      </c>
      <c r="AX184" s="205">
        <v>0.91415094</v>
      </c>
      <c r="AY184" s="205">
        <v>0.85377358</v>
      </c>
      <c r="AZ184" s="205">
        <v>0.03113208</v>
      </c>
      <c r="BA184" s="205">
        <v>-0.8650943</v>
      </c>
      <c r="BB184" s="205">
        <v>0.00377358</v>
      </c>
      <c r="BC184" s="205">
        <v>0.22735849</v>
      </c>
      <c r="BD184" s="205">
        <v>-1.1216981</v>
      </c>
      <c r="BE184" s="205">
        <v>0.0</v>
      </c>
      <c r="BF184" s="205">
        <v>-0.0990566</v>
      </c>
      <c r="BG184" s="205">
        <v>-0.759434</v>
      </c>
      <c r="BH184" s="205">
        <v>1.11037736</v>
      </c>
      <c r="BI184" s="205">
        <v>-0.6886792</v>
      </c>
      <c r="BJ184" s="205">
        <v>0.49716981</v>
      </c>
      <c r="BK184" s="205">
        <v>-0.2103774</v>
      </c>
      <c r="BL184" s="205">
        <v>-0.4886792</v>
      </c>
      <c r="BM184" s="205">
        <v>-0.9622642</v>
      </c>
      <c r="BN184" s="205">
        <v>-1.2481132</v>
      </c>
      <c r="BO184" s="205">
        <v>-0.6037736</v>
      </c>
      <c r="BP184" s="205">
        <v>-0.4424528</v>
      </c>
      <c r="BQ184" s="205">
        <v>-1.2641509</v>
      </c>
      <c r="BR184" s="206"/>
      <c r="BS184" s="207">
        <f t="shared" si="6"/>
        <v>-0.02337525952</v>
      </c>
      <c r="BT184" s="207">
        <f t="shared" si="7"/>
        <v>0.5763368906</v>
      </c>
      <c r="BU184" s="206"/>
      <c r="BV184" s="207">
        <f>IFERROR(__xludf.DUMMYFUNCTION("AVERAGE(ARRAYFORMULA(XLOOKUP(FILTER(INDIRECT(""'""&amp;BV$1&amp;""'!$C$4:$C$66""),INDIRECT(""'""&amp;BV$1&amp;""'!$D$4:$D$66"")=BV$2),$G$4:$BQ$4,$G184:$BQ184)))"),0.0642857142857143)</f>
        <v>0.06428571429</v>
      </c>
      <c r="BW184" s="207" t="str">
        <f>IFERROR(__xludf.DUMMYFUNCTION("IF(OR(BV184&gt;$BS184+$BT184*$BT$2,BV184&lt;$BS184-$BT184*$BT$2),AVEDEV(ARRAYFORMULA(XLOOKUP(FILTER(INDIRECT(""'""&amp;BV$1&amp;""'!$C$4:$C$66""),INDIRECT(""'""&amp;BV$1&amp;""'!$D$4:$D$66"")=BV$2),$G$4:$BQ$4,$G184:$BQ184))),"""")"),"")</f>
        <v/>
      </c>
      <c r="BX184" s="208" t="str">
        <f t="shared" si="8"/>
        <v/>
      </c>
      <c r="BY184" s="207">
        <f>IFERROR(__xludf.DUMMYFUNCTION("AVERAGE(ARRAYFORMULA(XLOOKUP(FILTER(INDIRECT(""'""&amp;BY$1&amp;""'!$C$4:$C$66""),INDIRECT(""'""&amp;BY$1&amp;""'!$D$4:$D$66"")=BY$2),$G$4:$BQ$4,$G184:$BQ184)))"),0.13191824023809526)</f>
        <v>0.1319182402</v>
      </c>
      <c r="BZ184" s="207" t="str">
        <f>IFERROR(__xludf.DUMMYFUNCTION("IF(OR(BY184&gt;$BS184+$BT184*$BT$2,BY184&lt;$BS184-$BT184*$BT$2),AVEDEV(ARRAYFORMULA(XLOOKUP(FILTER(INDIRECT(""'""&amp;BY$1&amp;""'!$C$4:$C$66""),INDIRECT(""'""&amp;BY$1&amp;""'!$D$4:$D$66"")=BY$2),$G$4:$BQ$4,$G184:$BQ184))),"""")"),"")</f>
        <v/>
      </c>
      <c r="CA184" s="208" t="str">
        <f t="shared" si="9"/>
        <v/>
      </c>
      <c r="CB184" s="207">
        <f>IFERROR(__xludf.DUMMYFUNCTION("AVERAGE(ARRAYFORMULA(XLOOKUP(FILTER(INDIRECT(""'""&amp;CB$1&amp;""'!$C$4:$C$66""),INDIRECT(""'""&amp;CB$1&amp;""'!$D$4:$D$66"")=CB$2),$G$4:$BQ$4,$G184:$BQ184)))"),-0.7268439018181818)</f>
        <v>-0.7268439018</v>
      </c>
      <c r="CC184" s="207">
        <f>IFERROR(__xludf.DUMMYFUNCTION("IF(OR(CB184&gt;$BS184+$BT184*$BT$2,CB184&lt;$BS184-$BT184*$BT$2),AVEDEV(ARRAYFORMULA(XLOOKUP(FILTER(INDIRECT(""'""&amp;CB$1&amp;""'!$C$4:$C$66""),INDIRECT(""'""&amp;CB$1&amp;""'!$D$4:$D$66"")=CB$2),$G$4:$BQ$4,$G184:$BQ184))),"""")"),0.295088106446281)</f>
        <v>0.2950881064</v>
      </c>
      <c r="CD184" s="208">
        <f t="shared" si="10"/>
        <v>-0.1271317517</v>
      </c>
      <c r="CE184" s="209" t="s">
        <v>444</v>
      </c>
      <c r="CF184" s="207">
        <f>IFERROR(__xludf.DUMMYFUNCTION("AVERAGE(ARRAYFORMULA(XLOOKUP(FILTER(INDIRECT(""'""&amp;CF$1&amp;""'!$C$4:$C$66""),INDIRECT(""'""&amp;CF$1&amp;""'!$D$4:$D$66"")=CF$2),$G$4:$BQ$4,$G184:$BQ184)))"),0.31928066187500004)</f>
        <v>0.3192806619</v>
      </c>
      <c r="CG184" s="207" t="str">
        <f>IFERROR(__xludf.DUMMYFUNCTION("IF(OR(CF184&gt;$BS184+$BT184*$BT$2,CF184&lt;$BS184-$BT184*$BT$2),AVEDEV(ARRAYFORMULA(XLOOKUP(FILTER(INDIRECT(""'""&amp;CF$1&amp;""'!$C$4:$C$66""),INDIRECT(""'""&amp;CF$1&amp;""'!$D$4:$D$66"")=CF$2),$G$4:$BQ$4,$G184:$BQ184))),"""")"),"")</f>
        <v/>
      </c>
      <c r="CH184" s="208" t="str">
        <f t="shared" si="11"/>
        <v/>
      </c>
      <c r="CI184" s="207">
        <f>IFERROR(__xludf.DUMMYFUNCTION("AVERAGE(ARRAYFORMULA(XLOOKUP(FILTER(INDIRECT(""'""&amp;CI$1&amp;""'!$C$4:$C$66""),INDIRECT(""'""&amp;CI$1&amp;""'!$D$4:$D$66"")=CI$2),$G$4:$BQ$4,$G184:$BQ184)))"),-0.15073036612903226)</f>
        <v>-0.1507303661</v>
      </c>
      <c r="CJ184" s="207" t="str">
        <f>IFERROR(__xludf.DUMMYFUNCTION("IF(OR(CI184&gt;$BS184+$BT184*$BT$2,CI184&lt;$BS184-$BT184*$BT$2),AVEDEV(ARRAYFORMULA(XLOOKUP(FILTER(INDIRECT(""'""&amp;CI$1&amp;""'!$C$4:$C$66""),INDIRECT(""'""&amp;CI$1&amp;""'!$D$4:$D$66"")=CI$2),$G$4:$BQ$4,$G184:$BQ184))),"""")"),"")</f>
        <v/>
      </c>
      <c r="CK184" s="208" t="str">
        <f t="shared" si="12"/>
        <v/>
      </c>
      <c r="CL184" s="207">
        <f>IFERROR(__xludf.DUMMYFUNCTION("AVERAGE(ARRAYFORMULA(XLOOKUP(FILTER(INDIRECT(""'""&amp;CL$1&amp;""'!$C$4:$C$66""),INDIRECT(""'""&amp;CL$1&amp;""'!$D$4:$D$66"")=CL$2),$G$4:$BQ$4,$G184:$BQ184)))"),-0.73849056)</f>
        <v>-0.73849056</v>
      </c>
      <c r="CM184" s="207">
        <f>IFERROR(__xludf.DUMMYFUNCTION("IF(OR(CL184&gt;$BS184+$BT184*$BT$2,CL184&lt;$BS184-$BT184*$BT$2),AVEDEV(ARRAYFORMULA(XLOOKUP(FILTER(INDIRECT(""'""&amp;CL$1&amp;""'!$C$4:$C$66""),INDIRECT(""'""&amp;CL$1&amp;""'!$D$4:$D$66"")=CL$2),$G$4:$BQ$4,$G184:$BQ184))),"""")"),0.10550944799999998)</f>
        <v>0.105509448</v>
      </c>
      <c r="CN184" s="208">
        <f t="shared" si="13"/>
        <v>-0.1387784098</v>
      </c>
      <c r="CO184" s="209" t="s">
        <v>444</v>
      </c>
      <c r="CP184" s="210">
        <f>IFERROR(__xludf.DUMMYFUNCTION("AVERAGE(ARRAYFORMULA(XLOOKUP(FILTER(INDIRECT(""'""&amp;CP$1&amp;""'!$C$4:$C$66""),INDIRECT(""'""&amp;CP$1&amp;""'!$D$4:$D$66"")=CP$2),$G$4:$BQ$4,$G184:$BQ184)))"),-0.20157233066666666)</f>
        <v>-0.2015723307</v>
      </c>
      <c r="CQ184" s="207" t="str">
        <f>IFERROR(__xludf.DUMMYFUNCTION("IF(OR(CP184&gt;$BS184+$BT184*$BT$2,CP184&lt;$BS184-$BT184*$BT$2),AVEDEV(ARRAYFORMULA(XLOOKUP(FILTER(INDIRECT(""'""&amp;CP$1&amp;""'!$C$4:$C$66""),INDIRECT(""'""&amp;CP$1&amp;""'!$D$4:$D$66"")=CP$2),$G$4:$BQ$4,$G184:$BQ184))),"""")"),"")</f>
        <v/>
      </c>
      <c r="CR184" s="208" t="str">
        <f t="shared" si="14"/>
        <v/>
      </c>
      <c r="CS184" s="210">
        <f>IFERROR(__xludf.DUMMYFUNCTION("AVERAGE(ARRAYFORMULA(XLOOKUP(FILTER(INDIRECT(""'""&amp;CS$1&amp;""'!$C$4:$C$66""),INDIRECT(""'""&amp;CS$1&amp;""'!$D$4:$D$66"")=CS$2),$G$4:$BQ$4,$G184:$BQ184)))"),0.13333333666666666)</f>
        <v>0.1333333367</v>
      </c>
      <c r="CT184" s="207" t="str">
        <f>IFERROR(__xludf.DUMMYFUNCTION("IF(OR(CS184&gt;$BS184+$BT184*$BT$2,CS184&lt;$BS184-$BT184*$BT$2),AVEDEV(ARRAYFORMULA(XLOOKUP(FILTER(INDIRECT(""'""&amp;CS$1&amp;""'!$C$4:$C$66""),INDIRECT(""'""&amp;CS$1&amp;""'!$D$4:$D$66"")=CS$2),$G$4:$BQ$4,$G184:$BQ184))),"""")"),"")</f>
        <v/>
      </c>
      <c r="CU184" s="208" t="str">
        <f t="shared" si="15"/>
        <v/>
      </c>
      <c r="CV184" s="210">
        <f>IFERROR(__xludf.DUMMYFUNCTION("AVERAGE(ARRAYFORMULA(XLOOKUP(FILTER(INDIRECT(""'""&amp;CV$1&amp;""'!$C$4:$C$66""),INDIRECT(""'""&amp;CV$1&amp;""'!$D$4:$D$66"")=CV$2),$G$4:$BQ$4,$G184:$BQ184)))"),-0.73849056)</f>
        <v>-0.73849056</v>
      </c>
      <c r="CW184" s="207">
        <f>IFERROR(__xludf.DUMMYFUNCTION("IF(OR(CV184&gt;$BS184+$BT184*$BT$2,CV184&lt;$BS184-$BT184*$BT$2),AVEDEV(ARRAYFORMULA(XLOOKUP(FILTER(INDIRECT(""'""&amp;CV$1&amp;""'!$C$4:$C$66""),INDIRECT(""'""&amp;CV$1&amp;""'!$D$4:$D$66"")=CV$2),$G$4:$BQ$4,$G184:$BQ184))),"""")"),0.10550944799999998)</f>
        <v>0.105509448</v>
      </c>
      <c r="CX184" s="208">
        <f t="shared" si="16"/>
        <v>-0.1387784098</v>
      </c>
      <c r="CY184" s="209" t="s">
        <v>444</v>
      </c>
      <c r="CZ184" s="210">
        <f>IFERROR(__xludf.DUMMYFUNCTION("AVERAGE(ARRAYFORMULA(XLOOKUP(FILTER(INDIRECT(""'""&amp;CZ$1&amp;""'!$C$4:$C$66""),INDIRECT(""'""&amp;CZ$1&amp;""'!$D$4:$D$66"")=CZ$2),$G$4:$BQ$4,$G184:$BQ184)))"),0.40545822)</f>
        <v>0.40545822</v>
      </c>
      <c r="DA184" s="207" t="str">
        <f>IFERROR(__xludf.DUMMYFUNCTION("IF(OR(CZ184&gt;$BS184+$BT184*$BT$2,CZ184&lt;$BS184-$BT184*$BT$2),AVEDEV(ARRAYFORMULA(XLOOKUP(FILTER(INDIRECT(""'""&amp;CZ$1&amp;""'!$C$4:$C$66""),INDIRECT(""'""&amp;CZ$1&amp;""'!$D$4:$D$66"")=CZ$2),$G$4:$BQ$4,$G184:$BQ184))),"""")"),"")</f>
        <v/>
      </c>
      <c r="DB184" s="208" t="str">
        <f t="shared" si="17"/>
        <v/>
      </c>
      <c r="DC184" s="210">
        <f>IFERROR(__xludf.DUMMYFUNCTION("AVERAGE(ARRAYFORMULA(XLOOKUP(FILTER(INDIRECT(""'""&amp;DC$1&amp;""'!$C$4:$C$66""),INDIRECT(""'""&amp;DC$1&amp;""'!$D$4:$D$66"")=DC$2),$G$4:$BQ$4,$G184:$BQ184)))"),-0.7849056444444444)</f>
        <v>-0.7849056444</v>
      </c>
      <c r="DD184" s="207">
        <f>IFERROR(__xludf.DUMMYFUNCTION("IF(OR(DC184&gt;$BS184+$BT184*$BT$2,DC184&lt;$BS184-$BT184*$BT$2),AVEDEV(ARRAYFORMULA(XLOOKUP(FILTER(INDIRECT(""'""&amp;DC$1&amp;""'!$C$4:$C$66""),INDIRECT(""'""&amp;DC$1&amp;""'!$D$4:$D$66"")=DC$2),$G$4:$BQ$4,$G184:$BQ184))),"""")"),0.22683438518518517)</f>
        <v>0.2268343852</v>
      </c>
      <c r="DE184" s="208">
        <f t="shared" si="18"/>
        <v>-0.1851934943</v>
      </c>
      <c r="DF184" s="210">
        <f>IFERROR(__xludf.DUMMYFUNCTION("AVERAGE(ARRAYFORMULA(XLOOKUP(FILTER(INDIRECT(""'""&amp;DF$1&amp;""'!$C$4:$C$66""),INDIRECT(""'""&amp;DF$1&amp;""'!$D$4:$D$66"")=DF$2),$G$4:$BQ$4,$G184:$BQ184)))"),-0.16243567636363637)</f>
        <v>-0.1624356764</v>
      </c>
      <c r="DG184" s="207" t="str">
        <f>IFERROR(__xludf.DUMMYFUNCTION("IF(OR(DF184&gt;$BS184+$BT184*$BT$2,DF184&lt;$BS184-$BT184*$BT$2),AVEDEV(ARRAYFORMULA(XLOOKUP(FILTER(INDIRECT(""'""&amp;DF$1&amp;""'!$C$4:$C$66""),INDIRECT(""'""&amp;DF$1&amp;""'!$D$4:$D$66"")=DF$2),$G$4:$BQ$4,$G184:$BQ184))),"""")"),"")</f>
        <v/>
      </c>
      <c r="DH184" s="208" t="str">
        <f t="shared" si="19"/>
        <v/>
      </c>
      <c r="DI184" s="210">
        <f>IFERROR(__xludf.DUMMYFUNCTION("AVERAGE(ARRAYFORMULA(XLOOKUP(FILTER(INDIRECT(""'""&amp;DI$1&amp;""'!$C$4:$C$66""),INDIRECT(""'""&amp;DI$1&amp;""'!$D$4:$D$66"")=DI$2),$G$4:$BQ$4,$G184:$BQ184)))"),1.098584905)</f>
        <v>1.098584905</v>
      </c>
      <c r="DJ184" s="207">
        <f>IFERROR(__xludf.DUMMYFUNCTION("IF(OR(DI184&gt;$BS184+$BT184*$BT$2,DI184&lt;$BS184-$BT184*$BT$2),AVEDEV(ARRAYFORMULA(XLOOKUP(FILTER(INDIRECT(""'""&amp;DI$1&amp;""'!$C$4:$C$66""),INDIRECT(""'""&amp;DI$1&amp;""'!$D$4:$D$66"")=DI$2),$G$4:$BQ$4,$G184:$BQ184))),"""")"),0.011792455000000035)</f>
        <v>0.011792455</v>
      </c>
      <c r="DK184" s="208">
        <f t="shared" si="20"/>
        <v>0.5456232739</v>
      </c>
      <c r="DL184" s="210">
        <f>IFERROR(__xludf.DUMMYFUNCTION("AVERAGE(ARRAYFORMULA(XLOOKUP(FILTER(INDIRECT(""'""&amp;DL$1&amp;""'!$C$4:$C$66""),INDIRECT(""'""&amp;DL$1&amp;""'!$D$4:$D$66"")=DL$2),$G$4:$BQ$4,$G184:$BQ184)))"),0.025741244285714306)</f>
        <v>0.02574124429</v>
      </c>
      <c r="DM184" s="207" t="str">
        <f>IFERROR(__xludf.DUMMYFUNCTION("IF(OR(DL184&gt;$BS184+$BT184*$BT$2,DL184&lt;$BS184-$BT184*$BT$2),AVEDEV(ARRAYFORMULA(XLOOKUP(FILTER(INDIRECT(""'""&amp;DL$1&amp;""'!$C$4:$C$66""),INDIRECT(""'""&amp;DL$1&amp;""'!$D$4:$D$66"")=DL$2),$G$4:$BQ$4,$G184:$BQ184))),"""")"),"")</f>
        <v/>
      </c>
      <c r="DN184" s="208" t="str">
        <f t="shared" si="21"/>
        <v/>
      </c>
      <c r="DO184" s="209" t="s">
        <v>444</v>
      </c>
      <c r="DP184" s="210">
        <f>IFERROR(__xludf.DUMMYFUNCTION("AVERAGE(ARRAYFORMULA(XLOOKUP(FILTER(INDIRECT(""'""&amp;DP$1&amp;""'!$C$4:$C$66""),INDIRECT(""'""&amp;DP$1&amp;""'!$D$4:$D$66"")=DP$2),$G$4:$BQ$4,$G184:$BQ184)))"),0.11981132133333335)</f>
        <v>0.1198113213</v>
      </c>
      <c r="DQ184" s="207" t="str">
        <f>IFERROR(__xludf.DUMMYFUNCTION("IF(OR(DP184&gt;$BS184+$BT184*$BT$2,DP184&lt;$BS184-$BT184*$BT$2),AVEDEV(ARRAYFORMULA(XLOOKUP(FILTER(INDIRECT(""'""&amp;DP$1&amp;""'!$C$4:$C$66""),INDIRECT(""'""&amp;DP$1&amp;""'!$D$4:$D$66"")=DP$2),$G$4:$BQ$4,$G184:$BQ184))),"""")"),"")</f>
        <v/>
      </c>
      <c r="DR184" s="208" t="str">
        <f t="shared" si="22"/>
        <v/>
      </c>
      <c r="DS184" s="210">
        <f>IFERROR(__xludf.DUMMYFUNCTION("AVERAGE(ARRAYFORMULA(XLOOKUP(FILTER(INDIRECT(""'""&amp;DS$1&amp;""'!$C$4:$C$66""),INDIRECT(""'""&amp;DS$1&amp;""'!$D$4:$D$66"")=DS$2),$G$4:$BQ$4,$G184:$BQ184)))"),-0.6574423422222222)</f>
        <v>-0.6574423422</v>
      </c>
      <c r="DT184" s="207">
        <f>IFERROR(__xludf.DUMMYFUNCTION("IF(OR(DS184&gt;$BS184+$BT184*$BT$2,DS184&lt;$BS184-$BT184*$BT$2),AVEDEV(ARRAYFORMULA(XLOOKUP(FILTER(INDIRECT(""'""&amp;DS$1&amp;""'!$C$4:$C$66""),INDIRECT(""'""&amp;DS$1&amp;""'!$D$4:$D$66"")=DS$2),$G$4:$BQ$4,$G184:$BQ184))),"""")"),0.34500349925925927)</f>
        <v>0.3450034993</v>
      </c>
      <c r="DU184" s="208">
        <f t="shared" si="23"/>
        <v>-0.05773019207</v>
      </c>
      <c r="DV184" s="210">
        <f>IFERROR(__xludf.DUMMYFUNCTION("AVERAGE(ARRAYFORMULA(XLOOKUP(FILTER(INDIRECT(""'""&amp;DV$1&amp;""'!$C$4:$C$66""),INDIRECT(""'""&amp;DV$1&amp;""'!$D$4:$D$66"")=DV$2),$G$4:$BQ$4,$G184:$BQ184)))"),0.02558962375)</f>
        <v>0.02558962375</v>
      </c>
      <c r="DW184" s="207" t="str">
        <f>IFERROR(__xludf.DUMMYFUNCTION("IF(OR(DV184&gt;$BS184+$BT184*$BT$2,DV184&lt;$BS184-$BT184*$BT$2),AVEDEV(ARRAYFORMULA(XLOOKUP(FILTER(INDIRECT(""'""&amp;DV$1&amp;""'!$C$4:$C$66""),INDIRECT(""'""&amp;DV$1&amp;""'!$D$4:$D$66"")=DV$2),$G$4:$BQ$4,$G184:$BQ184))),"""")"),"")</f>
        <v/>
      </c>
      <c r="DX184" s="208" t="str">
        <f t="shared" si="24"/>
        <v/>
      </c>
      <c r="DY184" s="210">
        <f>IFERROR(__xludf.DUMMYFUNCTION("AVERAGE(ARRAYFORMULA(XLOOKUP(FILTER(INDIRECT(""'""&amp;DY$1&amp;""'!$C$4:$C$66""),INDIRECT(""'""&amp;DY$1&amp;""'!$D$4:$D$66"")=DY$2),$G$4:$BQ$4,$G184:$BQ184)))"),-0.1961215855555556)</f>
        <v>-0.1961215856</v>
      </c>
      <c r="DZ184" s="207" t="str">
        <f>IFERROR(__xludf.DUMMYFUNCTION("IF(OR(DY184&gt;$BS184+$BT184*$BT$2,DY184&lt;$BS184-$BT184*$BT$2),AVEDEV(ARRAYFORMULA(XLOOKUP(FILTER(INDIRECT(""'""&amp;DY$1&amp;""'!$C$4:$C$66""),INDIRECT(""'""&amp;DY$1&amp;""'!$D$4:$D$66"")=DY$2),$G$4:$BQ$4,$G184:$BQ184))),"""")"),"")</f>
        <v/>
      </c>
      <c r="EA184" s="208" t="str">
        <f t="shared" si="25"/>
        <v/>
      </c>
      <c r="EB184" s="191"/>
    </row>
    <row r="185" outlineLevel="1">
      <c r="A185" s="2"/>
      <c r="B185" s="204">
        <v>181.0</v>
      </c>
      <c r="C185" s="204" t="s">
        <v>601</v>
      </c>
      <c r="D185" s="204" t="s">
        <v>628</v>
      </c>
      <c r="E185" s="205" t="b">
        <f>VLOOKUP(D185,'Feature Set List'!A181:C246,2,0)</f>
        <v>1</v>
      </c>
      <c r="F185" s="205" t="b">
        <f>VLOOKUP(D185,'Feature Set List'!A181:C246,3,0)</f>
        <v>0</v>
      </c>
      <c r="G185" s="205">
        <v>0.0</v>
      </c>
      <c r="H185" s="205">
        <v>0.0</v>
      </c>
      <c r="I185" s="205">
        <v>0.0</v>
      </c>
      <c r="J185" s="205">
        <v>0.0</v>
      </c>
      <c r="K185" s="205">
        <v>0.0</v>
      </c>
      <c r="L185" s="205">
        <v>2.44902957</v>
      </c>
      <c r="M185" s="205">
        <v>1.22451479</v>
      </c>
      <c r="N185" s="205">
        <v>0.0</v>
      </c>
      <c r="O185" s="205">
        <v>0.0</v>
      </c>
      <c r="P185" s="205">
        <v>4.1988612</v>
      </c>
      <c r="Q185" s="205">
        <v>0.0</v>
      </c>
      <c r="R185" s="205">
        <v>0.0</v>
      </c>
      <c r="S185" s="205">
        <v>0.0</v>
      </c>
      <c r="T185" s="205">
        <v>0.91838609</v>
      </c>
      <c r="U185" s="205">
        <v>0.0</v>
      </c>
      <c r="V185" s="205">
        <v>0.0</v>
      </c>
      <c r="W185" s="205">
        <v>2.14290088</v>
      </c>
      <c r="X185" s="205">
        <v>0.0</v>
      </c>
      <c r="Y185" s="205">
        <v>1.83677218</v>
      </c>
      <c r="Z185" s="205">
        <v>0.0</v>
      </c>
      <c r="AA185" s="205">
        <v>0.0</v>
      </c>
      <c r="AB185" s="205">
        <v>0.91838609</v>
      </c>
      <c r="AC185" s="205">
        <v>1.95922366</v>
      </c>
      <c r="AD185" s="205">
        <v>0.0</v>
      </c>
      <c r="AE185" s="205">
        <v>0.0</v>
      </c>
      <c r="AF185" s="205">
        <v>1.83677218</v>
      </c>
      <c r="AG185" s="205">
        <v>0.0</v>
      </c>
      <c r="AH185" s="205">
        <v>0.0</v>
      </c>
      <c r="AI185" s="205">
        <v>0.97961183</v>
      </c>
      <c r="AJ185" s="205">
        <v>0.36735444</v>
      </c>
      <c r="AK185" s="205">
        <v>0.0</v>
      </c>
      <c r="AL185" s="205">
        <v>0.0</v>
      </c>
      <c r="AM185" s="205">
        <v>0.0</v>
      </c>
      <c r="AN185" s="205">
        <v>1.22451479</v>
      </c>
      <c r="AO185" s="205">
        <v>0.0</v>
      </c>
      <c r="AP185" s="205">
        <v>0.0</v>
      </c>
      <c r="AQ185" s="205">
        <v>0.0</v>
      </c>
      <c r="AR185" s="205">
        <v>0.0</v>
      </c>
      <c r="AS185" s="205">
        <v>0.97961183</v>
      </c>
      <c r="AT185" s="205">
        <v>0.0</v>
      </c>
      <c r="AU185" s="205">
        <v>0.0</v>
      </c>
      <c r="AV185" s="205">
        <v>0.0</v>
      </c>
      <c r="AW185" s="205">
        <v>0.0</v>
      </c>
      <c r="AX185" s="205">
        <v>0.0</v>
      </c>
      <c r="AY185" s="205">
        <v>0.0</v>
      </c>
      <c r="AZ185" s="205">
        <v>0.0</v>
      </c>
      <c r="BA185" s="205">
        <v>3.67354436</v>
      </c>
      <c r="BB185" s="205">
        <v>0.61225739</v>
      </c>
      <c r="BC185" s="205">
        <v>0.0</v>
      </c>
      <c r="BD185" s="205">
        <v>2.44902957</v>
      </c>
      <c r="BE185" s="205">
        <v>0.0</v>
      </c>
      <c r="BF185" s="205">
        <v>0.0</v>
      </c>
      <c r="BG185" s="205">
        <v>1.53064348</v>
      </c>
      <c r="BH185" s="205">
        <v>0.0</v>
      </c>
      <c r="BI185" s="205">
        <v>0.0</v>
      </c>
      <c r="BJ185" s="205">
        <v>0.0</v>
      </c>
      <c r="BK185" s="205">
        <v>1.22451479</v>
      </c>
      <c r="BL185" s="205">
        <v>1.22451479</v>
      </c>
      <c r="BM185" s="205">
        <v>1.02038817</v>
      </c>
      <c r="BN185" s="205">
        <v>3.20210617</v>
      </c>
      <c r="BO185" s="205">
        <v>0.0</v>
      </c>
      <c r="BP185" s="205">
        <v>0.40813078</v>
      </c>
      <c r="BQ185" s="205">
        <v>6.8572828</v>
      </c>
      <c r="BR185" s="206"/>
      <c r="BS185" s="207">
        <f t="shared" si="6"/>
        <v>0.6863230449</v>
      </c>
      <c r="BT185" s="207">
        <f t="shared" si="7"/>
        <v>0.8928301054</v>
      </c>
      <c r="BU185" s="206"/>
      <c r="BV185" s="207">
        <f>IFERROR(__xludf.DUMMYFUNCTION("AVERAGE(ARRAYFORMULA(XLOOKUP(FILTER(INDIRECT(""'""&amp;BV$1&amp;""'!$C$4:$C$66""),INDIRECT(""'""&amp;BV$1&amp;""'!$D$4:$D$66"")=BV$2),$G$4:$BQ$4,$G185:$BQ185)))"),0.2623960257142857)</f>
        <v>0.2623960257</v>
      </c>
      <c r="BW185" s="207" t="str">
        <f>IFERROR(__xludf.DUMMYFUNCTION("IF(OR(BV185&gt;$BS185+$BT185*$BT$2,BV185&lt;$BS185-$BT185*$BT$2),AVEDEV(ARRAYFORMULA(XLOOKUP(FILTER(INDIRECT(""'""&amp;BV$1&amp;""'!$C$4:$C$66""),INDIRECT(""'""&amp;BV$1&amp;""'!$D$4:$D$66"")=BV$2),$G$4:$BQ$4,$G185:$BQ185))),"""")"),"")</f>
        <v/>
      </c>
      <c r="BX185" s="208" t="str">
        <f t="shared" si="8"/>
        <v/>
      </c>
      <c r="BY185" s="207">
        <f>IFERROR(__xludf.DUMMYFUNCTION("AVERAGE(ARRAYFORMULA(XLOOKUP(FILTER(INDIRECT(""'""&amp;BY$1&amp;""'!$C$4:$C$66""),INDIRECT(""'""&amp;BY$1&amp;""'!$D$4:$D$66"")=BY$2),$G$4:$BQ$4,$G185:$BQ185)))"),0.46789001571428573)</f>
        <v>0.4678900157</v>
      </c>
      <c r="BZ185" s="207" t="str">
        <f>IFERROR(__xludf.DUMMYFUNCTION("IF(OR(BY185&gt;$BS185+$BT185*$BT$2,BY185&lt;$BS185-$BT185*$BT$2),AVEDEV(ARRAYFORMULA(XLOOKUP(FILTER(INDIRECT(""'""&amp;BY$1&amp;""'!$C$4:$C$66""),INDIRECT(""'""&amp;BY$1&amp;""'!$D$4:$D$66"")=BY$2),$G$4:$BQ$4,$G185:$BQ185))),"""")"),"")</f>
        <v/>
      </c>
      <c r="CA185" s="208" t="str">
        <f t="shared" si="9"/>
        <v/>
      </c>
      <c r="CB185" s="207">
        <f>IFERROR(__xludf.DUMMYFUNCTION("AVERAGE(ARRAYFORMULA(XLOOKUP(FILTER(INDIRECT(""'""&amp;CB$1&amp;""'!$C$4:$C$66""),INDIRECT(""'""&amp;CB$1&amp;""'!$D$4:$D$66"")=CB$2),$G$4:$BQ$4,$G185:$BQ185)))"),1.7546517654545455)</f>
        <v>1.754651765</v>
      </c>
      <c r="CC185" s="207">
        <f>IFERROR(__xludf.DUMMYFUNCTION("IF(OR(CB185&gt;$BS185+$BT185*$BT$2,CB185&lt;$BS185-$BT185*$BT$2),AVEDEV(ARRAYFORMULA(XLOOKUP(FILTER(INDIRECT(""'""&amp;CB$1&amp;""'!$C$4:$C$66""),INDIRECT(""'""&amp;CB$1&amp;""'!$D$4:$D$66"")=CB$2),$G$4:$BQ$4,$G185:$BQ185))),"""")"),1.0199945049586778)</f>
        <v>1.019994505</v>
      </c>
      <c r="CD185" s="208">
        <f t="shared" si="10"/>
        <v>0.1754986151</v>
      </c>
      <c r="CE185" s="209" t="s">
        <v>444</v>
      </c>
      <c r="CF185" s="207">
        <f>IFERROR(__xludf.DUMMYFUNCTION("AVERAGE(ARRAYFORMULA(XLOOKUP(FILTER(INDIRECT(""'""&amp;CF$1&amp;""'!$C$4:$C$66""),INDIRECT(""'""&amp;CF$1&amp;""'!$D$4:$D$66"")=CF$2),$G$4:$BQ$4,$G185:$BQ185)))"),0.09949182625)</f>
        <v>0.09949182625</v>
      </c>
      <c r="CG185" s="207" t="str">
        <f>IFERROR(__xludf.DUMMYFUNCTION("IF(OR(CF185&gt;$BS185+$BT185*$BT$2,CF185&lt;$BS185-$BT185*$BT$2),AVEDEV(ARRAYFORMULA(XLOOKUP(FILTER(INDIRECT(""'""&amp;CF$1&amp;""'!$C$4:$C$66""),INDIRECT(""'""&amp;CF$1&amp;""'!$D$4:$D$66"")=CF$2),$G$4:$BQ$4,$G185:$BQ185))),"""")"),"")</f>
        <v/>
      </c>
      <c r="CH185" s="208" t="str">
        <f t="shared" si="11"/>
        <v/>
      </c>
      <c r="CI185" s="207">
        <f>IFERROR(__xludf.DUMMYFUNCTION("AVERAGE(ARRAYFORMULA(XLOOKUP(FILTER(INDIRECT(""'""&amp;CI$1&amp;""'!$C$4:$C$66""),INDIRECT(""'""&amp;CI$1&amp;""'!$D$4:$D$66"")=CI$2),$G$4:$BQ$4,$G185:$BQ185)))"),0.8274678425806452)</f>
        <v>0.8274678426</v>
      </c>
      <c r="CJ185" s="207" t="str">
        <f>IFERROR(__xludf.DUMMYFUNCTION("IF(OR(CI185&gt;$BS185+$BT185*$BT$2,CI185&lt;$BS185-$BT185*$BT$2),AVEDEV(ARRAYFORMULA(XLOOKUP(FILTER(INDIRECT(""'""&amp;CI$1&amp;""'!$C$4:$C$66""),INDIRECT(""'""&amp;CI$1&amp;""'!$D$4:$D$66"")=CI$2),$G$4:$BQ$4,$G185:$BQ185))),"""")"),"")</f>
        <v/>
      </c>
      <c r="CK185" s="208" t="str">
        <f t="shared" si="12"/>
        <v/>
      </c>
      <c r="CL185" s="207">
        <f>IFERROR(__xludf.DUMMYFUNCTION("AVERAGE(ARRAYFORMULA(XLOOKUP(FILTER(INDIRECT(""'""&amp;CL$1&amp;""'!$C$4:$C$66""),INDIRECT(""'""&amp;CL$1&amp;""'!$D$4:$D$66"")=CL$2),$G$4:$BQ$4,$G185:$BQ185)))"),2.260209392)</f>
        <v>2.260209392</v>
      </c>
      <c r="CM185" s="207">
        <f>IFERROR(__xludf.DUMMYFUNCTION("IF(OR(CL185&gt;$BS185+$BT185*$BT$2,CL185&lt;$BS185-$BT185*$BT$2),AVEDEV(ARRAYFORMULA(XLOOKUP(FILTER(INDIRECT(""'""&amp;CL$1&amp;""'!$C$4:$C$66""),INDIRECT(""'""&amp;CL$1&amp;""'!$D$4:$D$66"")=CL$2),$G$4:$BQ$4,$G185:$BQ185))),"""")"),1.3407947103999998)</f>
        <v>1.34079471</v>
      </c>
      <c r="CN185" s="208">
        <f t="shared" si="13"/>
        <v>0.6810562416</v>
      </c>
      <c r="CO185" s="209" t="s">
        <v>444</v>
      </c>
      <c r="CP185" s="210">
        <f>IFERROR(__xludf.DUMMYFUNCTION("AVERAGE(ARRAYFORMULA(XLOOKUP(FILTER(INDIRECT(""'""&amp;CP$1&amp;""'!$C$4:$C$66""),INDIRECT(""'""&amp;CP$1&amp;""'!$D$4:$D$66"")=CP$2),$G$4:$BQ$4,$G185:$BQ185)))"),0.42313516599999995)</f>
        <v>0.423135166</v>
      </c>
      <c r="CQ185" s="207" t="str">
        <f>IFERROR(__xludf.DUMMYFUNCTION("IF(OR(CP185&gt;$BS185+$BT185*$BT$2,CP185&lt;$BS185-$BT185*$BT$2),AVEDEV(ARRAYFORMULA(XLOOKUP(FILTER(INDIRECT(""'""&amp;CP$1&amp;""'!$C$4:$C$66""),INDIRECT(""'""&amp;CP$1&amp;""'!$D$4:$D$66"")=CP$2),$G$4:$BQ$4,$G185:$BQ185))),"""")"),"")</f>
        <v/>
      </c>
      <c r="CR185" s="208" t="str">
        <f t="shared" si="14"/>
        <v/>
      </c>
      <c r="CS185" s="210">
        <f>IFERROR(__xludf.DUMMYFUNCTION("AVERAGE(ARRAYFORMULA(XLOOKUP(FILTER(INDIRECT(""'""&amp;CS$1&amp;""'!$C$4:$C$66""),INDIRECT(""'""&amp;CS$1&amp;""'!$D$4:$D$66"")=CS$2),$G$4:$BQ$4,$G185:$BQ185)))"),0.5619675133333334)</f>
        <v>0.5619675133</v>
      </c>
      <c r="CT185" s="207" t="str">
        <f>IFERROR(__xludf.DUMMYFUNCTION("IF(OR(CS185&gt;$BS185+$BT185*$BT$2,CS185&lt;$BS185-$BT185*$BT$2),AVEDEV(ARRAYFORMULA(XLOOKUP(FILTER(INDIRECT(""'""&amp;CS$1&amp;""'!$C$4:$C$66""),INDIRECT(""'""&amp;CS$1&amp;""'!$D$4:$D$66"")=CS$2),$G$4:$BQ$4,$G185:$BQ185))),"""")"),"")</f>
        <v/>
      </c>
      <c r="CU185" s="208" t="str">
        <f t="shared" si="15"/>
        <v/>
      </c>
      <c r="CV185" s="210">
        <f>IFERROR(__xludf.DUMMYFUNCTION("AVERAGE(ARRAYFORMULA(XLOOKUP(FILTER(INDIRECT(""'""&amp;CV$1&amp;""'!$C$4:$C$66""),INDIRECT(""'""&amp;CV$1&amp;""'!$D$4:$D$66"")=CV$2),$G$4:$BQ$4,$G185:$BQ185)))"),2.260209392)</f>
        <v>2.260209392</v>
      </c>
      <c r="CW185" s="207">
        <f>IFERROR(__xludf.DUMMYFUNCTION("IF(OR(CV185&gt;$BS185+$BT185*$BT$2,CV185&lt;$BS185-$BT185*$BT$2),AVEDEV(ARRAYFORMULA(XLOOKUP(FILTER(INDIRECT(""'""&amp;CV$1&amp;""'!$C$4:$C$66""),INDIRECT(""'""&amp;CV$1&amp;""'!$D$4:$D$66"")=CV$2),$G$4:$BQ$4,$G185:$BQ185))),"""")"),1.3407947103999998)</f>
        <v>1.34079471</v>
      </c>
      <c r="CX185" s="208">
        <f t="shared" si="16"/>
        <v>0.6810562416</v>
      </c>
      <c r="CY185" s="209" t="s">
        <v>444</v>
      </c>
      <c r="CZ185" s="210">
        <f>IFERROR(__xludf.DUMMYFUNCTION("AVERAGE(ARRAYFORMULA(XLOOKUP(FILTER(INDIRECT(""'""&amp;CZ$1&amp;""'!$C$4:$C$66""),INDIRECT(""'""&amp;CZ$1&amp;""'!$D$4:$D$66"")=CZ$2),$G$4:$BQ$4,$G185:$BQ185)))"),0.1574376157142857)</f>
        <v>0.1574376157</v>
      </c>
      <c r="DA185" s="207" t="str">
        <f>IFERROR(__xludf.DUMMYFUNCTION("IF(OR(CZ185&gt;$BS185+$BT185*$BT$2,CZ185&lt;$BS185-$BT185*$BT$2),AVEDEV(ARRAYFORMULA(XLOOKUP(FILTER(INDIRECT(""'""&amp;CZ$1&amp;""'!$C$4:$C$66""),INDIRECT(""'""&amp;CZ$1&amp;""'!$D$4:$D$66"")=CZ$2),$G$4:$BQ$4,$G185:$BQ185))),"""")"),"")</f>
        <v/>
      </c>
      <c r="DB185" s="208" t="str">
        <f t="shared" si="17"/>
        <v/>
      </c>
      <c r="DC185" s="210">
        <f>IFERROR(__xludf.DUMMYFUNCTION("AVERAGE(ARRAYFORMULA(XLOOKUP(FILTER(INDIRECT(""'""&amp;DC$1&amp;""'!$C$4:$C$66""),INDIRECT(""'""&amp;DC$1&amp;""'!$D$4:$D$66"")=DC$2),$G$4:$BQ$4,$G185:$BQ185)))"),2.0311979166666667)</f>
        <v>2.031197917</v>
      </c>
      <c r="DD185" s="207">
        <f>IFERROR(__xludf.DUMMYFUNCTION("IF(OR(DC185&gt;$BS185+$BT185*$BT$2,DC185&lt;$BS185-$BT185*$BT$2),AVEDEV(ARRAYFORMULA(XLOOKUP(FILTER(INDIRECT(""'""&amp;DC$1&amp;""'!$C$4:$C$66""),INDIRECT(""'""&amp;DC$1&amp;""'!$D$4:$D$66"")=DC$2),$G$4:$BQ$4,$G185:$BQ185))),"""")"),0.9643431874074072)</f>
        <v>0.9643431874</v>
      </c>
      <c r="DE185" s="208">
        <f t="shared" si="18"/>
        <v>0.4520447663</v>
      </c>
      <c r="DF185" s="210">
        <f>IFERROR(__xludf.DUMMYFUNCTION("AVERAGE(ARRAYFORMULA(XLOOKUP(FILTER(INDIRECT(""'""&amp;DF$1&amp;""'!$C$4:$C$66""),INDIRECT(""'""&amp;DF$1&amp;""'!$D$4:$D$66"")=DF$2),$G$4:$BQ$4,$G185:$BQ185)))"),0.4007502936363636)</f>
        <v>0.4007502936</v>
      </c>
      <c r="DG185" s="207" t="str">
        <f>IFERROR(__xludf.DUMMYFUNCTION("IF(OR(DF185&gt;$BS185+$BT185*$BT$2,DF185&lt;$BS185-$BT185*$BT$2),AVEDEV(ARRAYFORMULA(XLOOKUP(FILTER(INDIRECT(""'""&amp;DF$1&amp;""'!$C$4:$C$66""),INDIRECT(""'""&amp;DF$1&amp;""'!$D$4:$D$66"")=DF$2),$G$4:$BQ$4,$G185:$BQ185))),"""")"),"")</f>
        <v/>
      </c>
      <c r="DH185" s="208" t="str">
        <f t="shared" si="19"/>
        <v/>
      </c>
      <c r="DI185" s="210">
        <f>IFERROR(__xludf.DUMMYFUNCTION("AVERAGE(ARRAYFORMULA(XLOOKUP(FILTER(INDIRECT(""'""&amp;DI$1&amp;""'!$C$4:$C$66""),INDIRECT(""'""&amp;DI$1&amp;""'!$D$4:$D$66"")=DI$2),$G$4:$BQ$4,$G185:$BQ185)))"),0.0)</f>
        <v>0</v>
      </c>
      <c r="DJ185" s="207" t="str">
        <f>IFERROR(__xludf.DUMMYFUNCTION("IF(OR(DI185&gt;$BS185+$BT185*$BT$2,DI185&lt;$BS185-$BT185*$BT$2),AVEDEV(ARRAYFORMULA(XLOOKUP(FILTER(INDIRECT(""'""&amp;DI$1&amp;""'!$C$4:$C$66""),INDIRECT(""'""&amp;DI$1&amp;""'!$D$4:$D$66"")=DI$2),$G$4:$BQ$4,$G185:$BQ185))),"""")"),"")</f>
        <v/>
      </c>
      <c r="DK185" s="208" t="str">
        <f t="shared" si="20"/>
        <v/>
      </c>
      <c r="DL185" s="210">
        <f>IFERROR(__xludf.DUMMYFUNCTION("AVERAGE(ARRAYFORMULA(XLOOKUP(FILTER(INDIRECT(""'""&amp;DL$1&amp;""'!$C$4:$C$66""),INDIRECT(""'""&amp;DL$1&amp;""'!$D$4:$D$66"")=DL$2),$G$4:$BQ$4,$G185:$BQ185)))"),0.8613849271428572)</f>
        <v>0.8613849271</v>
      </c>
      <c r="DM185" s="207" t="str">
        <f>IFERROR(__xludf.DUMMYFUNCTION("IF(OR(DL185&gt;$BS185+$BT185*$BT$2,DL185&lt;$BS185-$BT185*$BT$2),AVEDEV(ARRAYFORMULA(XLOOKUP(FILTER(INDIRECT(""'""&amp;DL$1&amp;""'!$C$4:$C$66""),INDIRECT(""'""&amp;DL$1&amp;""'!$D$4:$D$66"")=DL$2),$G$4:$BQ$4,$G185:$BQ185))),"""")"),"")</f>
        <v/>
      </c>
      <c r="DN185" s="208" t="str">
        <f t="shared" si="21"/>
        <v/>
      </c>
      <c r="DO185" s="209" t="s">
        <v>444</v>
      </c>
      <c r="DP185" s="210">
        <f>IFERROR(__xludf.DUMMYFUNCTION("AVERAGE(ARRAYFORMULA(XLOOKUP(FILTER(INDIRECT(""'""&amp;DP$1&amp;""'!$C$4:$C$66""),INDIRECT(""'""&amp;DP$1&amp;""'!$D$4:$D$66"")=DP$2),$G$4:$BQ$4,$G185:$BQ185)))"),0.5238188536666667)</f>
        <v>0.5238188537</v>
      </c>
      <c r="DQ185" s="207" t="str">
        <f>IFERROR(__xludf.DUMMYFUNCTION("IF(OR(DP185&gt;$BS185+$BT185*$BT$2,DP185&lt;$BS185-$BT185*$BT$2),AVEDEV(ARRAYFORMULA(XLOOKUP(FILTER(INDIRECT(""'""&amp;DP$1&amp;""'!$C$4:$C$66""),INDIRECT(""'""&amp;DP$1&amp;""'!$D$4:$D$66"")=DP$2),$G$4:$BQ$4,$G185:$BQ185))),"""")"),"")</f>
        <v/>
      </c>
      <c r="DR185" s="208" t="str">
        <f t="shared" si="22"/>
        <v/>
      </c>
      <c r="DS185" s="210">
        <f>IFERROR(__xludf.DUMMYFUNCTION("AVERAGE(ARRAYFORMULA(XLOOKUP(FILTER(INDIRECT(""'""&amp;DS$1&amp;""'!$C$4:$C$66""),INDIRECT(""'""&amp;DS$1&amp;""'!$D$4:$D$66"")=DS$2),$G$4:$BQ$4,$G185:$BQ185)))"),1.7364027844444445)</f>
        <v>1.736402784</v>
      </c>
      <c r="DT185" s="207">
        <f>IFERROR(__xludf.DUMMYFUNCTION("IF(OR(DS185&gt;$BS185+$BT185*$BT$2,DS185&lt;$BS185-$BT185*$BT$2),AVEDEV(ARRAYFORMULA(XLOOKUP(FILTER(INDIRECT(""'""&amp;DS$1&amp;""'!$C$4:$C$66""),INDIRECT(""'""&amp;DS$1&amp;""'!$D$4:$D$66"")=DS$2),$G$4:$BQ$4,$G185:$BQ185))),"""")"),1.2263833049382715)</f>
        <v>1.226383305</v>
      </c>
      <c r="DU185" s="208">
        <f t="shared" si="23"/>
        <v>0.1572496341</v>
      </c>
      <c r="DV185" s="210">
        <f>IFERROR(__xludf.DUMMYFUNCTION("AVERAGE(ARRAYFORMULA(XLOOKUP(FILTER(INDIRECT(""'""&amp;DV$1&amp;""'!$C$4:$C$66""),INDIRECT(""'""&amp;DV$1&amp;""'!$D$4:$D$66"")=DV$2),$G$4:$BQ$4,$G185:$BQ185)))"),0.045919305)</f>
        <v>0.045919305</v>
      </c>
      <c r="DW185" s="207" t="str">
        <f>IFERROR(__xludf.DUMMYFUNCTION("IF(OR(DV185&gt;$BS185+$BT185*$BT$2,DV185&lt;$BS185-$BT185*$BT$2),AVEDEV(ARRAYFORMULA(XLOOKUP(FILTER(INDIRECT(""'""&amp;DV$1&amp;""'!$C$4:$C$66""),INDIRECT(""'""&amp;DV$1&amp;""'!$D$4:$D$66"")=DV$2),$G$4:$BQ$4,$G185:$BQ185))),"""")"),"")</f>
        <v/>
      </c>
      <c r="DX185" s="208" t="str">
        <f t="shared" si="24"/>
        <v/>
      </c>
      <c r="DY185" s="210">
        <f>IFERROR(__xludf.DUMMYFUNCTION("AVERAGE(ARRAYFORMULA(XLOOKUP(FILTER(INDIRECT(""'""&amp;DY$1&amp;""'!$C$4:$C$66""),INDIRECT(""'""&amp;DY$1&amp;""'!$D$4:$D$66"")=DY$2),$G$4:$BQ$4,$G185:$BQ185)))"),0.872806928888889)</f>
        <v>0.8728069289</v>
      </c>
      <c r="DZ185" s="207" t="str">
        <f>IFERROR(__xludf.DUMMYFUNCTION("IF(OR(DY185&gt;$BS185+$BT185*$BT$2,DY185&lt;$BS185-$BT185*$BT$2),AVEDEV(ARRAYFORMULA(XLOOKUP(FILTER(INDIRECT(""'""&amp;DY$1&amp;""'!$C$4:$C$66""),INDIRECT(""'""&amp;DY$1&amp;""'!$D$4:$D$66"")=DY$2),$G$4:$BQ$4,$G185:$BQ185))),"""")"),"")</f>
        <v/>
      </c>
      <c r="EA185" s="208" t="str">
        <f t="shared" si="25"/>
        <v/>
      </c>
      <c r="EB185" s="191"/>
    </row>
    <row r="186" outlineLevel="1">
      <c r="A186" s="2"/>
      <c r="B186" s="204">
        <v>182.0</v>
      </c>
      <c r="C186" s="204" t="s">
        <v>601</v>
      </c>
      <c r="D186" s="204" t="s">
        <v>629</v>
      </c>
      <c r="E186" s="205" t="b">
        <f>VLOOKUP(D186,'Feature Set List'!A182:C246,2,0)</f>
        <v>1</v>
      </c>
      <c r="F186" s="205" t="b">
        <f>VLOOKUP(D186,'Feature Set List'!A182:C246,3,0)</f>
        <v>0</v>
      </c>
      <c r="G186" s="205">
        <v>0.57142857</v>
      </c>
      <c r="H186" s="205">
        <v>-0.0714286</v>
      </c>
      <c r="I186" s="205">
        <v>-0.2857143</v>
      </c>
      <c r="J186" s="205">
        <v>0.08171429</v>
      </c>
      <c r="K186" s="205">
        <v>0.28571429</v>
      </c>
      <c r="L186" s="205">
        <v>0.762</v>
      </c>
      <c r="M186" s="205">
        <v>-0.5714286</v>
      </c>
      <c r="N186" s="205">
        <v>-0.4285714</v>
      </c>
      <c r="O186" s="205">
        <v>-0.3265714</v>
      </c>
      <c r="P186" s="205">
        <v>-0.7345714</v>
      </c>
      <c r="Q186" s="205">
        <v>0.762</v>
      </c>
      <c r="R186" s="205">
        <v>-0.0714286</v>
      </c>
      <c r="S186" s="205">
        <v>-0.1905714</v>
      </c>
      <c r="T186" s="205">
        <v>0.28571429</v>
      </c>
      <c r="U186" s="205">
        <v>-0.508</v>
      </c>
      <c r="V186" s="205">
        <v>1.0</v>
      </c>
      <c r="W186" s="205">
        <v>0.28571429</v>
      </c>
      <c r="X186" s="205">
        <v>-0.6665714</v>
      </c>
      <c r="Y186" s="205">
        <v>0.28571429</v>
      </c>
      <c r="Z186" s="205">
        <v>-0.0714286</v>
      </c>
      <c r="AA186" s="205">
        <v>-0.4285714</v>
      </c>
      <c r="AB186" s="205">
        <v>0.28571429</v>
      </c>
      <c r="AC186" s="205">
        <v>0.57142857</v>
      </c>
      <c r="AD186" s="205">
        <v>-0.4285714</v>
      </c>
      <c r="AE186" s="205">
        <v>1.0</v>
      </c>
      <c r="AF186" s="205">
        <v>0.28571429</v>
      </c>
      <c r="AG186" s="205">
        <v>0.28571429</v>
      </c>
      <c r="AH186" s="205">
        <v>-0.0714286</v>
      </c>
      <c r="AI186" s="205">
        <v>0.0</v>
      </c>
      <c r="AJ186" s="205">
        <v>0.0</v>
      </c>
      <c r="AK186" s="205">
        <v>0.762</v>
      </c>
      <c r="AL186" s="205">
        <v>0.762</v>
      </c>
      <c r="AM186" s="205">
        <v>1.0</v>
      </c>
      <c r="AN186" s="205">
        <v>-0.4285714</v>
      </c>
      <c r="AO186" s="205">
        <v>0.0</v>
      </c>
      <c r="AP186" s="205">
        <v>0.0</v>
      </c>
      <c r="AQ186" s="205">
        <v>0.0</v>
      </c>
      <c r="AR186" s="205">
        <v>1.71428571</v>
      </c>
      <c r="AS186" s="205">
        <v>0.57142857</v>
      </c>
      <c r="AT186" s="205">
        <v>0.08171429</v>
      </c>
      <c r="AU186" s="205">
        <v>1.71428571</v>
      </c>
      <c r="AV186" s="205">
        <v>-0.508</v>
      </c>
      <c r="AW186" s="205">
        <v>0.0</v>
      </c>
      <c r="AX186" s="205">
        <v>1.0</v>
      </c>
      <c r="AY186" s="205">
        <v>-0.4285714</v>
      </c>
      <c r="AZ186" s="205">
        <v>-0.5714286</v>
      </c>
      <c r="BA186" s="205">
        <v>-0.4285714</v>
      </c>
      <c r="BB186" s="205">
        <v>-0.1905714</v>
      </c>
      <c r="BC186" s="205">
        <v>1.0</v>
      </c>
      <c r="BD186" s="205">
        <v>-0.4834286</v>
      </c>
      <c r="BE186" s="205">
        <v>-0.2857143</v>
      </c>
      <c r="BF186" s="205">
        <v>-0.4285714</v>
      </c>
      <c r="BG186" s="205">
        <v>1.0</v>
      </c>
      <c r="BH186" s="205">
        <v>-0.4285714</v>
      </c>
      <c r="BI186" s="205">
        <v>0.762</v>
      </c>
      <c r="BJ186" s="205">
        <v>-0.4285714</v>
      </c>
      <c r="BK186" s="205">
        <v>0.28571429</v>
      </c>
      <c r="BL186" s="205">
        <v>0.762</v>
      </c>
      <c r="BM186" s="205">
        <v>0.28571429</v>
      </c>
      <c r="BN186" s="205">
        <v>-0.4834286</v>
      </c>
      <c r="BO186" s="205">
        <v>0.12685714</v>
      </c>
      <c r="BP186" s="205">
        <v>-0.1905714</v>
      </c>
      <c r="BQ186" s="205">
        <v>-0.5714286</v>
      </c>
      <c r="BR186" s="206"/>
      <c r="BS186" s="207">
        <f t="shared" si="6"/>
        <v>0.1248526105</v>
      </c>
      <c r="BT186" s="207">
        <f t="shared" si="7"/>
        <v>0.4775276951</v>
      </c>
      <c r="BU186" s="206"/>
      <c r="BV186" s="207">
        <f>IFERROR(__xludf.DUMMYFUNCTION("AVERAGE(ARRAYFORMULA(XLOOKUP(FILTER(INDIRECT(""'""&amp;BV$1&amp;""'!$C$4:$C$66""),INDIRECT(""'""&amp;BV$1&amp;""'!$D$4:$D$66"")=BV$2),$G$4:$BQ$4,$G186:$BQ186)))"),-0.18820407142857146)</f>
        <v>-0.1882040714</v>
      </c>
      <c r="BW186" s="207" t="str">
        <f>IFERROR(__xludf.DUMMYFUNCTION("IF(OR(BV186&gt;$BS186+$BT186*$BT$2,BV186&lt;$BS186-$BT186*$BT$2),AVEDEV(ARRAYFORMULA(XLOOKUP(FILTER(INDIRECT(""'""&amp;BV$1&amp;""'!$C$4:$C$66""),INDIRECT(""'""&amp;BV$1&amp;""'!$D$4:$D$66"")=BV$2),$G$4:$BQ$4,$G186:$BQ186))),"""")"),"")</f>
        <v/>
      </c>
      <c r="BX186" s="208" t="str">
        <f t="shared" si="8"/>
        <v/>
      </c>
      <c r="BY186" s="207">
        <f>IFERROR(__xludf.DUMMYFUNCTION("AVERAGE(ARRAYFORMULA(XLOOKUP(FILTER(INDIRECT(""'""&amp;BY$1&amp;""'!$C$4:$C$66""),INDIRECT(""'""&amp;BY$1&amp;""'!$D$4:$D$66"")=BY$2),$G$4:$BQ$4,$G186:$BQ186)))"),0.1852857173809524)</f>
        <v>0.1852857174</v>
      </c>
      <c r="BZ186" s="207" t="str">
        <f>IFERROR(__xludf.DUMMYFUNCTION("IF(OR(BY186&gt;$BS186+$BT186*$BT$2,BY186&lt;$BS186-$BT186*$BT$2),AVEDEV(ARRAYFORMULA(XLOOKUP(FILTER(INDIRECT(""'""&amp;BY$1&amp;""'!$C$4:$C$66""),INDIRECT(""'""&amp;BY$1&amp;""'!$D$4:$D$66"")=BY$2),$G$4:$BQ$4,$G186:$BQ186))),"""")"),"")</f>
        <v/>
      </c>
      <c r="CA186" s="208" t="str">
        <f t="shared" si="9"/>
        <v/>
      </c>
      <c r="CB186" s="207">
        <f>IFERROR(__xludf.DUMMYFUNCTION("AVERAGE(ARRAYFORMULA(XLOOKUP(FILTER(INDIRECT(""'""&amp;CB$1&amp;""'!$C$4:$C$66""),INDIRECT(""'""&amp;CB$1&amp;""'!$D$4:$D$66"")=CB$2),$G$4:$BQ$4,$G186:$BQ186)))"),0.04145454727272728)</f>
        <v>0.04145454727</v>
      </c>
      <c r="CC186" s="207" t="str">
        <f>IFERROR(__xludf.DUMMYFUNCTION("IF(OR(CB186&gt;$BS186+$BT186*$BT$2,CB186&lt;$BS186-$BT186*$BT$2),AVEDEV(ARRAYFORMULA(XLOOKUP(FILTER(INDIRECT(""'""&amp;CB$1&amp;""'!$C$4:$C$66""),INDIRECT(""'""&amp;CB$1&amp;""'!$D$4:$D$66"")=CB$2),$G$4:$BQ$4,$G186:$BQ186))),"""")"),"")</f>
        <v/>
      </c>
      <c r="CD186" s="208" t="str">
        <f t="shared" si="10"/>
        <v/>
      </c>
      <c r="CE186" s="209" t="s">
        <v>444</v>
      </c>
      <c r="CF186" s="207">
        <f>IFERROR(__xludf.DUMMYFUNCTION("AVERAGE(ARRAYFORMULA(XLOOKUP(FILTER(INDIRECT(""'""&amp;CF$1&amp;""'!$C$4:$C$66""),INDIRECT(""'""&amp;CF$1&amp;""'!$D$4:$D$66"")=CF$2),$G$4:$BQ$4,$G186:$BQ186)))"),0.1168571475)</f>
        <v>0.1168571475</v>
      </c>
      <c r="CG186" s="207" t="str">
        <f>IFERROR(__xludf.DUMMYFUNCTION("IF(OR(CF186&gt;$BS186+$BT186*$BT$2,CF186&lt;$BS186-$BT186*$BT$2),AVEDEV(ARRAYFORMULA(XLOOKUP(FILTER(INDIRECT(""'""&amp;CF$1&amp;""'!$C$4:$C$66""),INDIRECT(""'""&amp;CF$1&amp;""'!$D$4:$D$66"")=CF$2),$G$4:$BQ$4,$G186:$BQ186))),"""")"),"")</f>
        <v/>
      </c>
      <c r="CH186" s="208" t="str">
        <f t="shared" si="11"/>
        <v/>
      </c>
      <c r="CI186" s="207">
        <f>IFERROR(__xludf.DUMMYFUNCTION("AVERAGE(ARRAYFORMULA(XLOOKUP(FILTER(INDIRECT(""'""&amp;CI$1&amp;""'!$C$4:$C$66""),INDIRECT(""'""&amp;CI$1&amp;""'!$D$4:$D$66"")=CI$2),$G$4:$BQ$4,$G186:$BQ186)))"),0.018165900645161298)</f>
        <v>0.01816590065</v>
      </c>
      <c r="CJ186" s="207" t="str">
        <f>IFERROR(__xludf.DUMMYFUNCTION("IF(OR(CI186&gt;$BS186+$BT186*$BT$2,CI186&lt;$BS186-$BT186*$BT$2),AVEDEV(ARRAYFORMULA(XLOOKUP(FILTER(INDIRECT(""'""&amp;CI$1&amp;""'!$C$4:$C$66""),INDIRECT(""'""&amp;CI$1&amp;""'!$D$4:$D$66"")=CI$2),$G$4:$BQ$4,$G186:$BQ186))),"""")"),"")</f>
        <v/>
      </c>
      <c r="CK186" s="208" t="str">
        <f t="shared" si="12"/>
        <v/>
      </c>
      <c r="CL186" s="207">
        <f>IFERROR(__xludf.DUMMYFUNCTION("AVERAGE(ARRAYFORMULA(XLOOKUP(FILTER(INDIRECT(""'""&amp;CL$1&amp;""'!$C$4:$C$66""),INDIRECT(""'""&amp;CL$1&amp;""'!$D$4:$D$66"")=CL$2),$G$4:$BQ$4,$G186:$BQ186)))"),0.138800012)</f>
        <v>0.138800012</v>
      </c>
      <c r="CM186" s="207" t="str">
        <f>IFERROR(__xludf.DUMMYFUNCTION("IF(OR(CL186&gt;$BS186+$BT186*$BT$2,CL186&lt;$BS186-$BT186*$BT$2),AVEDEV(ARRAYFORMULA(XLOOKUP(FILTER(INDIRECT(""'""&amp;CL$1&amp;""'!$C$4:$C$66""),INDIRECT(""'""&amp;CL$1&amp;""'!$D$4:$D$66"")=CL$2),$G$4:$BQ$4,$G186:$BQ186))),"""")"),"")</f>
        <v/>
      </c>
      <c r="CN186" s="208" t="str">
        <f t="shared" si="13"/>
        <v/>
      </c>
      <c r="CO186" s="209" t="s">
        <v>444</v>
      </c>
      <c r="CP186" s="210">
        <f>IFERROR(__xludf.DUMMYFUNCTION("AVERAGE(ARRAYFORMULA(XLOOKUP(FILTER(INDIRECT(""'""&amp;CP$1&amp;""'!$C$4:$C$66""),INDIRECT(""'""&amp;CP$1&amp;""'!$D$4:$D$66"")=CP$2),$G$4:$BQ$4,$G186:$BQ186)))"),0.041942862666666664)</f>
        <v>0.04194286267</v>
      </c>
      <c r="CQ186" s="207" t="str">
        <f>IFERROR(__xludf.DUMMYFUNCTION("IF(OR(CP186&gt;$BS186+$BT186*$BT$2,CP186&lt;$BS186-$BT186*$BT$2),AVEDEV(ARRAYFORMULA(XLOOKUP(FILTER(INDIRECT(""'""&amp;CP$1&amp;""'!$C$4:$C$66""),INDIRECT(""'""&amp;CP$1&amp;""'!$D$4:$D$66"")=CP$2),$G$4:$BQ$4,$G186:$BQ186))),"""")"),"")</f>
        <v/>
      </c>
      <c r="CR186" s="208" t="str">
        <f t="shared" si="14"/>
        <v/>
      </c>
      <c r="CS186" s="210">
        <f>IFERROR(__xludf.DUMMYFUNCTION("AVERAGE(ARRAYFORMULA(XLOOKUP(FILTER(INDIRECT(""'""&amp;CS$1&amp;""'!$C$4:$C$66""),INDIRECT(""'""&amp;CS$1&amp;""'!$D$4:$D$66"")=CS$2),$G$4:$BQ$4,$G186:$BQ186)))"),0.12398535000000002)</f>
        <v>0.12398535</v>
      </c>
      <c r="CT186" s="207" t="str">
        <f>IFERROR(__xludf.DUMMYFUNCTION("IF(OR(CS186&gt;$BS186+$BT186*$BT$2,CS186&lt;$BS186-$BT186*$BT$2),AVEDEV(ARRAYFORMULA(XLOOKUP(FILTER(INDIRECT(""'""&amp;CS$1&amp;""'!$C$4:$C$66""),INDIRECT(""'""&amp;CS$1&amp;""'!$D$4:$D$66"")=CS$2),$G$4:$BQ$4,$G186:$BQ186))),"""")"),"")</f>
        <v/>
      </c>
      <c r="CU186" s="208" t="str">
        <f t="shared" si="15"/>
        <v/>
      </c>
      <c r="CV186" s="210">
        <f>IFERROR(__xludf.DUMMYFUNCTION("AVERAGE(ARRAYFORMULA(XLOOKUP(FILTER(INDIRECT(""'""&amp;CV$1&amp;""'!$C$4:$C$66""),INDIRECT(""'""&amp;CV$1&amp;""'!$D$4:$D$66"")=CV$2),$G$4:$BQ$4,$G186:$BQ186)))"),0.138800012)</f>
        <v>0.138800012</v>
      </c>
      <c r="CW186" s="207" t="str">
        <f>IFERROR(__xludf.DUMMYFUNCTION("IF(OR(CV186&gt;$BS186+$BT186*$BT$2,CV186&lt;$BS186-$BT186*$BT$2),AVEDEV(ARRAYFORMULA(XLOOKUP(FILTER(INDIRECT(""'""&amp;CV$1&amp;""'!$C$4:$C$66""),INDIRECT(""'""&amp;CV$1&amp;""'!$D$4:$D$66"")=CV$2),$G$4:$BQ$4,$G186:$BQ186))),"""")"),"")</f>
        <v/>
      </c>
      <c r="CX186" s="208" t="str">
        <f t="shared" si="16"/>
        <v/>
      </c>
      <c r="CY186" s="209" t="s">
        <v>444</v>
      </c>
      <c r="CZ186" s="210">
        <f>IFERROR(__xludf.DUMMYFUNCTION("AVERAGE(ARRAYFORMULA(XLOOKUP(FILTER(INDIRECT(""'""&amp;CZ$1&amp;""'!$C$4:$C$66""),INDIRECT(""'""&amp;CZ$1&amp;""'!$D$4:$D$66"")=CZ$2),$G$4:$BQ$4,$G186:$BQ186)))"),0.23204081928571427)</f>
        <v>0.2320408193</v>
      </c>
      <c r="DA186" s="207" t="str">
        <f>IFERROR(__xludf.DUMMYFUNCTION("IF(OR(CZ186&gt;$BS186+$BT186*$BT$2,CZ186&lt;$BS186-$BT186*$BT$2),AVEDEV(ARRAYFORMULA(XLOOKUP(FILTER(INDIRECT(""'""&amp;CZ$1&amp;""'!$C$4:$C$66""),INDIRECT(""'""&amp;CZ$1&amp;""'!$D$4:$D$66"")=CZ$2),$G$4:$BQ$4,$G186:$BQ186))),"""")"),"")</f>
        <v/>
      </c>
      <c r="DB186" s="208" t="str">
        <f t="shared" si="17"/>
        <v/>
      </c>
      <c r="DC186" s="210">
        <f>IFERROR(__xludf.DUMMYFUNCTION("AVERAGE(ARRAYFORMULA(XLOOKUP(FILTER(INDIRECT(""'""&amp;DC$1&amp;""'!$C$4:$C$66""),INDIRECT(""'""&amp;DC$1&amp;""'!$D$4:$D$66"")=DC$2),$G$4:$BQ$4,$G186:$BQ186)))"),0.08241270333333335)</f>
        <v>0.08241270333</v>
      </c>
      <c r="DD186" s="207" t="str">
        <f>IFERROR(__xludf.DUMMYFUNCTION("IF(OR(DC186&gt;$BS186+$BT186*$BT$2,DC186&lt;$BS186-$BT186*$BT$2),AVEDEV(ARRAYFORMULA(XLOOKUP(FILTER(INDIRECT(""'""&amp;DC$1&amp;""'!$C$4:$C$66""),INDIRECT(""'""&amp;DC$1&amp;""'!$D$4:$D$66"")=DC$2),$G$4:$BQ$4,$G186:$BQ186))),"""")"),"")</f>
        <v/>
      </c>
      <c r="DE186" s="208" t="str">
        <f t="shared" si="18"/>
        <v/>
      </c>
      <c r="DF186" s="210">
        <f>IFERROR(__xludf.DUMMYFUNCTION("AVERAGE(ARRAYFORMULA(XLOOKUP(FILTER(INDIRECT(""'""&amp;DF$1&amp;""'!$C$4:$C$66""),INDIRECT(""'""&amp;DF$1&amp;""'!$D$4:$D$66"")=DF$2),$G$4:$BQ$4,$G186:$BQ186)))"),0.11779220818181818)</f>
        <v>0.1177922082</v>
      </c>
      <c r="DG186" s="207" t="str">
        <f>IFERROR(__xludf.DUMMYFUNCTION("IF(OR(DF186&gt;$BS186+$BT186*$BT$2,DF186&lt;$BS186-$BT186*$BT$2),AVEDEV(ARRAYFORMULA(XLOOKUP(FILTER(INDIRECT(""'""&amp;DF$1&amp;""'!$C$4:$C$66""),INDIRECT(""'""&amp;DF$1&amp;""'!$D$4:$D$66"")=DF$2),$G$4:$BQ$4,$G186:$BQ186))),"""")"),"")</f>
        <v/>
      </c>
      <c r="DH186" s="208" t="str">
        <f t="shared" si="19"/>
        <v/>
      </c>
      <c r="DI186" s="210">
        <f>IFERROR(__xludf.DUMMYFUNCTION("AVERAGE(ARRAYFORMULA(XLOOKUP(FILTER(INDIRECT(""'""&amp;DI$1&amp;""'!$C$4:$C$66""),INDIRECT(""'""&amp;DI$1&amp;""'!$D$4:$D$66"")=DI$2),$G$4:$BQ$4,$G186:$BQ186)))"),-0.4285714)</f>
        <v>-0.4285714</v>
      </c>
      <c r="DJ186" s="207">
        <f>IFERROR(__xludf.DUMMYFUNCTION("IF(OR(DI186&gt;$BS186+$BT186*$BT$2,DI186&lt;$BS186-$BT186*$BT$2),AVEDEV(ARRAYFORMULA(XLOOKUP(FILTER(INDIRECT(""'""&amp;DI$1&amp;""'!$C$4:$C$66""),INDIRECT(""'""&amp;DI$1&amp;""'!$D$4:$D$66"")=DI$2),$G$4:$BQ$4,$G186:$BQ186))),"""")"),0.0)</f>
        <v>0</v>
      </c>
      <c r="DK186" s="208">
        <f t="shared" si="20"/>
        <v>-0.07589631533</v>
      </c>
      <c r="DL186" s="210">
        <f>IFERROR(__xludf.DUMMYFUNCTION("AVERAGE(ARRAYFORMULA(XLOOKUP(FILTER(INDIRECT(""'""&amp;DL$1&amp;""'!$C$4:$C$66""),INDIRECT(""'""&amp;DL$1&amp;""'!$D$4:$D$66"")=DL$2),$G$4:$BQ$4,$G186:$BQ186)))"),0.1904489792857143)</f>
        <v>0.1904489793</v>
      </c>
      <c r="DM186" s="207" t="str">
        <f>IFERROR(__xludf.DUMMYFUNCTION("IF(OR(DL186&gt;$BS186+$BT186*$BT$2,DL186&lt;$BS186-$BT186*$BT$2),AVEDEV(ARRAYFORMULA(XLOOKUP(FILTER(INDIRECT(""'""&amp;DL$1&amp;""'!$C$4:$C$66""),INDIRECT(""'""&amp;DL$1&amp;""'!$D$4:$D$66"")=DL$2),$G$4:$BQ$4,$G186:$BQ186))),"""")"),"")</f>
        <v/>
      </c>
      <c r="DN186" s="208" t="str">
        <f t="shared" si="21"/>
        <v/>
      </c>
      <c r="DO186" s="209" t="s">
        <v>444</v>
      </c>
      <c r="DP186" s="210">
        <f>IFERROR(__xludf.DUMMYFUNCTION("AVERAGE(ARRAYFORMULA(XLOOKUP(FILTER(INDIRECT(""'""&amp;DP$1&amp;""'!$C$4:$C$66""),INDIRECT(""'""&amp;DP$1&amp;""'!$D$4:$D$66"")=DP$2),$G$4:$BQ$4,$G186:$BQ186)))"),0.22529524033333329)</f>
        <v>0.2252952403</v>
      </c>
      <c r="DQ186" s="207" t="str">
        <f>IFERROR(__xludf.DUMMYFUNCTION("IF(OR(DP186&gt;$BS186+$BT186*$BT$2,DP186&lt;$BS186-$BT186*$BT$2),AVEDEV(ARRAYFORMULA(XLOOKUP(FILTER(INDIRECT(""'""&amp;DP$1&amp;""'!$C$4:$C$66""),INDIRECT(""'""&amp;DP$1&amp;""'!$D$4:$D$66"")=DP$2),$G$4:$BQ$4,$G186:$BQ186))),"""")"),"")</f>
        <v/>
      </c>
      <c r="DR186" s="208" t="str">
        <f t="shared" si="22"/>
        <v/>
      </c>
      <c r="DS186" s="210">
        <f>IFERROR(__xludf.DUMMYFUNCTION("AVERAGE(ARRAYFORMULA(XLOOKUP(FILTER(INDIRECT(""'""&amp;DS$1&amp;""'!$C$4:$C$66""),INDIRECT(""'""&amp;DS$1&amp;""'!$D$4:$D$66"")=DS$2),$G$4:$BQ$4,$G186:$BQ186)))"),-0.005777773333333335)</f>
        <v>-0.005777773333</v>
      </c>
      <c r="DT186" s="207" t="str">
        <f>IFERROR(__xludf.DUMMYFUNCTION("IF(OR(DS186&gt;$BS186+$BT186*$BT$2,DS186&lt;$BS186-$BT186*$BT$2),AVEDEV(ARRAYFORMULA(XLOOKUP(FILTER(INDIRECT(""'""&amp;DS$1&amp;""'!$C$4:$C$66""),INDIRECT(""'""&amp;DS$1&amp;""'!$D$4:$D$66"")=DS$2),$G$4:$BQ$4,$G186:$BQ186))),"""")"),"")</f>
        <v/>
      </c>
      <c r="DU186" s="208" t="str">
        <f t="shared" si="23"/>
        <v/>
      </c>
      <c r="DV186" s="210">
        <f>IFERROR(__xludf.DUMMYFUNCTION("AVERAGE(ARRAYFORMULA(XLOOKUP(FILTER(INDIRECT(""'""&amp;DV$1&amp;""'!$C$4:$C$66""),INDIRECT(""'""&amp;DV$1&amp;""'!$D$4:$D$66"")=DV$2),$G$4:$BQ$4,$G186:$BQ186)))"),-0.31564285)</f>
        <v>-0.31564285</v>
      </c>
      <c r="DW186" s="207" t="str">
        <f>IFERROR(__xludf.DUMMYFUNCTION("IF(OR(DV186&gt;$BS186+$BT186*$BT$2,DV186&lt;$BS186-$BT186*$BT$2),AVEDEV(ARRAYFORMULA(XLOOKUP(FILTER(INDIRECT(""'""&amp;DV$1&amp;""'!$C$4:$C$66""),INDIRECT(""'""&amp;DV$1&amp;""'!$D$4:$D$66"")=DV$2),$G$4:$BQ$4,$G186:$BQ186))),"""")"),"")</f>
        <v/>
      </c>
      <c r="DX186" s="208" t="str">
        <f t="shared" si="24"/>
        <v/>
      </c>
      <c r="DY186" s="210">
        <f>IFERROR(__xludf.DUMMYFUNCTION("AVERAGE(ARRAYFORMULA(XLOOKUP(FILTER(INDIRECT(""'""&amp;DY$1&amp;""'!$C$4:$C$66""),INDIRECT(""'""&amp;DY$1&amp;""'!$D$4:$D$66"")=DY$2),$G$4:$BQ$4,$G186:$BQ186)))"),0.1032380988888889)</f>
        <v>0.1032380989</v>
      </c>
      <c r="DZ186" s="207" t="str">
        <f>IFERROR(__xludf.DUMMYFUNCTION("IF(OR(DY186&gt;$BS186+$BT186*$BT$2,DY186&lt;$BS186-$BT186*$BT$2),AVEDEV(ARRAYFORMULA(XLOOKUP(FILTER(INDIRECT(""'""&amp;DY$1&amp;""'!$C$4:$C$66""),INDIRECT(""'""&amp;DY$1&amp;""'!$D$4:$D$66"")=DY$2),$G$4:$BQ$4,$G186:$BQ186))),"""")"),"")</f>
        <v/>
      </c>
      <c r="EA186" s="208" t="str">
        <f t="shared" si="25"/>
        <v/>
      </c>
      <c r="EB186" s="191"/>
    </row>
    <row r="187" outlineLevel="1">
      <c r="A187" s="2"/>
      <c r="B187" s="204">
        <v>183.0</v>
      </c>
      <c r="C187" s="204" t="s">
        <v>630</v>
      </c>
      <c r="D187" s="204" t="s">
        <v>631</v>
      </c>
      <c r="E187" s="205" t="b">
        <f>VLOOKUP(D187,'Feature Set List'!A183:C246,2,0)</f>
        <v>1</v>
      </c>
      <c r="F187" s="205" t="b">
        <f>VLOOKUP(D187,'Feature Set List'!A183:C246,3,0)</f>
        <v>1</v>
      </c>
      <c r="G187" s="205">
        <v>-0.3150427</v>
      </c>
      <c r="H187" s="205">
        <v>-0.3382076</v>
      </c>
      <c r="I187" s="205">
        <v>-0.6057623</v>
      </c>
      <c r="J187" s="205">
        <v>0.04835674</v>
      </c>
      <c r="K187" s="205">
        <v>-0.8678442</v>
      </c>
      <c r="L187" s="205">
        <v>0.80787607</v>
      </c>
      <c r="M187" s="205">
        <v>1.58274215</v>
      </c>
      <c r="N187" s="205">
        <v>0.11408716</v>
      </c>
      <c r="O187" s="205">
        <v>0.53974229</v>
      </c>
      <c r="P187" s="205">
        <v>1.12176053</v>
      </c>
      <c r="Q187" s="205">
        <v>-0.8463877</v>
      </c>
      <c r="R187" s="205">
        <v>0.35905603</v>
      </c>
      <c r="S187" s="205">
        <v>2.38048357</v>
      </c>
      <c r="T187" s="205">
        <v>-0.5180252</v>
      </c>
      <c r="U187" s="205">
        <v>0.83509483</v>
      </c>
      <c r="V187" s="205">
        <v>0.64050963</v>
      </c>
      <c r="W187" s="205">
        <v>0.99232663</v>
      </c>
      <c r="X187" s="205">
        <v>0.564355</v>
      </c>
      <c r="Y187" s="205">
        <v>-0.540611</v>
      </c>
      <c r="Z187" s="205">
        <v>-0.0176632</v>
      </c>
      <c r="AA187" s="205">
        <v>-0.1815549</v>
      </c>
      <c r="AB187" s="205">
        <v>-1.1521645</v>
      </c>
      <c r="AC187" s="205">
        <v>0.04111771</v>
      </c>
      <c r="AD187" s="205">
        <v>-0.6439844</v>
      </c>
      <c r="AE187" s="205">
        <v>0.8188794</v>
      </c>
      <c r="AF187" s="205">
        <v>0.0</v>
      </c>
      <c r="AG187" s="205">
        <v>0.33299551</v>
      </c>
      <c r="AH187" s="205">
        <v>0.31591139</v>
      </c>
      <c r="AI187" s="205">
        <v>-0.0671782</v>
      </c>
      <c r="AJ187" s="205">
        <v>1.82742146</v>
      </c>
      <c r="AK187" s="205">
        <v>-0.3605038</v>
      </c>
      <c r="AL187" s="205">
        <v>-0.4502678</v>
      </c>
      <c r="AM187" s="205">
        <v>-0.0915014</v>
      </c>
      <c r="AN187" s="205">
        <v>-0.1250905</v>
      </c>
      <c r="AO187" s="205">
        <v>0.50007239</v>
      </c>
      <c r="AP187" s="205">
        <v>-0.7262198</v>
      </c>
      <c r="AQ187" s="205">
        <v>-0.0587809</v>
      </c>
      <c r="AR187" s="205">
        <v>0.1048212</v>
      </c>
      <c r="AS187" s="205">
        <v>0.12161575</v>
      </c>
      <c r="AT187" s="205">
        <v>-0.5545099</v>
      </c>
      <c r="AU187" s="205">
        <v>-1.1521645</v>
      </c>
      <c r="AV187" s="205">
        <v>0.51455046</v>
      </c>
      <c r="AW187" s="205">
        <v>0.72448241</v>
      </c>
      <c r="AX187" s="205">
        <v>0.01563631</v>
      </c>
      <c r="AY187" s="205">
        <v>0.97640075</v>
      </c>
      <c r="AZ187" s="205">
        <v>0.03300999</v>
      </c>
      <c r="BA187" s="205">
        <v>1.11249457</v>
      </c>
      <c r="BB187" s="205">
        <v>-0.0674678</v>
      </c>
      <c r="BC187" s="205">
        <v>1.52656725</v>
      </c>
      <c r="BD187" s="205">
        <v>-0.6949472</v>
      </c>
      <c r="BE187" s="205">
        <v>-0.1456493</v>
      </c>
      <c r="BF187" s="205">
        <v>-0.5953381</v>
      </c>
      <c r="BG187" s="205">
        <v>0.31185754</v>
      </c>
      <c r="BH187" s="205">
        <v>-0.6549877</v>
      </c>
      <c r="BI187" s="205">
        <v>0.16852469</v>
      </c>
      <c r="BJ187" s="205">
        <v>0.59562762</v>
      </c>
      <c r="BK187" s="205">
        <v>-0.3694802</v>
      </c>
      <c r="BL187" s="205">
        <v>-0.9607065</v>
      </c>
      <c r="BM187" s="205">
        <v>-0.3387867</v>
      </c>
      <c r="BN187" s="205">
        <v>-0.4893586</v>
      </c>
      <c r="BO187" s="205">
        <v>-0.1054003</v>
      </c>
      <c r="BP187" s="205">
        <v>-0.4456349</v>
      </c>
      <c r="BQ187" s="205">
        <v>4.09468655</v>
      </c>
      <c r="BR187" s="206"/>
      <c r="BS187" s="207">
        <f t="shared" si="6"/>
        <v>0.1530451076</v>
      </c>
      <c r="BT187" s="207">
        <f t="shared" si="7"/>
        <v>0.634010671</v>
      </c>
      <c r="BU187" s="206"/>
      <c r="BV187" s="207">
        <f>IFERROR(__xludf.DUMMYFUNCTION("AVERAGE(ARRAYFORMULA(XLOOKUP(FILTER(INDIRECT(""'""&amp;BV$1&amp;""'!$C$4:$C$66""),INDIRECT(""'""&amp;BV$1&amp;""'!$D$4:$D$66"")=BV$2),$G$4:$BQ$4,$G187:$BQ187)))"),0.24315705285714287)</f>
        <v>0.2431570529</v>
      </c>
      <c r="BW187" s="207" t="str">
        <f>IFERROR(__xludf.DUMMYFUNCTION("IF(OR(BV187&gt;$BS187+$BT187*$BT$2,BV187&lt;$BS187-$BT187*$BT$2),AVEDEV(ARRAYFORMULA(XLOOKUP(FILTER(INDIRECT(""'""&amp;BV$1&amp;""'!$C$4:$C$66""),INDIRECT(""'""&amp;BV$1&amp;""'!$D$4:$D$66"")=BV$2),$G$4:$BQ$4,$G187:$BQ187))),"""")"),"")</f>
        <v/>
      </c>
      <c r="BX187" s="208" t="str">
        <f t="shared" si="8"/>
        <v/>
      </c>
      <c r="BY187" s="207">
        <f>IFERROR(__xludf.DUMMYFUNCTION("AVERAGE(ARRAYFORMULA(XLOOKUP(FILTER(INDIRECT(""'""&amp;BY$1&amp;""'!$C$4:$C$66""),INDIRECT(""'""&amp;BY$1&amp;""'!$D$4:$D$66"")=BY$2),$G$4:$BQ$4,$G187:$BQ187)))"),0.15368743023809522)</f>
        <v>0.1536874302</v>
      </c>
      <c r="BZ187" s="207" t="str">
        <f>IFERROR(__xludf.DUMMYFUNCTION("IF(OR(BY187&gt;$BS187+$BT187*$BT$2,BY187&lt;$BS187-$BT187*$BT$2),AVEDEV(ARRAYFORMULA(XLOOKUP(FILTER(INDIRECT(""'""&amp;BY$1&amp;""'!$C$4:$C$66""),INDIRECT(""'""&amp;BY$1&amp;""'!$D$4:$D$66"")=BY$2),$G$4:$BQ$4,$G187:$BQ187))),"""")"),"")</f>
        <v/>
      </c>
      <c r="CA187" s="208" t="str">
        <f t="shared" si="9"/>
        <v/>
      </c>
      <c r="CB187" s="207">
        <f>IFERROR(__xludf.DUMMYFUNCTION("AVERAGE(ARRAYFORMULA(XLOOKUP(FILTER(INDIRECT(""'""&amp;CB$1&amp;""'!$C$4:$C$66""),INDIRECT(""'""&amp;CB$1&amp;""'!$D$4:$D$66"")=CB$2),$G$4:$BQ$4,$G187:$BQ187)))"),0.3579767581818181)</f>
        <v>0.3579767582</v>
      </c>
      <c r="CC187" s="207" t="str">
        <f>IFERROR(__xludf.DUMMYFUNCTION("IF(OR(CB187&gt;$BS187+$BT187*$BT$2,CB187&lt;$BS187-$BT187*$BT$2),AVEDEV(ARRAYFORMULA(XLOOKUP(FILTER(INDIRECT(""'""&amp;CB$1&amp;""'!$C$4:$C$66""),INDIRECT(""'""&amp;CB$1&amp;""'!$D$4:$D$66"")=CB$2),$G$4:$BQ$4,$G187:$BQ187))),"""")"),"")</f>
        <v/>
      </c>
      <c r="CD187" s="208" t="str">
        <f t="shared" si="10"/>
        <v/>
      </c>
      <c r="CE187" s="209" t="s">
        <v>444</v>
      </c>
      <c r="CF187" s="207">
        <f>IFERROR(__xludf.DUMMYFUNCTION("AVERAGE(ARRAYFORMULA(XLOOKUP(FILTER(INDIRECT(""'""&amp;CF$1&amp;""'!$C$4:$C$66""),INDIRECT(""'""&amp;CF$1&amp;""'!$D$4:$D$66"")=CF$2),$G$4:$BQ$4,$G187:$BQ187)))"),-0.007602788749999995)</f>
        <v>-0.00760278875</v>
      </c>
      <c r="CG187" s="207" t="str">
        <f>IFERROR(__xludf.DUMMYFUNCTION("IF(OR(CF187&gt;$BS187+$BT187*$BT$2,CF187&lt;$BS187-$BT187*$BT$2),AVEDEV(ARRAYFORMULA(XLOOKUP(FILTER(INDIRECT(""'""&amp;CF$1&amp;""'!$C$4:$C$66""),INDIRECT(""'""&amp;CF$1&amp;""'!$D$4:$D$66"")=CF$2),$G$4:$BQ$4,$G187:$BQ187))),"""")"),"")</f>
        <v/>
      </c>
      <c r="CH187" s="208" t="str">
        <f t="shared" si="11"/>
        <v/>
      </c>
      <c r="CI187" s="207">
        <f>IFERROR(__xludf.DUMMYFUNCTION("AVERAGE(ARRAYFORMULA(XLOOKUP(FILTER(INDIRECT(""'""&amp;CI$1&amp;""'!$C$4:$C$66""),INDIRECT(""'""&amp;CI$1&amp;""'!$D$4:$D$66"")=CI$2),$G$4:$BQ$4,$G187:$BQ187)))"),0.34199059709677415)</f>
        <v>0.3419905971</v>
      </c>
      <c r="CJ187" s="207" t="str">
        <f>IFERROR(__xludf.DUMMYFUNCTION("IF(OR(CI187&gt;$BS187+$BT187*$BT$2,CI187&lt;$BS187-$BT187*$BT$2),AVEDEV(ARRAYFORMULA(XLOOKUP(FILTER(INDIRECT(""'""&amp;CI$1&amp;""'!$C$4:$C$66""),INDIRECT(""'""&amp;CI$1&amp;""'!$D$4:$D$66"")=CI$2),$G$4:$BQ$4,$G187:$BQ187))),"""")"),"")</f>
        <v/>
      </c>
      <c r="CK187" s="208" t="str">
        <f t="shared" si="12"/>
        <v/>
      </c>
      <c r="CL187" s="207">
        <f>IFERROR(__xludf.DUMMYFUNCTION("AVERAGE(ARRAYFORMULA(XLOOKUP(FILTER(INDIRECT(""'""&amp;CL$1&amp;""'!$C$4:$C$66""),INDIRECT(""'""&amp;CL$1&amp;""'!$D$4:$D$66"")=CL$2),$G$4:$BQ$4,$G187:$BQ187)))"),0.42994063800000004)</f>
        <v>0.429940638</v>
      </c>
      <c r="CM187" s="207" t="str">
        <f>IFERROR(__xludf.DUMMYFUNCTION("IF(OR(CL187&gt;$BS187+$BT187*$BT$2,CL187&lt;$BS187-$BT187*$BT$2),AVEDEV(ARRAYFORMULA(XLOOKUP(FILTER(INDIRECT(""'""&amp;CL$1&amp;""'!$C$4:$C$66""),INDIRECT(""'""&amp;CL$1&amp;""'!$D$4:$D$66"")=CL$2),$G$4:$BQ$4,$G187:$BQ187))),"""")"),"")</f>
        <v/>
      </c>
      <c r="CN187" s="208" t="str">
        <f t="shared" si="13"/>
        <v/>
      </c>
      <c r="CO187" s="209" t="s">
        <v>444</v>
      </c>
      <c r="CP187" s="210">
        <f>IFERROR(__xludf.DUMMYFUNCTION("AVERAGE(ARRAYFORMULA(XLOOKUP(FILTER(INDIRECT(""'""&amp;CP$1&amp;""'!$C$4:$C$66""),INDIRECT(""'""&amp;CP$1&amp;""'!$D$4:$D$66"")=CP$2),$G$4:$BQ$4,$G187:$BQ187)))"),-0.047449440666666676)</f>
        <v>-0.04744944067</v>
      </c>
      <c r="CQ187" s="207" t="str">
        <f>IFERROR(__xludf.DUMMYFUNCTION("IF(OR(CP187&gt;$BS187+$BT187*$BT$2,CP187&lt;$BS187-$BT187*$BT$2),AVEDEV(ARRAYFORMULA(XLOOKUP(FILTER(INDIRECT(""'""&amp;CP$1&amp;""'!$C$4:$C$66""),INDIRECT(""'""&amp;CP$1&amp;""'!$D$4:$D$66"")=CP$2),$G$4:$BQ$4,$G187:$BQ187))),"""")"),"")</f>
        <v/>
      </c>
      <c r="CR187" s="208" t="str">
        <f t="shared" si="14"/>
        <v/>
      </c>
      <c r="CS187" s="210">
        <f>IFERROR(__xludf.DUMMYFUNCTION("AVERAGE(ARRAYFORMULA(XLOOKUP(FILTER(INDIRECT(""'""&amp;CS$1&amp;""'!$C$4:$C$66""),INDIRECT(""'""&amp;CS$1&amp;""'!$D$4:$D$66"")=CS$2),$G$4:$BQ$4,$G187:$BQ187)))"),0.2978836076923076)</f>
        <v>0.2978836077</v>
      </c>
      <c r="CT187" s="207" t="str">
        <f>IFERROR(__xludf.DUMMYFUNCTION("IF(OR(CS187&gt;$BS187+$BT187*$BT$2,CS187&lt;$BS187-$BT187*$BT$2),AVEDEV(ARRAYFORMULA(XLOOKUP(FILTER(INDIRECT(""'""&amp;CS$1&amp;""'!$C$4:$C$66""),INDIRECT(""'""&amp;CS$1&amp;""'!$D$4:$D$66"")=CS$2),$G$4:$BQ$4,$G187:$BQ187))),"""")"),"")</f>
        <v/>
      </c>
      <c r="CU187" s="208" t="str">
        <f t="shared" si="15"/>
        <v/>
      </c>
      <c r="CV187" s="210">
        <f>IFERROR(__xludf.DUMMYFUNCTION("AVERAGE(ARRAYFORMULA(XLOOKUP(FILTER(INDIRECT(""'""&amp;CV$1&amp;""'!$C$4:$C$66""),INDIRECT(""'""&amp;CV$1&amp;""'!$D$4:$D$66"")=CV$2),$G$4:$BQ$4,$G187:$BQ187)))"),0.42994063800000004)</f>
        <v>0.429940638</v>
      </c>
      <c r="CW187" s="207" t="str">
        <f>IFERROR(__xludf.DUMMYFUNCTION("IF(OR(CV187&gt;$BS187+$BT187*$BT$2,CV187&lt;$BS187-$BT187*$BT$2),AVEDEV(ARRAYFORMULA(XLOOKUP(FILTER(INDIRECT(""'""&amp;CV$1&amp;""'!$C$4:$C$66""),INDIRECT(""'""&amp;CV$1&amp;""'!$D$4:$D$66"")=CV$2),$G$4:$BQ$4,$G187:$BQ187))),"""")"),"")</f>
        <v/>
      </c>
      <c r="CX187" s="208" t="str">
        <f t="shared" si="16"/>
        <v/>
      </c>
      <c r="CY187" s="209" t="s">
        <v>444</v>
      </c>
      <c r="CZ187" s="210">
        <f>IFERROR(__xludf.DUMMYFUNCTION("AVERAGE(ARRAYFORMULA(XLOOKUP(FILTER(INDIRECT(""'""&amp;CZ$1&amp;""'!$C$4:$C$66""),INDIRECT(""'""&amp;CZ$1&amp;""'!$D$4:$D$66"")=CZ$2),$G$4:$BQ$4,$G187:$BQ187)))"),-0.020476110714285713)</f>
        <v>-0.02047611071</v>
      </c>
      <c r="DA187" s="207" t="str">
        <f>IFERROR(__xludf.DUMMYFUNCTION("IF(OR(CZ187&gt;$BS187+$BT187*$BT$2,CZ187&lt;$BS187-$BT187*$BT$2),AVEDEV(ARRAYFORMULA(XLOOKUP(FILTER(INDIRECT(""'""&amp;CZ$1&amp;""'!$C$4:$C$66""),INDIRECT(""'""&amp;CZ$1&amp;""'!$D$4:$D$66"")=CZ$2),$G$4:$BQ$4,$G187:$BQ187))),"""")"),"")</f>
        <v/>
      </c>
      <c r="DB187" s="208" t="str">
        <f t="shared" si="17"/>
        <v/>
      </c>
      <c r="DC187" s="210">
        <f>IFERROR(__xludf.DUMMYFUNCTION("AVERAGE(ARRAYFORMULA(XLOOKUP(FILTER(INDIRECT(""'""&amp;DC$1&amp;""'!$C$4:$C$66""),INDIRECT(""'""&amp;DC$1&amp;""'!$D$4:$D$66"")=DC$2),$G$4:$BQ$4,$G187:$BQ187)))"),0.4715023388888888)</f>
        <v>0.4715023389</v>
      </c>
      <c r="DD187" s="207" t="str">
        <f>IFERROR(__xludf.DUMMYFUNCTION("IF(OR(DC187&gt;$BS187+$BT187*$BT$2,DC187&lt;$BS187-$BT187*$BT$2),AVEDEV(ARRAYFORMULA(XLOOKUP(FILTER(INDIRECT(""'""&amp;DC$1&amp;""'!$C$4:$C$66""),INDIRECT(""'""&amp;DC$1&amp;""'!$D$4:$D$66"")=DC$2),$G$4:$BQ$4,$G187:$BQ187))),"""")"),"")</f>
        <v/>
      </c>
      <c r="DE187" s="208" t="str">
        <f t="shared" si="18"/>
        <v/>
      </c>
      <c r="DF187" s="210">
        <f>IFERROR(__xludf.DUMMYFUNCTION("AVERAGE(ARRAYFORMULA(XLOOKUP(FILTER(INDIRECT(""'""&amp;DF$1&amp;""'!$C$4:$C$66""),INDIRECT(""'""&amp;DF$1&amp;""'!$D$4:$D$66"")=DF$2),$G$4:$BQ$4,$G187:$BQ187)))"),0.1374363327272727)</f>
        <v>0.1374363327</v>
      </c>
      <c r="DG187" s="207" t="str">
        <f>IFERROR(__xludf.DUMMYFUNCTION("IF(OR(DF187&gt;$BS187+$BT187*$BT$2,DF187&lt;$BS187-$BT187*$BT$2),AVEDEV(ARRAYFORMULA(XLOOKUP(FILTER(INDIRECT(""'""&amp;DF$1&amp;""'!$C$4:$C$66""),INDIRECT(""'""&amp;DF$1&amp;""'!$D$4:$D$66"")=DF$2),$G$4:$BQ$4,$G187:$BQ187))),"""")"),"")</f>
        <v/>
      </c>
      <c r="DH187" s="208" t="str">
        <f t="shared" si="19"/>
        <v/>
      </c>
      <c r="DI187" s="210">
        <f>IFERROR(__xludf.DUMMYFUNCTION("AVERAGE(ARRAYFORMULA(XLOOKUP(FILTER(INDIRECT(""'""&amp;DI$1&amp;""'!$C$4:$C$66""),INDIRECT(""'""&amp;DI$1&amp;""'!$D$4:$D$66"")=DI$2),$G$4:$BQ$4,$G187:$BQ187)))"),-0.6494860499999999)</f>
        <v>-0.64948605</v>
      </c>
      <c r="DJ187" s="207">
        <f>IFERROR(__xludf.DUMMYFUNCTION("IF(OR(DI187&gt;$BS187+$BT187*$BT$2,DI187&lt;$BS187-$BT187*$BT$2),AVEDEV(ARRAYFORMULA(XLOOKUP(FILTER(INDIRECT(""'""&amp;DI$1&amp;""'!$C$4:$C$66""),INDIRECT(""'""&amp;DI$1&amp;""'!$D$4:$D$66"")=DI$2),$G$4:$BQ$4,$G187:$BQ187))),"""")"),0.005501649999999969)</f>
        <v>0.00550165</v>
      </c>
      <c r="DK187" s="208">
        <f t="shared" si="20"/>
        <v>-0.1685204866</v>
      </c>
      <c r="DL187" s="210">
        <f>IFERROR(__xludf.DUMMYFUNCTION("AVERAGE(ARRAYFORMULA(XLOOKUP(FILTER(INDIRECT(""'""&amp;DL$1&amp;""'!$C$4:$C$66""),INDIRECT(""'""&amp;DL$1&amp;""'!$D$4:$D$66"")=DL$2),$G$4:$BQ$4,$G187:$BQ187)))"),0.5219963214285713)</f>
        <v>0.5219963214</v>
      </c>
      <c r="DM187" s="207" t="str">
        <f>IFERROR(__xludf.DUMMYFUNCTION("IF(OR(DL187&gt;$BS187+$BT187*$BT$2,DL187&lt;$BS187-$BT187*$BT$2),AVEDEV(ARRAYFORMULA(XLOOKUP(FILTER(INDIRECT(""'""&amp;DL$1&amp;""'!$C$4:$C$66""),INDIRECT(""'""&amp;DL$1&amp;""'!$D$4:$D$66"")=DL$2),$G$4:$BQ$4,$G187:$BQ187))),"""")"),"")</f>
        <v/>
      </c>
      <c r="DN187" s="208" t="str">
        <f t="shared" si="21"/>
        <v/>
      </c>
      <c r="DO187" s="209" t="s">
        <v>444</v>
      </c>
      <c r="DP187" s="210">
        <f>IFERROR(__xludf.DUMMYFUNCTION("AVERAGE(ARRAYFORMULA(XLOOKUP(FILTER(INDIRECT(""'""&amp;DP$1&amp;""'!$C$4:$C$66""),INDIRECT(""'""&amp;DP$1&amp;""'!$D$4:$D$66"")=DP$2),$G$4:$BQ$4,$G187:$BQ187)))"),0.061212303333333294)</f>
        <v>0.06121230333</v>
      </c>
      <c r="DQ187" s="207" t="str">
        <f>IFERROR(__xludf.DUMMYFUNCTION("IF(OR(DP187&gt;$BS187+$BT187*$BT$2,DP187&lt;$BS187-$BT187*$BT$2),AVEDEV(ARRAYFORMULA(XLOOKUP(FILTER(INDIRECT(""'""&amp;DP$1&amp;""'!$C$4:$C$66""),INDIRECT(""'""&amp;DP$1&amp;""'!$D$4:$D$66"")=DP$2),$G$4:$BQ$4,$G187:$BQ187))),"""")"),"")</f>
        <v/>
      </c>
      <c r="DR187" s="208" t="str">
        <f t="shared" si="22"/>
        <v/>
      </c>
      <c r="DS187" s="210">
        <f>IFERROR(__xludf.DUMMYFUNCTION("AVERAGE(ARRAYFORMULA(XLOOKUP(FILTER(INDIRECT(""'""&amp;DS$1&amp;""'!$C$4:$C$66""),INDIRECT(""'""&amp;DS$1&amp;""'!$D$4:$D$66"")=DS$2),$G$4:$BQ$4,$G187:$BQ187)))"),0.5510995344444444)</f>
        <v>0.5510995344</v>
      </c>
      <c r="DT187" s="207" t="str">
        <f>IFERROR(__xludf.DUMMYFUNCTION("IF(OR(DS187&gt;$BS187+$BT187*$BT$2,DS187&lt;$BS187-$BT187*$BT$2),AVEDEV(ARRAYFORMULA(XLOOKUP(FILTER(INDIRECT(""'""&amp;DS$1&amp;""'!$C$4:$C$66""),INDIRECT(""'""&amp;DS$1&amp;""'!$D$4:$D$66"")=DS$2),$G$4:$BQ$4,$G187:$BQ187))),"""")"),"")</f>
        <v/>
      </c>
      <c r="DU187" s="208" t="str">
        <f t="shared" si="23"/>
        <v/>
      </c>
      <c r="DV187" s="210">
        <f>IFERROR(__xludf.DUMMYFUNCTION("AVERAGE(ARRAYFORMULA(XLOOKUP(FILTER(INDIRECT(""'""&amp;DV$1&amp;""'!$C$4:$C$66""),INDIRECT(""'""&amp;DV$1&amp;""'!$D$4:$D$66"")=DV$2),$G$4:$BQ$4,$G187:$BQ187)))"),0.8462067525)</f>
        <v>0.8462067525</v>
      </c>
      <c r="DW187" s="207">
        <f>IFERROR(__xludf.DUMMYFUNCTION("IF(OR(DV187&gt;$BS187+$BT187*$BT$2,DV187&lt;$BS187-$BT187*$BT$2),AVEDEV(ARRAYFORMULA(XLOOKUP(FILTER(INDIRECT(""'""&amp;DV$1&amp;""'!$C$4:$C$66""),INDIRECT(""'""&amp;DV$1&amp;""'!$D$4:$D$66"")=DV$2),$G$4:$BQ$4,$G187:$BQ187))),"""")"),0.6614213806250001)</f>
        <v>0.6614213806</v>
      </c>
      <c r="DX187" s="208">
        <f t="shared" si="24"/>
        <v>0.05915097386</v>
      </c>
      <c r="DY187" s="210">
        <f>IFERROR(__xludf.DUMMYFUNCTION("AVERAGE(ARRAYFORMULA(XLOOKUP(FILTER(INDIRECT(""'""&amp;DY$1&amp;""'!$C$4:$C$66""),INDIRECT(""'""&amp;DY$1&amp;""'!$D$4:$D$66"")=DY$2),$G$4:$BQ$4,$G187:$BQ187)))"),-0.18663836)</f>
        <v>-0.18663836</v>
      </c>
      <c r="DZ187" s="207" t="str">
        <f>IFERROR(__xludf.DUMMYFUNCTION("IF(OR(DY187&gt;$BS187+$BT187*$BT$2,DY187&lt;$BS187-$BT187*$BT$2),AVEDEV(ARRAYFORMULA(XLOOKUP(FILTER(INDIRECT(""'""&amp;DY$1&amp;""'!$C$4:$C$66""),INDIRECT(""'""&amp;DY$1&amp;""'!$D$4:$D$66"")=DY$2),$G$4:$BQ$4,$G187:$BQ187))),"""")"),"")</f>
        <v/>
      </c>
      <c r="EA187" s="208" t="str">
        <f t="shared" si="25"/>
        <v/>
      </c>
      <c r="EB187" s="191"/>
    </row>
    <row r="188" outlineLevel="1">
      <c r="A188" s="2"/>
      <c r="B188" s="204">
        <v>184.0</v>
      </c>
      <c r="C188" s="204" t="s">
        <v>630</v>
      </c>
      <c r="D188" s="204" t="s">
        <v>632</v>
      </c>
      <c r="E188" s="205" t="b">
        <f>VLOOKUP(D188,'Feature Set List'!A184:C246,2,0)</f>
        <v>1</v>
      </c>
      <c r="F188" s="205" t="b">
        <f>VLOOKUP(D188,'Feature Set List'!A184:C246,3,0)</f>
        <v>1</v>
      </c>
      <c r="G188" s="205">
        <v>1.72808053</v>
      </c>
      <c r="H188" s="205">
        <v>-0.3147953</v>
      </c>
      <c r="I188" s="205">
        <v>0.42130119</v>
      </c>
      <c r="J188" s="205">
        <v>-0.4598273</v>
      </c>
      <c r="K188" s="205">
        <v>-0.925247</v>
      </c>
      <c r="L188" s="205">
        <v>-0.3277201</v>
      </c>
      <c r="M188" s="205">
        <v>-0.180824</v>
      </c>
      <c r="N188" s="205">
        <v>-0.4193749</v>
      </c>
      <c r="O188" s="205">
        <v>-0.2584975</v>
      </c>
      <c r="P188" s="205">
        <v>0.60896042</v>
      </c>
      <c r="Q188" s="205">
        <v>-0.4433605</v>
      </c>
      <c r="R188" s="205">
        <v>-0.1118499</v>
      </c>
      <c r="S188" s="205">
        <v>0.147269</v>
      </c>
      <c r="T188" s="205">
        <v>0.24544833</v>
      </c>
      <c r="U188" s="205">
        <v>0.49276083</v>
      </c>
      <c r="V188" s="205">
        <v>-0.4747406</v>
      </c>
      <c r="W188" s="205">
        <v>0.47474057</v>
      </c>
      <c r="X188" s="205">
        <v>2.25812465</v>
      </c>
      <c r="Y188" s="205">
        <v>0.02050581</v>
      </c>
      <c r="Z188" s="205">
        <v>1.57024793</v>
      </c>
      <c r="AA188" s="205">
        <v>-0.2690611</v>
      </c>
      <c r="AB188" s="205">
        <v>0.92835394</v>
      </c>
      <c r="AC188" s="205">
        <v>0.63568011</v>
      </c>
      <c r="AD188" s="205">
        <v>0.63443733</v>
      </c>
      <c r="AE188" s="205">
        <v>0.44118561</v>
      </c>
      <c r="AF188" s="205">
        <v>-0.2926738</v>
      </c>
      <c r="AG188" s="205">
        <v>1.62493009</v>
      </c>
      <c r="AH188" s="205">
        <v>1.06630212</v>
      </c>
      <c r="AI188" s="205">
        <v>-0.3374138</v>
      </c>
      <c r="AJ188" s="205">
        <v>1.40682284</v>
      </c>
      <c r="AK188" s="205">
        <v>-0.925247</v>
      </c>
      <c r="AL188" s="205">
        <v>-0.1572112</v>
      </c>
      <c r="AM188" s="205">
        <v>0.66488535</v>
      </c>
      <c r="AN188" s="205">
        <v>0.30758715</v>
      </c>
      <c r="AO188" s="205">
        <v>-0.6725906</v>
      </c>
      <c r="AP188" s="205">
        <v>-0.925247</v>
      </c>
      <c r="AQ188" s="205">
        <v>0.0894799</v>
      </c>
      <c r="AR188" s="205">
        <v>0.02671969</v>
      </c>
      <c r="AS188" s="205">
        <v>-0.2566333</v>
      </c>
      <c r="AT188" s="205">
        <v>-0.0950724</v>
      </c>
      <c r="AU188" s="205">
        <v>-0.925247</v>
      </c>
      <c r="AV188" s="205">
        <v>2.73597216</v>
      </c>
      <c r="AW188" s="205">
        <v>0.09258684</v>
      </c>
      <c r="AX188" s="205">
        <v>-0.5584416</v>
      </c>
      <c r="AY188" s="205">
        <v>1.12160567</v>
      </c>
      <c r="AZ188" s="205">
        <v>-0.2852172</v>
      </c>
      <c r="BA188" s="205">
        <v>-0.1199279</v>
      </c>
      <c r="BB188" s="205">
        <v>-0.1230349</v>
      </c>
      <c r="BC188" s="205">
        <v>0.0</v>
      </c>
      <c r="BD188" s="205">
        <v>-0.324986</v>
      </c>
      <c r="BE188" s="205">
        <v>1.95240167</v>
      </c>
      <c r="BF188" s="205">
        <v>1.45777667</v>
      </c>
      <c r="BG188" s="205">
        <v>-0.3931523</v>
      </c>
      <c r="BH188" s="205">
        <v>0.74566582</v>
      </c>
      <c r="BI188" s="205">
        <v>-0.925247</v>
      </c>
      <c r="BJ188" s="205">
        <v>0.06710992</v>
      </c>
      <c r="BK188" s="205">
        <v>-0.5982725</v>
      </c>
      <c r="BL188" s="205">
        <v>0.87615734</v>
      </c>
      <c r="BM188" s="205">
        <v>-0.5043808</v>
      </c>
      <c r="BN188" s="205">
        <v>-0.3620208</v>
      </c>
      <c r="BO188" s="205">
        <v>4.99658237</v>
      </c>
      <c r="BP188" s="205">
        <v>-0.4192506</v>
      </c>
      <c r="BQ188" s="205">
        <v>1.38134593</v>
      </c>
      <c r="BR188" s="206"/>
      <c r="BS188" s="207">
        <f t="shared" si="6"/>
        <v>0.2830866965</v>
      </c>
      <c r="BT188" s="207">
        <f t="shared" si="7"/>
        <v>0.7535818277</v>
      </c>
      <c r="BU188" s="206"/>
      <c r="BV188" s="207">
        <f>IFERROR(__xludf.DUMMYFUNCTION("AVERAGE(ARRAYFORMULA(XLOOKUP(FILTER(INDIRECT(""'""&amp;BV$1&amp;""'!$C$4:$C$66""),INDIRECT(""'""&amp;BV$1&amp;""'!$D$4:$D$66"")=BV$2),$G$4:$BQ$4,$G188:$BQ188)))"),0.8436320942857142)</f>
        <v>0.8436320943</v>
      </c>
      <c r="BW188" s="207" t="str">
        <f>IFERROR(__xludf.DUMMYFUNCTION("IF(OR(BV188&gt;$BS188+$BT188*$BT$2,BV188&lt;$BS188-$BT188*$BT$2),AVEDEV(ARRAYFORMULA(XLOOKUP(FILTER(INDIRECT(""'""&amp;BV$1&amp;""'!$C$4:$C$66""),INDIRECT(""'""&amp;BV$1&amp;""'!$D$4:$D$66"")=BV$2),$G$4:$BQ$4,$G188:$BQ188))),"""")"),"")</f>
        <v/>
      </c>
      <c r="BX188" s="208" t="str">
        <f t="shared" si="8"/>
        <v/>
      </c>
      <c r="BY188" s="207">
        <f>IFERROR(__xludf.DUMMYFUNCTION("AVERAGE(ARRAYFORMULA(XLOOKUP(FILTER(INDIRECT(""'""&amp;BY$1&amp;""'!$C$4:$C$66""),INDIRECT(""'""&amp;BY$1&amp;""'!$D$4:$D$66"")=BY$2),$G$4:$BQ$4,$G188:$BQ188)))"),0.27121374214285715)</f>
        <v>0.2712137421</v>
      </c>
      <c r="BZ188" s="207" t="str">
        <f>IFERROR(__xludf.DUMMYFUNCTION("IF(OR(BY188&gt;$BS188+$BT188*$BT$2,BY188&lt;$BS188-$BT188*$BT$2),AVEDEV(ARRAYFORMULA(XLOOKUP(FILTER(INDIRECT(""'""&amp;BY$1&amp;""'!$C$4:$C$66""),INDIRECT(""'""&amp;BY$1&amp;""'!$D$4:$D$66"")=BY$2),$G$4:$BQ$4,$G188:$BQ188))),"""")"),"")</f>
        <v/>
      </c>
      <c r="CA188" s="208" t="str">
        <f t="shared" si="9"/>
        <v/>
      </c>
      <c r="CB188" s="207">
        <f>IFERROR(__xludf.DUMMYFUNCTION("AVERAGE(ARRAYFORMULA(XLOOKUP(FILTER(INDIRECT(""'""&amp;CB$1&amp;""'!$C$4:$C$66""),INDIRECT(""'""&amp;CB$1&amp;""'!$D$4:$D$66"")=CB$2),$G$4:$BQ$4,$G188:$BQ188)))"),0.12427198727272729)</f>
        <v>0.1242719873</v>
      </c>
      <c r="CC188" s="207" t="str">
        <f>IFERROR(__xludf.DUMMYFUNCTION("IF(OR(CB188&gt;$BS188+$BT188*$BT$2,CB188&lt;$BS188-$BT188*$BT$2),AVEDEV(ARRAYFORMULA(XLOOKUP(FILTER(INDIRECT(""'""&amp;CB$1&amp;""'!$C$4:$C$66""),INDIRECT(""'""&amp;CB$1&amp;""'!$D$4:$D$66"")=CB$2),$G$4:$BQ$4,$G188:$BQ188))),"""")"),"")</f>
        <v/>
      </c>
      <c r="CD188" s="208" t="str">
        <f t="shared" si="10"/>
        <v/>
      </c>
      <c r="CE188" s="209" t="s">
        <v>444</v>
      </c>
      <c r="CF188" s="207">
        <f>IFERROR(__xludf.DUMMYFUNCTION("AVERAGE(ARRAYFORMULA(XLOOKUP(FILTER(INDIRECT(""'""&amp;CF$1&amp;""'!$C$4:$C$66""),INDIRECT(""'""&amp;CF$1&amp;""'!$D$4:$D$66"")=CF$2),$G$4:$BQ$4,$G188:$BQ188)))"),-0.050080016249999984)</f>
        <v>-0.05008001625</v>
      </c>
      <c r="CG188" s="207" t="str">
        <f>IFERROR(__xludf.DUMMYFUNCTION("IF(OR(CF188&gt;$BS188+$BT188*$BT$2,CF188&lt;$BS188-$BT188*$BT$2),AVEDEV(ARRAYFORMULA(XLOOKUP(FILTER(INDIRECT(""'""&amp;CF$1&amp;""'!$C$4:$C$66""),INDIRECT(""'""&amp;CF$1&amp;""'!$D$4:$D$66"")=CF$2),$G$4:$BQ$4,$G188:$BQ188))),"""")"),"")</f>
        <v/>
      </c>
      <c r="CH188" s="208" t="str">
        <f t="shared" si="11"/>
        <v/>
      </c>
      <c r="CI188" s="207">
        <f>IFERROR(__xludf.DUMMYFUNCTION("AVERAGE(ARRAYFORMULA(XLOOKUP(FILTER(INDIRECT(""'""&amp;CI$1&amp;""'!$C$4:$C$66""),INDIRECT(""'""&amp;CI$1&amp;""'!$D$4:$D$66"")=CI$2),$G$4:$BQ$4,$G188:$BQ188)))"),0.3622492619354838)</f>
        <v>0.3622492619</v>
      </c>
      <c r="CJ188" s="207" t="str">
        <f>IFERROR(__xludf.DUMMYFUNCTION("IF(OR(CI188&gt;$BS188+$BT188*$BT$2,CI188&lt;$BS188-$BT188*$BT$2),AVEDEV(ARRAYFORMULA(XLOOKUP(FILTER(INDIRECT(""'""&amp;CI$1&amp;""'!$C$4:$C$66""),INDIRECT(""'""&amp;CI$1&amp;""'!$D$4:$D$66"")=CI$2),$G$4:$BQ$4,$G188:$BQ188))),"""")"),"")</f>
        <v/>
      </c>
      <c r="CK188" s="208" t="str">
        <f t="shared" si="12"/>
        <v/>
      </c>
      <c r="CL188" s="207">
        <f>IFERROR(__xludf.DUMMYFUNCTION("AVERAGE(ARRAYFORMULA(XLOOKUP(FILTER(INDIRECT(""'""&amp;CL$1&amp;""'!$C$4:$C$66""),INDIRECT(""'""&amp;CL$1&amp;""'!$D$4:$D$66"")=CL$2),$G$4:$BQ$4,$G188:$BQ188)))"),0.01693904999999999)</f>
        <v>0.01693905</v>
      </c>
      <c r="CM188" s="207" t="str">
        <f>IFERROR(__xludf.DUMMYFUNCTION("IF(OR(CL188&gt;$BS188+$BT188*$BT$2,CL188&lt;$BS188-$BT188*$BT$2),AVEDEV(ARRAYFORMULA(XLOOKUP(FILTER(INDIRECT(""'""&amp;CL$1&amp;""'!$C$4:$C$66""),INDIRECT(""'""&amp;CL$1&amp;""'!$D$4:$D$66"")=CL$2),$G$4:$BQ$4,$G188:$BQ188))),"""")"),"")</f>
        <v/>
      </c>
      <c r="CN188" s="208" t="str">
        <f t="shared" si="13"/>
        <v/>
      </c>
      <c r="CO188" s="209" t="s">
        <v>444</v>
      </c>
      <c r="CP188" s="210">
        <f>IFERROR(__xludf.DUMMYFUNCTION("AVERAGE(ARRAYFORMULA(XLOOKUP(FILTER(INDIRECT(""'""&amp;CP$1&amp;""'!$C$4:$C$66""),INDIRECT(""'""&amp;CP$1&amp;""'!$D$4:$D$66"")=CP$2),$G$4:$BQ$4,$G188:$BQ188)))"),0.8739369026666666)</f>
        <v>0.8739369027</v>
      </c>
      <c r="CQ188" s="207" t="str">
        <f>IFERROR(__xludf.DUMMYFUNCTION("IF(OR(CP188&gt;$BS188+$BT188*$BT$2,CP188&lt;$BS188-$BT188*$BT$2),AVEDEV(ARRAYFORMULA(XLOOKUP(FILTER(INDIRECT(""'""&amp;CP$1&amp;""'!$C$4:$C$66""),INDIRECT(""'""&amp;CP$1&amp;""'!$D$4:$D$66"")=CP$2),$G$4:$BQ$4,$G188:$BQ188))),"""")"),"")</f>
        <v/>
      </c>
      <c r="CR188" s="208" t="str">
        <f t="shared" si="14"/>
        <v/>
      </c>
      <c r="CS188" s="210">
        <f>IFERROR(__xludf.DUMMYFUNCTION("AVERAGE(ARRAYFORMULA(XLOOKUP(FILTER(INDIRECT(""'""&amp;CS$1&amp;""'!$C$4:$C$66""),INDIRECT(""'""&amp;CS$1&amp;""'!$D$4:$D$66"")=CS$2),$G$4:$BQ$4,$G188:$BQ188)))"),0.11778173230769234)</f>
        <v>0.1177817323</v>
      </c>
      <c r="CT188" s="207" t="str">
        <f>IFERROR(__xludf.DUMMYFUNCTION("IF(OR(CS188&gt;$BS188+$BT188*$BT$2,CS188&lt;$BS188-$BT188*$BT$2),AVEDEV(ARRAYFORMULA(XLOOKUP(FILTER(INDIRECT(""'""&amp;CS$1&amp;""'!$C$4:$C$66""),INDIRECT(""'""&amp;CS$1&amp;""'!$D$4:$D$66"")=CS$2),$G$4:$BQ$4,$G188:$BQ188))),"""")"),"")</f>
        <v/>
      </c>
      <c r="CU188" s="208" t="str">
        <f t="shared" si="15"/>
        <v/>
      </c>
      <c r="CV188" s="210">
        <f>IFERROR(__xludf.DUMMYFUNCTION("AVERAGE(ARRAYFORMULA(XLOOKUP(FILTER(INDIRECT(""'""&amp;CV$1&amp;""'!$C$4:$C$66""),INDIRECT(""'""&amp;CV$1&amp;""'!$D$4:$D$66"")=CV$2),$G$4:$BQ$4,$G188:$BQ188)))"),0.01693904999999999)</f>
        <v>0.01693905</v>
      </c>
      <c r="CW188" s="207" t="str">
        <f>IFERROR(__xludf.DUMMYFUNCTION("IF(OR(CV188&gt;$BS188+$BT188*$BT$2,CV188&lt;$BS188-$BT188*$BT$2),AVEDEV(ARRAYFORMULA(XLOOKUP(FILTER(INDIRECT(""'""&amp;CV$1&amp;""'!$C$4:$C$66""),INDIRECT(""'""&amp;CV$1&amp;""'!$D$4:$D$66"")=CV$2),$G$4:$BQ$4,$G188:$BQ188))),"""")"),"")</f>
        <v/>
      </c>
      <c r="CX188" s="208" t="str">
        <f t="shared" si="16"/>
        <v/>
      </c>
      <c r="CY188" s="209" t="s">
        <v>444</v>
      </c>
      <c r="CZ188" s="210">
        <f>IFERROR(__xludf.DUMMYFUNCTION("AVERAGE(ARRAYFORMULA(XLOOKUP(FILTER(INDIRECT(""'""&amp;CZ$1&amp;""'!$C$4:$C$66""),INDIRECT(""'""&amp;CZ$1&amp;""'!$D$4:$D$66"")=CZ$2),$G$4:$BQ$4,$G188:$BQ188)))"),-0.06472646357142854)</f>
        <v>-0.06472646357</v>
      </c>
      <c r="DA188" s="207" t="str">
        <f>IFERROR(__xludf.DUMMYFUNCTION("IF(OR(CZ188&gt;$BS188+$BT188*$BT$2,CZ188&lt;$BS188-$BT188*$BT$2),AVEDEV(ARRAYFORMULA(XLOOKUP(FILTER(INDIRECT(""'""&amp;CZ$1&amp;""'!$C$4:$C$66""),INDIRECT(""'""&amp;CZ$1&amp;""'!$D$4:$D$66"")=CZ$2),$G$4:$BQ$4,$G188:$BQ188))),"""")"),"")</f>
        <v/>
      </c>
      <c r="DB188" s="208" t="str">
        <f t="shared" si="17"/>
        <v/>
      </c>
      <c r="DC188" s="210">
        <f>IFERROR(__xludf.DUMMYFUNCTION("AVERAGE(ARRAYFORMULA(XLOOKUP(FILTER(INDIRECT(""'""&amp;DC$1&amp;""'!$C$4:$C$66""),INDIRECT(""'""&amp;DC$1&amp;""'!$D$4:$D$66"")=DC$2),$G$4:$BQ$4,$G188:$BQ188)))"),0.2396210955555555)</f>
        <v>0.2396210956</v>
      </c>
      <c r="DD188" s="207" t="str">
        <f>IFERROR(__xludf.DUMMYFUNCTION("IF(OR(DC188&gt;$BS188+$BT188*$BT$2,DC188&lt;$BS188-$BT188*$BT$2),AVEDEV(ARRAYFORMULA(XLOOKUP(FILTER(INDIRECT(""'""&amp;DC$1&amp;""'!$C$4:$C$66""),INDIRECT(""'""&amp;DC$1&amp;""'!$D$4:$D$66"")=DC$2),$G$4:$BQ$4,$G188:$BQ188))),"""")"),"")</f>
        <v/>
      </c>
      <c r="DE188" s="208" t="str">
        <f t="shared" si="18"/>
        <v/>
      </c>
      <c r="DF188" s="210">
        <f>IFERROR(__xludf.DUMMYFUNCTION("AVERAGE(ARRAYFORMULA(XLOOKUP(FILTER(INDIRECT(""'""&amp;DF$1&amp;""'!$C$4:$C$66""),INDIRECT(""'""&amp;DF$1&amp;""'!$D$4:$D$66"")=DF$2),$G$4:$BQ$4,$G188:$BQ188)))"),0.9211401863636365)</f>
        <v>0.9211401864</v>
      </c>
      <c r="DG188" s="207" t="str">
        <f>IFERROR(__xludf.DUMMYFUNCTION("IF(OR(DF188&gt;$BS188+$BT188*$BT$2,DF188&lt;$BS188-$BT188*$BT$2),AVEDEV(ARRAYFORMULA(XLOOKUP(FILTER(INDIRECT(""'""&amp;DF$1&amp;""'!$C$4:$C$66""),INDIRECT(""'""&amp;DF$1&amp;""'!$D$4:$D$66"")=DF$2),$G$4:$BQ$4,$G188:$BQ188))),"""")"),"")</f>
        <v/>
      </c>
      <c r="DH188" s="208" t="str">
        <f t="shared" si="19"/>
        <v/>
      </c>
      <c r="DI188" s="210">
        <f>IFERROR(__xludf.DUMMYFUNCTION("AVERAGE(ARRAYFORMULA(XLOOKUP(FILTER(INDIRECT(""'""&amp;DI$1&amp;""'!$C$4:$C$66""),INDIRECT(""'""&amp;DI$1&amp;""'!$D$4:$D$66"")=DI$2),$G$4:$BQ$4,$G188:$BQ188)))"),0.690051575)</f>
        <v>0.690051575</v>
      </c>
      <c r="DJ188" s="207" t="str">
        <f>IFERROR(__xludf.DUMMYFUNCTION("IF(OR(DI188&gt;$BS188+$BT188*$BT$2,DI188&lt;$BS188-$BT188*$BT$2),AVEDEV(ARRAYFORMULA(XLOOKUP(FILTER(INDIRECT(""'""&amp;DI$1&amp;""'!$C$4:$C$66""),INDIRECT(""'""&amp;DI$1&amp;""'!$D$4:$D$66"")=DI$2),$G$4:$BQ$4,$G188:$BQ188))),"""")"),"")</f>
        <v/>
      </c>
      <c r="DK188" s="208" t="str">
        <f t="shared" si="20"/>
        <v/>
      </c>
      <c r="DL188" s="210">
        <f>IFERROR(__xludf.DUMMYFUNCTION("AVERAGE(ARRAYFORMULA(XLOOKUP(FILTER(INDIRECT(""'""&amp;DL$1&amp;""'!$C$4:$C$66""),INDIRECT(""'""&amp;DL$1&amp;""'!$D$4:$D$66"")=DL$2),$G$4:$BQ$4,$G188:$BQ188)))"),0.1200832542857143)</f>
        <v>0.1200832543</v>
      </c>
      <c r="DM188" s="207" t="str">
        <f>IFERROR(__xludf.DUMMYFUNCTION("IF(OR(DL188&gt;$BS188+$BT188*$BT$2,DL188&lt;$BS188-$BT188*$BT$2),AVEDEV(ARRAYFORMULA(XLOOKUP(FILTER(INDIRECT(""'""&amp;DL$1&amp;""'!$C$4:$C$66""),INDIRECT(""'""&amp;DL$1&amp;""'!$D$4:$D$66"")=DL$2),$G$4:$BQ$4,$G188:$BQ188))),"""")"),"")</f>
        <v/>
      </c>
      <c r="DN188" s="208" t="str">
        <f t="shared" si="21"/>
        <v/>
      </c>
      <c r="DO188" s="209" t="s">
        <v>444</v>
      </c>
      <c r="DP188" s="210">
        <f>IFERROR(__xludf.DUMMYFUNCTION("AVERAGE(ARRAYFORMULA(XLOOKUP(FILTER(INDIRECT(""'""&amp;DP$1&amp;""'!$C$4:$C$66""),INDIRECT(""'""&amp;DP$1&amp;""'!$D$4:$D$66"")=DP$2),$G$4:$BQ$4,$G188:$BQ188)))"),0.10091550466666664)</f>
        <v>0.1009155047</v>
      </c>
      <c r="DQ188" s="207" t="str">
        <f>IFERROR(__xludf.DUMMYFUNCTION("IF(OR(DP188&gt;$BS188+$BT188*$BT$2,DP188&lt;$BS188-$BT188*$BT$2),AVEDEV(ARRAYFORMULA(XLOOKUP(FILTER(INDIRECT(""'""&amp;DP$1&amp;""'!$C$4:$C$66""),INDIRECT(""'""&amp;DP$1&amp;""'!$D$4:$D$66"")=DP$2),$G$4:$BQ$4,$G188:$BQ188))),"""")"),"")</f>
        <v/>
      </c>
      <c r="DR188" s="208" t="str">
        <f t="shared" si="22"/>
        <v/>
      </c>
      <c r="DS188" s="210">
        <f>IFERROR(__xludf.DUMMYFUNCTION("AVERAGE(ARRAYFORMULA(XLOOKUP(FILTER(INDIRECT(""'""&amp;DS$1&amp;""'!$C$4:$C$66""),INDIRECT(""'""&amp;DS$1&amp;""'!$D$4:$D$66"")=DS$2),$G$4:$BQ$4,$G188:$BQ188)))"),0.517816578888889)</f>
        <v>0.5178165789</v>
      </c>
      <c r="DT188" s="207" t="str">
        <f>IFERROR(__xludf.DUMMYFUNCTION("IF(OR(DS188&gt;$BS188+$BT188*$BT$2,DS188&lt;$BS188-$BT188*$BT$2),AVEDEV(ARRAYFORMULA(XLOOKUP(FILTER(INDIRECT(""'""&amp;DS$1&amp;""'!$C$4:$C$66""),INDIRECT(""'""&amp;DS$1&amp;""'!$D$4:$D$66"")=DS$2),$G$4:$BQ$4,$G188:$BQ188))),"""")"),"")</f>
        <v/>
      </c>
      <c r="DU188" s="208" t="str">
        <f t="shared" si="23"/>
        <v/>
      </c>
      <c r="DV188" s="210">
        <f>IFERROR(__xludf.DUMMYFUNCTION("AVERAGE(ARRAYFORMULA(XLOOKUP(FILTER(INDIRECT(""'""&amp;DV$1&amp;""'!$C$4:$C$66""),INDIRECT(""'""&amp;DV$1&amp;""'!$D$4:$D$66"")=DV$2),$G$4:$BQ$4,$G188:$BQ188)))"),0.28047908)</f>
        <v>0.28047908</v>
      </c>
      <c r="DW188" s="207" t="str">
        <f>IFERROR(__xludf.DUMMYFUNCTION("IF(OR(DV188&gt;$BS188+$BT188*$BT$2,DV188&lt;$BS188-$BT188*$BT$2),AVEDEV(ARRAYFORMULA(XLOOKUP(FILTER(INDIRECT(""'""&amp;DV$1&amp;""'!$C$4:$C$66""),INDIRECT(""'""&amp;DV$1&amp;""'!$D$4:$D$66"")=DV$2),$G$4:$BQ$4,$G188:$BQ188))),"""")"),"")</f>
        <v/>
      </c>
      <c r="DX188" s="208" t="str">
        <f t="shared" si="24"/>
        <v/>
      </c>
      <c r="DY188" s="210">
        <f>IFERROR(__xludf.DUMMYFUNCTION("AVERAGE(ARRAYFORMULA(XLOOKUP(FILTER(INDIRECT(""'""&amp;DY$1&amp;""'!$C$4:$C$66""),INDIRECT(""'""&amp;DY$1&amp;""'!$D$4:$D$66"")=DY$2),$G$4:$BQ$4,$G188:$BQ188)))"),0.6937039577777777)</f>
        <v>0.6937039578</v>
      </c>
      <c r="DZ188" s="207" t="str">
        <f>IFERROR(__xludf.DUMMYFUNCTION("IF(OR(DY188&gt;$BS188+$BT188*$BT$2,DY188&lt;$BS188-$BT188*$BT$2),AVEDEV(ARRAYFORMULA(XLOOKUP(FILTER(INDIRECT(""'""&amp;DY$1&amp;""'!$C$4:$C$66""),INDIRECT(""'""&amp;DY$1&amp;""'!$D$4:$D$66"")=DY$2),$G$4:$BQ$4,$G188:$BQ188))),"""")"),"")</f>
        <v/>
      </c>
      <c r="EA188" s="208" t="str">
        <f t="shared" si="25"/>
        <v/>
      </c>
      <c r="EB188" s="191"/>
    </row>
    <row r="189" outlineLevel="1">
      <c r="A189" s="2"/>
      <c r="B189" s="204">
        <v>185.0</v>
      </c>
      <c r="C189" s="204" t="s">
        <v>630</v>
      </c>
      <c r="D189" s="204" t="s">
        <v>633</v>
      </c>
      <c r="E189" s="205" t="b">
        <f>VLOOKUP(D189,'Feature Set List'!A185:C246,2,0)</f>
        <v>1</v>
      </c>
      <c r="F189" s="205" t="b">
        <f>VLOOKUP(D189,'Feature Set List'!A185:C246,3,0)</f>
        <v>1</v>
      </c>
      <c r="G189" s="205">
        <v>1.33333333</v>
      </c>
      <c r="H189" s="205">
        <v>0.0</v>
      </c>
      <c r="I189" s="205">
        <v>0.66666667</v>
      </c>
      <c r="J189" s="205">
        <v>0.66666667</v>
      </c>
      <c r="K189" s="205">
        <v>1.0</v>
      </c>
      <c r="L189" s="205">
        <v>0.33333333</v>
      </c>
      <c r="M189" s="205">
        <v>-0.6666667</v>
      </c>
      <c r="N189" s="205">
        <v>1.0</v>
      </c>
      <c r="O189" s="205">
        <v>1.33333333</v>
      </c>
      <c r="P189" s="205">
        <v>-0.6666667</v>
      </c>
      <c r="Q189" s="205">
        <v>0.33333333</v>
      </c>
      <c r="R189" s="205">
        <v>-0.6666667</v>
      </c>
      <c r="S189" s="205">
        <v>0.33333333</v>
      </c>
      <c r="T189" s="205">
        <v>1.33333333</v>
      </c>
      <c r="U189" s="205">
        <v>-0.3333333</v>
      </c>
      <c r="V189" s="205">
        <v>0.0</v>
      </c>
      <c r="W189" s="205">
        <v>0.0</v>
      </c>
      <c r="X189" s="205">
        <v>-0.6666667</v>
      </c>
      <c r="Y189" s="205">
        <v>1.66666667</v>
      </c>
      <c r="Z189" s="205">
        <v>-1.3333333</v>
      </c>
      <c r="AA189" s="205">
        <v>0.33333333</v>
      </c>
      <c r="AB189" s="205">
        <v>-2.0</v>
      </c>
      <c r="AC189" s="205">
        <v>1.33333333</v>
      </c>
      <c r="AD189" s="205">
        <v>0.33333333</v>
      </c>
      <c r="AE189" s="205">
        <v>-0.3333333</v>
      </c>
      <c r="AF189" s="205">
        <v>0.66666667</v>
      </c>
      <c r="AG189" s="205">
        <v>-0.3333333</v>
      </c>
      <c r="AH189" s="205">
        <v>0.66666667</v>
      </c>
      <c r="AI189" s="205">
        <v>-0.3333333</v>
      </c>
      <c r="AJ189" s="205">
        <v>-0.6666667</v>
      </c>
      <c r="AK189" s="205">
        <v>1.0</v>
      </c>
      <c r="AL189" s="205">
        <v>1.33333333</v>
      </c>
      <c r="AM189" s="205">
        <v>1.33333333</v>
      </c>
      <c r="AN189" s="205">
        <v>0.0</v>
      </c>
      <c r="AO189" s="205">
        <v>-1.6666667</v>
      </c>
      <c r="AP189" s="205">
        <v>0.0</v>
      </c>
      <c r="AQ189" s="205">
        <v>0.0</v>
      </c>
      <c r="AR189" s="205">
        <v>-0.3333333</v>
      </c>
      <c r="AS189" s="205">
        <v>0.33333333</v>
      </c>
      <c r="AT189" s="205">
        <v>4.33333333</v>
      </c>
      <c r="AU189" s="205">
        <v>-2.0</v>
      </c>
      <c r="AV189" s="205">
        <v>0.0</v>
      </c>
      <c r="AW189" s="205">
        <v>0.66666667</v>
      </c>
      <c r="AX189" s="205">
        <v>0.0</v>
      </c>
      <c r="AY189" s="205">
        <v>-1.0</v>
      </c>
      <c r="AZ189" s="205">
        <v>0.0</v>
      </c>
      <c r="BA189" s="205">
        <v>-0.6666667</v>
      </c>
      <c r="BB189" s="205">
        <v>-0.6666667</v>
      </c>
      <c r="BC189" s="205">
        <v>-0.6666667</v>
      </c>
      <c r="BD189" s="205">
        <v>2.33333333</v>
      </c>
      <c r="BE189" s="205">
        <v>0.66666667</v>
      </c>
      <c r="BF189" s="205">
        <v>1.66666667</v>
      </c>
      <c r="BG189" s="205">
        <v>0.0</v>
      </c>
      <c r="BH189" s="205">
        <v>0.0</v>
      </c>
      <c r="BI189" s="205">
        <v>0.33333333</v>
      </c>
      <c r="BJ189" s="205">
        <v>2.33333333</v>
      </c>
      <c r="BK189" s="205">
        <v>0.0</v>
      </c>
      <c r="BL189" s="205">
        <v>-0.3333333</v>
      </c>
      <c r="BM189" s="205">
        <v>-0.6666667</v>
      </c>
      <c r="BN189" s="205">
        <v>0.66666667</v>
      </c>
      <c r="BO189" s="205">
        <v>0.66666667</v>
      </c>
      <c r="BP189" s="205">
        <v>0.33333333</v>
      </c>
      <c r="BQ189" s="205">
        <v>-0.3333333</v>
      </c>
      <c r="BR189" s="206"/>
      <c r="BS189" s="207">
        <f t="shared" si="6"/>
        <v>0.2380952367</v>
      </c>
      <c r="BT189" s="207">
        <f t="shared" si="7"/>
        <v>0.7679516257</v>
      </c>
      <c r="BU189" s="206"/>
      <c r="BV189" s="207">
        <f>IFERROR(__xludf.DUMMYFUNCTION("AVERAGE(ARRAYFORMULA(XLOOKUP(FILTER(INDIRECT(""'""&amp;BV$1&amp;""'!$C$4:$C$66""),INDIRECT(""'""&amp;BV$1&amp;""'!$D$4:$D$66"")=BV$2),$G$4:$BQ$4,$G189:$BQ189)))"),-0.5714285757142857)</f>
        <v>-0.5714285757</v>
      </c>
      <c r="BW189" s="207">
        <f>IFERROR(__xludf.DUMMYFUNCTION("IF(OR(BV189&gt;$BS189+$BT189*$BT$2,BV189&lt;$BS189-$BT189*$BT$2),AVEDEV(ARRAYFORMULA(XLOOKUP(FILTER(INDIRECT(""'""&amp;BV$1&amp;""'!$C$4:$C$66""),INDIRECT(""'""&amp;BV$1&amp;""'!$D$4:$D$66"")=BV$2),$G$4:$BQ$4,$G189:$BQ189))),"""")"),0.4897959420408164)</f>
        <v>0.489795942</v>
      </c>
      <c r="BX189" s="208">
        <f t="shared" si="8"/>
        <v>-0.04157218667</v>
      </c>
      <c r="BY189" s="207">
        <f>IFERROR(__xludf.DUMMYFUNCTION("AVERAGE(ARRAYFORMULA(XLOOKUP(FILTER(INDIRECT(""'""&amp;BY$1&amp;""'!$C$4:$C$66""),INDIRECT(""'""&amp;BY$1&amp;""'!$D$4:$D$66"")=BY$2),$G$4:$BQ$4,$G189:$BQ189)))"),0.36507936690476195)</f>
        <v>0.3650793669</v>
      </c>
      <c r="BZ189" s="207" t="str">
        <f>IFERROR(__xludf.DUMMYFUNCTION("IF(OR(BY189&gt;$BS189+$BT189*$BT$2,BY189&lt;$BS189-$BT189*$BT$2),AVEDEV(ARRAYFORMULA(XLOOKUP(FILTER(INDIRECT(""'""&amp;BY$1&amp;""'!$C$4:$C$66""),INDIRECT(""'""&amp;BY$1&amp;""'!$D$4:$D$66"")=BY$2),$G$4:$BQ$4,$G189:$BQ189))),"""")"),"")</f>
        <v/>
      </c>
      <c r="CA189" s="208" t="str">
        <f t="shared" si="9"/>
        <v/>
      </c>
      <c r="CB189" s="207">
        <f>IFERROR(__xludf.DUMMYFUNCTION("AVERAGE(ARRAYFORMULA(XLOOKUP(FILTER(INDIRECT(""'""&amp;CB$1&amp;""'!$C$4:$C$66""),INDIRECT(""'""&amp;CB$1&amp;""'!$D$4:$D$66"")=CB$2),$G$4:$BQ$4,$G189:$BQ189)))"),0.24242423000000005)</f>
        <v>0.24242423</v>
      </c>
      <c r="CC189" s="207" t="str">
        <f>IFERROR(__xludf.DUMMYFUNCTION("IF(OR(CB189&gt;$BS189+$BT189*$BT$2,CB189&lt;$BS189-$BT189*$BT$2),AVEDEV(ARRAYFORMULA(XLOOKUP(FILTER(INDIRECT(""'""&amp;CB$1&amp;""'!$C$4:$C$66""),INDIRECT(""'""&amp;CB$1&amp;""'!$D$4:$D$66"")=CB$2),$G$4:$BQ$4,$G189:$BQ189))),"""")"),"")</f>
        <v/>
      </c>
      <c r="CD189" s="208" t="str">
        <f t="shared" si="10"/>
        <v/>
      </c>
      <c r="CE189" s="209" t="s">
        <v>444</v>
      </c>
      <c r="CF189" s="207">
        <f>IFERROR(__xludf.DUMMYFUNCTION("AVERAGE(ARRAYFORMULA(XLOOKUP(FILTER(INDIRECT(""'""&amp;CF$1&amp;""'!$C$4:$C$66""),INDIRECT(""'""&amp;CF$1&amp;""'!$D$4:$D$66"")=CF$2),$G$4:$BQ$4,$G189:$BQ189)))"),0.52083334)</f>
        <v>0.52083334</v>
      </c>
      <c r="CG189" s="207" t="str">
        <f>IFERROR(__xludf.DUMMYFUNCTION("IF(OR(CF189&gt;$BS189+$BT189*$BT$2,CF189&lt;$BS189-$BT189*$BT$2),AVEDEV(ARRAYFORMULA(XLOOKUP(FILTER(INDIRECT(""'""&amp;CF$1&amp;""'!$C$4:$C$66""),INDIRECT(""'""&amp;CF$1&amp;""'!$D$4:$D$66"")=CF$2),$G$4:$BQ$4,$G189:$BQ189))),"""")"),"")</f>
        <v/>
      </c>
      <c r="CH189" s="208" t="str">
        <f t="shared" si="11"/>
        <v/>
      </c>
      <c r="CI189" s="207">
        <f>IFERROR(__xludf.DUMMYFUNCTION("AVERAGE(ARRAYFORMULA(XLOOKUP(FILTER(INDIRECT(""'""&amp;CI$1&amp;""'!$C$4:$C$66""),INDIRECT(""'""&amp;CI$1&amp;""'!$D$4:$D$66"")=CI$2),$G$4:$BQ$4,$G189:$BQ189)))"),0.22580644870967748)</f>
        <v>0.2258064487</v>
      </c>
      <c r="CJ189" s="207" t="str">
        <f>IFERROR(__xludf.DUMMYFUNCTION("IF(OR(CI189&gt;$BS189+$BT189*$BT$2,CI189&lt;$BS189-$BT189*$BT$2),AVEDEV(ARRAYFORMULA(XLOOKUP(FILTER(INDIRECT(""'""&amp;CI$1&amp;""'!$C$4:$C$66""),INDIRECT(""'""&amp;CI$1&amp;""'!$D$4:$D$66"")=CI$2),$G$4:$BQ$4,$G189:$BQ189))),"""")"),"")</f>
        <v/>
      </c>
      <c r="CK189" s="208" t="str">
        <f t="shared" si="12"/>
        <v/>
      </c>
      <c r="CL189" s="207">
        <f>IFERROR(__xludf.DUMMYFUNCTION("AVERAGE(ARRAYFORMULA(XLOOKUP(FILTER(INDIRECT(""'""&amp;CL$1&amp;""'!$C$4:$C$66""),INDIRECT(""'""&amp;CL$1&amp;""'!$D$4:$D$66"")=CL$2),$G$4:$BQ$4,$G189:$BQ189)))"),0.06666665200000002)</f>
        <v>0.066666652</v>
      </c>
      <c r="CM189" s="207" t="str">
        <f>IFERROR(__xludf.DUMMYFUNCTION("IF(OR(CL189&gt;$BS189+$BT189*$BT$2,CL189&lt;$BS189-$BT189*$BT$2),AVEDEV(ARRAYFORMULA(XLOOKUP(FILTER(INDIRECT(""'""&amp;CL$1&amp;""'!$C$4:$C$66""),INDIRECT(""'""&amp;CL$1&amp;""'!$D$4:$D$66"")=CL$2),$G$4:$BQ$4,$G189:$BQ189))),"""")"),"")</f>
        <v/>
      </c>
      <c r="CN189" s="208" t="str">
        <f t="shared" si="13"/>
        <v/>
      </c>
      <c r="CO189" s="209" t="s">
        <v>444</v>
      </c>
      <c r="CP189" s="210">
        <f>IFERROR(__xludf.DUMMYFUNCTION("AVERAGE(ARRAYFORMULA(XLOOKUP(FILTER(INDIRECT(""'""&amp;CP$1&amp;""'!$C$4:$C$66""),INDIRECT(""'""&amp;CP$1&amp;""'!$D$4:$D$66"")=CP$2),$G$4:$BQ$4,$G189:$BQ189)))"),0.4888888866666667)</f>
        <v>0.4888888867</v>
      </c>
      <c r="CQ189" s="207" t="str">
        <f>IFERROR(__xludf.DUMMYFUNCTION("IF(OR(CP189&gt;$BS189+$BT189*$BT$2,CP189&lt;$BS189-$BT189*$BT$2),AVEDEV(ARRAYFORMULA(XLOOKUP(FILTER(INDIRECT(""'""&amp;CP$1&amp;""'!$C$4:$C$66""),INDIRECT(""'""&amp;CP$1&amp;""'!$D$4:$D$66"")=CP$2),$G$4:$BQ$4,$G189:$BQ189))),"""")"),"")</f>
        <v/>
      </c>
      <c r="CR189" s="208" t="str">
        <f t="shared" si="14"/>
        <v/>
      </c>
      <c r="CS189" s="210">
        <f>IFERROR(__xludf.DUMMYFUNCTION("AVERAGE(ARRAYFORMULA(XLOOKUP(FILTER(INDIRECT(""'""&amp;CS$1&amp;""'!$C$4:$C$66""),INDIRECT(""'""&amp;CS$1&amp;""'!$D$4:$D$66"")=CS$2),$G$4:$BQ$4,$G189:$BQ189)))"),0.17094017051282057)</f>
        <v>0.1709401705</v>
      </c>
      <c r="CT189" s="207" t="str">
        <f>IFERROR(__xludf.DUMMYFUNCTION("IF(OR(CS189&gt;$BS189+$BT189*$BT$2,CS189&lt;$BS189-$BT189*$BT$2),AVEDEV(ARRAYFORMULA(XLOOKUP(FILTER(INDIRECT(""'""&amp;CS$1&amp;""'!$C$4:$C$66""),INDIRECT(""'""&amp;CS$1&amp;""'!$D$4:$D$66"")=CS$2),$G$4:$BQ$4,$G189:$BQ189))),"""")"),"")</f>
        <v/>
      </c>
      <c r="CU189" s="208" t="str">
        <f t="shared" si="15"/>
        <v/>
      </c>
      <c r="CV189" s="210">
        <f>IFERROR(__xludf.DUMMYFUNCTION("AVERAGE(ARRAYFORMULA(XLOOKUP(FILTER(INDIRECT(""'""&amp;CV$1&amp;""'!$C$4:$C$66""),INDIRECT(""'""&amp;CV$1&amp;""'!$D$4:$D$66"")=CV$2),$G$4:$BQ$4,$G189:$BQ189)))"),0.06666665200000002)</f>
        <v>0.066666652</v>
      </c>
      <c r="CW189" s="207" t="str">
        <f>IFERROR(__xludf.DUMMYFUNCTION("IF(OR(CV189&gt;$BS189+$BT189*$BT$2,CV189&lt;$BS189-$BT189*$BT$2),AVEDEV(ARRAYFORMULA(XLOOKUP(FILTER(INDIRECT(""'""&amp;CV$1&amp;""'!$C$4:$C$66""),INDIRECT(""'""&amp;CV$1&amp;""'!$D$4:$D$66"")=CV$2),$G$4:$BQ$4,$G189:$BQ189))),"""")"),"")</f>
        <v/>
      </c>
      <c r="CX189" s="208" t="str">
        <f t="shared" si="16"/>
        <v/>
      </c>
      <c r="CY189" s="209" t="s">
        <v>444</v>
      </c>
      <c r="CZ189" s="210">
        <f>IFERROR(__xludf.DUMMYFUNCTION("AVERAGE(ARRAYFORMULA(XLOOKUP(FILTER(INDIRECT(""'""&amp;CZ$1&amp;""'!$C$4:$C$66""),INDIRECT(""'""&amp;CZ$1&amp;""'!$D$4:$D$66"")=CZ$2),$G$4:$BQ$4,$G189:$BQ189)))"),0.38095238857142866)</f>
        <v>0.3809523886</v>
      </c>
      <c r="DA189" s="207" t="str">
        <f>IFERROR(__xludf.DUMMYFUNCTION("IF(OR(CZ189&gt;$BS189+$BT189*$BT$2,CZ189&lt;$BS189-$BT189*$BT$2),AVEDEV(ARRAYFORMULA(XLOOKUP(FILTER(INDIRECT(""'""&amp;CZ$1&amp;""'!$C$4:$C$66""),INDIRECT(""'""&amp;CZ$1&amp;""'!$D$4:$D$66"")=CZ$2),$G$4:$BQ$4,$G189:$BQ189))),"""")"),"")</f>
        <v/>
      </c>
      <c r="DB189" s="208" t="str">
        <f t="shared" si="17"/>
        <v/>
      </c>
      <c r="DC189" s="210">
        <f>IFERROR(__xludf.DUMMYFUNCTION("AVERAGE(ARRAYFORMULA(XLOOKUP(FILTER(INDIRECT(""'""&amp;DC$1&amp;""'!$C$4:$C$66""),INDIRECT(""'""&amp;DC$1&amp;""'!$D$4:$D$66"")=DC$2),$G$4:$BQ$4,$G189:$BQ189)))"),0.3703703588888889)</f>
        <v>0.3703703589</v>
      </c>
      <c r="DD189" s="207" t="str">
        <f>IFERROR(__xludf.DUMMYFUNCTION("IF(OR(DC189&gt;$BS189+$BT189*$BT$2,DC189&lt;$BS189-$BT189*$BT$2),AVEDEV(ARRAYFORMULA(XLOOKUP(FILTER(INDIRECT(""'""&amp;DC$1&amp;""'!$C$4:$C$66""),INDIRECT(""'""&amp;DC$1&amp;""'!$D$4:$D$66"")=DC$2),$G$4:$BQ$4,$G189:$BQ189))),"""")"),"")</f>
        <v/>
      </c>
      <c r="DE189" s="208" t="str">
        <f t="shared" si="18"/>
        <v/>
      </c>
      <c r="DF189" s="210">
        <f>IFERROR(__xludf.DUMMYFUNCTION("AVERAGE(ARRAYFORMULA(XLOOKUP(FILTER(INDIRECT(""'""&amp;DF$1&amp;""'!$C$4:$C$66""),INDIRECT(""'""&amp;DF$1&amp;""'!$D$4:$D$66"")=DF$2),$G$4:$BQ$4,$G189:$BQ189)))"),0.6363636354545454)</f>
        <v>0.6363636355</v>
      </c>
      <c r="DG189" s="207" t="str">
        <f>IFERROR(__xludf.DUMMYFUNCTION("IF(OR(DF189&gt;$BS189+$BT189*$BT$2,DF189&lt;$BS189-$BT189*$BT$2),AVEDEV(ARRAYFORMULA(XLOOKUP(FILTER(INDIRECT(""'""&amp;DF$1&amp;""'!$C$4:$C$66""),INDIRECT(""'""&amp;DF$1&amp;""'!$D$4:$D$66"")=DF$2),$G$4:$BQ$4,$G189:$BQ189))),"""")"),"")</f>
        <v/>
      </c>
      <c r="DH189" s="208" t="str">
        <f t="shared" si="19"/>
        <v/>
      </c>
      <c r="DI189" s="210">
        <f>IFERROR(__xludf.DUMMYFUNCTION("AVERAGE(ARRAYFORMULA(XLOOKUP(FILTER(INDIRECT(""'""&amp;DI$1&amp;""'!$C$4:$C$66""),INDIRECT(""'""&amp;DI$1&amp;""'!$D$4:$D$66"")=DI$2),$G$4:$BQ$4,$G189:$BQ189)))"),0.166666665)</f>
        <v>0.166666665</v>
      </c>
      <c r="DJ189" s="207" t="str">
        <f>IFERROR(__xludf.DUMMYFUNCTION("IF(OR(DI189&gt;$BS189+$BT189*$BT$2,DI189&lt;$BS189-$BT189*$BT$2),AVEDEV(ARRAYFORMULA(XLOOKUP(FILTER(INDIRECT(""'""&amp;DI$1&amp;""'!$C$4:$C$66""),INDIRECT(""'""&amp;DI$1&amp;""'!$D$4:$D$66"")=DI$2),$G$4:$BQ$4,$G189:$BQ189))),"""")"),"")</f>
        <v/>
      </c>
      <c r="DK189" s="208" t="str">
        <f t="shared" si="20"/>
        <v/>
      </c>
      <c r="DL189" s="210">
        <f>IFERROR(__xludf.DUMMYFUNCTION("AVERAGE(ARRAYFORMULA(XLOOKUP(FILTER(INDIRECT(""'""&amp;DL$1&amp;""'!$C$4:$C$66""),INDIRECT(""'""&amp;DL$1&amp;""'!$D$4:$D$66"")=DL$2),$G$4:$BQ$4,$G189:$BQ189)))"),0.09523809428571428)</f>
        <v>0.09523809429</v>
      </c>
      <c r="DM189" s="207" t="str">
        <f>IFERROR(__xludf.DUMMYFUNCTION("IF(OR(DL189&gt;$BS189+$BT189*$BT$2,DL189&lt;$BS189-$BT189*$BT$2),AVEDEV(ARRAYFORMULA(XLOOKUP(FILTER(INDIRECT(""'""&amp;DL$1&amp;""'!$C$4:$C$66""),INDIRECT(""'""&amp;DL$1&amp;""'!$D$4:$D$66"")=DL$2),$G$4:$BQ$4,$G189:$BQ189))),"""")"),"")</f>
        <v/>
      </c>
      <c r="DN189" s="208" t="str">
        <f t="shared" si="21"/>
        <v/>
      </c>
      <c r="DO189" s="209" t="s">
        <v>444</v>
      </c>
      <c r="DP189" s="210">
        <f>IFERROR(__xludf.DUMMYFUNCTION("AVERAGE(ARRAYFORMULA(XLOOKUP(FILTER(INDIRECT(""'""&amp;DP$1&amp;""'!$C$4:$C$66""),INDIRECT(""'""&amp;DP$1&amp;""'!$D$4:$D$66"")=DP$2),$G$4:$BQ$4,$G189:$BQ189)))"),0.3666666696666667)</f>
        <v>0.3666666697</v>
      </c>
      <c r="DQ189" s="207" t="str">
        <f>IFERROR(__xludf.DUMMYFUNCTION("IF(OR(DP189&gt;$BS189+$BT189*$BT$2,DP189&lt;$BS189-$BT189*$BT$2),AVEDEV(ARRAYFORMULA(XLOOKUP(FILTER(INDIRECT(""'""&amp;DP$1&amp;""'!$C$4:$C$66""),INDIRECT(""'""&amp;DP$1&amp;""'!$D$4:$D$66"")=DP$2),$G$4:$BQ$4,$G189:$BQ189))),"""")"),"")</f>
        <v/>
      </c>
      <c r="DR189" s="208" t="str">
        <f t="shared" si="22"/>
        <v/>
      </c>
      <c r="DS189" s="210">
        <f>IFERROR(__xludf.DUMMYFUNCTION("AVERAGE(ARRAYFORMULA(XLOOKUP(FILTER(INDIRECT(""'""&amp;DS$1&amp;""'!$C$4:$C$66""),INDIRECT(""'""&amp;DS$1&amp;""'!$D$4:$D$66"")=DS$2),$G$4:$BQ$4,$G189:$BQ189)))"),0.037037021111111144)</f>
        <v>0.03703702111</v>
      </c>
      <c r="DT189" s="207" t="str">
        <f>IFERROR(__xludf.DUMMYFUNCTION("IF(OR(DS189&gt;$BS189+$BT189*$BT$2,DS189&lt;$BS189-$BT189*$BT$2),AVEDEV(ARRAYFORMULA(XLOOKUP(FILTER(INDIRECT(""'""&amp;DS$1&amp;""'!$C$4:$C$66""),INDIRECT(""'""&amp;DS$1&amp;""'!$D$4:$D$66"")=DS$2),$G$4:$BQ$4,$G189:$BQ189))),"""")"),"")</f>
        <v/>
      </c>
      <c r="DU189" s="208" t="str">
        <f t="shared" si="23"/>
        <v/>
      </c>
      <c r="DV189" s="210">
        <f>IFERROR(__xludf.DUMMYFUNCTION("AVERAGE(ARRAYFORMULA(XLOOKUP(FILTER(INDIRECT(""'""&amp;DV$1&amp;""'!$C$4:$C$66""),INDIRECT(""'""&amp;DV$1&amp;""'!$D$4:$D$66"")=DV$2),$G$4:$BQ$4,$G189:$BQ189)))"),-0.08333333874999997)</f>
        <v>-0.08333333875</v>
      </c>
      <c r="DW189" s="207" t="str">
        <f>IFERROR(__xludf.DUMMYFUNCTION("IF(OR(DV189&gt;$BS189+$BT189*$BT$2,DV189&lt;$BS189-$BT189*$BT$2),AVEDEV(ARRAYFORMULA(XLOOKUP(FILTER(INDIRECT(""'""&amp;DV$1&amp;""'!$C$4:$C$66""),INDIRECT(""'""&amp;DV$1&amp;""'!$D$4:$D$66"")=DV$2),$G$4:$BQ$4,$G189:$BQ189))),"""")"),"")</f>
        <v/>
      </c>
      <c r="DX189" s="208" t="str">
        <f t="shared" si="24"/>
        <v/>
      </c>
      <c r="DY189" s="210">
        <f>IFERROR(__xludf.DUMMYFUNCTION("AVERAGE(ARRAYFORMULA(XLOOKUP(FILTER(INDIRECT(""'""&amp;DY$1&amp;""'!$C$4:$C$66""),INDIRECT(""'""&amp;DY$1&amp;""'!$D$4:$D$66"")=DY$2),$G$4:$BQ$4,$G189:$BQ189)))"),0.7037037044444445)</f>
        <v>0.7037037044</v>
      </c>
      <c r="DZ189" s="207" t="str">
        <f>IFERROR(__xludf.DUMMYFUNCTION("IF(OR(DY189&gt;$BS189+$BT189*$BT$2,DY189&lt;$BS189-$BT189*$BT$2),AVEDEV(ARRAYFORMULA(XLOOKUP(FILTER(INDIRECT(""'""&amp;DY$1&amp;""'!$C$4:$C$66""),INDIRECT(""'""&amp;DY$1&amp;""'!$D$4:$D$66"")=DY$2),$G$4:$BQ$4,$G189:$BQ189))),"""")"),"")</f>
        <v/>
      </c>
      <c r="EA189" s="208" t="str">
        <f t="shared" si="25"/>
        <v/>
      </c>
      <c r="EB189" s="191"/>
    </row>
    <row r="190" outlineLevel="1">
      <c r="A190" s="2"/>
      <c r="B190" s="204">
        <v>186.0</v>
      </c>
      <c r="C190" s="204" t="s">
        <v>630</v>
      </c>
      <c r="D190" s="204" t="s">
        <v>634</v>
      </c>
      <c r="E190" s="205" t="b">
        <f>VLOOKUP(D190,'Feature Set List'!A186:C246,2,0)</f>
        <v>1</v>
      </c>
      <c r="F190" s="205" t="b">
        <f>VLOOKUP(D190,'Feature Set List'!A186:C246,3,0)</f>
        <v>1</v>
      </c>
      <c r="G190" s="205">
        <v>-0.3636364</v>
      </c>
      <c r="H190" s="205">
        <v>0.18181818</v>
      </c>
      <c r="I190" s="205">
        <v>-0.7272727</v>
      </c>
      <c r="J190" s="205">
        <v>1.09090909</v>
      </c>
      <c r="K190" s="205">
        <v>-1.8181818</v>
      </c>
      <c r="L190" s="205">
        <v>0.18181818</v>
      </c>
      <c r="M190" s="205">
        <v>-0.7272727</v>
      </c>
      <c r="N190" s="205">
        <v>0.36363636</v>
      </c>
      <c r="O190" s="205">
        <v>0.72727273</v>
      </c>
      <c r="P190" s="205">
        <v>-0.1818182</v>
      </c>
      <c r="Q190" s="205">
        <v>-0.7272727</v>
      </c>
      <c r="R190" s="205">
        <v>0.18181818</v>
      </c>
      <c r="S190" s="205">
        <v>1.09090909</v>
      </c>
      <c r="T190" s="205">
        <v>0.0</v>
      </c>
      <c r="U190" s="205">
        <v>0.0</v>
      </c>
      <c r="V190" s="205">
        <v>0.18181818</v>
      </c>
      <c r="W190" s="205">
        <v>0.18181818</v>
      </c>
      <c r="X190" s="205">
        <v>-0.5454545</v>
      </c>
      <c r="Y190" s="205">
        <v>0.90909091</v>
      </c>
      <c r="Z190" s="205">
        <v>-0.1818182</v>
      </c>
      <c r="AA190" s="205">
        <v>0.90909091</v>
      </c>
      <c r="AB190" s="205">
        <v>-0.9090909</v>
      </c>
      <c r="AC190" s="205">
        <v>0.18181818</v>
      </c>
      <c r="AD190" s="205">
        <v>0.54545455</v>
      </c>
      <c r="AE190" s="205">
        <v>-0.7272727</v>
      </c>
      <c r="AF190" s="205">
        <v>0.90909091</v>
      </c>
      <c r="AG190" s="205">
        <v>-0.7272727</v>
      </c>
      <c r="AH190" s="205">
        <v>-0.1818182</v>
      </c>
      <c r="AI190" s="205">
        <v>-0.1818182</v>
      </c>
      <c r="AJ190" s="205">
        <v>0.36363636</v>
      </c>
      <c r="AK190" s="205">
        <v>-1.4545455</v>
      </c>
      <c r="AL190" s="205">
        <v>0.54545455</v>
      </c>
      <c r="AM190" s="205">
        <v>-0.1818182</v>
      </c>
      <c r="AN190" s="205">
        <v>-0.5454545</v>
      </c>
      <c r="AO190" s="205">
        <v>-0.1818182</v>
      </c>
      <c r="AP190" s="205">
        <v>-1.6363636</v>
      </c>
      <c r="AQ190" s="205">
        <v>-0.1818182</v>
      </c>
      <c r="AR190" s="205">
        <v>-0.7272727</v>
      </c>
      <c r="AS190" s="205">
        <v>-0.3636364</v>
      </c>
      <c r="AT190" s="205">
        <v>0.18181818</v>
      </c>
      <c r="AU190" s="205">
        <v>-2.0</v>
      </c>
      <c r="AV190" s="205">
        <v>-0.5454545</v>
      </c>
      <c r="AW190" s="205">
        <v>1.27272727</v>
      </c>
      <c r="AX190" s="205">
        <v>-0.3636364</v>
      </c>
      <c r="AY190" s="205">
        <v>0.36363636</v>
      </c>
      <c r="AZ190" s="205">
        <v>0.36363636</v>
      </c>
      <c r="BA190" s="205">
        <v>0.18181818</v>
      </c>
      <c r="BB190" s="205">
        <v>0.36363636</v>
      </c>
      <c r="BC190" s="205">
        <v>0.90909091</v>
      </c>
      <c r="BD190" s="205">
        <v>0.54545455</v>
      </c>
      <c r="BE190" s="205">
        <v>-0.3636364</v>
      </c>
      <c r="BF190" s="205">
        <v>0.0</v>
      </c>
      <c r="BG190" s="205">
        <v>1.09090909</v>
      </c>
      <c r="BH190" s="205">
        <v>0.0</v>
      </c>
      <c r="BI190" s="205">
        <v>-2.0</v>
      </c>
      <c r="BJ190" s="205">
        <v>0.18181818</v>
      </c>
      <c r="BK190" s="205">
        <v>0.54545455</v>
      </c>
      <c r="BL190" s="205">
        <v>-1.6363636</v>
      </c>
      <c r="BM190" s="205">
        <v>1.09090909</v>
      </c>
      <c r="BN190" s="205">
        <v>-0.7272727</v>
      </c>
      <c r="BO190" s="205">
        <v>-0.9090909</v>
      </c>
      <c r="BP190" s="205">
        <v>-0.3636364</v>
      </c>
      <c r="BQ190" s="205">
        <v>-1.6363636</v>
      </c>
      <c r="BR190" s="206"/>
      <c r="BS190" s="207">
        <f t="shared" si="6"/>
        <v>-0.1298701283</v>
      </c>
      <c r="BT190" s="207">
        <f t="shared" si="7"/>
        <v>0.6283240547</v>
      </c>
      <c r="BU190" s="206"/>
      <c r="BV190" s="207">
        <f>IFERROR(__xludf.DUMMYFUNCTION("AVERAGE(ARRAYFORMULA(XLOOKUP(FILTER(INDIRECT(""'""&amp;BV$1&amp;""'!$C$4:$C$66""),INDIRECT(""'""&amp;BV$1&amp;""'!$D$4:$D$66"")=BV$2),$G$4:$BQ$4,$G190:$BQ190)))"),-0.28571428285714284)</f>
        <v>-0.2857142829</v>
      </c>
      <c r="BW190" s="207" t="str">
        <f>IFERROR(__xludf.DUMMYFUNCTION("IF(OR(BV190&gt;$BS190+$BT190*$BT$2,BV190&lt;$BS190-$BT190*$BT$2),AVEDEV(ARRAYFORMULA(XLOOKUP(FILTER(INDIRECT(""'""&amp;BV$1&amp;""'!$C$4:$C$66""),INDIRECT(""'""&amp;BV$1&amp;""'!$D$4:$D$66"")=BV$2),$G$4:$BQ$4,$G190:$BQ190))),"""")"),"")</f>
        <v/>
      </c>
      <c r="BX190" s="208" t="str">
        <f t="shared" si="8"/>
        <v/>
      </c>
      <c r="BY190" s="207">
        <f>IFERROR(__xludf.DUMMYFUNCTION("AVERAGE(ARRAYFORMULA(XLOOKUP(FILTER(INDIRECT(""'""&amp;BY$1&amp;""'!$C$4:$C$66""),INDIRECT(""'""&amp;BY$1&amp;""'!$D$4:$D$66"")=BY$2),$G$4:$BQ$4,$G190:$BQ190)))"),-0.15584415380952377)</f>
        <v>-0.1558441538</v>
      </c>
      <c r="BZ190" s="207" t="str">
        <f>IFERROR(__xludf.DUMMYFUNCTION("IF(OR(BY190&gt;$BS190+$BT190*$BT$2,BY190&lt;$BS190-$BT190*$BT$2),AVEDEV(ARRAYFORMULA(XLOOKUP(FILTER(INDIRECT(""'""&amp;BY$1&amp;""'!$C$4:$C$66""),INDIRECT(""'""&amp;BY$1&amp;""'!$D$4:$D$66"")=BY$2),$G$4:$BQ$4,$G190:$BQ190))),"""")"),"")</f>
        <v/>
      </c>
      <c r="CA190" s="208" t="str">
        <f t="shared" si="9"/>
        <v/>
      </c>
      <c r="CB190" s="207">
        <f>IFERROR(__xludf.DUMMYFUNCTION("AVERAGE(ARRAYFORMULA(XLOOKUP(FILTER(INDIRECT(""'""&amp;CB$1&amp;""'!$C$4:$C$66""),INDIRECT(""'""&amp;CB$1&amp;""'!$D$4:$D$66"")=CB$2),$G$4:$BQ$4,$G190:$BQ190)))"),0.23140495545454545)</f>
        <v>0.2314049555</v>
      </c>
      <c r="CC190" s="207" t="str">
        <f>IFERROR(__xludf.DUMMYFUNCTION("IF(OR(CB190&gt;$BS190+$BT190*$BT$2,CB190&lt;$BS190-$BT190*$BT$2),AVEDEV(ARRAYFORMULA(XLOOKUP(FILTER(INDIRECT(""'""&amp;CB$1&amp;""'!$C$4:$C$66""),INDIRECT(""'""&amp;CB$1&amp;""'!$D$4:$D$66"")=CB$2),$G$4:$BQ$4,$G190:$BQ190))),"""")"),"")</f>
        <v/>
      </c>
      <c r="CD190" s="208" t="str">
        <f t="shared" si="10"/>
        <v/>
      </c>
      <c r="CE190" s="209" t="s">
        <v>444</v>
      </c>
      <c r="CF190" s="207">
        <f>IFERROR(__xludf.DUMMYFUNCTION("AVERAGE(ARRAYFORMULA(XLOOKUP(FILTER(INDIRECT(""'""&amp;CF$1&amp;""'!$C$4:$C$66""),INDIRECT(""'""&amp;CF$1&amp;""'!$D$4:$D$66"")=CF$2),$G$4:$BQ$4,$G190:$BQ190)))"),-0.19318181749999996)</f>
        <v>-0.1931818175</v>
      </c>
      <c r="CG190" s="207" t="str">
        <f>IFERROR(__xludf.DUMMYFUNCTION("IF(OR(CF190&gt;$BS190+$BT190*$BT$2,CF190&lt;$BS190-$BT190*$BT$2),AVEDEV(ARRAYFORMULA(XLOOKUP(FILTER(INDIRECT(""'""&amp;CF$1&amp;""'!$C$4:$C$66""),INDIRECT(""'""&amp;CF$1&amp;""'!$D$4:$D$66"")=CF$2),$G$4:$BQ$4,$G190:$BQ190))),"""")"),"")</f>
        <v/>
      </c>
      <c r="CH190" s="208" t="str">
        <f t="shared" si="11"/>
        <v/>
      </c>
      <c r="CI190" s="207">
        <f>IFERROR(__xludf.DUMMYFUNCTION("AVERAGE(ARRAYFORMULA(XLOOKUP(FILTER(INDIRECT(""'""&amp;CI$1&amp;""'!$C$4:$C$66""),INDIRECT(""'""&amp;CI$1&amp;""'!$D$4:$D$66"")=CI$2),$G$4:$BQ$4,$G190:$BQ190)))"),2.9032258138768945E-9)</f>
        <v>0.000000002903225814</v>
      </c>
      <c r="CJ190" s="207" t="str">
        <f>IFERROR(__xludf.DUMMYFUNCTION("IF(OR(CI190&gt;$BS190+$BT190*$BT$2,CI190&lt;$BS190-$BT190*$BT$2),AVEDEV(ARRAYFORMULA(XLOOKUP(FILTER(INDIRECT(""'""&amp;CI$1&amp;""'!$C$4:$C$66""),INDIRECT(""'""&amp;CI$1&amp;""'!$D$4:$D$66"")=CI$2),$G$4:$BQ$4,$G190:$BQ190))),"""")"),"")</f>
        <v/>
      </c>
      <c r="CK190" s="208" t="str">
        <f t="shared" si="12"/>
        <v/>
      </c>
      <c r="CL190" s="207">
        <f>IFERROR(__xludf.DUMMYFUNCTION("AVERAGE(ARRAYFORMULA(XLOOKUP(FILTER(INDIRECT(""'""&amp;CL$1&amp;""'!$C$4:$C$66""),INDIRECT(""'""&amp;CL$1&amp;""'!$D$4:$D$66"")=CL$2),$G$4:$BQ$4,$G190:$BQ190)))"),0.145454534)</f>
        <v>0.145454534</v>
      </c>
      <c r="CM190" s="207" t="str">
        <f>IFERROR(__xludf.DUMMYFUNCTION("IF(OR(CL190&gt;$BS190+$BT190*$BT$2,CL190&lt;$BS190-$BT190*$BT$2),AVEDEV(ARRAYFORMULA(XLOOKUP(FILTER(INDIRECT(""'""&amp;CL$1&amp;""'!$C$4:$C$66""),INDIRECT(""'""&amp;CL$1&amp;""'!$D$4:$D$66"")=CL$2),$G$4:$BQ$4,$G190:$BQ190))),"""")"),"")</f>
        <v/>
      </c>
      <c r="CN190" s="208" t="str">
        <f t="shared" si="13"/>
        <v/>
      </c>
      <c r="CO190" s="209" t="s">
        <v>444</v>
      </c>
      <c r="CP190" s="210">
        <f>IFERROR(__xludf.DUMMYFUNCTION("AVERAGE(ARRAYFORMULA(XLOOKUP(FILTER(INDIRECT(""'""&amp;CP$1&amp;""'!$C$4:$C$66""),INDIRECT(""'""&amp;CP$1&amp;""'!$D$4:$D$66"")=CP$2),$G$4:$BQ$4,$G190:$BQ190)))"),-6.66666677417993E-10)</f>
        <v>-0.0000000006666666774</v>
      </c>
      <c r="CQ190" s="207" t="str">
        <f>IFERROR(__xludf.DUMMYFUNCTION("IF(OR(CP190&gt;$BS190+$BT190*$BT$2,CP190&lt;$BS190-$BT190*$BT$2),AVEDEV(ARRAYFORMULA(XLOOKUP(FILTER(INDIRECT(""'""&amp;CP$1&amp;""'!$C$4:$C$66""),INDIRECT(""'""&amp;CP$1&amp;""'!$D$4:$D$66"")=CP$2),$G$4:$BQ$4,$G190:$BQ190))),"""")"),"")</f>
        <v/>
      </c>
      <c r="CR190" s="208" t="str">
        <f t="shared" si="14"/>
        <v/>
      </c>
      <c r="CS190" s="210">
        <f>IFERROR(__xludf.DUMMYFUNCTION("AVERAGE(ARRAYFORMULA(XLOOKUP(FILTER(INDIRECT(""'""&amp;CS$1&amp;""'!$C$4:$C$66""),INDIRECT(""'""&amp;CS$1&amp;""'!$D$4:$D$66"")=CS$2),$G$4:$BQ$4,$G190:$BQ190)))"),-0.13053612794871794)</f>
        <v>-0.1305361279</v>
      </c>
      <c r="CT190" s="207" t="str">
        <f>IFERROR(__xludf.DUMMYFUNCTION("IF(OR(CS190&gt;$BS190+$BT190*$BT$2,CS190&lt;$BS190-$BT190*$BT$2),AVEDEV(ARRAYFORMULA(XLOOKUP(FILTER(INDIRECT(""'""&amp;CS$1&amp;""'!$C$4:$C$66""),INDIRECT(""'""&amp;CS$1&amp;""'!$D$4:$D$66"")=CS$2),$G$4:$BQ$4,$G190:$BQ190))),"""")"),"")</f>
        <v/>
      </c>
      <c r="CU190" s="208" t="str">
        <f t="shared" si="15"/>
        <v/>
      </c>
      <c r="CV190" s="210">
        <f>IFERROR(__xludf.DUMMYFUNCTION("AVERAGE(ARRAYFORMULA(XLOOKUP(FILTER(INDIRECT(""'""&amp;CV$1&amp;""'!$C$4:$C$66""),INDIRECT(""'""&amp;CV$1&amp;""'!$D$4:$D$66"")=CV$2),$G$4:$BQ$4,$G190:$BQ190)))"),0.145454534)</f>
        <v>0.145454534</v>
      </c>
      <c r="CW190" s="207" t="str">
        <f>IFERROR(__xludf.DUMMYFUNCTION("IF(OR(CV190&gt;$BS190+$BT190*$BT$2,CV190&lt;$BS190-$BT190*$BT$2),AVEDEV(ARRAYFORMULA(XLOOKUP(FILTER(INDIRECT(""'""&amp;CV$1&amp;""'!$C$4:$C$66""),INDIRECT(""'""&amp;CV$1&amp;""'!$D$4:$D$66"")=CV$2),$G$4:$BQ$4,$G190:$BQ190))),"""")"),"")</f>
        <v/>
      </c>
      <c r="CX190" s="208" t="str">
        <f t="shared" si="16"/>
        <v/>
      </c>
      <c r="CY190" s="209" t="s">
        <v>444</v>
      </c>
      <c r="CZ190" s="210">
        <f>IFERROR(__xludf.DUMMYFUNCTION("AVERAGE(ARRAYFORMULA(XLOOKUP(FILTER(INDIRECT(""'""&amp;CZ$1&amp;""'!$C$4:$C$66""),INDIRECT(""'""&amp;CZ$1&amp;""'!$D$4:$D$66"")=CZ$2),$G$4:$BQ$4,$G190:$BQ190)))"),-0.051948051428571416)</f>
        <v>-0.05194805143</v>
      </c>
      <c r="DA190" s="207" t="str">
        <f>IFERROR(__xludf.DUMMYFUNCTION("IF(OR(CZ190&gt;$BS190+$BT190*$BT$2,CZ190&lt;$BS190-$BT190*$BT$2),AVEDEV(ARRAYFORMULA(XLOOKUP(FILTER(INDIRECT(""'""&amp;CZ$1&amp;""'!$C$4:$C$66""),INDIRECT(""'""&amp;CZ$1&amp;""'!$D$4:$D$66"")=CZ$2),$G$4:$BQ$4,$G190:$BQ190))),"""")"),"")</f>
        <v/>
      </c>
      <c r="DB190" s="208" t="str">
        <f t="shared" si="17"/>
        <v/>
      </c>
      <c r="DC190" s="210">
        <f>IFERROR(__xludf.DUMMYFUNCTION("AVERAGE(ARRAYFORMULA(XLOOKUP(FILTER(INDIRECT(""'""&amp;DC$1&amp;""'!$C$4:$C$66""),INDIRECT(""'""&amp;DC$1&amp;""'!$D$4:$D$66"")=DC$2),$G$4:$BQ$4,$G190:$BQ190)))"),0.12121211777777775)</f>
        <v>0.1212121178</v>
      </c>
      <c r="DD190" s="207" t="str">
        <f>IFERROR(__xludf.DUMMYFUNCTION("IF(OR(DC190&gt;$BS190+$BT190*$BT$2,DC190&lt;$BS190-$BT190*$BT$2),AVEDEV(ARRAYFORMULA(XLOOKUP(FILTER(INDIRECT(""'""&amp;DC$1&amp;""'!$C$4:$C$66""),INDIRECT(""'""&amp;DC$1&amp;""'!$D$4:$D$66"")=DC$2),$G$4:$BQ$4,$G190:$BQ190))),"""")"),"")</f>
        <v/>
      </c>
      <c r="DE190" s="208" t="str">
        <f t="shared" si="18"/>
        <v/>
      </c>
      <c r="DF190" s="210">
        <f>IFERROR(__xludf.DUMMYFUNCTION("AVERAGE(ARRAYFORMULA(XLOOKUP(FILTER(INDIRECT(""'""&amp;DF$1&amp;""'!$C$4:$C$66""),INDIRECT(""'""&amp;DF$1&amp;""'!$D$4:$D$66"")=DF$2),$G$4:$BQ$4,$G190:$BQ190)))"),0.09917355545454544)</f>
        <v>0.09917355545</v>
      </c>
      <c r="DG190" s="207" t="str">
        <f>IFERROR(__xludf.DUMMYFUNCTION("IF(OR(DF190&gt;$BS190+$BT190*$BT$2,DF190&lt;$BS190-$BT190*$BT$2),AVEDEV(ARRAYFORMULA(XLOOKUP(FILTER(INDIRECT(""'""&amp;DF$1&amp;""'!$C$4:$C$66""),INDIRECT(""'""&amp;DF$1&amp;""'!$D$4:$D$66"")=DF$2),$G$4:$BQ$4,$G190:$BQ190))),"""")"),"")</f>
        <v/>
      </c>
      <c r="DH190" s="208" t="str">
        <f t="shared" si="19"/>
        <v/>
      </c>
      <c r="DI190" s="210">
        <f>IFERROR(__xludf.DUMMYFUNCTION("AVERAGE(ARRAYFORMULA(XLOOKUP(FILTER(INDIRECT(""'""&amp;DI$1&amp;""'!$C$4:$C$66""),INDIRECT(""'""&amp;DI$1&amp;""'!$D$4:$D$66"")=DI$2),$G$4:$BQ$4,$G190:$BQ190)))"),0.272727275)</f>
        <v>0.272727275</v>
      </c>
      <c r="DJ190" s="207" t="str">
        <f>IFERROR(__xludf.DUMMYFUNCTION("IF(OR(DI190&gt;$BS190+$BT190*$BT$2,DI190&lt;$BS190-$BT190*$BT$2),AVEDEV(ARRAYFORMULA(XLOOKUP(FILTER(INDIRECT(""'""&amp;DI$1&amp;""'!$C$4:$C$66""),INDIRECT(""'""&amp;DI$1&amp;""'!$D$4:$D$66"")=DI$2),$G$4:$BQ$4,$G190:$BQ190))),"""")"),"")</f>
        <v/>
      </c>
      <c r="DK190" s="208" t="str">
        <f t="shared" si="20"/>
        <v/>
      </c>
      <c r="DL190" s="210">
        <f>IFERROR(__xludf.DUMMYFUNCTION("AVERAGE(ARRAYFORMULA(XLOOKUP(FILTER(INDIRECT(""'""&amp;DL$1&amp;""'!$C$4:$C$66""),INDIRECT(""'""&amp;DL$1&amp;""'!$D$4:$D$66"")=DL$2),$G$4:$BQ$4,$G190:$BQ190)))"),-0.35064934571428574)</f>
        <v>-0.3506493457</v>
      </c>
      <c r="DM190" s="207" t="str">
        <f>IFERROR(__xludf.DUMMYFUNCTION("IF(OR(DL190&gt;$BS190+$BT190*$BT$2,DL190&lt;$BS190-$BT190*$BT$2),AVEDEV(ARRAYFORMULA(XLOOKUP(FILTER(INDIRECT(""'""&amp;DL$1&amp;""'!$C$4:$C$66""),INDIRECT(""'""&amp;DL$1&amp;""'!$D$4:$D$66"")=DL$2),$G$4:$BQ$4,$G190:$BQ190))),"""")"),"")</f>
        <v/>
      </c>
      <c r="DN190" s="208" t="str">
        <f t="shared" si="21"/>
        <v/>
      </c>
      <c r="DO190" s="209" t="s">
        <v>444</v>
      </c>
      <c r="DP190" s="210">
        <f>IFERROR(__xludf.DUMMYFUNCTION("AVERAGE(ARRAYFORMULA(XLOOKUP(FILTER(INDIRECT(""'""&amp;DP$1&amp;""'!$C$4:$C$66""),INDIRECT(""'""&amp;DP$1&amp;""'!$D$4:$D$66"")=DP$2),$G$4:$BQ$4,$G190:$BQ190)))"),-0.27272727300000005)</f>
        <v>-0.272727273</v>
      </c>
      <c r="DQ190" s="207" t="str">
        <f>IFERROR(__xludf.DUMMYFUNCTION("IF(OR(DP190&gt;$BS190+$BT190*$BT$2,DP190&lt;$BS190-$BT190*$BT$2),AVEDEV(ARRAYFORMULA(XLOOKUP(FILTER(INDIRECT(""'""&amp;DP$1&amp;""'!$C$4:$C$66""),INDIRECT(""'""&amp;DP$1&amp;""'!$D$4:$D$66"")=DP$2),$G$4:$BQ$4,$G190:$BQ190))),"""")"),"")</f>
        <v/>
      </c>
      <c r="DR190" s="208" t="str">
        <f t="shared" si="22"/>
        <v/>
      </c>
      <c r="DS190" s="210">
        <f>IFERROR(__xludf.DUMMYFUNCTION("AVERAGE(ARRAYFORMULA(XLOOKUP(FILTER(INDIRECT(""'""&amp;DS$1&amp;""'!$C$4:$C$66""),INDIRECT(""'""&amp;DS$1&amp;""'!$D$4:$D$66"")=DS$2),$G$4:$BQ$4,$G190:$BQ190)))"),-0.020202018888888895)</f>
        <v>-0.02020201889</v>
      </c>
      <c r="DT190" s="207" t="str">
        <f>IFERROR(__xludf.DUMMYFUNCTION("IF(OR(DS190&gt;$BS190+$BT190*$BT$2,DS190&lt;$BS190-$BT190*$BT$2),AVEDEV(ARRAYFORMULA(XLOOKUP(FILTER(INDIRECT(""'""&amp;DS$1&amp;""'!$C$4:$C$66""),INDIRECT(""'""&amp;DS$1&amp;""'!$D$4:$D$66"")=DS$2),$G$4:$BQ$4,$G190:$BQ190))),"""")"),"")</f>
        <v/>
      </c>
      <c r="DU190" s="208" t="str">
        <f t="shared" si="23"/>
        <v/>
      </c>
      <c r="DV190" s="210">
        <f>IFERROR(__xludf.DUMMYFUNCTION("AVERAGE(ARRAYFORMULA(XLOOKUP(FILTER(INDIRECT(""'""&amp;DV$1&amp;""'!$C$4:$C$66""),INDIRECT(""'""&amp;DV$1&amp;""'!$D$4:$D$66"")=DV$2),$G$4:$BQ$4,$G190:$BQ190)))"),0.49999999875)</f>
        <v>0.4999999988</v>
      </c>
      <c r="DW190" s="207">
        <f>IFERROR(__xludf.DUMMYFUNCTION("IF(OR(DV190&gt;$BS190+$BT190*$BT$2,DV190&lt;$BS190-$BT190*$BT$2),AVEDEV(ARRAYFORMULA(XLOOKUP(FILTER(INDIRECT(""'""&amp;DV$1&amp;""'!$C$4:$C$66""),INDIRECT(""'""&amp;DV$1&amp;""'!$D$4:$D$66"")=DV$2),$G$4:$BQ$4,$G190:$BQ190))),"""")"),0.3068181834375)</f>
        <v>0.3068181834</v>
      </c>
      <c r="DX190" s="208">
        <f t="shared" si="24"/>
        <v>0.00154607227</v>
      </c>
      <c r="DY190" s="210">
        <f>IFERROR(__xludf.DUMMYFUNCTION("AVERAGE(ARRAYFORMULA(XLOOKUP(FILTER(INDIRECT(""'""&amp;DY$1&amp;""'!$C$4:$C$66""),INDIRECT(""'""&amp;DY$1&amp;""'!$D$4:$D$66"")=DY$2),$G$4:$BQ$4,$G190:$BQ190)))"),0.16161615999999998)</f>
        <v>0.16161616</v>
      </c>
      <c r="DZ190" s="207" t="str">
        <f>IFERROR(__xludf.DUMMYFUNCTION("IF(OR(DY190&gt;$BS190+$BT190*$BT$2,DY190&lt;$BS190-$BT190*$BT$2),AVEDEV(ARRAYFORMULA(XLOOKUP(FILTER(INDIRECT(""'""&amp;DY$1&amp;""'!$C$4:$C$66""),INDIRECT(""'""&amp;DY$1&amp;""'!$D$4:$D$66"")=DY$2),$G$4:$BQ$4,$G190:$BQ190))),"""")"),"")</f>
        <v/>
      </c>
      <c r="EA190" s="208" t="str">
        <f t="shared" si="25"/>
        <v/>
      </c>
      <c r="EB190" s="191"/>
    </row>
    <row r="191" outlineLevel="1">
      <c r="A191" s="2"/>
      <c r="B191" s="204">
        <v>187.0</v>
      </c>
      <c r="C191" s="204" t="s">
        <v>630</v>
      </c>
      <c r="D191" s="204" t="s">
        <v>635</v>
      </c>
      <c r="E191" s="205" t="b">
        <f>VLOOKUP(D191,'Feature Set List'!A187:C246,2,0)</f>
        <v>1</v>
      </c>
      <c r="F191" s="205" t="b">
        <f>VLOOKUP(D191,'Feature Set List'!A187:C246,3,0)</f>
        <v>1</v>
      </c>
      <c r="G191" s="205">
        <v>1.5797453</v>
      </c>
      <c r="H191" s="205">
        <v>0.8835658</v>
      </c>
      <c r="I191" s="205">
        <v>0.88174651</v>
      </c>
      <c r="J191" s="205">
        <v>-0.349909</v>
      </c>
      <c r="K191" s="205">
        <v>-1.4907823</v>
      </c>
      <c r="L191" s="205">
        <v>-0.3165555</v>
      </c>
      <c r="M191" s="205">
        <v>-0.447544</v>
      </c>
      <c r="N191" s="205">
        <v>-0.3159491</v>
      </c>
      <c r="O191" s="205">
        <v>-0.7992723</v>
      </c>
      <c r="P191" s="205">
        <v>0.12310491</v>
      </c>
      <c r="Q191" s="205">
        <v>0.3856883</v>
      </c>
      <c r="R191" s="205">
        <v>-0.4311704</v>
      </c>
      <c r="S191" s="205">
        <v>-0.3850819</v>
      </c>
      <c r="T191" s="205">
        <v>0.11218921</v>
      </c>
      <c r="U191" s="205">
        <v>0.38204973</v>
      </c>
      <c r="V191" s="205">
        <v>-0.5051546</v>
      </c>
      <c r="W191" s="205">
        <v>-0.3608247</v>
      </c>
      <c r="X191" s="205">
        <v>0.29472408</v>
      </c>
      <c r="Y191" s="205">
        <v>0.77198302</v>
      </c>
      <c r="Z191" s="205">
        <v>1.30442693</v>
      </c>
      <c r="AA191" s="205">
        <v>0.16858702</v>
      </c>
      <c r="AB191" s="205">
        <v>0.28138266</v>
      </c>
      <c r="AC191" s="205">
        <v>0.12734991</v>
      </c>
      <c r="AD191" s="205">
        <v>1.88417223</v>
      </c>
      <c r="AE191" s="205">
        <v>-0.1024864</v>
      </c>
      <c r="AF191" s="205">
        <v>-0.5045482</v>
      </c>
      <c r="AG191" s="205">
        <v>1.1055185</v>
      </c>
      <c r="AH191" s="205">
        <v>-0.0430564</v>
      </c>
      <c r="AI191" s="205">
        <v>-0.2007277</v>
      </c>
      <c r="AJ191" s="205">
        <v>2.14857489</v>
      </c>
      <c r="AK191" s="205">
        <v>-1.6662583</v>
      </c>
      <c r="AL191" s="205">
        <v>0.04730139</v>
      </c>
      <c r="AM191" s="205">
        <v>0.47907823</v>
      </c>
      <c r="AN191" s="205">
        <v>0.38508187</v>
      </c>
      <c r="AO191" s="205">
        <v>-0.468769</v>
      </c>
      <c r="AP191" s="205">
        <v>-1.6737174</v>
      </c>
      <c r="AQ191" s="205">
        <v>-0.3141298</v>
      </c>
      <c r="AR191" s="205">
        <v>-0.1934506</v>
      </c>
      <c r="AS191" s="205">
        <v>0.0</v>
      </c>
      <c r="AT191" s="205">
        <v>0.4548211</v>
      </c>
      <c r="AU191" s="205">
        <v>-1.6882959</v>
      </c>
      <c r="AV191" s="205">
        <v>1.27713766</v>
      </c>
      <c r="AW191" s="205">
        <v>0.46634324</v>
      </c>
      <c r="AX191" s="205">
        <v>-0.5003032</v>
      </c>
      <c r="AY191" s="205">
        <v>0.64766525</v>
      </c>
      <c r="AZ191" s="205">
        <v>-0.0830807</v>
      </c>
      <c r="BA191" s="205">
        <v>-0.2807762</v>
      </c>
      <c r="BB191" s="205">
        <v>0.93935719</v>
      </c>
      <c r="BC191" s="205">
        <v>-0.3305033</v>
      </c>
      <c r="BD191" s="205">
        <v>0.24984839</v>
      </c>
      <c r="BE191" s="205">
        <v>0.60824742</v>
      </c>
      <c r="BF191" s="205">
        <v>1.37659187</v>
      </c>
      <c r="BG191" s="205">
        <v>-0.4123711</v>
      </c>
      <c r="BH191" s="205">
        <v>2.22922984</v>
      </c>
      <c r="BI191" s="205">
        <v>-1.6882959</v>
      </c>
      <c r="BJ191" s="205">
        <v>-0.4372347</v>
      </c>
      <c r="BK191" s="205">
        <v>-0.3596119</v>
      </c>
      <c r="BL191" s="205">
        <v>1.58156458</v>
      </c>
      <c r="BM191" s="205">
        <v>0.64584597</v>
      </c>
      <c r="BN191" s="205">
        <v>-0.3232262</v>
      </c>
      <c r="BO191" s="205">
        <v>1.60097029</v>
      </c>
      <c r="BP191" s="205">
        <v>-0.0072771</v>
      </c>
      <c r="BQ191" s="205">
        <v>-0.7180109</v>
      </c>
      <c r="BR191" s="206"/>
      <c r="BS191" s="207">
        <f t="shared" si="6"/>
        <v>0.127389184</v>
      </c>
      <c r="BT191" s="207">
        <f t="shared" si="7"/>
        <v>0.6849028541</v>
      </c>
      <c r="BU191" s="206"/>
      <c r="BV191" s="207">
        <f>IFERROR(__xludf.DUMMYFUNCTION("AVERAGE(ARRAYFORMULA(XLOOKUP(FILTER(INDIRECT(""'""&amp;BV$1&amp;""'!$C$4:$C$66""),INDIRECT(""'""&amp;BV$1&amp;""'!$D$4:$D$66"")=BV$2),$G$4:$BQ$4,$G191:$BQ191)))"),0.5692627499999999)</f>
        <v>0.56926275</v>
      </c>
      <c r="BW191" s="207" t="str">
        <f>IFERROR(__xludf.DUMMYFUNCTION("IF(OR(BV191&gt;$BS191+$BT191*$BT$2,BV191&lt;$BS191-$BT191*$BT$2),AVEDEV(ARRAYFORMULA(XLOOKUP(FILTER(INDIRECT(""'""&amp;BV$1&amp;""'!$C$4:$C$66""),INDIRECT(""'""&amp;BV$1&amp;""'!$D$4:$D$66"")=BV$2),$G$4:$BQ$4,$G191:$BQ191))),"""")"),"")</f>
        <v/>
      </c>
      <c r="BX191" s="208" t="str">
        <f t="shared" si="8"/>
        <v/>
      </c>
      <c r="BY191" s="207">
        <f>IFERROR(__xludf.DUMMYFUNCTION("AVERAGE(ARRAYFORMULA(XLOOKUP(FILTER(INDIRECT(""'""&amp;BY$1&amp;""'!$C$4:$C$66""),INDIRECT(""'""&amp;BY$1&amp;""'!$D$4:$D$66"")=BY$2),$G$4:$BQ$4,$G191:$BQ191)))"),0.0799486007142857)</f>
        <v>0.07994860071</v>
      </c>
      <c r="BZ191" s="207" t="str">
        <f>IFERROR(__xludf.DUMMYFUNCTION("IF(OR(BY191&gt;$BS191+$BT191*$BT$2,BY191&lt;$BS191-$BT191*$BT$2),AVEDEV(ARRAYFORMULA(XLOOKUP(FILTER(INDIRECT(""'""&amp;BY$1&amp;""'!$C$4:$C$66""),INDIRECT(""'""&amp;BY$1&amp;""'!$D$4:$D$66"")=BY$2),$G$4:$BQ$4,$G191:$BQ191))),"""")"),"")</f>
        <v/>
      </c>
      <c r="CA191" s="208" t="str">
        <f t="shared" si="9"/>
        <v/>
      </c>
      <c r="CB191" s="207">
        <f>IFERROR(__xludf.DUMMYFUNCTION("AVERAGE(ARRAYFORMULA(XLOOKUP(FILTER(INDIRECT(""'""&amp;CB$1&amp;""'!$C$4:$C$66""),INDIRECT(""'""&amp;CB$1&amp;""'!$D$4:$D$66"")=CB$2),$G$4:$BQ$4,$G191:$BQ191)))"),0.11268537363636363)</f>
        <v>0.1126853736</v>
      </c>
      <c r="CC191" s="207" t="str">
        <f>IFERROR(__xludf.DUMMYFUNCTION("IF(OR(CB191&gt;$BS191+$BT191*$BT$2,CB191&lt;$BS191-$BT191*$BT$2),AVEDEV(ARRAYFORMULA(XLOOKUP(FILTER(INDIRECT(""'""&amp;CB$1&amp;""'!$C$4:$C$66""),INDIRECT(""'""&amp;CB$1&amp;""'!$D$4:$D$66"")=CB$2),$G$4:$BQ$4,$G191:$BQ191))),"""")"),"")</f>
        <v/>
      </c>
      <c r="CD191" s="208" t="str">
        <f t="shared" si="10"/>
        <v/>
      </c>
      <c r="CE191" s="209" t="s">
        <v>444</v>
      </c>
      <c r="CF191" s="207">
        <f>IFERROR(__xludf.DUMMYFUNCTION("AVERAGE(ARRAYFORMULA(XLOOKUP(FILTER(INDIRECT(""'""&amp;CF$1&amp;""'!$C$4:$C$66""),INDIRECT(""'""&amp;CF$1&amp;""'!$D$4:$D$66"")=CF$2),$G$4:$BQ$4,$G191:$BQ191)))"),-0.06317919812500003)</f>
        <v>-0.06317919813</v>
      </c>
      <c r="CG191" s="207" t="str">
        <f>IFERROR(__xludf.DUMMYFUNCTION("IF(OR(CF191&gt;$BS191+$BT191*$BT$2,CF191&lt;$BS191-$BT191*$BT$2),AVEDEV(ARRAYFORMULA(XLOOKUP(FILTER(INDIRECT(""'""&amp;CF$1&amp;""'!$C$4:$C$66""),INDIRECT(""'""&amp;CF$1&amp;""'!$D$4:$D$66"")=CF$2),$G$4:$BQ$4,$G191:$BQ191))),"""")"),"")</f>
        <v/>
      </c>
      <c r="CH191" s="208" t="str">
        <f t="shared" si="11"/>
        <v/>
      </c>
      <c r="CI191" s="207">
        <f>IFERROR(__xludf.DUMMYFUNCTION("AVERAGE(ARRAYFORMULA(XLOOKUP(FILTER(INDIRECT(""'""&amp;CI$1&amp;""'!$C$4:$C$66""),INDIRECT(""'""&amp;CI$1&amp;""'!$D$4:$D$66"")=CI$2),$G$4:$BQ$4,$G191:$BQ191)))"),0.17776169419354837)</f>
        <v>0.1777616942</v>
      </c>
      <c r="CJ191" s="207" t="str">
        <f>IFERROR(__xludf.DUMMYFUNCTION("IF(OR(CI191&gt;$BS191+$BT191*$BT$2,CI191&lt;$BS191-$BT191*$BT$2),AVEDEV(ARRAYFORMULA(XLOOKUP(FILTER(INDIRECT(""'""&amp;CI$1&amp;""'!$C$4:$C$66""),INDIRECT(""'""&amp;CI$1&amp;""'!$D$4:$D$66"")=CI$2),$G$4:$BQ$4,$G191:$BQ191))),"""")"),"")</f>
        <v/>
      </c>
      <c r="CK191" s="208" t="str">
        <f t="shared" si="12"/>
        <v/>
      </c>
      <c r="CL191" s="207">
        <f>IFERROR(__xludf.DUMMYFUNCTION("AVERAGE(ARRAYFORMULA(XLOOKUP(FILTER(INDIRECT(""'""&amp;CL$1&amp;""'!$C$4:$C$66""),INDIRECT(""'""&amp;CL$1&amp;""'!$D$4:$D$66"")=CL$2),$G$4:$BQ$4,$G191:$BQ191)))"),-0.091570636)</f>
        <v>-0.091570636</v>
      </c>
      <c r="CM191" s="207" t="str">
        <f>IFERROR(__xludf.DUMMYFUNCTION("IF(OR(CL191&gt;$BS191+$BT191*$BT$2,CL191&lt;$BS191-$BT191*$BT$2),AVEDEV(ARRAYFORMULA(XLOOKUP(FILTER(INDIRECT(""'""&amp;CL$1&amp;""'!$C$4:$C$66""),INDIRECT(""'""&amp;CL$1&amp;""'!$D$4:$D$66"")=CL$2),$G$4:$BQ$4,$G191:$BQ191))),"""")"),"")</f>
        <v/>
      </c>
      <c r="CN191" s="208" t="str">
        <f t="shared" si="13"/>
        <v/>
      </c>
      <c r="CO191" s="209" t="s">
        <v>444</v>
      </c>
      <c r="CP191" s="210">
        <f>IFERROR(__xludf.DUMMYFUNCTION("AVERAGE(ARRAYFORMULA(XLOOKUP(FILTER(INDIRECT(""'""&amp;CP$1&amp;""'!$C$4:$C$66""),INDIRECT(""'""&amp;CP$1&amp;""'!$D$4:$D$66"")=CP$2),$G$4:$BQ$4,$G191:$BQ191)))"),0.4929047860000001)</f>
        <v>0.492904786</v>
      </c>
      <c r="CQ191" s="207" t="str">
        <f>IFERROR(__xludf.DUMMYFUNCTION("IF(OR(CP191&gt;$BS191+$BT191*$BT$2,CP191&lt;$BS191-$BT191*$BT$2),AVEDEV(ARRAYFORMULA(XLOOKUP(FILTER(INDIRECT(""'""&amp;CP$1&amp;""'!$C$4:$C$66""),INDIRECT(""'""&amp;CP$1&amp;""'!$D$4:$D$66"")=CP$2),$G$4:$BQ$4,$G191:$BQ191))),"""")"),"")</f>
        <v/>
      </c>
      <c r="CR191" s="208" t="str">
        <f t="shared" si="14"/>
        <v/>
      </c>
      <c r="CS191" s="210">
        <f>IFERROR(__xludf.DUMMYFUNCTION("AVERAGE(ARRAYFORMULA(XLOOKUP(FILTER(INDIRECT(""'""&amp;CS$1&amp;""'!$C$4:$C$66""),INDIRECT(""'""&amp;CS$1&amp;""'!$D$4:$D$66"")=CS$2),$G$4:$BQ$4,$G191:$BQ191)))"),0.0016650358974359119)</f>
        <v>0.001665035897</v>
      </c>
      <c r="CT191" s="207" t="str">
        <f>IFERROR(__xludf.DUMMYFUNCTION("IF(OR(CS191&gt;$BS191+$BT191*$BT$2,CS191&lt;$BS191-$BT191*$BT$2),AVEDEV(ARRAYFORMULA(XLOOKUP(FILTER(INDIRECT(""'""&amp;CS$1&amp;""'!$C$4:$C$66""),INDIRECT(""'""&amp;CS$1&amp;""'!$D$4:$D$66"")=CS$2),$G$4:$BQ$4,$G191:$BQ191))),"""")"),"")</f>
        <v/>
      </c>
      <c r="CU191" s="208" t="str">
        <f t="shared" si="15"/>
        <v/>
      </c>
      <c r="CV191" s="210">
        <f>IFERROR(__xludf.DUMMYFUNCTION("AVERAGE(ARRAYFORMULA(XLOOKUP(FILTER(INDIRECT(""'""&amp;CV$1&amp;""'!$C$4:$C$66""),INDIRECT(""'""&amp;CV$1&amp;""'!$D$4:$D$66"")=CV$2),$G$4:$BQ$4,$G191:$BQ191)))"),-0.091570636)</f>
        <v>-0.091570636</v>
      </c>
      <c r="CW191" s="207" t="str">
        <f>IFERROR(__xludf.DUMMYFUNCTION("IF(OR(CV191&gt;$BS191+$BT191*$BT$2,CV191&lt;$BS191-$BT191*$BT$2),AVEDEV(ARRAYFORMULA(XLOOKUP(FILTER(INDIRECT(""'""&amp;CV$1&amp;""'!$C$4:$C$66""),INDIRECT(""'""&amp;CV$1&amp;""'!$D$4:$D$66"")=CV$2),$G$4:$BQ$4,$G191:$BQ191))),"""")"),"")</f>
        <v/>
      </c>
      <c r="CX191" s="208" t="str">
        <f t="shared" si="16"/>
        <v/>
      </c>
      <c r="CY191" s="209" t="s">
        <v>444</v>
      </c>
      <c r="CZ191" s="210">
        <f>IFERROR(__xludf.DUMMYFUNCTION("AVERAGE(ARRAYFORMULA(XLOOKUP(FILTER(INDIRECT(""'""&amp;CZ$1&amp;""'!$C$4:$C$66""),INDIRECT(""'""&amp;CZ$1&amp;""'!$D$4:$D$66"")=CZ$2),$G$4:$BQ$4,$G191:$BQ191)))"),-0.11490167142857148)</f>
        <v>-0.1149016714</v>
      </c>
      <c r="DA191" s="207" t="str">
        <f>IFERROR(__xludf.DUMMYFUNCTION("IF(OR(CZ191&gt;$BS191+$BT191*$BT$2,CZ191&lt;$BS191-$BT191*$BT$2),AVEDEV(ARRAYFORMULA(XLOOKUP(FILTER(INDIRECT(""'""&amp;CZ$1&amp;""'!$C$4:$C$66""),INDIRECT(""'""&amp;CZ$1&amp;""'!$D$4:$D$66"")=CZ$2),$G$4:$BQ$4,$G191:$BQ191))),"""")"),"")</f>
        <v/>
      </c>
      <c r="DB191" s="208" t="str">
        <f t="shared" si="17"/>
        <v/>
      </c>
      <c r="DC191" s="210">
        <f>IFERROR(__xludf.DUMMYFUNCTION("AVERAGE(ARRAYFORMULA(XLOOKUP(FILTER(INDIRECT(""'""&amp;DC$1&amp;""'!$C$4:$C$66""),INDIRECT(""'""&amp;DC$1&amp;""'!$D$4:$D$66"")=DC$2),$G$4:$BQ$4,$G191:$BQ191)))"),0.0751970933333333)</f>
        <v>0.07519709333</v>
      </c>
      <c r="DD191" s="207" t="str">
        <f>IFERROR(__xludf.DUMMYFUNCTION("IF(OR(DC191&gt;$BS191+$BT191*$BT$2,DC191&lt;$BS191-$BT191*$BT$2),AVEDEV(ARRAYFORMULA(XLOOKUP(FILTER(INDIRECT(""'""&amp;DC$1&amp;""'!$C$4:$C$66""),INDIRECT(""'""&amp;DC$1&amp;""'!$D$4:$D$66"")=DC$2),$G$4:$BQ$4,$G191:$BQ191))),"""")"),"")</f>
        <v/>
      </c>
      <c r="DE191" s="208" t="str">
        <f t="shared" si="18"/>
        <v/>
      </c>
      <c r="DF191" s="210">
        <f>IFERROR(__xludf.DUMMYFUNCTION("AVERAGE(ARRAYFORMULA(XLOOKUP(FILTER(INDIRECT(""'""&amp;DF$1&amp;""'!$C$4:$C$66""),INDIRECT(""'""&amp;DF$1&amp;""'!$D$4:$D$66"")=DF$2),$G$4:$BQ$4,$G191:$BQ191)))"),0.3150669790909091)</f>
        <v>0.3150669791</v>
      </c>
      <c r="DG191" s="207" t="str">
        <f>IFERROR(__xludf.DUMMYFUNCTION("IF(OR(DF191&gt;$BS191+$BT191*$BT$2,DF191&lt;$BS191-$BT191*$BT$2),AVEDEV(ARRAYFORMULA(XLOOKUP(FILTER(INDIRECT(""'""&amp;DF$1&amp;""'!$C$4:$C$66""),INDIRECT(""'""&amp;DF$1&amp;""'!$D$4:$D$66"")=DF$2),$G$4:$BQ$4,$G191:$BQ191))),"""")"),"")</f>
        <v/>
      </c>
      <c r="DH191" s="208" t="str">
        <f t="shared" si="19"/>
        <v/>
      </c>
      <c r="DI191" s="210">
        <f>IFERROR(__xludf.DUMMYFUNCTION("AVERAGE(ARRAYFORMULA(XLOOKUP(FILTER(INDIRECT(""'""&amp;DI$1&amp;""'!$C$4:$C$66""),INDIRECT(""'""&amp;DI$1&amp;""'!$D$4:$D$66"")=DI$2),$G$4:$BQ$4,$G191:$BQ191)))"),2.0567010349999997)</f>
        <v>2.056701035</v>
      </c>
      <c r="DJ191" s="207">
        <f>IFERROR(__xludf.DUMMYFUNCTION("IF(OR(DI191&gt;$BS191+$BT191*$BT$2,DI191&lt;$BS191-$BT191*$BT$2),AVEDEV(ARRAYFORMULA(XLOOKUP(FILTER(INDIRECT(""'""&amp;DI$1&amp;""'!$C$4:$C$66""),INDIRECT(""'""&amp;DI$1&amp;""'!$D$4:$D$66"")=DI$2),$G$4:$BQ$4,$G191:$BQ191))),"""")"),0.172528805)</f>
        <v>0.172528805</v>
      </c>
      <c r="DK191" s="208">
        <f t="shared" si="20"/>
        <v>1.244408997</v>
      </c>
      <c r="DL191" s="210">
        <f>IFERROR(__xludf.DUMMYFUNCTION("AVERAGE(ARRAYFORMULA(XLOOKUP(FILTER(INDIRECT(""'""&amp;DL$1&amp;""'!$C$4:$C$66""),INDIRECT(""'""&amp;DL$1&amp;""'!$D$4:$D$66"")=DL$2),$G$4:$BQ$4,$G191:$BQ191)))"),-0.08606947214285711)</f>
        <v>-0.08606947214</v>
      </c>
      <c r="DM191" s="207" t="str">
        <f>IFERROR(__xludf.DUMMYFUNCTION("IF(OR(DL191&gt;$BS191+$BT191*$BT$2,DL191&lt;$BS191-$BT191*$BT$2),AVEDEV(ARRAYFORMULA(XLOOKUP(FILTER(INDIRECT(""'""&amp;DL$1&amp;""'!$C$4:$C$66""),INDIRECT(""'""&amp;DL$1&amp;""'!$D$4:$D$66"")=DL$2),$G$4:$BQ$4,$G191:$BQ191))),"""")"),"")</f>
        <v/>
      </c>
      <c r="DN191" s="208" t="str">
        <f t="shared" si="21"/>
        <v/>
      </c>
      <c r="DO191" s="209" t="s">
        <v>444</v>
      </c>
      <c r="DP191" s="210">
        <f>IFERROR(__xludf.DUMMYFUNCTION("AVERAGE(ARRAYFORMULA(XLOOKUP(FILTER(INDIRECT(""'""&amp;DP$1&amp;""'!$C$4:$C$66""),INDIRECT(""'""&amp;DP$1&amp;""'!$D$4:$D$66"")=DP$2),$G$4:$BQ$4,$G191:$BQ191)))"),-0.10721487200000006)</f>
        <v>-0.107214872</v>
      </c>
      <c r="DQ191" s="207" t="str">
        <f>IFERROR(__xludf.DUMMYFUNCTION("IF(OR(DP191&gt;$BS191+$BT191*$BT$2,DP191&lt;$BS191-$BT191*$BT$2),AVEDEV(ARRAYFORMULA(XLOOKUP(FILTER(INDIRECT(""'""&amp;DP$1&amp;""'!$C$4:$C$66""),INDIRECT(""'""&amp;DP$1&amp;""'!$D$4:$D$66"")=DP$2),$G$4:$BQ$4,$G191:$BQ191))),"""")"),"")</f>
        <v/>
      </c>
      <c r="DR191" s="208" t="str">
        <f t="shared" si="22"/>
        <v/>
      </c>
      <c r="DS191" s="210">
        <f>IFERROR(__xludf.DUMMYFUNCTION("AVERAGE(ARRAYFORMULA(XLOOKUP(FILTER(INDIRECT(""'""&amp;DS$1&amp;""'!$C$4:$C$66""),INDIRECT(""'""&amp;DS$1&amp;""'!$D$4:$D$66"")=DS$2),$G$4:$BQ$4,$G191:$BQ191)))"),0.2591469611111111)</f>
        <v>0.2591469611</v>
      </c>
      <c r="DT191" s="207" t="str">
        <f>IFERROR(__xludf.DUMMYFUNCTION("IF(OR(DS191&gt;$BS191+$BT191*$BT$2,DS191&lt;$BS191-$BT191*$BT$2),AVEDEV(ARRAYFORMULA(XLOOKUP(FILTER(INDIRECT(""'""&amp;DS$1&amp;""'!$C$4:$C$66""),INDIRECT(""'""&amp;DS$1&amp;""'!$D$4:$D$66"")=DS$2),$G$4:$BQ$4,$G191:$BQ191))),"""")"),"")</f>
        <v/>
      </c>
      <c r="DU191" s="208" t="str">
        <f t="shared" si="23"/>
        <v/>
      </c>
      <c r="DV191" s="210">
        <f>IFERROR(__xludf.DUMMYFUNCTION("AVERAGE(ARRAYFORMULA(XLOOKUP(FILTER(INDIRECT(""'""&amp;DV$1&amp;""'!$C$4:$C$66""),INDIRECT(""'""&amp;DV$1&amp;""'!$D$4:$D$66"")=DV$2),$G$4:$BQ$4,$G191:$BQ191)))"),0.20603394874999995)</f>
        <v>0.2060339488</v>
      </c>
      <c r="DW191" s="207" t="str">
        <f>IFERROR(__xludf.DUMMYFUNCTION("IF(OR(DV191&gt;$BS191+$BT191*$BT$2,DV191&lt;$BS191-$BT191*$BT$2),AVEDEV(ARRAYFORMULA(XLOOKUP(FILTER(INDIRECT(""'""&amp;DV$1&amp;""'!$C$4:$C$66""),INDIRECT(""'""&amp;DV$1&amp;""'!$D$4:$D$66"")=DV$2),$G$4:$BQ$4,$G191:$BQ191))),"""")"),"")</f>
        <v/>
      </c>
      <c r="DX191" s="208" t="str">
        <f t="shared" si="24"/>
        <v/>
      </c>
      <c r="DY191" s="210">
        <f>IFERROR(__xludf.DUMMYFUNCTION("AVERAGE(ARRAYFORMULA(XLOOKUP(FILTER(INDIRECT(""'""&amp;DY$1&amp;""'!$C$4:$C$66""),INDIRECT(""'""&amp;DY$1&amp;""'!$D$4:$D$66"")=DY$2),$G$4:$BQ$4,$G191:$BQ191)))"),0.73377805)</f>
        <v>0.73377805</v>
      </c>
      <c r="DZ191" s="207" t="str">
        <f>IFERROR(__xludf.DUMMYFUNCTION("IF(OR(DY191&gt;$BS191+$BT191*$BT$2,DY191&lt;$BS191-$BT191*$BT$2),AVEDEV(ARRAYFORMULA(XLOOKUP(FILTER(INDIRECT(""'""&amp;DY$1&amp;""'!$C$4:$C$66""),INDIRECT(""'""&amp;DY$1&amp;""'!$D$4:$D$66"")=DY$2),$G$4:$BQ$4,$G191:$BQ191))),"""")"),"")</f>
        <v/>
      </c>
      <c r="EA191" s="208" t="str">
        <f t="shared" si="25"/>
        <v/>
      </c>
      <c r="EB191" s="191"/>
    </row>
    <row r="192" outlineLevel="1">
      <c r="A192" s="2"/>
      <c r="B192" s="204">
        <v>188.0</v>
      </c>
      <c r="C192" s="204" t="s">
        <v>630</v>
      </c>
      <c r="D192" s="204" t="s">
        <v>636</v>
      </c>
      <c r="E192" s="205" t="b">
        <f>VLOOKUP(D192,'Feature Set List'!A188:C246,2,0)</f>
        <v>1</v>
      </c>
      <c r="F192" s="205" t="b">
        <f>VLOOKUP(D192,'Feature Set List'!A188:C246,3,0)</f>
        <v>1</v>
      </c>
      <c r="G192" s="205">
        <v>-0.244012</v>
      </c>
      <c r="H192" s="205">
        <v>0.10751463</v>
      </c>
      <c r="I192" s="205">
        <v>-0.244012</v>
      </c>
      <c r="J192" s="205">
        <v>0.72039234</v>
      </c>
      <c r="K192" s="205">
        <v>-0.244012</v>
      </c>
      <c r="L192" s="205">
        <v>0.98965354</v>
      </c>
      <c r="M192" s="205">
        <v>-0.244012</v>
      </c>
      <c r="N192" s="205">
        <v>0.55016611</v>
      </c>
      <c r="O192" s="205">
        <v>0.36696725</v>
      </c>
      <c r="P192" s="205">
        <v>1.0772979</v>
      </c>
      <c r="Q192" s="205">
        <v>-0.244012</v>
      </c>
      <c r="R192" s="205">
        <v>-0.244012</v>
      </c>
      <c r="S192" s="205">
        <v>-0.2391457</v>
      </c>
      <c r="T192" s="205">
        <v>0.42771713</v>
      </c>
      <c r="U192" s="205">
        <v>-0.244012</v>
      </c>
      <c r="V192" s="205">
        <v>1.67340611</v>
      </c>
      <c r="W192" s="205">
        <v>0.0</v>
      </c>
      <c r="X192" s="205">
        <v>-0.1335232</v>
      </c>
      <c r="Y192" s="205">
        <v>-0.0873912</v>
      </c>
      <c r="Z192" s="205">
        <v>-0.244012</v>
      </c>
      <c r="AA192" s="205">
        <v>-0.244012</v>
      </c>
      <c r="AB192" s="205">
        <v>1.8923588</v>
      </c>
      <c r="AC192" s="205">
        <v>-0.0632811</v>
      </c>
      <c r="AD192" s="205">
        <v>0.05980066</v>
      </c>
      <c r="AE192" s="205">
        <v>-0.244012</v>
      </c>
      <c r="AF192" s="205">
        <v>0.81468122</v>
      </c>
      <c r="AG192" s="205">
        <v>-0.244012</v>
      </c>
      <c r="AH192" s="205">
        <v>0.1223857</v>
      </c>
      <c r="AI192" s="205">
        <v>0.74317355</v>
      </c>
      <c r="AJ192" s="205">
        <v>-0.244012</v>
      </c>
      <c r="AK192" s="205">
        <v>1.5383009</v>
      </c>
      <c r="AL192" s="205">
        <v>0.31824078</v>
      </c>
      <c r="AM192" s="205">
        <v>-0.1309287</v>
      </c>
      <c r="AN192" s="205">
        <v>0.69381427</v>
      </c>
      <c r="AO192" s="205">
        <v>2.01512419</v>
      </c>
      <c r="AP192" s="205">
        <v>1.42534409</v>
      </c>
      <c r="AQ192" s="205">
        <v>0.33152982</v>
      </c>
      <c r="AR192" s="205">
        <v>0.90580604</v>
      </c>
      <c r="AS192" s="205">
        <v>0.99218478</v>
      </c>
      <c r="AT192" s="205">
        <v>-0.144281</v>
      </c>
      <c r="AU192" s="205">
        <v>-0.244012</v>
      </c>
      <c r="AV192" s="205">
        <v>0.04856826</v>
      </c>
      <c r="AW192" s="205">
        <v>1.39022307</v>
      </c>
      <c r="AX192" s="205">
        <v>0.38721721</v>
      </c>
      <c r="AY192" s="205">
        <v>-0.244012</v>
      </c>
      <c r="AZ192" s="205">
        <v>0.25306122</v>
      </c>
      <c r="BA192" s="205">
        <v>0.78398988</v>
      </c>
      <c r="BB192" s="205">
        <v>-0.244012</v>
      </c>
      <c r="BC192" s="205">
        <v>0.48561936</v>
      </c>
      <c r="BD192" s="205">
        <v>-0.2428125</v>
      </c>
      <c r="BE192" s="205">
        <v>-0.244012</v>
      </c>
      <c r="BF192" s="205">
        <v>-0.1425091</v>
      </c>
      <c r="BG192" s="205">
        <v>-0.244012</v>
      </c>
      <c r="BH192" s="205">
        <v>-0.244012</v>
      </c>
      <c r="BI192" s="205">
        <v>1.36206296</v>
      </c>
      <c r="BJ192" s="205">
        <v>0.93048568</v>
      </c>
      <c r="BK192" s="205">
        <v>0.92194273</v>
      </c>
      <c r="BL192" s="205">
        <v>-0.244012</v>
      </c>
      <c r="BM192" s="205">
        <v>-0.244012</v>
      </c>
      <c r="BN192" s="205">
        <v>-0.244012</v>
      </c>
      <c r="BO192" s="205">
        <v>-0.1221009</v>
      </c>
      <c r="BP192" s="205">
        <v>0.7688024</v>
      </c>
      <c r="BQ192" s="205">
        <v>-0.244012</v>
      </c>
      <c r="BR192" s="206"/>
      <c r="BS192" s="207">
        <f t="shared" si="6"/>
        <v>0.2924380187</v>
      </c>
      <c r="BT192" s="207">
        <f t="shared" si="7"/>
        <v>0.5366067817</v>
      </c>
      <c r="BU192" s="206"/>
      <c r="BV192" s="207">
        <f>IFERROR(__xludf.DUMMYFUNCTION("AVERAGE(ARRAYFORMULA(XLOOKUP(FILTER(INDIRECT(""'""&amp;BV$1&amp;""'!$C$4:$C$66""),INDIRECT(""'""&amp;BV$1&amp;""'!$D$4:$D$66"")=BV$2),$G$4:$BQ$4,$G192:$BQ192)))"),0.09450585571428562)</f>
        <v>0.09450585571</v>
      </c>
      <c r="BW192" s="207" t="str">
        <f>IFERROR(__xludf.DUMMYFUNCTION("IF(OR(BV192&gt;$BS192+$BT192*$BT$2,BV192&lt;$BS192-$BT192*$BT$2),AVEDEV(ARRAYFORMULA(XLOOKUP(FILTER(INDIRECT(""'""&amp;BV$1&amp;""'!$C$4:$C$66""),INDIRECT(""'""&amp;BV$1&amp;""'!$D$4:$D$66"")=BV$2),$G$4:$BQ$4,$G192:$BQ192))),"""")"),"")</f>
        <v/>
      </c>
      <c r="BX192" s="208" t="str">
        <f t="shared" si="8"/>
        <v/>
      </c>
      <c r="BY192" s="207">
        <f>IFERROR(__xludf.DUMMYFUNCTION("AVERAGE(ARRAYFORMULA(XLOOKUP(FILTER(INDIRECT(""'""&amp;BY$1&amp;""'!$C$4:$C$66""),INDIRECT(""'""&amp;BY$1&amp;""'!$D$4:$D$66"")=BY$2),$G$4:$BQ$4,$G192:$BQ192)))"),0.35633135714285735)</f>
        <v>0.3563313571</v>
      </c>
      <c r="BZ192" s="207" t="str">
        <f>IFERROR(__xludf.DUMMYFUNCTION("IF(OR(BY192&gt;$BS192+$BT192*$BT$2,BY192&lt;$BS192-$BT192*$BT$2),AVEDEV(ARRAYFORMULA(XLOOKUP(FILTER(INDIRECT(""'""&amp;BY$1&amp;""'!$C$4:$C$66""),INDIRECT(""'""&amp;BY$1&amp;""'!$D$4:$D$66"")=BY$2),$G$4:$BQ$4,$G192:$BQ192))),"""")"),"")</f>
        <v/>
      </c>
      <c r="CA192" s="208" t="str">
        <f t="shared" si="9"/>
        <v/>
      </c>
      <c r="CB192" s="207">
        <f>IFERROR(__xludf.DUMMYFUNCTION("AVERAGE(ARRAYFORMULA(XLOOKUP(FILTER(INDIRECT(""'""&amp;CB$1&amp;""'!$C$4:$C$66""),INDIRECT(""'""&amp;CB$1&amp;""'!$D$4:$D$66"")=CB$2),$G$4:$BQ$4,$G192:$BQ192)))"),0.3206339718181818)</f>
        <v>0.3206339718</v>
      </c>
      <c r="CC192" s="207" t="str">
        <f>IFERROR(__xludf.DUMMYFUNCTION("IF(OR(CB192&gt;$BS192+$BT192*$BT$2,CB192&lt;$BS192-$BT192*$BT$2),AVEDEV(ARRAYFORMULA(XLOOKUP(FILTER(INDIRECT(""'""&amp;CB$1&amp;""'!$C$4:$C$66""),INDIRECT(""'""&amp;CB$1&amp;""'!$D$4:$D$66"")=CB$2),$G$4:$BQ$4,$G192:$BQ192))),"""")"),"")</f>
        <v/>
      </c>
      <c r="CD192" s="208" t="str">
        <f t="shared" si="10"/>
        <v/>
      </c>
      <c r="CE192" s="209" t="s">
        <v>444</v>
      </c>
      <c r="CF192" s="207">
        <f>IFERROR(__xludf.DUMMYFUNCTION("AVERAGE(ARRAYFORMULA(XLOOKUP(FILTER(INDIRECT(""'""&amp;CF$1&amp;""'!$C$4:$C$66""),INDIRECT(""'""&amp;CF$1&amp;""'!$D$4:$D$66"")=CF$2),$G$4:$BQ$4,$G192:$BQ192)))"),0.4358250325000001)</f>
        <v>0.4358250325</v>
      </c>
      <c r="CG192" s="207" t="str">
        <f>IFERROR(__xludf.DUMMYFUNCTION("IF(OR(CF192&gt;$BS192+$BT192*$BT$2,CF192&lt;$BS192-$BT192*$BT$2),AVEDEV(ARRAYFORMULA(XLOOKUP(FILTER(INDIRECT(""'""&amp;CF$1&amp;""'!$C$4:$C$66""),INDIRECT(""'""&amp;CF$1&amp;""'!$D$4:$D$66"")=CF$2),$G$4:$BQ$4,$G192:$BQ192))),"""")"),"")</f>
        <v/>
      </c>
      <c r="CH192" s="208" t="str">
        <f t="shared" si="11"/>
        <v/>
      </c>
      <c r="CI192" s="207">
        <f>IFERROR(__xludf.DUMMYFUNCTION("AVERAGE(ARRAYFORMULA(XLOOKUP(FILTER(INDIRECT(""'""&amp;CI$1&amp;""'!$C$4:$C$66""),INDIRECT(""'""&amp;CI$1&amp;""'!$D$4:$D$66"")=CI$2),$G$4:$BQ$4,$G192:$BQ192)))"),0.22011503645161296)</f>
        <v>0.2201150365</v>
      </c>
      <c r="CJ192" s="207" t="str">
        <f>IFERROR(__xludf.DUMMYFUNCTION("IF(OR(CI192&gt;$BS192+$BT192*$BT$2,CI192&lt;$BS192-$BT192*$BT$2),AVEDEV(ARRAYFORMULA(XLOOKUP(FILTER(INDIRECT(""'""&amp;CI$1&amp;""'!$C$4:$C$66""),INDIRECT(""'""&amp;CI$1&amp;""'!$D$4:$D$66"")=CI$2),$G$4:$BQ$4,$G192:$BQ192))),"""")"),"")</f>
        <v/>
      </c>
      <c r="CK192" s="208" t="str">
        <f t="shared" si="12"/>
        <v/>
      </c>
      <c r="CL192" s="207">
        <f>IFERROR(__xludf.DUMMYFUNCTION("AVERAGE(ARRAYFORMULA(XLOOKUP(FILTER(INDIRECT(""'""&amp;CL$1&amp;""'!$C$4:$C$66""),INDIRECT(""'""&amp;CL$1&amp;""'!$D$4:$D$66"")=CL$2),$G$4:$BQ$4,$G192:$BQ192)))"),0.607435538)</f>
        <v>0.607435538</v>
      </c>
      <c r="CM192" s="207" t="str">
        <f>IFERROR(__xludf.DUMMYFUNCTION("IF(OR(CL192&gt;$BS192+$BT192*$BT$2,CL192&lt;$BS192-$BT192*$BT$2),AVEDEV(ARRAYFORMULA(XLOOKUP(FILTER(INDIRECT(""'""&amp;CL$1&amp;""'!$C$4:$C$66""),INDIRECT(""'""&amp;CL$1&amp;""'!$D$4:$D$66"")=CL$2),$G$4:$BQ$4,$G192:$BQ192))),"""")"),"")</f>
        <v/>
      </c>
      <c r="CN192" s="208" t="str">
        <f t="shared" si="13"/>
        <v/>
      </c>
      <c r="CO192" s="209" t="s">
        <v>444</v>
      </c>
      <c r="CP192" s="210">
        <f>IFERROR(__xludf.DUMMYFUNCTION("AVERAGE(ARRAYFORMULA(XLOOKUP(FILTER(INDIRECT(""'""&amp;CP$1&amp;""'!$C$4:$C$66""),INDIRECT(""'""&amp;CP$1&amp;""'!$D$4:$D$66"")=CP$2),$G$4:$BQ$4,$G192:$BQ192)))"),0.020416614)</f>
        <v>0.020416614</v>
      </c>
      <c r="CQ192" s="207" t="str">
        <f>IFERROR(__xludf.DUMMYFUNCTION("IF(OR(CP192&gt;$BS192+$BT192*$BT$2,CP192&lt;$BS192-$BT192*$BT$2),AVEDEV(ARRAYFORMULA(XLOOKUP(FILTER(INDIRECT(""'""&amp;CP$1&amp;""'!$C$4:$C$66""),INDIRECT(""'""&amp;CP$1&amp;""'!$D$4:$D$66"")=CP$2),$G$4:$BQ$4,$G192:$BQ192))),"""")"),"")</f>
        <v/>
      </c>
      <c r="CR192" s="208" t="str">
        <f t="shared" si="14"/>
        <v/>
      </c>
      <c r="CS192" s="210">
        <f>IFERROR(__xludf.DUMMYFUNCTION("AVERAGE(ARRAYFORMULA(XLOOKUP(FILTER(INDIRECT(""'""&amp;CS$1&amp;""'!$C$4:$C$66""),INDIRECT(""'""&amp;CS$1&amp;""'!$D$4:$D$66"")=CS$2),$G$4:$BQ$4,$G192:$BQ192)))"),0.411667096923077)</f>
        <v>0.4116670969</v>
      </c>
      <c r="CT192" s="207" t="str">
        <f>IFERROR(__xludf.DUMMYFUNCTION("IF(OR(CS192&gt;$BS192+$BT192*$BT$2,CS192&lt;$BS192-$BT192*$BT$2),AVEDEV(ARRAYFORMULA(XLOOKUP(FILTER(INDIRECT(""'""&amp;CS$1&amp;""'!$C$4:$C$66""),INDIRECT(""'""&amp;CS$1&amp;""'!$D$4:$D$66"")=CS$2),$G$4:$BQ$4,$G192:$BQ192))),"""")"),"")</f>
        <v/>
      </c>
      <c r="CU192" s="208" t="str">
        <f t="shared" si="15"/>
        <v/>
      </c>
      <c r="CV192" s="210">
        <f>IFERROR(__xludf.DUMMYFUNCTION("AVERAGE(ARRAYFORMULA(XLOOKUP(FILTER(INDIRECT(""'""&amp;CV$1&amp;""'!$C$4:$C$66""),INDIRECT(""'""&amp;CV$1&amp;""'!$D$4:$D$66"")=CV$2),$G$4:$BQ$4,$G192:$BQ192)))"),0.607435538)</f>
        <v>0.607435538</v>
      </c>
      <c r="CW192" s="207" t="str">
        <f>IFERROR(__xludf.DUMMYFUNCTION("IF(OR(CV192&gt;$BS192+$BT192*$BT$2,CV192&lt;$BS192-$BT192*$BT$2),AVEDEV(ARRAYFORMULA(XLOOKUP(FILTER(INDIRECT(""'""&amp;CV$1&amp;""'!$C$4:$C$66""),INDIRECT(""'""&amp;CV$1&amp;""'!$D$4:$D$66"")=CV$2),$G$4:$BQ$4,$G192:$BQ192))),"""")"),"")</f>
        <v/>
      </c>
      <c r="CX192" s="208" t="str">
        <f t="shared" si="16"/>
        <v/>
      </c>
      <c r="CY192" s="209" t="s">
        <v>444</v>
      </c>
      <c r="CZ192" s="210">
        <f>IFERROR(__xludf.DUMMYFUNCTION("AVERAGE(ARRAYFORMULA(XLOOKUP(FILTER(INDIRECT(""'""&amp;CZ$1&amp;""'!$C$4:$C$66""),INDIRECT(""'""&amp;CZ$1&amp;""'!$D$4:$D$66"")=CZ$2),$G$4:$BQ$4,$G192:$BQ192)))"),0.6492643592857145)</f>
        <v>0.6492643593</v>
      </c>
      <c r="DA192" s="207" t="str">
        <f>IFERROR(__xludf.DUMMYFUNCTION("IF(OR(CZ192&gt;$BS192+$BT192*$BT$2,CZ192&lt;$BS192-$BT192*$BT$2),AVEDEV(ARRAYFORMULA(XLOOKUP(FILTER(INDIRECT(""'""&amp;CZ$1&amp;""'!$C$4:$C$66""),INDIRECT(""'""&amp;CZ$1&amp;""'!$D$4:$D$66"")=CZ$2),$G$4:$BQ$4,$G192:$BQ192))),"""")"),"")</f>
        <v/>
      </c>
      <c r="DB192" s="208" t="str">
        <f t="shared" si="17"/>
        <v/>
      </c>
      <c r="DC192" s="210">
        <f>IFERROR(__xludf.DUMMYFUNCTION("AVERAGE(ARRAYFORMULA(XLOOKUP(FILTER(INDIRECT(""'""&amp;DC$1&amp;""'!$C$4:$C$66""),INDIRECT(""'""&amp;DC$1&amp;""'!$D$4:$D$66"")=DC$2),$G$4:$BQ$4,$G192:$BQ192)))"),0.39088049666666663)</f>
        <v>0.3908804967</v>
      </c>
      <c r="DD192" s="207" t="str">
        <f>IFERROR(__xludf.DUMMYFUNCTION("IF(OR(DC192&gt;$BS192+$BT192*$BT$2,DC192&lt;$BS192-$BT192*$BT$2),AVEDEV(ARRAYFORMULA(XLOOKUP(FILTER(INDIRECT(""'""&amp;DC$1&amp;""'!$C$4:$C$66""),INDIRECT(""'""&amp;DC$1&amp;""'!$D$4:$D$66"")=DC$2),$G$4:$BQ$4,$G192:$BQ192))),"""")"),"")</f>
        <v/>
      </c>
      <c r="DE192" s="208" t="str">
        <f t="shared" si="18"/>
        <v/>
      </c>
      <c r="DF192" s="210">
        <f>IFERROR(__xludf.DUMMYFUNCTION("AVERAGE(ARRAYFORMULA(XLOOKUP(FILTER(INDIRECT(""'""&amp;DF$1&amp;""'!$C$4:$C$66""),INDIRECT(""'""&amp;DF$1&amp;""'!$D$4:$D$66"")=DF$2),$G$4:$BQ$4,$G192:$BQ192)))"),0.10260114363636363)</f>
        <v>0.1026011436</v>
      </c>
      <c r="DG192" s="207" t="str">
        <f>IFERROR(__xludf.DUMMYFUNCTION("IF(OR(DF192&gt;$BS192+$BT192*$BT$2,DF192&lt;$BS192-$BT192*$BT$2),AVEDEV(ARRAYFORMULA(XLOOKUP(FILTER(INDIRECT(""'""&amp;DF$1&amp;""'!$C$4:$C$66""),INDIRECT(""'""&amp;DF$1&amp;""'!$D$4:$D$66"")=DF$2),$G$4:$BQ$4,$G192:$BQ192))),"""")"),"")</f>
        <v/>
      </c>
      <c r="DH192" s="208" t="str">
        <f t="shared" si="19"/>
        <v/>
      </c>
      <c r="DI192" s="210">
        <f>IFERROR(__xludf.DUMMYFUNCTION("AVERAGE(ARRAYFORMULA(XLOOKUP(FILTER(INDIRECT(""'""&amp;DI$1&amp;""'!$C$4:$C$66""),INDIRECT(""'""&amp;DI$1&amp;""'!$D$4:$D$66"")=DI$2),$G$4:$BQ$4,$G192:$BQ192)))"),-0.09210567)</f>
        <v>-0.09210567</v>
      </c>
      <c r="DJ192" s="207" t="str">
        <f>IFERROR(__xludf.DUMMYFUNCTION("IF(OR(DI192&gt;$BS192+$BT192*$BT$2,DI192&lt;$BS192-$BT192*$BT$2),AVEDEV(ARRAYFORMULA(XLOOKUP(FILTER(INDIRECT(""'""&amp;DI$1&amp;""'!$C$4:$C$66""),INDIRECT(""'""&amp;DI$1&amp;""'!$D$4:$D$66"")=DI$2),$G$4:$BQ$4,$G192:$BQ192))),"""")"),"")</f>
        <v/>
      </c>
      <c r="DK192" s="208" t="str">
        <f t="shared" si="20"/>
        <v/>
      </c>
      <c r="DL192" s="210">
        <f>IFERROR(__xludf.DUMMYFUNCTION("AVERAGE(ARRAYFORMULA(XLOOKUP(FILTER(INDIRECT(""'""&amp;DL$1&amp;""'!$C$4:$C$66""),INDIRECT(""'""&amp;DL$1&amp;""'!$D$4:$D$66"")=DL$2),$G$4:$BQ$4,$G192:$BQ192)))"),0.3169073692857142)</f>
        <v>0.3169073693</v>
      </c>
      <c r="DM192" s="207" t="str">
        <f>IFERROR(__xludf.DUMMYFUNCTION("IF(OR(DL192&gt;$BS192+$BT192*$BT$2,DL192&lt;$BS192-$BT192*$BT$2),AVEDEV(ARRAYFORMULA(XLOOKUP(FILTER(INDIRECT(""'""&amp;DL$1&amp;""'!$C$4:$C$66""),INDIRECT(""'""&amp;DL$1&amp;""'!$D$4:$D$66"")=DL$2),$G$4:$BQ$4,$G192:$BQ192))),"""")"),"")</f>
        <v/>
      </c>
      <c r="DN192" s="208" t="str">
        <f t="shared" si="21"/>
        <v/>
      </c>
      <c r="DO192" s="209" t="s">
        <v>444</v>
      </c>
      <c r="DP192" s="210">
        <f>IFERROR(__xludf.DUMMYFUNCTION("AVERAGE(ARRAYFORMULA(XLOOKUP(FILTER(INDIRECT(""'""&amp;DP$1&amp;""'!$C$4:$C$66""),INDIRECT(""'""&amp;DP$1&amp;""'!$D$4:$D$66"")=DP$2),$G$4:$BQ$4,$G192:$BQ192)))"),0.4142192746666669)</f>
        <v>0.4142192747</v>
      </c>
      <c r="DQ192" s="207" t="str">
        <f>IFERROR(__xludf.DUMMYFUNCTION("IF(OR(DP192&gt;$BS192+$BT192*$BT$2,DP192&lt;$BS192-$BT192*$BT$2),AVEDEV(ARRAYFORMULA(XLOOKUP(FILTER(INDIRECT(""'""&amp;DP$1&amp;""'!$C$4:$C$66""),INDIRECT(""'""&amp;DP$1&amp;""'!$D$4:$D$66"")=DP$2),$G$4:$BQ$4,$G192:$BQ192))),"""")"),"")</f>
        <v/>
      </c>
      <c r="DR192" s="208" t="str">
        <f t="shared" si="22"/>
        <v/>
      </c>
      <c r="DS192" s="210">
        <f>IFERROR(__xludf.DUMMYFUNCTION("AVERAGE(ARRAYFORMULA(XLOOKUP(FILTER(INDIRECT(""'""&amp;DS$1&amp;""'!$C$4:$C$66""),INDIRECT(""'""&amp;DS$1&amp;""'!$D$4:$D$66"")=DS$2),$G$4:$BQ$4,$G192:$BQ192)))"),0.28835452333333333)</f>
        <v>0.2883545233</v>
      </c>
      <c r="DT192" s="207" t="str">
        <f>IFERROR(__xludf.DUMMYFUNCTION("IF(OR(DS192&gt;$BS192+$BT192*$BT$2,DS192&lt;$BS192-$BT192*$BT$2),AVEDEV(ARRAYFORMULA(XLOOKUP(FILTER(INDIRECT(""'""&amp;DS$1&amp;""'!$C$4:$C$66""),INDIRECT(""'""&amp;DS$1&amp;""'!$D$4:$D$66"")=DS$2),$G$4:$BQ$4,$G192:$BQ192))),"""")"),"")</f>
        <v/>
      </c>
      <c r="DU192" s="208" t="str">
        <f t="shared" si="23"/>
        <v/>
      </c>
      <c r="DV192" s="210">
        <f>IFERROR(__xludf.DUMMYFUNCTION("AVERAGE(ARRAYFORMULA(XLOOKUP(FILTER(INDIRECT(""'""&amp;DV$1&amp;""'!$C$4:$C$66""),INDIRECT(""'""&amp;DV$1&amp;""'!$D$4:$D$66"")=DV$2),$G$4:$BQ$4,$G192:$BQ192)))"),-0.10489715375)</f>
        <v>-0.1048971538</v>
      </c>
      <c r="DW192" s="207" t="str">
        <f>IFERROR(__xludf.DUMMYFUNCTION("IF(OR(DV192&gt;$BS192+$BT192*$BT$2,DV192&lt;$BS192-$BT192*$BT$2),AVEDEV(ARRAYFORMULA(XLOOKUP(FILTER(INDIRECT(""'""&amp;DV$1&amp;""'!$C$4:$C$66""),INDIRECT(""'""&amp;DV$1&amp;""'!$D$4:$D$66"")=DV$2),$G$4:$BQ$4,$G192:$BQ192))),"""")"),"")</f>
        <v/>
      </c>
      <c r="DX192" s="208" t="str">
        <f t="shared" si="24"/>
        <v/>
      </c>
      <c r="DY192" s="210">
        <f>IFERROR(__xludf.DUMMYFUNCTION("AVERAGE(ARRAYFORMULA(XLOOKUP(FILTER(INDIRECT(""'""&amp;DY$1&amp;""'!$C$4:$C$66""),INDIRECT(""'""&amp;DY$1&amp;""'!$D$4:$D$66"")=DY$2),$G$4:$BQ$4,$G192:$BQ192)))"),0.2698272144444444)</f>
        <v>0.2698272144</v>
      </c>
      <c r="DZ192" s="207" t="str">
        <f>IFERROR(__xludf.DUMMYFUNCTION("IF(OR(DY192&gt;$BS192+$BT192*$BT$2,DY192&lt;$BS192-$BT192*$BT$2),AVEDEV(ARRAYFORMULA(XLOOKUP(FILTER(INDIRECT(""'""&amp;DY$1&amp;""'!$C$4:$C$66""),INDIRECT(""'""&amp;DY$1&amp;""'!$D$4:$D$66"")=DY$2),$G$4:$BQ$4,$G192:$BQ192))),"""")"),"")</f>
        <v/>
      </c>
      <c r="EA192" s="208" t="str">
        <f t="shared" si="25"/>
        <v/>
      </c>
      <c r="EB192" s="191"/>
    </row>
    <row r="193" outlineLevel="1">
      <c r="A193" s="2"/>
      <c r="B193" s="204">
        <v>189.0</v>
      </c>
      <c r="C193" s="204" t="s">
        <v>630</v>
      </c>
      <c r="D193" s="204" t="s">
        <v>637</v>
      </c>
      <c r="E193" s="205" t="b">
        <f>VLOOKUP(D193,'Feature Set List'!A189:C246,2,0)</f>
        <v>1</v>
      </c>
      <c r="F193" s="205" t="b">
        <f>VLOOKUP(D193,'Feature Set List'!A189:C246,3,0)</f>
        <v>1</v>
      </c>
      <c r="G193" s="205">
        <v>0.0</v>
      </c>
      <c r="H193" s="205">
        <v>0.0</v>
      </c>
      <c r="I193" s="205">
        <v>0.0</v>
      </c>
      <c r="J193" s="205">
        <v>0.0</v>
      </c>
      <c r="K193" s="205">
        <v>0.2079</v>
      </c>
      <c r="L193" s="205">
        <v>0.0</v>
      </c>
      <c r="M193" s="205">
        <v>0.5403</v>
      </c>
      <c r="N193" s="205">
        <v>0.0</v>
      </c>
      <c r="O193" s="205">
        <v>0.4409</v>
      </c>
      <c r="P193" s="205">
        <v>0.0</v>
      </c>
      <c r="Q193" s="205">
        <v>0.0</v>
      </c>
      <c r="R193" s="205">
        <v>0.0</v>
      </c>
      <c r="S193" s="205">
        <v>0.2777</v>
      </c>
      <c r="T193" s="205">
        <v>0.0</v>
      </c>
      <c r="U193" s="205">
        <v>0.0</v>
      </c>
      <c r="V193" s="205">
        <v>0.0</v>
      </c>
      <c r="W193" s="205">
        <v>0.0</v>
      </c>
      <c r="X193" s="205">
        <v>0.1048</v>
      </c>
      <c r="Y193" s="205">
        <v>0.0</v>
      </c>
      <c r="Z193" s="205">
        <v>0.0</v>
      </c>
      <c r="AA193" s="205">
        <v>0.0</v>
      </c>
      <c r="AB193" s="205">
        <v>0.0</v>
      </c>
      <c r="AC193" s="205">
        <v>0.0</v>
      </c>
      <c r="AD193" s="205">
        <v>0.0</v>
      </c>
      <c r="AE193" s="205">
        <v>0.3128</v>
      </c>
      <c r="AF193" s="205">
        <v>0.0</v>
      </c>
      <c r="AG193" s="205">
        <v>0.0</v>
      </c>
      <c r="AH193" s="205">
        <v>0.0</v>
      </c>
      <c r="AI193" s="205">
        <v>0.0</v>
      </c>
      <c r="AJ193" s="205">
        <v>0.0</v>
      </c>
      <c r="AK193" s="205">
        <v>0.0218</v>
      </c>
      <c r="AL193" s="205">
        <v>0.0</v>
      </c>
      <c r="AM193" s="205">
        <v>0.0</v>
      </c>
      <c r="AN193" s="205">
        <v>0.0</v>
      </c>
      <c r="AO193" s="205">
        <v>0.0</v>
      </c>
      <c r="AP193" s="205">
        <v>0.0</v>
      </c>
      <c r="AQ193" s="205">
        <v>0.0</v>
      </c>
      <c r="AR193" s="205">
        <v>0.0</v>
      </c>
      <c r="AS193" s="205">
        <v>0.0</v>
      </c>
      <c r="AT193" s="205">
        <v>0.0</v>
      </c>
      <c r="AU193" s="205">
        <v>0.0</v>
      </c>
      <c r="AV193" s="205">
        <v>0.0</v>
      </c>
      <c r="AW193" s="205">
        <v>0.0</v>
      </c>
      <c r="AX193" s="205">
        <v>0.1169</v>
      </c>
      <c r="AY193" s="205">
        <v>0.0</v>
      </c>
      <c r="AZ193" s="205">
        <v>0.0</v>
      </c>
      <c r="BA193" s="205">
        <v>0.0</v>
      </c>
      <c r="BB193" s="205">
        <v>0.0</v>
      </c>
      <c r="BC193" s="205">
        <v>0.02013</v>
      </c>
      <c r="BD193" s="205">
        <v>0.0</v>
      </c>
      <c r="BE193" s="205">
        <v>0.0</v>
      </c>
      <c r="BF193" s="205">
        <v>0.003412</v>
      </c>
      <c r="BG193" s="205">
        <v>0.0</v>
      </c>
      <c r="BH193" s="205">
        <v>0.02669</v>
      </c>
      <c r="BI193" s="205">
        <v>0.03929</v>
      </c>
      <c r="BJ193" s="205">
        <v>0.0949</v>
      </c>
      <c r="BK193" s="205">
        <v>0.02306</v>
      </c>
      <c r="BL193" s="205">
        <v>0.0</v>
      </c>
      <c r="BM193" s="205">
        <v>0.0</v>
      </c>
      <c r="BN193" s="205">
        <v>0.0</v>
      </c>
      <c r="BO193" s="205">
        <v>0.0</v>
      </c>
      <c r="BP193" s="205">
        <v>0.0</v>
      </c>
      <c r="BQ193" s="205">
        <v>0.6808</v>
      </c>
      <c r="BR193" s="206"/>
      <c r="BS193" s="207">
        <f t="shared" si="6"/>
        <v>0.0462124127</v>
      </c>
      <c r="BT193" s="207">
        <f t="shared" si="7"/>
        <v>0.07495518367</v>
      </c>
      <c r="BU193" s="206"/>
      <c r="BV193" s="207">
        <f>IFERROR(__xludf.DUMMYFUNCTION("AVERAGE(ARRAYFORMULA(XLOOKUP(FILTER(INDIRECT(""'""&amp;BV$1&amp;""'!$C$4:$C$66""),INDIRECT(""'""&amp;BV$1&amp;""'!$D$4:$D$66"")=BV$2),$G$4:$BQ$4,$G193:$BQ193)))"),0.014971428571428571)</f>
        <v>0.01497142857</v>
      </c>
      <c r="BW193" s="207" t="str">
        <f>IFERROR(__xludf.DUMMYFUNCTION("IF(OR(BV193&gt;$BS193+$BT193*$BT$2,BV193&lt;$BS193-$BT193*$BT$2),AVEDEV(ARRAYFORMULA(XLOOKUP(FILTER(INDIRECT(""'""&amp;BV$1&amp;""'!$C$4:$C$66""),INDIRECT(""'""&amp;BV$1&amp;""'!$D$4:$D$66"")=BV$2),$G$4:$BQ$4,$G193:$BQ193))),"""")"),"")</f>
        <v/>
      </c>
      <c r="BX193" s="208" t="str">
        <f t="shared" si="8"/>
        <v/>
      </c>
      <c r="BY193" s="207">
        <f>IFERROR(__xludf.DUMMYFUNCTION("AVERAGE(ARRAYFORMULA(XLOOKUP(FILTER(INDIRECT(""'""&amp;BY$1&amp;""'!$C$4:$C$66""),INDIRECT(""'""&amp;BY$1&amp;""'!$D$4:$D$66"")=BY$2),$G$4:$BQ$4,$G193:$BQ193)))"),0.05395909523809524)</f>
        <v>0.05395909524</v>
      </c>
      <c r="BZ193" s="207" t="str">
        <f>IFERROR(__xludf.DUMMYFUNCTION("IF(OR(BY193&gt;$BS193+$BT193*$BT$2,BY193&lt;$BS193-$BT193*$BT$2),AVEDEV(ARRAYFORMULA(XLOOKUP(FILTER(INDIRECT(""'""&amp;BY$1&amp;""'!$C$4:$C$66""),INDIRECT(""'""&amp;BY$1&amp;""'!$D$4:$D$66"")=BY$2),$G$4:$BQ$4,$G193:$BQ193))),"""")"),"")</f>
        <v/>
      </c>
      <c r="CA193" s="208" t="str">
        <f t="shared" si="9"/>
        <v/>
      </c>
      <c r="CB193" s="207">
        <f>IFERROR(__xludf.DUMMYFUNCTION("AVERAGE(ARRAYFORMULA(XLOOKUP(FILTER(INDIRECT(""'""&amp;CB$1&amp;""'!$C$4:$C$66""),INDIRECT(""'""&amp;CB$1&amp;""'!$D$4:$D$66"")=CB$2),$G$4:$BQ$4,$G193:$BQ193)))"),0.04911818181818182)</f>
        <v>0.04911818182</v>
      </c>
      <c r="CC193" s="207" t="str">
        <f>IFERROR(__xludf.DUMMYFUNCTION("IF(OR(CB193&gt;$BS193+$BT193*$BT$2,CB193&lt;$BS193-$BT193*$BT$2),AVEDEV(ARRAYFORMULA(XLOOKUP(FILTER(INDIRECT(""'""&amp;CB$1&amp;""'!$C$4:$C$66""),INDIRECT(""'""&amp;CB$1&amp;""'!$D$4:$D$66"")=CB$2),$G$4:$BQ$4,$G193:$BQ193))),"""")"),"")</f>
        <v/>
      </c>
      <c r="CD193" s="208" t="str">
        <f t="shared" si="10"/>
        <v/>
      </c>
      <c r="CE193" s="209" t="s">
        <v>444</v>
      </c>
      <c r="CF193" s="207">
        <f>IFERROR(__xludf.DUMMYFUNCTION("AVERAGE(ARRAYFORMULA(XLOOKUP(FILTER(INDIRECT(""'""&amp;CF$1&amp;""'!$C$4:$C$66""),INDIRECT(""'""&amp;CF$1&amp;""'!$D$4:$D$66"")=CF$2),$G$4:$BQ$4,$G193:$BQ193)))"),0.0341195)</f>
        <v>0.0341195</v>
      </c>
      <c r="CG193" s="207" t="str">
        <f>IFERROR(__xludf.DUMMYFUNCTION("IF(OR(CF193&gt;$BS193+$BT193*$BT$2,CF193&lt;$BS193-$BT193*$BT$2),AVEDEV(ARRAYFORMULA(XLOOKUP(FILTER(INDIRECT(""'""&amp;CF$1&amp;""'!$C$4:$C$66""),INDIRECT(""'""&amp;CF$1&amp;""'!$D$4:$D$66"")=CF$2),$G$4:$BQ$4,$G193:$BQ193))),"""")"),"")</f>
        <v/>
      </c>
      <c r="CH193" s="208" t="str">
        <f t="shared" si="11"/>
        <v/>
      </c>
      <c r="CI193" s="207">
        <f>IFERROR(__xludf.DUMMYFUNCTION("AVERAGE(ARRAYFORMULA(XLOOKUP(FILTER(INDIRECT(""'""&amp;CI$1&amp;""'!$C$4:$C$66""),INDIRECT(""'""&amp;CI$1&amp;""'!$D$4:$D$66"")=CI$2),$G$4:$BQ$4,$G193:$BQ193)))"),0.06915387096774193)</f>
        <v>0.06915387097</v>
      </c>
      <c r="CJ193" s="207" t="str">
        <f>IFERROR(__xludf.DUMMYFUNCTION("IF(OR(CI193&gt;$BS193+$BT193*$BT$2,CI193&lt;$BS193-$BT193*$BT$2),AVEDEV(ARRAYFORMULA(XLOOKUP(FILTER(INDIRECT(""'""&amp;CI$1&amp;""'!$C$4:$C$66""),INDIRECT(""'""&amp;CI$1&amp;""'!$D$4:$D$66"")=CI$2),$G$4:$BQ$4,$G193:$BQ193))),"""")"),"")</f>
        <v/>
      </c>
      <c r="CK193" s="208" t="str">
        <f t="shared" si="12"/>
        <v/>
      </c>
      <c r="CL193" s="207">
        <f>IFERROR(__xludf.DUMMYFUNCTION("AVERAGE(ARRAYFORMULA(XLOOKUP(FILTER(INDIRECT(""'""&amp;CL$1&amp;""'!$C$4:$C$66""),INDIRECT(""'""&amp;CL$1&amp;""'!$D$4:$D$66"")=CL$2),$G$4:$BQ$4,$G193:$BQ193)))"),0.0)</f>
        <v>0</v>
      </c>
      <c r="CM193" s="207" t="str">
        <f>IFERROR(__xludf.DUMMYFUNCTION("IF(OR(CL193&gt;$BS193+$BT193*$BT$2,CL193&lt;$BS193-$BT193*$BT$2),AVEDEV(ARRAYFORMULA(XLOOKUP(FILTER(INDIRECT(""'""&amp;CL$1&amp;""'!$C$4:$C$66""),INDIRECT(""'""&amp;CL$1&amp;""'!$D$4:$D$66"")=CL$2),$G$4:$BQ$4,$G193:$BQ193))),"""")"),"")</f>
        <v/>
      </c>
      <c r="CN193" s="208" t="str">
        <f t="shared" si="13"/>
        <v/>
      </c>
      <c r="CO193" s="209" t="s">
        <v>444</v>
      </c>
      <c r="CP193" s="210">
        <f>IFERROR(__xludf.DUMMYFUNCTION("AVERAGE(ARRAYFORMULA(XLOOKUP(FILTER(INDIRECT(""'""&amp;CP$1&amp;""'!$C$4:$C$66""),INDIRECT(""'""&amp;CP$1&amp;""'!$D$4:$D$66"")=CP$2),$G$4:$BQ$4,$G193:$BQ193)))"),0.02784)</f>
        <v>0.02784</v>
      </c>
      <c r="CQ193" s="207" t="str">
        <f>IFERROR(__xludf.DUMMYFUNCTION("IF(OR(CP193&gt;$BS193+$BT193*$BT$2,CP193&lt;$BS193-$BT193*$BT$2),AVEDEV(ARRAYFORMULA(XLOOKUP(FILTER(INDIRECT(""'""&amp;CP$1&amp;""'!$C$4:$C$66""),INDIRECT(""'""&amp;CP$1&amp;""'!$D$4:$D$66"")=CP$2),$G$4:$BQ$4,$G193:$BQ193))),"""")"),"")</f>
        <v/>
      </c>
      <c r="CR193" s="208" t="str">
        <f t="shared" si="14"/>
        <v/>
      </c>
      <c r="CS193" s="210">
        <f>IFERROR(__xludf.DUMMYFUNCTION("AVERAGE(ARRAYFORMULA(XLOOKUP(FILTER(INDIRECT(""'""&amp;CS$1&amp;""'!$C$4:$C$66""),INDIRECT(""'""&amp;CS$1&amp;""'!$D$4:$D$66"")=CS$2),$G$4:$BQ$4,$G193:$BQ193)))"),0.06394312820512821)</f>
        <v>0.06394312821</v>
      </c>
      <c r="CT193" s="207" t="str">
        <f>IFERROR(__xludf.DUMMYFUNCTION("IF(OR(CS193&gt;$BS193+$BT193*$BT$2,CS193&lt;$BS193-$BT193*$BT$2),AVEDEV(ARRAYFORMULA(XLOOKUP(FILTER(INDIRECT(""'""&amp;CS$1&amp;""'!$C$4:$C$66""),INDIRECT(""'""&amp;CS$1&amp;""'!$D$4:$D$66"")=CS$2),$G$4:$BQ$4,$G193:$BQ193))),"""")"),"")</f>
        <v/>
      </c>
      <c r="CU193" s="208" t="str">
        <f t="shared" si="15"/>
        <v/>
      </c>
      <c r="CV193" s="210">
        <f>IFERROR(__xludf.DUMMYFUNCTION("AVERAGE(ARRAYFORMULA(XLOOKUP(FILTER(INDIRECT(""'""&amp;CV$1&amp;""'!$C$4:$C$66""),INDIRECT(""'""&amp;CV$1&amp;""'!$D$4:$D$66"")=CV$2),$G$4:$BQ$4,$G193:$BQ193)))"),0.0)</f>
        <v>0</v>
      </c>
      <c r="CW193" s="207" t="str">
        <f>IFERROR(__xludf.DUMMYFUNCTION("IF(OR(CV193&gt;$BS193+$BT193*$BT$2,CV193&lt;$BS193-$BT193*$BT$2),AVEDEV(ARRAYFORMULA(XLOOKUP(FILTER(INDIRECT(""'""&amp;CV$1&amp;""'!$C$4:$C$66""),INDIRECT(""'""&amp;CV$1&amp;""'!$D$4:$D$66"")=CV$2),$G$4:$BQ$4,$G193:$BQ193))),"""")"),"")</f>
        <v/>
      </c>
      <c r="CX193" s="208" t="str">
        <f t="shared" si="16"/>
        <v/>
      </c>
      <c r="CY193" s="209" t="s">
        <v>444</v>
      </c>
      <c r="CZ193" s="210">
        <f>IFERROR(__xludf.DUMMYFUNCTION("AVERAGE(ARRAYFORMULA(XLOOKUP(FILTER(INDIRECT(""'""&amp;CZ$1&amp;""'!$C$4:$C$66""),INDIRECT(""'""&amp;CZ$1&amp;""'!$D$4:$D$66"")=CZ$2),$G$4:$BQ$4,$G193:$BQ193)))"),0.025790857142857143)</f>
        <v>0.02579085714</v>
      </c>
      <c r="DA193" s="207" t="str">
        <f>IFERROR(__xludf.DUMMYFUNCTION("IF(OR(CZ193&gt;$BS193+$BT193*$BT$2,CZ193&lt;$BS193-$BT193*$BT$2),AVEDEV(ARRAYFORMULA(XLOOKUP(FILTER(INDIRECT(""'""&amp;CZ$1&amp;""'!$C$4:$C$66""),INDIRECT(""'""&amp;CZ$1&amp;""'!$D$4:$D$66"")=CZ$2),$G$4:$BQ$4,$G193:$BQ193))),"""")"),"")</f>
        <v/>
      </c>
      <c r="DB193" s="208" t="str">
        <f t="shared" si="17"/>
        <v/>
      </c>
      <c r="DC193" s="210">
        <f>IFERROR(__xludf.DUMMYFUNCTION("AVERAGE(ARRAYFORMULA(XLOOKUP(FILTER(INDIRECT(""'""&amp;DC$1&amp;""'!$C$4:$C$66""),INDIRECT(""'""&amp;DC$1&amp;""'!$D$4:$D$66"")=DC$2),$G$4:$BQ$4,$G193:$BQ193)))"),0.060033333333333334)</f>
        <v>0.06003333333</v>
      </c>
      <c r="DD193" s="207" t="str">
        <f>IFERROR(__xludf.DUMMYFUNCTION("IF(OR(DC193&gt;$BS193+$BT193*$BT$2,DC193&lt;$BS193-$BT193*$BT$2),AVEDEV(ARRAYFORMULA(XLOOKUP(FILTER(INDIRECT(""'""&amp;DC$1&amp;""'!$C$4:$C$66""),INDIRECT(""'""&amp;DC$1&amp;""'!$D$4:$D$66"")=DC$2),$G$4:$BQ$4,$G193:$BQ193))),"""")"),"")</f>
        <v/>
      </c>
      <c r="DE193" s="208" t="str">
        <f t="shared" si="18"/>
        <v/>
      </c>
      <c r="DF193" s="210">
        <f>IFERROR(__xludf.DUMMYFUNCTION("AVERAGE(ARRAYFORMULA(XLOOKUP(FILTER(INDIRECT(""'""&amp;DF$1&amp;""'!$C$4:$C$66""),INDIRECT(""'""&amp;DF$1&amp;""'!$D$4:$D$66"")=DF$2),$G$4:$BQ$4,$G193:$BQ193)))"),0.025245454545454547)</f>
        <v>0.02524545455</v>
      </c>
      <c r="DG193" s="207" t="str">
        <f>IFERROR(__xludf.DUMMYFUNCTION("IF(OR(DF193&gt;$BS193+$BT193*$BT$2,DF193&lt;$BS193-$BT193*$BT$2),AVEDEV(ARRAYFORMULA(XLOOKUP(FILTER(INDIRECT(""'""&amp;DF$1&amp;""'!$C$4:$C$66""),INDIRECT(""'""&amp;DF$1&amp;""'!$D$4:$D$66"")=DF$2),$G$4:$BQ$4,$G193:$BQ193))),"""")"),"")</f>
        <v/>
      </c>
      <c r="DH193" s="208" t="str">
        <f t="shared" si="19"/>
        <v/>
      </c>
      <c r="DI193" s="210">
        <f>IFERROR(__xludf.DUMMYFUNCTION("AVERAGE(ARRAYFORMULA(XLOOKUP(FILTER(INDIRECT(""'""&amp;DI$1&amp;""'!$C$4:$C$66""),INDIRECT(""'""&amp;DI$1&amp;""'!$D$4:$D$66"")=DI$2),$G$4:$BQ$4,$G193:$BQ193)))"),0.013345)</f>
        <v>0.013345</v>
      </c>
      <c r="DJ193" s="207" t="str">
        <f>IFERROR(__xludf.DUMMYFUNCTION("IF(OR(DI193&gt;$BS193+$BT193*$BT$2,DI193&lt;$BS193-$BT193*$BT$2),AVEDEV(ARRAYFORMULA(XLOOKUP(FILTER(INDIRECT(""'""&amp;DI$1&amp;""'!$C$4:$C$66""),INDIRECT(""'""&amp;DI$1&amp;""'!$D$4:$D$66"")=DI$2),$G$4:$BQ$4,$G193:$BQ193))),"""")"),"")</f>
        <v/>
      </c>
      <c r="DK193" s="208" t="str">
        <f t="shared" si="20"/>
        <v/>
      </c>
      <c r="DL193" s="210">
        <f>IFERROR(__xludf.DUMMYFUNCTION("AVERAGE(ARRAYFORMULA(XLOOKUP(FILTER(INDIRECT(""'""&amp;DL$1&amp;""'!$C$4:$C$66""),INDIRECT(""'""&amp;DL$1&amp;""'!$D$4:$D$66"")=DL$2),$G$4:$BQ$4,$G193:$BQ193)))"),0.09949428571428572)</f>
        <v>0.09949428571</v>
      </c>
      <c r="DM193" s="207" t="str">
        <f>IFERROR(__xludf.DUMMYFUNCTION("IF(OR(DL193&gt;$BS193+$BT193*$BT$2,DL193&lt;$BS193-$BT193*$BT$2),AVEDEV(ARRAYFORMULA(XLOOKUP(FILTER(INDIRECT(""'""&amp;DL$1&amp;""'!$C$4:$C$66""),INDIRECT(""'""&amp;DL$1&amp;""'!$D$4:$D$66"")=DL$2),$G$4:$BQ$4,$G193:$BQ193))),"""")"),"")</f>
        <v/>
      </c>
      <c r="DN193" s="208" t="str">
        <f t="shared" si="21"/>
        <v/>
      </c>
      <c r="DO193" s="209" t="s">
        <v>444</v>
      </c>
      <c r="DP193" s="210">
        <f>IFERROR(__xludf.DUMMYFUNCTION("AVERAGE(ARRAYFORMULA(XLOOKUP(FILTER(INDIRECT(""'""&amp;DP$1&amp;""'!$C$4:$C$66""),INDIRECT(""'""&amp;DP$1&amp;""'!$D$4:$D$66"")=DP$2),$G$4:$BQ$4,$G193:$BQ193)))"),0.05069973333333333)</f>
        <v>0.05069973333</v>
      </c>
      <c r="DQ193" s="207" t="str">
        <f>IFERROR(__xludf.DUMMYFUNCTION("IF(OR(DP193&gt;$BS193+$BT193*$BT$2,DP193&lt;$BS193-$BT193*$BT$2),AVEDEV(ARRAYFORMULA(XLOOKUP(FILTER(INDIRECT(""'""&amp;DP$1&amp;""'!$C$4:$C$66""),INDIRECT(""'""&amp;DP$1&amp;""'!$D$4:$D$66"")=DP$2),$G$4:$BQ$4,$G193:$BQ193))),"""")"),"")</f>
        <v/>
      </c>
      <c r="DR193" s="208" t="str">
        <f t="shared" si="22"/>
        <v/>
      </c>
      <c r="DS193" s="210">
        <f>IFERROR(__xludf.DUMMYFUNCTION("AVERAGE(ARRAYFORMULA(XLOOKUP(FILTER(INDIRECT(""'""&amp;DS$1&amp;""'!$C$4:$C$66""),INDIRECT(""'""&amp;DS$1&amp;""'!$D$4:$D$66"")=DS$2),$G$4:$BQ$4,$G193:$BQ193)))"),0.060033333333333334)</f>
        <v>0.06003333333</v>
      </c>
      <c r="DT193" s="207" t="str">
        <f>IFERROR(__xludf.DUMMYFUNCTION("IF(OR(DS193&gt;$BS193+$BT193*$BT$2,DS193&lt;$BS193-$BT193*$BT$2),AVEDEV(ARRAYFORMULA(XLOOKUP(FILTER(INDIRECT(""'""&amp;DS$1&amp;""'!$C$4:$C$66""),INDIRECT(""'""&amp;DS$1&amp;""'!$D$4:$D$66"")=DS$2),$G$4:$BQ$4,$G193:$BQ193))),"""")"),"")</f>
        <v/>
      </c>
      <c r="DU193" s="208" t="str">
        <f t="shared" si="23"/>
        <v/>
      </c>
      <c r="DV193" s="210">
        <f>IFERROR(__xludf.DUMMYFUNCTION("AVERAGE(ARRAYFORMULA(XLOOKUP(FILTER(INDIRECT(""'""&amp;DV$1&amp;""'!$C$4:$C$66""),INDIRECT(""'""&amp;DV$1&amp;""'!$D$4:$D$66"")=DV$2),$G$4:$BQ$4,$G193:$BQ193)))"),0.089825)</f>
        <v>0.089825</v>
      </c>
      <c r="DW193" s="207" t="str">
        <f>IFERROR(__xludf.DUMMYFUNCTION("IF(OR(DV193&gt;$BS193+$BT193*$BT$2,DV193&lt;$BS193-$BT193*$BT$2),AVEDEV(ARRAYFORMULA(XLOOKUP(FILTER(INDIRECT(""'""&amp;DV$1&amp;""'!$C$4:$C$66""),INDIRECT(""'""&amp;DV$1&amp;""'!$D$4:$D$66"")=DV$2),$G$4:$BQ$4,$G193:$BQ193))),"""")"),"")</f>
        <v/>
      </c>
      <c r="DX193" s="208" t="str">
        <f t="shared" si="24"/>
        <v/>
      </c>
      <c r="DY193" s="210">
        <f>IFERROR(__xludf.DUMMYFUNCTION("AVERAGE(ARRAYFORMULA(XLOOKUP(FILTER(INDIRECT(""'""&amp;DY$1&amp;""'!$C$4:$C$66""),INDIRECT(""'""&amp;DY$1&amp;""'!$D$4:$D$66"")=DY$2),$G$4:$BQ$4,$G193:$BQ193)))"),0.0029655555555555555)</f>
        <v>0.002965555556</v>
      </c>
      <c r="DZ193" s="207" t="str">
        <f>IFERROR(__xludf.DUMMYFUNCTION("IF(OR(DY193&gt;$BS193+$BT193*$BT$2,DY193&lt;$BS193-$BT193*$BT$2),AVEDEV(ARRAYFORMULA(XLOOKUP(FILTER(INDIRECT(""'""&amp;DY$1&amp;""'!$C$4:$C$66""),INDIRECT(""'""&amp;DY$1&amp;""'!$D$4:$D$66"")=DY$2),$G$4:$BQ$4,$G193:$BQ193))),"""")"),"")</f>
        <v/>
      </c>
      <c r="EA193" s="208" t="str">
        <f t="shared" si="25"/>
        <v/>
      </c>
      <c r="EB193" s="191"/>
    </row>
    <row r="194" outlineLevel="1">
      <c r="A194" s="2"/>
      <c r="B194" s="204">
        <v>190.0</v>
      </c>
      <c r="C194" s="204" t="s">
        <v>630</v>
      </c>
      <c r="D194" s="204" t="s">
        <v>638</v>
      </c>
      <c r="E194" s="205" t="b">
        <f>VLOOKUP(D194,'Feature Set List'!A190:C246,2,0)</f>
        <v>1</v>
      </c>
      <c r="F194" s="205" t="b">
        <f>VLOOKUP(D194,'Feature Set List'!A190:C246,3,0)</f>
        <v>1</v>
      </c>
      <c r="G194" s="205">
        <v>-0.1428145</v>
      </c>
      <c r="H194" s="205">
        <v>-0.2681628</v>
      </c>
      <c r="I194" s="205">
        <v>0.35977309</v>
      </c>
      <c r="J194" s="205">
        <v>-0.2781648</v>
      </c>
      <c r="K194" s="205">
        <v>1.49034634</v>
      </c>
      <c r="L194" s="205">
        <v>-0.2767715</v>
      </c>
      <c r="M194" s="205">
        <v>-0.4246616</v>
      </c>
      <c r="N194" s="205">
        <v>0.90565287</v>
      </c>
      <c r="O194" s="205">
        <v>-0.183121</v>
      </c>
      <c r="P194" s="205">
        <v>-0.6266421</v>
      </c>
      <c r="Q194" s="205">
        <v>0.83698248</v>
      </c>
      <c r="R194" s="205">
        <v>1.90933519</v>
      </c>
      <c r="S194" s="205">
        <v>0.68968949</v>
      </c>
      <c r="T194" s="205">
        <v>0.09454618</v>
      </c>
      <c r="U194" s="205">
        <v>1.22312898</v>
      </c>
      <c r="V194" s="205">
        <v>-0.1597333</v>
      </c>
      <c r="W194" s="205">
        <v>1.77846338</v>
      </c>
      <c r="X194" s="205">
        <v>0.41401274</v>
      </c>
      <c r="Y194" s="205">
        <v>0.27866242</v>
      </c>
      <c r="Z194" s="205">
        <v>1.27985669</v>
      </c>
      <c r="AA194" s="205">
        <v>0.64390924</v>
      </c>
      <c r="AB194" s="205">
        <v>-0.7354697</v>
      </c>
      <c r="AC194" s="205">
        <v>1.20123408</v>
      </c>
      <c r="AD194" s="205">
        <v>-0.2045183</v>
      </c>
      <c r="AE194" s="205">
        <v>0.11445064</v>
      </c>
      <c r="AF194" s="205">
        <v>0.52896099</v>
      </c>
      <c r="AG194" s="205">
        <v>0.55881768</v>
      </c>
      <c r="AH194" s="205">
        <v>1.51721736</v>
      </c>
      <c r="AI194" s="205">
        <v>0.11793392</v>
      </c>
      <c r="AJ194" s="205">
        <v>-0.4325239</v>
      </c>
      <c r="AK194" s="205">
        <v>-0.3255872</v>
      </c>
      <c r="AL194" s="205">
        <v>0.11843153</v>
      </c>
      <c r="AM194" s="205">
        <v>-0.1184315</v>
      </c>
      <c r="AN194" s="205">
        <v>0.16769506</v>
      </c>
      <c r="AO194" s="205">
        <v>-0.7354697</v>
      </c>
      <c r="AP194" s="205">
        <v>-0.7354697</v>
      </c>
      <c r="AQ194" s="205">
        <v>1.23755971</v>
      </c>
      <c r="AR194" s="205">
        <v>-0.7354697</v>
      </c>
      <c r="AS194" s="205">
        <v>-0.4445163</v>
      </c>
      <c r="AT194" s="205">
        <v>0.74293392</v>
      </c>
      <c r="AU194" s="205">
        <v>-0.7354697</v>
      </c>
      <c r="AV194" s="205">
        <v>-0.6809813</v>
      </c>
      <c r="AW194" s="205">
        <v>-0.7027966</v>
      </c>
      <c r="AX194" s="205">
        <v>1.33807723</v>
      </c>
      <c r="AY194" s="205">
        <v>0.0</v>
      </c>
      <c r="AZ194" s="205">
        <v>1.24054538</v>
      </c>
      <c r="BA194" s="205">
        <v>-0.5095541</v>
      </c>
      <c r="BB194" s="205">
        <v>0.48964968</v>
      </c>
      <c r="BC194" s="205">
        <v>1.43063296</v>
      </c>
      <c r="BD194" s="205">
        <v>-0.7354697</v>
      </c>
      <c r="BE194" s="205">
        <v>-0.1930732</v>
      </c>
      <c r="BF194" s="205">
        <v>-0.1861067</v>
      </c>
      <c r="BG194" s="205">
        <v>0.28861465</v>
      </c>
      <c r="BH194" s="205">
        <v>-0.15625</v>
      </c>
      <c r="BI194" s="205">
        <v>-0.7354697</v>
      </c>
      <c r="BJ194" s="205">
        <v>-0.1263933</v>
      </c>
      <c r="BK194" s="205">
        <v>-0.2060111</v>
      </c>
      <c r="BL194" s="205">
        <v>0.07663217</v>
      </c>
      <c r="BM194" s="205">
        <v>0.84544188</v>
      </c>
      <c r="BN194" s="205">
        <v>-0.140824</v>
      </c>
      <c r="BO194" s="205">
        <v>0.32941879</v>
      </c>
      <c r="BP194" s="205">
        <v>-0.3408141</v>
      </c>
      <c r="BQ194" s="205">
        <v>-0.6575438</v>
      </c>
      <c r="BR194" s="206"/>
      <c r="BS194" s="207">
        <f t="shared" si="6"/>
        <v>0.1795924098</v>
      </c>
      <c r="BT194" s="207">
        <f t="shared" si="7"/>
        <v>0.6053684754</v>
      </c>
      <c r="BU194" s="206"/>
      <c r="BV194" s="207">
        <f>IFERROR(__xludf.DUMMYFUNCTION("AVERAGE(ARRAYFORMULA(XLOOKUP(FILTER(INDIRECT(""'""&amp;BV$1&amp;""'!$C$4:$C$66""),INDIRECT(""'""&amp;BV$1&amp;""'!$D$4:$D$66"")=BV$2),$G$4:$BQ$4,$G194:$BQ194)))"),0.18212581000000003)</f>
        <v>0.18212581</v>
      </c>
      <c r="BW194" s="207" t="str">
        <f>IFERROR(__xludf.DUMMYFUNCTION("IF(OR(BV194&gt;$BS194+$BT194*$BT$2,BV194&lt;$BS194-$BT194*$BT$2),AVEDEV(ARRAYFORMULA(XLOOKUP(FILTER(INDIRECT(""'""&amp;BV$1&amp;""'!$C$4:$C$66""),INDIRECT(""'""&amp;BV$1&amp;""'!$D$4:$D$66"")=BV$2),$G$4:$BQ$4,$G194:$BQ194))),"""")"),"")</f>
        <v/>
      </c>
      <c r="BX194" s="208" t="str">
        <f t="shared" si="8"/>
        <v/>
      </c>
      <c r="BY194" s="207">
        <f>IFERROR(__xludf.DUMMYFUNCTION("AVERAGE(ARRAYFORMULA(XLOOKUP(FILTER(INDIRECT(""'""&amp;BY$1&amp;""'!$C$4:$C$66""),INDIRECT(""'""&amp;BY$1&amp;""'!$D$4:$D$66"")=BY$2),$G$4:$BQ$4,$G194:$BQ194)))"),0.19915311976190478)</f>
        <v>0.1991531198</v>
      </c>
      <c r="BZ194" s="207" t="str">
        <f>IFERROR(__xludf.DUMMYFUNCTION("IF(OR(BY194&gt;$BS194+$BT194*$BT$2,BY194&lt;$BS194-$BT194*$BT$2),AVEDEV(ARRAYFORMULA(XLOOKUP(FILTER(INDIRECT(""'""&amp;BY$1&amp;""'!$C$4:$C$66""),INDIRECT(""'""&amp;BY$1&amp;""'!$D$4:$D$66"")=BY$2),$G$4:$BQ$4,$G194:$BQ194))),"""")"),"")</f>
        <v/>
      </c>
      <c r="CA194" s="208" t="str">
        <f t="shared" si="9"/>
        <v/>
      </c>
      <c r="CB194" s="207">
        <f>IFERROR(__xludf.DUMMYFUNCTION("AVERAGE(ARRAYFORMULA(XLOOKUP(FILTER(INDIRECT(""'""&amp;CB$1&amp;""'!$C$4:$C$66""),INDIRECT(""'""&amp;CB$1&amp;""'!$D$4:$D$66"")=CB$2),$G$4:$BQ$4,$G194:$BQ194)))"),0.25328876636363634)</f>
        <v>0.2532887664</v>
      </c>
      <c r="CC194" s="207" t="str">
        <f>IFERROR(__xludf.DUMMYFUNCTION("IF(OR(CB194&gt;$BS194+$BT194*$BT$2,CB194&lt;$BS194-$BT194*$BT$2),AVEDEV(ARRAYFORMULA(XLOOKUP(FILTER(INDIRECT(""'""&amp;CB$1&amp;""'!$C$4:$C$66""),INDIRECT(""'""&amp;CB$1&amp;""'!$D$4:$D$66"")=CB$2),$G$4:$BQ$4,$G194:$BQ194))),"""")"),"")</f>
        <v/>
      </c>
      <c r="CD194" s="208" t="str">
        <f t="shared" si="10"/>
        <v/>
      </c>
      <c r="CE194" s="209" t="s">
        <v>444</v>
      </c>
      <c r="CF194" s="207">
        <f>IFERROR(__xludf.DUMMYFUNCTION("AVERAGE(ARRAYFORMULA(XLOOKUP(FILTER(INDIRECT(""'""&amp;CF$1&amp;""'!$C$4:$C$66""),INDIRECT(""'""&amp;CF$1&amp;""'!$D$4:$D$66"")=CF$2),$G$4:$BQ$4,$G194:$BQ194)))"),0.26402829)</f>
        <v>0.26402829</v>
      </c>
      <c r="CG194" s="207" t="str">
        <f>IFERROR(__xludf.DUMMYFUNCTION("IF(OR(CF194&gt;$BS194+$BT194*$BT$2,CF194&lt;$BS194-$BT194*$BT$2),AVEDEV(ARRAYFORMULA(XLOOKUP(FILTER(INDIRECT(""'""&amp;CF$1&amp;""'!$C$4:$C$66""),INDIRECT(""'""&amp;CF$1&amp;""'!$D$4:$D$66"")=CF$2),$G$4:$BQ$4,$G194:$BQ194))),"""")"),"")</f>
        <v/>
      </c>
      <c r="CH194" s="208" t="str">
        <f t="shared" si="11"/>
        <v/>
      </c>
      <c r="CI194" s="207">
        <f>IFERROR(__xludf.DUMMYFUNCTION("AVERAGE(ARRAYFORMULA(XLOOKUP(FILTER(INDIRECT(""'""&amp;CI$1&amp;""'!$C$4:$C$66""),INDIRECT(""'""&amp;CI$1&amp;""'!$D$4:$D$66"")=CI$2),$G$4:$BQ$4,$G194:$BQ194)))"),0.25834704032258066)</f>
        <v>0.2583470403</v>
      </c>
      <c r="CJ194" s="207" t="str">
        <f>IFERROR(__xludf.DUMMYFUNCTION("IF(OR(CI194&gt;$BS194+$BT194*$BT$2,CI194&lt;$BS194-$BT194*$BT$2),AVEDEV(ARRAYFORMULA(XLOOKUP(FILTER(INDIRECT(""'""&amp;CI$1&amp;""'!$C$4:$C$66""),INDIRECT(""'""&amp;CI$1&amp;""'!$D$4:$D$66"")=CI$2),$G$4:$BQ$4,$G194:$BQ194))),"""")"),"")</f>
        <v/>
      </c>
      <c r="CK194" s="208" t="str">
        <f t="shared" si="12"/>
        <v/>
      </c>
      <c r="CL194" s="207">
        <f>IFERROR(__xludf.DUMMYFUNCTION("AVERAGE(ARRAYFORMULA(XLOOKUP(FILTER(INDIRECT(""'""&amp;CL$1&amp;""'!$C$4:$C$66""),INDIRECT(""'""&amp;CL$1&amp;""'!$D$4:$D$66"")=CL$2),$G$4:$BQ$4,$G194:$BQ194)))"),-0.23951033400000005)</f>
        <v>-0.239510334</v>
      </c>
      <c r="CM194" s="207" t="str">
        <f>IFERROR(__xludf.DUMMYFUNCTION("IF(OR(CL194&gt;$BS194+$BT194*$BT$2,CL194&lt;$BS194-$BT194*$BT$2),AVEDEV(ARRAYFORMULA(XLOOKUP(FILTER(INDIRECT(""'""&amp;CL$1&amp;""'!$C$4:$C$66""),INDIRECT(""'""&amp;CL$1&amp;""'!$D$4:$D$66"")=CL$2),$G$4:$BQ$4,$G194:$BQ194))),"""")"),"")</f>
        <v/>
      </c>
      <c r="CN194" s="208" t="str">
        <f t="shared" si="13"/>
        <v/>
      </c>
      <c r="CO194" s="209" t="s">
        <v>444</v>
      </c>
      <c r="CP194" s="210">
        <f>IFERROR(__xludf.DUMMYFUNCTION("AVERAGE(ARRAYFORMULA(XLOOKUP(FILTER(INDIRECT(""'""&amp;CP$1&amp;""'!$C$4:$C$66""),INDIRECT(""'""&amp;CP$1&amp;""'!$D$4:$D$66"")=CP$2),$G$4:$BQ$4,$G194:$BQ194)))"),0.5089570133333333)</f>
        <v>0.5089570133</v>
      </c>
      <c r="CQ194" s="207" t="str">
        <f>IFERROR(__xludf.DUMMYFUNCTION("IF(OR(CP194&gt;$BS194+$BT194*$BT$2,CP194&lt;$BS194-$BT194*$BT$2),AVEDEV(ARRAYFORMULA(XLOOKUP(FILTER(INDIRECT(""'""&amp;CP$1&amp;""'!$C$4:$C$66""),INDIRECT(""'""&amp;CP$1&amp;""'!$D$4:$D$66"")=CP$2),$G$4:$BQ$4,$G194:$BQ194))),"""")"),"")</f>
        <v/>
      </c>
      <c r="CR194" s="208" t="str">
        <f t="shared" si="14"/>
        <v/>
      </c>
      <c r="CS194" s="210">
        <f>IFERROR(__xludf.DUMMYFUNCTION("AVERAGE(ARRAYFORMULA(XLOOKUP(FILTER(INDIRECT(""'""&amp;CS$1&amp;""'!$C$4:$C$66""),INDIRECT(""'""&amp;CS$1&amp;""'!$D$4:$D$66"")=CS$2),$G$4:$BQ$4,$G194:$BQ194)))"),0.1515910879487179)</f>
        <v>0.1515910879</v>
      </c>
      <c r="CT194" s="207" t="str">
        <f>IFERROR(__xludf.DUMMYFUNCTION("IF(OR(CS194&gt;$BS194+$BT194*$BT$2,CS194&lt;$BS194-$BT194*$BT$2),AVEDEV(ARRAYFORMULA(XLOOKUP(FILTER(INDIRECT(""'""&amp;CS$1&amp;""'!$C$4:$C$66""),INDIRECT(""'""&amp;CS$1&amp;""'!$D$4:$D$66"")=CS$2),$G$4:$BQ$4,$G194:$BQ194))),"""")"),"")</f>
        <v/>
      </c>
      <c r="CU194" s="208" t="str">
        <f t="shared" si="15"/>
        <v/>
      </c>
      <c r="CV194" s="210">
        <f>IFERROR(__xludf.DUMMYFUNCTION("AVERAGE(ARRAYFORMULA(XLOOKUP(FILTER(INDIRECT(""'""&amp;CV$1&amp;""'!$C$4:$C$66""),INDIRECT(""'""&amp;CV$1&amp;""'!$D$4:$D$66"")=CV$2),$G$4:$BQ$4,$G194:$BQ194)))"),-0.23951033400000005)</f>
        <v>-0.239510334</v>
      </c>
      <c r="CW194" s="207" t="str">
        <f>IFERROR(__xludf.DUMMYFUNCTION("IF(OR(CV194&gt;$BS194+$BT194*$BT$2,CV194&lt;$BS194-$BT194*$BT$2),AVEDEV(ARRAYFORMULA(XLOOKUP(FILTER(INDIRECT(""'""&amp;CV$1&amp;""'!$C$4:$C$66""),INDIRECT(""'""&amp;CV$1&amp;""'!$D$4:$D$66"")=CV$2),$G$4:$BQ$4,$G194:$BQ194))),"""")"),"")</f>
        <v/>
      </c>
      <c r="CX194" s="208" t="str">
        <f t="shared" si="16"/>
        <v/>
      </c>
      <c r="CY194" s="209" t="s">
        <v>444</v>
      </c>
      <c r="CZ194" s="210">
        <f>IFERROR(__xludf.DUMMYFUNCTION("AVERAGE(ARRAYFORMULA(XLOOKUP(FILTER(INDIRECT(""'""&amp;CZ$1&amp;""'!$C$4:$C$66""),INDIRECT(""'""&amp;CZ$1&amp;""'!$D$4:$D$66"")=CZ$2),$G$4:$BQ$4,$G194:$BQ194)))"),0.013629582142857144)</f>
        <v>0.01362958214</v>
      </c>
      <c r="DA194" s="207" t="str">
        <f>IFERROR(__xludf.DUMMYFUNCTION("IF(OR(CZ194&gt;$BS194+$BT194*$BT$2,CZ194&lt;$BS194-$BT194*$BT$2),AVEDEV(ARRAYFORMULA(XLOOKUP(FILTER(INDIRECT(""'""&amp;CZ$1&amp;""'!$C$4:$C$66""),INDIRECT(""'""&amp;CZ$1&amp;""'!$D$4:$D$66"")=CZ$2),$G$4:$BQ$4,$G194:$BQ194))),"""")"),"")</f>
        <v/>
      </c>
      <c r="DB194" s="208" t="str">
        <f t="shared" si="17"/>
        <v/>
      </c>
      <c r="DC194" s="210">
        <f>IFERROR(__xludf.DUMMYFUNCTION("AVERAGE(ARRAYFORMULA(XLOOKUP(FILTER(INDIRECT(""'""&amp;DC$1&amp;""'!$C$4:$C$66""),INDIRECT(""'""&amp;DC$1&amp;""'!$D$4:$D$66"")=DC$2),$G$4:$BQ$4,$G194:$BQ194)))"),0.07779879666666664)</f>
        <v>0.07779879667</v>
      </c>
      <c r="DD194" s="207" t="str">
        <f>IFERROR(__xludf.DUMMYFUNCTION("IF(OR(DC194&gt;$BS194+$BT194*$BT$2,DC194&lt;$BS194-$BT194*$BT$2),AVEDEV(ARRAYFORMULA(XLOOKUP(FILTER(INDIRECT(""'""&amp;DC$1&amp;""'!$C$4:$C$66""),INDIRECT(""'""&amp;DC$1&amp;""'!$D$4:$D$66"")=DC$2),$G$4:$BQ$4,$G194:$BQ194))),"""")"),"")</f>
        <v/>
      </c>
      <c r="DE194" s="208" t="str">
        <f t="shared" si="18"/>
        <v/>
      </c>
      <c r="DF194" s="210">
        <f>IFERROR(__xludf.DUMMYFUNCTION("AVERAGE(ARRAYFORMULA(XLOOKUP(FILTER(INDIRECT(""'""&amp;DF$1&amp;""'!$C$4:$C$66""),INDIRECT(""'""&amp;DF$1&amp;""'!$D$4:$D$66"")=DF$2),$G$4:$BQ$4,$G194:$BQ194)))"),0.4653345827272728)</f>
        <v>0.4653345827</v>
      </c>
      <c r="DG194" s="207" t="str">
        <f>IFERROR(__xludf.DUMMYFUNCTION("IF(OR(DF194&gt;$BS194+$BT194*$BT$2,DF194&lt;$BS194-$BT194*$BT$2),AVEDEV(ARRAYFORMULA(XLOOKUP(FILTER(INDIRECT(""'""&amp;DF$1&amp;""'!$C$4:$C$66""),INDIRECT(""'""&amp;DF$1&amp;""'!$D$4:$D$66"")=DF$2),$G$4:$BQ$4,$G194:$BQ194))),"""")"),"")</f>
        <v/>
      </c>
      <c r="DH194" s="208" t="str">
        <f t="shared" si="19"/>
        <v/>
      </c>
      <c r="DI194" s="210">
        <f>IFERROR(__xludf.DUMMYFUNCTION("AVERAGE(ARRAYFORMULA(XLOOKUP(FILTER(INDIRECT(""'""&amp;DI$1&amp;""'!$C$4:$C$66""),INDIRECT(""'""&amp;DI$1&amp;""'!$D$4:$D$66"")=DI$2),$G$4:$BQ$4,$G194:$BQ194)))"),-0.18038415)</f>
        <v>-0.18038415</v>
      </c>
      <c r="DJ194" s="207" t="str">
        <f>IFERROR(__xludf.DUMMYFUNCTION("IF(OR(DI194&gt;$BS194+$BT194*$BT$2,DI194&lt;$BS194-$BT194*$BT$2),AVEDEV(ARRAYFORMULA(XLOOKUP(FILTER(INDIRECT(""'""&amp;DI$1&amp;""'!$C$4:$C$66""),INDIRECT(""'""&amp;DI$1&amp;""'!$D$4:$D$66"")=DI$2),$G$4:$BQ$4,$G194:$BQ194))),"""")"),"")</f>
        <v/>
      </c>
      <c r="DK194" s="208" t="str">
        <f t="shared" si="20"/>
        <v/>
      </c>
      <c r="DL194" s="210">
        <f>IFERROR(__xludf.DUMMYFUNCTION("AVERAGE(ARRAYFORMULA(XLOOKUP(FILTER(INDIRECT(""'""&amp;DL$1&amp;""'!$C$4:$C$66""),INDIRECT(""'""&amp;DL$1&amp;""'!$D$4:$D$66"")=DL$2),$G$4:$BQ$4,$G194:$BQ194)))"),0.2578871507142856)</f>
        <v>0.2578871507</v>
      </c>
      <c r="DM194" s="207" t="str">
        <f>IFERROR(__xludf.DUMMYFUNCTION("IF(OR(DL194&gt;$BS194+$BT194*$BT$2,DL194&lt;$BS194-$BT194*$BT$2),AVEDEV(ARRAYFORMULA(XLOOKUP(FILTER(INDIRECT(""'""&amp;DL$1&amp;""'!$C$4:$C$66""),INDIRECT(""'""&amp;DL$1&amp;""'!$D$4:$D$66"")=DL$2),$G$4:$BQ$4,$G194:$BQ194))),"""")"),"")</f>
        <v/>
      </c>
      <c r="DN194" s="208" t="str">
        <f t="shared" si="21"/>
        <v/>
      </c>
      <c r="DO194" s="209" t="s">
        <v>444</v>
      </c>
      <c r="DP194" s="210">
        <f>IFERROR(__xludf.DUMMYFUNCTION("AVERAGE(ARRAYFORMULA(XLOOKUP(FILTER(INDIRECT(""'""&amp;DP$1&amp;""'!$C$4:$C$66""),INDIRECT(""'""&amp;DP$1&amp;""'!$D$4:$D$66"")=DP$2),$G$4:$BQ$4,$G194:$BQ194)))"),0.29626958000000003)</f>
        <v>0.29626958</v>
      </c>
      <c r="DQ194" s="207" t="str">
        <f>IFERROR(__xludf.DUMMYFUNCTION("IF(OR(DP194&gt;$BS194+$BT194*$BT$2,DP194&lt;$BS194-$BT194*$BT$2),AVEDEV(ARRAYFORMULA(XLOOKUP(FILTER(INDIRECT(""'""&amp;DP$1&amp;""'!$C$4:$C$66""),INDIRECT(""'""&amp;DP$1&amp;""'!$D$4:$D$66"")=DP$2),$G$4:$BQ$4,$G194:$BQ194))),"""")"),"")</f>
        <v/>
      </c>
      <c r="DR194" s="208" t="str">
        <f t="shared" si="22"/>
        <v/>
      </c>
      <c r="DS194" s="210">
        <f>IFERROR(__xludf.DUMMYFUNCTION("AVERAGE(ARRAYFORMULA(XLOOKUP(FILTER(INDIRECT(""'""&amp;DS$1&amp;""'!$C$4:$C$66""),INDIRECT(""'""&amp;DS$1&amp;""'!$D$4:$D$66"")=DS$2),$G$4:$BQ$4,$G194:$BQ194)))"),0.006336259999999996)</f>
        <v>0.00633626</v>
      </c>
      <c r="DT194" s="207" t="str">
        <f>IFERROR(__xludf.DUMMYFUNCTION("IF(OR(DS194&gt;$BS194+$BT194*$BT$2,DS194&lt;$BS194-$BT194*$BT$2),AVEDEV(ARRAYFORMULA(XLOOKUP(FILTER(INDIRECT(""'""&amp;DS$1&amp;""'!$C$4:$C$66""),INDIRECT(""'""&amp;DS$1&amp;""'!$D$4:$D$66"")=DS$2),$G$4:$BQ$4,$G194:$BQ194))),"""")"),"")</f>
        <v/>
      </c>
      <c r="DU194" s="208" t="str">
        <f t="shared" si="23"/>
        <v/>
      </c>
      <c r="DV194" s="210">
        <f>IFERROR(__xludf.DUMMYFUNCTION("AVERAGE(ARRAYFORMULA(XLOOKUP(FILTER(INDIRECT(""'""&amp;DV$1&amp;""'!$C$4:$C$66""),INDIRECT(""'""&amp;DV$1&amp;""'!$D$4:$D$66"")=DV$2),$G$4:$BQ$4,$G194:$BQ194)))"),0.6363704225000001)</f>
        <v>0.6363704225</v>
      </c>
      <c r="DW194" s="207" t="str">
        <f>IFERROR(__xludf.DUMMYFUNCTION("IF(OR(DV194&gt;$BS194+$BT194*$BT$2,DV194&lt;$BS194-$BT194*$BT$2),AVEDEV(ARRAYFORMULA(XLOOKUP(FILTER(INDIRECT(""'""&amp;DV$1&amp;""'!$C$4:$C$66""),INDIRECT(""'""&amp;DV$1&amp;""'!$D$4:$D$66"")=DV$2),$G$4:$BQ$4,$G194:$BQ194))),"""")"),"")</f>
        <v/>
      </c>
      <c r="DX194" s="208" t="str">
        <f t="shared" si="24"/>
        <v/>
      </c>
      <c r="DY194" s="210">
        <f>IFERROR(__xludf.DUMMYFUNCTION("AVERAGE(ARRAYFORMULA(XLOOKUP(FILTER(INDIRECT(""'""&amp;DY$1&amp;""'!$C$4:$C$66""),INDIRECT(""'""&amp;DY$1&amp;""'!$D$4:$D$66"")=DY$2),$G$4:$BQ$4,$G194:$BQ194)))"),-0.07003272222222222)</f>
        <v>-0.07003272222</v>
      </c>
      <c r="DZ194" s="207" t="str">
        <f>IFERROR(__xludf.DUMMYFUNCTION("IF(OR(DY194&gt;$BS194+$BT194*$BT$2,DY194&lt;$BS194-$BT194*$BT$2),AVEDEV(ARRAYFORMULA(XLOOKUP(FILTER(INDIRECT(""'""&amp;DY$1&amp;""'!$C$4:$C$66""),INDIRECT(""'""&amp;DY$1&amp;""'!$D$4:$D$66"")=DY$2),$G$4:$BQ$4,$G194:$BQ194))),"""")"),"")</f>
        <v/>
      </c>
      <c r="EA194" s="208" t="str">
        <f t="shared" si="25"/>
        <v/>
      </c>
      <c r="EB194" s="191"/>
    </row>
    <row r="195" outlineLevel="1">
      <c r="A195" s="2"/>
      <c r="B195" s="204">
        <v>191.0</v>
      </c>
      <c r="C195" s="204" t="s">
        <v>630</v>
      </c>
      <c r="D195" s="204" t="s">
        <v>639</v>
      </c>
      <c r="E195" s="205" t="b">
        <f>VLOOKUP(D195,'Feature Set List'!A191:C246,2,0)</f>
        <v>1</v>
      </c>
      <c r="F195" s="205" t="b">
        <f>VLOOKUP(D195,'Feature Set List'!A191:C246,3,0)</f>
        <v>1</v>
      </c>
      <c r="G195" s="205">
        <v>0.0</v>
      </c>
      <c r="H195" s="205">
        <v>0.0</v>
      </c>
      <c r="I195" s="205">
        <v>0.0</v>
      </c>
      <c r="J195" s="205">
        <v>0.0</v>
      </c>
      <c r="K195" s="205">
        <v>0.0</v>
      </c>
      <c r="L195" s="205">
        <v>0.0</v>
      </c>
      <c r="M195" s="205">
        <v>0.0</v>
      </c>
      <c r="N195" s="205">
        <v>0.0</v>
      </c>
      <c r="O195" s="205">
        <v>0.0</v>
      </c>
      <c r="P195" s="205">
        <v>0.0</v>
      </c>
      <c r="Q195" s="205">
        <v>0.0</v>
      </c>
      <c r="R195" s="205">
        <v>0.0</v>
      </c>
      <c r="S195" s="205">
        <v>0.0</v>
      </c>
      <c r="T195" s="205">
        <v>0.0</v>
      </c>
      <c r="U195" s="205">
        <v>0.0</v>
      </c>
      <c r="V195" s="205">
        <v>0.0</v>
      </c>
      <c r="W195" s="205">
        <v>0.0</v>
      </c>
      <c r="X195" s="205">
        <v>0.0</v>
      </c>
      <c r="Y195" s="205">
        <v>0.0</v>
      </c>
      <c r="Z195" s="205">
        <v>0.0</v>
      </c>
      <c r="AA195" s="205">
        <v>0.0</v>
      </c>
      <c r="AB195" s="205">
        <v>0.0</v>
      </c>
      <c r="AC195" s="205">
        <v>0.0</v>
      </c>
      <c r="AD195" s="205">
        <v>0.0</v>
      </c>
      <c r="AE195" s="205">
        <v>0.0</v>
      </c>
      <c r="AF195" s="205">
        <v>0.0</v>
      </c>
      <c r="AG195" s="205">
        <v>0.0</v>
      </c>
      <c r="AH195" s="205">
        <v>0.0</v>
      </c>
      <c r="AI195" s="205">
        <v>0.0</v>
      </c>
      <c r="AJ195" s="205">
        <v>0.0</v>
      </c>
      <c r="AK195" s="205">
        <v>0.0</v>
      </c>
      <c r="AL195" s="205">
        <v>0.0</v>
      </c>
      <c r="AM195" s="205">
        <v>0.0</v>
      </c>
      <c r="AN195" s="205">
        <v>0.0</v>
      </c>
      <c r="AO195" s="205">
        <v>0.0</v>
      </c>
      <c r="AP195" s="205">
        <v>0.0</v>
      </c>
      <c r="AQ195" s="205">
        <v>0.0</v>
      </c>
      <c r="AR195" s="205">
        <v>0.0</v>
      </c>
      <c r="AS195" s="205">
        <v>0.0</v>
      </c>
      <c r="AT195" s="205">
        <v>0.0</v>
      </c>
      <c r="AU195" s="205">
        <v>0.0</v>
      </c>
      <c r="AV195" s="205">
        <v>0.0</v>
      </c>
      <c r="AW195" s="205">
        <v>0.0</v>
      </c>
      <c r="AX195" s="205">
        <v>0.0</v>
      </c>
      <c r="AY195" s="205">
        <v>0.0</v>
      </c>
      <c r="AZ195" s="205">
        <v>0.0</v>
      </c>
      <c r="BA195" s="205">
        <v>0.0</v>
      </c>
      <c r="BB195" s="205">
        <v>0.0</v>
      </c>
      <c r="BC195" s="205">
        <v>0.0</v>
      </c>
      <c r="BD195" s="205">
        <v>0.0</v>
      </c>
      <c r="BE195" s="205">
        <v>0.0</v>
      </c>
      <c r="BF195" s="205">
        <v>0.0</v>
      </c>
      <c r="BG195" s="205">
        <v>0.0</v>
      </c>
      <c r="BH195" s="205">
        <v>0.0</v>
      </c>
      <c r="BI195" s="205">
        <v>0.0</v>
      </c>
      <c r="BJ195" s="205">
        <v>0.0</v>
      </c>
      <c r="BK195" s="205">
        <v>0.0</v>
      </c>
      <c r="BL195" s="205">
        <v>0.0</v>
      </c>
      <c r="BM195" s="205">
        <v>0.0</v>
      </c>
      <c r="BN195" s="205">
        <v>0.0</v>
      </c>
      <c r="BO195" s="205">
        <v>0.0</v>
      </c>
      <c r="BP195" s="205">
        <v>0.0</v>
      </c>
      <c r="BQ195" s="205">
        <v>0.04464</v>
      </c>
      <c r="BR195" s="206"/>
      <c r="BS195" s="207">
        <f t="shared" si="6"/>
        <v>0.0007085714286</v>
      </c>
      <c r="BT195" s="207">
        <f t="shared" si="7"/>
        <v>0.001394648526</v>
      </c>
      <c r="BU195" s="206"/>
      <c r="BV195" s="207">
        <f>IFERROR(__xludf.DUMMYFUNCTION("AVERAGE(ARRAYFORMULA(XLOOKUP(FILTER(INDIRECT(""'""&amp;BV$1&amp;""'!$C$4:$C$66""),INDIRECT(""'""&amp;BV$1&amp;""'!$D$4:$D$66"")=BV$2),$G$4:$BQ$4,$G195:$BQ195)))"),0.0)</f>
        <v>0</v>
      </c>
      <c r="BW195" s="207" t="str">
        <f>IFERROR(__xludf.DUMMYFUNCTION("IF(OR(BV195&gt;$BS195+$BT195*$BT$2,BV195&lt;$BS195-$BT195*$BT$2),AVEDEV(ARRAYFORMULA(XLOOKUP(FILTER(INDIRECT(""'""&amp;BV$1&amp;""'!$C$4:$C$66""),INDIRECT(""'""&amp;BV$1&amp;""'!$D$4:$D$66"")=BV$2),$G$4:$BQ$4,$G195:$BQ195))),"""")"),"")</f>
        <v/>
      </c>
      <c r="BX195" s="208" t="str">
        <f t="shared" si="8"/>
        <v/>
      </c>
      <c r="BY195" s="207">
        <f>IFERROR(__xludf.DUMMYFUNCTION("AVERAGE(ARRAYFORMULA(XLOOKUP(FILTER(INDIRECT(""'""&amp;BY$1&amp;""'!$C$4:$C$66""),INDIRECT(""'""&amp;BY$1&amp;""'!$D$4:$D$66"")=BY$2),$G$4:$BQ$4,$G195:$BQ195)))"),0.0010628571428571427)</f>
        <v>0.001062857143</v>
      </c>
      <c r="BZ195" s="207" t="str">
        <f>IFERROR(__xludf.DUMMYFUNCTION("IF(OR(BY195&gt;$BS195+$BT195*$BT$2,BY195&lt;$BS195-$BT195*$BT$2),AVEDEV(ARRAYFORMULA(XLOOKUP(FILTER(INDIRECT(""'""&amp;BY$1&amp;""'!$C$4:$C$66""),INDIRECT(""'""&amp;BY$1&amp;""'!$D$4:$D$66"")=BY$2),$G$4:$BQ$4,$G195:$BQ195))),"""")"),"")</f>
        <v/>
      </c>
      <c r="CA195" s="208" t="str">
        <f t="shared" si="9"/>
        <v/>
      </c>
      <c r="CB195" s="207">
        <f>IFERROR(__xludf.DUMMYFUNCTION("AVERAGE(ARRAYFORMULA(XLOOKUP(FILTER(INDIRECT(""'""&amp;CB$1&amp;""'!$C$4:$C$66""),INDIRECT(""'""&amp;CB$1&amp;""'!$D$4:$D$66"")=CB$2),$G$4:$BQ$4,$G195:$BQ195)))"),0.0)</f>
        <v>0</v>
      </c>
      <c r="CC195" s="207" t="str">
        <f>IFERROR(__xludf.DUMMYFUNCTION("IF(OR(CB195&gt;$BS195+$BT195*$BT$2,CB195&lt;$BS195-$BT195*$BT$2),AVEDEV(ARRAYFORMULA(XLOOKUP(FILTER(INDIRECT(""'""&amp;CB$1&amp;""'!$C$4:$C$66""),INDIRECT(""'""&amp;CB$1&amp;""'!$D$4:$D$66"")=CB$2),$G$4:$BQ$4,$G195:$BQ195))),"""")"),"")</f>
        <v/>
      </c>
      <c r="CD195" s="208" t="str">
        <f t="shared" si="10"/>
        <v/>
      </c>
      <c r="CE195" s="209" t="s">
        <v>444</v>
      </c>
      <c r="CF195" s="207">
        <f>IFERROR(__xludf.DUMMYFUNCTION("AVERAGE(ARRAYFORMULA(XLOOKUP(FILTER(INDIRECT(""'""&amp;CF$1&amp;""'!$C$4:$C$66""),INDIRECT(""'""&amp;CF$1&amp;""'!$D$4:$D$66"")=CF$2),$G$4:$BQ$4,$G195:$BQ195)))"),0.0)</f>
        <v>0</v>
      </c>
      <c r="CG195" s="207" t="str">
        <f>IFERROR(__xludf.DUMMYFUNCTION("IF(OR(CF195&gt;$BS195+$BT195*$BT$2,CF195&lt;$BS195-$BT195*$BT$2),AVEDEV(ARRAYFORMULA(XLOOKUP(FILTER(INDIRECT(""'""&amp;CF$1&amp;""'!$C$4:$C$66""),INDIRECT(""'""&amp;CF$1&amp;""'!$D$4:$D$66"")=CF$2),$G$4:$BQ$4,$G195:$BQ195))),"""")"),"")</f>
        <v/>
      </c>
      <c r="CH195" s="208" t="str">
        <f t="shared" si="11"/>
        <v/>
      </c>
      <c r="CI195" s="207">
        <f>IFERROR(__xludf.DUMMYFUNCTION("AVERAGE(ARRAYFORMULA(XLOOKUP(FILTER(INDIRECT(""'""&amp;CI$1&amp;""'!$C$4:$C$66""),INDIRECT(""'""&amp;CI$1&amp;""'!$D$4:$D$66"")=CI$2),$G$4:$BQ$4,$G195:$BQ195)))"),0.0014399999999999999)</f>
        <v>0.00144</v>
      </c>
      <c r="CJ195" s="207" t="str">
        <f>IFERROR(__xludf.DUMMYFUNCTION("IF(OR(CI195&gt;$BS195+$BT195*$BT$2,CI195&lt;$BS195-$BT195*$BT$2),AVEDEV(ARRAYFORMULA(XLOOKUP(FILTER(INDIRECT(""'""&amp;CI$1&amp;""'!$C$4:$C$66""),INDIRECT(""'""&amp;CI$1&amp;""'!$D$4:$D$66"")=CI$2),$G$4:$BQ$4,$G195:$BQ195))),"""")"),"")</f>
        <v/>
      </c>
      <c r="CK195" s="208" t="str">
        <f t="shared" si="12"/>
        <v/>
      </c>
      <c r="CL195" s="207">
        <f>IFERROR(__xludf.DUMMYFUNCTION("AVERAGE(ARRAYFORMULA(XLOOKUP(FILTER(INDIRECT(""'""&amp;CL$1&amp;""'!$C$4:$C$66""),INDIRECT(""'""&amp;CL$1&amp;""'!$D$4:$D$66"")=CL$2),$G$4:$BQ$4,$G195:$BQ195)))"),0.0)</f>
        <v>0</v>
      </c>
      <c r="CM195" s="207" t="str">
        <f>IFERROR(__xludf.DUMMYFUNCTION("IF(OR(CL195&gt;$BS195+$BT195*$BT$2,CL195&lt;$BS195-$BT195*$BT$2),AVEDEV(ARRAYFORMULA(XLOOKUP(FILTER(INDIRECT(""'""&amp;CL$1&amp;""'!$C$4:$C$66""),INDIRECT(""'""&amp;CL$1&amp;""'!$D$4:$D$66"")=CL$2),$G$4:$BQ$4,$G195:$BQ195))),"""")"),"")</f>
        <v/>
      </c>
      <c r="CN195" s="208" t="str">
        <f t="shared" si="13"/>
        <v/>
      </c>
      <c r="CO195" s="209" t="s">
        <v>444</v>
      </c>
      <c r="CP195" s="210">
        <f>IFERROR(__xludf.DUMMYFUNCTION("AVERAGE(ARRAYFORMULA(XLOOKUP(FILTER(INDIRECT(""'""&amp;CP$1&amp;""'!$C$4:$C$66""),INDIRECT(""'""&amp;CP$1&amp;""'!$D$4:$D$66"")=CP$2),$G$4:$BQ$4,$G195:$BQ195)))"),0.0)</f>
        <v>0</v>
      </c>
      <c r="CQ195" s="207" t="str">
        <f>IFERROR(__xludf.DUMMYFUNCTION("IF(OR(CP195&gt;$BS195+$BT195*$BT$2,CP195&lt;$BS195-$BT195*$BT$2),AVEDEV(ARRAYFORMULA(XLOOKUP(FILTER(INDIRECT(""'""&amp;CP$1&amp;""'!$C$4:$C$66""),INDIRECT(""'""&amp;CP$1&amp;""'!$D$4:$D$66"")=CP$2),$G$4:$BQ$4,$G195:$BQ195))),"""")"),"")</f>
        <v/>
      </c>
      <c r="CR195" s="208" t="str">
        <f t="shared" si="14"/>
        <v/>
      </c>
      <c r="CS195" s="210">
        <f>IFERROR(__xludf.DUMMYFUNCTION("AVERAGE(ARRAYFORMULA(XLOOKUP(FILTER(INDIRECT(""'""&amp;CS$1&amp;""'!$C$4:$C$66""),INDIRECT(""'""&amp;CS$1&amp;""'!$D$4:$D$66"")=CS$2),$G$4:$BQ$4,$G195:$BQ195)))"),0.0011446153846153845)</f>
        <v>0.001144615385</v>
      </c>
      <c r="CT195" s="207" t="str">
        <f>IFERROR(__xludf.DUMMYFUNCTION("IF(OR(CS195&gt;$BS195+$BT195*$BT$2,CS195&lt;$BS195-$BT195*$BT$2),AVEDEV(ARRAYFORMULA(XLOOKUP(FILTER(INDIRECT(""'""&amp;CS$1&amp;""'!$C$4:$C$66""),INDIRECT(""'""&amp;CS$1&amp;""'!$D$4:$D$66"")=CS$2),$G$4:$BQ$4,$G195:$BQ195))),"""")"),"")</f>
        <v/>
      </c>
      <c r="CU195" s="208" t="str">
        <f t="shared" si="15"/>
        <v/>
      </c>
      <c r="CV195" s="210">
        <f>IFERROR(__xludf.DUMMYFUNCTION("AVERAGE(ARRAYFORMULA(XLOOKUP(FILTER(INDIRECT(""'""&amp;CV$1&amp;""'!$C$4:$C$66""),INDIRECT(""'""&amp;CV$1&amp;""'!$D$4:$D$66"")=CV$2),$G$4:$BQ$4,$G195:$BQ195)))"),0.0)</f>
        <v>0</v>
      </c>
      <c r="CW195" s="207" t="str">
        <f>IFERROR(__xludf.DUMMYFUNCTION("IF(OR(CV195&gt;$BS195+$BT195*$BT$2,CV195&lt;$BS195-$BT195*$BT$2),AVEDEV(ARRAYFORMULA(XLOOKUP(FILTER(INDIRECT(""'""&amp;CV$1&amp;""'!$C$4:$C$66""),INDIRECT(""'""&amp;CV$1&amp;""'!$D$4:$D$66"")=CV$2),$G$4:$BQ$4,$G195:$BQ195))),"""")"),"")</f>
        <v/>
      </c>
      <c r="CX195" s="208" t="str">
        <f t="shared" si="16"/>
        <v/>
      </c>
      <c r="CY195" s="209" t="s">
        <v>444</v>
      </c>
      <c r="CZ195" s="210">
        <f>IFERROR(__xludf.DUMMYFUNCTION("AVERAGE(ARRAYFORMULA(XLOOKUP(FILTER(INDIRECT(""'""&amp;CZ$1&amp;""'!$C$4:$C$66""),INDIRECT(""'""&amp;CZ$1&amp;""'!$D$4:$D$66"")=CZ$2),$G$4:$BQ$4,$G195:$BQ195)))"),0.0)</f>
        <v>0</v>
      </c>
      <c r="DA195" s="207" t="str">
        <f>IFERROR(__xludf.DUMMYFUNCTION("IF(OR(CZ195&gt;$BS195+$BT195*$BT$2,CZ195&lt;$BS195-$BT195*$BT$2),AVEDEV(ARRAYFORMULA(XLOOKUP(FILTER(INDIRECT(""'""&amp;CZ$1&amp;""'!$C$4:$C$66""),INDIRECT(""'""&amp;CZ$1&amp;""'!$D$4:$D$66"")=CZ$2),$G$4:$BQ$4,$G195:$BQ195))),"""")"),"")</f>
        <v/>
      </c>
      <c r="DB195" s="208" t="str">
        <f t="shared" si="17"/>
        <v/>
      </c>
      <c r="DC195" s="210">
        <f>IFERROR(__xludf.DUMMYFUNCTION("AVERAGE(ARRAYFORMULA(XLOOKUP(FILTER(INDIRECT(""'""&amp;DC$1&amp;""'!$C$4:$C$66""),INDIRECT(""'""&amp;DC$1&amp;""'!$D$4:$D$66"")=DC$2),$G$4:$BQ$4,$G195:$BQ195)))"),0.0)</f>
        <v>0</v>
      </c>
      <c r="DD195" s="207" t="str">
        <f>IFERROR(__xludf.DUMMYFUNCTION("IF(OR(DC195&gt;$BS195+$BT195*$BT$2,DC195&lt;$BS195-$BT195*$BT$2),AVEDEV(ARRAYFORMULA(XLOOKUP(FILTER(INDIRECT(""'""&amp;DC$1&amp;""'!$C$4:$C$66""),INDIRECT(""'""&amp;DC$1&amp;""'!$D$4:$D$66"")=DC$2),$G$4:$BQ$4,$G195:$BQ195))),"""")"),"")</f>
        <v/>
      </c>
      <c r="DE195" s="208" t="str">
        <f t="shared" si="18"/>
        <v/>
      </c>
      <c r="DF195" s="210">
        <f>IFERROR(__xludf.DUMMYFUNCTION("AVERAGE(ARRAYFORMULA(XLOOKUP(FILTER(INDIRECT(""'""&amp;DF$1&amp;""'!$C$4:$C$66""),INDIRECT(""'""&amp;DF$1&amp;""'!$D$4:$D$66"")=DF$2),$G$4:$BQ$4,$G195:$BQ195)))"),0.0)</f>
        <v>0</v>
      </c>
      <c r="DG195" s="207" t="str">
        <f>IFERROR(__xludf.DUMMYFUNCTION("IF(OR(DF195&gt;$BS195+$BT195*$BT$2,DF195&lt;$BS195-$BT195*$BT$2),AVEDEV(ARRAYFORMULA(XLOOKUP(FILTER(INDIRECT(""'""&amp;DF$1&amp;""'!$C$4:$C$66""),INDIRECT(""'""&amp;DF$1&amp;""'!$D$4:$D$66"")=DF$2),$G$4:$BQ$4,$G195:$BQ195))),"""")"),"")</f>
        <v/>
      </c>
      <c r="DH195" s="208" t="str">
        <f t="shared" si="19"/>
        <v/>
      </c>
      <c r="DI195" s="210">
        <f>IFERROR(__xludf.DUMMYFUNCTION("AVERAGE(ARRAYFORMULA(XLOOKUP(FILTER(INDIRECT(""'""&amp;DI$1&amp;""'!$C$4:$C$66""),INDIRECT(""'""&amp;DI$1&amp;""'!$D$4:$D$66"")=DI$2),$G$4:$BQ$4,$G195:$BQ195)))"),0.0)</f>
        <v>0</v>
      </c>
      <c r="DJ195" s="207" t="str">
        <f>IFERROR(__xludf.DUMMYFUNCTION("IF(OR(DI195&gt;$BS195+$BT195*$BT$2,DI195&lt;$BS195-$BT195*$BT$2),AVEDEV(ARRAYFORMULA(XLOOKUP(FILTER(INDIRECT(""'""&amp;DI$1&amp;""'!$C$4:$C$66""),INDIRECT(""'""&amp;DI$1&amp;""'!$D$4:$D$66"")=DI$2),$G$4:$BQ$4,$G195:$BQ195))),"""")"),"")</f>
        <v/>
      </c>
      <c r="DK195" s="208" t="str">
        <f t="shared" si="20"/>
        <v/>
      </c>
      <c r="DL195" s="210">
        <f>IFERROR(__xludf.DUMMYFUNCTION("AVERAGE(ARRAYFORMULA(XLOOKUP(FILTER(INDIRECT(""'""&amp;DL$1&amp;""'!$C$4:$C$66""),INDIRECT(""'""&amp;DL$1&amp;""'!$D$4:$D$66"")=DL$2),$G$4:$BQ$4,$G195:$BQ195)))"),0.0031885714285714286)</f>
        <v>0.003188571429</v>
      </c>
      <c r="DM195" s="207">
        <f>IFERROR(__xludf.DUMMYFUNCTION("IF(OR(DL195&gt;$BS195+$BT195*$BT$2,DL195&lt;$BS195-$BT195*$BT$2),AVEDEV(ARRAYFORMULA(XLOOKUP(FILTER(INDIRECT(""'""&amp;DL$1&amp;""'!$C$4:$C$66""),INDIRECT(""'""&amp;DL$1&amp;""'!$D$4:$D$66"")=DL$2),$G$4:$BQ$4,$G195:$BQ195))),"""")"),0.005921632653061225)</f>
        <v>0.005921632653</v>
      </c>
      <c r="DN195" s="208">
        <f t="shared" si="21"/>
        <v>0.001085351474</v>
      </c>
      <c r="DO195" s="209" t="s">
        <v>444</v>
      </c>
      <c r="DP195" s="210">
        <f>IFERROR(__xludf.DUMMYFUNCTION("AVERAGE(ARRAYFORMULA(XLOOKUP(FILTER(INDIRECT(""'""&amp;DP$1&amp;""'!$C$4:$C$66""),INDIRECT(""'""&amp;DP$1&amp;""'!$D$4:$D$66"")=DP$2),$G$4:$BQ$4,$G195:$BQ195)))"),0.001488)</f>
        <v>0.001488</v>
      </c>
      <c r="DQ195" s="207" t="str">
        <f>IFERROR(__xludf.DUMMYFUNCTION("IF(OR(DP195&gt;$BS195+$BT195*$BT$2,DP195&lt;$BS195-$BT195*$BT$2),AVEDEV(ARRAYFORMULA(XLOOKUP(FILTER(INDIRECT(""'""&amp;DP$1&amp;""'!$C$4:$C$66""),INDIRECT(""'""&amp;DP$1&amp;""'!$D$4:$D$66"")=DP$2),$G$4:$BQ$4,$G195:$BQ195))),"""")"),"")</f>
        <v/>
      </c>
      <c r="DR195" s="208" t="str">
        <f t="shared" si="22"/>
        <v/>
      </c>
      <c r="DS195" s="210">
        <f>IFERROR(__xludf.DUMMYFUNCTION("AVERAGE(ARRAYFORMULA(XLOOKUP(FILTER(INDIRECT(""'""&amp;DS$1&amp;""'!$C$4:$C$66""),INDIRECT(""'""&amp;DS$1&amp;""'!$D$4:$D$66"")=DS$2),$G$4:$BQ$4,$G195:$BQ195)))"),0.0)</f>
        <v>0</v>
      </c>
      <c r="DT195" s="207" t="str">
        <f>IFERROR(__xludf.DUMMYFUNCTION("IF(OR(DS195&gt;$BS195+$BT195*$BT$2,DS195&lt;$BS195-$BT195*$BT$2),AVEDEV(ARRAYFORMULA(XLOOKUP(FILTER(INDIRECT(""'""&amp;DS$1&amp;""'!$C$4:$C$66""),INDIRECT(""'""&amp;DS$1&amp;""'!$D$4:$D$66"")=DS$2),$G$4:$BQ$4,$G195:$BQ195))),"""")"),"")</f>
        <v/>
      </c>
      <c r="DU195" s="208" t="str">
        <f t="shared" si="23"/>
        <v/>
      </c>
      <c r="DV195" s="210">
        <f>IFERROR(__xludf.DUMMYFUNCTION("AVERAGE(ARRAYFORMULA(XLOOKUP(FILTER(INDIRECT(""'""&amp;DV$1&amp;""'!$C$4:$C$66""),INDIRECT(""'""&amp;DV$1&amp;""'!$D$4:$D$66"")=DV$2),$G$4:$BQ$4,$G195:$BQ195)))"),0.0)</f>
        <v>0</v>
      </c>
      <c r="DW195" s="207" t="str">
        <f>IFERROR(__xludf.DUMMYFUNCTION("IF(OR(DV195&gt;$BS195+$BT195*$BT$2,DV195&lt;$BS195-$BT195*$BT$2),AVEDEV(ARRAYFORMULA(XLOOKUP(FILTER(INDIRECT(""'""&amp;DV$1&amp;""'!$C$4:$C$66""),INDIRECT(""'""&amp;DV$1&amp;""'!$D$4:$D$66"")=DV$2),$G$4:$BQ$4,$G195:$BQ195))),"""")"),"")</f>
        <v/>
      </c>
      <c r="DX195" s="208" t="str">
        <f t="shared" si="24"/>
        <v/>
      </c>
      <c r="DY195" s="210">
        <f>IFERROR(__xludf.DUMMYFUNCTION("AVERAGE(ARRAYFORMULA(XLOOKUP(FILTER(INDIRECT(""'""&amp;DY$1&amp;""'!$C$4:$C$66""),INDIRECT(""'""&amp;DY$1&amp;""'!$D$4:$D$66"")=DY$2),$G$4:$BQ$4,$G195:$BQ195)))"),0.0)</f>
        <v>0</v>
      </c>
      <c r="DZ195" s="207" t="str">
        <f>IFERROR(__xludf.DUMMYFUNCTION("IF(OR(DY195&gt;$BS195+$BT195*$BT$2,DY195&lt;$BS195-$BT195*$BT$2),AVEDEV(ARRAYFORMULA(XLOOKUP(FILTER(INDIRECT(""'""&amp;DY$1&amp;""'!$C$4:$C$66""),INDIRECT(""'""&amp;DY$1&amp;""'!$D$4:$D$66"")=DY$2),$G$4:$BQ$4,$G195:$BQ195))),"""")"),"")</f>
        <v/>
      </c>
      <c r="EA195" s="208" t="str">
        <f t="shared" si="25"/>
        <v/>
      </c>
      <c r="EB195" s="191"/>
    </row>
    <row r="196" outlineLevel="1">
      <c r="A196" s="2"/>
      <c r="B196" s="204">
        <v>192.0</v>
      </c>
      <c r="C196" s="204" t="s">
        <v>630</v>
      </c>
      <c r="D196" s="204" t="s">
        <v>640</v>
      </c>
      <c r="E196" s="205" t="b">
        <f>VLOOKUP(D196,'Feature Set List'!A192:C246,2,0)</f>
        <v>1</v>
      </c>
      <c r="F196" s="205" t="b">
        <f>VLOOKUP(D196,'Feature Set List'!A192:C246,3,0)</f>
        <v>1</v>
      </c>
      <c r="G196" s="205">
        <v>5.66758223</v>
      </c>
      <c r="H196" s="205">
        <v>0.0</v>
      </c>
      <c r="I196" s="205">
        <v>0.0</v>
      </c>
      <c r="J196" s="205">
        <v>0.0</v>
      </c>
      <c r="K196" s="205">
        <v>0.0</v>
      </c>
      <c r="L196" s="205">
        <v>6.48824278</v>
      </c>
      <c r="M196" s="205">
        <v>7.45517072</v>
      </c>
      <c r="N196" s="205">
        <v>0.09852393</v>
      </c>
      <c r="O196" s="205">
        <v>0.0</v>
      </c>
      <c r="P196" s="205">
        <v>9.42922221</v>
      </c>
      <c r="Q196" s="205">
        <v>0.0</v>
      </c>
      <c r="R196" s="205">
        <v>0.0</v>
      </c>
      <c r="S196" s="205">
        <v>0.0</v>
      </c>
      <c r="T196" s="205">
        <v>8.98818695</v>
      </c>
      <c r="U196" s="205">
        <v>0.0</v>
      </c>
      <c r="V196" s="205">
        <v>0.0</v>
      </c>
      <c r="W196" s="205">
        <v>5.60617226</v>
      </c>
      <c r="X196" s="205">
        <v>0.0</v>
      </c>
      <c r="Y196" s="205">
        <v>7.69634443</v>
      </c>
      <c r="Z196" s="205">
        <v>0.0</v>
      </c>
      <c r="AA196" s="205">
        <v>0.0</v>
      </c>
      <c r="AB196" s="205">
        <v>0.0</v>
      </c>
      <c r="AC196" s="205">
        <v>0.0</v>
      </c>
      <c r="AD196" s="205">
        <v>0.0</v>
      </c>
      <c r="AE196" s="205">
        <v>0.0</v>
      </c>
      <c r="AF196" s="205">
        <v>10.3224582</v>
      </c>
      <c r="AG196" s="205">
        <v>0.0</v>
      </c>
      <c r="AH196" s="205">
        <v>0.0</v>
      </c>
      <c r="AI196" s="205">
        <v>0.0</v>
      </c>
      <c r="AJ196" s="205">
        <v>0.0</v>
      </c>
      <c r="AK196" s="205">
        <v>0.0</v>
      </c>
      <c r="AL196" s="205">
        <v>0.0</v>
      </c>
      <c r="AM196" s="205">
        <v>0.0</v>
      </c>
      <c r="AN196" s="205">
        <v>0.0</v>
      </c>
      <c r="AO196" s="205">
        <v>0.0</v>
      </c>
      <c r="AP196" s="205">
        <v>0.0</v>
      </c>
      <c r="AQ196" s="205">
        <v>0.0</v>
      </c>
      <c r="AR196" s="205">
        <v>3.47133829</v>
      </c>
      <c r="AS196" s="205">
        <v>0.0</v>
      </c>
      <c r="AT196" s="205">
        <v>1.90147607</v>
      </c>
      <c r="AU196" s="205">
        <v>0.0</v>
      </c>
      <c r="AV196" s="205">
        <v>4.81565843</v>
      </c>
      <c r="AW196" s="205">
        <v>0.0</v>
      </c>
      <c r="AX196" s="205">
        <v>0.0</v>
      </c>
      <c r="AY196" s="205">
        <v>0.0</v>
      </c>
      <c r="AZ196" s="205">
        <v>4.93736183</v>
      </c>
      <c r="BA196" s="205">
        <v>7.72425806</v>
      </c>
      <c r="BB196" s="205">
        <v>0.0</v>
      </c>
      <c r="BC196" s="205">
        <v>0.0</v>
      </c>
      <c r="BD196" s="205">
        <v>10.7512115</v>
      </c>
      <c r="BE196" s="205">
        <v>0.0</v>
      </c>
      <c r="BF196" s="205">
        <v>0.0</v>
      </c>
      <c r="BG196" s="205">
        <v>0.0</v>
      </c>
      <c r="BH196" s="205">
        <v>0.0</v>
      </c>
      <c r="BI196" s="205">
        <v>0.0</v>
      </c>
      <c r="BJ196" s="205">
        <v>4.27190103</v>
      </c>
      <c r="BK196" s="205">
        <v>0.0</v>
      </c>
      <c r="BL196" s="205">
        <v>0.0</v>
      </c>
      <c r="BM196" s="205">
        <v>11.4669168</v>
      </c>
      <c r="BN196" s="205">
        <v>0.0</v>
      </c>
      <c r="BO196" s="205">
        <v>0.0</v>
      </c>
      <c r="BP196" s="205">
        <v>0.0</v>
      </c>
      <c r="BQ196" s="205">
        <v>0.0</v>
      </c>
      <c r="BR196" s="206"/>
      <c r="BS196" s="207">
        <f t="shared" si="6"/>
        <v>1.763365488</v>
      </c>
      <c r="BT196" s="207">
        <f t="shared" si="7"/>
        <v>2.627925523</v>
      </c>
      <c r="BU196" s="206"/>
      <c r="BV196" s="207">
        <f>IFERROR(__xludf.DUMMYFUNCTION("AVERAGE(ARRAYFORMULA(XLOOKUP(FILTER(INDIRECT(""'""&amp;BV$1&amp;""'!$C$4:$C$66""),INDIRECT(""'""&amp;BV$1&amp;""'!$D$4:$D$66"")=BV$2),$G$4:$BQ$4,$G196:$BQ196)))"),0.0)</f>
        <v>0</v>
      </c>
      <c r="BW196" s="207" t="str">
        <f>IFERROR(__xludf.DUMMYFUNCTION("IF(OR(BV196&gt;$BS196+$BT196*$BT$2,BV196&lt;$BS196-$BT196*$BT$2),AVEDEV(ARRAYFORMULA(XLOOKUP(FILTER(INDIRECT(""'""&amp;BV$1&amp;""'!$C$4:$C$66""),INDIRECT(""'""&amp;BV$1&amp;""'!$D$4:$D$66"")=BV$2),$G$4:$BQ$4,$G196:$BQ196))),"""")"),"")</f>
        <v/>
      </c>
      <c r="BX196" s="208" t="str">
        <f t="shared" si="8"/>
        <v/>
      </c>
      <c r="BY196" s="207">
        <f>IFERROR(__xludf.DUMMYFUNCTION("AVERAGE(ARRAYFORMULA(XLOOKUP(FILTER(INDIRECT(""'""&amp;BY$1&amp;""'!$C$4:$C$66""),INDIRECT(""'""&amp;BY$1&amp;""'!$D$4:$D$66"")=BY$2),$G$4:$BQ$4,$G196:$BQ196)))"),0.3466404226190476)</f>
        <v>0.3466404226</v>
      </c>
      <c r="BZ196" s="207" t="str">
        <f>IFERROR(__xludf.DUMMYFUNCTION("IF(OR(BY196&gt;$BS196+$BT196*$BT$2,BY196&lt;$BS196-$BT196*$BT$2),AVEDEV(ARRAYFORMULA(XLOOKUP(FILTER(INDIRECT(""'""&amp;BY$1&amp;""'!$C$4:$C$66""),INDIRECT(""'""&amp;BY$1&amp;""'!$D$4:$D$66"")=BY$2),$G$4:$BQ$4,$G196:$BQ196))),"""")"),"")</f>
        <v/>
      </c>
      <c r="CA196" s="208" t="str">
        <f t="shared" si="9"/>
        <v/>
      </c>
      <c r="CB196" s="207">
        <f>IFERROR(__xludf.DUMMYFUNCTION("AVERAGE(ARRAYFORMULA(XLOOKUP(FILTER(INDIRECT(""'""&amp;CB$1&amp;""'!$C$4:$C$66""),INDIRECT(""'""&amp;CB$1&amp;""'!$D$4:$D$66"")=CB$2),$G$4:$BQ$4,$G196:$BQ196)))"),7.7983560427272725)</f>
        <v>7.798356043</v>
      </c>
      <c r="CC196" s="207">
        <f>IFERROR(__xludf.DUMMYFUNCTION("IF(OR(CB196&gt;$BS196+$BT196*$BT$2,CB196&lt;$BS196-$BT196*$BT$2),AVEDEV(ARRAYFORMULA(XLOOKUP(FILTER(INDIRECT(""'""&amp;CB$1&amp;""'!$C$4:$C$66""),INDIRECT(""'""&amp;CB$1&amp;""'!$D$4:$D$66"")=CB$2),$G$4:$BQ$4,$G196:$BQ196))),"""")"),1.638792725289256)</f>
        <v>1.638792725</v>
      </c>
      <c r="CD196" s="208">
        <f t="shared" si="10"/>
        <v>3.407065032</v>
      </c>
      <c r="CE196" s="209" t="s">
        <v>444</v>
      </c>
      <c r="CF196" s="207">
        <f>IFERROR(__xludf.DUMMYFUNCTION("AVERAGE(ARRAYFORMULA(XLOOKUP(FILTER(INDIRECT(""'""&amp;CF$1&amp;""'!$C$4:$C$66""),INDIRECT(""'""&amp;CF$1&amp;""'!$D$4:$D$66"")=CF$2),$G$4:$BQ$4,$G196:$BQ196)))"),0.125)</f>
        <v>0.125</v>
      </c>
      <c r="CG196" s="207" t="str">
        <f>IFERROR(__xludf.DUMMYFUNCTION("IF(OR(CF196&gt;$BS196+$BT196*$BT$2,CF196&lt;$BS196-$BT196*$BT$2),AVEDEV(ARRAYFORMULA(XLOOKUP(FILTER(INDIRECT(""'""&amp;CF$1&amp;""'!$C$4:$C$66""),INDIRECT(""'""&amp;CF$1&amp;""'!$D$4:$D$66"")=CF$2),$G$4:$BQ$4,$G196:$BQ196))),"""")"),"")</f>
        <v/>
      </c>
      <c r="CH196" s="208" t="str">
        <f t="shared" si="11"/>
        <v/>
      </c>
      <c r="CI196" s="207">
        <f>IFERROR(__xludf.DUMMYFUNCTION("AVERAGE(ARRAYFORMULA(XLOOKUP(FILTER(INDIRECT(""'""&amp;CI$1&amp;""'!$C$4:$C$66""),INDIRECT(""'""&amp;CI$1&amp;""'!$D$4:$D$66"")=CI$2),$G$4:$BQ$4,$G196:$BQ196)))"),1.6643003122580646)</f>
        <v>1.664300312</v>
      </c>
      <c r="CJ196" s="207" t="str">
        <f>IFERROR(__xludf.DUMMYFUNCTION("IF(OR(CI196&gt;$BS196+$BT196*$BT$2,CI196&lt;$BS196-$BT196*$BT$2),AVEDEV(ARRAYFORMULA(XLOOKUP(FILTER(INDIRECT(""'""&amp;CI$1&amp;""'!$C$4:$C$66""),INDIRECT(""'""&amp;CI$1&amp;""'!$D$4:$D$66"")=CI$2),$G$4:$BQ$4,$G196:$BQ196))),"""")"),"")</f>
        <v/>
      </c>
      <c r="CK196" s="208" t="str">
        <f t="shared" si="12"/>
        <v/>
      </c>
      <c r="CL196" s="207">
        <f>IFERROR(__xludf.DUMMYFUNCTION("AVERAGE(ARRAYFORMULA(XLOOKUP(FILTER(INDIRECT(""'""&amp;CL$1&amp;""'!$C$4:$C$66""),INDIRECT(""'""&amp;CL$1&amp;""'!$D$4:$D$66"")=CL$2),$G$4:$BQ$4,$G196:$BQ196)))"),5.228333444)</f>
        <v>5.228333444</v>
      </c>
      <c r="CM196" s="207">
        <f>IFERROR(__xludf.DUMMYFUNCTION("IF(OR(CL196&gt;$BS196+$BT196*$BT$2,CL196&lt;$BS196-$BT196*$BT$2),AVEDEV(ARRAYFORMULA(XLOOKUP(FILTER(INDIRECT(""'""&amp;CL$1&amp;""'!$C$4:$C$66""),INDIRECT(""'""&amp;CL$1&amp;""'!$D$4:$D$66"")=CL$2),$G$4:$BQ$4,$G196:$BQ196))),"""")"),4.1826667552000005)</f>
        <v>4.182666755</v>
      </c>
      <c r="CN196" s="208" t="str">
        <f t="shared" si="13"/>
        <v/>
      </c>
      <c r="CO196" s="209" t="s">
        <v>444</v>
      </c>
      <c r="CP196" s="210">
        <f>IFERROR(__xludf.DUMMYFUNCTION("AVERAGE(ARRAYFORMULA(XLOOKUP(FILTER(INDIRECT(""'""&amp;CP$1&amp;""'!$C$4:$C$66""),INDIRECT(""'""&amp;CP$1&amp;""'!$D$4:$D$66"")=CP$2),$G$4:$BQ$4,$G196:$BQ196)))"),1.7887228973333333)</f>
        <v>1.788722897</v>
      </c>
      <c r="CQ196" s="207" t="str">
        <f>IFERROR(__xludf.DUMMYFUNCTION("IF(OR(CP196&gt;$BS196+$BT196*$BT$2,CP196&lt;$BS196-$BT196*$BT$2),AVEDEV(ARRAYFORMULA(XLOOKUP(FILTER(INDIRECT(""'""&amp;CP$1&amp;""'!$C$4:$C$66""),INDIRECT(""'""&amp;CP$1&amp;""'!$D$4:$D$66"")=CP$2),$G$4:$BQ$4,$G196:$BQ196))),"""")"),"")</f>
        <v/>
      </c>
      <c r="CR196" s="208" t="str">
        <f t="shared" si="14"/>
        <v/>
      </c>
      <c r="CS196" s="210">
        <f>IFERROR(__xludf.DUMMYFUNCTION("AVERAGE(ARRAYFORMULA(XLOOKUP(FILTER(INDIRECT(""'""&amp;CS$1&amp;""'!$C$4:$C$66""),INDIRECT(""'""&amp;CS$1&amp;""'!$D$4:$D$66"")=CS$2),$G$4:$BQ$4,$G196:$BQ196)))"),1.2145718856410257)</f>
        <v>1.214571886</v>
      </c>
      <c r="CT196" s="207" t="str">
        <f>IFERROR(__xludf.DUMMYFUNCTION("IF(OR(CS196&gt;$BS196+$BT196*$BT$2,CS196&lt;$BS196-$BT196*$BT$2),AVEDEV(ARRAYFORMULA(XLOOKUP(FILTER(INDIRECT(""'""&amp;CS$1&amp;""'!$C$4:$C$66""),INDIRECT(""'""&amp;CS$1&amp;""'!$D$4:$D$66"")=CS$2),$G$4:$BQ$4,$G196:$BQ196))),"""")"),"")</f>
        <v/>
      </c>
      <c r="CU196" s="208" t="str">
        <f t="shared" si="15"/>
        <v/>
      </c>
      <c r="CV196" s="210">
        <f>IFERROR(__xludf.DUMMYFUNCTION("AVERAGE(ARRAYFORMULA(XLOOKUP(FILTER(INDIRECT(""'""&amp;CV$1&amp;""'!$C$4:$C$66""),INDIRECT(""'""&amp;CV$1&amp;""'!$D$4:$D$66"")=CV$2),$G$4:$BQ$4,$G196:$BQ196)))"),5.228333444)</f>
        <v>5.228333444</v>
      </c>
      <c r="CW196" s="207">
        <f>IFERROR(__xludf.DUMMYFUNCTION("IF(OR(CV196&gt;$BS196+$BT196*$BT$2,CV196&lt;$BS196-$BT196*$BT$2),AVEDEV(ARRAYFORMULA(XLOOKUP(FILTER(INDIRECT(""'""&amp;CV$1&amp;""'!$C$4:$C$66""),INDIRECT(""'""&amp;CV$1&amp;""'!$D$4:$D$66"")=CV$2),$G$4:$BQ$4,$G196:$BQ196))),"""")"),4.1826667552000005)</f>
        <v>4.182666755</v>
      </c>
      <c r="CX196" s="208" t="str">
        <f t="shared" si="16"/>
        <v/>
      </c>
      <c r="CY196" s="209" t="s">
        <v>444</v>
      </c>
      <c r="CZ196" s="210">
        <f>IFERROR(__xludf.DUMMYFUNCTION("AVERAGE(ARRAYFORMULA(XLOOKUP(FILTER(INDIRECT(""'""&amp;CZ$1&amp;""'!$C$4:$C$66""),INDIRECT(""'""&amp;CZ$1&amp;""'!$D$4:$D$66"")=CZ$2),$G$4:$BQ$4,$G196:$BQ196)))"),0.007037423571428571)</f>
        <v>0.007037423571</v>
      </c>
      <c r="DA196" s="207" t="str">
        <f>IFERROR(__xludf.DUMMYFUNCTION("IF(OR(CZ196&gt;$BS196+$BT196*$BT$2,CZ196&lt;$BS196-$BT196*$BT$2),AVEDEV(ARRAYFORMULA(XLOOKUP(FILTER(INDIRECT(""'""&amp;CZ$1&amp;""'!$C$4:$C$66""),INDIRECT(""'""&amp;CZ$1&amp;""'!$D$4:$D$66"")=CZ$2),$G$4:$BQ$4,$G196:$BQ196))),"""")"),"")</f>
        <v/>
      </c>
      <c r="DB196" s="208" t="str">
        <f t="shared" si="17"/>
        <v/>
      </c>
      <c r="DC196" s="210">
        <f>IFERROR(__xludf.DUMMYFUNCTION("AVERAGE(ARRAYFORMULA(XLOOKUP(FILTER(INDIRECT(""'""&amp;DC$1&amp;""'!$C$4:$C$66""),INDIRECT(""'""&amp;DC$1&amp;""'!$D$4:$D$66"")=DC$2),$G$4:$BQ$4,$G196:$BQ196)))"),7.708626426666667)</f>
        <v>7.708626427</v>
      </c>
      <c r="DD196" s="207">
        <f>IFERROR(__xludf.DUMMYFUNCTION("IF(OR(DC196&gt;$BS196+$BT196*$BT$2,DC196&lt;$BS196-$BT196*$BT$2),AVEDEV(ARRAYFORMULA(XLOOKUP(FILTER(INDIRECT(""'""&amp;DC$1&amp;""'!$C$4:$C$66""),INDIRECT(""'""&amp;DC$1&amp;""'!$D$4:$D$66"")=DC$2),$G$4:$BQ$4,$G196:$BQ196))),"""")"),1.251026602962963)</f>
        <v>1.251026603</v>
      </c>
      <c r="DE196" s="208">
        <f t="shared" si="18"/>
        <v>3.317335416</v>
      </c>
      <c r="DF196" s="210">
        <f>IFERROR(__xludf.DUMMYFUNCTION("AVERAGE(ARRAYFORMULA(XLOOKUP(FILTER(INDIRECT(""'""&amp;DF$1&amp;""'!$C$4:$C$66""),INDIRECT(""'""&amp;DF$1&amp;""'!$D$4:$D$66"")=DF$2),$G$4:$BQ$4,$G196:$BQ196)))"),1.0594996663636362)</f>
        <v>1.059499666</v>
      </c>
      <c r="DG196" s="207" t="str">
        <f>IFERROR(__xludf.DUMMYFUNCTION("IF(OR(DF196&gt;$BS196+$BT196*$BT$2,DF196&lt;$BS196-$BT196*$BT$2),AVEDEV(ARRAYFORMULA(XLOOKUP(FILTER(INDIRECT(""'""&amp;DF$1&amp;""'!$C$4:$C$66""),INDIRECT(""'""&amp;DF$1&amp;""'!$D$4:$D$66"")=DF$2),$G$4:$BQ$4,$G196:$BQ196))),"""")"),"")</f>
        <v/>
      </c>
      <c r="DH196" s="208" t="str">
        <f t="shared" si="19"/>
        <v/>
      </c>
      <c r="DI196" s="210">
        <f>IFERROR(__xludf.DUMMYFUNCTION("AVERAGE(ARRAYFORMULA(XLOOKUP(FILTER(INDIRECT(""'""&amp;DI$1&amp;""'!$C$4:$C$66""),INDIRECT(""'""&amp;DI$1&amp;""'!$D$4:$D$66"")=DI$2),$G$4:$BQ$4,$G196:$BQ196)))"),0.0)</f>
        <v>0</v>
      </c>
      <c r="DJ196" s="207" t="str">
        <f>IFERROR(__xludf.DUMMYFUNCTION("IF(OR(DI196&gt;$BS196+$BT196*$BT$2,DI196&lt;$BS196-$BT196*$BT$2),AVEDEV(ARRAYFORMULA(XLOOKUP(FILTER(INDIRECT(""'""&amp;DI$1&amp;""'!$C$4:$C$66""),INDIRECT(""'""&amp;DI$1&amp;""'!$D$4:$D$66"")=DI$2),$G$4:$BQ$4,$G196:$BQ196))),"""")"),"")</f>
        <v/>
      </c>
      <c r="DK196" s="208" t="str">
        <f t="shared" si="20"/>
        <v/>
      </c>
      <c r="DL196" s="210">
        <f>IFERROR(__xludf.DUMMYFUNCTION("AVERAGE(ARRAYFORMULA(XLOOKUP(FILTER(INDIRECT(""'""&amp;DL$1&amp;""'!$C$4:$C$66""),INDIRECT(""'""&amp;DL$1&amp;""'!$D$4:$D$66"")=DL$2),$G$4:$BQ$4,$G196:$BQ196)))"),0.5530885228571429)</f>
        <v>0.5530885229</v>
      </c>
      <c r="DM196" s="207" t="str">
        <f>IFERROR(__xludf.DUMMYFUNCTION("IF(OR(DL196&gt;$BS196+$BT196*$BT$2,DL196&lt;$BS196-$BT196*$BT$2),AVEDEV(ARRAYFORMULA(XLOOKUP(FILTER(INDIRECT(""'""&amp;DL$1&amp;""'!$C$4:$C$66""),INDIRECT(""'""&amp;DL$1&amp;""'!$D$4:$D$66"")=DL$2),$G$4:$BQ$4,$G196:$BQ196))),"""")"),"")</f>
        <v/>
      </c>
      <c r="DN196" s="208" t="str">
        <f t="shared" si="21"/>
        <v/>
      </c>
      <c r="DO196" s="209" t="s">
        <v>444</v>
      </c>
      <c r="DP196" s="210">
        <f>IFERROR(__xludf.DUMMYFUNCTION("AVERAGE(ARRAYFORMULA(XLOOKUP(FILTER(INDIRECT(""'""&amp;DP$1&amp;""'!$C$4:$C$66""),INDIRECT(""'""&amp;DP$1&amp;""'!$D$4:$D$66"")=DP$2),$G$4:$BQ$4,$G196:$BQ196)))"),0.2090633676666667)</f>
        <v>0.2090633677</v>
      </c>
      <c r="DQ196" s="207" t="str">
        <f>IFERROR(__xludf.DUMMYFUNCTION("IF(OR(DP196&gt;$BS196+$BT196*$BT$2,DP196&lt;$BS196-$BT196*$BT$2),AVEDEV(ARRAYFORMULA(XLOOKUP(FILTER(INDIRECT(""'""&amp;DP$1&amp;""'!$C$4:$C$66""),INDIRECT(""'""&amp;DP$1&amp;""'!$D$4:$D$66"")=DP$2),$G$4:$BQ$4,$G196:$BQ196))),"""")"),"")</f>
        <v/>
      </c>
      <c r="DR196" s="208" t="str">
        <f t="shared" si="22"/>
        <v/>
      </c>
      <c r="DS196" s="210">
        <f>IFERROR(__xludf.DUMMYFUNCTION("AVERAGE(ARRAYFORMULA(XLOOKUP(FILTER(INDIRECT(""'""&amp;DS$1&amp;""'!$C$4:$C$66""),INDIRECT(""'""&amp;DS$1&amp;""'!$D$4:$D$66"")=DS$2),$G$4:$BQ$4,$G196:$BQ196)))"),7.515712271111111)</f>
        <v>7.515712271</v>
      </c>
      <c r="DT196" s="207">
        <f>IFERROR(__xludf.DUMMYFUNCTION("IF(OR(DS196&gt;$BS196+$BT196*$BT$2,DS196&lt;$BS196-$BT196*$BT$2),AVEDEV(ARRAYFORMULA(XLOOKUP(FILTER(INDIRECT(""'""&amp;DS$1&amp;""'!$C$4:$C$66""),INDIRECT(""'""&amp;DS$1&amp;""'!$D$4:$D$66"")=DS$2),$G$4:$BQ$4,$G196:$BQ196))),"""")"),1.6768299856790123)</f>
        <v>1.676829986</v>
      </c>
      <c r="DU196" s="208">
        <f t="shared" si="23"/>
        <v>3.12442126</v>
      </c>
      <c r="DV196" s="210">
        <f>IFERROR(__xludf.DUMMYFUNCTION("AVERAGE(ARRAYFORMULA(XLOOKUP(FILTER(INDIRECT(""'""&amp;DV$1&amp;""'!$C$4:$C$66""),INDIRECT(""'""&amp;DV$1&amp;""'!$D$4:$D$66"")=DV$2),$G$4:$BQ$4,$G196:$BQ196)))"),0.61717022875)</f>
        <v>0.6171702288</v>
      </c>
      <c r="DW196" s="207" t="str">
        <f>IFERROR(__xludf.DUMMYFUNCTION("IF(OR(DV196&gt;$BS196+$BT196*$BT$2,DV196&lt;$BS196-$BT196*$BT$2),AVEDEV(ARRAYFORMULA(XLOOKUP(FILTER(INDIRECT(""'""&amp;DV$1&amp;""'!$C$4:$C$66""),INDIRECT(""'""&amp;DV$1&amp;""'!$D$4:$D$66"")=DV$2),$G$4:$BQ$4,$G196:$BQ196))),"""")"),"")</f>
        <v/>
      </c>
      <c r="DX196" s="208" t="str">
        <f t="shared" si="24"/>
        <v/>
      </c>
      <c r="DY196" s="210">
        <f>IFERROR(__xludf.DUMMYFUNCTION("AVERAGE(ARRAYFORMULA(XLOOKUP(FILTER(INDIRECT(""'""&amp;DY$1&amp;""'!$C$4:$C$66""),INDIRECT(""'""&amp;DY$1&amp;""'!$D$4:$D$66"")=DY$2),$G$4:$BQ$4,$G196:$BQ196)))"),2.0020891811111112)</f>
        <v>2.002089181</v>
      </c>
      <c r="DZ196" s="207" t="str">
        <f>IFERROR(__xludf.DUMMYFUNCTION("IF(OR(DY196&gt;$BS196+$BT196*$BT$2,DY196&lt;$BS196-$BT196*$BT$2),AVEDEV(ARRAYFORMULA(XLOOKUP(FILTER(INDIRECT(""'""&amp;DY$1&amp;""'!$C$4:$C$66""),INDIRECT(""'""&amp;DY$1&amp;""'!$D$4:$D$66"")=DY$2),$G$4:$BQ$4,$G196:$BQ196))),"""")"),"")</f>
        <v/>
      </c>
      <c r="EA196" s="208" t="str">
        <f t="shared" si="25"/>
        <v/>
      </c>
      <c r="EB196" s="191"/>
    </row>
    <row r="197" outlineLevel="1">
      <c r="A197" s="2"/>
      <c r="B197" s="204">
        <v>193.0</v>
      </c>
      <c r="C197" s="204" t="s">
        <v>630</v>
      </c>
      <c r="D197" s="204" t="s">
        <v>641</v>
      </c>
      <c r="E197" s="205" t="b">
        <f>VLOOKUP(D197,'Feature Set List'!A193:C246,2,0)</f>
        <v>1</v>
      </c>
      <c r="F197" s="205" t="b">
        <f>VLOOKUP(D197,'Feature Set List'!A193:C246,3,0)</f>
        <v>1</v>
      </c>
      <c r="G197" s="205">
        <v>1.33940485</v>
      </c>
      <c r="H197" s="205">
        <v>0.0</v>
      </c>
      <c r="I197" s="205">
        <v>1.26951181</v>
      </c>
      <c r="J197" s="205">
        <v>0.0</v>
      </c>
      <c r="K197" s="205">
        <v>0.0</v>
      </c>
      <c r="L197" s="205">
        <v>1.23075294</v>
      </c>
      <c r="M197" s="205">
        <v>1.41416923</v>
      </c>
      <c r="N197" s="205">
        <v>0.01868898</v>
      </c>
      <c r="O197" s="205">
        <v>0.0</v>
      </c>
      <c r="P197" s="205">
        <v>1.7886265</v>
      </c>
      <c r="Q197" s="205">
        <v>0.0</v>
      </c>
      <c r="R197" s="205">
        <v>1.11786509</v>
      </c>
      <c r="S197" s="205">
        <v>0.0</v>
      </c>
      <c r="T197" s="205">
        <v>1.70496664</v>
      </c>
      <c r="U197" s="205">
        <v>0.0</v>
      </c>
      <c r="V197" s="205">
        <v>0.0</v>
      </c>
      <c r="W197" s="205">
        <v>1.06343323</v>
      </c>
      <c r="X197" s="205">
        <v>0.0</v>
      </c>
      <c r="Y197" s="205">
        <v>1.4599174</v>
      </c>
      <c r="Z197" s="205">
        <v>0.0</v>
      </c>
      <c r="AA197" s="205">
        <v>1.61622366</v>
      </c>
      <c r="AB197" s="205">
        <v>0.0</v>
      </c>
      <c r="AC197" s="205">
        <v>1.22990575</v>
      </c>
      <c r="AD197" s="205">
        <v>0.0</v>
      </c>
      <c r="AE197" s="205">
        <v>0.0</v>
      </c>
      <c r="AF197" s="205">
        <v>1.95806417</v>
      </c>
      <c r="AG197" s="205">
        <v>0.0</v>
      </c>
      <c r="AH197" s="205">
        <v>0.0</v>
      </c>
      <c r="AI197" s="205">
        <v>0.0</v>
      </c>
      <c r="AJ197" s="205">
        <v>0.0</v>
      </c>
      <c r="AK197" s="205">
        <v>0.0</v>
      </c>
      <c r="AL197" s="205">
        <v>0.26919411</v>
      </c>
      <c r="AM197" s="205">
        <v>0.0</v>
      </c>
      <c r="AN197" s="205">
        <v>0.0</v>
      </c>
      <c r="AO197" s="205">
        <v>0.0</v>
      </c>
      <c r="AP197" s="205">
        <v>0.0</v>
      </c>
      <c r="AQ197" s="205">
        <v>0.0</v>
      </c>
      <c r="AR197" s="205">
        <v>0.65847718</v>
      </c>
      <c r="AS197" s="205">
        <v>0.0</v>
      </c>
      <c r="AT197" s="205">
        <v>0.36069046</v>
      </c>
      <c r="AU197" s="205">
        <v>0.0</v>
      </c>
      <c r="AV197" s="205">
        <v>0.91348089</v>
      </c>
      <c r="AW197" s="205">
        <v>0.0</v>
      </c>
      <c r="AX197" s="205">
        <v>0.0</v>
      </c>
      <c r="AY197" s="205">
        <v>0.0</v>
      </c>
      <c r="AZ197" s="205">
        <v>0.93656677</v>
      </c>
      <c r="BA197" s="205">
        <v>1.46521233</v>
      </c>
      <c r="BB197" s="205">
        <v>0.0</v>
      </c>
      <c r="BC197" s="205">
        <v>0.0</v>
      </c>
      <c r="BD197" s="205">
        <v>2.71312083</v>
      </c>
      <c r="BE197" s="205">
        <v>0.10003177</v>
      </c>
      <c r="BF197" s="205">
        <v>0.0</v>
      </c>
      <c r="BG197" s="205">
        <v>0.0</v>
      </c>
      <c r="BH197" s="205">
        <v>0.0</v>
      </c>
      <c r="BI197" s="205">
        <v>0.25966324</v>
      </c>
      <c r="BJ197" s="205">
        <v>0.8103357</v>
      </c>
      <c r="BK197" s="205">
        <v>0.0</v>
      </c>
      <c r="BL197" s="205">
        <v>0.0</v>
      </c>
      <c r="BM197" s="205">
        <v>3.0731759</v>
      </c>
      <c r="BN197" s="205">
        <v>2.54791909</v>
      </c>
      <c r="BO197" s="205">
        <v>0.0</v>
      </c>
      <c r="BP197" s="205">
        <v>0.0</v>
      </c>
      <c r="BQ197" s="205">
        <v>0.0</v>
      </c>
      <c r="BR197" s="206"/>
      <c r="BS197" s="207">
        <f t="shared" si="6"/>
        <v>0.4971333098</v>
      </c>
      <c r="BT197" s="207">
        <f t="shared" si="7"/>
        <v>0.6466178972</v>
      </c>
      <c r="BU197" s="206"/>
      <c r="BV197" s="207">
        <f>IFERROR(__xludf.DUMMYFUNCTION("AVERAGE(ARRAYFORMULA(XLOOKUP(FILTER(INDIRECT(""'""&amp;BV$1&amp;""'!$C$4:$C$66""),INDIRECT(""'""&amp;BV$1&amp;""'!$D$4:$D$66"")=BV$2),$G$4:$BQ$4,$G197:$BQ197)))"),0.014290252857142858)</f>
        <v>0.01429025286</v>
      </c>
      <c r="BW197" s="207" t="str">
        <f>IFERROR(__xludf.DUMMYFUNCTION("IF(OR(BV197&gt;$BS197+$BT197*$BT$2,BV197&lt;$BS197-$BT197*$BT$2),AVEDEV(ARRAYFORMULA(XLOOKUP(FILTER(INDIRECT(""'""&amp;BV$1&amp;""'!$C$4:$C$66""),INDIRECT(""'""&amp;BV$1&amp;""'!$D$4:$D$66"")=BV$2),$G$4:$BQ$4,$G197:$BQ197))),"""")"),"")</f>
        <v/>
      </c>
      <c r="BX197" s="208" t="str">
        <f t="shared" si="8"/>
        <v/>
      </c>
      <c r="BY197" s="207">
        <f>IFERROR(__xludf.DUMMYFUNCTION("AVERAGE(ARRAYFORMULA(XLOOKUP(FILTER(INDIRECT(""'""&amp;BY$1&amp;""'!$C$4:$C$66""),INDIRECT(""'""&amp;BY$1&amp;""'!$D$4:$D$66"")=BY$2),$G$4:$BQ$4,$G197:$BQ197)))"),0.23339152738095242)</f>
        <v>0.2333915274</v>
      </c>
      <c r="BZ197" s="207" t="str">
        <f>IFERROR(__xludf.DUMMYFUNCTION("IF(OR(BY197&gt;$BS197+$BT197*$BT$2,BY197&lt;$BS197-$BT197*$BT$2),AVEDEV(ARRAYFORMULA(XLOOKUP(FILTER(INDIRECT(""'""&amp;BY$1&amp;""'!$C$4:$C$66""),INDIRECT(""'""&amp;BY$1&amp;""'!$D$4:$D$66"")=BY$2),$G$4:$BQ$4,$G197:$BQ197))),"""")"),"")</f>
        <v/>
      </c>
      <c r="CA197" s="208" t="str">
        <f t="shared" si="9"/>
        <v/>
      </c>
      <c r="CB197" s="207">
        <f>IFERROR(__xludf.DUMMYFUNCTION("AVERAGE(ARRAYFORMULA(XLOOKUP(FILTER(INDIRECT(""'""&amp;CB$1&amp;""'!$C$4:$C$66""),INDIRECT(""'""&amp;CB$1&amp;""'!$D$4:$D$66"")=CB$2),$G$4:$BQ$4,$G197:$BQ197)))"),1.5849354509090907)</f>
        <v>1.584935451</v>
      </c>
      <c r="CC197" s="207">
        <f>IFERROR(__xludf.DUMMYFUNCTION("IF(OR(CB197&gt;$BS197+$BT197*$BT$2,CB197&lt;$BS197-$BT197*$BT$2),AVEDEV(ARRAYFORMULA(XLOOKUP(FILTER(INDIRECT(""'""&amp;CB$1&amp;""'!$C$4:$C$66""),INDIRECT(""'""&amp;CB$1&amp;""'!$D$4:$D$66"")=CB$2),$G$4:$BQ$4,$G197:$BQ197))),"""")"),0.39728934661157017)</f>
        <v>0.3972893466</v>
      </c>
      <c r="CD197" s="208">
        <f t="shared" si="10"/>
        <v>0.4411842438</v>
      </c>
      <c r="CE197" s="209" t="s">
        <v>444</v>
      </c>
      <c r="CF197" s="207">
        <f>IFERROR(__xludf.DUMMYFUNCTION("AVERAGE(ARRAYFORMULA(XLOOKUP(FILTER(INDIRECT(""'""&amp;CF$1&amp;""'!$C$4:$C$66""),INDIRECT(""'""&amp;CF$1&amp;""'!$D$4:$D$66"")=CF$2),$G$4:$BQ$4,$G197:$BQ197)))"),0.023711215)</f>
        <v>0.023711215</v>
      </c>
      <c r="CG197" s="207" t="str">
        <f>IFERROR(__xludf.DUMMYFUNCTION("IF(OR(CF197&gt;$BS197+$BT197*$BT$2,CF197&lt;$BS197-$BT197*$BT$2),AVEDEV(ARRAYFORMULA(XLOOKUP(FILTER(INDIRECT(""'""&amp;CF$1&amp;""'!$C$4:$C$66""),INDIRECT(""'""&amp;CF$1&amp;""'!$D$4:$D$66"")=CF$2),$G$4:$BQ$4,$G197:$BQ197))),"""")"),"")</f>
        <v/>
      </c>
      <c r="CH197" s="208" t="str">
        <f t="shared" si="11"/>
        <v/>
      </c>
      <c r="CI197" s="207">
        <f>IFERROR(__xludf.DUMMYFUNCTION("AVERAGE(ARRAYFORMULA(XLOOKUP(FILTER(INDIRECT(""'""&amp;CI$1&amp;""'!$C$4:$C$66""),INDIRECT(""'""&amp;CI$1&amp;""'!$D$4:$D$66"")=CI$2),$G$4:$BQ$4,$G197:$BQ197)))"),0.5460491303225805)</f>
        <v>0.5460491303</v>
      </c>
      <c r="CJ197" s="207" t="str">
        <f>IFERROR(__xludf.DUMMYFUNCTION("IF(OR(CI197&gt;$BS197+$BT197*$BT$2,CI197&lt;$BS197-$BT197*$BT$2),AVEDEV(ARRAYFORMULA(XLOOKUP(FILTER(INDIRECT(""'""&amp;CI$1&amp;""'!$C$4:$C$66""),INDIRECT(""'""&amp;CI$1&amp;""'!$D$4:$D$66"")=CI$2),$G$4:$BQ$4,$G197:$BQ197))),"""")"),"")</f>
        <v/>
      </c>
      <c r="CK197" s="208" t="str">
        <f t="shared" si="12"/>
        <v/>
      </c>
      <c r="CL197" s="207">
        <f>IFERROR(__xludf.DUMMYFUNCTION("AVERAGE(ARRAYFORMULA(XLOOKUP(FILTER(INDIRECT(""'""&amp;CL$1&amp;""'!$C$4:$C$66""),INDIRECT(""'""&amp;CL$1&amp;""'!$D$4:$D$66"")=CL$2),$G$4:$BQ$4,$G197:$BQ197)))"),0.9917610939999999)</f>
        <v>0.991761094</v>
      </c>
      <c r="CM197" s="207" t="str">
        <f>IFERROR(__xludf.DUMMYFUNCTION("IF(OR(CL197&gt;$BS197+$BT197*$BT$2,CL197&lt;$BS197-$BT197*$BT$2),AVEDEV(ARRAYFORMULA(XLOOKUP(FILTER(INDIRECT(""'""&amp;CL$1&amp;""'!$C$4:$C$66""),INDIRECT(""'""&amp;CL$1&amp;""'!$D$4:$D$66"")=CL$2),$G$4:$BQ$4,$G197:$BQ197))),"""")"),"")</f>
        <v/>
      </c>
      <c r="CN197" s="208" t="str">
        <f t="shared" si="13"/>
        <v/>
      </c>
      <c r="CO197" s="209" t="s">
        <v>444</v>
      </c>
      <c r="CP197" s="210">
        <f>IFERROR(__xludf.DUMMYFUNCTION("AVERAGE(ARRAYFORMULA(XLOOKUP(FILTER(INDIRECT(""'""&amp;CP$1&amp;""'!$C$4:$C$66""),INDIRECT(""'""&amp;CP$1&amp;""'!$D$4:$D$66"")=CP$2),$G$4:$BQ$4,$G197:$BQ197)))"),0.6132025846666667)</f>
        <v>0.6132025847</v>
      </c>
      <c r="CQ197" s="207" t="str">
        <f>IFERROR(__xludf.DUMMYFUNCTION("IF(OR(CP197&gt;$BS197+$BT197*$BT$2,CP197&lt;$BS197-$BT197*$BT$2),AVEDEV(ARRAYFORMULA(XLOOKUP(FILTER(INDIRECT(""'""&amp;CP$1&amp;""'!$C$4:$C$66""),INDIRECT(""'""&amp;CP$1&amp;""'!$D$4:$D$66"")=CP$2),$G$4:$BQ$4,$G197:$BQ197))),"""")"),"")</f>
        <v/>
      </c>
      <c r="CR197" s="208" t="str">
        <f t="shared" si="14"/>
        <v/>
      </c>
      <c r="CS197" s="210">
        <f>IFERROR(__xludf.DUMMYFUNCTION("AVERAGE(ARRAYFORMULA(XLOOKUP(FILTER(INDIRECT(""'""&amp;CS$1&amp;""'!$C$4:$C$66""),INDIRECT(""'""&amp;CS$1&amp;""'!$D$4:$D$66"")=CS$2),$G$4:$BQ$4,$G197:$BQ197)))"),0.33794670871794874)</f>
        <v>0.3379467087</v>
      </c>
      <c r="CT197" s="207" t="str">
        <f>IFERROR(__xludf.DUMMYFUNCTION("IF(OR(CS197&gt;$BS197+$BT197*$BT$2,CS197&lt;$BS197-$BT197*$BT$2),AVEDEV(ARRAYFORMULA(XLOOKUP(FILTER(INDIRECT(""'""&amp;CS$1&amp;""'!$C$4:$C$66""),INDIRECT(""'""&amp;CS$1&amp;""'!$D$4:$D$66"")=CS$2),$G$4:$BQ$4,$G197:$BQ197))),"""")"),"")</f>
        <v/>
      </c>
      <c r="CU197" s="208" t="str">
        <f t="shared" si="15"/>
        <v/>
      </c>
      <c r="CV197" s="210">
        <f>IFERROR(__xludf.DUMMYFUNCTION("AVERAGE(ARRAYFORMULA(XLOOKUP(FILTER(INDIRECT(""'""&amp;CV$1&amp;""'!$C$4:$C$66""),INDIRECT(""'""&amp;CV$1&amp;""'!$D$4:$D$66"")=CV$2),$G$4:$BQ$4,$G197:$BQ197)))"),0.9917610939999999)</f>
        <v>0.991761094</v>
      </c>
      <c r="CW197" s="207" t="str">
        <f>IFERROR(__xludf.DUMMYFUNCTION("IF(OR(CV197&gt;$BS197+$BT197*$BT$2,CV197&lt;$BS197-$BT197*$BT$2),AVEDEV(ARRAYFORMULA(XLOOKUP(FILTER(INDIRECT(""'""&amp;CV$1&amp;""'!$C$4:$C$66""),INDIRECT(""'""&amp;CV$1&amp;""'!$D$4:$D$66"")=CV$2),$G$4:$BQ$4,$G197:$BQ197))),"""")"),"")</f>
        <v/>
      </c>
      <c r="CX197" s="208" t="str">
        <f t="shared" si="16"/>
        <v/>
      </c>
      <c r="CY197" s="209" t="s">
        <v>444</v>
      </c>
      <c r="CZ197" s="210">
        <f>IFERROR(__xludf.DUMMYFUNCTION("AVERAGE(ARRAYFORMULA(XLOOKUP(FILTER(INDIRECT(""'""&amp;CZ$1&amp;""'!$C$4:$C$66""),INDIRECT(""'""&amp;CZ$1&amp;""'!$D$4:$D$66"")=CZ$2),$G$4:$BQ$4,$G197:$BQ197)))"),0.02056307785714286)</f>
        <v>0.02056307786</v>
      </c>
      <c r="DA197" s="207" t="str">
        <f>IFERROR(__xludf.DUMMYFUNCTION("IF(OR(CZ197&gt;$BS197+$BT197*$BT$2,CZ197&lt;$BS197-$BT197*$BT$2),AVEDEV(ARRAYFORMULA(XLOOKUP(FILTER(INDIRECT(""'""&amp;CZ$1&amp;""'!$C$4:$C$66""),INDIRECT(""'""&amp;CZ$1&amp;""'!$D$4:$D$66"")=CZ$2),$G$4:$BQ$4,$G197:$BQ197))),"""")"),"")</f>
        <v/>
      </c>
      <c r="DB197" s="208" t="str">
        <f t="shared" si="17"/>
        <v/>
      </c>
      <c r="DC197" s="210">
        <f>IFERROR(__xludf.DUMMYFUNCTION("AVERAGE(ARRAYFORMULA(XLOOKUP(FILTER(INDIRECT(""'""&amp;DC$1&amp;""'!$C$4:$C$66""),INDIRECT(""'""&amp;DC$1&amp;""'!$D$4:$D$66"")=DC$2),$G$4:$BQ$4,$G197:$BQ197)))"),1.4916163655555554)</f>
        <v>1.491616366</v>
      </c>
      <c r="DD197" s="207">
        <f>IFERROR(__xludf.DUMMYFUNCTION("IF(OR(DC197&gt;$BS197+$BT197*$BT$2,DC197&lt;$BS197-$BT197*$BT$2),AVEDEV(ARRAYFORMULA(XLOOKUP(FILTER(INDIRECT(""'""&amp;DC$1&amp;""'!$C$4:$C$66""),INDIRECT(""'""&amp;DC$1&amp;""'!$D$4:$D$66"")=DC$2),$G$4:$BQ$4,$G197:$BQ197))),"""")"),0.21706849185185184)</f>
        <v>0.2170684919</v>
      </c>
      <c r="DE197" s="208">
        <f t="shared" si="18"/>
        <v>0.3478651585</v>
      </c>
      <c r="DF197" s="210">
        <f>IFERROR(__xludf.DUMMYFUNCTION("AVERAGE(ARRAYFORMULA(XLOOKUP(FILTER(INDIRECT(""'""&amp;DF$1&amp;""'!$C$4:$C$66""),INDIRECT(""'""&amp;DF$1&amp;""'!$D$4:$D$66"")=DF$2),$G$4:$BQ$4,$G197:$BQ197)))"),0.45971523)</f>
        <v>0.45971523</v>
      </c>
      <c r="DG197" s="207" t="str">
        <f>IFERROR(__xludf.DUMMYFUNCTION("IF(OR(DF197&gt;$BS197+$BT197*$BT$2,DF197&lt;$BS197-$BT197*$BT$2),AVEDEV(ARRAYFORMULA(XLOOKUP(FILTER(INDIRECT(""'""&amp;DF$1&amp;""'!$C$4:$C$66""),INDIRECT(""'""&amp;DF$1&amp;""'!$D$4:$D$66"")=DF$2),$G$4:$BQ$4,$G197:$BQ197))),"""")"),"")</f>
        <v/>
      </c>
      <c r="DH197" s="208" t="str">
        <f t="shared" si="19"/>
        <v/>
      </c>
      <c r="DI197" s="210">
        <f>IFERROR(__xludf.DUMMYFUNCTION("AVERAGE(ARRAYFORMULA(XLOOKUP(FILTER(INDIRECT(""'""&amp;DI$1&amp;""'!$C$4:$C$66""),INDIRECT(""'""&amp;DI$1&amp;""'!$D$4:$D$66"")=DI$2),$G$4:$BQ$4,$G197:$BQ197)))"),0.0)</f>
        <v>0</v>
      </c>
      <c r="DJ197" s="207" t="str">
        <f>IFERROR(__xludf.DUMMYFUNCTION("IF(OR(DI197&gt;$BS197+$BT197*$BT$2,DI197&lt;$BS197-$BT197*$BT$2),AVEDEV(ARRAYFORMULA(XLOOKUP(FILTER(INDIRECT(""'""&amp;DI$1&amp;""'!$C$4:$C$66""),INDIRECT(""'""&amp;DI$1&amp;""'!$D$4:$D$66"")=DI$2),$G$4:$BQ$4,$G197:$BQ197))),"""")"),"")</f>
        <v/>
      </c>
      <c r="DK197" s="208" t="str">
        <f t="shared" si="20"/>
        <v/>
      </c>
      <c r="DL197" s="210">
        <f>IFERROR(__xludf.DUMMYFUNCTION("AVERAGE(ARRAYFORMULA(XLOOKUP(FILTER(INDIRECT(""'""&amp;DL$1&amp;""'!$C$4:$C$66""),INDIRECT(""'""&amp;DL$1&amp;""'!$D$4:$D$66"")=DL$2),$G$4:$BQ$4,$G197:$BQ197)))"),0.3853043071428572)</f>
        <v>0.3853043071</v>
      </c>
      <c r="DM197" s="207" t="str">
        <f>IFERROR(__xludf.DUMMYFUNCTION("IF(OR(DL197&gt;$BS197+$BT197*$BT$2,DL197&lt;$BS197-$BT197*$BT$2),AVEDEV(ARRAYFORMULA(XLOOKUP(FILTER(INDIRECT(""'""&amp;DL$1&amp;""'!$C$4:$C$66""),INDIRECT(""'""&amp;DL$1&amp;""'!$D$4:$D$66"")=DL$2),$G$4:$BQ$4,$G197:$BQ197))),"""")"),"")</f>
        <v/>
      </c>
      <c r="DN197" s="208" t="str">
        <f t="shared" si="21"/>
        <v/>
      </c>
      <c r="DO197" s="209" t="s">
        <v>444</v>
      </c>
      <c r="DP197" s="210">
        <f>IFERROR(__xludf.DUMMYFUNCTION("AVERAGE(ARRAYFORMULA(XLOOKUP(FILTER(INDIRECT(""'""&amp;DP$1&amp;""'!$C$4:$C$66""),INDIRECT(""'""&amp;DP$1&amp;""'!$D$4:$D$66"")=DP$2),$G$4:$BQ$4,$G197:$BQ197)))"),0.10161700033333333)</f>
        <v>0.1016170003</v>
      </c>
      <c r="DQ197" s="207" t="str">
        <f>IFERROR(__xludf.DUMMYFUNCTION("IF(OR(DP197&gt;$BS197+$BT197*$BT$2,DP197&lt;$BS197-$BT197*$BT$2),AVEDEV(ARRAYFORMULA(XLOOKUP(FILTER(INDIRECT(""'""&amp;DP$1&amp;""'!$C$4:$C$66""),INDIRECT(""'""&amp;DP$1&amp;""'!$D$4:$D$66"")=DP$2),$G$4:$BQ$4,$G197:$BQ197))),"""")"),"")</f>
        <v/>
      </c>
      <c r="DR197" s="208" t="str">
        <f t="shared" si="22"/>
        <v/>
      </c>
      <c r="DS197" s="210">
        <f>IFERROR(__xludf.DUMMYFUNCTION("AVERAGE(ARRAYFORMULA(XLOOKUP(FILTER(INDIRECT(""'""&amp;DS$1&amp;""'!$C$4:$C$66""),INDIRECT(""'""&amp;DS$1&amp;""'!$D$4:$D$66"")=DS$2),$G$4:$BQ$4,$G197:$BQ197)))"),1.554802501111111)</f>
        <v>1.554802501</v>
      </c>
      <c r="DT197" s="207">
        <f>IFERROR(__xludf.DUMMYFUNCTION("IF(OR(DS197&gt;$BS197+$BT197*$BT$2,DS197&lt;$BS197-$BT197*$BT$2),AVEDEV(ARRAYFORMULA(XLOOKUP(FILTER(INDIRECT(""'""&amp;DS$1&amp;""'!$C$4:$C$66""),INDIRECT(""'""&amp;DS$1&amp;""'!$D$4:$D$66"")=DS$2),$G$4:$BQ$4,$G197:$BQ197))),"""")"),0.42274700814814814)</f>
        <v>0.4227470081</v>
      </c>
      <c r="DU197" s="208">
        <f t="shared" si="23"/>
        <v>0.411051294</v>
      </c>
      <c r="DV197" s="210">
        <f>IFERROR(__xludf.DUMMYFUNCTION("AVERAGE(ARRAYFORMULA(XLOOKUP(FILTER(INDIRECT(""'""&amp;DV$1&amp;""'!$C$4:$C$66""),INDIRECT(""'""&amp;DV$1&amp;""'!$D$4:$D$66"")=DV$2),$G$4:$BQ$4,$G197:$BQ197)))"),0.45883194000000005)</f>
        <v>0.45883194</v>
      </c>
      <c r="DW197" s="207" t="str">
        <f>IFERROR(__xludf.DUMMYFUNCTION("IF(OR(DV197&gt;$BS197+$BT197*$BT$2,DV197&lt;$BS197-$BT197*$BT$2),AVEDEV(ARRAYFORMULA(XLOOKUP(FILTER(INDIRECT(""'""&amp;DV$1&amp;""'!$C$4:$C$66""),INDIRECT(""'""&amp;DV$1&amp;""'!$D$4:$D$66"")=DV$2),$G$4:$BQ$4,$G197:$BQ197))),"""")"),"")</f>
        <v/>
      </c>
      <c r="DX197" s="208" t="str">
        <f t="shared" si="24"/>
        <v/>
      </c>
      <c r="DY197" s="210">
        <f>IFERROR(__xludf.DUMMYFUNCTION("AVERAGE(ARRAYFORMULA(XLOOKUP(FILTER(INDIRECT(""'""&amp;DY$1&amp;""'!$C$4:$C$66""),INDIRECT(""'""&amp;DY$1&amp;""'!$D$4:$D$66"")=DY$2),$G$4:$BQ$4,$G197:$BQ197)))"),0.6628778511111112)</f>
        <v>0.6628778511</v>
      </c>
      <c r="DZ197" s="207" t="str">
        <f>IFERROR(__xludf.DUMMYFUNCTION("IF(OR(DY197&gt;$BS197+$BT197*$BT$2,DY197&lt;$BS197-$BT197*$BT$2),AVEDEV(ARRAYFORMULA(XLOOKUP(FILTER(INDIRECT(""'""&amp;DY$1&amp;""'!$C$4:$C$66""),INDIRECT(""'""&amp;DY$1&amp;""'!$D$4:$D$66"")=DY$2),$G$4:$BQ$4,$G197:$BQ197))),"""")"),"")</f>
        <v/>
      </c>
      <c r="EA197" s="208" t="str">
        <f t="shared" si="25"/>
        <v/>
      </c>
      <c r="EB197" s="191"/>
    </row>
    <row r="198" outlineLevel="1">
      <c r="A198" s="2"/>
      <c r="B198" s="204">
        <v>194.0</v>
      </c>
      <c r="C198" s="204" t="s">
        <v>630</v>
      </c>
      <c r="D198" s="204" t="s">
        <v>642</v>
      </c>
      <c r="E198" s="205" t="b">
        <f>VLOOKUP(D198,'Feature Set List'!A194:C246,2,0)</f>
        <v>1</v>
      </c>
      <c r="F198" s="205" t="b">
        <f>VLOOKUP(D198,'Feature Set List'!A194:C246,3,0)</f>
        <v>1</v>
      </c>
      <c r="G198" s="205">
        <v>0.0</v>
      </c>
      <c r="H198" s="205">
        <v>0.0</v>
      </c>
      <c r="I198" s="205">
        <v>0.0</v>
      </c>
      <c r="J198" s="205">
        <v>0.0</v>
      </c>
      <c r="K198" s="205">
        <v>0.0</v>
      </c>
      <c r="L198" s="205">
        <v>0.0</v>
      </c>
      <c r="M198" s="205">
        <v>0.0</v>
      </c>
      <c r="N198" s="205">
        <v>0.0</v>
      </c>
      <c r="O198" s="205">
        <v>0.0</v>
      </c>
      <c r="P198" s="205">
        <v>0.0</v>
      </c>
      <c r="Q198" s="205">
        <v>0.0</v>
      </c>
      <c r="R198" s="205">
        <v>0.0</v>
      </c>
      <c r="S198" s="205">
        <v>0.0</v>
      </c>
      <c r="T198" s="205">
        <v>0.0</v>
      </c>
      <c r="U198" s="205">
        <v>0.03834</v>
      </c>
      <c r="V198" s="205">
        <v>0.0</v>
      </c>
      <c r="W198" s="205">
        <v>0.0</v>
      </c>
      <c r="X198" s="205">
        <v>0.0</v>
      </c>
      <c r="Y198" s="205">
        <v>0.0</v>
      </c>
      <c r="Z198" s="205">
        <v>0.0</v>
      </c>
      <c r="AA198" s="205">
        <v>0.0</v>
      </c>
      <c r="AB198" s="205">
        <v>0.0</v>
      </c>
      <c r="AC198" s="205">
        <v>0.0</v>
      </c>
      <c r="AD198" s="205">
        <v>0.0</v>
      </c>
      <c r="AE198" s="205">
        <v>0.0</v>
      </c>
      <c r="AF198" s="205">
        <v>0.0</v>
      </c>
      <c r="AG198" s="205">
        <v>0.0</v>
      </c>
      <c r="AH198" s="205">
        <v>0.0</v>
      </c>
      <c r="AI198" s="205">
        <v>0.08203</v>
      </c>
      <c r="AJ198" s="205">
        <v>0.0</v>
      </c>
      <c r="AK198" s="205">
        <v>0.103</v>
      </c>
      <c r="AL198" s="205">
        <v>0.0</v>
      </c>
      <c r="AM198" s="205">
        <v>0.04946</v>
      </c>
      <c r="AN198" s="205">
        <v>0.0</v>
      </c>
      <c r="AO198" s="205">
        <v>0.0</v>
      </c>
      <c r="AP198" s="205">
        <v>0.0</v>
      </c>
      <c r="AQ198" s="205">
        <v>0.0851</v>
      </c>
      <c r="AR198" s="205">
        <v>0.0</v>
      </c>
      <c r="AS198" s="205">
        <v>0.0</v>
      </c>
      <c r="AT198" s="205">
        <v>0.0</v>
      </c>
      <c r="AU198" s="205">
        <v>0.0</v>
      </c>
      <c r="AV198" s="205">
        <v>0.0</v>
      </c>
      <c r="AW198" s="205">
        <v>0.0</v>
      </c>
      <c r="AX198" s="205">
        <v>0.0</v>
      </c>
      <c r="AY198" s="205">
        <v>0.0</v>
      </c>
      <c r="AZ198" s="205">
        <v>0.0</v>
      </c>
      <c r="BA198" s="205">
        <v>0.0</v>
      </c>
      <c r="BB198" s="205">
        <v>0.0</v>
      </c>
      <c r="BC198" s="205">
        <v>0.0</v>
      </c>
      <c r="BD198" s="205">
        <v>0.0</v>
      </c>
      <c r="BE198" s="205">
        <v>0.0</v>
      </c>
      <c r="BF198" s="205">
        <v>0.0</v>
      </c>
      <c r="BG198" s="205">
        <v>0.0</v>
      </c>
      <c r="BH198" s="205">
        <v>0.0</v>
      </c>
      <c r="BI198" s="205">
        <v>0.0</v>
      </c>
      <c r="BJ198" s="205">
        <v>0.03189</v>
      </c>
      <c r="BK198" s="205">
        <v>0.0</v>
      </c>
      <c r="BL198" s="205">
        <v>0.0</v>
      </c>
      <c r="BM198" s="205">
        <v>0.0</v>
      </c>
      <c r="BN198" s="205">
        <v>0.08391</v>
      </c>
      <c r="BO198" s="205">
        <v>0.0</v>
      </c>
      <c r="BP198" s="205">
        <v>0.0</v>
      </c>
      <c r="BQ198" s="205">
        <v>0.03879</v>
      </c>
      <c r="BR198" s="206"/>
      <c r="BS198" s="207">
        <f t="shared" si="6"/>
        <v>0.008135238095</v>
      </c>
      <c r="BT198" s="207">
        <f t="shared" si="7"/>
        <v>0.01420438398</v>
      </c>
      <c r="BU198" s="206"/>
      <c r="BV198" s="207">
        <f>IFERROR(__xludf.DUMMYFUNCTION("AVERAGE(ARRAYFORMULA(XLOOKUP(FILTER(INDIRECT(""'""&amp;BV$1&amp;""'!$C$4:$C$66""),INDIRECT(""'""&amp;BV$1&amp;""'!$D$4:$D$66"")=BV$2),$G$4:$BQ$4,$G198:$BQ198)))"),0.005477142857142857)</f>
        <v>0.005477142857</v>
      </c>
      <c r="BW198" s="207" t="str">
        <f>IFERROR(__xludf.DUMMYFUNCTION("IF(OR(BV198&gt;$BS198+$BT198*$BT$2,BV198&lt;$BS198-$BT198*$BT$2),AVEDEV(ARRAYFORMULA(XLOOKUP(FILTER(INDIRECT(""'""&amp;BV$1&amp;""'!$C$4:$C$66""),INDIRECT(""'""&amp;BV$1&amp;""'!$D$4:$D$66"")=BV$2),$G$4:$BQ$4,$G198:$BQ198))),"""")"),"")</f>
        <v/>
      </c>
      <c r="BX198" s="208" t="str">
        <f t="shared" si="8"/>
        <v/>
      </c>
      <c r="BY198" s="207">
        <f>IFERROR(__xludf.DUMMYFUNCTION("AVERAGE(ARRAYFORMULA(XLOOKUP(FILTER(INDIRECT(""'""&amp;BY$1&amp;""'!$C$4:$C$66""),INDIRECT(""'""&amp;BY$1&amp;""'!$D$4:$D$66"")=BY$2),$G$4:$BQ$4,$G198:$BQ198)))"),0.011289999999999998)</f>
        <v>0.01129</v>
      </c>
      <c r="BZ198" s="207" t="str">
        <f>IFERROR(__xludf.DUMMYFUNCTION("IF(OR(BY198&gt;$BS198+$BT198*$BT$2,BY198&lt;$BS198-$BT198*$BT$2),AVEDEV(ARRAYFORMULA(XLOOKUP(FILTER(INDIRECT(""'""&amp;BY$1&amp;""'!$C$4:$C$66""),INDIRECT(""'""&amp;BY$1&amp;""'!$D$4:$D$66"")=BY$2),$G$4:$BQ$4,$G198:$BQ198))),"""")"),"")</f>
        <v/>
      </c>
      <c r="CA198" s="208" t="str">
        <f t="shared" si="9"/>
        <v/>
      </c>
      <c r="CB198" s="207">
        <f>IFERROR(__xludf.DUMMYFUNCTION("AVERAGE(ARRAYFORMULA(XLOOKUP(FILTER(INDIRECT(""'""&amp;CB$1&amp;""'!$C$4:$C$66""),INDIRECT(""'""&amp;CB$1&amp;""'!$D$4:$D$66"")=CB$2),$G$4:$BQ$4,$G198:$BQ198)))"),0.0)</f>
        <v>0</v>
      </c>
      <c r="CC198" s="207" t="str">
        <f>IFERROR(__xludf.DUMMYFUNCTION("IF(OR(CB198&gt;$BS198+$BT198*$BT$2,CB198&lt;$BS198-$BT198*$BT$2),AVEDEV(ARRAYFORMULA(XLOOKUP(FILTER(INDIRECT(""'""&amp;CB$1&amp;""'!$C$4:$C$66""),INDIRECT(""'""&amp;CB$1&amp;""'!$D$4:$D$66"")=CB$2),$G$4:$BQ$4,$G198:$BQ198))),"""")"),"")</f>
        <v/>
      </c>
      <c r="CD198" s="208" t="str">
        <f t="shared" si="10"/>
        <v/>
      </c>
      <c r="CE198" s="209" t="s">
        <v>444</v>
      </c>
      <c r="CF198" s="207">
        <f>IFERROR(__xludf.DUMMYFUNCTION("AVERAGE(ARRAYFORMULA(XLOOKUP(FILTER(INDIRECT(""'""&amp;CF$1&amp;""'!$C$4:$C$66""),INDIRECT(""'""&amp;CF$1&amp;""'!$D$4:$D$66"")=CF$2),$G$4:$BQ$4,$G198:$BQ198)))"),0.019279374999999998)</f>
        <v>0.019279375</v>
      </c>
      <c r="CG198" s="207" t="str">
        <f>IFERROR(__xludf.DUMMYFUNCTION("IF(OR(CF198&gt;$BS198+$BT198*$BT$2,CF198&lt;$BS198-$BT198*$BT$2),AVEDEV(ARRAYFORMULA(XLOOKUP(FILTER(INDIRECT(""'""&amp;CF$1&amp;""'!$C$4:$C$66""),INDIRECT(""'""&amp;CF$1&amp;""'!$D$4:$D$66"")=CF$2),$G$4:$BQ$4,$G198:$BQ198))),"""")"),"")</f>
        <v/>
      </c>
      <c r="CH198" s="208" t="str">
        <f t="shared" si="11"/>
        <v/>
      </c>
      <c r="CI198" s="207">
        <f>IFERROR(__xludf.DUMMYFUNCTION("AVERAGE(ARRAYFORMULA(XLOOKUP(FILTER(INDIRECT(""'""&amp;CI$1&amp;""'!$C$4:$C$66""),INDIRECT(""'""&amp;CI$1&amp;""'!$D$4:$D$66"")=CI$2),$G$4:$BQ$4,$G198:$BQ198)))"),0.006582258064516129)</f>
        <v>0.006582258065</v>
      </c>
      <c r="CJ198" s="207" t="str">
        <f>IFERROR(__xludf.DUMMYFUNCTION("IF(OR(CI198&gt;$BS198+$BT198*$BT$2,CI198&lt;$BS198-$BT198*$BT$2),AVEDEV(ARRAYFORMULA(XLOOKUP(FILTER(INDIRECT(""'""&amp;CI$1&amp;""'!$C$4:$C$66""),INDIRECT(""'""&amp;CI$1&amp;""'!$D$4:$D$66"")=CI$2),$G$4:$BQ$4,$G198:$BQ198))),"""")"),"")</f>
        <v/>
      </c>
      <c r="CK198" s="208" t="str">
        <f t="shared" si="12"/>
        <v/>
      </c>
      <c r="CL198" s="207">
        <f>IFERROR(__xludf.DUMMYFUNCTION("AVERAGE(ARRAYFORMULA(XLOOKUP(FILTER(INDIRECT(""'""&amp;CL$1&amp;""'!$C$4:$C$66""),INDIRECT(""'""&amp;CL$1&amp;""'!$D$4:$D$66"")=CL$2),$G$4:$BQ$4,$G198:$BQ198)))"),0.0)</f>
        <v>0</v>
      </c>
      <c r="CM198" s="207" t="str">
        <f>IFERROR(__xludf.DUMMYFUNCTION("IF(OR(CL198&gt;$BS198+$BT198*$BT$2,CL198&lt;$BS198-$BT198*$BT$2),AVEDEV(ARRAYFORMULA(XLOOKUP(FILTER(INDIRECT(""'""&amp;CL$1&amp;""'!$C$4:$C$66""),INDIRECT(""'""&amp;CL$1&amp;""'!$D$4:$D$66"")=CL$2),$G$4:$BQ$4,$G198:$BQ198))),"""")"),"")</f>
        <v/>
      </c>
      <c r="CN198" s="208" t="str">
        <f t="shared" si="13"/>
        <v/>
      </c>
      <c r="CO198" s="209" t="s">
        <v>444</v>
      </c>
      <c r="CP198" s="210">
        <f>IFERROR(__xludf.DUMMYFUNCTION("AVERAGE(ARRAYFORMULA(XLOOKUP(FILTER(INDIRECT(""'""&amp;CP$1&amp;""'!$C$4:$C$66""),INDIRECT(""'""&amp;CP$1&amp;""'!$D$4:$D$66"")=CP$2),$G$4:$BQ$4,$G198:$BQ198)))"),0.002556)</f>
        <v>0.002556</v>
      </c>
      <c r="CQ198" s="207" t="str">
        <f>IFERROR(__xludf.DUMMYFUNCTION("IF(OR(CP198&gt;$BS198+$BT198*$BT$2,CP198&lt;$BS198-$BT198*$BT$2),AVEDEV(ARRAYFORMULA(XLOOKUP(FILTER(INDIRECT(""'""&amp;CP$1&amp;""'!$C$4:$C$66""),INDIRECT(""'""&amp;CP$1&amp;""'!$D$4:$D$66"")=CP$2),$G$4:$BQ$4,$G198:$BQ198))),"""")"),"")</f>
        <v/>
      </c>
      <c r="CR198" s="208" t="str">
        <f t="shared" si="14"/>
        <v/>
      </c>
      <c r="CS198" s="210">
        <f>IFERROR(__xludf.DUMMYFUNCTION("AVERAGE(ARRAYFORMULA(XLOOKUP(FILTER(INDIRECT(""'""&amp;CS$1&amp;""'!$C$4:$C$66""),INDIRECT(""'""&amp;CS$1&amp;""'!$D$4:$D$66"")=CS$2),$G$4:$BQ$4,$G198:$BQ198)))"),0.012158461538461536)</f>
        <v>0.01215846154</v>
      </c>
      <c r="CT198" s="207" t="str">
        <f>IFERROR(__xludf.DUMMYFUNCTION("IF(OR(CS198&gt;$BS198+$BT198*$BT$2,CS198&lt;$BS198-$BT198*$BT$2),AVEDEV(ARRAYFORMULA(XLOOKUP(FILTER(INDIRECT(""'""&amp;CS$1&amp;""'!$C$4:$C$66""),INDIRECT(""'""&amp;CS$1&amp;""'!$D$4:$D$66"")=CS$2),$G$4:$BQ$4,$G198:$BQ198))),"""")"),"")</f>
        <v/>
      </c>
      <c r="CU198" s="208" t="str">
        <f t="shared" si="15"/>
        <v/>
      </c>
      <c r="CV198" s="210">
        <f>IFERROR(__xludf.DUMMYFUNCTION("AVERAGE(ARRAYFORMULA(XLOOKUP(FILTER(INDIRECT(""'""&amp;CV$1&amp;""'!$C$4:$C$66""),INDIRECT(""'""&amp;CV$1&amp;""'!$D$4:$D$66"")=CV$2),$G$4:$BQ$4,$G198:$BQ198)))"),0.0)</f>
        <v>0</v>
      </c>
      <c r="CW198" s="207" t="str">
        <f>IFERROR(__xludf.DUMMYFUNCTION("IF(OR(CV198&gt;$BS198+$BT198*$BT$2,CV198&lt;$BS198-$BT198*$BT$2),AVEDEV(ARRAYFORMULA(XLOOKUP(FILTER(INDIRECT(""'""&amp;CV$1&amp;""'!$C$4:$C$66""),INDIRECT(""'""&amp;CV$1&amp;""'!$D$4:$D$66"")=CV$2),$G$4:$BQ$4,$G198:$BQ198))),"""")"),"")</f>
        <v/>
      </c>
      <c r="CX198" s="208" t="str">
        <f t="shared" si="16"/>
        <v/>
      </c>
      <c r="CY198" s="209" t="s">
        <v>444</v>
      </c>
      <c r="CZ198" s="210">
        <f>IFERROR(__xludf.DUMMYFUNCTION("AVERAGE(ARRAYFORMULA(XLOOKUP(FILTER(INDIRECT(""'""&amp;CZ$1&amp;""'!$C$4:$C$66""),INDIRECT(""'""&amp;CZ$1&amp;""'!$D$4:$D$66"")=CZ$2),$G$4:$BQ$4,$G198:$BQ198)))"),0.019295)</f>
        <v>0.019295</v>
      </c>
      <c r="DA198" s="207" t="str">
        <f>IFERROR(__xludf.DUMMYFUNCTION("IF(OR(CZ198&gt;$BS198+$BT198*$BT$2,CZ198&lt;$BS198-$BT198*$BT$2),AVEDEV(ARRAYFORMULA(XLOOKUP(FILTER(INDIRECT(""'""&amp;CZ$1&amp;""'!$C$4:$C$66""),INDIRECT(""'""&amp;CZ$1&amp;""'!$D$4:$D$66"")=CZ$2),$G$4:$BQ$4,$G198:$BQ198))),"""")"),"")</f>
        <v/>
      </c>
      <c r="DB198" s="208" t="str">
        <f t="shared" si="17"/>
        <v/>
      </c>
      <c r="DC198" s="210">
        <f>IFERROR(__xludf.DUMMYFUNCTION("AVERAGE(ARRAYFORMULA(XLOOKUP(FILTER(INDIRECT(""'""&amp;DC$1&amp;""'!$C$4:$C$66""),INDIRECT(""'""&amp;DC$1&amp;""'!$D$4:$D$66"")=DC$2),$G$4:$BQ$4,$G198:$BQ198)))"),0.0)</f>
        <v>0</v>
      </c>
      <c r="DD198" s="207" t="str">
        <f>IFERROR(__xludf.DUMMYFUNCTION("IF(OR(DC198&gt;$BS198+$BT198*$BT$2,DC198&lt;$BS198-$BT198*$BT$2),AVEDEV(ARRAYFORMULA(XLOOKUP(FILTER(INDIRECT(""'""&amp;DC$1&amp;""'!$C$4:$C$66""),INDIRECT(""'""&amp;DC$1&amp;""'!$D$4:$D$66"")=DC$2),$G$4:$BQ$4,$G198:$BQ198))),"""")"),"")</f>
        <v/>
      </c>
      <c r="DE198" s="208" t="str">
        <f t="shared" si="18"/>
        <v/>
      </c>
      <c r="DF198" s="210">
        <f>IFERROR(__xludf.DUMMYFUNCTION("AVERAGE(ARRAYFORMULA(XLOOKUP(FILTER(INDIRECT(""'""&amp;DF$1&amp;""'!$C$4:$C$66""),INDIRECT(""'""&amp;DF$1&amp;""'!$D$4:$D$66"")=DF$2),$G$4:$BQ$4,$G198:$BQ198)))"),0.004496363636363636)</f>
        <v>0.004496363636</v>
      </c>
      <c r="DG198" s="207" t="str">
        <f>IFERROR(__xludf.DUMMYFUNCTION("IF(OR(DF198&gt;$BS198+$BT198*$BT$2,DF198&lt;$BS198-$BT198*$BT$2),AVEDEV(ARRAYFORMULA(XLOOKUP(FILTER(INDIRECT(""'""&amp;DF$1&amp;""'!$C$4:$C$66""),INDIRECT(""'""&amp;DF$1&amp;""'!$D$4:$D$66"")=DF$2),$G$4:$BQ$4,$G198:$BQ198))),"""")"),"")</f>
        <v/>
      </c>
      <c r="DH198" s="208" t="str">
        <f t="shared" si="19"/>
        <v/>
      </c>
      <c r="DI198" s="210">
        <f>IFERROR(__xludf.DUMMYFUNCTION("AVERAGE(ARRAYFORMULA(XLOOKUP(FILTER(INDIRECT(""'""&amp;DI$1&amp;""'!$C$4:$C$66""),INDIRECT(""'""&amp;DI$1&amp;""'!$D$4:$D$66"")=DI$2),$G$4:$BQ$4,$G198:$BQ198)))"),0.0)</f>
        <v>0</v>
      </c>
      <c r="DJ198" s="207" t="str">
        <f>IFERROR(__xludf.DUMMYFUNCTION("IF(OR(DI198&gt;$BS198+$BT198*$BT$2,DI198&lt;$BS198-$BT198*$BT$2),AVEDEV(ARRAYFORMULA(XLOOKUP(FILTER(INDIRECT(""'""&amp;DI$1&amp;""'!$C$4:$C$66""),INDIRECT(""'""&amp;DI$1&amp;""'!$D$4:$D$66"")=DI$2),$G$4:$BQ$4,$G198:$BQ198))),"""")"),"")</f>
        <v/>
      </c>
      <c r="DK198" s="208" t="str">
        <f t="shared" si="20"/>
        <v/>
      </c>
      <c r="DL198" s="210">
        <f>IFERROR(__xludf.DUMMYFUNCTION("AVERAGE(ARRAYFORMULA(XLOOKUP(FILTER(INDIRECT(""'""&amp;DL$1&amp;""'!$C$4:$C$66""),INDIRECT(""'""&amp;DL$1&amp;""'!$D$4:$D$66"")=DL$2),$G$4:$BQ$4,$G198:$BQ198)))"),0.011042142857142858)</f>
        <v>0.01104214286</v>
      </c>
      <c r="DM198" s="207" t="str">
        <f>IFERROR(__xludf.DUMMYFUNCTION("IF(OR(DL198&gt;$BS198+$BT198*$BT$2,DL198&lt;$BS198-$BT198*$BT$2),AVEDEV(ARRAYFORMULA(XLOOKUP(FILTER(INDIRECT(""'""&amp;DL$1&amp;""'!$C$4:$C$66""),INDIRECT(""'""&amp;DL$1&amp;""'!$D$4:$D$66"")=DL$2),$G$4:$BQ$4,$G198:$BQ198))),"""")"),"")</f>
        <v/>
      </c>
      <c r="DN198" s="208" t="str">
        <f t="shared" si="21"/>
        <v/>
      </c>
      <c r="DO198" s="209" t="s">
        <v>444</v>
      </c>
      <c r="DP198" s="210">
        <f>IFERROR(__xludf.DUMMYFUNCTION("AVERAGE(ARRAYFORMULA(XLOOKUP(FILTER(INDIRECT(""'""&amp;DP$1&amp;""'!$C$4:$C$66""),INDIRECT(""'""&amp;DP$1&amp;""'!$D$4:$D$66"")=DP$2),$G$4:$BQ$4,$G198:$BQ198)))"),0.011360333333333332)</f>
        <v>0.01136033333</v>
      </c>
      <c r="DQ198" s="207" t="str">
        <f>IFERROR(__xludf.DUMMYFUNCTION("IF(OR(DP198&gt;$BS198+$BT198*$BT$2,DP198&lt;$BS198-$BT198*$BT$2),AVEDEV(ARRAYFORMULA(XLOOKUP(FILTER(INDIRECT(""'""&amp;DP$1&amp;""'!$C$4:$C$66""),INDIRECT(""'""&amp;DP$1&amp;""'!$D$4:$D$66"")=DP$2),$G$4:$BQ$4,$G198:$BQ198))),"""")"),"")</f>
        <v/>
      </c>
      <c r="DR198" s="208" t="str">
        <f t="shared" si="22"/>
        <v/>
      </c>
      <c r="DS198" s="210">
        <f>IFERROR(__xludf.DUMMYFUNCTION("AVERAGE(ARRAYFORMULA(XLOOKUP(FILTER(INDIRECT(""'""&amp;DS$1&amp;""'!$C$4:$C$66""),INDIRECT(""'""&amp;DS$1&amp;""'!$D$4:$D$66"")=DS$2),$G$4:$BQ$4,$G198:$BQ198)))"),0.0)</f>
        <v>0</v>
      </c>
      <c r="DT198" s="207" t="str">
        <f>IFERROR(__xludf.DUMMYFUNCTION("IF(OR(DS198&gt;$BS198+$BT198*$BT$2,DS198&lt;$BS198-$BT198*$BT$2),AVEDEV(ARRAYFORMULA(XLOOKUP(FILTER(INDIRECT(""'""&amp;DS$1&amp;""'!$C$4:$C$66""),INDIRECT(""'""&amp;DS$1&amp;""'!$D$4:$D$66"")=DS$2),$G$4:$BQ$4,$G198:$BQ198))),"""")"),"")</f>
        <v/>
      </c>
      <c r="DU198" s="208" t="str">
        <f t="shared" si="23"/>
        <v/>
      </c>
      <c r="DV198" s="210">
        <f>IFERROR(__xludf.DUMMYFUNCTION("AVERAGE(ARRAYFORMULA(XLOOKUP(FILTER(INDIRECT(""'""&amp;DV$1&amp;""'!$C$4:$C$66""),INDIRECT(""'""&amp;DV$1&amp;""'!$D$4:$D$66"")=DV$2),$G$4:$BQ$4,$G198:$BQ198)))"),0.0047925)</f>
        <v>0.0047925</v>
      </c>
      <c r="DW198" s="207" t="str">
        <f>IFERROR(__xludf.DUMMYFUNCTION("IF(OR(DV198&gt;$BS198+$BT198*$BT$2,DV198&lt;$BS198-$BT198*$BT$2),AVEDEV(ARRAYFORMULA(XLOOKUP(FILTER(INDIRECT(""'""&amp;DV$1&amp;""'!$C$4:$C$66""),INDIRECT(""'""&amp;DV$1&amp;""'!$D$4:$D$66"")=DV$2),$G$4:$BQ$4,$G198:$BQ198))),"""")"),"")</f>
        <v/>
      </c>
      <c r="DX198" s="208" t="str">
        <f t="shared" si="24"/>
        <v/>
      </c>
      <c r="DY198" s="210">
        <f>IFERROR(__xludf.DUMMYFUNCTION("AVERAGE(ARRAYFORMULA(XLOOKUP(FILTER(INDIRECT(""'""&amp;DY$1&amp;""'!$C$4:$C$66""),INDIRECT(""'""&amp;DY$1&amp;""'!$D$4:$D$66"")=DY$2),$G$4:$BQ$4,$G198:$BQ198)))"),0.014818888888888888)</f>
        <v>0.01481888889</v>
      </c>
      <c r="DZ198" s="207" t="str">
        <f>IFERROR(__xludf.DUMMYFUNCTION("IF(OR(DY198&gt;$BS198+$BT198*$BT$2,DY198&lt;$BS198-$BT198*$BT$2),AVEDEV(ARRAYFORMULA(XLOOKUP(FILTER(INDIRECT(""'""&amp;DY$1&amp;""'!$C$4:$C$66""),INDIRECT(""'""&amp;DY$1&amp;""'!$D$4:$D$66"")=DY$2),$G$4:$BQ$4,$G198:$BQ198))),"""")"),"")</f>
        <v/>
      </c>
      <c r="EA198" s="208" t="str">
        <f t="shared" si="25"/>
        <v/>
      </c>
      <c r="EB198" s="191"/>
    </row>
    <row r="199" outlineLevel="1">
      <c r="A199" s="2"/>
      <c r="B199" s="204">
        <v>195.0</v>
      </c>
      <c r="C199" s="204" t="s">
        <v>630</v>
      </c>
      <c r="D199" s="204" t="s">
        <v>643</v>
      </c>
      <c r="E199" s="205" t="b">
        <f>VLOOKUP(D199,'Feature Set List'!A195:C246,2,0)</f>
        <v>1</v>
      </c>
      <c r="F199" s="205" t="b">
        <f>VLOOKUP(D199,'Feature Set List'!A195:C246,3,0)</f>
        <v>1</v>
      </c>
      <c r="G199" s="205">
        <v>0.0</v>
      </c>
      <c r="H199" s="205">
        <v>0.0</v>
      </c>
      <c r="I199" s="205">
        <v>0.0</v>
      </c>
      <c r="J199" s="205">
        <v>0.0</v>
      </c>
      <c r="K199" s="205">
        <v>0.02107</v>
      </c>
      <c r="L199" s="205">
        <v>0.0</v>
      </c>
      <c r="M199" s="205">
        <v>0.0</v>
      </c>
      <c r="N199" s="205">
        <v>0.0</v>
      </c>
      <c r="O199" s="205">
        <v>0.0</v>
      </c>
      <c r="P199" s="205">
        <v>0.0</v>
      </c>
      <c r="Q199" s="205">
        <v>0.0</v>
      </c>
      <c r="R199" s="205">
        <v>0.0</v>
      </c>
      <c r="S199" s="205">
        <v>0.0</v>
      </c>
      <c r="T199" s="205">
        <v>0.0</v>
      </c>
      <c r="U199" s="205">
        <v>0.0</v>
      </c>
      <c r="V199" s="205">
        <v>0.0</v>
      </c>
      <c r="W199" s="205">
        <v>0.0</v>
      </c>
      <c r="X199" s="205">
        <v>0.0</v>
      </c>
      <c r="Y199" s="205">
        <v>0.0</v>
      </c>
      <c r="Z199" s="205">
        <v>0.0</v>
      </c>
      <c r="AA199" s="205">
        <v>0.0</v>
      </c>
      <c r="AB199" s="205">
        <v>0.0</v>
      </c>
      <c r="AC199" s="205">
        <v>0.0</v>
      </c>
      <c r="AD199" s="205">
        <v>0.0</v>
      </c>
      <c r="AE199" s="205">
        <v>0.01788</v>
      </c>
      <c r="AF199" s="205">
        <v>0.0</v>
      </c>
      <c r="AG199" s="205">
        <v>0.0</v>
      </c>
      <c r="AH199" s="205">
        <v>0.0</v>
      </c>
      <c r="AI199" s="205">
        <v>0.0</v>
      </c>
      <c r="AJ199" s="205">
        <v>0.0</v>
      </c>
      <c r="AK199" s="205">
        <v>0.05754</v>
      </c>
      <c r="AL199" s="205">
        <v>0.0</v>
      </c>
      <c r="AM199" s="205">
        <v>0.0</v>
      </c>
      <c r="AN199" s="205">
        <v>0.0</v>
      </c>
      <c r="AO199" s="205">
        <v>0.0</v>
      </c>
      <c r="AP199" s="205">
        <v>0.0</v>
      </c>
      <c r="AQ199" s="205">
        <v>0.0</v>
      </c>
      <c r="AR199" s="205">
        <v>0.0</v>
      </c>
      <c r="AS199" s="205">
        <v>0.0</v>
      </c>
      <c r="AT199" s="205">
        <v>6.903E-4</v>
      </c>
      <c r="AU199" s="205">
        <v>0.0</v>
      </c>
      <c r="AV199" s="205">
        <v>0.0</v>
      </c>
      <c r="AW199" s="205">
        <v>0.0</v>
      </c>
      <c r="AX199" s="205">
        <v>0.0</v>
      </c>
      <c r="AY199" s="205">
        <v>0.0</v>
      </c>
      <c r="AZ199" s="205">
        <v>0.0</v>
      </c>
      <c r="BA199" s="205">
        <v>0.0</v>
      </c>
      <c r="BB199" s="205">
        <v>0.0</v>
      </c>
      <c r="BC199" s="205">
        <v>0.0</v>
      </c>
      <c r="BD199" s="205">
        <v>0.05269</v>
      </c>
      <c r="BE199" s="205">
        <v>0.0</v>
      </c>
      <c r="BF199" s="205">
        <v>0.09947</v>
      </c>
      <c r="BG199" s="205">
        <v>0.0</v>
      </c>
      <c r="BH199" s="205">
        <v>0.0</v>
      </c>
      <c r="BI199" s="205">
        <v>0.005047</v>
      </c>
      <c r="BJ199" s="205">
        <v>0.0</v>
      </c>
      <c r="BK199" s="205">
        <v>0.0</v>
      </c>
      <c r="BL199" s="205">
        <v>0.0</v>
      </c>
      <c r="BM199" s="205">
        <v>0.0</v>
      </c>
      <c r="BN199" s="205">
        <v>0.0</v>
      </c>
      <c r="BO199" s="205">
        <v>0.0</v>
      </c>
      <c r="BP199" s="205">
        <v>0.0</v>
      </c>
      <c r="BQ199" s="205">
        <v>0.04464</v>
      </c>
      <c r="BR199" s="206"/>
      <c r="BS199" s="207">
        <f t="shared" si="6"/>
        <v>0.004746465079</v>
      </c>
      <c r="BT199" s="207">
        <f t="shared" si="7"/>
        <v>0.008416245855</v>
      </c>
      <c r="BU199" s="206"/>
      <c r="BV199" s="207">
        <f>IFERROR(__xludf.DUMMYFUNCTION("AVERAGE(ARRAYFORMULA(XLOOKUP(FILTER(INDIRECT(""'""&amp;BV$1&amp;""'!$C$4:$C$66""),INDIRECT(""'""&amp;BV$1&amp;""'!$D$4:$D$66"")=BV$2),$G$4:$BQ$4,$G199:$BQ199)))"),0.0)</f>
        <v>0</v>
      </c>
      <c r="BW199" s="207" t="str">
        <f>IFERROR(__xludf.DUMMYFUNCTION("IF(OR(BV199&gt;$BS199+$BT199*$BT$2,BV199&lt;$BS199-$BT199*$BT$2),AVEDEV(ARRAYFORMULA(XLOOKUP(FILTER(INDIRECT(""'""&amp;BV$1&amp;""'!$C$4:$C$66""),INDIRECT(""'""&amp;BV$1&amp;""'!$D$4:$D$66"")=BV$2),$G$4:$BQ$4,$G199:$BQ199))),"""")"),"")</f>
        <v/>
      </c>
      <c r="BX199" s="208" t="str">
        <f t="shared" si="8"/>
        <v/>
      </c>
      <c r="BY199" s="207">
        <f>IFERROR(__xludf.DUMMYFUNCTION("AVERAGE(ARRAYFORMULA(XLOOKUP(FILTER(INDIRECT(""'""&amp;BY$1&amp;""'!$C$4:$C$66""),INDIRECT(""'""&amp;BY$1&amp;""'!$D$4:$D$66"")=BY$2),$G$4:$BQ$4,$G199:$BQ199)))"),0.0058651738095238095)</f>
        <v>0.00586517381</v>
      </c>
      <c r="BZ199" s="207" t="str">
        <f>IFERROR(__xludf.DUMMYFUNCTION("IF(OR(BY199&gt;$BS199+$BT199*$BT$2,BY199&lt;$BS199-$BT199*$BT$2),AVEDEV(ARRAYFORMULA(XLOOKUP(FILTER(INDIRECT(""'""&amp;BY$1&amp;""'!$C$4:$C$66""),INDIRECT(""'""&amp;BY$1&amp;""'!$D$4:$D$66"")=BY$2),$G$4:$BQ$4,$G199:$BQ199))),"""")"),"")</f>
        <v/>
      </c>
      <c r="CA199" s="208" t="str">
        <f t="shared" si="9"/>
        <v/>
      </c>
      <c r="CB199" s="207">
        <f>IFERROR(__xludf.DUMMYFUNCTION("AVERAGE(ARRAYFORMULA(XLOOKUP(FILTER(INDIRECT(""'""&amp;CB$1&amp;""'!$C$4:$C$66""),INDIRECT(""'""&amp;CB$1&amp;""'!$D$4:$D$66"")=CB$2),$G$4:$BQ$4,$G199:$BQ199)))"),0.0)</f>
        <v>0</v>
      </c>
      <c r="CC199" s="207" t="str">
        <f>IFERROR(__xludf.DUMMYFUNCTION("IF(OR(CB199&gt;$BS199+$BT199*$BT$2,CB199&lt;$BS199-$BT199*$BT$2),AVEDEV(ARRAYFORMULA(XLOOKUP(FILTER(INDIRECT(""'""&amp;CB$1&amp;""'!$C$4:$C$66""),INDIRECT(""'""&amp;CB$1&amp;""'!$D$4:$D$66"")=CB$2),$G$4:$BQ$4,$G199:$BQ199))),"""")"),"")</f>
        <v/>
      </c>
      <c r="CD199" s="208" t="str">
        <f t="shared" si="10"/>
        <v/>
      </c>
      <c r="CE199" s="209" t="s">
        <v>444</v>
      </c>
      <c r="CF199" s="207">
        <f>IFERROR(__xludf.DUMMYFUNCTION("AVERAGE(ARRAYFORMULA(XLOOKUP(FILTER(INDIRECT(""'""&amp;CF$1&amp;""'!$C$4:$C$66""),INDIRECT(""'""&amp;CF$1&amp;""'!$D$4:$D$66"")=CF$2),$G$4:$BQ$4,$G199:$BQ199)))"),0.012290643750000002)</f>
        <v>0.01229064375</v>
      </c>
      <c r="CG199" s="207" t="str">
        <f>IFERROR(__xludf.DUMMYFUNCTION("IF(OR(CF199&gt;$BS199+$BT199*$BT$2,CF199&lt;$BS199-$BT199*$BT$2),AVEDEV(ARRAYFORMULA(XLOOKUP(FILTER(INDIRECT(""'""&amp;CF$1&amp;""'!$C$4:$C$66""),INDIRECT(""'""&amp;CF$1&amp;""'!$D$4:$D$66"")=CF$2),$G$4:$BQ$4,$G199:$BQ199))),"""")"),"")</f>
        <v/>
      </c>
      <c r="CH199" s="208" t="str">
        <f t="shared" si="11"/>
        <v/>
      </c>
      <c r="CI199" s="207">
        <f>IFERROR(__xludf.DUMMYFUNCTION("AVERAGE(ARRAYFORMULA(XLOOKUP(FILTER(INDIRECT(""'""&amp;CI$1&amp;""'!$C$4:$C$66""),INDIRECT(""'""&amp;CI$1&amp;""'!$D$4:$D$66"")=CI$2),$G$4:$BQ$4,$G199:$BQ199)))"),0.0016028064516129033)</f>
        <v>0.001602806452</v>
      </c>
      <c r="CJ199" s="207" t="str">
        <f>IFERROR(__xludf.DUMMYFUNCTION("IF(OR(CI199&gt;$BS199+$BT199*$BT$2,CI199&lt;$BS199-$BT199*$BT$2),AVEDEV(ARRAYFORMULA(XLOOKUP(FILTER(INDIRECT(""'""&amp;CI$1&amp;""'!$C$4:$C$66""),INDIRECT(""'""&amp;CI$1&amp;""'!$D$4:$D$66"")=CI$2),$G$4:$BQ$4,$G199:$BQ199))),"""")"),"")</f>
        <v/>
      </c>
      <c r="CK199" s="208" t="str">
        <f t="shared" si="12"/>
        <v/>
      </c>
      <c r="CL199" s="207">
        <f>IFERROR(__xludf.DUMMYFUNCTION("AVERAGE(ARRAYFORMULA(XLOOKUP(FILTER(INDIRECT(""'""&amp;CL$1&amp;""'!$C$4:$C$66""),INDIRECT(""'""&amp;CL$1&amp;""'!$D$4:$D$66"")=CL$2),$G$4:$BQ$4,$G199:$BQ199)))"),0.0)</f>
        <v>0</v>
      </c>
      <c r="CM199" s="207" t="str">
        <f>IFERROR(__xludf.DUMMYFUNCTION("IF(OR(CL199&gt;$BS199+$BT199*$BT$2,CL199&lt;$BS199-$BT199*$BT$2),AVEDEV(ARRAYFORMULA(XLOOKUP(FILTER(INDIRECT(""'""&amp;CL$1&amp;""'!$C$4:$C$66""),INDIRECT(""'""&amp;CL$1&amp;""'!$D$4:$D$66"")=CL$2),$G$4:$BQ$4,$G199:$BQ199))),"""")"),"")</f>
        <v/>
      </c>
      <c r="CN199" s="208" t="str">
        <f t="shared" si="13"/>
        <v/>
      </c>
      <c r="CO199" s="209" t="s">
        <v>444</v>
      </c>
      <c r="CP199" s="210">
        <f>IFERROR(__xludf.DUMMYFUNCTION("AVERAGE(ARRAYFORMULA(XLOOKUP(FILTER(INDIRECT(""'""&amp;CP$1&amp;""'!$C$4:$C$66""),INDIRECT(""'""&amp;CP$1&amp;""'!$D$4:$D$66"")=CP$2),$G$4:$BQ$4,$G199:$BQ199)))"),0.00123802)</f>
        <v>0.00123802</v>
      </c>
      <c r="CQ199" s="207" t="str">
        <f>IFERROR(__xludf.DUMMYFUNCTION("IF(OR(CP199&gt;$BS199+$BT199*$BT$2,CP199&lt;$BS199-$BT199*$BT$2),AVEDEV(ARRAYFORMULA(XLOOKUP(FILTER(INDIRECT(""'""&amp;CP$1&amp;""'!$C$4:$C$66""),INDIRECT(""'""&amp;CP$1&amp;""'!$D$4:$D$66"")=CP$2),$G$4:$BQ$4,$G199:$BQ199))),"""")"),"")</f>
        <v/>
      </c>
      <c r="CR199" s="208" t="str">
        <f t="shared" si="14"/>
        <v/>
      </c>
      <c r="CS199" s="210">
        <f>IFERROR(__xludf.DUMMYFUNCTION("AVERAGE(ARRAYFORMULA(XLOOKUP(FILTER(INDIRECT(""'""&amp;CS$1&amp;""'!$C$4:$C$66""),INDIRECT(""'""&amp;CS$1&amp;""'!$D$4:$D$66"")=CS$2),$G$4:$BQ$4,$G199:$BQ199)))"),0.005840179487179487)</f>
        <v>0.005840179487</v>
      </c>
      <c r="CT199" s="207" t="str">
        <f>IFERROR(__xludf.DUMMYFUNCTION("IF(OR(CS199&gt;$BS199+$BT199*$BT$2,CS199&lt;$BS199-$BT199*$BT$2),AVEDEV(ARRAYFORMULA(XLOOKUP(FILTER(INDIRECT(""'""&amp;CS$1&amp;""'!$C$4:$C$66""),INDIRECT(""'""&amp;CS$1&amp;""'!$D$4:$D$66"")=CS$2),$G$4:$BQ$4,$G199:$BQ199))),"""")"),"")</f>
        <v/>
      </c>
      <c r="CU199" s="208" t="str">
        <f t="shared" si="15"/>
        <v/>
      </c>
      <c r="CV199" s="210">
        <f>IFERROR(__xludf.DUMMYFUNCTION("AVERAGE(ARRAYFORMULA(XLOOKUP(FILTER(INDIRECT(""'""&amp;CV$1&amp;""'!$C$4:$C$66""),INDIRECT(""'""&amp;CV$1&amp;""'!$D$4:$D$66"")=CV$2),$G$4:$BQ$4,$G199:$BQ199)))"),0.0)</f>
        <v>0</v>
      </c>
      <c r="CW199" s="207" t="str">
        <f>IFERROR(__xludf.DUMMYFUNCTION("IF(OR(CV199&gt;$BS199+$BT199*$BT$2,CV199&lt;$BS199-$BT199*$BT$2),AVEDEV(ARRAYFORMULA(XLOOKUP(FILTER(INDIRECT(""'""&amp;CV$1&amp;""'!$C$4:$C$66""),INDIRECT(""'""&amp;CV$1&amp;""'!$D$4:$D$66"")=CV$2),$G$4:$BQ$4,$G199:$BQ199))),"""")"),"")</f>
        <v/>
      </c>
      <c r="CX199" s="208" t="str">
        <f t="shared" si="16"/>
        <v/>
      </c>
      <c r="CY199" s="209" t="s">
        <v>444</v>
      </c>
      <c r="CZ199" s="210">
        <f>IFERROR(__xludf.DUMMYFUNCTION("AVERAGE(ARRAYFORMULA(XLOOKUP(FILTER(INDIRECT(""'""&amp;CZ$1&amp;""'!$C$4:$C$66""),INDIRECT(""'""&amp;CZ$1&amp;""'!$D$4:$D$66"")=CZ$2),$G$4:$BQ$4,$G199:$BQ199)))"),0.012492142857142858)</f>
        <v>0.01249214286</v>
      </c>
      <c r="DA199" s="207" t="str">
        <f>IFERROR(__xludf.DUMMYFUNCTION("IF(OR(CZ199&gt;$BS199+$BT199*$BT$2,CZ199&lt;$BS199-$BT199*$BT$2),AVEDEV(ARRAYFORMULA(XLOOKUP(FILTER(INDIRECT(""'""&amp;CZ$1&amp;""'!$C$4:$C$66""),INDIRECT(""'""&amp;CZ$1&amp;""'!$D$4:$D$66"")=CZ$2),$G$4:$BQ$4,$G199:$BQ199))),"""")"),"")</f>
        <v/>
      </c>
      <c r="DB199" s="208" t="str">
        <f t="shared" si="17"/>
        <v/>
      </c>
      <c r="DC199" s="210">
        <f>IFERROR(__xludf.DUMMYFUNCTION("AVERAGE(ARRAYFORMULA(XLOOKUP(FILTER(INDIRECT(""'""&amp;DC$1&amp;""'!$C$4:$C$66""),INDIRECT(""'""&amp;DC$1&amp;""'!$D$4:$D$66"")=DC$2),$G$4:$BQ$4,$G199:$BQ199)))"),0.0)</f>
        <v>0</v>
      </c>
      <c r="DD199" s="207" t="str">
        <f>IFERROR(__xludf.DUMMYFUNCTION("IF(OR(DC199&gt;$BS199+$BT199*$BT$2,DC199&lt;$BS199-$BT199*$BT$2),AVEDEV(ARRAYFORMULA(XLOOKUP(FILTER(INDIRECT(""'""&amp;DC$1&amp;""'!$C$4:$C$66""),INDIRECT(""'""&amp;DC$1&amp;""'!$D$4:$D$66"")=DC$2),$G$4:$BQ$4,$G199:$BQ199))),"""")"),"")</f>
        <v/>
      </c>
      <c r="DE199" s="208" t="str">
        <f t="shared" si="18"/>
        <v/>
      </c>
      <c r="DF199" s="210">
        <f>IFERROR(__xludf.DUMMYFUNCTION("AVERAGE(ARRAYFORMULA(XLOOKUP(FILTER(INDIRECT(""'""&amp;DF$1&amp;""'!$C$4:$C$66""),INDIRECT(""'""&amp;DF$1&amp;""'!$D$4:$D$66"")=DF$2),$G$4:$BQ$4,$G199:$BQ199)))"),6.275454545454545E-5)</f>
        <v>0.00006275454545</v>
      </c>
      <c r="DG199" s="207" t="str">
        <f>IFERROR(__xludf.DUMMYFUNCTION("IF(OR(DF199&gt;$BS199+$BT199*$BT$2,DF199&lt;$BS199-$BT199*$BT$2),AVEDEV(ARRAYFORMULA(XLOOKUP(FILTER(INDIRECT(""'""&amp;DF$1&amp;""'!$C$4:$C$66""),INDIRECT(""'""&amp;DF$1&amp;""'!$D$4:$D$66"")=DF$2),$G$4:$BQ$4,$G199:$BQ199))),"""")"),"")</f>
        <v/>
      </c>
      <c r="DH199" s="208" t="str">
        <f t="shared" si="19"/>
        <v/>
      </c>
      <c r="DI199" s="210">
        <f>IFERROR(__xludf.DUMMYFUNCTION("AVERAGE(ARRAYFORMULA(XLOOKUP(FILTER(INDIRECT(""'""&amp;DI$1&amp;""'!$C$4:$C$66""),INDIRECT(""'""&amp;DI$1&amp;""'!$D$4:$D$66"")=DI$2),$G$4:$BQ$4,$G199:$BQ199)))"),0.0)</f>
        <v>0</v>
      </c>
      <c r="DJ199" s="207" t="str">
        <f>IFERROR(__xludf.DUMMYFUNCTION("IF(OR(DI199&gt;$BS199+$BT199*$BT$2,DI199&lt;$BS199-$BT199*$BT$2),AVEDEV(ARRAYFORMULA(XLOOKUP(FILTER(INDIRECT(""'""&amp;DI$1&amp;""'!$C$4:$C$66""),INDIRECT(""'""&amp;DI$1&amp;""'!$D$4:$D$66"")=DI$2),$G$4:$BQ$4,$G199:$BQ199))),"""")"),"")</f>
        <v/>
      </c>
      <c r="DK199" s="208" t="str">
        <f t="shared" si="20"/>
        <v/>
      </c>
      <c r="DL199" s="210">
        <f>IFERROR(__xludf.DUMMYFUNCTION("AVERAGE(ARRAYFORMULA(XLOOKUP(FILTER(INDIRECT(""'""&amp;DL$1&amp;""'!$C$4:$C$66""),INDIRECT(""'""&amp;DL$1&amp;""'!$D$4:$D$66"")=DL$2),$G$4:$BQ$4,$G199:$BQ199)))"),0.0035490714285714288)</f>
        <v>0.003549071429</v>
      </c>
      <c r="DM199" s="207" t="str">
        <f>IFERROR(__xludf.DUMMYFUNCTION("IF(OR(DL199&gt;$BS199+$BT199*$BT$2,DL199&lt;$BS199-$BT199*$BT$2),AVEDEV(ARRAYFORMULA(XLOOKUP(FILTER(INDIRECT(""'""&amp;DL$1&amp;""'!$C$4:$C$66""),INDIRECT(""'""&amp;DL$1&amp;""'!$D$4:$D$66"")=DL$2),$G$4:$BQ$4,$G199:$BQ199))),"""")"),"")</f>
        <v/>
      </c>
      <c r="DN199" s="208" t="str">
        <f t="shared" si="21"/>
        <v/>
      </c>
      <c r="DO199" s="209" t="s">
        <v>444</v>
      </c>
      <c r="DP199" s="210">
        <f>IFERROR(__xludf.DUMMYFUNCTION("AVERAGE(ARRAYFORMULA(XLOOKUP(FILTER(INDIRECT(""'""&amp;DP$1&amp;""'!$C$4:$C$66""),INDIRECT(""'""&amp;DP$1&amp;""'!$D$4:$D$66"")=DP$2),$G$4:$BQ$4,$G199:$BQ199)))"),0.008211243333333333)</f>
        <v>0.008211243333</v>
      </c>
      <c r="DQ199" s="207" t="str">
        <f>IFERROR(__xludf.DUMMYFUNCTION("IF(OR(DP199&gt;$BS199+$BT199*$BT$2,DP199&lt;$BS199-$BT199*$BT$2),AVEDEV(ARRAYFORMULA(XLOOKUP(FILTER(INDIRECT(""'""&amp;DP$1&amp;""'!$C$4:$C$66""),INDIRECT(""'""&amp;DP$1&amp;""'!$D$4:$D$66"")=DP$2),$G$4:$BQ$4,$G199:$BQ199))),"""")"),"")</f>
        <v/>
      </c>
      <c r="DR199" s="208" t="str">
        <f t="shared" si="22"/>
        <v/>
      </c>
      <c r="DS199" s="210">
        <f>IFERROR(__xludf.DUMMYFUNCTION("AVERAGE(ARRAYFORMULA(XLOOKUP(FILTER(INDIRECT(""'""&amp;DS$1&amp;""'!$C$4:$C$66""),INDIRECT(""'""&amp;DS$1&amp;""'!$D$4:$D$66"")=DS$2),$G$4:$BQ$4,$G199:$BQ199)))"),0.0)</f>
        <v>0</v>
      </c>
      <c r="DT199" s="207" t="str">
        <f>IFERROR(__xludf.DUMMYFUNCTION("IF(OR(DS199&gt;$BS199+$BT199*$BT$2,DS199&lt;$BS199-$BT199*$BT$2),AVEDEV(ARRAYFORMULA(XLOOKUP(FILTER(INDIRECT(""'""&amp;DS$1&amp;""'!$C$4:$C$66""),INDIRECT(""'""&amp;DS$1&amp;""'!$D$4:$D$66"")=DS$2),$G$4:$BQ$4,$G199:$BQ199))),"""")"),"")</f>
        <v/>
      </c>
      <c r="DU199" s="208" t="str">
        <f t="shared" si="23"/>
        <v/>
      </c>
      <c r="DV199" s="210">
        <f>IFERROR(__xludf.DUMMYFUNCTION("AVERAGE(ARRAYFORMULA(XLOOKUP(FILTER(INDIRECT(""'""&amp;DV$1&amp;""'!$C$4:$C$66""),INDIRECT(""'""&amp;DV$1&amp;""'!$D$4:$D$66"")=DV$2),$G$4:$BQ$4,$G199:$BQ199)))"),0.0)</f>
        <v>0</v>
      </c>
      <c r="DW199" s="207" t="str">
        <f>IFERROR(__xludf.DUMMYFUNCTION("IF(OR(DV199&gt;$BS199+$BT199*$BT$2,DV199&lt;$BS199-$BT199*$BT$2),AVEDEV(ARRAYFORMULA(XLOOKUP(FILTER(INDIRECT(""'""&amp;DV$1&amp;""'!$C$4:$C$66""),INDIRECT(""'""&amp;DV$1&amp;""'!$D$4:$D$66"")=DV$2),$G$4:$BQ$4,$G199:$BQ199))),"""")"),"")</f>
        <v/>
      </c>
      <c r="DX199" s="208" t="str">
        <f t="shared" si="24"/>
        <v/>
      </c>
      <c r="DY199" s="210">
        <f>IFERROR(__xludf.DUMMYFUNCTION("AVERAGE(ARRAYFORMULA(XLOOKUP(FILTER(INDIRECT(""'""&amp;DY$1&amp;""'!$C$4:$C$66""),INDIRECT(""'""&amp;DY$1&amp;""'!$D$4:$D$66"")=DY$2),$G$4:$BQ$4,$G199:$BQ199)))"),0.0)</f>
        <v>0</v>
      </c>
      <c r="DZ199" s="207" t="str">
        <f>IFERROR(__xludf.DUMMYFUNCTION("IF(OR(DY199&gt;$BS199+$BT199*$BT$2,DY199&lt;$BS199-$BT199*$BT$2),AVEDEV(ARRAYFORMULA(XLOOKUP(FILTER(INDIRECT(""'""&amp;DY$1&amp;""'!$C$4:$C$66""),INDIRECT(""'""&amp;DY$1&amp;""'!$D$4:$D$66"")=DY$2),$G$4:$BQ$4,$G199:$BQ199))),"""")"),"")</f>
        <v/>
      </c>
      <c r="EA199" s="208" t="str">
        <f t="shared" si="25"/>
        <v/>
      </c>
      <c r="EB199" s="191"/>
    </row>
    <row r="200" outlineLevel="1">
      <c r="A200" s="2"/>
      <c r="B200" s="204">
        <v>196.0</v>
      </c>
      <c r="C200" s="204" t="s">
        <v>630</v>
      </c>
      <c r="D200" s="204" t="s">
        <v>644</v>
      </c>
      <c r="E200" s="205" t="b">
        <f>VLOOKUP(D200,'Feature Set List'!A196:C246,2,0)</f>
        <v>1</v>
      </c>
      <c r="F200" s="205" t="b">
        <f>VLOOKUP(D200,'Feature Set List'!A196:C246,3,0)</f>
        <v>1</v>
      </c>
      <c r="G200" s="205">
        <v>0.85420376</v>
      </c>
      <c r="H200" s="205">
        <v>4.48071217</v>
      </c>
      <c r="I200" s="205">
        <v>0.08468843</v>
      </c>
      <c r="J200" s="205">
        <v>0.0</v>
      </c>
      <c r="K200" s="205">
        <v>4.60534125</v>
      </c>
      <c r="L200" s="205">
        <v>0.0</v>
      </c>
      <c r="M200" s="205">
        <v>0.0</v>
      </c>
      <c r="N200" s="205">
        <v>0.0</v>
      </c>
      <c r="O200" s="205">
        <v>0.0</v>
      </c>
      <c r="P200" s="205">
        <v>0.0</v>
      </c>
      <c r="Q200" s="205">
        <v>0.1109001</v>
      </c>
      <c r="R200" s="205">
        <v>0.0</v>
      </c>
      <c r="S200" s="205">
        <v>0.0</v>
      </c>
      <c r="T200" s="205">
        <v>0.84866469</v>
      </c>
      <c r="U200" s="205">
        <v>0.0</v>
      </c>
      <c r="V200" s="205">
        <v>0.0</v>
      </c>
      <c r="W200" s="205">
        <v>0.0</v>
      </c>
      <c r="X200" s="205">
        <v>0.0</v>
      </c>
      <c r="Y200" s="205">
        <v>0.88486647</v>
      </c>
      <c r="Z200" s="205">
        <v>0.0</v>
      </c>
      <c r="AA200" s="205">
        <v>0.0</v>
      </c>
      <c r="AB200" s="205">
        <v>0.0</v>
      </c>
      <c r="AC200" s="205">
        <v>0.08138477</v>
      </c>
      <c r="AD200" s="205">
        <v>1.89950544</v>
      </c>
      <c r="AE200" s="205">
        <v>3.3867458</v>
      </c>
      <c r="AF200" s="205">
        <v>0.0</v>
      </c>
      <c r="AG200" s="205">
        <v>0.0</v>
      </c>
      <c r="AH200" s="205">
        <v>0.0</v>
      </c>
      <c r="AI200" s="205">
        <v>0.0</v>
      </c>
      <c r="AJ200" s="205">
        <v>0.23382789</v>
      </c>
      <c r="AK200" s="205">
        <v>0.0</v>
      </c>
      <c r="AL200" s="205">
        <v>3.50544016</v>
      </c>
      <c r="AM200" s="205">
        <v>1.6933729</v>
      </c>
      <c r="AN200" s="205">
        <v>0.0</v>
      </c>
      <c r="AO200" s="205">
        <v>0.0</v>
      </c>
      <c r="AP200" s="205">
        <v>0.0</v>
      </c>
      <c r="AQ200" s="205">
        <v>0.0</v>
      </c>
      <c r="AR200" s="205">
        <v>5.84965381</v>
      </c>
      <c r="AS200" s="205">
        <v>0.0</v>
      </c>
      <c r="AT200" s="205">
        <v>0.0</v>
      </c>
      <c r="AU200" s="205">
        <v>0.0</v>
      </c>
      <c r="AV200" s="205">
        <v>1.11513353</v>
      </c>
      <c r="AW200" s="205">
        <v>0.79307616</v>
      </c>
      <c r="AX200" s="205">
        <v>0.0</v>
      </c>
      <c r="AY200" s="205">
        <v>6.19188922</v>
      </c>
      <c r="AZ200" s="205">
        <v>0.0</v>
      </c>
      <c r="BA200" s="205">
        <v>0.0</v>
      </c>
      <c r="BB200" s="205">
        <v>0.0</v>
      </c>
      <c r="BC200" s="205">
        <v>0.0</v>
      </c>
      <c r="BD200" s="205">
        <v>6.9297725</v>
      </c>
      <c r="BE200" s="205">
        <v>0.0</v>
      </c>
      <c r="BF200" s="205">
        <v>1.684273</v>
      </c>
      <c r="BG200" s="205">
        <v>7.00890208</v>
      </c>
      <c r="BH200" s="205">
        <v>2.14836795</v>
      </c>
      <c r="BI200" s="205">
        <v>2.84470821</v>
      </c>
      <c r="BJ200" s="205">
        <v>0.0</v>
      </c>
      <c r="BK200" s="205">
        <v>2.89416419</v>
      </c>
      <c r="BL200" s="205">
        <v>0.0</v>
      </c>
      <c r="BM200" s="205">
        <v>0.0</v>
      </c>
      <c r="BN200" s="205">
        <v>6.1305638</v>
      </c>
      <c r="BO200" s="205">
        <v>0.74559842</v>
      </c>
      <c r="BP200" s="205">
        <v>0.0</v>
      </c>
      <c r="BQ200" s="205">
        <v>0.0</v>
      </c>
      <c r="BR200" s="206"/>
      <c r="BS200" s="207">
        <f t="shared" si="6"/>
        <v>1.06358344</v>
      </c>
      <c r="BT200" s="207">
        <f t="shared" si="7"/>
        <v>1.439720983</v>
      </c>
      <c r="BU200" s="206"/>
      <c r="BV200" s="207">
        <f>IFERROR(__xludf.DUMMYFUNCTION("AVERAGE(ARRAYFORMULA(XLOOKUP(FILTER(INDIRECT(""'""&amp;BV$1&amp;""'!$C$4:$C$66""),INDIRECT(""'""&amp;BV$1&amp;""'!$D$4:$D$66"")=BV$2),$G$4:$BQ$4,$G200:$BQ200)))"),0.8845556028571429)</f>
        <v>0.8845556029</v>
      </c>
      <c r="BW200" s="207" t="str">
        <f>IFERROR(__xludf.DUMMYFUNCTION("IF(OR(BV200&gt;$BS200+$BT200*$BT$2,BV200&lt;$BS200-$BT200*$BT$2),AVEDEV(ARRAYFORMULA(XLOOKUP(FILTER(INDIRECT(""'""&amp;BV$1&amp;""'!$C$4:$C$66""),INDIRECT(""'""&amp;BV$1&amp;""'!$D$4:$D$66"")=BV$2),$G$4:$BQ$4,$G200:$BQ200))),"""")"),"")</f>
        <v/>
      </c>
      <c r="BX200" s="208" t="str">
        <f t="shared" si="8"/>
        <v/>
      </c>
      <c r="BY200" s="207">
        <f>IFERROR(__xludf.DUMMYFUNCTION("AVERAGE(ARRAYFORMULA(XLOOKUP(FILTER(INDIRECT(""'""&amp;BY$1&amp;""'!$C$4:$C$66""),INDIRECT(""'""&amp;BY$1&amp;""'!$D$4:$D$66"")=BY$2),$G$4:$BQ$4,$G200:$BQ200)))"),1.219325515)</f>
        <v>1.219325515</v>
      </c>
      <c r="BZ200" s="207" t="str">
        <f>IFERROR(__xludf.DUMMYFUNCTION("IF(OR(BY200&gt;$BS200+$BT200*$BT$2,BY200&lt;$BS200-$BT200*$BT$2),AVEDEV(ARRAYFORMULA(XLOOKUP(FILTER(INDIRECT(""'""&amp;BY$1&amp;""'!$C$4:$C$66""),INDIRECT(""'""&amp;BY$1&amp;""'!$D$4:$D$66"")=BY$2),$G$4:$BQ$4,$G200:$BQ200))),"""")"),"")</f>
        <v/>
      </c>
      <c r="CA200" s="208" t="str">
        <f t="shared" si="9"/>
        <v/>
      </c>
      <c r="CB200" s="207">
        <f>IFERROR(__xludf.DUMMYFUNCTION("AVERAGE(ARRAYFORMULA(XLOOKUP(FILTER(INDIRECT(""'""&amp;CB$1&amp;""'!$C$4:$C$66""),INDIRECT(""'""&amp;CB$1&amp;""'!$D$4:$D$66"")=CB$2),$G$4:$BQ$4,$G200:$BQ200)))"),0.23524862909090907)</f>
        <v>0.2352486291</v>
      </c>
      <c r="CC200" s="207" t="str">
        <f>IFERROR(__xludf.DUMMYFUNCTION("IF(OR(CB200&gt;$BS200+$BT200*$BT$2,CB200&lt;$BS200-$BT200*$BT$2),AVEDEV(ARRAYFORMULA(XLOOKUP(FILTER(INDIRECT(""'""&amp;CB$1&amp;""'!$C$4:$C$66""),INDIRECT(""'""&amp;CB$1&amp;""'!$D$4:$D$66"")=CB$2),$G$4:$BQ$4,$G200:$BQ200))),"""")"),"")</f>
        <v/>
      </c>
      <c r="CD200" s="208" t="str">
        <f t="shared" si="10"/>
        <v/>
      </c>
      <c r="CE200" s="209" t="s">
        <v>444</v>
      </c>
      <c r="CF200" s="207">
        <f>IFERROR(__xludf.DUMMYFUNCTION("AVERAGE(ARRAYFORMULA(XLOOKUP(FILTER(INDIRECT(""'""&amp;CF$1&amp;""'!$C$4:$C$66""),INDIRECT(""'""&amp;CF$1&amp;""'!$D$4:$D$66"")=CF$2),$G$4:$BQ$4,$G200:$BQ200)))"),0.9343842737500001)</f>
        <v>0.9343842738</v>
      </c>
      <c r="CG200" s="207" t="str">
        <f>IFERROR(__xludf.DUMMYFUNCTION("IF(OR(CF200&gt;$BS200+$BT200*$BT$2,CF200&lt;$BS200-$BT200*$BT$2),AVEDEV(ARRAYFORMULA(XLOOKUP(FILTER(INDIRECT(""'""&amp;CF$1&amp;""'!$C$4:$C$66""),INDIRECT(""'""&amp;CF$1&amp;""'!$D$4:$D$66"")=CF$2),$G$4:$BQ$4,$G200:$BQ200))),"""")"),"")</f>
        <v/>
      </c>
      <c r="CH200" s="208" t="str">
        <f t="shared" si="11"/>
        <v/>
      </c>
      <c r="CI200" s="207">
        <f>IFERROR(__xludf.DUMMYFUNCTION("AVERAGE(ARRAYFORMULA(XLOOKUP(FILTER(INDIRECT(""'""&amp;CI$1&amp;""'!$C$4:$C$66""),INDIRECT(""'""&amp;CI$1&amp;""'!$D$4:$D$66"")=CI$2),$G$4:$BQ$4,$G200:$BQ200)))"),0.9591653106451612)</f>
        <v>0.9591653106</v>
      </c>
      <c r="CJ200" s="207" t="str">
        <f>IFERROR(__xludf.DUMMYFUNCTION("IF(OR(CI200&gt;$BS200+$BT200*$BT$2,CI200&lt;$BS200-$BT200*$BT$2),AVEDEV(ARRAYFORMULA(XLOOKUP(FILTER(INDIRECT(""'""&amp;CI$1&amp;""'!$C$4:$C$66""),INDIRECT(""'""&amp;CI$1&amp;""'!$D$4:$D$66"")=CI$2),$G$4:$BQ$4,$G200:$BQ200))),"""")"),"")</f>
        <v/>
      </c>
      <c r="CK200" s="208" t="str">
        <f t="shared" si="12"/>
        <v/>
      </c>
      <c r="CL200" s="207">
        <f>IFERROR(__xludf.DUMMYFUNCTION("AVERAGE(ARRAYFORMULA(XLOOKUP(FILTER(INDIRECT(""'""&amp;CL$1&amp;""'!$C$4:$C$66""),INDIRECT(""'""&amp;CL$1&amp;""'!$D$4:$D$66"")=CL$2),$G$4:$BQ$4,$G200:$BQ200)))"),1.571513354)</f>
        <v>1.571513354</v>
      </c>
      <c r="CM200" s="207" t="str">
        <f>IFERROR(__xludf.DUMMYFUNCTION("IF(OR(CL200&gt;$BS200+$BT200*$BT$2,CL200&lt;$BS200-$BT200*$BT$2),AVEDEV(ARRAYFORMULA(XLOOKUP(FILTER(INDIRECT(""'""&amp;CL$1&amp;""'!$C$4:$C$66""),INDIRECT(""'""&amp;CL$1&amp;""'!$D$4:$D$66"")=CL$2),$G$4:$BQ$4,$G200:$BQ200))),"""")"),"")</f>
        <v/>
      </c>
      <c r="CN200" s="208" t="str">
        <f t="shared" si="13"/>
        <v/>
      </c>
      <c r="CO200" s="209" t="s">
        <v>444</v>
      </c>
      <c r="CP200" s="210">
        <f>IFERROR(__xludf.DUMMYFUNCTION("AVERAGE(ARRAYFORMULA(XLOOKUP(FILTER(INDIRECT(""'""&amp;CP$1&amp;""'!$C$4:$C$66""),INDIRECT(""'""&amp;CP$1&amp;""'!$D$4:$D$66"")=CP$2),$G$4:$BQ$4,$G200:$BQ200)))"),0.3968532813333333)</f>
        <v>0.3968532813</v>
      </c>
      <c r="CQ200" s="207" t="str">
        <f>IFERROR(__xludf.DUMMYFUNCTION("IF(OR(CP200&gt;$BS200+$BT200*$BT$2,CP200&lt;$BS200-$BT200*$BT$2),AVEDEV(ARRAYFORMULA(XLOOKUP(FILTER(INDIRECT(""'""&amp;CP$1&amp;""'!$C$4:$C$66""),INDIRECT(""'""&amp;CP$1&amp;""'!$D$4:$D$66"")=CP$2),$G$4:$BQ$4,$G200:$BQ200))),"""")"),"")</f>
        <v/>
      </c>
      <c r="CR200" s="208" t="str">
        <f t="shared" si="14"/>
        <v/>
      </c>
      <c r="CS200" s="210">
        <f>IFERROR(__xludf.DUMMYFUNCTION("AVERAGE(ARRAYFORMULA(XLOOKUP(FILTER(INDIRECT(""'""&amp;CS$1&amp;""'!$C$4:$C$66""),INDIRECT(""'""&amp;CS$1&amp;""'!$D$4:$D$66"")=CS$2),$G$4:$BQ$4,$G200:$BQ200)))"),1.1841264046153848)</f>
        <v>1.184126405</v>
      </c>
      <c r="CT200" s="207" t="str">
        <f>IFERROR(__xludf.DUMMYFUNCTION("IF(OR(CS200&gt;$BS200+$BT200*$BT$2,CS200&lt;$BS200-$BT200*$BT$2),AVEDEV(ARRAYFORMULA(XLOOKUP(FILTER(INDIRECT(""'""&amp;CS$1&amp;""'!$C$4:$C$66""),INDIRECT(""'""&amp;CS$1&amp;""'!$D$4:$D$66"")=CS$2),$G$4:$BQ$4,$G200:$BQ200))),"""")"),"")</f>
        <v/>
      </c>
      <c r="CU200" s="208" t="str">
        <f t="shared" si="15"/>
        <v/>
      </c>
      <c r="CV200" s="210">
        <f>IFERROR(__xludf.DUMMYFUNCTION("AVERAGE(ARRAYFORMULA(XLOOKUP(FILTER(INDIRECT(""'""&amp;CV$1&amp;""'!$C$4:$C$66""),INDIRECT(""'""&amp;CV$1&amp;""'!$D$4:$D$66"")=CV$2),$G$4:$BQ$4,$G200:$BQ200)))"),1.571513354)</f>
        <v>1.571513354</v>
      </c>
      <c r="CW200" s="207" t="str">
        <f>IFERROR(__xludf.DUMMYFUNCTION("IF(OR(CV200&gt;$BS200+$BT200*$BT$2,CV200&lt;$BS200-$BT200*$BT$2),AVEDEV(ARRAYFORMULA(XLOOKUP(FILTER(INDIRECT(""'""&amp;CV$1&amp;""'!$C$4:$C$66""),INDIRECT(""'""&amp;CV$1&amp;""'!$D$4:$D$66"")=CV$2),$G$4:$BQ$4,$G200:$BQ200))),"""")"),"")</f>
        <v/>
      </c>
      <c r="CX200" s="208" t="str">
        <f t="shared" si="16"/>
        <v/>
      </c>
      <c r="CY200" s="209" t="s">
        <v>444</v>
      </c>
      <c r="CZ200" s="210">
        <f>IFERROR(__xludf.DUMMYFUNCTION("AVERAGE(ARRAYFORMULA(XLOOKUP(FILTER(INDIRECT(""'""&amp;CZ$1&amp;""'!$C$4:$C$66""),INDIRECT(""'""&amp;CZ$1&amp;""'!$D$4:$D$66"")=CZ$2),$G$4:$BQ$4,$G200:$BQ200)))"),1.1960293914285713)</f>
        <v>1.196029391</v>
      </c>
      <c r="DA200" s="207" t="str">
        <f>IFERROR(__xludf.DUMMYFUNCTION("IF(OR(CZ200&gt;$BS200+$BT200*$BT$2,CZ200&lt;$BS200-$BT200*$BT$2),AVEDEV(ARRAYFORMULA(XLOOKUP(FILTER(INDIRECT(""'""&amp;CZ$1&amp;""'!$C$4:$C$66""),INDIRECT(""'""&amp;CZ$1&amp;""'!$D$4:$D$66"")=CZ$2),$G$4:$BQ$4,$G200:$BQ200))),"""")"),"")</f>
        <v/>
      </c>
      <c r="DB200" s="208" t="str">
        <f t="shared" si="17"/>
        <v/>
      </c>
      <c r="DC200" s="210">
        <f>IFERROR(__xludf.DUMMYFUNCTION("AVERAGE(ARRAYFORMULA(XLOOKUP(FILTER(INDIRECT(""'""&amp;DC$1&amp;""'!$C$4:$C$66""),INDIRECT(""'""&amp;DC$1&amp;""'!$D$4:$D$66"")=DC$2),$G$4:$BQ$4,$G200:$BQ200)))"),0.2875261022222222)</f>
        <v>0.2875261022</v>
      </c>
      <c r="DD200" s="207" t="str">
        <f>IFERROR(__xludf.DUMMYFUNCTION("IF(OR(DC200&gt;$BS200+$BT200*$BT$2,DC200&lt;$BS200-$BT200*$BT$2),AVEDEV(ARRAYFORMULA(XLOOKUP(FILTER(INDIRECT(""'""&amp;DC$1&amp;""'!$C$4:$C$66""),INDIRECT(""'""&amp;DC$1&amp;""'!$D$4:$D$66"")=DC$2),$G$4:$BQ$4,$G200:$BQ200))),"""")"),"")</f>
        <v/>
      </c>
      <c r="DE200" s="208" t="str">
        <f t="shared" si="18"/>
        <v/>
      </c>
      <c r="DF200" s="210">
        <f>IFERROR(__xludf.DUMMYFUNCTION("AVERAGE(ARRAYFORMULA(XLOOKUP(FILTER(INDIRECT(""'""&amp;DF$1&amp;""'!$C$4:$C$66""),INDIRECT(""'""&amp;DF$1&amp;""'!$D$4:$D$66"")=DF$2),$G$4:$BQ$4,$G200:$BQ200)))"),0.9676719727272727)</f>
        <v>0.9676719727</v>
      </c>
      <c r="DG200" s="207" t="str">
        <f>IFERROR(__xludf.DUMMYFUNCTION("IF(OR(DF200&gt;$BS200+$BT200*$BT$2,DF200&lt;$BS200-$BT200*$BT$2),AVEDEV(ARRAYFORMULA(XLOOKUP(FILTER(INDIRECT(""'""&amp;DF$1&amp;""'!$C$4:$C$66""),INDIRECT(""'""&amp;DF$1&amp;""'!$D$4:$D$66"")=DF$2),$G$4:$BQ$4,$G200:$BQ200))),"""")"),"")</f>
        <v/>
      </c>
      <c r="DH200" s="208" t="str">
        <f t="shared" si="19"/>
        <v/>
      </c>
      <c r="DI200" s="210">
        <f>IFERROR(__xludf.DUMMYFUNCTION("AVERAGE(ARRAYFORMULA(XLOOKUP(FILTER(INDIRECT(""'""&amp;DI$1&amp;""'!$C$4:$C$66""),INDIRECT(""'""&amp;DI$1&amp;""'!$D$4:$D$66"")=DI$2),$G$4:$BQ$4,$G200:$BQ200)))"),2.0239366949999997)</f>
        <v>2.023936695</v>
      </c>
      <c r="DJ200" s="207" t="str">
        <f>IFERROR(__xludf.DUMMYFUNCTION("IF(OR(DI200&gt;$BS200+$BT200*$BT$2,DI200&lt;$BS200-$BT200*$BT$2),AVEDEV(ARRAYFORMULA(XLOOKUP(FILTER(INDIRECT(""'""&amp;DI$1&amp;""'!$C$4:$C$66""),INDIRECT(""'""&amp;DI$1&amp;""'!$D$4:$D$66"")=DI$2),$G$4:$BQ$4,$G200:$BQ200))),"""")"),"")</f>
        <v/>
      </c>
      <c r="DK200" s="208" t="str">
        <f t="shared" si="20"/>
        <v/>
      </c>
      <c r="DL200" s="210">
        <f>IFERROR(__xludf.DUMMYFUNCTION("AVERAGE(ARRAYFORMULA(XLOOKUP(FILTER(INDIRECT(""'""&amp;DL$1&amp;""'!$C$4:$C$66""),INDIRECT(""'""&amp;DL$1&amp;""'!$D$4:$D$66"")=DL$2),$G$4:$BQ$4,$G200:$BQ200)))"),1.0835467007142858)</f>
        <v>1.083546701</v>
      </c>
      <c r="DM200" s="207" t="str">
        <f>IFERROR(__xludf.DUMMYFUNCTION("IF(OR(DL200&gt;$BS200+$BT200*$BT$2,DL200&lt;$BS200-$BT200*$BT$2),AVEDEV(ARRAYFORMULA(XLOOKUP(FILTER(INDIRECT(""'""&amp;DL$1&amp;""'!$C$4:$C$66""),INDIRECT(""'""&amp;DL$1&amp;""'!$D$4:$D$66"")=DL$2),$G$4:$BQ$4,$G200:$BQ200))),"""")"),"")</f>
        <v/>
      </c>
      <c r="DN200" s="208" t="str">
        <f t="shared" si="21"/>
        <v/>
      </c>
      <c r="DO200" s="209" t="s">
        <v>444</v>
      </c>
      <c r="DP200" s="210">
        <f>IFERROR(__xludf.DUMMYFUNCTION("AVERAGE(ARRAYFORMULA(XLOOKUP(FILTER(INDIRECT(""'""&amp;DP$1&amp;""'!$C$4:$C$66""),INDIRECT(""'""&amp;DP$1&amp;""'!$D$4:$D$66"")=DP$2),$G$4:$BQ$4,$G200:$BQ200)))"),1.0200857243333334)</f>
        <v>1.020085724</v>
      </c>
      <c r="DQ200" s="207" t="str">
        <f>IFERROR(__xludf.DUMMYFUNCTION("IF(OR(DP200&gt;$BS200+$BT200*$BT$2,DP200&lt;$BS200-$BT200*$BT$2),AVEDEV(ARRAYFORMULA(XLOOKUP(FILTER(INDIRECT(""'""&amp;DP$1&amp;""'!$C$4:$C$66""),INDIRECT(""'""&amp;DP$1&amp;""'!$D$4:$D$66"")=DP$2),$G$4:$BQ$4,$G200:$BQ200))),"""")"),"")</f>
        <v/>
      </c>
      <c r="DR200" s="208" t="str">
        <f t="shared" si="22"/>
        <v/>
      </c>
      <c r="DS200" s="210">
        <f>IFERROR(__xludf.DUMMYFUNCTION("AVERAGE(ARRAYFORMULA(XLOOKUP(FILTER(INDIRECT(""'""&amp;DS$1&amp;""'!$C$4:$C$66""),INDIRECT(""'""&amp;DS$1&amp;""'!$D$4:$D$66"")=DS$2),$G$4:$BQ$4,$G200:$BQ200)))"),0.3131113311111111)</f>
        <v>0.3131113311</v>
      </c>
      <c r="DT200" s="207" t="str">
        <f>IFERROR(__xludf.DUMMYFUNCTION("IF(OR(DS200&gt;$BS200+$BT200*$BT$2,DS200&lt;$BS200-$BT200*$BT$2),AVEDEV(ARRAYFORMULA(XLOOKUP(FILTER(INDIRECT(""'""&amp;DS$1&amp;""'!$C$4:$C$66""),INDIRECT(""'""&amp;DS$1&amp;""'!$D$4:$D$66"")=DS$2),$G$4:$BQ$4,$G200:$BQ200))),"""")"),"")</f>
        <v/>
      </c>
      <c r="DU200" s="208" t="str">
        <f t="shared" si="23"/>
        <v/>
      </c>
      <c r="DV200" s="210">
        <f>IFERROR(__xludf.DUMMYFUNCTION("AVERAGE(ARRAYFORMULA(XLOOKUP(FILTER(INDIRECT(""'""&amp;DV$1&amp;""'!$C$4:$C$66""),INDIRECT(""'""&amp;DV$1&amp;""'!$D$4:$D$66"")=DV$2),$G$4:$BQ$4,$G200:$BQ200)))"),0.80321463875)</f>
        <v>0.8032146388</v>
      </c>
      <c r="DW200" s="207" t="str">
        <f>IFERROR(__xludf.DUMMYFUNCTION("IF(OR(DV200&gt;$BS200+$BT200*$BT$2,DV200&lt;$BS200-$BT200*$BT$2),AVEDEV(ARRAYFORMULA(XLOOKUP(FILTER(INDIRECT(""'""&amp;DV$1&amp;""'!$C$4:$C$66""),INDIRECT(""'""&amp;DV$1&amp;""'!$D$4:$D$66"")=DV$2),$G$4:$BQ$4,$G200:$BQ200))),"""")"),"")</f>
        <v/>
      </c>
      <c r="DX200" s="208" t="str">
        <f t="shared" si="24"/>
        <v/>
      </c>
      <c r="DY200" s="210">
        <f>IFERROR(__xludf.DUMMYFUNCTION("AVERAGE(ARRAYFORMULA(XLOOKUP(FILTER(INDIRECT(""'""&amp;DY$1&amp;""'!$C$4:$C$66""),INDIRECT(""'""&amp;DY$1&amp;""'!$D$4:$D$66"")=DY$2),$G$4:$BQ$4,$G200:$BQ200)))"),1.5883723488888888)</f>
        <v>1.588372349</v>
      </c>
      <c r="DZ200" s="207" t="str">
        <f>IFERROR(__xludf.DUMMYFUNCTION("IF(OR(DY200&gt;$BS200+$BT200*$BT$2,DY200&lt;$BS200-$BT200*$BT$2),AVEDEV(ARRAYFORMULA(XLOOKUP(FILTER(INDIRECT(""'""&amp;DY$1&amp;""'!$C$4:$C$66""),INDIRECT(""'""&amp;DY$1&amp;""'!$D$4:$D$66"")=DY$2),$G$4:$BQ$4,$G200:$BQ200))),"""")"),"")</f>
        <v/>
      </c>
      <c r="EA200" s="208" t="str">
        <f t="shared" si="25"/>
        <v/>
      </c>
      <c r="EB200" s="191"/>
    </row>
    <row r="201" outlineLevel="1">
      <c r="A201" s="2"/>
      <c r="B201" s="204">
        <v>197.0</v>
      </c>
      <c r="C201" s="204" t="s">
        <v>630</v>
      </c>
      <c r="D201" s="204" t="s">
        <v>645</v>
      </c>
      <c r="E201" s="205" t="b">
        <f>VLOOKUP(D201,'Feature Set List'!A197:C246,2,0)</f>
        <v>1</v>
      </c>
      <c r="F201" s="205" t="b">
        <f>VLOOKUP(D201,'Feature Set List'!A197:C246,3,0)</f>
        <v>1</v>
      </c>
      <c r="G201" s="205">
        <v>0.05123967</v>
      </c>
      <c r="H201" s="205">
        <v>-0.3041322</v>
      </c>
      <c r="I201" s="205">
        <v>0.65983471</v>
      </c>
      <c r="J201" s="205">
        <v>-0.3246281</v>
      </c>
      <c r="K201" s="205">
        <v>0.5014876</v>
      </c>
      <c r="L201" s="205">
        <v>-0.4145455</v>
      </c>
      <c r="M201" s="205">
        <v>-0.448595</v>
      </c>
      <c r="N201" s="205">
        <v>0.43239669</v>
      </c>
      <c r="O201" s="205">
        <v>-0.3884298</v>
      </c>
      <c r="P201" s="205">
        <v>-0.5120661</v>
      </c>
      <c r="Q201" s="205">
        <v>0.50545455</v>
      </c>
      <c r="R201" s="205">
        <v>1.19636364</v>
      </c>
      <c r="S201" s="205">
        <v>0.29421488</v>
      </c>
      <c r="T201" s="205">
        <v>-0.0578512</v>
      </c>
      <c r="U201" s="205">
        <v>0.80198347</v>
      </c>
      <c r="V201" s="205">
        <v>-0.3196694</v>
      </c>
      <c r="W201" s="205">
        <v>1.08099174</v>
      </c>
      <c r="X201" s="205">
        <v>0.78578512</v>
      </c>
      <c r="Y201" s="205">
        <v>0.02942149</v>
      </c>
      <c r="Z201" s="205">
        <v>0.69719008</v>
      </c>
      <c r="AA201" s="205">
        <v>0.9861157</v>
      </c>
      <c r="AB201" s="205">
        <v>-0.9771901</v>
      </c>
      <c r="AC201" s="205">
        <v>0.88595041</v>
      </c>
      <c r="AD201" s="205">
        <v>-0.0264463</v>
      </c>
      <c r="AE201" s="205">
        <v>-0.2019835</v>
      </c>
      <c r="AF201" s="205">
        <v>0.1553719</v>
      </c>
      <c r="AG201" s="205">
        <v>0.34446281</v>
      </c>
      <c r="AH201" s="205">
        <v>0.71471074</v>
      </c>
      <c r="AI201" s="205">
        <v>-0.134876</v>
      </c>
      <c r="AJ201" s="205">
        <v>0.17256198</v>
      </c>
      <c r="AK201" s="205">
        <v>-0.7048926</v>
      </c>
      <c r="AL201" s="205">
        <v>-0.1900826</v>
      </c>
      <c r="AM201" s="205">
        <v>-0.286281</v>
      </c>
      <c r="AN201" s="205">
        <v>-0.0436364</v>
      </c>
      <c r="AO201" s="205">
        <v>-0.9771901</v>
      </c>
      <c r="AP201" s="205">
        <v>-0.8778512</v>
      </c>
      <c r="AQ201" s="205">
        <v>0.6968595</v>
      </c>
      <c r="AR201" s="205">
        <v>0.42380165</v>
      </c>
      <c r="AS201" s="205">
        <v>-0.4614876</v>
      </c>
      <c r="AT201" s="205">
        <v>0.17586777</v>
      </c>
      <c r="AU201" s="205">
        <v>-0.9771901</v>
      </c>
      <c r="AV201" s="205">
        <v>0.23669421</v>
      </c>
      <c r="AW201" s="205">
        <v>-0.8572231</v>
      </c>
      <c r="AX201" s="205">
        <v>0.63504132</v>
      </c>
      <c r="AY201" s="205">
        <v>0.0</v>
      </c>
      <c r="AZ201" s="205">
        <v>0.63669421</v>
      </c>
      <c r="BA201" s="205">
        <v>-0.5173554</v>
      </c>
      <c r="BB201" s="205">
        <v>0.57123967</v>
      </c>
      <c r="BC201" s="205">
        <v>0.75900826</v>
      </c>
      <c r="BD201" s="205">
        <v>-0.7065124</v>
      </c>
      <c r="BE201" s="205">
        <v>0.66578512</v>
      </c>
      <c r="BF201" s="205">
        <v>-0.2383471</v>
      </c>
      <c r="BG201" s="205">
        <v>0.05719008</v>
      </c>
      <c r="BH201" s="205">
        <v>-0.2747107</v>
      </c>
      <c r="BI201" s="205">
        <v>-0.9771901</v>
      </c>
      <c r="BJ201" s="205">
        <v>-0.5649587</v>
      </c>
      <c r="BK201" s="205">
        <v>-0.3438017</v>
      </c>
      <c r="BL201" s="205">
        <v>-0.437686</v>
      </c>
      <c r="BM201" s="205">
        <v>0.57652893</v>
      </c>
      <c r="BN201" s="205">
        <v>-0.5821488</v>
      </c>
      <c r="BO201" s="205">
        <v>0.18942149</v>
      </c>
      <c r="BP201" s="205">
        <v>0.72561983</v>
      </c>
      <c r="BQ201" s="205">
        <v>-0.788</v>
      </c>
      <c r="BR201" s="206"/>
      <c r="BS201" s="207">
        <f t="shared" si="6"/>
        <v>0.02743381619</v>
      </c>
      <c r="BT201" s="207">
        <f t="shared" si="7"/>
        <v>0.5014235212</v>
      </c>
      <c r="BU201" s="206"/>
      <c r="BV201" s="207">
        <f>IFERROR(__xludf.DUMMYFUNCTION("AVERAGE(ARRAYFORMULA(XLOOKUP(FILTER(INDIRECT(""'""&amp;BV$1&amp;""'!$C$4:$C$66""),INDIRECT(""'""&amp;BV$1&amp;""'!$D$4:$D$66"")=BV$2),$G$4:$BQ$4,$G201:$BQ201)))"),0.20141675428571432)</f>
        <v>0.2014167543</v>
      </c>
      <c r="BW201" s="207" t="str">
        <f>IFERROR(__xludf.DUMMYFUNCTION("IF(OR(BV201&gt;$BS201+$BT201*$BT$2,BV201&lt;$BS201-$BT201*$BT$2),AVEDEV(ARRAYFORMULA(XLOOKUP(FILTER(INDIRECT(""'""&amp;BV$1&amp;""'!$C$4:$C$66""),INDIRECT(""'""&amp;BV$1&amp;""'!$D$4:$D$66"")=BV$2),$G$4:$BQ$4,$G201:$BQ201))),"""")"),"")</f>
        <v/>
      </c>
      <c r="BX201" s="208" t="str">
        <f t="shared" si="8"/>
        <v/>
      </c>
      <c r="BY201" s="207">
        <f>IFERROR(__xludf.DUMMYFUNCTION("AVERAGE(ARRAYFORMULA(XLOOKUP(FILTER(INDIRECT(""'""&amp;BY$1&amp;""'!$C$4:$C$66""),INDIRECT(""'""&amp;BY$1&amp;""'!$D$4:$D$66"")=BY$2),$G$4:$BQ$4,$G201:$BQ201)))"),0.018153480714285714)</f>
        <v>0.01815348071</v>
      </c>
      <c r="BZ201" s="207" t="str">
        <f>IFERROR(__xludf.DUMMYFUNCTION("IF(OR(BY201&gt;$BS201+$BT201*$BT$2,BY201&lt;$BS201-$BT201*$BT$2),AVEDEV(ARRAYFORMULA(XLOOKUP(FILTER(INDIRECT(""'""&amp;BY$1&amp;""'!$C$4:$C$66""),INDIRECT(""'""&amp;BY$1&amp;""'!$D$4:$D$66"")=BY$2),$G$4:$BQ$4,$G201:$BQ201))),"""")"),"")</f>
        <v/>
      </c>
      <c r="CA201" s="208" t="str">
        <f t="shared" si="9"/>
        <v/>
      </c>
      <c r="CB201" s="207">
        <f>IFERROR(__xludf.DUMMYFUNCTION("AVERAGE(ARRAYFORMULA(XLOOKUP(FILTER(INDIRECT(""'""&amp;CB$1&amp;""'!$C$4:$C$66""),INDIRECT(""'""&amp;CB$1&amp;""'!$D$4:$D$66"")=CB$2),$G$4:$BQ$4,$G201:$BQ201)))"),0.0527122490909091)</f>
        <v>0.05271224909</v>
      </c>
      <c r="CC201" s="207" t="str">
        <f>IFERROR(__xludf.DUMMYFUNCTION("IF(OR(CB201&gt;$BS201+$BT201*$BT$2,CB201&lt;$BS201-$BT201*$BT$2),AVEDEV(ARRAYFORMULA(XLOOKUP(FILTER(INDIRECT(""'""&amp;CB$1&amp;""'!$C$4:$C$66""),INDIRECT(""'""&amp;CB$1&amp;""'!$D$4:$D$66"")=CB$2),$G$4:$BQ$4,$G201:$BQ201))),"""")"),"")</f>
        <v/>
      </c>
      <c r="CD201" s="208" t="str">
        <f t="shared" si="10"/>
        <v/>
      </c>
      <c r="CE201" s="209" t="s">
        <v>444</v>
      </c>
      <c r="CF201" s="207">
        <f>IFERROR(__xludf.DUMMYFUNCTION("AVERAGE(ARRAYFORMULA(XLOOKUP(FILTER(INDIRECT(""'""&amp;CF$1&amp;""'!$C$4:$C$66""),INDIRECT(""'""&amp;CF$1&amp;""'!$D$4:$D$66"")=CF$2),$G$4:$BQ$4,$G201:$BQ201)))"),-0.027456605625000005)</f>
        <v>-0.02745660563</v>
      </c>
      <c r="CG201" s="207" t="str">
        <f>IFERROR(__xludf.DUMMYFUNCTION("IF(OR(CF201&gt;$BS201+$BT201*$BT$2,CF201&lt;$BS201-$BT201*$BT$2),AVEDEV(ARRAYFORMULA(XLOOKUP(FILTER(INDIRECT(""'""&amp;CF$1&amp;""'!$C$4:$C$66""),INDIRECT(""'""&amp;CF$1&amp;""'!$D$4:$D$66"")=CF$2),$G$4:$BQ$4,$G201:$BQ201))),"""")"),"")</f>
        <v/>
      </c>
      <c r="CH201" s="208" t="str">
        <f t="shared" si="11"/>
        <v/>
      </c>
      <c r="CI201" s="207">
        <f>IFERROR(__xludf.DUMMYFUNCTION("AVERAGE(ARRAYFORMULA(XLOOKUP(FILTER(INDIRECT(""'""&amp;CI$1&amp;""'!$C$4:$C$66""),INDIRECT(""'""&amp;CI$1&amp;""'!$D$4:$D$66"")=CI$2),$G$4:$BQ$4,$G201:$BQ201)))"),0.11084296903225807)</f>
        <v>0.110842969</v>
      </c>
      <c r="CJ201" s="207" t="str">
        <f>IFERROR(__xludf.DUMMYFUNCTION("IF(OR(CI201&gt;$BS201+$BT201*$BT$2,CI201&lt;$BS201-$BT201*$BT$2),AVEDEV(ARRAYFORMULA(XLOOKUP(FILTER(INDIRECT(""'""&amp;CI$1&amp;""'!$C$4:$C$66""),INDIRECT(""'""&amp;CI$1&amp;""'!$D$4:$D$66"")=CI$2),$G$4:$BQ$4,$G201:$BQ201))),"""")"),"")</f>
        <v/>
      </c>
      <c r="CK201" s="208" t="str">
        <f t="shared" si="12"/>
        <v/>
      </c>
      <c r="CL201" s="207">
        <f>IFERROR(__xludf.DUMMYFUNCTION("AVERAGE(ARRAYFORMULA(XLOOKUP(FILTER(INDIRECT(""'""&amp;CL$1&amp;""'!$C$4:$C$66""),INDIRECT(""'""&amp;CL$1&amp;""'!$D$4:$D$66"")=CL$2),$G$4:$BQ$4,$G201:$BQ201)))"),-0.298314044)</f>
        <v>-0.298314044</v>
      </c>
      <c r="CM201" s="207" t="str">
        <f>IFERROR(__xludf.DUMMYFUNCTION("IF(OR(CL201&gt;$BS201+$BT201*$BT$2,CL201&lt;$BS201-$BT201*$BT$2),AVEDEV(ARRAYFORMULA(XLOOKUP(FILTER(INDIRECT(""'""&amp;CL$1&amp;""'!$C$4:$C$66""),INDIRECT(""'""&amp;CL$1&amp;""'!$D$4:$D$66"")=CL$2),$G$4:$BQ$4,$G201:$BQ201))),"""")"),"")</f>
        <v/>
      </c>
      <c r="CN201" s="208" t="str">
        <f t="shared" si="13"/>
        <v/>
      </c>
      <c r="CO201" s="209" t="s">
        <v>444</v>
      </c>
      <c r="CP201" s="210">
        <f>IFERROR(__xludf.DUMMYFUNCTION("AVERAGE(ARRAYFORMULA(XLOOKUP(FILTER(INDIRECT(""'""&amp;CP$1&amp;""'!$C$4:$C$66""),INDIRECT(""'""&amp;CP$1&amp;""'!$D$4:$D$66"")=CP$2),$G$4:$BQ$4,$G201:$BQ201)))"),0.3791515113333333)</f>
        <v>0.3791515113</v>
      </c>
      <c r="CQ201" s="207" t="str">
        <f>IFERROR(__xludf.DUMMYFUNCTION("IF(OR(CP201&gt;$BS201+$BT201*$BT$2,CP201&lt;$BS201-$BT201*$BT$2),AVEDEV(ARRAYFORMULA(XLOOKUP(FILTER(INDIRECT(""'""&amp;CP$1&amp;""'!$C$4:$C$66""),INDIRECT(""'""&amp;CP$1&amp;""'!$D$4:$D$66"")=CP$2),$G$4:$BQ$4,$G201:$BQ201))),"""")"),"")</f>
        <v/>
      </c>
      <c r="CR201" s="208" t="str">
        <f t="shared" si="14"/>
        <v/>
      </c>
      <c r="CS201" s="210">
        <f>IFERROR(__xludf.DUMMYFUNCTION("AVERAGE(ARRAYFORMULA(XLOOKUP(FILTER(INDIRECT(""'""&amp;CS$1&amp;""'!$C$4:$C$66""),INDIRECT(""'""&amp;CS$1&amp;""'!$D$4:$D$66"")=CS$2),$G$4:$BQ$4,$G201:$BQ201)))"),-0.025790211282051285)</f>
        <v>-0.02579021128</v>
      </c>
      <c r="CT201" s="207" t="str">
        <f>IFERROR(__xludf.DUMMYFUNCTION("IF(OR(CS201&gt;$BS201+$BT201*$BT$2,CS201&lt;$BS201-$BT201*$BT$2),AVEDEV(ARRAYFORMULA(XLOOKUP(FILTER(INDIRECT(""'""&amp;CS$1&amp;""'!$C$4:$C$66""),INDIRECT(""'""&amp;CS$1&amp;""'!$D$4:$D$66"")=CS$2),$G$4:$BQ$4,$G201:$BQ201))),"""")"),"")</f>
        <v/>
      </c>
      <c r="CU201" s="208" t="str">
        <f t="shared" si="15"/>
        <v/>
      </c>
      <c r="CV201" s="210">
        <f>IFERROR(__xludf.DUMMYFUNCTION("AVERAGE(ARRAYFORMULA(XLOOKUP(FILTER(INDIRECT(""'""&amp;CV$1&amp;""'!$C$4:$C$66""),INDIRECT(""'""&amp;CV$1&amp;""'!$D$4:$D$66"")=CV$2),$G$4:$BQ$4,$G201:$BQ201)))"),-0.298314044)</f>
        <v>-0.298314044</v>
      </c>
      <c r="CW201" s="207" t="str">
        <f>IFERROR(__xludf.DUMMYFUNCTION("IF(OR(CV201&gt;$BS201+$BT201*$BT$2,CV201&lt;$BS201-$BT201*$BT$2),AVEDEV(ARRAYFORMULA(XLOOKUP(FILTER(INDIRECT(""'""&amp;CV$1&amp;""'!$C$4:$C$66""),INDIRECT(""'""&amp;CV$1&amp;""'!$D$4:$D$66"")=CV$2),$G$4:$BQ$4,$G201:$BQ201))),"""")"),"")</f>
        <v/>
      </c>
      <c r="CX201" s="208" t="str">
        <f t="shared" si="16"/>
        <v/>
      </c>
      <c r="CY201" s="209" t="s">
        <v>444</v>
      </c>
      <c r="CZ201" s="210">
        <f>IFERROR(__xludf.DUMMYFUNCTION("AVERAGE(ARRAYFORMULA(XLOOKUP(FILTER(INDIRECT(""'""&amp;CZ$1&amp;""'!$C$4:$C$66""),INDIRECT(""'""&amp;CZ$1&amp;""'!$D$4:$D$66"")=CZ$2),$G$4:$BQ$4,$G201:$BQ201)))"),-0.2159834642857143)</f>
        <v>-0.2159834643</v>
      </c>
      <c r="DA201" s="207" t="str">
        <f>IFERROR(__xludf.DUMMYFUNCTION("IF(OR(CZ201&gt;$BS201+$BT201*$BT$2,CZ201&lt;$BS201-$BT201*$BT$2),AVEDEV(ARRAYFORMULA(XLOOKUP(FILTER(INDIRECT(""'""&amp;CZ$1&amp;""'!$C$4:$C$66""),INDIRECT(""'""&amp;CZ$1&amp;""'!$D$4:$D$66"")=CZ$2),$G$4:$BQ$4,$G201:$BQ201))),"""")"),"")</f>
        <v/>
      </c>
      <c r="DB201" s="208" t="str">
        <f t="shared" si="17"/>
        <v/>
      </c>
      <c r="DC201" s="210">
        <f>IFERROR(__xludf.DUMMYFUNCTION("AVERAGE(ARRAYFORMULA(XLOOKUP(FILTER(INDIRECT(""'""&amp;DC$1&amp;""'!$C$4:$C$66""),INDIRECT(""'""&amp;DC$1&amp;""'!$D$4:$D$66"")=DC$2),$G$4:$BQ$4,$G201:$BQ201)))"),-0.0703764888888889)</f>
        <v>-0.07037648889</v>
      </c>
      <c r="DD201" s="207" t="str">
        <f>IFERROR(__xludf.DUMMYFUNCTION("IF(OR(DC201&gt;$BS201+$BT201*$BT$2,DC201&lt;$BS201-$BT201*$BT$2),AVEDEV(ARRAYFORMULA(XLOOKUP(FILTER(INDIRECT(""'""&amp;DC$1&amp;""'!$C$4:$C$66""),INDIRECT(""'""&amp;DC$1&amp;""'!$D$4:$D$66"")=DC$2),$G$4:$BQ$4,$G201:$BQ201))),"""")"),"")</f>
        <v/>
      </c>
      <c r="DE201" s="208" t="str">
        <f t="shared" si="18"/>
        <v/>
      </c>
      <c r="DF201" s="210">
        <f>IFERROR(__xludf.DUMMYFUNCTION("AVERAGE(ARRAYFORMULA(XLOOKUP(FILTER(INDIRECT(""'""&amp;DF$1&amp;""'!$C$4:$C$66""),INDIRECT(""'""&amp;DF$1&amp;""'!$D$4:$D$66"")=DF$2),$G$4:$BQ$4,$G201:$BQ201)))"),0.26485348999999997)</f>
        <v>0.26485349</v>
      </c>
      <c r="DG201" s="207" t="str">
        <f>IFERROR(__xludf.DUMMYFUNCTION("IF(OR(DF201&gt;$BS201+$BT201*$BT$2,DF201&lt;$BS201-$BT201*$BT$2),AVEDEV(ARRAYFORMULA(XLOOKUP(FILTER(INDIRECT(""'""&amp;DF$1&amp;""'!$C$4:$C$66""),INDIRECT(""'""&amp;DF$1&amp;""'!$D$4:$D$66"")=DF$2),$G$4:$BQ$4,$G201:$BQ201))),"""")"),"")</f>
        <v/>
      </c>
      <c r="DH201" s="208" t="str">
        <f t="shared" si="19"/>
        <v/>
      </c>
      <c r="DI201" s="210">
        <f>IFERROR(__xludf.DUMMYFUNCTION("AVERAGE(ARRAYFORMULA(XLOOKUP(FILTER(INDIRECT(""'""&amp;DI$1&amp;""'!$C$4:$C$66""),INDIRECT(""'""&amp;DI$1&amp;""'!$D$4:$D$66"")=DI$2),$G$4:$BQ$4,$G201:$BQ201)))"),-0.15057849999999998)</f>
        <v>-0.1505785</v>
      </c>
      <c r="DJ201" s="207" t="str">
        <f>IFERROR(__xludf.DUMMYFUNCTION("IF(OR(DI201&gt;$BS201+$BT201*$BT$2,DI201&lt;$BS201-$BT201*$BT$2),AVEDEV(ARRAYFORMULA(XLOOKUP(FILTER(INDIRECT(""'""&amp;DI$1&amp;""'!$C$4:$C$66""),INDIRECT(""'""&amp;DI$1&amp;""'!$D$4:$D$66"")=DI$2),$G$4:$BQ$4,$G201:$BQ201))),"""")"),"")</f>
        <v/>
      </c>
      <c r="DK201" s="208" t="str">
        <f t="shared" si="20"/>
        <v/>
      </c>
      <c r="DL201" s="210">
        <f>IFERROR(__xludf.DUMMYFUNCTION("AVERAGE(ARRAYFORMULA(XLOOKUP(FILTER(INDIRECT(""'""&amp;DL$1&amp;""'!$C$4:$C$66""),INDIRECT(""'""&amp;DL$1&amp;""'!$D$4:$D$66"")=DL$2),$G$4:$BQ$4,$G201:$BQ201)))"),0.126476965)</f>
        <v>0.126476965</v>
      </c>
      <c r="DM201" s="207" t="str">
        <f>IFERROR(__xludf.DUMMYFUNCTION("IF(OR(DL201&gt;$BS201+$BT201*$BT$2,DL201&lt;$BS201-$BT201*$BT$2),AVEDEV(ARRAYFORMULA(XLOOKUP(FILTER(INDIRECT(""'""&amp;DL$1&amp;""'!$C$4:$C$66""),INDIRECT(""'""&amp;DL$1&amp;""'!$D$4:$D$66"")=DL$2),$G$4:$BQ$4,$G201:$BQ201))),"""")"),"")</f>
        <v/>
      </c>
      <c r="DN201" s="208" t="str">
        <f t="shared" si="21"/>
        <v/>
      </c>
      <c r="DO201" s="209" t="s">
        <v>444</v>
      </c>
      <c r="DP201" s="210">
        <f>IFERROR(__xludf.DUMMYFUNCTION("AVERAGE(ARRAYFORMULA(XLOOKUP(FILTER(INDIRECT(""'""&amp;DP$1&amp;""'!$C$4:$C$66""),INDIRECT(""'""&amp;DP$1&amp;""'!$D$4:$D$66"")=DP$2),$G$4:$BQ$4,$G201:$BQ201)))"),0.04590082433333332)</f>
        <v>0.04590082433</v>
      </c>
      <c r="DQ201" s="207" t="str">
        <f>IFERROR(__xludf.DUMMYFUNCTION("IF(OR(DP201&gt;$BS201+$BT201*$BT$2,DP201&lt;$BS201-$BT201*$BT$2),AVEDEV(ARRAYFORMULA(XLOOKUP(FILTER(INDIRECT(""'""&amp;DP$1&amp;""'!$C$4:$C$66""),INDIRECT(""'""&amp;DP$1&amp;""'!$D$4:$D$66"")=DP$2),$G$4:$BQ$4,$G201:$BQ201))),"""")"),"")</f>
        <v/>
      </c>
      <c r="DR201" s="208" t="str">
        <f t="shared" si="22"/>
        <v/>
      </c>
      <c r="DS201" s="210">
        <f>IFERROR(__xludf.DUMMYFUNCTION("AVERAGE(ARRAYFORMULA(XLOOKUP(FILTER(INDIRECT(""'""&amp;DS$1&amp;""'!$C$4:$C$66""),INDIRECT(""'""&amp;DS$1&amp;""'!$D$4:$D$66"")=DS$2),$G$4:$BQ$4,$G201:$BQ201)))"),-5.509611111111175E-4)</f>
        <v>-0.0005509611111</v>
      </c>
      <c r="DT201" s="207" t="str">
        <f>IFERROR(__xludf.DUMMYFUNCTION("IF(OR(DS201&gt;$BS201+$BT201*$BT$2,DS201&lt;$BS201-$BT201*$BT$2),AVEDEV(ARRAYFORMULA(XLOOKUP(FILTER(INDIRECT(""'""&amp;DS$1&amp;""'!$C$4:$C$66""),INDIRECT(""'""&amp;DS$1&amp;""'!$D$4:$D$66"")=DS$2),$G$4:$BQ$4,$G201:$BQ201))),"""")"),"")</f>
        <v/>
      </c>
      <c r="DU201" s="208" t="str">
        <f t="shared" si="23"/>
        <v/>
      </c>
      <c r="DV201" s="210">
        <f>IFERROR(__xludf.DUMMYFUNCTION("AVERAGE(ARRAYFORMULA(XLOOKUP(FILTER(INDIRECT(""'""&amp;DV$1&amp;""'!$C$4:$C$66""),INDIRECT(""'""&amp;DV$1&amp;""'!$D$4:$D$66"")=DV$2),$G$4:$BQ$4,$G201:$BQ201)))"),0.46243801000000007)</f>
        <v>0.46243801</v>
      </c>
      <c r="DW201" s="207" t="str">
        <f>IFERROR(__xludf.DUMMYFUNCTION("IF(OR(DV201&gt;$BS201+$BT201*$BT$2,DV201&lt;$BS201-$BT201*$BT$2),AVEDEV(ARRAYFORMULA(XLOOKUP(FILTER(INDIRECT(""'""&amp;DV$1&amp;""'!$C$4:$C$66""),INDIRECT(""'""&amp;DV$1&amp;""'!$D$4:$D$66"")=DV$2),$G$4:$BQ$4,$G201:$BQ201))),"""")"),"")</f>
        <v/>
      </c>
      <c r="DX201" s="208" t="str">
        <f t="shared" si="24"/>
        <v/>
      </c>
      <c r="DY201" s="210">
        <f>IFERROR(__xludf.DUMMYFUNCTION("AVERAGE(ARRAYFORMULA(XLOOKUP(FILTER(INDIRECT(""'""&amp;DY$1&amp;""'!$C$4:$C$66""),INDIRECT(""'""&amp;DY$1&amp;""'!$D$4:$D$66"")=DY$2),$G$4:$BQ$4,$G201:$BQ201)))"),-0.23489806888888895)</f>
        <v>-0.2348980689</v>
      </c>
      <c r="DZ201" s="207" t="str">
        <f>IFERROR(__xludf.DUMMYFUNCTION("IF(OR(DY201&gt;$BS201+$BT201*$BT$2,DY201&lt;$BS201-$BT201*$BT$2),AVEDEV(ARRAYFORMULA(XLOOKUP(FILTER(INDIRECT(""'""&amp;DY$1&amp;""'!$C$4:$C$66""),INDIRECT(""'""&amp;DY$1&amp;""'!$D$4:$D$66"")=DY$2),$G$4:$BQ$4,$G201:$BQ201))),"""")"),"")</f>
        <v/>
      </c>
      <c r="EA201" s="208" t="str">
        <f t="shared" si="25"/>
        <v/>
      </c>
      <c r="EB201" s="191"/>
    </row>
    <row r="202" outlineLevel="1">
      <c r="A202" s="2"/>
      <c r="B202" s="204">
        <v>198.0</v>
      </c>
      <c r="C202" s="204" t="s">
        <v>646</v>
      </c>
      <c r="D202" s="204" t="s">
        <v>647</v>
      </c>
      <c r="E202" s="205" t="b">
        <f>VLOOKUP(D202,'Feature Set List'!A198:C246,2,0)</f>
        <v>1</v>
      </c>
      <c r="F202" s="205" t="b">
        <f>VLOOKUP(D202,'Feature Set List'!A198:C246,3,0)</f>
        <v>1</v>
      </c>
      <c r="G202" s="205">
        <v>-0.3333333</v>
      </c>
      <c r="H202" s="205">
        <v>0.0</v>
      </c>
      <c r="I202" s="205">
        <v>-0.6666667</v>
      </c>
      <c r="J202" s="205">
        <v>0.66666667</v>
      </c>
      <c r="K202" s="205">
        <v>0.0</v>
      </c>
      <c r="L202" s="205">
        <v>-0.3333333</v>
      </c>
      <c r="M202" s="205">
        <v>-0.6666667</v>
      </c>
      <c r="N202" s="205">
        <v>0.0</v>
      </c>
      <c r="O202" s="205">
        <v>0.66666667</v>
      </c>
      <c r="P202" s="205">
        <v>-0.6666667</v>
      </c>
      <c r="Q202" s="205">
        <v>-0.6666667</v>
      </c>
      <c r="R202" s="205">
        <v>-0.6666667</v>
      </c>
      <c r="S202" s="205">
        <v>0.33333333</v>
      </c>
      <c r="T202" s="205">
        <v>0.0</v>
      </c>
      <c r="U202" s="205">
        <v>-0.3333333</v>
      </c>
      <c r="V202" s="205">
        <v>0.33333333</v>
      </c>
      <c r="W202" s="205">
        <v>-0.3333333</v>
      </c>
      <c r="X202" s="205">
        <v>0.0</v>
      </c>
      <c r="Y202" s="205">
        <v>1.0</v>
      </c>
      <c r="Z202" s="205">
        <v>-1.0</v>
      </c>
      <c r="AA202" s="205">
        <v>-0.3333333</v>
      </c>
      <c r="AB202" s="205">
        <v>0.0</v>
      </c>
      <c r="AC202" s="205">
        <v>0.0</v>
      </c>
      <c r="AD202" s="205">
        <v>0.0</v>
      </c>
      <c r="AE202" s="205">
        <v>-0.3333333</v>
      </c>
      <c r="AF202" s="205">
        <v>0.33333333</v>
      </c>
      <c r="AG202" s="205">
        <v>-0.6666667</v>
      </c>
      <c r="AH202" s="205">
        <v>1.33333333</v>
      </c>
      <c r="AI202" s="205">
        <v>0.66666667</v>
      </c>
      <c r="AJ202" s="205">
        <v>-0.6666667</v>
      </c>
      <c r="AK202" s="205">
        <v>-0.3333333</v>
      </c>
      <c r="AL202" s="205">
        <v>1.0</v>
      </c>
      <c r="AM202" s="205">
        <v>0.33333333</v>
      </c>
      <c r="AN202" s="205">
        <v>0.0</v>
      </c>
      <c r="AO202" s="205">
        <v>-1.6666667</v>
      </c>
      <c r="AP202" s="205">
        <v>-0.3333333</v>
      </c>
      <c r="AQ202" s="205">
        <v>-0.6666667</v>
      </c>
      <c r="AR202" s="205">
        <v>-0.6666667</v>
      </c>
      <c r="AS202" s="205">
        <v>-0.3333333</v>
      </c>
      <c r="AT202" s="205">
        <v>0.33333333</v>
      </c>
      <c r="AU202" s="205">
        <v>-2.3333333</v>
      </c>
      <c r="AV202" s="205">
        <v>0.0</v>
      </c>
      <c r="AW202" s="205">
        <v>0.0</v>
      </c>
      <c r="AX202" s="205">
        <v>0.33333333</v>
      </c>
      <c r="AY202" s="205">
        <v>-1.0</v>
      </c>
      <c r="AZ202" s="205">
        <v>0.33333333</v>
      </c>
      <c r="BA202" s="205">
        <v>1.0</v>
      </c>
      <c r="BB202" s="205">
        <v>-0.6666667</v>
      </c>
      <c r="BC202" s="205">
        <v>0.0</v>
      </c>
      <c r="BD202" s="205">
        <v>0.0</v>
      </c>
      <c r="BE202" s="205">
        <v>-0.3333333</v>
      </c>
      <c r="BF202" s="205">
        <v>0.33333333</v>
      </c>
      <c r="BG202" s="205">
        <v>0.0</v>
      </c>
      <c r="BH202" s="205">
        <v>-0.6666667</v>
      </c>
      <c r="BI202" s="205">
        <v>0.0</v>
      </c>
      <c r="BJ202" s="205">
        <v>1.33333333</v>
      </c>
      <c r="BK202" s="205">
        <v>0.0</v>
      </c>
      <c r="BL202" s="205">
        <v>-0.6666667</v>
      </c>
      <c r="BM202" s="205">
        <v>-0.6666667</v>
      </c>
      <c r="BN202" s="205">
        <v>0.33333333</v>
      </c>
      <c r="BO202" s="205">
        <v>0.33333333</v>
      </c>
      <c r="BP202" s="205">
        <v>0.66666667</v>
      </c>
      <c r="BQ202" s="205">
        <v>0.33333333</v>
      </c>
      <c r="BR202" s="206"/>
      <c r="BS202" s="207">
        <f t="shared" si="6"/>
        <v>-0.0952380973</v>
      </c>
      <c r="BT202" s="207">
        <f t="shared" si="7"/>
        <v>0.4897959198</v>
      </c>
      <c r="BU202" s="206"/>
      <c r="BV202" s="207">
        <f>IFERROR(__xludf.DUMMYFUNCTION("AVERAGE(ARRAYFORMULA(XLOOKUP(FILTER(INDIRECT(""'""&amp;BV$1&amp;""'!$C$4:$C$66""),INDIRECT(""'""&amp;BV$1&amp;""'!$D$4:$D$66"")=BV$2),$G$4:$BQ$4,$G202:$BQ202)))"),-0.6666666714285714)</f>
        <v>-0.6666666714</v>
      </c>
      <c r="BW202" s="207">
        <f>IFERROR(__xludf.DUMMYFUNCTION("IF(OR(BV202&gt;$BS202+$BT202*$BT$2,BV202&lt;$BS202-$BT202*$BT$2),AVEDEV(ARRAYFORMULA(XLOOKUP(FILTER(INDIRECT(""'""&amp;BV$1&amp;""'!$C$4:$C$66""),INDIRECT(""'""&amp;BV$1&amp;""'!$D$4:$D$66"")=BV$2),$G$4:$BQ$4,$G202:$BQ202))),"""")"),0.38095240408163267)</f>
        <v>0.3809524041</v>
      </c>
      <c r="BX202" s="208">
        <f t="shared" si="8"/>
        <v>-0.08163265435</v>
      </c>
      <c r="BY202" s="207">
        <f>IFERROR(__xludf.DUMMYFUNCTION("AVERAGE(ARRAYFORMULA(XLOOKUP(FILTER(INDIRECT(""'""&amp;BY$1&amp;""'!$C$4:$C$66""),INDIRECT(""'""&amp;BY$1&amp;""'!$D$4:$D$66"")=BY$2),$G$4:$BQ$4,$G202:$BQ202)))"),0.0476190454761905)</f>
        <v>0.04761904548</v>
      </c>
      <c r="BZ202" s="207" t="str">
        <f>IFERROR(__xludf.DUMMYFUNCTION("IF(OR(BY202&gt;$BS202+$BT202*$BT$2,BY202&lt;$BS202-$BT202*$BT$2),AVEDEV(ARRAYFORMULA(XLOOKUP(FILTER(INDIRECT(""'""&amp;BY$1&amp;""'!$C$4:$C$66""),INDIRECT(""'""&amp;BY$1&amp;""'!$D$4:$D$66"")=BY$2),$G$4:$BQ$4,$G202:$BQ202))),"""")"),"")</f>
        <v/>
      </c>
      <c r="CA202" s="208" t="str">
        <f t="shared" si="9"/>
        <v/>
      </c>
      <c r="CB202" s="207">
        <f>IFERROR(__xludf.DUMMYFUNCTION("AVERAGE(ARRAYFORMULA(XLOOKUP(FILTER(INDIRECT(""'""&amp;CB$1&amp;""'!$C$4:$C$66""),INDIRECT(""'""&amp;CB$1&amp;""'!$D$4:$D$66"")=CB$2),$G$4:$BQ$4,$G202:$BQ202)))"),-0.03030303090909089)</f>
        <v>-0.03030303091</v>
      </c>
      <c r="CC202" s="207" t="str">
        <f>IFERROR(__xludf.DUMMYFUNCTION("IF(OR(CB202&gt;$BS202+$BT202*$BT$2,CB202&lt;$BS202-$BT202*$BT$2),AVEDEV(ARRAYFORMULA(XLOOKUP(FILTER(INDIRECT(""'""&amp;CB$1&amp;""'!$C$4:$C$66""),INDIRECT(""'""&amp;CB$1&amp;""'!$D$4:$D$66"")=CB$2),$G$4:$BQ$4,$G202:$BQ202))),"""")"),"")</f>
        <v/>
      </c>
      <c r="CD202" s="208" t="str">
        <f t="shared" si="10"/>
        <v/>
      </c>
      <c r="CE202" s="209" t="s">
        <v>444</v>
      </c>
      <c r="CF202" s="207">
        <f>IFERROR(__xludf.DUMMYFUNCTION("AVERAGE(ARRAYFORMULA(XLOOKUP(FILTER(INDIRECT(""'""&amp;CF$1&amp;""'!$C$4:$C$66""),INDIRECT(""'""&amp;CF$1&amp;""'!$D$4:$D$66"")=CF$2),$G$4:$BQ$4,$G202:$BQ202)))"),-0.062499998125)</f>
        <v>-0.06249999813</v>
      </c>
      <c r="CG202" s="207" t="str">
        <f>IFERROR(__xludf.DUMMYFUNCTION("IF(OR(CF202&gt;$BS202+$BT202*$BT$2,CF202&lt;$BS202-$BT202*$BT$2),AVEDEV(ARRAYFORMULA(XLOOKUP(FILTER(INDIRECT(""'""&amp;CF$1&amp;""'!$C$4:$C$66""),INDIRECT(""'""&amp;CF$1&amp;""'!$D$4:$D$66"")=CF$2),$G$4:$BQ$4,$G202:$BQ202))),"""")"),"")</f>
        <v/>
      </c>
      <c r="CH202" s="208" t="str">
        <f t="shared" si="11"/>
        <v/>
      </c>
      <c r="CI202" s="207">
        <f>IFERROR(__xludf.DUMMYFUNCTION("AVERAGE(ARRAYFORMULA(XLOOKUP(FILTER(INDIRECT(""'""&amp;CI$1&amp;""'!$C$4:$C$66""),INDIRECT(""'""&amp;CI$1&amp;""'!$D$4:$D$66"")=CI$2),$G$4:$BQ$4,$G202:$BQ202)))"),0.043010750967741915)</f>
        <v>0.04301075097</v>
      </c>
      <c r="CJ202" s="207" t="str">
        <f>IFERROR(__xludf.DUMMYFUNCTION("IF(OR(CI202&gt;$BS202+$BT202*$BT$2,CI202&lt;$BS202-$BT202*$BT$2),AVEDEV(ARRAYFORMULA(XLOOKUP(FILTER(INDIRECT(""'""&amp;CI$1&amp;""'!$C$4:$C$66""),INDIRECT(""'""&amp;CI$1&amp;""'!$D$4:$D$66"")=CI$2),$G$4:$BQ$4,$G202:$BQ202))),"""")"),"")</f>
        <v/>
      </c>
      <c r="CK202" s="208" t="str">
        <f t="shared" si="12"/>
        <v/>
      </c>
      <c r="CL202" s="207">
        <f>IFERROR(__xludf.DUMMYFUNCTION("AVERAGE(ARRAYFORMULA(XLOOKUP(FILTER(INDIRECT(""'""&amp;CL$1&amp;""'!$C$4:$C$66""),INDIRECT(""'""&amp;CL$1&amp;""'!$D$4:$D$66"")=CL$2),$G$4:$BQ$4,$G202:$BQ202)))"),1.1102230246251566E-17)</f>
        <v>0</v>
      </c>
      <c r="CM202" s="207" t="str">
        <f>IFERROR(__xludf.DUMMYFUNCTION("IF(OR(CL202&gt;$BS202+$BT202*$BT$2,CL202&lt;$BS202-$BT202*$BT$2),AVEDEV(ARRAYFORMULA(XLOOKUP(FILTER(INDIRECT(""'""&amp;CL$1&amp;""'!$C$4:$C$66""),INDIRECT(""'""&amp;CL$1&amp;""'!$D$4:$D$66"")=CL$2),$G$4:$BQ$4,$G202:$BQ202))),"""")"),"")</f>
        <v/>
      </c>
      <c r="CN202" s="208" t="str">
        <f t="shared" si="13"/>
        <v/>
      </c>
      <c r="CO202" s="209" t="s">
        <v>444</v>
      </c>
      <c r="CP202" s="210">
        <f>IFERROR(__xludf.DUMMYFUNCTION("AVERAGE(ARRAYFORMULA(XLOOKUP(FILTER(INDIRECT(""'""&amp;CP$1&amp;""'!$C$4:$C$66""),INDIRECT(""'""&amp;CP$1&amp;""'!$D$4:$D$66"")=CP$2),$G$4:$BQ$4,$G202:$BQ202)))"),6.000000000542608E-9)</f>
        <v>0.000000006000000001</v>
      </c>
      <c r="CQ202" s="207" t="str">
        <f>IFERROR(__xludf.DUMMYFUNCTION("IF(OR(CP202&gt;$BS202+$BT202*$BT$2,CP202&lt;$BS202-$BT202*$BT$2),AVEDEV(ARRAYFORMULA(XLOOKUP(FILTER(INDIRECT(""'""&amp;CP$1&amp;""'!$C$4:$C$66""),INDIRECT(""'""&amp;CP$1&amp;""'!$D$4:$D$66"")=CP$2),$G$4:$BQ$4,$G202:$BQ202))),"""")"),"")</f>
        <v/>
      </c>
      <c r="CR202" s="208" t="str">
        <f t="shared" si="14"/>
        <v/>
      </c>
      <c r="CS202" s="210">
        <f>IFERROR(__xludf.DUMMYFUNCTION("AVERAGE(ARRAYFORMULA(XLOOKUP(FILTER(INDIRECT(""'""&amp;CS$1&amp;""'!$C$4:$C$66""),INDIRECT(""'""&amp;CS$1&amp;""'!$D$4:$D$66"")=CS$2),$G$4:$BQ$4,$G202:$BQ202)))"),-0.05982906461538462)</f>
        <v>-0.05982906462</v>
      </c>
      <c r="CT202" s="207" t="str">
        <f>IFERROR(__xludf.DUMMYFUNCTION("IF(OR(CS202&gt;$BS202+$BT202*$BT$2,CS202&lt;$BS202-$BT202*$BT$2),AVEDEV(ARRAYFORMULA(XLOOKUP(FILTER(INDIRECT(""'""&amp;CS$1&amp;""'!$C$4:$C$66""),INDIRECT(""'""&amp;CS$1&amp;""'!$D$4:$D$66"")=CS$2),$G$4:$BQ$4,$G202:$BQ202))),"""")"),"")</f>
        <v/>
      </c>
      <c r="CU202" s="208" t="str">
        <f t="shared" si="15"/>
        <v/>
      </c>
      <c r="CV202" s="210">
        <f>IFERROR(__xludf.DUMMYFUNCTION("AVERAGE(ARRAYFORMULA(XLOOKUP(FILTER(INDIRECT(""'""&amp;CV$1&amp;""'!$C$4:$C$66""),INDIRECT(""'""&amp;CV$1&amp;""'!$D$4:$D$66"")=CV$2),$G$4:$BQ$4,$G202:$BQ202)))"),1.1102230246251566E-17)</f>
        <v>0</v>
      </c>
      <c r="CW202" s="207" t="str">
        <f>IFERROR(__xludf.DUMMYFUNCTION("IF(OR(CV202&gt;$BS202+$BT202*$BT$2,CV202&lt;$BS202-$BT202*$BT$2),AVEDEV(ARRAYFORMULA(XLOOKUP(FILTER(INDIRECT(""'""&amp;CV$1&amp;""'!$C$4:$C$66""),INDIRECT(""'""&amp;CV$1&amp;""'!$D$4:$D$66"")=CV$2),$G$4:$BQ$4,$G202:$BQ202))),"""")"),"")</f>
        <v/>
      </c>
      <c r="CX202" s="208" t="str">
        <f t="shared" si="16"/>
        <v/>
      </c>
      <c r="CY202" s="209" t="s">
        <v>444</v>
      </c>
      <c r="CZ202" s="210">
        <f>IFERROR(__xludf.DUMMYFUNCTION("AVERAGE(ARRAYFORMULA(XLOOKUP(FILTER(INDIRECT(""'""&amp;CZ$1&amp;""'!$C$4:$C$66""),INDIRECT(""'""&amp;CZ$1&amp;""'!$D$4:$D$66"")=CZ$2),$G$4:$BQ$4,$G202:$BQ202)))"),0.04761905000000001)</f>
        <v>0.04761905</v>
      </c>
      <c r="DA202" s="207" t="str">
        <f>IFERROR(__xludf.DUMMYFUNCTION("IF(OR(CZ202&gt;$BS202+$BT202*$BT$2,CZ202&lt;$BS202-$BT202*$BT$2),AVEDEV(ARRAYFORMULA(XLOOKUP(FILTER(INDIRECT(""'""&amp;CZ$1&amp;""'!$C$4:$C$66""),INDIRECT(""'""&amp;CZ$1&amp;""'!$D$4:$D$66"")=CZ$2),$G$4:$BQ$4,$G202:$BQ202))),"""")"),"")</f>
        <v/>
      </c>
      <c r="DB202" s="208" t="str">
        <f t="shared" si="17"/>
        <v/>
      </c>
      <c r="DC202" s="210">
        <f>IFERROR(__xludf.DUMMYFUNCTION("AVERAGE(ARRAYFORMULA(XLOOKUP(FILTER(INDIRECT(""'""&amp;DC$1&amp;""'!$C$4:$C$66""),INDIRECT(""'""&amp;DC$1&amp;""'!$D$4:$D$66"")=DC$2),$G$4:$BQ$4,$G202:$BQ202)))"),3.3333333377467196E-9)</f>
        <v>0.000000003333333338</v>
      </c>
      <c r="DD202" s="207" t="str">
        <f>IFERROR(__xludf.DUMMYFUNCTION("IF(OR(DC202&gt;$BS202+$BT202*$BT$2,DC202&lt;$BS202-$BT202*$BT$2),AVEDEV(ARRAYFORMULA(XLOOKUP(FILTER(INDIRECT(""'""&amp;DC$1&amp;""'!$C$4:$C$66""),INDIRECT(""'""&amp;DC$1&amp;""'!$D$4:$D$66"")=DC$2),$G$4:$BQ$4,$G202:$BQ202))),"""")"),"")</f>
        <v/>
      </c>
      <c r="DE202" s="208" t="str">
        <f t="shared" si="18"/>
        <v/>
      </c>
      <c r="DF202" s="210">
        <f>IFERROR(__xludf.DUMMYFUNCTION("AVERAGE(ARRAYFORMULA(XLOOKUP(FILTER(INDIRECT(""'""&amp;DF$1&amp;""'!$C$4:$C$66""),INDIRECT(""'""&amp;DF$1&amp;""'!$D$4:$D$66"")=DF$2),$G$4:$BQ$4,$G202:$BQ202)))"),0.2424242436363636)</f>
        <v>0.2424242436</v>
      </c>
      <c r="DG202" s="207" t="str">
        <f>IFERROR(__xludf.DUMMYFUNCTION("IF(OR(DF202&gt;$BS202+$BT202*$BT$2,DF202&lt;$BS202-$BT202*$BT$2),AVEDEV(ARRAYFORMULA(XLOOKUP(FILTER(INDIRECT(""'""&amp;DF$1&amp;""'!$C$4:$C$66""),INDIRECT(""'""&amp;DF$1&amp;""'!$D$4:$D$66"")=DF$2),$G$4:$BQ$4,$G202:$BQ202))),"""")"),"")</f>
        <v/>
      </c>
      <c r="DH202" s="208" t="str">
        <f t="shared" si="19"/>
        <v/>
      </c>
      <c r="DI202" s="210">
        <f>IFERROR(__xludf.DUMMYFUNCTION("AVERAGE(ARRAYFORMULA(XLOOKUP(FILTER(INDIRECT(""'""&amp;DI$1&amp;""'!$C$4:$C$66""),INDIRECT(""'""&amp;DI$1&amp;""'!$D$4:$D$66"")=DI$2),$G$4:$BQ$4,$G202:$BQ202)))"),-0.33333335)</f>
        <v>-0.33333335</v>
      </c>
      <c r="DJ202" s="207" t="str">
        <f>IFERROR(__xludf.DUMMYFUNCTION("IF(OR(DI202&gt;$BS202+$BT202*$BT$2,DI202&lt;$BS202-$BT202*$BT$2),AVEDEV(ARRAYFORMULA(XLOOKUP(FILTER(INDIRECT(""'""&amp;DI$1&amp;""'!$C$4:$C$66""),INDIRECT(""'""&amp;DI$1&amp;""'!$D$4:$D$66"")=DI$2),$G$4:$BQ$4,$G202:$BQ202))),"""")"),"")</f>
        <v/>
      </c>
      <c r="DK202" s="208" t="str">
        <f t="shared" si="20"/>
        <v/>
      </c>
      <c r="DL202" s="210">
        <f>IFERROR(__xludf.DUMMYFUNCTION("AVERAGE(ARRAYFORMULA(XLOOKUP(FILTER(INDIRECT(""'""&amp;DL$1&amp;""'!$C$4:$C$66""),INDIRECT(""'""&amp;DL$1&amp;""'!$D$4:$D$66"")=DL$2),$G$4:$BQ$4,$G202:$BQ202)))"),-1.0000000002666606E-8)</f>
        <v>-0.00000001</v>
      </c>
      <c r="DM202" s="207" t="str">
        <f>IFERROR(__xludf.DUMMYFUNCTION("IF(OR(DL202&gt;$BS202+$BT202*$BT$2,DL202&lt;$BS202-$BT202*$BT$2),AVEDEV(ARRAYFORMULA(XLOOKUP(FILTER(INDIRECT(""'""&amp;DL$1&amp;""'!$C$4:$C$66""),INDIRECT(""'""&amp;DL$1&amp;""'!$D$4:$D$66"")=DL$2),$G$4:$BQ$4,$G202:$BQ202))),"""")"),"")</f>
        <v/>
      </c>
      <c r="DN202" s="208" t="str">
        <f t="shared" si="21"/>
        <v/>
      </c>
      <c r="DO202" s="209" t="s">
        <v>444</v>
      </c>
      <c r="DP202" s="210">
        <f>IFERROR(__xludf.DUMMYFUNCTION("AVERAGE(ARRAYFORMULA(XLOOKUP(FILTER(INDIRECT(""'""&amp;DP$1&amp;""'!$C$4:$C$66""),INDIRECT(""'""&amp;DP$1&amp;""'!$D$4:$D$66"")=DP$2),$G$4:$BQ$4,$G202:$BQ202)))"),0.07777777733333337)</f>
        <v>0.07777777733</v>
      </c>
      <c r="DQ202" s="207" t="str">
        <f>IFERROR(__xludf.DUMMYFUNCTION("IF(OR(DP202&gt;$BS202+$BT202*$BT$2,DP202&lt;$BS202-$BT202*$BT$2),AVEDEV(ARRAYFORMULA(XLOOKUP(FILTER(INDIRECT(""'""&amp;DP$1&amp;""'!$C$4:$C$66""),INDIRECT(""'""&amp;DP$1&amp;""'!$D$4:$D$66"")=DP$2),$G$4:$BQ$4,$G202:$BQ202))),"""")"),"")</f>
        <v/>
      </c>
      <c r="DR202" s="208" t="str">
        <f t="shared" si="22"/>
        <v/>
      </c>
      <c r="DS202" s="210">
        <f>IFERROR(__xludf.DUMMYFUNCTION("AVERAGE(ARRAYFORMULA(XLOOKUP(FILTER(INDIRECT(""'""&amp;DS$1&amp;""'!$C$4:$C$66""),INDIRECT(""'""&amp;DS$1&amp;""'!$D$4:$D$66"")=DS$2),$G$4:$BQ$4,$G202:$BQ202)))"),-0.2222222222222222)</f>
        <v>-0.2222222222</v>
      </c>
      <c r="DT202" s="207" t="str">
        <f>IFERROR(__xludf.DUMMYFUNCTION("IF(OR(DS202&gt;$BS202+$BT202*$BT$2,DS202&lt;$BS202-$BT202*$BT$2),AVEDEV(ARRAYFORMULA(XLOOKUP(FILTER(INDIRECT(""'""&amp;DS$1&amp;""'!$C$4:$C$66""),INDIRECT(""'""&amp;DS$1&amp;""'!$D$4:$D$66"")=DS$2),$G$4:$BQ$4,$G202:$BQ202))),"""")"),"")</f>
        <v/>
      </c>
      <c r="DU202" s="208" t="str">
        <f t="shared" si="23"/>
        <v/>
      </c>
      <c r="DV202" s="210">
        <f>IFERROR(__xludf.DUMMYFUNCTION("AVERAGE(ARRAYFORMULA(XLOOKUP(FILTER(INDIRECT(""'""&amp;DV$1&amp;""'!$C$4:$C$66""),INDIRECT(""'""&amp;DV$1&amp;""'!$D$4:$D$66"")=DV$2),$G$4:$BQ$4,$G202:$BQ202)))"),-0.20833333375000002)</f>
        <v>-0.2083333338</v>
      </c>
      <c r="DW202" s="207" t="str">
        <f>IFERROR(__xludf.DUMMYFUNCTION("IF(OR(DV202&gt;$BS202+$BT202*$BT$2,DV202&lt;$BS202-$BT202*$BT$2),AVEDEV(ARRAYFORMULA(XLOOKUP(FILTER(INDIRECT(""'""&amp;DV$1&amp;""'!$C$4:$C$66""),INDIRECT(""'""&amp;DV$1&amp;""'!$D$4:$D$66"")=DV$2),$G$4:$BQ$4,$G202:$BQ202))),"""")"),"")</f>
        <v/>
      </c>
      <c r="DX202" s="208" t="str">
        <f t="shared" si="24"/>
        <v/>
      </c>
      <c r="DY202" s="210">
        <f>IFERROR(__xludf.DUMMYFUNCTION("AVERAGE(ARRAYFORMULA(XLOOKUP(FILTER(INDIRECT(""'""&amp;DY$1&amp;""'!$C$4:$C$66""),INDIRECT(""'""&amp;DY$1&amp;""'!$D$4:$D$66"")=DY$2),$G$4:$BQ$4,$G202:$BQ202)))"),0.14814814666666665)</f>
        <v>0.1481481467</v>
      </c>
      <c r="DZ202" s="207" t="str">
        <f>IFERROR(__xludf.DUMMYFUNCTION("IF(OR(DY202&gt;$BS202+$BT202*$BT$2,DY202&lt;$BS202-$BT202*$BT$2),AVEDEV(ARRAYFORMULA(XLOOKUP(FILTER(INDIRECT(""'""&amp;DY$1&amp;""'!$C$4:$C$66""),INDIRECT(""'""&amp;DY$1&amp;""'!$D$4:$D$66"")=DY$2),$G$4:$BQ$4,$G202:$BQ202))),"""")"),"")</f>
        <v/>
      </c>
      <c r="EA202" s="208" t="str">
        <f t="shared" si="25"/>
        <v/>
      </c>
      <c r="EB202" s="191"/>
    </row>
    <row r="203" outlineLevel="1">
      <c r="A203" s="2"/>
      <c r="B203" s="204">
        <v>199.0</v>
      </c>
      <c r="C203" s="204" t="s">
        <v>646</v>
      </c>
      <c r="D203" s="204" t="s">
        <v>648</v>
      </c>
      <c r="E203" s="205" t="b">
        <f>VLOOKUP(D203,'Feature Set List'!A199:C246,2,0)</f>
        <v>1</v>
      </c>
      <c r="F203" s="205" t="b">
        <f>VLOOKUP(D203,'Feature Set List'!A199:C246,3,0)</f>
        <v>1</v>
      </c>
      <c r="G203" s="205">
        <v>-0.571833</v>
      </c>
      <c r="H203" s="205">
        <v>-0.2908705</v>
      </c>
      <c r="I203" s="205">
        <v>-1.1939137</v>
      </c>
      <c r="J203" s="205">
        <v>0.12031139</v>
      </c>
      <c r="K203" s="205">
        <v>0.07926398</v>
      </c>
      <c r="L203" s="205">
        <v>-0.6093418</v>
      </c>
      <c r="M203" s="205">
        <v>-1.1472045</v>
      </c>
      <c r="N203" s="205">
        <v>0.40622788</v>
      </c>
      <c r="O203" s="205">
        <v>0.39419674</v>
      </c>
      <c r="P203" s="205">
        <v>-1.2434536</v>
      </c>
      <c r="Q203" s="205">
        <v>0.16489738</v>
      </c>
      <c r="R203" s="205">
        <v>-0.4317056</v>
      </c>
      <c r="S203" s="205">
        <v>0.89879689</v>
      </c>
      <c r="T203" s="205">
        <v>-0.2512385</v>
      </c>
      <c r="U203" s="205">
        <v>-0.3545648</v>
      </c>
      <c r="V203" s="205">
        <v>-0.5194621</v>
      </c>
      <c r="W203" s="205">
        <v>-0.601557</v>
      </c>
      <c r="X203" s="205">
        <v>0.39490446</v>
      </c>
      <c r="Y203" s="205">
        <v>0.84147205</v>
      </c>
      <c r="Z203" s="205">
        <v>-0.0707714</v>
      </c>
      <c r="AA203" s="205">
        <v>-0.0622788</v>
      </c>
      <c r="AB203" s="205">
        <v>-0.9532909</v>
      </c>
      <c r="AC203" s="205">
        <v>0.0</v>
      </c>
      <c r="AD203" s="205">
        <v>0.38358103</v>
      </c>
      <c r="AE203" s="205">
        <v>0.32908705</v>
      </c>
      <c r="AF203" s="205">
        <v>0.34465676</v>
      </c>
      <c r="AG203" s="205">
        <v>-0.1953291</v>
      </c>
      <c r="AH203" s="205">
        <v>0.52158528</v>
      </c>
      <c r="AI203" s="205">
        <v>0.23213022</v>
      </c>
      <c r="AJ203" s="205">
        <v>-0.7070064</v>
      </c>
      <c r="AK203" s="205">
        <v>-0.5201699</v>
      </c>
      <c r="AL203" s="205">
        <v>0.62137297</v>
      </c>
      <c r="AM203" s="205">
        <v>0.37862703</v>
      </c>
      <c r="AN203" s="205">
        <v>0.34041047</v>
      </c>
      <c r="AO203" s="205">
        <v>-1.5994338</v>
      </c>
      <c r="AP203" s="205">
        <v>-0.6744515</v>
      </c>
      <c r="AQ203" s="205">
        <v>0.11464968</v>
      </c>
      <c r="AR203" s="205">
        <v>0.32130219</v>
      </c>
      <c r="AS203" s="205">
        <v>-0.9051663</v>
      </c>
      <c r="AT203" s="205">
        <v>0.21302194</v>
      </c>
      <c r="AU203" s="205">
        <v>-2.039632</v>
      </c>
      <c r="AV203" s="205">
        <v>0.67657466</v>
      </c>
      <c r="AW203" s="205">
        <v>0.6079264</v>
      </c>
      <c r="AX203" s="205">
        <v>0.4373673</v>
      </c>
      <c r="AY203" s="205">
        <v>-0.6475584</v>
      </c>
      <c r="AZ203" s="205">
        <v>0.68648266</v>
      </c>
      <c r="BA203" s="205">
        <v>-0.6857749</v>
      </c>
      <c r="BB203" s="205">
        <v>-0.8244869</v>
      </c>
      <c r="BC203" s="205">
        <v>0.86907289</v>
      </c>
      <c r="BD203" s="205">
        <v>-0.1627742</v>
      </c>
      <c r="BE203" s="205">
        <v>-0.7898089</v>
      </c>
      <c r="BF203" s="205">
        <v>0.51663128</v>
      </c>
      <c r="BG203" s="205">
        <v>-0.6857749</v>
      </c>
      <c r="BH203" s="205">
        <v>-0.2193914</v>
      </c>
      <c r="BI203" s="205">
        <v>0.25477707</v>
      </c>
      <c r="BJ203" s="205">
        <v>1.35456476</v>
      </c>
      <c r="BK203" s="205">
        <v>0.3517339</v>
      </c>
      <c r="BL203" s="205">
        <v>-1.0134466</v>
      </c>
      <c r="BM203" s="205">
        <v>-0.5951875</v>
      </c>
      <c r="BN203" s="205">
        <v>0.86058033</v>
      </c>
      <c r="BO203" s="205">
        <v>0.49115357</v>
      </c>
      <c r="BP203" s="205">
        <v>-0.168436</v>
      </c>
      <c r="BQ203" s="205">
        <v>0.56546355</v>
      </c>
      <c r="BR203" s="206"/>
      <c r="BS203" s="207">
        <f t="shared" si="6"/>
        <v>-0.09464271651</v>
      </c>
      <c r="BT203" s="207">
        <f t="shared" si="7"/>
        <v>0.5669087594</v>
      </c>
      <c r="BU203" s="206"/>
      <c r="BV203" s="207">
        <f>IFERROR(__xludf.DUMMYFUNCTION("AVERAGE(ARRAYFORMULA(XLOOKUP(FILTER(INDIRECT(""'""&amp;BV$1&amp;""'!$C$4:$C$66""),INDIRECT(""'""&amp;BV$1&amp;""'!$D$4:$D$66"")=BV$2),$G$4:$BQ$4,$G203:$BQ203)))"),-0.6906278485714284)</f>
        <v>-0.6906278486</v>
      </c>
      <c r="BW203" s="207">
        <f>IFERROR(__xludf.DUMMYFUNCTION("IF(OR(BV203&gt;$BS203+$BT203*$BT$2,BV203&lt;$BS203-$BT203*$BT$2),AVEDEV(ARRAYFORMULA(XLOOKUP(FILTER(INDIRECT(""'""&amp;BV$1&amp;""'!$C$4:$C$66""),INDIRECT(""'""&amp;BV$1&amp;""'!$D$4:$D$66"")=BV$2),$G$4:$BQ$4,$G203:$BQ203))),"""")"),0.41847565877551024)</f>
        <v>0.4184756588</v>
      </c>
      <c r="BX203" s="208">
        <f t="shared" si="8"/>
        <v>-0.02907637266</v>
      </c>
      <c r="BY203" s="207">
        <f>IFERROR(__xludf.DUMMYFUNCTION("AVERAGE(ARRAYFORMULA(XLOOKUP(FILTER(INDIRECT(""'""&amp;BY$1&amp;""'!$C$4:$C$66""),INDIRECT(""'""&amp;BY$1&amp;""'!$D$4:$D$66"")=BY$2),$G$4:$BQ$4,$G203:$BQ203)))"),0.14526673880952387)</f>
        <v>0.1452667388</v>
      </c>
      <c r="BZ203" s="207" t="str">
        <f>IFERROR(__xludf.DUMMYFUNCTION("IF(OR(BY203&gt;$BS203+$BT203*$BT$2,BY203&lt;$BS203-$BT203*$BT$2),AVEDEV(ARRAYFORMULA(XLOOKUP(FILTER(INDIRECT(""'""&amp;BY$1&amp;""'!$C$4:$C$66""),INDIRECT(""'""&amp;BY$1&amp;""'!$D$4:$D$66"")=BY$2),$G$4:$BQ$4,$G203:$BQ203))),"""")"),"")</f>
        <v/>
      </c>
      <c r="CA203" s="208" t="str">
        <f t="shared" si="9"/>
        <v/>
      </c>
      <c r="CB203" s="207">
        <f>IFERROR(__xludf.DUMMYFUNCTION("AVERAGE(ARRAYFORMULA(XLOOKUP(FILTER(INDIRECT(""'""&amp;CB$1&amp;""'!$C$4:$C$66""),INDIRECT(""'""&amp;CB$1&amp;""'!$D$4:$D$66"")=CB$2),$G$4:$BQ$4,$G203:$BQ203)))"),-0.3484526663636364)</f>
        <v>-0.3484526664</v>
      </c>
      <c r="CC203" s="207" t="str">
        <f>IFERROR(__xludf.DUMMYFUNCTION("IF(OR(CB203&gt;$BS203+$BT203*$BT$2,CB203&lt;$BS203-$BT203*$BT$2),AVEDEV(ARRAYFORMULA(XLOOKUP(FILTER(INDIRECT(""'""&amp;CB$1&amp;""'!$C$4:$C$66""),INDIRECT(""'""&amp;CB$1&amp;""'!$D$4:$D$66"")=CB$2),$G$4:$BQ$4,$G203:$BQ203))),"""")"),"")</f>
        <v/>
      </c>
      <c r="CD203" s="208" t="str">
        <f t="shared" si="10"/>
        <v/>
      </c>
      <c r="CE203" s="209" t="s">
        <v>444</v>
      </c>
      <c r="CF203" s="207">
        <f>IFERROR(__xludf.DUMMYFUNCTION("AVERAGE(ARRAYFORMULA(XLOOKUP(FILTER(INDIRECT(""'""&amp;CF$1&amp;""'!$C$4:$C$66""),INDIRECT(""'""&amp;CF$1&amp;""'!$D$4:$D$66"")=CF$2),$G$4:$BQ$4,$G203:$BQ203)))"),-0.04750531125000002)</f>
        <v>-0.04750531125</v>
      </c>
      <c r="CG203" s="207" t="str">
        <f>IFERROR(__xludf.DUMMYFUNCTION("IF(OR(CF203&gt;$BS203+$BT203*$BT$2,CF203&lt;$BS203-$BT203*$BT$2),AVEDEV(ARRAYFORMULA(XLOOKUP(FILTER(INDIRECT(""'""&amp;CF$1&amp;""'!$C$4:$C$66""),INDIRECT(""'""&amp;CF$1&amp;""'!$D$4:$D$66"")=CF$2),$G$4:$BQ$4,$G203:$BQ203))),"""")"),"")</f>
        <v/>
      </c>
      <c r="CH203" s="208" t="str">
        <f t="shared" si="11"/>
        <v/>
      </c>
      <c r="CI203" s="207">
        <f>IFERROR(__xludf.DUMMYFUNCTION("AVERAGE(ARRAYFORMULA(XLOOKUP(FILTER(INDIRECT(""'""&amp;CI$1&amp;""'!$C$4:$C$66""),INDIRECT(""'""&amp;CI$1&amp;""'!$D$4:$D$66"")=CI$2),$G$4:$BQ$4,$G203:$BQ203)))"),0.13227404258064515)</f>
        <v>0.1322740426</v>
      </c>
      <c r="CJ203" s="207" t="str">
        <f>IFERROR(__xludf.DUMMYFUNCTION("IF(OR(CI203&gt;$BS203+$BT203*$BT$2,CI203&lt;$BS203-$BT203*$BT$2),AVEDEV(ARRAYFORMULA(XLOOKUP(FILTER(INDIRECT(""'""&amp;CI$1&amp;""'!$C$4:$C$66""),INDIRECT(""'""&amp;CI$1&amp;""'!$D$4:$D$66"")=CI$2),$G$4:$BQ$4,$G203:$BQ203))),"""")"),"")</f>
        <v/>
      </c>
      <c r="CK203" s="208" t="str">
        <f t="shared" si="12"/>
        <v/>
      </c>
      <c r="CL203" s="207">
        <f>IFERROR(__xludf.DUMMYFUNCTION("AVERAGE(ARRAYFORMULA(XLOOKUP(FILTER(INDIRECT(""'""&amp;CL$1&amp;""'!$C$4:$C$66""),INDIRECT(""'""&amp;CL$1&amp;""'!$D$4:$D$66"")=CL$2),$G$4:$BQ$4,$G203:$BQ203)))"),-0.75428164)</f>
        <v>-0.75428164</v>
      </c>
      <c r="CM203" s="207">
        <f>IFERROR(__xludf.DUMMYFUNCTION("IF(OR(CL203&gt;$BS203+$BT203*$BT$2,CL203&lt;$BS203-$BT203*$BT$2),AVEDEV(ARRAYFORMULA(XLOOKUP(FILTER(INDIRECT(""'""&amp;CL$1&amp;""'!$C$4:$C$66""),INDIRECT(""'""&amp;CL$1&amp;""'!$D$4:$D$66"")=CL$2),$G$4:$BQ$4,$G203:$BQ203))),"""")"),0.25602264799999996)</f>
        <v>0.256022648</v>
      </c>
      <c r="CN203" s="208">
        <f t="shared" si="13"/>
        <v>-0.09273016409</v>
      </c>
      <c r="CO203" s="209" t="s">
        <v>444</v>
      </c>
      <c r="CP203" s="210">
        <f>IFERROR(__xludf.DUMMYFUNCTION("AVERAGE(ARRAYFORMULA(XLOOKUP(FILTER(INDIRECT(""'""&amp;CP$1&amp;""'!$C$4:$C$66""),INDIRECT(""'""&amp;CP$1&amp;""'!$D$4:$D$66"")=CP$2),$G$4:$BQ$4,$G203:$BQ203)))"),-0.06359990466666668)</f>
        <v>-0.06359990467</v>
      </c>
      <c r="CQ203" s="207" t="str">
        <f>IFERROR(__xludf.DUMMYFUNCTION("IF(OR(CP203&gt;$BS203+$BT203*$BT$2,CP203&lt;$BS203-$BT203*$BT$2),AVEDEV(ARRAYFORMULA(XLOOKUP(FILTER(INDIRECT(""'""&amp;CP$1&amp;""'!$C$4:$C$66""),INDIRECT(""'""&amp;CP$1&amp;""'!$D$4:$D$66"")=CP$2),$G$4:$BQ$4,$G203:$BQ203))),"""")"),"")</f>
        <v/>
      </c>
      <c r="CR203" s="208" t="str">
        <f t="shared" si="14"/>
        <v/>
      </c>
      <c r="CS203" s="210">
        <f>IFERROR(__xludf.DUMMYFUNCTION("AVERAGE(ARRAYFORMULA(XLOOKUP(FILTER(INDIRECT(""'""&amp;CS$1&amp;""'!$C$4:$C$66""),INDIRECT(""'""&amp;CS$1&amp;""'!$D$4:$D$66"")=CS$2),$G$4:$BQ$4,$G203:$BQ203)))"),0.08135082384615384)</f>
        <v>0.08135082385</v>
      </c>
      <c r="CT203" s="207" t="str">
        <f>IFERROR(__xludf.DUMMYFUNCTION("IF(OR(CS203&gt;$BS203+$BT203*$BT$2,CS203&lt;$BS203-$BT203*$BT$2),AVEDEV(ARRAYFORMULA(XLOOKUP(FILTER(INDIRECT(""'""&amp;CS$1&amp;""'!$C$4:$C$66""),INDIRECT(""'""&amp;CS$1&amp;""'!$D$4:$D$66"")=CS$2),$G$4:$BQ$4,$G203:$BQ203))),"""")"),"")</f>
        <v/>
      </c>
      <c r="CU203" s="208" t="str">
        <f t="shared" si="15"/>
        <v/>
      </c>
      <c r="CV203" s="210">
        <f>IFERROR(__xludf.DUMMYFUNCTION("AVERAGE(ARRAYFORMULA(XLOOKUP(FILTER(INDIRECT(""'""&amp;CV$1&amp;""'!$C$4:$C$66""),INDIRECT(""'""&amp;CV$1&amp;""'!$D$4:$D$66"")=CV$2),$G$4:$BQ$4,$G203:$BQ203)))"),-0.75428164)</f>
        <v>-0.75428164</v>
      </c>
      <c r="CW203" s="207">
        <f>IFERROR(__xludf.DUMMYFUNCTION("IF(OR(CV203&gt;$BS203+$BT203*$BT$2,CV203&lt;$BS203-$BT203*$BT$2),AVEDEV(ARRAYFORMULA(XLOOKUP(FILTER(INDIRECT(""'""&amp;CV$1&amp;""'!$C$4:$C$66""),INDIRECT(""'""&amp;CV$1&amp;""'!$D$4:$D$66"")=CV$2),$G$4:$BQ$4,$G203:$BQ203))),"""")"),0.25602264799999996)</f>
        <v>0.256022648</v>
      </c>
      <c r="CX203" s="208">
        <f t="shared" si="16"/>
        <v>-0.09273016409</v>
      </c>
      <c r="CY203" s="209" t="s">
        <v>444</v>
      </c>
      <c r="CZ203" s="210">
        <f>IFERROR(__xludf.DUMMYFUNCTION("AVERAGE(ARRAYFORMULA(XLOOKUP(FILTER(INDIRECT(""'""&amp;CZ$1&amp;""'!$C$4:$C$66""),INDIRECT(""'""&amp;CZ$1&amp;""'!$D$4:$D$66"")=CZ$2),$G$4:$BQ$4,$G203:$BQ203)))"),0.07855626214285714)</f>
        <v>0.07855626214</v>
      </c>
      <c r="DA203" s="207" t="str">
        <f>IFERROR(__xludf.DUMMYFUNCTION("IF(OR(CZ203&gt;$BS203+$BT203*$BT$2,CZ203&lt;$BS203-$BT203*$BT$2),AVEDEV(ARRAYFORMULA(XLOOKUP(FILTER(INDIRECT(""'""&amp;CZ$1&amp;""'!$C$4:$C$66""),INDIRECT(""'""&amp;CZ$1&amp;""'!$D$4:$D$66"")=CZ$2),$G$4:$BQ$4,$G203:$BQ203))),"""")"),"")</f>
        <v/>
      </c>
      <c r="DB203" s="208" t="str">
        <f t="shared" si="17"/>
        <v/>
      </c>
      <c r="DC203" s="210">
        <f>IFERROR(__xludf.DUMMYFUNCTION("AVERAGE(ARRAYFORMULA(XLOOKUP(FILTER(INDIRECT(""'""&amp;DC$1&amp;""'!$C$4:$C$66""),INDIRECT(""'""&amp;DC$1&amp;""'!$D$4:$D$66"")=DC$2),$G$4:$BQ$4,$G203:$BQ203)))"),-0.4360304988888889)</f>
        <v>-0.4360304989</v>
      </c>
      <c r="DD203" s="207" t="str">
        <f>IFERROR(__xludf.DUMMYFUNCTION("IF(OR(DC203&gt;$BS203+$BT203*$BT$2,DC203&lt;$BS203-$BT203*$BT$2),AVEDEV(ARRAYFORMULA(XLOOKUP(FILTER(INDIRECT(""'""&amp;DC$1&amp;""'!$C$4:$C$66""),INDIRECT(""'""&amp;DC$1&amp;""'!$D$4:$D$66"")=DC$2),$G$4:$BQ$4,$G203:$BQ203))),"""")"),"")</f>
        <v/>
      </c>
      <c r="DE203" s="208" t="str">
        <f t="shared" si="18"/>
        <v/>
      </c>
      <c r="DF203" s="210">
        <f>IFERROR(__xludf.DUMMYFUNCTION("AVERAGE(ARRAYFORMULA(XLOOKUP(FILTER(INDIRECT(""'""&amp;DF$1&amp;""'!$C$4:$C$66""),INDIRECT(""'""&amp;DF$1&amp;""'!$D$4:$D$66"")=DF$2),$G$4:$BQ$4,$G203:$BQ203)))"),0.19680885727272726)</f>
        <v>0.1968088573</v>
      </c>
      <c r="DG203" s="207" t="str">
        <f>IFERROR(__xludf.DUMMYFUNCTION("IF(OR(DF203&gt;$BS203+$BT203*$BT$2,DF203&lt;$BS203-$BT203*$BT$2),AVEDEV(ARRAYFORMULA(XLOOKUP(FILTER(INDIRECT(""'""&amp;DF$1&amp;""'!$C$4:$C$66""),INDIRECT(""'""&amp;DF$1&amp;""'!$D$4:$D$66"")=DF$2),$G$4:$BQ$4,$G203:$BQ203))),"""")"),"")</f>
        <v/>
      </c>
      <c r="DH203" s="208" t="str">
        <f t="shared" si="19"/>
        <v/>
      </c>
      <c r="DI203" s="210">
        <f>IFERROR(__xludf.DUMMYFUNCTION("AVERAGE(ARRAYFORMULA(XLOOKUP(FILTER(INDIRECT(""'""&amp;DI$1&amp;""'!$C$4:$C$66""),INDIRECT(""'""&amp;DI$1&amp;""'!$D$4:$D$66"")=DI$2),$G$4:$BQ$4,$G203:$BQ203)))"),0.082094815)</f>
        <v>0.082094815</v>
      </c>
      <c r="DJ203" s="207" t="str">
        <f>IFERROR(__xludf.DUMMYFUNCTION("IF(OR(DI203&gt;$BS203+$BT203*$BT$2,DI203&lt;$BS203-$BT203*$BT$2),AVEDEV(ARRAYFORMULA(XLOOKUP(FILTER(INDIRECT(""'""&amp;DI$1&amp;""'!$C$4:$C$66""),INDIRECT(""'""&amp;DI$1&amp;""'!$D$4:$D$66"")=DI$2),$G$4:$BQ$4,$G203:$BQ203))),"""")"),"")</f>
        <v/>
      </c>
      <c r="DK203" s="208" t="str">
        <f t="shared" si="20"/>
        <v/>
      </c>
      <c r="DL203" s="210">
        <f>IFERROR(__xludf.DUMMYFUNCTION("AVERAGE(ARRAYFORMULA(XLOOKUP(FILTER(INDIRECT(""'""&amp;DL$1&amp;""'!$C$4:$C$66""),INDIRECT(""'""&amp;DL$1&amp;""'!$D$4:$D$66"")=DL$2),$G$4:$BQ$4,$G203:$BQ203)))"),0.2989080914285715)</f>
        <v>0.2989080914</v>
      </c>
      <c r="DM203" s="207" t="str">
        <f>IFERROR(__xludf.DUMMYFUNCTION("IF(OR(DL203&gt;$BS203+$BT203*$BT$2,DL203&lt;$BS203-$BT203*$BT$2),AVEDEV(ARRAYFORMULA(XLOOKUP(FILTER(INDIRECT(""'""&amp;DL$1&amp;""'!$C$4:$C$66""),INDIRECT(""'""&amp;DL$1&amp;""'!$D$4:$D$66"")=DL$2),$G$4:$BQ$4,$G203:$BQ203))),"""")"),"")</f>
        <v/>
      </c>
      <c r="DN203" s="208" t="str">
        <f t="shared" si="21"/>
        <v/>
      </c>
      <c r="DO203" s="209" t="s">
        <v>444</v>
      </c>
      <c r="DP203" s="210">
        <f>IFERROR(__xludf.DUMMYFUNCTION("AVERAGE(ARRAYFORMULA(XLOOKUP(FILTER(INDIRECT(""'""&amp;DP$1&amp;""'!$C$4:$C$66""),INDIRECT(""'""&amp;DP$1&amp;""'!$D$4:$D$66"")=DP$2),$G$4:$BQ$4,$G203:$BQ203)))"),0.05999056299999999)</f>
        <v>0.059990563</v>
      </c>
      <c r="DQ203" s="207" t="str">
        <f>IFERROR(__xludf.DUMMYFUNCTION("IF(OR(DP203&gt;$BS203+$BT203*$BT$2,DP203&lt;$BS203-$BT203*$BT$2),AVEDEV(ARRAYFORMULA(XLOOKUP(FILTER(INDIRECT(""'""&amp;DP$1&amp;""'!$C$4:$C$66""),INDIRECT(""'""&amp;DP$1&amp;""'!$D$4:$D$66"")=DP$2),$G$4:$BQ$4,$G203:$BQ203))),"""")"),"")</f>
        <v/>
      </c>
      <c r="DR203" s="208" t="str">
        <f t="shared" si="22"/>
        <v/>
      </c>
      <c r="DS203" s="210">
        <f>IFERROR(__xludf.DUMMYFUNCTION("AVERAGE(ARRAYFORMULA(XLOOKUP(FILTER(INDIRECT(""'""&amp;DS$1&amp;""'!$C$4:$C$66""),INDIRECT(""'""&amp;DS$1&amp;""'!$D$4:$D$66"")=DS$2),$G$4:$BQ$4,$G203:$BQ203)))"),-0.5587795711111111)</f>
        <v>-0.5587795711</v>
      </c>
      <c r="DT203" s="207" t="str">
        <f>IFERROR(__xludf.DUMMYFUNCTION("IF(OR(DS203&gt;$BS203+$BT203*$BT$2,DS203&lt;$BS203-$BT203*$BT$2),AVEDEV(ARRAYFORMULA(XLOOKUP(FILTER(INDIRECT(""'""&amp;DS$1&amp;""'!$C$4:$C$66""),INDIRECT(""'""&amp;DS$1&amp;""'!$D$4:$D$66"")=DS$2),$G$4:$BQ$4,$G203:$BQ203))),"""")"),"")</f>
        <v/>
      </c>
      <c r="DU203" s="208" t="str">
        <f t="shared" si="23"/>
        <v/>
      </c>
      <c r="DV203" s="210">
        <f>IFERROR(__xludf.DUMMYFUNCTION("AVERAGE(ARRAYFORMULA(XLOOKUP(FILTER(INDIRECT(""'""&amp;DV$1&amp;""'!$C$4:$C$66""),INDIRECT(""'""&amp;DV$1&amp;""'!$D$4:$D$66"")=DV$2),$G$4:$BQ$4,$G203:$BQ203)))"),-0.027954713749999985)</f>
        <v>-0.02795471375</v>
      </c>
      <c r="DW203" s="207" t="str">
        <f>IFERROR(__xludf.DUMMYFUNCTION("IF(OR(DV203&gt;$BS203+$BT203*$BT$2,DV203&lt;$BS203-$BT203*$BT$2),AVEDEV(ARRAYFORMULA(XLOOKUP(FILTER(INDIRECT(""'""&amp;DV$1&amp;""'!$C$4:$C$66""),INDIRECT(""'""&amp;DV$1&amp;""'!$D$4:$D$66"")=DV$2),$G$4:$BQ$4,$G203:$BQ203))),"""")"),"")</f>
        <v/>
      </c>
      <c r="DX203" s="208" t="str">
        <f t="shared" si="24"/>
        <v/>
      </c>
      <c r="DY203" s="210">
        <f>IFERROR(__xludf.DUMMYFUNCTION("AVERAGE(ARRAYFORMULA(XLOOKUP(FILTER(INDIRECT(""'""&amp;DY$1&amp;""'!$C$4:$C$66""),INDIRECT(""'""&amp;DY$1&amp;""'!$D$4:$D$66"")=DY$2),$G$4:$BQ$4,$G203:$BQ203)))"),0.3092710522222222)</f>
        <v>0.3092710522</v>
      </c>
      <c r="DZ203" s="207" t="str">
        <f>IFERROR(__xludf.DUMMYFUNCTION("IF(OR(DY203&gt;$BS203+$BT203*$BT$2,DY203&lt;$BS203-$BT203*$BT$2),AVEDEV(ARRAYFORMULA(XLOOKUP(FILTER(INDIRECT(""'""&amp;DY$1&amp;""'!$C$4:$C$66""),INDIRECT(""'""&amp;DY$1&amp;""'!$D$4:$D$66"")=DY$2),$G$4:$BQ$4,$G203:$BQ203))),"""")"),"")</f>
        <v/>
      </c>
      <c r="EA203" s="208" t="str">
        <f t="shared" si="25"/>
        <v/>
      </c>
      <c r="EB203" s="191"/>
    </row>
    <row r="204" outlineLevel="1">
      <c r="A204" s="2"/>
      <c r="B204" s="204">
        <v>200.0</v>
      </c>
      <c r="C204" s="204" t="s">
        <v>646</v>
      </c>
      <c r="D204" s="204" t="s">
        <v>649</v>
      </c>
      <c r="E204" s="205" t="b">
        <f>VLOOKUP(D204,'Feature Set List'!A200:C246,2,0)</f>
        <v>1</v>
      </c>
      <c r="F204" s="205" t="b">
        <f>VLOOKUP(D204,'Feature Set List'!A200:C246,3,0)</f>
        <v>1</v>
      </c>
      <c r="G204" s="205">
        <v>-0.9518349</v>
      </c>
      <c r="H204" s="205">
        <v>0.36238532</v>
      </c>
      <c r="I204" s="205">
        <v>-0.4311927</v>
      </c>
      <c r="J204" s="205">
        <v>1.23623853</v>
      </c>
      <c r="K204" s="205">
        <v>-0.3302752</v>
      </c>
      <c r="L204" s="205">
        <v>-0.6330275</v>
      </c>
      <c r="M204" s="205">
        <v>-1.1534404</v>
      </c>
      <c r="N204" s="205">
        <v>0.7087156</v>
      </c>
      <c r="O204" s="205">
        <v>0.80963303</v>
      </c>
      <c r="P204" s="205">
        <v>-0.8715596</v>
      </c>
      <c r="Q204" s="205">
        <v>-0.4885321</v>
      </c>
      <c r="R204" s="205">
        <v>-0.3876147</v>
      </c>
      <c r="S204" s="205">
        <v>-0.0756881</v>
      </c>
      <c r="T204" s="205">
        <v>0.0</v>
      </c>
      <c r="U204" s="205">
        <v>0.74311927</v>
      </c>
      <c r="V204" s="205">
        <v>0.28899083</v>
      </c>
      <c r="W204" s="205">
        <v>-0.4449541</v>
      </c>
      <c r="X204" s="205">
        <v>-0.8899083</v>
      </c>
      <c r="Y204" s="205">
        <v>0.6146789</v>
      </c>
      <c r="Z204" s="205">
        <v>-0.9587156</v>
      </c>
      <c r="AA204" s="205">
        <v>-0.3302752</v>
      </c>
      <c r="AB204" s="205">
        <v>0.0733945</v>
      </c>
      <c r="AC204" s="205">
        <v>-0.3623853</v>
      </c>
      <c r="AD204" s="205">
        <v>0.06651376</v>
      </c>
      <c r="AE204" s="205">
        <v>0.35321101</v>
      </c>
      <c r="AF204" s="205">
        <v>0.13302752</v>
      </c>
      <c r="AG204" s="205">
        <v>-0.5779817</v>
      </c>
      <c r="AH204" s="205">
        <v>1.66284404</v>
      </c>
      <c r="AI204" s="205">
        <v>1.40137615</v>
      </c>
      <c r="AJ204" s="205">
        <v>-0.1811927</v>
      </c>
      <c r="AK204" s="205">
        <v>0.16055046</v>
      </c>
      <c r="AL204" s="205">
        <v>0.57110092</v>
      </c>
      <c r="AM204" s="205">
        <v>-0.1651376</v>
      </c>
      <c r="AN204" s="205">
        <v>-0.4655963</v>
      </c>
      <c r="AO204" s="205">
        <v>-1.8006881</v>
      </c>
      <c r="AP204" s="205">
        <v>0.48165138</v>
      </c>
      <c r="AQ204" s="205">
        <v>-0.2018349</v>
      </c>
      <c r="AR204" s="205">
        <v>-1.987844</v>
      </c>
      <c r="AS204" s="205">
        <v>-0.162844</v>
      </c>
      <c r="AT204" s="205">
        <v>0.8646789</v>
      </c>
      <c r="AU204" s="205">
        <v>-3.2706422</v>
      </c>
      <c r="AV204" s="205">
        <v>1.19495413</v>
      </c>
      <c r="AW204" s="205">
        <v>0.22477064</v>
      </c>
      <c r="AX204" s="205">
        <v>1.21788991</v>
      </c>
      <c r="AY204" s="205">
        <v>-0.8463303</v>
      </c>
      <c r="AZ204" s="205">
        <v>0.15366972</v>
      </c>
      <c r="BA204" s="205">
        <v>0.65366972</v>
      </c>
      <c r="BB204" s="205">
        <v>-0.9449541</v>
      </c>
      <c r="BC204" s="205">
        <v>0.12385321</v>
      </c>
      <c r="BD204" s="205">
        <v>-0.309633</v>
      </c>
      <c r="BE204" s="205">
        <v>-0.2247706</v>
      </c>
      <c r="BF204" s="205">
        <v>0.48853211</v>
      </c>
      <c r="BG204" s="205">
        <v>0.71559633</v>
      </c>
      <c r="BH204" s="205">
        <v>-0.4266055</v>
      </c>
      <c r="BI204" s="205">
        <v>0.61009174</v>
      </c>
      <c r="BJ204" s="205">
        <v>2.64678899</v>
      </c>
      <c r="BK204" s="205">
        <v>1.22018349</v>
      </c>
      <c r="BL204" s="205">
        <v>-0.3417431</v>
      </c>
      <c r="BM204" s="205">
        <v>-0.3004587</v>
      </c>
      <c r="BN204" s="205">
        <v>0.53899083</v>
      </c>
      <c r="BO204" s="205">
        <v>-0.0619266</v>
      </c>
      <c r="BP204" s="205">
        <v>0.5206422</v>
      </c>
      <c r="BQ204" s="205">
        <v>0.57110092</v>
      </c>
      <c r="BR204" s="206"/>
      <c r="BS204" s="207">
        <f t="shared" si="6"/>
        <v>0.01322630095</v>
      </c>
      <c r="BT204" s="207">
        <f t="shared" si="7"/>
        <v>0.6667564676</v>
      </c>
      <c r="BU204" s="206"/>
      <c r="BV204" s="207">
        <f>IFERROR(__xludf.DUMMYFUNCTION("AVERAGE(ARRAYFORMULA(XLOOKUP(FILTER(INDIRECT(""'""&amp;BV$1&amp;""'!$C$4:$C$66""),INDIRECT(""'""&amp;BV$1&amp;""'!$D$4:$D$66"")=BV$2),$G$4:$BQ$4,$G204:$BQ204)))"),-0.6150393185714285)</f>
        <v>-0.6150393186</v>
      </c>
      <c r="BW204" s="207" t="str">
        <f>IFERROR(__xludf.DUMMYFUNCTION("IF(OR(BV204&gt;$BS204+$BT204*$BT$2,BV204&lt;$BS204-$BT204*$BT$2),AVEDEV(ARRAYFORMULA(XLOOKUP(FILTER(INDIRECT(""'""&amp;BV$1&amp;""'!$C$4:$C$66""),INDIRECT(""'""&amp;BV$1&amp;""'!$D$4:$D$66"")=BV$2),$G$4:$BQ$4,$G204:$BQ204))),"""")"),"")</f>
        <v/>
      </c>
      <c r="BX204" s="208" t="str">
        <f t="shared" si="8"/>
        <v/>
      </c>
      <c r="BY204" s="207">
        <f>IFERROR(__xludf.DUMMYFUNCTION("AVERAGE(ARRAYFORMULA(XLOOKUP(FILTER(INDIRECT(""'""&amp;BY$1&amp;""'!$C$4:$C$66""),INDIRECT(""'""&amp;BY$1&amp;""'!$D$4:$D$66"")=BY$2),$G$4:$BQ$4,$G204:$BQ204)))"),0.28452927214285706)</f>
        <v>0.2845292721</v>
      </c>
      <c r="BZ204" s="207" t="str">
        <f>IFERROR(__xludf.DUMMYFUNCTION("IF(OR(BY204&gt;$BS204+$BT204*$BT$2,BY204&lt;$BS204-$BT204*$BT$2),AVEDEV(ARRAYFORMULA(XLOOKUP(FILTER(INDIRECT(""'""&amp;BY$1&amp;""'!$C$4:$C$66""),INDIRECT(""'""&amp;BY$1&amp;""'!$D$4:$D$66"")=BY$2),$G$4:$BQ$4,$G204:$BQ204))),"""")"),"")</f>
        <v/>
      </c>
      <c r="CA204" s="208" t="str">
        <f t="shared" si="9"/>
        <v/>
      </c>
      <c r="CB204" s="207">
        <f>IFERROR(__xludf.DUMMYFUNCTION("AVERAGE(ARRAYFORMULA(XLOOKUP(FILTER(INDIRECT(""'""&amp;CB$1&amp;""'!$C$4:$C$66""),INDIRECT(""'""&amp;CB$1&amp;""'!$D$4:$D$66"")=CB$2),$G$4:$BQ$4,$G204:$BQ204)))"),-0.2545663036363636)</f>
        <v>-0.2545663036</v>
      </c>
      <c r="CC204" s="207" t="str">
        <f>IFERROR(__xludf.DUMMYFUNCTION("IF(OR(CB204&gt;$BS204+$BT204*$BT$2,CB204&lt;$BS204-$BT204*$BT$2),AVEDEV(ARRAYFORMULA(XLOOKUP(FILTER(INDIRECT(""'""&amp;CB$1&amp;""'!$C$4:$C$66""),INDIRECT(""'""&amp;CB$1&amp;""'!$D$4:$D$66"")=CB$2),$G$4:$BQ$4,$G204:$BQ204))),"""")"),"")</f>
        <v/>
      </c>
      <c r="CD204" s="208" t="str">
        <f t="shared" si="10"/>
        <v/>
      </c>
      <c r="CE204" s="209" t="s">
        <v>444</v>
      </c>
      <c r="CF204" s="207">
        <f>IFERROR(__xludf.DUMMYFUNCTION("AVERAGE(ARRAYFORMULA(XLOOKUP(FILTER(INDIRECT(""'""&amp;CF$1&amp;""'!$C$4:$C$66""),INDIRECT(""'""&amp;CF$1&amp;""'!$D$4:$D$66"")=CF$2),$G$4:$BQ$4,$G204:$BQ204)))"),0.32869839375)</f>
        <v>0.3286983938</v>
      </c>
      <c r="CG204" s="207" t="str">
        <f>IFERROR(__xludf.DUMMYFUNCTION("IF(OR(CF204&gt;$BS204+$BT204*$BT$2,CF204&lt;$BS204-$BT204*$BT$2),AVEDEV(ARRAYFORMULA(XLOOKUP(FILTER(INDIRECT(""'""&amp;CF$1&amp;""'!$C$4:$C$66""),INDIRECT(""'""&amp;CF$1&amp;""'!$D$4:$D$66"")=CF$2),$G$4:$BQ$4,$G204:$BQ204))),"""")"),"")</f>
        <v/>
      </c>
      <c r="CH204" s="208" t="str">
        <f t="shared" si="11"/>
        <v/>
      </c>
      <c r="CI204" s="207">
        <f>IFERROR(__xludf.DUMMYFUNCTION("AVERAGE(ARRAYFORMULA(XLOOKUP(FILTER(INDIRECT(""'""&amp;CI$1&amp;""'!$C$4:$C$66""),INDIRECT(""'""&amp;CI$1&amp;""'!$D$4:$D$66"")=CI$2),$G$4:$BQ$4,$G204:$BQ204)))"),0.14087748064516134)</f>
        <v>0.1408774806</v>
      </c>
      <c r="CJ204" s="207" t="str">
        <f>IFERROR(__xludf.DUMMYFUNCTION("IF(OR(CI204&gt;$BS204+$BT204*$BT$2,CI204&lt;$BS204-$BT204*$BT$2),AVEDEV(ARRAYFORMULA(XLOOKUP(FILTER(INDIRECT(""'""&amp;CI$1&amp;""'!$C$4:$C$66""),INDIRECT(""'""&amp;CI$1&amp;""'!$D$4:$D$66"")=CI$2),$G$4:$BQ$4,$G204:$BQ204))),"""")"),"")</f>
        <v/>
      </c>
      <c r="CK204" s="208" t="str">
        <f t="shared" si="12"/>
        <v/>
      </c>
      <c r="CL204" s="207">
        <f>IFERROR(__xludf.DUMMYFUNCTION("AVERAGE(ARRAYFORMULA(XLOOKUP(FILTER(INDIRECT(""'""&amp;CL$1&amp;""'!$C$4:$C$66""),INDIRECT(""'""&amp;CL$1&amp;""'!$D$4:$D$66"")=CL$2),$G$4:$BQ$4,$G204:$BQ204)))"),0.06697249000000001)</f>
        <v>0.06697249</v>
      </c>
      <c r="CM204" s="207" t="str">
        <f>IFERROR(__xludf.DUMMYFUNCTION("IF(OR(CL204&gt;$BS204+$BT204*$BT$2,CL204&lt;$BS204-$BT204*$BT$2),AVEDEV(ARRAYFORMULA(XLOOKUP(FILTER(INDIRECT(""'""&amp;CL$1&amp;""'!$C$4:$C$66""),INDIRECT(""'""&amp;CL$1&amp;""'!$D$4:$D$66"")=CL$2),$G$4:$BQ$4,$G204:$BQ204))),"""")"),"")</f>
        <v/>
      </c>
      <c r="CN204" s="208" t="str">
        <f t="shared" si="13"/>
        <v/>
      </c>
      <c r="CO204" s="209" t="s">
        <v>444</v>
      </c>
      <c r="CP204" s="210">
        <f>IFERROR(__xludf.DUMMYFUNCTION("AVERAGE(ARRAYFORMULA(XLOOKUP(FILTER(INDIRECT(""'""&amp;CP$1&amp;""'!$C$4:$C$66""),INDIRECT(""'""&amp;CP$1&amp;""'!$D$4:$D$66"")=CP$2),$G$4:$BQ$4,$G204:$BQ204)))"),0.06360856799999999)</f>
        <v>0.063608568</v>
      </c>
      <c r="CQ204" s="207" t="str">
        <f>IFERROR(__xludf.DUMMYFUNCTION("IF(OR(CP204&gt;$BS204+$BT204*$BT$2,CP204&lt;$BS204-$BT204*$BT$2),AVEDEV(ARRAYFORMULA(XLOOKUP(FILTER(INDIRECT(""'""&amp;CP$1&amp;""'!$C$4:$C$66""),INDIRECT(""'""&amp;CP$1&amp;""'!$D$4:$D$66"")=CP$2),$G$4:$BQ$4,$G204:$BQ204))),"""")"),"")</f>
        <v/>
      </c>
      <c r="CR204" s="208" t="str">
        <f t="shared" si="14"/>
        <v/>
      </c>
      <c r="CS204" s="210">
        <f>IFERROR(__xludf.DUMMYFUNCTION("AVERAGE(ARRAYFORMULA(XLOOKUP(FILTER(INDIRECT(""'""&amp;CS$1&amp;""'!$C$4:$C$66""),INDIRECT(""'""&amp;CS$1&amp;""'!$D$4:$D$66"")=CS$2),$G$4:$BQ$4,$G204:$BQ204)))"),0.09993530743589746)</f>
        <v>0.09993530744</v>
      </c>
      <c r="CT204" s="207" t="str">
        <f>IFERROR(__xludf.DUMMYFUNCTION("IF(OR(CS204&gt;$BS204+$BT204*$BT$2,CS204&lt;$BS204-$BT204*$BT$2),AVEDEV(ARRAYFORMULA(XLOOKUP(FILTER(INDIRECT(""'""&amp;CS$1&amp;""'!$C$4:$C$66""),INDIRECT(""'""&amp;CS$1&amp;""'!$D$4:$D$66"")=CS$2),$G$4:$BQ$4,$G204:$BQ204))),"""")"),"")</f>
        <v/>
      </c>
      <c r="CU204" s="208" t="str">
        <f t="shared" si="15"/>
        <v/>
      </c>
      <c r="CV204" s="210">
        <f>IFERROR(__xludf.DUMMYFUNCTION("AVERAGE(ARRAYFORMULA(XLOOKUP(FILTER(INDIRECT(""'""&amp;CV$1&amp;""'!$C$4:$C$66""),INDIRECT(""'""&amp;CV$1&amp;""'!$D$4:$D$66"")=CV$2),$G$4:$BQ$4,$G204:$BQ204)))"),0.06697249000000001)</f>
        <v>0.06697249</v>
      </c>
      <c r="CW204" s="207" t="str">
        <f>IFERROR(__xludf.DUMMYFUNCTION("IF(OR(CV204&gt;$BS204+$BT204*$BT$2,CV204&lt;$BS204-$BT204*$BT$2),AVEDEV(ARRAYFORMULA(XLOOKUP(FILTER(INDIRECT(""'""&amp;CV$1&amp;""'!$C$4:$C$66""),INDIRECT(""'""&amp;CV$1&amp;""'!$D$4:$D$66"")=CV$2),$G$4:$BQ$4,$G204:$BQ204))),"""")"),"")</f>
        <v/>
      </c>
      <c r="CX204" s="208" t="str">
        <f t="shared" si="16"/>
        <v/>
      </c>
      <c r="CY204" s="209" t="s">
        <v>444</v>
      </c>
      <c r="CZ204" s="210">
        <f>IFERROR(__xludf.DUMMYFUNCTION("AVERAGE(ARRAYFORMULA(XLOOKUP(FILTER(INDIRECT(""'""&amp;CZ$1&amp;""'!$C$4:$C$66""),INDIRECT(""'""&amp;CZ$1&amp;""'!$D$4:$D$66"")=CZ$2),$G$4:$BQ$4,$G204:$BQ204)))"),0.47984927428571433)</f>
        <v>0.4798492743</v>
      </c>
      <c r="DA204" s="207" t="str">
        <f>IFERROR(__xludf.DUMMYFUNCTION("IF(OR(CZ204&gt;$BS204+$BT204*$BT$2,CZ204&lt;$BS204-$BT204*$BT$2),AVEDEV(ARRAYFORMULA(XLOOKUP(FILTER(INDIRECT(""'""&amp;CZ$1&amp;""'!$C$4:$C$66""),INDIRECT(""'""&amp;CZ$1&amp;""'!$D$4:$D$66"")=CZ$2),$G$4:$BQ$4,$G204:$BQ204))),"""")"),"")</f>
        <v/>
      </c>
      <c r="DB204" s="208" t="str">
        <f t="shared" si="17"/>
        <v/>
      </c>
      <c r="DC204" s="210">
        <f>IFERROR(__xludf.DUMMYFUNCTION("AVERAGE(ARRAYFORMULA(XLOOKUP(FILTER(INDIRECT(""'""&amp;DC$1&amp;""'!$C$4:$C$66""),INDIRECT(""'""&amp;DC$1&amp;""'!$D$4:$D$66"")=DC$2),$G$4:$BQ$4,$G204:$BQ204)))"),-0.29482670666666666)</f>
        <v>-0.2948267067</v>
      </c>
      <c r="DD204" s="207" t="str">
        <f>IFERROR(__xludf.DUMMYFUNCTION("IF(OR(DC204&gt;$BS204+$BT204*$BT$2,DC204&lt;$BS204-$BT204*$BT$2),AVEDEV(ARRAYFORMULA(XLOOKUP(FILTER(INDIRECT(""'""&amp;DC$1&amp;""'!$C$4:$C$66""),INDIRECT(""'""&amp;DC$1&amp;""'!$D$4:$D$66"")=DC$2),$G$4:$BQ$4,$G204:$BQ204))),"""")"),"")</f>
        <v/>
      </c>
      <c r="DE204" s="208" t="str">
        <f t="shared" si="18"/>
        <v/>
      </c>
      <c r="DF204" s="210">
        <f>IFERROR(__xludf.DUMMYFUNCTION("AVERAGE(ARRAYFORMULA(XLOOKUP(FILTER(INDIRECT(""'""&amp;DF$1&amp;""'!$C$4:$C$66""),INDIRECT(""'""&amp;DF$1&amp;""'!$D$4:$D$66"")=DF$2),$G$4:$BQ$4,$G204:$BQ204)))"),0.33361134727272723)</f>
        <v>0.3336113473</v>
      </c>
      <c r="DG204" s="207" t="str">
        <f>IFERROR(__xludf.DUMMYFUNCTION("IF(OR(DF204&gt;$BS204+$BT204*$BT$2,DF204&lt;$BS204-$BT204*$BT$2),AVEDEV(ARRAYFORMULA(XLOOKUP(FILTER(INDIRECT(""'""&amp;DF$1&amp;""'!$C$4:$C$66""),INDIRECT(""'""&amp;DF$1&amp;""'!$D$4:$D$66"")=DF$2),$G$4:$BQ$4,$G204:$BQ204))),"""")"),"")</f>
        <v/>
      </c>
      <c r="DH204" s="208" t="str">
        <f t="shared" si="19"/>
        <v/>
      </c>
      <c r="DI204" s="210">
        <f>IFERROR(__xludf.DUMMYFUNCTION("AVERAGE(ARRAYFORMULA(XLOOKUP(FILTER(INDIRECT(""'""&amp;DI$1&amp;""'!$C$4:$C$66""),INDIRECT(""'""&amp;DI$1&amp;""'!$D$4:$D$66"")=DI$2),$G$4:$BQ$4,$G204:$BQ204)))"),-0.18004587)</f>
        <v>-0.18004587</v>
      </c>
      <c r="DJ204" s="207" t="str">
        <f>IFERROR(__xludf.DUMMYFUNCTION("IF(OR(DI204&gt;$BS204+$BT204*$BT$2,DI204&lt;$BS204-$BT204*$BT$2),AVEDEV(ARRAYFORMULA(XLOOKUP(FILTER(INDIRECT(""'""&amp;DI$1&amp;""'!$C$4:$C$66""),INDIRECT(""'""&amp;DI$1&amp;""'!$D$4:$D$66"")=DI$2),$G$4:$BQ$4,$G204:$BQ204))),"""")"),"")</f>
        <v/>
      </c>
      <c r="DK204" s="208" t="str">
        <f t="shared" si="20"/>
        <v/>
      </c>
      <c r="DL204" s="210">
        <f>IFERROR(__xludf.DUMMYFUNCTION("AVERAGE(ARRAYFORMULA(XLOOKUP(FILTER(INDIRECT(""'""&amp;DL$1&amp;""'!$C$4:$C$66""),INDIRECT(""'""&amp;DL$1&amp;""'!$D$4:$D$66"")=DL$2),$G$4:$BQ$4,$G204:$BQ204)))"),0.18353538785714288)</f>
        <v>0.1835353879</v>
      </c>
      <c r="DM204" s="207" t="str">
        <f>IFERROR(__xludf.DUMMYFUNCTION("IF(OR(DL204&gt;$BS204+$BT204*$BT$2,DL204&lt;$BS204-$BT204*$BT$2),AVEDEV(ARRAYFORMULA(XLOOKUP(FILTER(INDIRECT(""'""&amp;DL$1&amp;""'!$C$4:$C$66""),INDIRECT(""'""&amp;DL$1&amp;""'!$D$4:$D$66"")=DL$2),$G$4:$BQ$4,$G204:$BQ204))),"""")"),"")</f>
        <v/>
      </c>
      <c r="DN204" s="208" t="str">
        <f t="shared" si="21"/>
        <v/>
      </c>
      <c r="DO204" s="209" t="s">
        <v>444</v>
      </c>
      <c r="DP204" s="210">
        <f>IFERROR(__xludf.DUMMYFUNCTION("AVERAGE(ARRAYFORMULA(XLOOKUP(FILTER(INDIRECT(""'""&amp;DP$1&amp;""'!$C$4:$C$66""),INDIRECT(""'""&amp;DP$1&amp;""'!$D$4:$D$66"")=DP$2),$G$4:$BQ$4,$G204:$BQ204)))"),0.3908256913333333)</f>
        <v>0.3908256913</v>
      </c>
      <c r="DQ204" s="207" t="str">
        <f>IFERROR(__xludf.DUMMYFUNCTION("IF(OR(DP204&gt;$BS204+$BT204*$BT$2,DP204&lt;$BS204-$BT204*$BT$2),AVEDEV(ARRAYFORMULA(XLOOKUP(FILTER(INDIRECT(""'""&amp;DP$1&amp;""'!$C$4:$C$66""),INDIRECT(""'""&amp;DP$1&amp;""'!$D$4:$D$66"")=DP$2),$G$4:$BQ$4,$G204:$BQ204))),"""")"),"")</f>
        <v/>
      </c>
      <c r="DR204" s="208" t="str">
        <f t="shared" si="22"/>
        <v/>
      </c>
      <c r="DS204" s="210">
        <f>IFERROR(__xludf.DUMMYFUNCTION("AVERAGE(ARRAYFORMULA(XLOOKUP(FILTER(INDIRECT(""'""&amp;DS$1&amp;""'!$C$4:$C$66""),INDIRECT(""'""&amp;DS$1&amp;""'!$D$4:$D$66"")=DS$2),$G$4:$BQ$4,$G204:$BQ204)))"),-0.27851681666666667)</f>
        <v>-0.2785168167</v>
      </c>
      <c r="DT204" s="207" t="str">
        <f>IFERROR(__xludf.DUMMYFUNCTION("IF(OR(DS204&gt;$BS204+$BT204*$BT$2,DS204&lt;$BS204-$BT204*$BT$2),AVEDEV(ARRAYFORMULA(XLOOKUP(FILTER(INDIRECT(""'""&amp;DS$1&amp;""'!$C$4:$C$66""),INDIRECT(""'""&amp;DS$1&amp;""'!$D$4:$D$66"")=DS$2),$G$4:$BQ$4,$G204:$BQ204))),"""")"),"")</f>
        <v/>
      </c>
      <c r="DU204" s="208" t="str">
        <f t="shared" si="23"/>
        <v/>
      </c>
      <c r="DV204" s="210">
        <f>IFERROR(__xludf.DUMMYFUNCTION("AVERAGE(ARRAYFORMULA(XLOOKUP(FILTER(INDIRECT(""'""&amp;DV$1&amp;""'!$C$4:$C$66""),INDIRECT(""'""&amp;DV$1&amp;""'!$D$4:$D$66"")=DV$2),$G$4:$BQ$4,$G204:$BQ204)))"),-0.014334872499999988)</f>
        <v>-0.0143348725</v>
      </c>
      <c r="DW204" s="207" t="str">
        <f>IFERROR(__xludf.DUMMYFUNCTION("IF(OR(DV204&gt;$BS204+$BT204*$BT$2,DV204&lt;$BS204-$BT204*$BT$2),AVEDEV(ARRAYFORMULA(XLOOKUP(FILTER(INDIRECT(""'""&amp;DV$1&amp;""'!$C$4:$C$66""),INDIRECT(""'""&amp;DV$1&amp;""'!$D$4:$D$66"")=DV$2),$G$4:$BQ$4,$G204:$BQ204))),"""")"),"")</f>
        <v/>
      </c>
      <c r="DX204" s="208" t="str">
        <f t="shared" si="24"/>
        <v/>
      </c>
      <c r="DY204" s="210">
        <f>IFERROR(__xludf.DUMMYFUNCTION("AVERAGE(ARRAYFORMULA(XLOOKUP(FILTER(INDIRECT(""'""&amp;DY$1&amp;""'!$C$4:$C$66""),INDIRECT(""'""&amp;DY$1&amp;""'!$D$4:$D$66"")=DY$2),$G$4:$BQ$4,$G204:$BQ204)))"),0.08460755000000002)</f>
        <v>0.08460755</v>
      </c>
      <c r="DZ204" s="207" t="str">
        <f>IFERROR(__xludf.DUMMYFUNCTION("IF(OR(DY204&gt;$BS204+$BT204*$BT$2,DY204&lt;$BS204-$BT204*$BT$2),AVEDEV(ARRAYFORMULA(XLOOKUP(FILTER(INDIRECT(""'""&amp;DY$1&amp;""'!$C$4:$C$66""),INDIRECT(""'""&amp;DY$1&amp;""'!$D$4:$D$66"")=DY$2),$G$4:$BQ$4,$G204:$BQ204))),"""")"),"")</f>
        <v/>
      </c>
      <c r="EA204" s="208" t="str">
        <f t="shared" si="25"/>
        <v/>
      </c>
      <c r="EB204" s="191"/>
    </row>
    <row r="205" outlineLevel="1">
      <c r="A205" s="2"/>
      <c r="B205" s="204">
        <v>201.0</v>
      </c>
      <c r="C205" s="204" t="s">
        <v>646</v>
      </c>
      <c r="D205" s="204" t="s">
        <v>650</v>
      </c>
      <c r="E205" s="205" t="b">
        <f>VLOOKUP(D205,'Feature Set List'!A201:C246,2,0)</f>
        <v>1</v>
      </c>
      <c r="F205" s="205" t="b">
        <f>VLOOKUP(D205,'Feature Set List'!A201:C246,3,0)</f>
        <v>1</v>
      </c>
      <c r="G205" s="205">
        <v>0.67662298</v>
      </c>
      <c r="H205" s="205">
        <v>-0.1901859</v>
      </c>
      <c r="I205" s="205">
        <v>-0.3617799</v>
      </c>
      <c r="J205" s="205">
        <v>-0.4017068</v>
      </c>
      <c r="K205" s="205">
        <v>-1.1694301</v>
      </c>
      <c r="L205" s="205">
        <v>0.51752514</v>
      </c>
      <c r="M205" s="205">
        <v>1.13837245</v>
      </c>
      <c r="N205" s="205">
        <v>-0.348979</v>
      </c>
      <c r="O205" s="205">
        <v>0.25601951</v>
      </c>
      <c r="P205" s="205">
        <v>0.90307833</v>
      </c>
      <c r="Q205" s="205">
        <v>-0.971655</v>
      </c>
      <c r="R205" s="205">
        <v>0.00792441</v>
      </c>
      <c r="S205" s="205">
        <v>1.16915575</v>
      </c>
      <c r="T205" s="205">
        <v>-0.3864675</v>
      </c>
      <c r="U205" s="205">
        <v>0.06400488</v>
      </c>
      <c r="V205" s="205">
        <v>0.16641268</v>
      </c>
      <c r="W205" s="205">
        <v>0.6086559</v>
      </c>
      <c r="X205" s="205">
        <v>0.90795489</v>
      </c>
      <c r="Y205" s="205">
        <v>0.18744285</v>
      </c>
      <c r="Z205" s="205">
        <v>1.79731789</v>
      </c>
      <c r="AA205" s="205">
        <v>0.02590674</v>
      </c>
      <c r="AB205" s="205">
        <v>0.0</v>
      </c>
      <c r="AC205" s="205">
        <v>0.23468455</v>
      </c>
      <c r="AD205" s="205">
        <v>0.77842121</v>
      </c>
      <c r="AE205" s="205">
        <v>-0.110637</v>
      </c>
      <c r="AF205" s="205">
        <v>-0.307833</v>
      </c>
      <c r="AG205" s="205">
        <v>0.92685157</v>
      </c>
      <c r="AH205" s="205">
        <v>-0.0755867</v>
      </c>
      <c r="AI205" s="205">
        <v>-0.2551052</v>
      </c>
      <c r="AJ205" s="205">
        <v>3.95214874</v>
      </c>
      <c r="AK205" s="205">
        <v>-0.676623</v>
      </c>
      <c r="AL205" s="205">
        <v>-0.3852484</v>
      </c>
      <c r="AM205" s="205">
        <v>-0.0420603</v>
      </c>
      <c r="AN205" s="205">
        <v>-0.0387077</v>
      </c>
      <c r="AO205" s="205">
        <v>-0.1398964</v>
      </c>
      <c r="AP205" s="205">
        <v>-1.0149345</v>
      </c>
      <c r="AQ205" s="205">
        <v>0.15117342</v>
      </c>
      <c r="AR205" s="205">
        <v>-0.3529412</v>
      </c>
      <c r="AS205" s="205">
        <v>-0.1011887</v>
      </c>
      <c r="AT205" s="205">
        <v>-0.3175861</v>
      </c>
      <c r="AU205" s="205">
        <v>-1.4486437</v>
      </c>
      <c r="AV205" s="205">
        <v>2.12953368</v>
      </c>
      <c r="AW205" s="205">
        <v>0.99481865</v>
      </c>
      <c r="AX205" s="205">
        <v>-0.6747943</v>
      </c>
      <c r="AY205" s="205">
        <v>1.2316367</v>
      </c>
      <c r="AZ205" s="205">
        <v>-0.2218836</v>
      </c>
      <c r="BA205" s="205">
        <v>0.32246266</v>
      </c>
      <c r="BB205" s="205">
        <v>0.24321853</v>
      </c>
      <c r="BC205" s="205">
        <v>-0.3992685</v>
      </c>
      <c r="BD205" s="205">
        <v>-0.6699177</v>
      </c>
      <c r="BE205" s="205">
        <v>0.4651021</v>
      </c>
      <c r="BF205" s="205">
        <v>0.78756477</v>
      </c>
      <c r="BG205" s="205">
        <v>0.02590674</v>
      </c>
      <c r="BH205" s="205">
        <v>0.73879915</v>
      </c>
      <c r="BI205" s="205">
        <v>-0.1853094</v>
      </c>
      <c r="BJ205" s="205">
        <v>0.48643706</v>
      </c>
      <c r="BK205" s="205">
        <v>-0.6821091</v>
      </c>
      <c r="BL205" s="205">
        <v>-0.6366961</v>
      </c>
      <c r="BM205" s="205">
        <v>-0.2672966</v>
      </c>
      <c r="BN205" s="205">
        <v>-0.9625114</v>
      </c>
      <c r="BO205" s="205">
        <v>2.14782079</v>
      </c>
      <c r="BP205" s="205">
        <v>-0.6208473</v>
      </c>
      <c r="BQ205" s="205">
        <v>1.0716245</v>
      </c>
      <c r="BR205" s="206"/>
      <c r="BS205" s="207">
        <f t="shared" si="6"/>
        <v>0.169789986</v>
      </c>
      <c r="BT205" s="207">
        <f t="shared" si="7"/>
        <v>0.6485244666</v>
      </c>
      <c r="BU205" s="206"/>
      <c r="BV205" s="207">
        <f>IFERROR(__xludf.DUMMYFUNCTION("AVERAGE(ARRAYFORMULA(XLOOKUP(FILTER(INDIRECT(""'""&amp;BV$1&amp;""'!$C$4:$C$66""),INDIRECT(""'""&amp;BV$1&amp;""'!$D$4:$D$66"")=BV$2),$G$4:$BQ$4,$G205:$BQ205)))"),0.3050463714285714)</f>
        <v>0.3050463714</v>
      </c>
      <c r="BW205" s="207" t="str">
        <f>IFERROR(__xludf.DUMMYFUNCTION("IF(OR(BV205&gt;$BS205+$BT205*$BT$2,BV205&lt;$BS205-$BT205*$BT$2),AVEDEV(ARRAYFORMULA(XLOOKUP(FILTER(INDIRECT(""'""&amp;BV$1&amp;""'!$C$4:$C$66""),INDIRECT(""'""&amp;BV$1&amp;""'!$D$4:$D$66"")=BV$2),$G$4:$BQ$4,$G205:$BQ205))),"""")"),"")</f>
        <v/>
      </c>
      <c r="BX205" s="208" t="str">
        <f t="shared" si="8"/>
        <v/>
      </c>
      <c r="BY205" s="207">
        <f>IFERROR(__xludf.DUMMYFUNCTION("AVERAGE(ARRAYFORMULA(XLOOKUP(FILTER(INDIRECT(""'""&amp;BY$1&amp;""'!$C$4:$C$66""),INDIRECT(""'""&amp;BY$1&amp;""'!$D$4:$D$66"")=BY$2),$G$4:$BQ$4,$G205:$BQ205)))"),0.18740729071428572)</f>
        <v>0.1874072907</v>
      </c>
      <c r="BZ205" s="207" t="str">
        <f>IFERROR(__xludf.DUMMYFUNCTION("IF(OR(BY205&gt;$BS205+$BT205*$BT$2,BY205&lt;$BS205-$BT205*$BT$2),AVEDEV(ARRAYFORMULA(XLOOKUP(FILTER(INDIRECT(""'""&amp;BY$1&amp;""'!$C$4:$C$66""),INDIRECT(""'""&amp;BY$1&amp;""'!$D$4:$D$66"")=BY$2),$G$4:$BQ$4,$G205:$BQ205))),"""")"),"")</f>
        <v/>
      </c>
      <c r="CA205" s="208" t="str">
        <f t="shared" si="9"/>
        <v/>
      </c>
      <c r="CB205" s="207">
        <f>IFERROR(__xludf.DUMMYFUNCTION("AVERAGE(ARRAYFORMULA(XLOOKUP(FILTER(INDIRECT(""'""&amp;CB$1&amp;""'!$C$4:$C$66""),INDIRECT(""'""&amp;CB$1&amp;""'!$D$4:$D$66"")=CB$2),$G$4:$BQ$4,$G205:$BQ205)))"),0.2882436009090909)</f>
        <v>0.2882436009</v>
      </c>
      <c r="CC205" s="207" t="str">
        <f>IFERROR(__xludf.DUMMYFUNCTION("IF(OR(CB205&gt;$BS205+$BT205*$BT$2,CB205&lt;$BS205-$BT205*$BT$2),AVEDEV(ARRAYFORMULA(XLOOKUP(FILTER(INDIRECT(""'""&amp;CB$1&amp;""'!$C$4:$C$66""),INDIRECT(""'""&amp;CB$1&amp;""'!$D$4:$D$66"")=CB$2),$G$4:$BQ$4,$G205:$BQ205))),"""")"),"")</f>
        <v/>
      </c>
      <c r="CD205" s="208" t="str">
        <f t="shared" si="10"/>
        <v/>
      </c>
      <c r="CE205" s="209" t="s">
        <v>444</v>
      </c>
      <c r="CF205" s="207">
        <f>IFERROR(__xludf.DUMMYFUNCTION("AVERAGE(ARRAYFORMULA(XLOOKUP(FILTER(INDIRECT(""'""&amp;CF$1&amp;""'!$C$4:$C$66""),INDIRECT(""'""&amp;CF$1&amp;""'!$D$4:$D$66"")=CF$2),$G$4:$BQ$4,$G205:$BQ205)))"),-0.07194644374999999)</f>
        <v>-0.07194644375</v>
      </c>
      <c r="CG205" s="207" t="str">
        <f>IFERROR(__xludf.DUMMYFUNCTION("IF(OR(CF205&gt;$BS205+$BT205*$BT$2,CF205&lt;$BS205-$BT205*$BT$2),AVEDEV(ARRAYFORMULA(XLOOKUP(FILTER(INDIRECT(""'""&amp;CF$1&amp;""'!$C$4:$C$66""),INDIRECT(""'""&amp;CF$1&amp;""'!$D$4:$D$66"")=CF$2),$G$4:$BQ$4,$G205:$BQ205))),"""")"),"")</f>
        <v/>
      </c>
      <c r="CH205" s="208" t="str">
        <f t="shared" si="11"/>
        <v/>
      </c>
      <c r="CI205" s="207">
        <f>IFERROR(__xludf.DUMMYFUNCTION("AVERAGE(ARRAYFORMULA(XLOOKUP(FILTER(INDIRECT(""'""&amp;CI$1&amp;""'!$C$4:$C$66""),INDIRECT(""'""&amp;CI$1&amp;""'!$D$4:$D$66"")=CI$2),$G$4:$BQ$4,$G205:$BQ205)))"),0.38398993322580643)</f>
        <v>0.3839899332</v>
      </c>
      <c r="CJ205" s="207" t="str">
        <f>IFERROR(__xludf.DUMMYFUNCTION("IF(OR(CI205&gt;$BS205+$BT205*$BT$2,CI205&lt;$BS205-$BT205*$BT$2),AVEDEV(ARRAYFORMULA(XLOOKUP(FILTER(INDIRECT(""'""&amp;CI$1&amp;""'!$C$4:$C$66""),INDIRECT(""'""&amp;CI$1&amp;""'!$D$4:$D$66"")=CI$2),$G$4:$BQ$4,$G205:$BQ205))),"""")"),"")</f>
        <v/>
      </c>
      <c r="CK205" s="208" t="str">
        <f t="shared" si="12"/>
        <v/>
      </c>
      <c r="CL205" s="207">
        <f>IFERROR(__xludf.DUMMYFUNCTION("AVERAGE(ARRAYFORMULA(XLOOKUP(FILTER(INDIRECT(""'""&amp;CL$1&amp;""'!$C$4:$C$66""),INDIRECT(""'""&amp;CL$1&amp;""'!$D$4:$D$66"")=CL$2),$G$4:$BQ$4,$G205:$BQ205)))"),0.152758306)</f>
        <v>0.152758306</v>
      </c>
      <c r="CM205" s="207" t="str">
        <f>IFERROR(__xludf.DUMMYFUNCTION("IF(OR(CL205&gt;$BS205+$BT205*$BT$2,CL205&lt;$BS205-$BT205*$BT$2),AVEDEV(ARRAYFORMULA(XLOOKUP(FILTER(INDIRECT(""'""&amp;CL$1&amp;""'!$C$4:$C$66""),INDIRECT(""'""&amp;CL$1&amp;""'!$D$4:$D$66"")=CL$2),$G$4:$BQ$4,$G205:$BQ205))),"""")"),"")</f>
        <v/>
      </c>
      <c r="CN205" s="208" t="str">
        <f t="shared" si="13"/>
        <v/>
      </c>
      <c r="CO205" s="209" t="s">
        <v>444</v>
      </c>
      <c r="CP205" s="210">
        <f>IFERROR(__xludf.DUMMYFUNCTION("AVERAGE(ARRAYFORMULA(XLOOKUP(FILTER(INDIRECT(""'""&amp;CP$1&amp;""'!$C$4:$C$66""),INDIRECT(""'""&amp;CP$1&amp;""'!$D$4:$D$66"")=CP$2),$G$4:$BQ$4,$G205:$BQ205)))"),0.2555115273333333)</f>
        <v>0.2555115273</v>
      </c>
      <c r="CQ205" s="207" t="str">
        <f>IFERROR(__xludf.DUMMYFUNCTION("IF(OR(CP205&gt;$BS205+$BT205*$BT$2,CP205&lt;$BS205-$BT205*$BT$2),AVEDEV(ARRAYFORMULA(XLOOKUP(FILTER(INDIRECT(""'""&amp;CP$1&amp;""'!$C$4:$C$66""),INDIRECT(""'""&amp;CP$1&amp;""'!$D$4:$D$66"")=CP$2),$G$4:$BQ$4,$G205:$BQ205))),"""")"),"")</f>
        <v/>
      </c>
      <c r="CR205" s="208" t="str">
        <f t="shared" si="14"/>
        <v/>
      </c>
      <c r="CS205" s="210">
        <f>IFERROR(__xludf.DUMMYFUNCTION("AVERAGE(ARRAYFORMULA(XLOOKUP(FILTER(INDIRECT(""'""&amp;CS$1&amp;""'!$C$4:$C$66""),INDIRECT(""'""&amp;CS$1&amp;""'!$D$4:$D$66"")=CS$2),$G$4:$BQ$4,$G205:$BQ205)))"),0.2363421046153846)</f>
        <v>0.2363421046</v>
      </c>
      <c r="CT205" s="207" t="str">
        <f>IFERROR(__xludf.DUMMYFUNCTION("IF(OR(CS205&gt;$BS205+$BT205*$BT$2,CS205&lt;$BS205-$BT205*$BT$2),AVEDEV(ARRAYFORMULA(XLOOKUP(FILTER(INDIRECT(""'""&amp;CS$1&amp;""'!$C$4:$C$66""),INDIRECT(""'""&amp;CS$1&amp;""'!$D$4:$D$66"")=CS$2),$G$4:$BQ$4,$G205:$BQ205))),"""")"),"")</f>
        <v/>
      </c>
      <c r="CU205" s="208" t="str">
        <f t="shared" si="15"/>
        <v/>
      </c>
      <c r="CV205" s="210">
        <f>IFERROR(__xludf.DUMMYFUNCTION("AVERAGE(ARRAYFORMULA(XLOOKUP(FILTER(INDIRECT(""'""&amp;CV$1&amp;""'!$C$4:$C$66""),INDIRECT(""'""&amp;CV$1&amp;""'!$D$4:$D$66"")=CV$2),$G$4:$BQ$4,$G205:$BQ205)))"),0.152758306)</f>
        <v>0.152758306</v>
      </c>
      <c r="CW205" s="207" t="str">
        <f>IFERROR(__xludf.DUMMYFUNCTION("IF(OR(CV205&gt;$BS205+$BT205*$BT$2,CV205&lt;$BS205-$BT205*$BT$2),AVEDEV(ARRAYFORMULA(XLOOKUP(FILTER(INDIRECT(""'""&amp;CV$1&amp;""'!$C$4:$C$66""),INDIRECT(""'""&amp;CV$1&amp;""'!$D$4:$D$66"")=CV$2),$G$4:$BQ$4,$G205:$BQ205))),"""")"),"")</f>
        <v/>
      </c>
      <c r="CX205" s="208" t="str">
        <f t="shared" si="16"/>
        <v/>
      </c>
      <c r="CY205" s="209" t="s">
        <v>444</v>
      </c>
      <c r="CZ205" s="210">
        <f>IFERROR(__xludf.DUMMYFUNCTION("AVERAGE(ARRAYFORMULA(XLOOKUP(FILTER(INDIRECT(""'""&amp;CZ$1&amp;""'!$C$4:$C$66""),INDIRECT(""'""&amp;CZ$1&amp;""'!$D$4:$D$66"")=CZ$2),$G$4:$BQ$4,$G205:$BQ205)))"),-0.07419341499999998)</f>
        <v>-0.074193415</v>
      </c>
      <c r="DA205" s="207" t="str">
        <f>IFERROR(__xludf.DUMMYFUNCTION("IF(OR(CZ205&gt;$BS205+$BT205*$BT$2,CZ205&lt;$BS205-$BT205*$BT$2),AVEDEV(ARRAYFORMULA(XLOOKUP(FILTER(INDIRECT(""'""&amp;CZ$1&amp;""'!$C$4:$C$66""),INDIRECT(""'""&amp;CZ$1&amp;""'!$D$4:$D$66"")=CZ$2),$G$4:$BQ$4,$G205:$BQ205))),"""")"),"")</f>
        <v/>
      </c>
      <c r="DB205" s="208" t="str">
        <f t="shared" si="17"/>
        <v/>
      </c>
      <c r="DC205" s="210">
        <f>IFERROR(__xludf.DUMMYFUNCTION("AVERAGE(ARRAYFORMULA(XLOOKUP(FILTER(INDIRECT(""'""&amp;DC$1&amp;""'!$C$4:$C$66""),INDIRECT(""'""&amp;DC$1&amp;""'!$D$4:$D$66"")=DC$2),$G$4:$BQ$4,$G205:$BQ205)))"),0.40665109)</f>
        <v>0.40665109</v>
      </c>
      <c r="DD205" s="207" t="str">
        <f>IFERROR(__xludf.DUMMYFUNCTION("IF(OR(DC205&gt;$BS205+$BT205*$BT$2,DC205&lt;$BS205-$BT205*$BT$2),AVEDEV(ARRAYFORMULA(XLOOKUP(FILTER(INDIRECT(""'""&amp;DC$1&amp;""'!$C$4:$C$66""),INDIRECT(""'""&amp;DC$1&amp;""'!$D$4:$D$66"")=DC$2),$G$4:$BQ$4,$G205:$BQ205))),"""")"),"")</f>
        <v/>
      </c>
      <c r="DE205" s="208" t="str">
        <f t="shared" si="18"/>
        <v/>
      </c>
      <c r="DF205" s="210">
        <f>IFERROR(__xludf.DUMMYFUNCTION("AVERAGE(ARRAYFORMULA(XLOOKUP(FILTER(INDIRECT(""'""&amp;DF$1&amp;""'!$C$4:$C$66""),INDIRECT(""'""&amp;DF$1&amp;""'!$D$4:$D$66"")=DF$2),$G$4:$BQ$4,$G205:$BQ205)))"),0.46144468636363634)</f>
        <v>0.4614446864</v>
      </c>
      <c r="DG205" s="207" t="str">
        <f>IFERROR(__xludf.DUMMYFUNCTION("IF(OR(DF205&gt;$BS205+$BT205*$BT$2,DF205&lt;$BS205-$BT205*$BT$2),AVEDEV(ARRAYFORMULA(XLOOKUP(FILTER(INDIRECT(""'""&amp;DF$1&amp;""'!$C$4:$C$66""),INDIRECT(""'""&amp;DF$1&amp;""'!$D$4:$D$66"")=DF$2),$G$4:$BQ$4,$G205:$BQ205))),"""")"),"")</f>
        <v/>
      </c>
      <c r="DH205" s="208" t="str">
        <f t="shared" si="19"/>
        <v/>
      </c>
      <c r="DI205" s="210">
        <f>IFERROR(__xludf.DUMMYFUNCTION("AVERAGE(ARRAYFORMULA(XLOOKUP(FILTER(INDIRECT(""'""&amp;DI$1&amp;""'!$C$4:$C$66""),INDIRECT(""'""&amp;DI$1&amp;""'!$D$4:$D$66"")=DI$2),$G$4:$BQ$4,$G205:$BQ205)))"),0.75861018)</f>
        <v>0.75861018</v>
      </c>
      <c r="DJ205" s="207" t="str">
        <f>IFERROR(__xludf.DUMMYFUNCTION("IF(OR(DI205&gt;$BS205+$BT205*$BT$2,DI205&lt;$BS205-$BT205*$BT$2),AVEDEV(ARRAYFORMULA(XLOOKUP(FILTER(INDIRECT(""'""&amp;DI$1&amp;""'!$C$4:$C$66""),INDIRECT(""'""&amp;DI$1&amp;""'!$D$4:$D$66"")=DI$2),$G$4:$BQ$4,$G205:$BQ205))),"""")"),"")</f>
        <v/>
      </c>
      <c r="DK205" s="208" t="str">
        <f t="shared" si="20"/>
        <v/>
      </c>
      <c r="DL205" s="210">
        <f>IFERROR(__xludf.DUMMYFUNCTION("AVERAGE(ARRAYFORMULA(XLOOKUP(FILTER(INDIRECT(""'""&amp;DL$1&amp;""'!$C$4:$C$66""),INDIRECT(""'""&amp;DL$1&amp;""'!$D$4:$D$66"")=DL$2),$G$4:$BQ$4,$G205:$BQ205)))"),0.24038837928571427)</f>
        <v>0.2403883793</v>
      </c>
      <c r="DM205" s="207" t="str">
        <f>IFERROR(__xludf.DUMMYFUNCTION("IF(OR(DL205&gt;$BS205+$BT205*$BT$2,DL205&lt;$BS205-$BT205*$BT$2),AVEDEV(ARRAYFORMULA(XLOOKUP(FILTER(INDIRECT(""'""&amp;DL$1&amp;""'!$C$4:$C$66""),INDIRECT(""'""&amp;DL$1&amp;""'!$D$4:$D$66"")=DL$2),$G$4:$BQ$4,$G205:$BQ205))),"""")"),"")</f>
        <v/>
      </c>
      <c r="DN205" s="208" t="str">
        <f t="shared" si="21"/>
        <v/>
      </c>
      <c r="DO205" s="209" t="s">
        <v>444</v>
      </c>
      <c r="DP205" s="210">
        <f>IFERROR(__xludf.DUMMYFUNCTION("AVERAGE(ARRAYFORMULA(XLOOKUP(FILTER(INDIRECT(""'""&amp;DP$1&amp;""'!$C$4:$C$66""),INDIRECT(""'""&amp;DP$1&amp;""'!$D$4:$D$66"")=DP$2),$G$4:$BQ$4,$G205:$BQ205)))"),-0.072080673)</f>
        <v>-0.072080673</v>
      </c>
      <c r="DQ205" s="207" t="str">
        <f>IFERROR(__xludf.DUMMYFUNCTION("IF(OR(DP205&gt;$BS205+$BT205*$BT$2,DP205&lt;$BS205-$BT205*$BT$2),AVEDEV(ARRAYFORMULA(XLOOKUP(FILTER(INDIRECT(""'""&amp;DP$1&amp;""'!$C$4:$C$66""),INDIRECT(""'""&amp;DP$1&amp;""'!$D$4:$D$66"")=DP$2),$G$4:$BQ$4,$G205:$BQ205))),"""")"),"")</f>
        <v/>
      </c>
      <c r="DR205" s="208" t="str">
        <f t="shared" si="22"/>
        <v/>
      </c>
      <c r="DS205" s="210">
        <f>IFERROR(__xludf.DUMMYFUNCTION("AVERAGE(ARRAYFORMULA(XLOOKUP(FILTER(INDIRECT(""'""&amp;DS$1&amp;""'!$C$4:$C$66""),INDIRECT(""'""&amp;DS$1&amp;""'!$D$4:$D$66"")=DS$2),$G$4:$BQ$4,$G205:$BQ205)))"),0.6269430044444445)</f>
        <v>0.6269430044</v>
      </c>
      <c r="DT205" s="207" t="str">
        <f>IFERROR(__xludf.DUMMYFUNCTION("IF(OR(DS205&gt;$BS205+$BT205*$BT$2,DS205&lt;$BS205-$BT205*$BT$2),AVEDEV(ARRAYFORMULA(XLOOKUP(FILTER(INDIRECT(""'""&amp;DS$1&amp;""'!$C$4:$C$66""),INDIRECT(""'""&amp;DS$1&amp;""'!$D$4:$D$66"")=DS$2),$G$4:$BQ$4,$G205:$BQ205))),"""")"),"")</f>
        <v/>
      </c>
      <c r="DU205" s="208" t="str">
        <f t="shared" si="23"/>
        <v/>
      </c>
      <c r="DV205" s="210">
        <f>IFERROR(__xludf.DUMMYFUNCTION("AVERAGE(ARRAYFORMULA(XLOOKUP(FILTER(INDIRECT(""'""&amp;DV$1&amp;""'!$C$4:$C$66""),INDIRECT(""'""&amp;DV$1&amp;""'!$D$4:$D$66"")=DV$2),$G$4:$BQ$4,$G205:$BQ205)))"),0.81061414125)</f>
        <v>0.8106141413</v>
      </c>
      <c r="DW205" s="207" t="str">
        <f>IFERROR(__xludf.DUMMYFUNCTION("IF(OR(DV205&gt;$BS205+$BT205*$BT$2,DV205&lt;$BS205-$BT205*$BT$2),AVEDEV(ARRAYFORMULA(XLOOKUP(FILTER(INDIRECT(""'""&amp;DV$1&amp;""'!$C$4:$C$66""),INDIRECT(""'""&amp;DV$1&amp;""'!$D$4:$D$66"")=DV$2),$G$4:$BQ$4,$G205:$BQ205))),"""")"),"")</f>
        <v/>
      </c>
      <c r="DX205" s="208" t="str">
        <f t="shared" si="24"/>
        <v/>
      </c>
      <c r="DY205" s="210">
        <f>IFERROR(__xludf.DUMMYFUNCTION("AVERAGE(ARRAYFORMULA(XLOOKUP(FILTER(INDIRECT(""'""&amp;DY$1&amp;""'!$C$4:$C$66""),INDIRECT(""'""&amp;DY$1&amp;""'!$D$4:$D$66"")=DY$2),$G$4:$BQ$4,$G205:$BQ205)))"),0.38152325)</f>
        <v>0.38152325</v>
      </c>
      <c r="DZ205" s="207" t="str">
        <f>IFERROR(__xludf.DUMMYFUNCTION("IF(OR(DY205&gt;$BS205+$BT205*$BT$2,DY205&lt;$BS205-$BT205*$BT$2),AVEDEV(ARRAYFORMULA(XLOOKUP(FILTER(INDIRECT(""'""&amp;DY$1&amp;""'!$C$4:$C$66""),INDIRECT(""'""&amp;DY$1&amp;""'!$D$4:$D$66"")=DY$2),$G$4:$BQ$4,$G205:$BQ205))),"""")"),"")</f>
        <v/>
      </c>
      <c r="EA205" s="208" t="str">
        <f t="shared" si="25"/>
        <v/>
      </c>
      <c r="EB205" s="191"/>
    </row>
    <row r="206" outlineLevel="1">
      <c r="A206" s="2"/>
      <c r="B206" s="204">
        <v>202.0</v>
      </c>
      <c r="C206" s="204" t="s">
        <v>646</v>
      </c>
      <c r="D206" s="204" t="s">
        <v>651</v>
      </c>
      <c r="E206" s="205" t="b">
        <f>VLOOKUP(D206,'Feature Set List'!A202:C246,2,0)</f>
        <v>1</v>
      </c>
      <c r="F206" s="205" t="b">
        <f>VLOOKUP(D206,'Feature Set List'!A202:C246,3,0)</f>
        <v>1</v>
      </c>
      <c r="G206" s="205">
        <v>0.09439266</v>
      </c>
      <c r="H206" s="205">
        <v>0.25477142</v>
      </c>
      <c r="I206" s="205">
        <v>-1.4863145</v>
      </c>
      <c r="J206" s="205">
        <v>-0.7601716</v>
      </c>
      <c r="K206" s="205">
        <v>0.1843468</v>
      </c>
      <c r="L206" s="205">
        <v>0.79567983</v>
      </c>
      <c r="M206" s="205">
        <v>-0.5731617</v>
      </c>
      <c r="N206" s="205">
        <v>0.10534103</v>
      </c>
      <c r="O206" s="205">
        <v>-0.2666075</v>
      </c>
      <c r="P206" s="205">
        <v>0.17221482</v>
      </c>
      <c r="Q206" s="205">
        <v>-0.0281107</v>
      </c>
      <c r="R206" s="205">
        <v>-0.1985501</v>
      </c>
      <c r="S206" s="205">
        <v>0.91433644</v>
      </c>
      <c r="T206" s="205">
        <v>1.0918775</v>
      </c>
      <c r="U206" s="205">
        <v>-0.8746856</v>
      </c>
      <c r="V206" s="205">
        <v>-0.3216452</v>
      </c>
      <c r="W206" s="205">
        <v>0.0</v>
      </c>
      <c r="X206" s="205">
        <v>1.009025</v>
      </c>
      <c r="Y206" s="205">
        <v>0.14380826</v>
      </c>
      <c r="Z206" s="205">
        <v>-0.0864033</v>
      </c>
      <c r="AA206" s="205">
        <v>-0.0062139</v>
      </c>
      <c r="AB206" s="205">
        <v>-1.1001627</v>
      </c>
      <c r="AC206" s="205">
        <v>0.37106081</v>
      </c>
      <c r="AD206" s="205">
        <v>0.91433644</v>
      </c>
      <c r="AE206" s="205">
        <v>0.90545939</v>
      </c>
      <c r="AF206" s="205">
        <v>0.33170587</v>
      </c>
      <c r="AG206" s="205">
        <v>0.554224</v>
      </c>
      <c r="AH206" s="205">
        <v>-0.418701</v>
      </c>
      <c r="AI206" s="205">
        <v>-0.7977511</v>
      </c>
      <c r="AJ206" s="205">
        <v>-0.5548158</v>
      </c>
      <c r="AK206" s="205">
        <v>-0.2796272</v>
      </c>
      <c r="AL206" s="205">
        <v>0.20328451</v>
      </c>
      <c r="AM206" s="205">
        <v>0.19411155</v>
      </c>
      <c r="AN206" s="205">
        <v>-0.3467969</v>
      </c>
      <c r="AO206" s="205">
        <v>-0.0659861</v>
      </c>
      <c r="AP206" s="205">
        <v>-1.3419145</v>
      </c>
      <c r="AQ206" s="205">
        <v>-0.0606599</v>
      </c>
      <c r="AR206" s="205">
        <v>1.69255807</v>
      </c>
      <c r="AS206" s="205">
        <v>-0.3642551</v>
      </c>
      <c r="AT206" s="205">
        <v>-0.5971298</v>
      </c>
      <c r="AU206" s="205">
        <v>-2.0565172</v>
      </c>
      <c r="AV206" s="205">
        <v>0.43586329</v>
      </c>
      <c r="AW206" s="205">
        <v>0.8912561</v>
      </c>
      <c r="AX206" s="205">
        <v>-0.469892</v>
      </c>
      <c r="AY206" s="205">
        <v>0.80781181</v>
      </c>
      <c r="AZ206" s="205">
        <v>-0.6122207</v>
      </c>
      <c r="BA206" s="205">
        <v>0.77970114</v>
      </c>
      <c r="BB206" s="205">
        <v>0.99422992</v>
      </c>
      <c r="BC206" s="205">
        <v>0.40775263</v>
      </c>
      <c r="BD206" s="205">
        <v>-0.3278592</v>
      </c>
      <c r="BE206" s="205">
        <v>-0.2932386</v>
      </c>
      <c r="BF206" s="205">
        <v>0.55718302</v>
      </c>
      <c r="BG206" s="205">
        <v>0.8406569</v>
      </c>
      <c r="BH206" s="205">
        <v>0.74034621</v>
      </c>
      <c r="BI206" s="205">
        <v>0.01301968</v>
      </c>
      <c r="BJ206" s="205">
        <v>-0.5193076</v>
      </c>
      <c r="BK206" s="205">
        <v>-0.6060068</v>
      </c>
      <c r="BL206" s="205">
        <v>-1.5821867</v>
      </c>
      <c r="BM206" s="205">
        <v>-0.1269419</v>
      </c>
      <c r="BN206" s="205">
        <v>0.76697736</v>
      </c>
      <c r="BO206" s="205">
        <v>0.87113478</v>
      </c>
      <c r="BP206" s="205">
        <v>-0.7607634</v>
      </c>
      <c r="BQ206" s="205">
        <v>0.04142625</v>
      </c>
      <c r="BR206" s="206"/>
      <c r="BS206" s="207">
        <f t="shared" si="6"/>
        <v>0.003099923651</v>
      </c>
      <c r="BT206" s="207">
        <f t="shared" si="7"/>
        <v>0.5709141542</v>
      </c>
      <c r="BU206" s="206"/>
      <c r="BV206" s="207">
        <f>IFERROR(__xludf.DUMMYFUNCTION("AVERAGE(ARRAYFORMULA(XLOOKUP(FILTER(INDIRECT(""'""&amp;BV$1&amp;""'!$C$4:$C$66""),INDIRECT(""'""&amp;BV$1&amp;""'!$D$4:$D$66"")=BV$2),$G$4:$BQ$4,$G206:$BQ206)))"),-7.186100000000005E-4)</f>
        <v>-0.00071861</v>
      </c>
      <c r="BW206" s="207" t="str">
        <f>IFERROR(__xludf.DUMMYFUNCTION("IF(OR(BV206&gt;$BS206+$BT206*$BT$2,BV206&lt;$BS206-$BT206*$BT$2),AVEDEV(ARRAYFORMULA(XLOOKUP(FILTER(INDIRECT(""'""&amp;BV$1&amp;""'!$C$4:$C$66""),INDIRECT(""'""&amp;BV$1&amp;""'!$D$4:$D$66"")=BV$2),$G$4:$BQ$4,$G206:$BQ206))),"""")"),"")</f>
        <v/>
      </c>
      <c r="BX206" s="208" t="str">
        <f t="shared" si="8"/>
        <v/>
      </c>
      <c r="BY206" s="207">
        <f>IFERROR(__xludf.DUMMYFUNCTION("AVERAGE(ARRAYFORMULA(XLOOKUP(FILTER(INDIRECT(""'""&amp;BY$1&amp;""'!$C$4:$C$66""),INDIRECT(""'""&amp;BY$1&amp;""'!$D$4:$D$66"")=BY$2),$G$4:$BQ$4,$G206:$BQ206)))"),0.04699906142857143)</f>
        <v>0.04699906143</v>
      </c>
      <c r="BZ206" s="207" t="str">
        <f>IFERROR(__xludf.DUMMYFUNCTION("IF(OR(BY206&gt;$BS206+$BT206*$BT$2,BY206&lt;$BS206-$BT206*$BT$2),AVEDEV(ARRAYFORMULA(XLOOKUP(FILTER(INDIRECT(""'""&amp;BY$1&amp;""'!$C$4:$C$66""),INDIRECT(""'""&amp;BY$1&amp;""'!$D$4:$D$66"")=BY$2),$G$4:$BQ$4,$G206:$BQ206))),"""")"),"")</f>
        <v/>
      </c>
      <c r="CA206" s="208" t="str">
        <f t="shared" si="9"/>
        <v/>
      </c>
      <c r="CB206" s="207">
        <f>IFERROR(__xludf.DUMMYFUNCTION("AVERAGE(ARRAYFORMULA(XLOOKUP(FILTER(INDIRECT(""'""&amp;CB$1&amp;""'!$C$4:$C$66""),INDIRECT(""'""&amp;CB$1&amp;""'!$D$4:$D$66"")=CB$2),$G$4:$BQ$4,$G206:$BQ206)))"),0.19064143454545457)</f>
        <v>0.1906414345</v>
      </c>
      <c r="CC206" s="207" t="str">
        <f>IFERROR(__xludf.DUMMYFUNCTION("IF(OR(CB206&gt;$BS206+$BT206*$BT$2,CB206&lt;$BS206-$BT206*$BT$2),AVEDEV(ARRAYFORMULA(XLOOKUP(FILTER(INDIRECT(""'""&amp;CB$1&amp;""'!$C$4:$C$66""),INDIRECT(""'""&amp;CB$1&amp;""'!$D$4:$D$66"")=CB$2),$G$4:$BQ$4,$G206:$BQ206))),"""")"),"")</f>
        <v/>
      </c>
      <c r="CD206" s="208" t="str">
        <f t="shared" si="10"/>
        <v/>
      </c>
      <c r="CE206" s="209" t="s">
        <v>444</v>
      </c>
      <c r="CF206" s="207">
        <f>IFERROR(__xludf.DUMMYFUNCTION("AVERAGE(ARRAYFORMULA(XLOOKUP(FILTER(INDIRECT(""'""&amp;CF$1&amp;""'!$C$4:$C$66""),INDIRECT(""'""&amp;CF$1&amp;""'!$D$4:$D$66"")=CF$2),$G$4:$BQ$4,$G206:$BQ206)))"),-0.03667332624999997)</f>
        <v>-0.03667332625</v>
      </c>
      <c r="CG206" s="207" t="str">
        <f>IFERROR(__xludf.DUMMYFUNCTION("IF(OR(CF206&gt;$BS206+$BT206*$BT$2,CF206&lt;$BS206-$BT206*$BT$2),AVEDEV(ARRAYFORMULA(XLOOKUP(FILTER(INDIRECT(""'""&amp;CF$1&amp;""'!$C$4:$C$66""),INDIRECT(""'""&amp;CF$1&amp;""'!$D$4:$D$66"")=CF$2),$G$4:$BQ$4,$G206:$BQ206))),"""")"),"")</f>
        <v/>
      </c>
      <c r="CH206" s="208" t="str">
        <f t="shared" si="11"/>
        <v/>
      </c>
      <c r="CI206" s="207">
        <f>IFERROR(__xludf.DUMMYFUNCTION("AVERAGE(ARRAYFORMULA(XLOOKUP(FILTER(INDIRECT(""'""&amp;CI$1&amp;""'!$C$4:$C$66""),INDIRECT(""'""&amp;CI$1&amp;""'!$D$4:$D$66"")=CI$2),$G$4:$BQ$4,$G206:$BQ206)))"),0.02291807225806452)</f>
        <v>0.02291807226</v>
      </c>
      <c r="CJ206" s="207" t="str">
        <f>IFERROR(__xludf.DUMMYFUNCTION("IF(OR(CI206&gt;$BS206+$BT206*$BT$2,CI206&lt;$BS206-$BT206*$BT$2),AVEDEV(ARRAYFORMULA(XLOOKUP(FILTER(INDIRECT(""'""&amp;CI$1&amp;""'!$C$4:$C$66""),INDIRECT(""'""&amp;CI$1&amp;""'!$D$4:$D$66"")=CI$2),$G$4:$BQ$4,$G206:$BQ206))),"""")"),"")</f>
        <v/>
      </c>
      <c r="CK206" s="208" t="str">
        <f t="shared" si="12"/>
        <v/>
      </c>
      <c r="CL206" s="207">
        <f>IFERROR(__xludf.DUMMYFUNCTION("AVERAGE(ARRAYFORMULA(XLOOKUP(FILTER(INDIRECT(""'""&amp;CL$1&amp;""'!$C$4:$C$66""),INDIRECT(""'""&amp;CL$1&amp;""'!$D$4:$D$66"")=CL$2),$G$4:$BQ$4,$G206:$BQ206)))"),0.504039052)</f>
        <v>0.504039052</v>
      </c>
      <c r="CM206" s="207" t="str">
        <f>IFERROR(__xludf.DUMMYFUNCTION("IF(OR(CL206&gt;$BS206+$BT206*$BT$2,CL206&lt;$BS206-$BT206*$BT$2),AVEDEV(ARRAYFORMULA(XLOOKUP(FILTER(INDIRECT(""'""&amp;CL$1&amp;""'!$C$4:$C$66""),INDIRECT(""'""&amp;CL$1&amp;""'!$D$4:$D$66"")=CL$2),$G$4:$BQ$4,$G206:$BQ206))),"""")"),"")</f>
        <v/>
      </c>
      <c r="CN206" s="208" t="str">
        <f t="shared" si="13"/>
        <v/>
      </c>
      <c r="CO206" s="209" t="s">
        <v>444</v>
      </c>
      <c r="CP206" s="210">
        <f>IFERROR(__xludf.DUMMYFUNCTION("AVERAGE(ARRAYFORMULA(XLOOKUP(FILTER(INDIRECT(""'""&amp;CP$1&amp;""'!$C$4:$C$66""),INDIRECT(""'""&amp;CP$1&amp;""'!$D$4:$D$66"")=CP$2),$G$4:$BQ$4,$G206:$BQ206)))"),0.07182522333333334)</f>
        <v>0.07182522333</v>
      </c>
      <c r="CQ206" s="207" t="str">
        <f>IFERROR(__xludf.DUMMYFUNCTION("IF(OR(CP206&gt;$BS206+$BT206*$BT$2,CP206&lt;$BS206-$BT206*$BT$2),AVEDEV(ARRAYFORMULA(XLOOKUP(FILTER(INDIRECT(""'""&amp;CP$1&amp;""'!$C$4:$C$66""),INDIRECT(""'""&amp;CP$1&amp;""'!$D$4:$D$66"")=CP$2),$G$4:$BQ$4,$G206:$BQ206))),"""")"),"")</f>
        <v/>
      </c>
      <c r="CR206" s="208" t="str">
        <f t="shared" si="14"/>
        <v/>
      </c>
      <c r="CS206" s="210">
        <f>IFERROR(__xludf.DUMMYFUNCTION("AVERAGE(ARRAYFORMULA(XLOOKUP(FILTER(INDIRECT(""'""&amp;CS$1&amp;""'!$C$4:$C$66""),INDIRECT(""'""&amp;CS$1&amp;""'!$D$4:$D$66"")=CS$2),$G$4:$BQ$4,$G206:$BQ206)))"),0.05257946615384617)</f>
        <v>0.05257946615</v>
      </c>
      <c r="CT206" s="207" t="str">
        <f>IFERROR(__xludf.DUMMYFUNCTION("IF(OR(CS206&gt;$BS206+$BT206*$BT$2,CS206&lt;$BS206-$BT206*$BT$2),AVEDEV(ARRAYFORMULA(XLOOKUP(FILTER(INDIRECT(""'""&amp;CS$1&amp;""'!$C$4:$C$66""),INDIRECT(""'""&amp;CS$1&amp;""'!$D$4:$D$66"")=CS$2),$G$4:$BQ$4,$G206:$BQ206))),"""")"),"")</f>
        <v/>
      </c>
      <c r="CU206" s="208" t="str">
        <f t="shared" si="15"/>
        <v/>
      </c>
      <c r="CV206" s="210">
        <f>IFERROR(__xludf.DUMMYFUNCTION("AVERAGE(ARRAYFORMULA(XLOOKUP(FILTER(INDIRECT(""'""&amp;CV$1&amp;""'!$C$4:$C$66""),INDIRECT(""'""&amp;CV$1&amp;""'!$D$4:$D$66"")=CV$2),$G$4:$BQ$4,$G206:$BQ206)))"),0.504039052)</f>
        <v>0.504039052</v>
      </c>
      <c r="CW206" s="207" t="str">
        <f>IFERROR(__xludf.DUMMYFUNCTION("IF(OR(CV206&gt;$BS206+$BT206*$BT$2,CV206&lt;$BS206-$BT206*$BT$2),AVEDEV(ARRAYFORMULA(XLOOKUP(FILTER(INDIRECT(""'""&amp;CV$1&amp;""'!$C$4:$C$66""),INDIRECT(""'""&amp;CV$1&amp;""'!$D$4:$D$66"")=CV$2),$G$4:$BQ$4,$G206:$BQ206))),"""")"),"")</f>
        <v/>
      </c>
      <c r="CX206" s="208" t="str">
        <f t="shared" si="16"/>
        <v/>
      </c>
      <c r="CY206" s="209" t="s">
        <v>444</v>
      </c>
      <c r="CZ206" s="210">
        <f>IFERROR(__xludf.DUMMYFUNCTION("AVERAGE(ARRAYFORMULA(XLOOKUP(FILTER(INDIRECT(""'""&amp;CZ$1&amp;""'!$C$4:$C$66""),INDIRECT(""'""&amp;CZ$1&amp;""'!$D$4:$D$66"")=CZ$2),$G$4:$BQ$4,$G206:$BQ206)))"),-0.0497326307142857)</f>
        <v>-0.04973263071</v>
      </c>
      <c r="DA206" s="207" t="str">
        <f>IFERROR(__xludf.DUMMYFUNCTION("IF(OR(CZ206&gt;$BS206+$BT206*$BT$2,CZ206&lt;$BS206-$BT206*$BT$2),AVEDEV(ARRAYFORMULA(XLOOKUP(FILTER(INDIRECT(""'""&amp;CZ$1&amp;""'!$C$4:$C$66""),INDIRECT(""'""&amp;CZ$1&amp;""'!$D$4:$D$66"")=CZ$2),$G$4:$BQ$4,$G206:$BQ206))),"""")"),"")</f>
        <v/>
      </c>
      <c r="DB206" s="208" t="str">
        <f t="shared" si="17"/>
        <v/>
      </c>
      <c r="DC206" s="210">
        <f>IFERROR(__xludf.DUMMYFUNCTION("AVERAGE(ARRAYFORMULA(XLOOKUP(FILTER(INDIRECT(""'""&amp;DC$1&amp;""'!$C$4:$C$66""),INDIRECT(""'""&amp;DC$1&amp;""'!$D$4:$D$66"")=DC$2),$G$4:$BQ$4,$G206:$BQ206)))"),0.31513537555555554)</f>
        <v>0.3151353756</v>
      </c>
      <c r="DD206" s="207" t="str">
        <f>IFERROR(__xludf.DUMMYFUNCTION("IF(OR(DC206&gt;$BS206+$BT206*$BT$2,DC206&lt;$BS206-$BT206*$BT$2),AVEDEV(ARRAYFORMULA(XLOOKUP(FILTER(INDIRECT(""'""&amp;DC$1&amp;""'!$C$4:$C$66""),INDIRECT(""'""&amp;DC$1&amp;""'!$D$4:$D$66"")=DC$2),$G$4:$BQ$4,$G206:$BQ206))),"""")"),"")</f>
        <v/>
      </c>
      <c r="DE206" s="208" t="str">
        <f t="shared" si="18"/>
        <v/>
      </c>
      <c r="DF206" s="210">
        <f>IFERROR(__xludf.DUMMYFUNCTION("AVERAGE(ARRAYFORMULA(XLOOKUP(FILTER(INDIRECT(""'""&amp;DF$1&amp;""'!$C$4:$C$66""),INDIRECT(""'""&amp;DF$1&amp;""'!$D$4:$D$66"")=DF$2),$G$4:$BQ$4,$G206:$BQ206)))"),0.08115778818181817)</f>
        <v>0.08115778818</v>
      </c>
      <c r="DG206" s="207" t="str">
        <f>IFERROR(__xludf.DUMMYFUNCTION("IF(OR(DF206&gt;$BS206+$BT206*$BT$2,DF206&lt;$BS206-$BT206*$BT$2),AVEDEV(ARRAYFORMULA(XLOOKUP(FILTER(INDIRECT(""'""&amp;DF$1&amp;""'!$C$4:$C$66""),INDIRECT(""'""&amp;DF$1&amp;""'!$D$4:$D$66"")=DF$2),$G$4:$BQ$4,$G206:$BQ206))),"""")"),"")</f>
        <v/>
      </c>
      <c r="DH206" s="208" t="str">
        <f t="shared" si="19"/>
        <v/>
      </c>
      <c r="DI206" s="210">
        <f>IFERROR(__xludf.DUMMYFUNCTION("AVERAGE(ARRAYFORMULA(XLOOKUP(FILTER(INDIRECT(""'""&amp;DI$1&amp;""'!$C$4:$C$66""),INDIRECT(""'""&amp;DI$1&amp;""'!$D$4:$D$66"")=DI$2),$G$4:$BQ$4,$G206:$BQ206)))"),0.827341325)</f>
        <v>0.827341325</v>
      </c>
      <c r="DJ206" s="207">
        <f>IFERROR(__xludf.DUMMYFUNCTION("IF(OR(DI206&gt;$BS206+$BT206*$BT$2,DI206&lt;$BS206-$BT206*$BT$2),AVEDEV(ARRAYFORMULA(XLOOKUP(FILTER(INDIRECT(""'""&amp;DI$1&amp;""'!$C$4:$C$66""),INDIRECT(""'""&amp;DI$1&amp;""'!$D$4:$D$66"")=DI$2),$G$4:$BQ$4,$G206:$BQ206))),"""")"),0.08699511500000001)</f>
        <v>0.086995115</v>
      </c>
      <c r="DK206" s="208">
        <f t="shared" si="20"/>
        <v>0.2533272472</v>
      </c>
      <c r="DL206" s="210">
        <f>IFERROR(__xludf.DUMMYFUNCTION("AVERAGE(ARRAYFORMULA(XLOOKUP(FILTER(INDIRECT(""'""&amp;DL$1&amp;""'!$C$4:$C$66""),INDIRECT(""'""&amp;DL$1&amp;""'!$D$4:$D$66"")=DL$2),$G$4:$BQ$4,$G206:$BQ206)))"),-0.02210809357142855)</f>
        <v>-0.02210809357</v>
      </c>
      <c r="DM206" s="207" t="str">
        <f>IFERROR(__xludf.DUMMYFUNCTION("IF(OR(DL206&gt;$BS206+$BT206*$BT$2,DL206&lt;$BS206-$BT206*$BT$2),AVEDEV(ARRAYFORMULA(XLOOKUP(FILTER(INDIRECT(""'""&amp;DL$1&amp;""'!$C$4:$C$66""),INDIRECT(""'""&amp;DL$1&amp;""'!$D$4:$D$66"")=DL$2),$G$4:$BQ$4,$G206:$BQ206))),"""")"),"")</f>
        <v/>
      </c>
      <c r="DN206" s="208" t="str">
        <f t="shared" si="21"/>
        <v/>
      </c>
      <c r="DO206" s="209" t="s">
        <v>444</v>
      </c>
      <c r="DP206" s="210">
        <f>IFERROR(__xludf.DUMMYFUNCTION("AVERAGE(ARRAYFORMULA(XLOOKUP(FILTER(INDIRECT(""'""&amp;DP$1&amp;""'!$C$4:$C$66""),INDIRECT(""'""&amp;DP$1&amp;""'!$D$4:$D$66"")=DP$2),$G$4:$BQ$4,$G206:$BQ206)))"),-0.11185086466666666)</f>
        <v>-0.1118508647</v>
      </c>
      <c r="DQ206" s="207" t="str">
        <f>IFERROR(__xludf.DUMMYFUNCTION("IF(OR(DP206&gt;$BS206+$BT206*$BT$2,DP206&lt;$BS206-$BT206*$BT$2),AVEDEV(ARRAYFORMULA(XLOOKUP(FILTER(INDIRECT(""'""&amp;DP$1&amp;""'!$C$4:$C$66""),INDIRECT(""'""&amp;DP$1&amp;""'!$D$4:$D$66"")=DP$2),$G$4:$BQ$4,$G206:$BQ206))),"""")"),"")</f>
        <v/>
      </c>
      <c r="DR206" s="208" t="str">
        <f t="shared" si="22"/>
        <v/>
      </c>
      <c r="DS206" s="210">
        <f>IFERROR(__xludf.DUMMYFUNCTION("AVERAGE(ARRAYFORMULA(XLOOKUP(FILTER(INDIRECT(""'""&amp;DS$1&amp;""'!$C$4:$C$66""),INDIRECT(""'""&amp;DS$1&amp;""'!$D$4:$D$66"")=DS$2),$G$4:$BQ$4,$G206:$BQ206)))"),0.2966250711111111)</f>
        <v>0.2966250711</v>
      </c>
      <c r="DT206" s="207" t="str">
        <f>IFERROR(__xludf.DUMMYFUNCTION("IF(OR(DS206&gt;$BS206+$BT206*$BT$2,DS206&lt;$BS206-$BT206*$BT$2),AVEDEV(ARRAYFORMULA(XLOOKUP(FILTER(INDIRECT(""'""&amp;DS$1&amp;""'!$C$4:$C$66""),INDIRECT(""'""&amp;DS$1&amp;""'!$D$4:$D$66"")=DS$2),$G$4:$BQ$4,$G206:$BQ206))),"""")"),"")</f>
        <v/>
      </c>
      <c r="DU206" s="208" t="str">
        <f t="shared" si="23"/>
        <v/>
      </c>
      <c r="DV206" s="210">
        <f>IFERROR(__xludf.DUMMYFUNCTION("AVERAGE(ARRAYFORMULA(XLOOKUP(FILTER(INDIRECT(""'""&amp;DV$1&amp;""'!$C$4:$C$66""),INDIRECT(""'""&amp;DV$1&amp;""'!$D$4:$D$66"")=DV$2),$G$4:$BQ$4,$G206:$BQ206)))"),-0.09886816875)</f>
        <v>-0.09886816875</v>
      </c>
      <c r="DW206" s="207" t="str">
        <f>IFERROR(__xludf.DUMMYFUNCTION("IF(OR(DV206&gt;$BS206+$BT206*$BT$2,DV206&lt;$BS206-$BT206*$BT$2),AVEDEV(ARRAYFORMULA(XLOOKUP(FILTER(INDIRECT(""'""&amp;DV$1&amp;""'!$C$4:$C$66""),INDIRECT(""'""&amp;DV$1&amp;""'!$D$4:$D$66"")=DV$2),$G$4:$BQ$4,$G206:$BQ206))),"""")"),"")</f>
        <v/>
      </c>
      <c r="DX206" s="208" t="str">
        <f t="shared" si="24"/>
        <v/>
      </c>
      <c r="DY206" s="210">
        <f>IFERROR(__xludf.DUMMYFUNCTION("AVERAGE(ARRAYFORMULA(XLOOKUP(FILTER(INDIRECT(""'""&amp;DY$1&amp;""'!$C$4:$C$66""),INDIRECT(""'""&amp;DY$1&amp;""'!$D$4:$D$66"")=DY$2),$G$4:$BQ$4,$G206:$BQ206)))"),0.49882460777777776)</f>
        <v>0.4988246078</v>
      </c>
      <c r="DZ206" s="207" t="str">
        <f>IFERROR(__xludf.DUMMYFUNCTION("IF(OR(DY206&gt;$BS206+$BT206*$BT$2,DY206&lt;$BS206-$BT206*$BT$2),AVEDEV(ARRAYFORMULA(XLOOKUP(FILTER(INDIRECT(""'""&amp;DY$1&amp;""'!$C$4:$C$66""),INDIRECT(""'""&amp;DY$1&amp;""'!$D$4:$D$66"")=DY$2),$G$4:$BQ$4,$G206:$BQ206))),"""")"),"")</f>
        <v/>
      </c>
      <c r="EA206" s="208" t="str">
        <f t="shared" si="25"/>
        <v/>
      </c>
      <c r="EB206" s="191"/>
    </row>
    <row r="207" outlineLevel="1">
      <c r="A207" s="2"/>
      <c r="B207" s="204">
        <v>203.0</v>
      </c>
      <c r="C207" s="204" t="s">
        <v>646</v>
      </c>
      <c r="D207" s="204" t="s">
        <v>652</v>
      </c>
      <c r="E207" s="205" t="b">
        <f>VLOOKUP(D207,'Feature Set List'!A203:C246,2,0)</f>
        <v>1</v>
      </c>
      <c r="F207" s="205" t="b">
        <f>VLOOKUP(D207,'Feature Set List'!A203:C246,3,0)</f>
        <v>0</v>
      </c>
      <c r="G207" s="205">
        <v>0.56490728</v>
      </c>
      <c r="H207" s="205">
        <v>-0.2667618</v>
      </c>
      <c r="I207" s="205">
        <v>-0.9141227</v>
      </c>
      <c r="J207" s="205">
        <v>0.51640514</v>
      </c>
      <c r="K207" s="205">
        <v>0.37375178</v>
      </c>
      <c r="L207" s="205">
        <v>0.12696148</v>
      </c>
      <c r="M207" s="205">
        <v>0.25677603</v>
      </c>
      <c r="N207" s="205">
        <v>0.59629101</v>
      </c>
      <c r="O207" s="205">
        <v>1.94721826</v>
      </c>
      <c r="P207" s="205">
        <v>-1.3584879</v>
      </c>
      <c r="Q207" s="205">
        <v>0.0</v>
      </c>
      <c r="R207" s="205">
        <v>0.25820257</v>
      </c>
      <c r="S207" s="205">
        <v>0.94864479</v>
      </c>
      <c r="T207" s="205">
        <v>-0.0042796</v>
      </c>
      <c r="U207" s="205">
        <v>1.83880171</v>
      </c>
      <c r="V207" s="205">
        <v>-0.8990014</v>
      </c>
      <c r="W207" s="205">
        <v>-0.1783167</v>
      </c>
      <c r="X207" s="205">
        <v>-0.8901569</v>
      </c>
      <c r="Y207" s="205">
        <v>0.52211127</v>
      </c>
      <c r="Z207" s="205">
        <v>0.30099857</v>
      </c>
      <c r="AA207" s="205">
        <v>0.08273894</v>
      </c>
      <c r="AB207" s="205">
        <v>-0.5805991</v>
      </c>
      <c r="AC207" s="205">
        <v>-0.146933</v>
      </c>
      <c r="AD207" s="205">
        <v>-0.9579173</v>
      </c>
      <c r="AE207" s="205">
        <v>-0.3509272</v>
      </c>
      <c r="AF207" s="205">
        <v>-0.2396576</v>
      </c>
      <c r="AG207" s="205">
        <v>0.69186876</v>
      </c>
      <c r="AH207" s="205">
        <v>0.7232525</v>
      </c>
      <c r="AI207" s="205">
        <v>-0.9493581</v>
      </c>
      <c r="AJ207" s="205">
        <v>-0.3338088</v>
      </c>
      <c r="AK207" s="205">
        <v>-0.8340942</v>
      </c>
      <c r="AL207" s="205">
        <v>-0.657632</v>
      </c>
      <c r="AM207" s="205">
        <v>1.52639087</v>
      </c>
      <c r="AN207" s="205">
        <v>-0.0071327</v>
      </c>
      <c r="AO207" s="205">
        <v>0.63480742</v>
      </c>
      <c r="AP207" s="205">
        <v>0.75891583</v>
      </c>
      <c r="AQ207" s="205">
        <v>-0.0128388</v>
      </c>
      <c r="AR207" s="205">
        <v>1.47075606</v>
      </c>
      <c r="AS207" s="205">
        <v>0.59201141</v>
      </c>
      <c r="AT207" s="205">
        <v>1.32667618</v>
      </c>
      <c r="AU207" s="205">
        <v>-2.1169757</v>
      </c>
      <c r="AV207" s="205">
        <v>-0.7684736</v>
      </c>
      <c r="AW207" s="205">
        <v>-0.7713267</v>
      </c>
      <c r="AX207" s="205">
        <v>0.04992867</v>
      </c>
      <c r="AY207" s="205">
        <v>-0.4236805</v>
      </c>
      <c r="AZ207" s="205">
        <v>0.08131241</v>
      </c>
      <c r="BA207" s="205">
        <v>0.17689016</v>
      </c>
      <c r="BB207" s="205">
        <v>1.65620542</v>
      </c>
      <c r="BC207" s="205">
        <v>1.56062767</v>
      </c>
      <c r="BD207" s="205">
        <v>-0.4094151</v>
      </c>
      <c r="BE207" s="205">
        <v>-0.2838802</v>
      </c>
      <c r="BF207" s="205">
        <v>-0.4664765</v>
      </c>
      <c r="BG207" s="205">
        <v>-0.4194009</v>
      </c>
      <c r="BH207" s="205">
        <v>-0.9261056</v>
      </c>
      <c r="BI207" s="205">
        <v>0.96148359</v>
      </c>
      <c r="BJ207" s="205">
        <v>1.29671897</v>
      </c>
      <c r="BK207" s="205">
        <v>0.54065621</v>
      </c>
      <c r="BL207" s="205">
        <v>0.0342368</v>
      </c>
      <c r="BM207" s="205">
        <v>-0.2082739</v>
      </c>
      <c r="BN207" s="205">
        <v>-0.1340942</v>
      </c>
      <c r="BO207" s="205">
        <v>0.12410842</v>
      </c>
      <c r="BP207" s="205">
        <v>-0.8</v>
      </c>
      <c r="BQ207" s="205">
        <v>-0.2667618</v>
      </c>
      <c r="BR207" s="206"/>
      <c r="BS207" s="207">
        <f t="shared" si="6"/>
        <v>0.07878993143</v>
      </c>
      <c r="BT207" s="207">
        <f t="shared" si="7"/>
        <v>0.6403677047</v>
      </c>
      <c r="BU207" s="206"/>
      <c r="BV207" s="207">
        <f>IFERROR(__xludf.DUMMYFUNCTION("AVERAGE(ARRAYFORMULA(XLOOKUP(FILTER(INDIRECT(""'""&amp;BV$1&amp;""'!$C$4:$C$66""),INDIRECT(""'""&amp;BV$1&amp;""'!$D$4:$D$66"")=BV$2),$G$4:$BQ$4,$G207:$BQ207)))"),0.36661910714285717)</f>
        <v>0.3666191071</v>
      </c>
      <c r="BW207" s="207" t="str">
        <f>IFERROR(__xludf.DUMMYFUNCTION("IF(OR(BV207&gt;$BS207+$BT207*$BT$2,BV207&lt;$BS207-$BT207*$BT$2),AVEDEV(ARRAYFORMULA(XLOOKUP(FILTER(INDIRECT(""'""&amp;BV$1&amp;""'!$C$4:$C$66""),INDIRECT(""'""&amp;BV$1&amp;""'!$D$4:$D$66"")=BV$2),$G$4:$BQ$4,$G207:$BQ207))),"""")"),"")</f>
        <v/>
      </c>
      <c r="BX207" s="208" t="str">
        <f t="shared" si="8"/>
        <v/>
      </c>
      <c r="BY207" s="207">
        <f>IFERROR(__xludf.DUMMYFUNCTION("AVERAGE(ARRAYFORMULA(XLOOKUP(FILTER(INDIRECT(""'""&amp;BY$1&amp;""'!$C$4:$C$66""),INDIRECT(""'""&amp;BY$1&amp;""'!$D$4:$D$66"")=BY$2),$G$4:$BQ$4,$G207:$BQ207)))"),0.14519053571428572)</f>
        <v>0.1451905357</v>
      </c>
      <c r="BZ207" s="207" t="str">
        <f>IFERROR(__xludf.DUMMYFUNCTION("IF(OR(BY207&gt;$BS207+$BT207*$BT$2,BY207&lt;$BS207-$BT207*$BT$2),AVEDEV(ARRAYFORMULA(XLOOKUP(FILTER(INDIRECT(""'""&amp;BY$1&amp;""'!$C$4:$C$66""),INDIRECT(""'""&amp;BY$1&amp;""'!$D$4:$D$66"")=BY$2),$G$4:$BQ$4,$G207:$BQ207))),"""")"),"")</f>
        <v/>
      </c>
      <c r="CA207" s="208" t="str">
        <f t="shared" si="9"/>
        <v/>
      </c>
      <c r="CB207" s="207">
        <f>IFERROR(__xludf.DUMMYFUNCTION("AVERAGE(ARRAYFORMULA(XLOOKUP(FILTER(INDIRECT(""'""&amp;CB$1&amp;""'!$C$4:$C$66""),INDIRECT(""'""&amp;CB$1&amp;""'!$D$4:$D$66"")=CB$2),$G$4:$BQ$4,$G207:$BQ207)))"),-0.023641551818181818)</f>
        <v>-0.02364155182</v>
      </c>
      <c r="CC207" s="207" t="str">
        <f>IFERROR(__xludf.DUMMYFUNCTION("IF(OR(CB207&gt;$BS207+$BT207*$BT$2,CB207&lt;$BS207-$BT207*$BT$2),AVEDEV(ARRAYFORMULA(XLOOKUP(FILTER(INDIRECT(""'""&amp;CB$1&amp;""'!$C$4:$C$66""),INDIRECT(""'""&amp;CB$1&amp;""'!$D$4:$D$66"")=CB$2),$G$4:$BQ$4,$G207:$BQ207))),"""")"),"")</f>
        <v/>
      </c>
      <c r="CD207" s="208" t="str">
        <f t="shared" si="10"/>
        <v/>
      </c>
      <c r="CE207" s="209" t="s">
        <v>444</v>
      </c>
      <c r="CF207" s="207">
        <f>IFERROR(__xludf.DUMMYFUNCTION("AVERAGE(ARRAYFORMULA(XLOOKUP(FILTER(INDIRECT(""'""&amp;CF$1&amp;""'!$C$4:$C$66""),INDIRECT(""'""&amp;CF$1&amp;""'!$D$4:$D$66"")=CF$2),$G$4:$BQ$4,$G207:$BQ207)))"),0.200508195625)</f>
        <v>0.2005081956</v>
      </c>
      <c r="CG207" s="207" t="str">
        <f>IFERROR(__xludf.DUMMYFUNCTION("IF(OR(CF207&gt;$BS207+$BT207*$BT$2,CF207&lt;$BS207-$BT207*$BT$2),AVEDEV(ARRAYFORMULA(XLOOKUP(FILTER(INDIRECT(""'""&amp;CF$1&amp;""'!$C$4:$C$66""),INDIRECT(""'""&amp;CF$1&amp;""'!$D$4:$D$66"")=CF$2),$G$4:$BQ$4,$G207:$BQ207))),"""")"),"")</f>
        <v/>
      </c>
      <c r="CH207" s="208" t="str">
        <f t="shared" si="11"/>
        <v/>
      </c>
      <c r="CI207" s="207">
        <f>IFERROR(__xludf.DUMMYFUNCTION("AVERAGE(ARRAYFORMULA(XLOOKUP(FILTER(INDIRECT(""'""&amp;CI$1&amp;""'!$C$4:$C$66""),INDIRECT(""'""&amp;CI$1&amp;""'!$D$4:$D$66"")=CI$2),$G$4:$BQ$4,$G207:$BQ207)))"),0.14287422677419354)</f>
        <v>0.1428742268</v>
      </c>
      <c r="CJ207" s="207" t="str">
        <f>IFERROR(__xludf.DUMMYFUNCTION("IF(OR(CI207&gt;$BS207+$BT207*$BT$2,CI207&lt;$BS207-$BT207*$BT$2),AVEDEV(ARRAYFORMULA(XLOOKUP(FILTER(INDIRECT(""'""&amp;CI$1&amp;""'!$C$4:$C$66""),INDIRECT(""'""&amp;CI$1&amp;""'!$D$4:$D$66"")=CI$2),$G$4:$BQ$4,$G207:$BQ207))),"""")"),"")</f>
        <v/>
      </c>
      <c r="CK207" s="208" t="str">
        <f t="shared" si="12"/>
        <v/>
      </c>
      <c r="CL207" s="207">
        <f>IFERROR(__xludf.DUMMYFUNCTION("AVERAGE(ARRAYFORMULA(XLOOKUP(FILTER(INDIRECT(""'""&amp;CL$1&amp;""'!$C$4:$C$66""),INDIRECT(""'""&amp;CL$1&amp;""'!$D$4:$D$66"")=CL$2),$G$4:$BQ$4,$G207:$BQ207)))"),-0.20265336600000006)</f>
        <v>-0.202653366</v>
      </c>
      <c r="CM207" s="207" t="str">
        <f>IFERROR(__xludf.DUMMYFUNCTION("IF(OR(CL207&gt;$BS207+$BT207*$BT$2,CL207&lt;$BS207-$BT207*$BT$2),AVEDEV(ARRAYFORMULA(XLOOKUP(FILTER(INDIRECT(""'""&amp;CL$1&amp;""'!$C$4:$C$66""),INDIRECT(""'""&amp;CL$1&amp;""'!$D$4:$D$66"")=CL$2),$G$4:$BQ$4,$G207:$BQ207))),"""")"),"")</f>
        <v/>
      </c>
      <c r="CN207" s="208" t="str">
        <f t="shared" si="13"/>
        <v/>
      </c>
      <c r="CO207" s="209" t="s">
        <v>444</v>
      </c>
      <c r="CP207" s="210">
        <f>IFERROR(__xludf.DUMMYFUNCTION("AVERAGE(ARRAYFORMULA(XLOOKUP(FILTER(INDIRECT(""'""&amp;CP$1&amp;""'!$C$4:$C$66""),INDIRECT(""'""&amp;CP$1&amp;""'!$D$4:$D$66"")=CP$2),$G$4:$BQ$4,$G207:$BQ207)))"),0.3316214953333333)</f>
        <v>0.3316214953</v>
      </c>
      <c r="CQ207" s="207" t="str">
        <f>IFERROR(__xludf.DUMMYFUNCTION("IF(OR(CP207&gt;$BS207+$BT207*$BT$2,CP207&lt;$BS207-$BT207*$BT$2),AVEDEV(ARRAYFORMULA(XLOOKUP(FILTER(INDIRECT(""'""&amp;CP$1&amp;""'!$C$4:$C$66""),INDIRECT(""'""&amp;CP$1&amp;""'!$D$4:$D$66"")=CP$2),$G$4:$BQ$4,$G207:$BQ207))),"""")"),"")</f>
        <v/>
      </c>
      <c r="CR207" s="208" t="str">
        <f t="shared" si="14"/>
        <v/>
      </c>
      <c r="CS207" s="210">
        <f>IFERROR(__xludf.DUMMYFUNCTION("AVERAGE(ARRAYFORMULA(XLOOKUP(FILTER(INDIRECT(""'""&amp;CS$1&amp;""'!$C$4:$C$66""),INDIRECT(""'""&amp;CS$1&amp;""'!$D$4:$D$66"")=CS$2),$G$4:$BQ$4,$G207:$BQ207)))"),0.11305094307692307)</f>
        <v>0.1130509431</v>
      </c>
      <c r="CT207" s="207" t="str">
        <f>IFERROR(__xludf.DUMMYFUNCTION("IF(OR(CS207&gt;$BS207+$BT207*$BT$2,CS207&lt;$BS207-$BT207*$BT$2),AVEDEV(ARRAYFORMULA(XLOOKUP(FILTER(INDIRECT(""'""&amp;CS$1&amp;""'!$C$4:$C$66""),INDIRECT(""'""&amp;CS$1&amp;""'!$D$4:$D$66"")=CS$2),$G$4:$BQ$4,$G207:$BQ207))),"""")"),"")</f>
        <v/>
      </c>
      <c r="CU207" s="208" t="str">
        <f t="shared" si="15"/>
        <v/>
      </c>
      <c r="CV207" s="210">
        <f>IFERROR(__xludf.DUMMYFUNCTION("AVERAGE(ARRAYFORMULA(XLOOKUP(FILTER(INDIRECT(""'""&amp;CV$1&amp;""'!$C$4:$C$66""),INDIRECT(""'""&amp;CV$1&amp;""'!$D$4:$D$66"")=CV$2),$G$4:$BQ$4,$G207:$BQ207)))"),-0.20265336600000006)</f>
        <v>-0.202653366</v>
      </c>
      <c r="CW207" s="207" t="str">
        <f>IFERROR(__xludf.DUMMYFUNCTION("IF(OR(CV207&gt;$BS207+$BT207*$BT$2,CV207&lt;$BS207-$BT207*$BT$2),AVEDEV(ARRAYFORMULA(XLOOKUP(FILTER(INDIRECT(""'""&amp;CV$1&amp;""'!$C$4:$C$66""),INDIRECT(""'""&amp;CV$1&amp;""'!$D$4:$D$66"")=CV$2),$G$4:$BQ$4,$G207:$BQ207))),"""")"),"")</f>
        <v/>
      </c>
      <c r="CX207" s="208" t="str">
        <f t="shared" si="16"/>
        <v/>
      </c>
      <c r="CY207" s="209" t="s">
        <v>444</v>
      </c>
      <c r="CZ207" s="210">
        <f>IFERROR(__xludf.DUMMYFUNCTION("AVERAGE(ARRAYFORMULA(XLOOKUP(FILTER(INDIRECT(""'""&amp;CZ$1&amp;""'!$C$4:$C$66""),INDIRECT(""'""&amp;CZ$1&amp;""'!$D$4:$D$66"")=CZ$2),$G$4:$BQ$4,$G207:$BQ207)))"),-0.15030569642857142)</f>
        <v>-0.1503056964</v>
      </c>
      <c r="DA207" s="207" t="str">
        <f>IFERROR(__xludf.DUMMYFUNCTION("IF(OR(CZ207&gt;$BS207+$BT207*$BT$2,CZ207&lt;$BS207-$BT207*$BT$2),AVEDEV(ARRAYFORMULA(XLOOKUP(FILTER(INDIRECT(""'""&amp;CZ$1&amp;""'!$C$4:$C$66""),INDIRECT(""'""&amp;CZ$1&amp;""'!$D$4:$D$66"")=CZ$2),$G$4:$BQ$4,$G207:$BQ207))),"""")"),"")</f>
        <v/>
      </c>
      <c r="DB207" s="208" t="str">
        <f t="shared" si="17"/>
        <v/>
      </c>
      <c r="DC207" s="210">
        <f>IFERROR(__xludf.DUMMYFUNCTION("AVERAGE(ARRAYFORMULA(XLOOKUP(FILTER(INDIRECT(""'""&amp;DC$1&amp;""'!$C$4:$C$66""),INDIRECT(""'""&amp;DC$1&amp;""'!$D$4:$D$66"")=DC$2),$G$4:$BQ$4,$G207:$BQ207)))"),-0.014788397777777802)</f>
        <v>-0.01478839778</v>
      </c>
      <c r="DD207" s="207" t="str">
        <f>IFERROR(__xludf.DUMMYFUNCTION("IF(OR(DC207&gt;$BS207+$BT207*$BT$2,DC207&lt;$BS207-$BT207*$BT$2),AVEDEV(ARRAYFORMULA(XLOOKUP(FILTER(INDIRECT(""'""&amp;DC$1&amp;""'!$C$4:$C$66""),INDIRECT(""'""&amp;DC$1&amp;""'!$D$4:$D$66"")=DC$2),$G$4:$BQ$4,$G207:$BQ207))),"""")"),"")</f>
        <v/>
      </c>
      <c r="DE207" s="208" t="str">
        <f t="shared" si="18"/>
        <v/>
      </c>
      <c r="DF207" s="210">
        <f>IFERROR(__xludf.DUMMYFUNCTION("AVERAGE(ARRAYFORMULA(XLOOKUP(FILTER(INDIRECT(""'""&amp;DF$1&amp;""'!$C$4:$C$66""),INDIRECT(""'""&amp;DF$1&amp;""'!$D$4:$D$66"")=DF$2),$G$4:$BQ$4,$G207:$BQ207)))"),0.2634288645454545)</f>
        <v>0.2634288645</v>
      </c>
      <c r="DG207" s="207" t="str">
        <f>IFERROR(__xludf.DUMMYFUNCTION("IF(OR(DF207&gt;$BS207+$BT207*$BT$2,DF207&lt;$BS207-$BT207*$BT$2),AVEDEV(ARRAYFORMULA(XLOOKUP(FILTER(INDIRECT(""'""&amp;DF$1&amp;""'!$C$4:$C$66""),INDIRECT(""'""&amp;DF$1&amp;""'!$D$4:$D$66"")=DF$2),$G$4:$BQ$4,$G207:$BQ207))),"""")"),"")</f>
        <v/>
      </c>
      <c r="DH207" s="208" t="str">
        <f t="shared" si="19"/>
        <v/>
      </c>
      <c r="DI207" s="210">
        <f>IFERROR(__xludf.DUMMYFUNCTION("AVERAGE(ARRAYFORMULA(XLOOKUP(FILTER(INDIRECT(""'""&amp;DI$1&amp;""'!$C$4:$C$66""),INDIRECT(""'""&amp;DI$1&amp;""'!$D$4:$D$66"")=DI$2),$G$4:$BQ$4,$G207:$BQ207)))"),-0.94201145)</f>
        <v>-0.94201145</v>
      </c>
      <c r="DJ207" s="207">
        <f>IFERROR(__xludf.DUMMYFUNCTION("IF(OR(DI207&gt;$BS207+$BT207*$BT$2,DI207&lt;$BS207-$BT207*$BT$2),AVEDEV(ARRAYFORMULA(XLOOKUP(FILTER(INDIRECT(""'""&amp;DI$1&amp;""'!$C$4:$C$66""),INDIRECT(""'""&amp;DI$1&amp;""'!$D$4:$D$66"")=DI$2),$G$4:$BQ$4,$G207:$BQ207))),"""")"),0.01590585)</f>
        <v>0.01590585</v>
      </c>
      <c r="DK207" s="208">
        <f t="shared" si="20"/>
        <v>-0.3804336767</v>
      </c>
      <c r="DL207" s="210">
        <f>IFERROR(__xludf.DUMMYFUNCTION("AVERAGE(ARRAYFORMULA(XLOOKUP(FILTER(INDIRECT(""'""&amp;DL$1&amp;""'!$C$4:$C$66""),INDIRECT(""'""&amp;DL$1&amp;""'!$D$4:$D$66"")=DL$2),$G$4:$BQ$4,$G207:$BQ207)))"),0.4502954900000001)</f>
        <v>0.45029549</v>
      </c>
      <c r="DM207" s="207" t="str">
        <f>IFERROR(__xludf.DUMMYFUNCTION("IF(OR(DL207&gt;$BS207+$BT207*$BT$2,DL207&lt;$BS207-$BT207*$BT$2),AVEDEV(ARRAYFORMULA(XLOOKUP(FILTER(INDIRECT(""'""&amp;DL$1&amp;""'!$C$4:$C$66""),INDIRECT(""'""&amp;DL$1&amp;""'!$D$4:$D$66"")=DL$2),$G$4:$BQ$4,$G207:$BQ207))),"""")"),"")</f>
        <v/>
      </c>
      <c r="DN207" s="208" t="str">
        <f t="shared" si="21"/>
        <v/>
      </c>
      <c r="DO207" s="209" t="s">
        <v>444</v>
      </c>
      <c r="DP207" s="210">
        <f>IFERROR(__xludf.DUMMYFUNCTION("AVERAGE(ARRAYFORMULA(XLOOKUP(FILTER(INDIRECT(""'""&amp;DP$1&amp;""'!$C$4:$C$66""),INDIRECT(""'""&amp;DP$1&amp;""'!$D$4:$D$66"")=DP$2),$G$4:$BQ$4,$G207:$BQ207)))"),0.14706608666666668)</f>
        <v>0.1470660867</v>
      </c>
      <c r="DQ207" s="207" t="str">
        <f>IFERROR(__xludf.DUMMYFUNCTION("IF(OR(DP207&gt;$BS207+$BT207*$BT$2,DP207&lt;$BS207-$BT207*$BT$2),AVEDEV(ARRAYFORMULA(XLOOKUP(FILTER(INDIRECT(""'""&amp;DP$1&amp;""'!$C$4:$C$66""),INDIRECT(""'""&amp;DP$1&amp;""'!$D$4:$D$66"")=DP$2),$G$4:$BQ$4,$G207:$BQ207))),"""")"),"")</f>
        <v/>
      </c>
      <c r="DR207" s="208" t="str">
        <f t="shared" si="22"/>
        <v/>
      </c>
      <c r="DS207" s="210">
        <f>IFERROR(__xludf.DUMMYFUNCTION("AVERAGE(ARRAYFORMULA(XLOOKUP(FILTER(INDIRECT(""'""&amp;DS$1&amp;""'!$C$4:$C$66""),INDIRECT(""'""&amp;DS$1&amp;""'!$D$4:$D$66"")=DS$2),$G$4:$BQ$4,$G207:$BQ207)))"),-0.15469963888888894)</f>
        <v>-0.1546996389</v>
      </c>
      <c r="DT207" s="207" t="str">
        <f>IFERROR(__xludf.DUMMYFUNCTION("IF(OR(DS207&gt;$BS207+$BT207*$BT$2,DS207&lt;$BS207-$BT207*$BT$2),AVEDEV(ARRAYFORMULA(XLOOKUP(FILTER(INDIRECT(""'""&amp;DS$1&amp;""'!$C$4:$C$66""),INDIRECT(""'""&amp;DS$1&amp;""'!$D$4:$D$66"")=DS$2),$G$4:$BQ$4,$G207:$BQ207))),"""")"),"")</f>
        <v/>
      </c>
      <c r="DU207" s="208" t="str">
        <f t="shared" si="23"/>
        <v/>
      </c>
      <c r="DV207" s="210">
        <f>IFERROR(__xludf.DUMMYFUNCTION("AVERAGE(ARRAYFORMULA(XLOOKUP(FILTER(INDIRECT(""'""&amp;DV$1&amp;""'!$C$4:$C$66""),INDIRECT(""'""&amp;DV$1&amp;""'!$D$4:$D$66"")=DV$2),$G$4:$BQ$4,$G207:$BQ207)))"),0.5499286725)</f>
        <v>0.5499286725</v>
      </c>
      <c r="DW207" s="207" t="str">
        <f>IFERROR(__xludf.DUMMYFUNCTION("IF(OR(DV207&gt;$BS207+$BT207*$BT$2,DV207&lt;$BS207-$BT207*$BT$2),AVEDEV(ARRAYFORMULA(XLOOKUP(FILTER(INDIRECT(""'""&amp;DV$1&amp;""'!$C$4:$C$66""),INDIRECT(""'""&amp;DV$1&amp;""'!$D$4:$D$66"")=DV$2),$G$4:$BQ$4,$G207:$BQ207))),"""")"),"")</f>
        <v/>
      </c>
      <c r="DX207" s="208" t="str">
        <f t="shared" si="24"/>
        <v/>
      </c>
      <c r="DY207" s="210">
        <f>IFERROR(__xludf.DUMMYFUNCTION("AVERAGE(ARRAYFORMULA(XLOOKUP(FILTER(INDIRECT(""'""&amp;DY$1&amp;""'!$C$4:$C$66""),INDIRECT(""'""&amp;DY$1&amp;""'!$D$4:$D$66"")=DY$2),$G$4:$BQ$4,$G207:$BQ207)))"),-0.029386603333333355)</f>
        <v>-0.02938660333</v>
      </c>
      <c r="DZ207" s="207" t="str">
        <f>IFERROR(__xludf.DUMMYFUNCTION("IF(OR(DY207&gt;$BS207+$BT207*$BT$2,DY207&lt;$BS207-$BT207*$BT$2),AVEDEV(ARRAYFORMULA(XLOOKUP(FILTER(INDIRECT(""'""&amp;DY$1&amp;""'!$C$4:$C$66""),INDIRECT(""'""&amp;DY$1&amp;""'!$D$4:$D$66"")=DY$2),$G$4:$BQ$4,$G207:$BQ207))),"""")"),"")</f>
        <v/>
      </c>
      <c r="EA207" s="208" t="str">
        <f t="shared" si="25"/>
        <v/>
      </c>
      <c r="EB207" s="191"/>
    </row>
    <row r="208" outlineLevel="1">
      <c r="A208" s="2"/>
      <c r="B208" s="204">
        <v>204.0</v>
      </c>
      <c r="C208" s="204" t="s">
        <v>646</v>
      </c>
      <c r="D208" s="204" t="s">
        <v>653</v>
      </c>
      <c r="E208" s="205" t="b">
        <f>VLOOKUP(D208,'Feature Set List'!A204:C246,2,0)</f>
        <v>1</v>
      </c>
      <c r="F208" s="205" t="b">
        <f>VLOOKUP(D208,'Feature Set List'!A204:C246,3,0)</f>
        <v>1</v>
      </c>
      <c r="G208" s="205">
        <v>0.78151261</v>
      </c>
      <c r="H208" s="205">
        <v>1.03361345</v>
      </c>
      <c r="I208" s="205">
        <v>1.46554622</v>
      </c>
      <c r="J208" s="205">
        <v>-0.6310924</v>
      </c>
      <c r="K208" s="205">
        <v>1.07394958</v>
      </c>
      <c r="L208" s="205">
        <v>-0.0495798</v>
      </c>
      <c r="M208" s="205">
        <v>-1.0806723</v>
      </c>
      <c r="N208" s="205">
        <v>0.48151261</v>
      </c>
      <c r="O208" s="205">
        <v>0.13865546</v>
      </c>
      <c r="P208" s="205">
        <v>2.15462185</v>
      </c>
      <c r="Q208" s="205">
        <v>-1.1815126</v>
      </c>
      <c r="R208" s="205">
        <v>0.26134454</v>
      </c>
      <c r="S208" s="205">
        <v>0.20588235</v>
      </c>
      <c r="T208" s="205">
        <v>0.46554622</v>
      </c>
      <c r="U208" s="205">
        <v>2.71764706</v>
      </c>
      <c r="V208" s="205">
        <v>-0.1546218</v>
      </c>
      <c r="W208" s="205">
        <v>-0.410084</v>
      </c>
      <c r="X208" s="205">
        <v>-0.9764706</v>
      </c>
      <c r="Y208" s="205">
        <v>0.12436975</v>
      </c>
      <c r="Z208" s="205">
        <v>-0.9201681</v>
      </c>
      <c r="AA208" s="205">
        <v>-1.1252101</v>
      </c>
      <c r="AB208" s="205">
        <v>0.06302521</v>
      </c>
      <c r="AC208" s="205">
        <v>-0.202521</v>
      </c>
      <c r="AD208" s="205">
        <v>-0.9243697</v>
      </c>
      <c r="AE208" s="205">
        <v>0.32773109</v>
      </c>
      <c r="AF208" s="205">
        <v>0.00672269</v>
      </c>
      <c r="AG208" s="205">
        <v>-1.2092437</v>
      </c>
      <c r="AH208" s="205">
        <v>-0.2361345</v>
      </c>
      <c r="AI208" s="205">
        <v>0.36386555</v>
      </c>
      <c r="AJ208" s="205">
        <v>0.36470588</v>
      </c>
      <c r="AK208" s="205">
        <v>-1.010084</v>
      </c>
      <c r="AL208" s="205">
        <v>1.98319328</v>
      </c>
      <c r="AM208" s="205">
        <v>0.0</v>
      </c>
      <c r="AN208" s="205">
        <v>-0.2016807</v>
      </c>
      <c r="AO208" s="205">
        <v>-0.5731092</v>
      </c>
      <c r="AP208" s="205">
        <v>-0.7151261</v>
      </c>
      <c r="AQ208" s="205">
        <v>-0.7890756</v>
      </c>
      <c r="AR208" s="205">
        <v>2.94621849</v>
      </c>
      <c r="AS208" s="205">
        <v>4.58319328</v>
      </c>
      <c r="AT208" s="205">
        <v>0.77058824</v>
      </c>
      <c r="AU208" s="205">
        <v>-2.3554622</v>
      </c>
      <c r="AV208" s="205">
        <v>-0.2756303</v>
      </c>
      <c r="AW208" s="205">
        <v>0.41428571</v>
      </c>
      <c r="AX208" s="205">
        <v>0.28571429</v>
      </c>
      <c r="AY208" s="205">
        <v>1.21008403</v>
      </c>
      <c r="AZ208" s="205">
        <v>0.25630252</v>
      </c>
      <c r="BA208" s="205">
        <v>0.05378151</v>
      </c>
      <c r="BB208" s="205">
        <v>-0.9747899</v>
      </c>
      <c r="BC208" s="205">
        <v>0.21596639</v>
      </c>
      <c r="BD208" s="205">
        <v>-1.1957983</v>
      </c>
      <c r="BE208" s="205">
        <v>0.07983193</v>
      </c>
      <c r="BF208" s="205">
        <v>-0.2403361</v>
      </c>
      <c r="BG208" s="205">
        <v>-0.3571429</v>
      </c>
      <c r="BH208" s="205">
        <v>-0.8109244</v>
      </c>
      <c r="BI208" s="205">
        <v>1.4605042</v>
      </c>
      <c r="BJ208" s="205">
        <v>3.40252101</v>
      </c>
      <c r="BK208" s="205">
        <v>-0.4798319</v>
      </c>
      <c r="BL208" s="205">
        <v>0.38151261</v>
      </c>
      <c r="BM208" s="205">
        <v>-0.9394958</v>
      </c>
      <c r="BN208" s="205">
        <v>-0.1445378</v>
      </c>
      <c r="BO208" s="205">
        <v>-0.0840336</v>
      </c>
      <c r="BP208" s="205">
        <v>-0.0579832</v>
      </c>
      <c r="BQ208" s="205">
        <v>-0.4268908</v>
      </c>
      <c r="BR208" s="206"/>
      <c r="BS208" s="207">
        <f t="shared" si="6"/>
        <v>0.1482593049</v>
      </c>
      <c r="BT208" s="207">
        <f t="shared" si="7"/>
        <v>0.8222565218</v>
      </c>
      <c r="BU208" s="206"/>
      <c r="BV208" s="207">
        <f>IFERROR(__xludf.DUMMYFUNCTION("AVERAGE(ARRAYFORMULA(XLOOKUP(FILTER(INDIRECT(""'""&amp;BV$1&amp;""'!$C$4:$C$66""),INDIRECT(""'""&amp;BV$1&amp;""'!$D$4:$D$66"")=BV$2),$G$4:$BQ$4,$G208:$BQ208)))"),0.2663865614285715)</f>
        <v>0.2663865614</v>
      </c>
      <c r="BW208" s="207" t="str">
        <f>IFERROR(__xludf.DUMMYFUNCTION("IF(OR(BV208&gt;$BS208+$BT208*$BT$2,BV208&lt;$BS208-$BT208*$BT$2),AVEDEV(ARRAYFORMULA(XLOOKUP(FILTER(INDIRECT(""'""&amp;BV$1&amp;""'!$C$4:$C$66""),INDIRECT(""'""&amp;BV$1&amp;""'!$D$4:$D$66"")=BV$2),$G$4:$BQ$4,$G208:$BQ208))),"""")"),"")</f>
        <v/>
      </c>
      <c r="BX208" s="208" t="str">
        <f t="shared" si="8"/>
        <v/>
      </c>
      <c r="BY208" s="207">
        <f>IFERROR(__xludf.DUMMYFUNCTION("AVERAGE(ARRAYFORMULA(XLOOKUP(FILTER(INDIRECT(""'""&amp;BY$1&amp;""'!$C$4:$C$66""),INDIRECT(""'""&amp;BY$1&amp;""'!$D$4:$D$66"")=BY$2),$G$4:$BQ$4,$G208:$BQ208)))"),0.19519807880952378)</f>
        <v>0.1951980788</v>
      </c>
      <c r="BZ208" s="207" t="str">
        <f>IFERROR(__xludf.DUMMYFUNCTION("IF(OR(BY208&gt;$BS208+$BT208*$BT$2,BY208&lt;$BS208-$BT208*$BT$2),AVEDEV(ARRAYFORMULA(XLOOKUP(FILTER(INDIRECT(""'""&amp;BY$1&amp;""'!$C$4:$C$66""),INDIRECT(""'""&amp;BY$1&amp;""'!$D$4:$D$66"")=BY$2),$G$4:$BQ$4,$G208:$BQ208))),"""")"),"")</f>
        <v/>
      </c>
      <c r="CA208" s="208" t="str">
        <f t="shared" si="9"/>
        <v/>
      </c>
      <c r="CB208" s="207">
        <f>IFERROR(__xludf.DUMMYFUNCTION("AVERAGE(ARRAYFORMULA(XLOOKUP(FILTER(INDIRECT(""'""&amp;CB$1&amp;""'!$C$4:$C$66""),INDIRECT(""'""&amp;CB$1&amp;""'!$D$4:$D$66"")=CB$2),$G$4:$BQ$4,$G208:$BQ208)))"),0.12391138636363636)</f>
        <v>0.1239113864</v>
      </c>
      <c r="CC208" s="207" t="str">
        <f>IFERROR(__xludf.DUMMYFUNCTION("IF(OR(CB208&gt;$BS208+$BT208*$BT$2,CB208&lt;$BS208-$BT208*$BT$2),AVEDEV(ARRAYFORMULA(XLOOKUP(FILTER(INDIRECT(""'""&amp;CB$1&amp;""'!$C$4:$C$66""),INDIRECT(""'""&amp;CB$1&amp;""'!$D$4:$D$66"")=CB$2),$G$4:$BQ$4,$G208:$BQ208))),"""")"),"")</f>
        <v/>
      </c>
      <c r="CD208" s="208" t="str">
        <f t="shared" si="10"/>
        <v/>
      </c>
      <c r="CE208" s="209" t="s">
        <v>444</v>
      </c>
      <c r="CF208" s="207">
        <f>IFERROR(__xludf.DUMMYFUNCTION("AVERAGE(ARRAYFORMULA(XLOOKUP(FILTER(INDIRECT(""'""&amp;CF$1&amp;""'!$C$4:$C$66""),INDIRECT(""'""&amp;CF$1&amp;""'!$D$4:$D$66"")=CF$2),$G$4:$BQ$4,$G208:$BQ208)))"),0.09117648062500003)</f>
        <v>0.09117648063</v>
      </c>
      <c r="CG208" s="207" t="str">
        <f>IFERROR(__xludf.DUMMYFUNCTION("IF(OR(CF208&gt;$BS208+$BT208*$BT$2,CF208&lt;$BS208-$BT208*$BT$2),AVEDEV(ARRAYFORMULA(XLOOKUP(FILTER(INDIRECT(""'""&amp;CF$1&amp;""'!$C$4:$C$66""),INDIRECT(""'""&amp;CF$1&amp;""'!$D$4:$D$66"")=CF$2),$G$4:$BQ$4,$G208:$BQ208))),"""")"),"")</f>
        <v/>
      </c>
      <c r="CH208" s="208" t="str">
        <f t="shared" si="11"/>
        <v/>
      </c>
      <c r="CI208" s="207">
        <f>IFERROR(__xludf.DUMMYFUNCTION("AVERAGE(ARRAYFORMULA(XLOOKUP(FILTER(INDIRECT(""'""&amp;CI$1&amp;""'!$C$4:$C$66""),INDIRECT(""'""&amp;CI$1&amp;""'!$D$4:$D$66"")=CI$2),$G$4:$BQ$4,$G208:$BQ208)))"),0.040173485161290316)</f>
        <v>0.04017348516</v>
      </c>
      <c r="CJ208" s="207" t="str">
        <f>IFERROR(__xludf.DUMMYFUNCTION("IF(OR(CI208&gt;$BS208+$BT208*$BT$2,CI208&lt;$BS208-$BT208*$BT$2),AVEDEV(ARRAYFORMULA(XLOOKUP(FILTER(INDIRECT(""'""&amp;CI$1&amp;""'!$C$4:$C$66""),INDIRECT(""'""&amp;CI$1&amp;""'!$D$4:$D$66"")=CI$2),$G$4:$BQ$4,$G208:$BQ208))),"""")"),"")</f>
        <v/>
      </c>
      <c r="CK208" s="208" t="str">
        <f t="shared" si="12"/>
        <v/>
      </c>
      <c r="CL208" s="207">
        <f>IFERROR(__xludf.DUMMYFUNCTION("AVERAGE(ARRAYFORMULA(XLOOKUP(FILTER(INDIRECT(""'""&amp;CL$1&amp;""'!$C$4:$C$66""),INDIRECT(""'""&amp;CL$1&amp;""'!$D$4:$D$66"")=CL$2),$G$4:$BQ$4,$G208:$BQ208)))"),1.379999992)</f>
        <v>1.379999992</v>
      </c>
      <c r="CM208" s="207">
        <f>IFERROR(__xludf.DUMMYFUNCTION("IF(OR(CL208&gt;$BS208+$BT208*$BT$2,CL208&lt;$BS208-$BT208*$BT$2),AVEDEV(ARRAYFORMULA(XLOOKUP(FILTER(INDIRECT(""'""&amp;CL$1&amp;""'!$C$4:$C$66""),INDIRECT(""'""&amp;CL$1&amp;""'!$D$4:$D$66"")=CL$2),$G$4:$BQ$4,$G208:$BQ208))),"""")"),1.5911260583999998)</f>
        <v>1.591126058</v>
      </c>
      <c r="CN208" s="208">
        <f t="shared" si="13"/>
        <v>0.4094841653</v>
      </c>
      <c r="CO208" s="209" t="s">
        <v>444</v>
      </c>
      <c r="CP208" s="210">
        <f>IFERROR(__xludf.DUMMYFUNCTION("AVERAGE(ARRAYFORMULA(XLOOKUP(FILTER(INDIRECT(""'""&amp;CP$1&amp;""'!$C$4:$C$66""),INDIRECT(""'""&amp;CP$1&amp;""'!$D$4:$D$66"")=CP$2),$G$4:$BQ$4,$G208:$BQ208)))"),0.05383753333333334)</f>
        <v>0.05383753333</v>
      </c>
      <c r="CQ208" s="207" t="str">
        <f>IFERROR(__xludf.DUMMYFUNCTION("IF(OR(CP208&gt;$BS208+$BT208*$BT$2,CP208&lt;$BS208-$BT208*$BT$2),AVEDEV(ARRAYFORMULA(XLOOKUP(FILTER(INDIRECT(""'""&amp;CP$1&amp;""'!$C$4:$C$66""),INDIRECT(""'""&amp;CP$1&amp;""'!$D$4:$D$66"")=CP$2),$G$4:$BQ$4,$G208:$BQ208))),"""")"),"")</f>
        <v/>
      </c>
      <c r="CR208" s="208" t="str">
        <f t="shared" si="14"/>
        <v/>
      </c>
      <c r="CS208" s="210">
        <f>IFERROR(__xludf.DUMMYFUNCTION("AVERAGE(ARRAYFORMULA(XLOOKUP(FILTER(INDIRECT(""'""&amp;CS$1&amp;""'!$C$4:$C$66""),INDIRECT(""'""&amp;CS$1&amp;""'!$D$4:$D$66"")=CS$2),$G$4:$BQ$4,$G208:$BQ208)))"),0.0855634594871795)</f>
        <v>0.08556345949</v>
      </c>
      <c r="CT208" s="207" t="str">
        <f>IFERROR(__xludf.DUMMYFUNCTION("IF(OR(CS208&gt;$BS208+$BT208*$BT$2,CS208&lt;$BS208-$BT208*$BT$2),AVEDEV(ARRAYFORMULA(XLOOKUP(FILTER(INDIRECT(""'""&amp;CS$1&amp;""'!$C$4:$C$66""),INDIRECT(""'""&amp;CS$1&amp;""'!$D$4:$D$66"")=CS$2),$G$4:$BQ$4,$G208:$BQ208))),"""")"),"")</f>
        <v/>
      </c>
      <c r="CU208" s="208" t="str">
        <f t="shared" si="15"/>
        <v/>
      </c>
      <c r="CV208" s="210">
        <f>IFERROR(__xludf.DUMMYFUNCTION("AVERAGE(ARRAYFORMULA(XLOOKUP(FILTER(INDIRECT(""'""&amp;CV$1&amp;""'!$C$4:$C$66""),INDIRECT(""'""&amp;CV$1&amp;""'!$D$4:$D$66"")=CV$2),$G$4:$BQ$4,$G208:$BQ208)))"),1.379999992)</f>
        <v>1.379999992</v>
      </c>
      <c r="CW208" s="207">
        <f>IFERROR(__xludf.DUMMYFUNCTION("IF(OR(CV208&gt;$BS208+$BT208*$BT$2,CV208&lt;$BS208-$BT208*$BT$2),AVEDEV(ARRAYFORMULA(XLOOKUP(FILTER(INDIRECT(""'""&amp;CV$1&amp;""'!$C$4:$C$66""),INDIRECT(""'""&amp;CV$1&amp;""'!$D$4:$D$66"")=CV$2),$G$4:$BQ$4,$G208:$BQ208))),"""")"),1.5911260583999998)</f>
        <v>1.591126058</v>
      </c>
      <c r="CX208" s="208">
        <f t="shared" si="16"/>
        <v>0.4094841653</v>
      </c>
      <c r="CY208" s="209" t="s">
        <v>444</v>
      </c>
      <c r="CZ208" s="210">
        <f>IFERROR(__xludf.DUMMYFUNCTION("AVERAGE(ARRAYFORMULA(XLOOKUP(FILTER(INDIRECT(""'""&amp;CZ$1&amp;""'!$C$4:$C$66""),INDIRECT(""'""&amp;CZ$1&amp;""'!$D$4:$D$66"")=CZ$2),$G$4:$BQ$4,$G208:$BQ208)))"),-0.04465785071428569)</f>
        <v>-0.04465785071</v>
      </c>
      <c r="DA208" s="207" t="str">
        <f>IFERROR(__xludf.DUMMYFUNCTION("IF(OR(CZ208&gt;$BS208+$BT208*$BT$2,CZ208&lt;$BS208-$BT208*$BT$2),AVEDEV(ARRAYFORMULA(XLOOKUP(FILTER(INDIRECT(""'""&amp;CZ$1&amp;""'!$C$4:$C$66""),INDIRECT(""'""&amp;CZ$1&amp;""'!$D$4:$D$66"")=CZ$2),$G$4:$BQ$4,$G208:$BQ208))),"""")"),"")</f>
        <v/>
      </c>
      <c r="DB208" s="208" t="str">
        <f t="shared" si="17"/>
        <v/>
      </c>
      <c r="DC208" s="210">
        <f>IFERROR(__xludf.DUMMYFUNCTION("AVERAGE(ARRAYFORMULA(XLOOKUP(FILTER(INDIRECT(""'""&amp;DC$1&amp;""'!$C$4:$C$66""),INDIRECT(""'""&amp;DC$1&amp;""'!$D$4:$D$66"")=DC$2),$G$4:$BQ$4,$G208:$BQ208)))"),0.22735761444444438)</f>
        <v>0.2273576144</v>
      </c>
      <c r="DD208" s="207" t="str">
        <f>IFERROR(__xludf.DUMMYFUNCTION("IF(OR(DC208&gt;$BS208+$BT208*$BT$2,DC208&lt;$BS208-$BT208*$BT$2),AVEDEV(ARRAYFORMULA(XLOOKUP(FILTER(INDIRECT(""'""&amp;DC$1&amp;""'!$C$4:$C$66""),INDIRECT(""'""&amp;DC$1&amp;""'!$D$4:$D$66"")=DC$2),$G$4:$BQ$4,$G208:$BQ208))),"""")"),"")</f>
        <v/>
      </c>
      <c r="DE208" s="208" t="str">
        <f t="shared" si="18"/>
        <v/>
      </c>
      <c r="DF208" s="210">
        <f>IFERROR(__xludf.DUMMYFUNCTION("AVERAGE(ARRAYFORMULA(XLOOKUP(FILTER(INDIRECT(""'""&amp;DF$1&amp;""'!$C$4:$C$66""),INDIRECT(""'""&amp;DF$1&amp;""'!$D$4:$D$66"")=DF$2),$G$4:$BQ$4,$G208:$BQ208)))"),-0.08953400727272728)</f>
        <v>-0.08953400727</v>
      </c>
      <c r="DG208" s="207" t="str">
        <f>IFERROR(__xludf.DUMMYFUNCTION("IF(OR(DF208&gt;$BS208+$BT208*$BT$2,DF208&lt;$BS208-$BT208*$BT$2),AVEDEV(ARRAYFORMULA(XLOOKUP(FILTER(INDIRECT(""'""&amp;DF$1&amp;""'!$C$4:$C$66""),INDIRECT(""'""&amp;DF$1&amp;""'!$D$4:$D$66"")=DF$2),$G$4:$BQ$4,$G208:$BQ208))),"""")"),"")</f>
        <v/>
      </c>
      <c r="DH208" s="208" t="str">
        <f t="shared" si="19"/>
        <v/>
      </c>
      <c r="DI208" s="210">
        <f>IFERROR(__xludf.DUMMYFUNCTION("AVERAGE(ARRAYFORMULA(XLOOKUP(FILTER(INDIRECT(""'""&amp;DI$1&amp;""'!$C$4:$C$66""),INDIRECT(""'""&amp;DI$1&amp;""'!$D$4:$D$66"")=DI$2),$G$4:$BQ$4,$G208:$BQ208)))"),-0.86764705)</f>
        <v>-0.86764705</v>
      </c>
      <c r="DJ208" s="207">
        <f>IFERROR(__xludf.DUMMYFUNCTION("IF(OR(DI208&gt;$BS208+$BT208*$BT$2,DI208&lt;$BS208-$BT208*$BT$2),AVEDEV(ARRAYFORMULA(XLOOKUP(FILTER(INDIRECT(""'""&amp;DI$1&amp;""'!$C$4:$C$66""),INDIRECT(""'""&amp;DI$1&amp;""'!$D$4:$D$66"")=DI$2),$G$4:$BQ$4,$G208:$BQ208))),"""")"),0.056722649999999986)</f>
        <v>0.05672265</v>
      </c>
      <c r="DK208" s="208">
        <f t="shared" si="20"/>
        <v>-0.1936498331</v>
      </c>
      <c r="DL208" s="210">
        <f>IFERROR(__xludf.DUMMYFUNCTION("AVERAGE(ARRAYFORMULA(XLOOKUP(FILTER(INDIRECT(""'""&amp;DL$1&amp;""'!$C$4:$C$66""),INDIRECT(""'""&amp;DL$1&amp;""'!$D$4:$D$66"")=DL$2),$G$4:$BQ$4,$G208:$BQ208)))"),0.43877550428571427)</f>
        <v>0.4387755043</v>
      </c>
      <c r="DM208" s="207" t="str">
        <f>IFERROR(__xludf.DUMMYFUNCTION("IF(OR(DL208&gt;$BS208+$BT208*$BT$2,DL208&lt;$BS208-$BT208*$BT$2),AVEDEV(ARRAYFORMULA(XLOOKUP(FILTER(INDIRECT(""'""&amp;DL$1&amp;""'!$C$4:$C$66""),INDIRECT(""'""&amp;DL$1&amp;""'!$D$4:$D$66"")=DL$2),$G$4:$BQ$4,$G208:$BQ208))),"""")"),"")</f>
        <v/>
      </c>
      <c r="DN208" s="208" t="str">
        <f t="shared" si="21"/>
        <v/>
      </c>
      <c r="DO208" s="209" t="s">
        <v>444</v>
      </c>
      <c r="DP208" s="210">
        <f>IFERROR(__xludf.DUMMYFUNCTION("AVERAGE(ARRAYFORMULA(XLOOKUP(FILTER(INDIRECT(""'""&amp;DP$1&amp;""'!$C$4:$C$66""),INDIRECT(""'""&amp;DP$1&amp;""'!$D$4:$D$66"")=DP$2),$G$4:$BQ$4,$G208:$BQ208)))"),0.05845938433333334)</f>
        <v>0.05845938433</v>
      </c>
      <c r="DQ208" s="207" t="str">
        <f>IFERROR(__xludf.DUMMYFUNCTION("IF(OR(DP208&gt;$BS208+$BT208*$BT$2,DP208&lt;$BS208-$BT208*$BT$2),AVEDEV(ARRAYFORMULA(XLOOKUP(FILTER(INDIRECT(""'""&amp;DP$1&amp;""'!$C$4:$C$66""),INDIRECT(""'""&amp;DP$1&amp;""'!$D$4:$D$66"")=DP$2),$G$4:$BQ$4,$G208:$BQ208))),"""")"),"")</f>
        <v/>
      </c>
      <c r="DR208" s="208" t="str">
        <f t="shared" si="22"/>
        <v/>
      </c>
      <c r="DS208" s="210">
        <f>IFERROR(__xludf.DUMMYFUNCTION("AVERAGE(ARRAYFORMULA(XLOOKUP(FILTER(INDIRECT(""'""&amp;DS$1&amp;""'!$C$4:$C$66""),INDIRECT(""'""&amp;DS$1&amp;""'!$D$4:$D$66"")=DS$2),$G$4:$BQ$4,$G208:$BQ208)))"),0.07777777666666666)</f>
        <v>0.07777777667</v>
      </c>
      <c r="DT208" s="207" t="str">
        <f>IFERROR(__xludf.DUMMYFUNCTION("IF(OR(DS208&gt;$BS208+$BT208*$BT$2,DS208&lt;$BS208-$BT208*$BT$2),AVEDEV(ARRAYFORMULA(XLOOKUP(FILTER(INDIRECT(""'""&amp;DS$1&amp;""'!$C$4:$C$66""),INDIRECT(""'""&amp;DS$1&amp;""'!$D$4:$D$66"")=DS$2),$G$4:$BQ$4,$G208:$BQ208))),"""")"),"")</f>
        <v/>
      </c>
      <c r="DU208" s="208" t="str">
        <f t="shared" si="23"/>
        <v/>
      </c>
      <c r="DV208" s="210">
        <f>IFERROR(__xludf.DUMMYFUNCTION("AVERAGE(ARRAYFORMULA(XLOOKUP(FILTER(INDIRECT(""'""&amp;DV$1&amp;""'!$C$4:$C$66""),INDIRECT(""'""&amp;DV$1&amp;""'!$D$4:$D$66"")=DV$2),$G$4:$BQ$4,$G208:$BQ208)))"),0.5036764675)</f>
        <v>0.5036764675</v>
      </c>
      <c r="DW208" s="207" t="str">
        <f>IFERROR(__xludf.DUMMYFUNCTION("IF(OR(DV208&gt;$BS208+$BT208*$BT$2,DV208&lt;$BS208-$BT208*$BT$2),AVEDEV(ARRAYFORMULA(XLOOKUP(FILTER(INDIRECT(""'""&amp;DV$1&amp;""'!$C$4:$C$66""),INDIRECT(""'""&amp;DV$1&amp;""'!$D$4:$D$66"")=DV$2),$G$4:$BQ$4,$G208:$BQ208))),"""")"),"")</f>
        <v/>
      </c>
      <c r="DX208" s="208" t="str">
        <f t="shared" si="24"/>
        <v/>
      </c>
      <c r="DY208" s="210">
        <f>IFERROR(__xludf.DUMMYFUNCTION("AVERAGE(ARRAYFORMULA(XLOOKUP(FILTER(INDIRECT(""'""&amp;DY$1&amp;""'!$C$4:$C$66""),INDIRECT(""'""&amp;DY$1&amp;""'!$D$4:$D$66"")=DY$2),$G$4:$BQ$4,$G208:$BQ208)))"),0.35163399222222225)</f>
        <v>0.3516339922</v>
      </c>
      <c r="DZ208" s="207" t="str">
        <f>IFERROR(__xludf.DUMMYFUNCTION("IF(OR(DY208&gt;$BS208+$BT208*$BT$2,DY208&lt;$BS208-$BT208*$BT$2),AVEDEV(ARRAYFORMULA(XLOOKUP(FILTER(INDIRECT(""'""&amp;DY$1&amp;""'!$C$4:$C$66""),INDIRECT(""'""&amp;DY$1&amp;""'!$D$4:$D$66"")=DY$2),$G$4:$BQ$4,$G208:$BQ208))),"""")"),"")</f>
        <v/>
      </c>
      <c r="EA208" s="208" t="str">
        <f t="shared" si="25"/>
        <v/>
      </c>
      <c r="EB208" s="191"/>
    </row>
    <row r="209" outlineLevel="1">
      <c r="A209" s="2"/>
      <c r="B209" s="204">
        <v>205.0</v>
      </c>
      <c r="C209" s="204" t="s">
        <v>646</v>
      </c>
      <c r="D209" s="204" t="s">
        <v>654</v>
      </c>
      <c r="E209" s="205" t="b">
        <f>VLOOKUP(D209,'Feature Set List'!A205:C246,2,0)</f>
        <v>1</v>
      </c>
      <c r="F209" s="205" t="b">
        <f>VLOOKUP(D209,'Feature Set List'!A205:C246,3,0)</f>
        <v>1</v>
      </c>
      <c r="G209" s="205">
        <v>-0.2247191</v>
      </c>
      <c r="H209" s="205">
        <v>1.99750312</v>
      </c>
      <c r="I209" s="205">
        <v>-0.9590512</v>
      </c>
      <c r="J209" s="205">
        <v>-0.2946317</v>
      </c>
      <c r="K209" s="205">
        <v>-0.0049938</v>
      </c>
      <c r="L209" s="205">
        <v>0.96629213</v>
      </c>
      <c r="M209" s="205">
        <v>-1.349563</v>
      </c>
      <c r="N209" s="205">
        <v>2.32459426</v>
      </c>
      <c r="O209" s="205">
        <v>-0.0749064</v>
      </c>
      <c r="P209" s="205">
        <v>-0.8596754</v>
      </c>
      <c r="Q209" s="205">
        <v>-1.4097378</v>
      </c>
      <c r="R209" s="205">
        <v>-1.2749064</v>
      </c>
      <c r="S209" s="205">
        <v>-0.1722846</v>
      </c>
      <c r="T209" s="205">
        <v>0.56928839</v>
      </c>
      <c r="U209" s="205">
        <v>0.03745318</v>
      </c>
      <c r="V209" s="205">
        <v>-0.3420724</v>
      </c>
      <c r="W209" s="205">
        <v>0.082397</v>
      </c>
      <c r="X209" s="205">
        <v>0.04244694</v>
      </c>
      <c r="Y209" s="205">
        <v>0.96629213</v>
      </c>
      <c r="Z209" s="205">
        <v>0.38701623</v>
      </c>
      <c r="AA209" s="205">
        <v>-0.7228464</v>
      </c>
      <c r="AB209" s="205">
        <v>-0.082397</v>
      </c>
      <c r="AC209" s="205">
        <v>2.1423221</v>
      </c>
      <c r="AD209" s="205">
        <v>-0.928839</v>
      </c>
      <c r="AE209" s="205">
        <v>1.33832709</v>
      </c>
      <c r="AF209" s="205">
        <v>0.75905119</v>
      </c>
      <c r="AG209" s="205">
        <v>-0.0923845</v>
      </c>
      <c r="AH209" s="205">
        <v>-0.1198502</v>
      </c>
      <c r="AI209" s="205">
        <v>-0.5682896</v>
      </c>
      <c r="AJ209" s="205">
        <v>-0.0174782</v>
      </c>
      <c r="AK209" s="205">
        <v>-0.3445693</v>
      </c>
      <c r="AL209" s="205">
        <v>0.49937578</v>
      </c>
      <c r="AM209" s="205">
        <v>0.20973783</v>
      </c>
      <c r="AN209" s="205">
        <v>-0.8721598</v>
      </c>
      <c r="AO209" s="205">
        <v>2.49188514</v>
      </c>
      <c r="AP209" s="205">
        <v>-0.3245943</v>
      </c>
      <c r="AQ209" s="205">
        <v>-0.6149813</v>
      </c>
      <c r="AR209" s="205">
        <v>-0.5143571</v>
      </c>
      <c r="AS209" s="205">
        <v>-0.2696629</v>
      </c>
      <c r="AT209" s="205">
        <v>0.81398252</v>
      </c>
      <c r="AU209" s="205">
        <v>-2.9812734</v>
      </c>
      <c r="AV209" s="205">
        <v>0.24219725</v>
      </c>
      <c r="AW209" s="205">
        <v>1.64044944</v>
      </c>
      <c r="AX209" s="205">
        <v>0.0</v>
      </c>
      <c r="AY209" s="205">
        <v>0.47440699</v>
      </c>
      <c r="AZ209" s="205">
        <v>-0.1523096</v>
      </c>
      <c r="BA209" s="205">
        <v>0.72659176</v>
      </c>
      <c r="BB209" s="205">
        <v>0.43445693</v>
      </c>
      <c r="BC209" s="205">
        <v>0.50686642</v>
      </c>
      <c r="BD209" s="205">
        <v>1.40074906</v>
      </c>
      <c r="BE209" s="205">
        <v>0.98876404</v>
      </c>
      <c r="BF209" s="205">
        <v>0.31710362</v>
      </c>
      <c r="BG209" s="205">
        <v>2.04993758</v>
      </c>
      <c r="BH209" s="205">
        <v>0.08739076</v>
      </c>
      <c r="BI209" s="205">
        <v>1.65293383</v>
      </c>
      <c r="BJ209" s="205">
        <v>0.16229713</v>
      </c>
      <c r="BK209" s="205">
        <v>-0.9530587</v>
      </c>
      <c r="BL209" s="205">
        <v>-0.8756554</v>
      </c>
      <c r="BM209" s="205">
        <v>0.76154806</v>
      </c>
      <c r="BN209" s="205">
        <v>0.1772784</v>
      </c>
      <c r="BO209" s="205">
        <v>-0.3345818</v>
      </c>
      <c r="BP209" s="205">
        <v>-1.0287141</v>
      </c>
      <c r="BQ209" s="205">
        <v>-0.3595506</v>
      </c>
      <c r="BR209" s="206"/>
      <c r="BS209" s="207">
        <f t="shared" si="6"/>
        <v>0.128997481</v>
      </c>
      <c r="BT209" s="207">
        <f t="shared" si="7"/>
        <v>0.7466132201</v>
      </c>
      <c r="BU209" s="206"/>
      <c r="BV209" s="207">
        <f>IFERROR(__xludf.DUMMYFUNCTION("AVERAGE(ARRAYFORMULA(XLOOKUP(FILTER(INDIRECT(""'""&amp;BV$1&amp;""'!$C$4:$C$66""),INDIRECT(""'""&amp;BV$1&amp;""'!$D$4:$D$66"")=BV$2),$G$4:$BQ$4,$G209:$BQ209)))"),0.5133939742857143)</f>
        <v>0.5133939743</v>
      </c>
      <c r="BW209" s="207" t="str">
        <f>IFERROR(__xludf.DUMMYFUNCTION("IF(OR(BV209&gt;$BS209+$BT209*$BT$2,BV209&lt;$BS209-$BT209*$BT$2),AVEDEV(ARRAYFORMULA(XLOOKUP(FILTER(INDIRECT(""'""&amp;BV$1&amp;""'!$C$4:$C$66""),INDIRECT(""'""&amp;BV$1&amp;""'!$D$4:$D$66"")=BV$2),$G$4:$BQ$4,$G209:$BQ209))),"""")"),"")</f>
        <v/>
      </c>
      <c r="BX209" s="208" t="str">
        <f t="shared" si="8"/>
        <v/>
      </c>
      <c r="BY209" s="207">
        <f>IFERROR(__xludf.DUMMYFUNCTION("AVERAGE(ARRAYFORMULA(XLOOKUP(FILTER(INDIRECT(""'""&amp;BY$1&amp;""'!$C$4:$C$66""),INDIRECT(""'""&amp;BY$1&amp;""'!$D$4:$D$66"")=BY$2),$G$4:$BQ$4,$G209:$BQ209)))"),0.11493965380952377)</f>
        <v>0.1149396538</v>
      </c>
      <c r="BZ209" s="207" t="str">
        <f>IFERROR(__xludf.DUMMYFUNCTION("IF(OR(BY209&gt;$BS209+$BT209*$BT$2,BY209&lt;$BS209-$BT209*$BT$2),AVEDEV(ARRAYFORMULA(XLOOKUP(FILTER(INDIRECT(""'""&amp;BY$1&amp;""'!$C$4:$C$66""),INDIRECT(""'""&amp;BY$1&amp;""'!$D$4:$D$66"")=BY$2),$G$4:$BQ$4,$G209:$BQ209))),"""")"),"")</f>
        <v/>
      </c>
      <c r="CA209" s="208" t="str">
        <f t="shared" si="9"/>
        <v/>
      </c>
      <c r="CB209" s="207">
        <f>IFERROR(__xludf.DUMMYFUNCTION("AVERAGE(ARRAYFORMULA(XLOOKUP(FILTER(INDIRECT(""'""&amp;CB$1&amp;""'!$C$4:$C$66""),INDIRECT(""'""&amp;CB$1&amp;""'!$D$4:$D$66"")=CB$2),$G$4:$BQ$4,$G209:$BQ209)))"),0.2041085054545455)</f>
        <v>0.2041085055</v>
      </c>
      <c r="CC209" s="207" t="str">
        <f>IFERROR(__xludf.DUMMYFUNCTION("IF(OR(CB209&gt;$BS209+$BT209*$BT$2,CB209&lt;$BS209-$BT209*$BT$2),AVEDEV(ARRAYFORMULA(XLOOKUP(FILTER(INDIRECT(""'""&amp;CB$1&amp;""'!$C$4:$C$66""),INDIRECT(""'""&amp;CB$1&amp;""'!$D$4:$D$66"")=CB$2),$G$4:$BQ$4,$G209:$BQ209))),"""")"),"")</f>
        <v/>
      </c>
      <c r="CD209" s="208" t="str">
        <f t="shared" si="10"/>
        <v/>
      </c>
      <c r="CE209" s="209" t="s">
        <v>444</v>
      </c>
      <c r="CF209" s="207">
        <f>IFERROR(__xludf.DUMMYFUNCTION("AVERAGE(ARRAYFORMULA(XLOOKUP(FILTER(INDIRECT(""'""&amp;CF$1&amp;""'!$C$4:$C$66""),INDIRECT(""'""&amp;CF$1&amp;""'!$D$4:$D$66"")=CF$2),$G$4:$BQ$4,$G209:$BQ209)))"),0.39483457875000005)</f>
        <v>0.3948345788</v>
      </c>
      <c r="CG209" s="207" t="str">
        <f>IFERROR(__xludf.DUMMYFUNCTION("IF(OR(CF209&gt;$BS209+$BT209*$BT$2,CF209&lt;$BS209-$BT209*$BT$2),AVEDEV(ARRAYFORMULA(XLOOKUP(FILTER(INDIRECT(""'""&amp;CF$1&amp;""'!$C$4:$C$66""),INDIRECT(""'""&amp;CF$1&amp;""'!$D$4:$D$66"")=CF$2),$G$4:$BQ$4,$G209:$BQ209))),"""")"),"")</f>
        <v/>
      </c>
      <c r="CH209" s="208" t="str">
        <f t="shared" si="11"/>
        <v/>
      </c>
      <c r="CI209" s="207">
        <f>IFERROR(__xludf.DUMMYFUNCTION("AVERAGE(ARRAYFORMULA(XLOOKUP(FILTER(INDIRECT(""'""&amp;CI$1&amp;""'!$C$4:$C$66""),INDIRECT(""'""&amp;CI$1&amp;""'!$D$4:$D$66"")=CI$2),$G$4:$BQ$4,$G209:$BQ209)))"),0.02535540032258062)</f>
        <v>0.02535540032</v>
      </c>
      <c r="CJ209" s="207" t="str">
        <f>IFERROR(__xludf.DUMMYFUNCTION("IF(OR(CI209&gt;$BS209+$BT209*$BT$2,CI209&lt;$BS209-$BT209*$BT$2),AVEDEV(ARRAYFORMULA(XLOOKUP(FILTER(INDIRECT(""'""&amp;CI$1&amp;""'!$C$4:$C$66""),INDIRECT(""'""&amp;CI$1&amp;""'!$D$4:$D$66"")=CI$2),$G$4:$BQ$4,$G209:$BQ209))),"""")"),"")</f>
        <v/>
      </c>
      <c r="CK209" s="208" t="str">
        <f t="shared" si="12"/>
        <v/>
      </c>
      <c r="CL209" s="207">
        <f>IFERROR(__xludf.DUMMYFUNCTION("AVERAGE(ARRAYFORMULA(XLOOKUP(FILTER(INDIRECT(""'""&amp;CL$1&amp;""'!$C$4:$C$66""),INDIRECT(""'""&amp;CL$1&amp;""'!$D$4:$D$66"")=CL$2),$G$4:$BQ$4,$G209:$BQ209)))"),0.44329588600000003)</f>
        <v>0.443295886</v>
      </c>
      <c r="CM209" s="207" t="str">
        <f>IFERROR(__xludf.DUMMYFUNCTION("IF(OR(CL209&gt;$BS209+$BT209*$BT$2,CL209&lt;$BS209-$BT209*$BT$2),AVEDEV(ARRAYFORMULA(XLOOKUP(FILTER(INDIRECT(""'""&amp;CL$1&amp;""'!$C$4:$C$66""),INDIRECT(""'""&amp;CL$1&amp;""'!$D$4:$D$66"")=CL$2),$G$4:$BQ$4,$G209:$BQ209))),"""")"),"")</f>
        <v/>
      </c>
      <c r="CN209" s="208" t="str">
        <f t="shared" si="13"/>
        <v/>
      </c>
      <c r="CO209" s="209" t="s">
        <v>444</v>
      </c>
      <c r="CP209" s="210">
        <f>IFERROR(__xludf.DUMMYFUNCTION("AVERAGE(ARRAYFORMULA(XLOOKUP(FILTER(INDIRECT(""'""&amp;CP$1&amp;""'!$C$4:$C$66""),INDIRECT(""'""&amp;CP$1&amp;""'!$D$4:$D$66"")=CP$2),$G$4:$BQ$4,$G209:$BQ209)))"),0.5577195166666666)</f>
        <v>0.5577195167</v>
      </c>
      <c r="CQ209" s="207" t="str">
        <f>IFERROR(__xludf.DUMMYFUNCTION("IF(OR(CP209&gt;$BS209+$BT209*$BT$2,CP209&lt;$BS209-$BT209*$BT$2),AVEDEV(ARRAYFORMULA(XLOOKUP(FILTER(INDIRECT(""'""&amp;CP$1&amp;""'!$C$4:$C$66""),INDIRECT(""'""&amp;CP$1&amp;""'!$D$4:$D$66"")=CP$2),$G$4:$BQ$4,$G209:$BQ209))),"""")"),"")</f>
        <v/>
      </c>
      <c r="CR209" s="208" t="str">
        <f t="shared" si="14"/>
        <v/>
      </c>
      <c r="CS209" s="210">
        <f>IFERROR(__xludf.DUMMYFUNCTION("AVERAGE(ARRAYFORMULA(XLOOKUP(FILTER(INDIRECT(""'""&amp;CS$1&amp;""'!$C$4:$C$66""),INDIRECT(""'""&amp;CS$1&amp;""'!$D$4:$D$66"")=CS$2),$G$4:$BQ$4,$G209:$BQ209)))"),0.024610257948717924)</f>
        <v>0.02461025795</v>
      </c>
      <c r="CT209" s="207" t="str">
        <f>IFERROR(__xludf.DUMMYFUNCTION("IF(OR(CS209&gt;$BS209+$BT209*$BT$2,CS209&lt;$BS209-$BT209*$BT$2),AVEDEV(ARRAYFORMULA(XLOOKUP(FILTER(INDIRECT(""'""&amp;CS$1&amp;""'!$C$4:$C$66""),INDIRECT(""'""&amp;CS$1&amp;""'!$D$4:$D$66"")=CS$2),$G$4:$BQ$4,$G209:$BQ209))),"""")"),"")</f>
        <v/>
      </c>
      <c r="CU209" s="208" t="str">
        <f t="shared" si="15"/>
        <v/>
      </c>
      <c r="CV209" s="210">
        <f>IFERROR(__xludf.DUMMYFUNCTION("AVERAGE(ARRAYFORMULA(XLOOKUP(FILTER(INDIRECT(""'""&amp;CV$1&amp;""'!$C$4:$C$66""),INDIRECT(""'""&amp;CV$1&amp;""'!$D$4:$D$66"")=CV$2),$G$4:$BQ$4,$G209:$BQ209)))"),0.44329588600000003)</f>
        <v>0.443295886</v>
      </c>
      <c r="CW209" s="207" t="str">
        <f>IFERROR(__xludf.DUMMYFUNCTION("IF(OR(CV209&gt;$BS209+$BT209*$BT$2,CV209&lt;$BS209-$BT209*$BT$2),AVEDEV(ARRAYFORMULA(XLOOKUP(FILTER(INDIRECT(""'""&amp;CV$1&amp;""'!$C$4:$C$66""),INDIRECT(""'""&amp;CV$1&amp;""'!$D$4:$D$66"")=CV$2),$G$4:$BQ$4,$G209:$BQ209))),"""")"),"")</f>
        <v/>
      </c>
      <c r="CX209" s="208" t="str">
        <f t="shared" si="16"/>
        <v/>
      </c>
      <c r="CY209" s="209" t="s">
        <v>444</v>
      </c>
      <c r="CZ209" s="210">
        <f>IFERROR(__xludf.DUMMYFUNCTION("AVERAGE(ARRAYFORMULA(XLOOKUP(FILTER(INDIRECT(""'""&amp;CZ$1&amp;""'!$C$4:$C$66""),INDIRECT(""'""&amp;CZ$1&amp;""'!$D$4:$D$66"")=CZ$2),$G$4:$BQ$4,$G209:$BQ209)))"),0.3273408221428572)</f>
        <v>0.3273408221</v>
      </c>
      <c r="DA209" s="207" t="str">
        <f>IFERROR(__xludf.DUMMYFUNCTION("IF(OR(CZ209&gt;$BS209+$BT209*$BT$2,CZ209&lt;$BS209-$BT209*$BT$2),AVEDEV(ARRAYFORMULA(XLOOKUP(FILTER(INDIRECT(""'""&amp;CZ$1&amp;""'!$C$4:$C$66""),INDIRECT(""'""&amp;CZ$1&amp;""'!$D$4:$D$66"")=CZ$2),$G$4:$BQ$4,$G209:$BQ209))),"""")"),"")</f>
        <v/>
      </c>
      <c r="DB209" s="208" t="str">
        <f t="shared" si="17"/>
        <v/>
      </c>
      <c r="DC209" s="210">
        <f>IFERROR(__xludf.DUMMYFUNCTION("AVERAGE(ARRAYFORMULA(XLOOKUP(FILTER(INDIRECT(""'""&amp;DC$1&amp;""'!$C$4:$C$66""),INDIRECT(""'""&amp;DC$1&amp;""'!$D$4:$D$66"")=DC$2),$G$4:$BQ$4,$G209:$BQ209)))"),0.18177278888888887)</f>
        <v>0.1817727889</v>
      </c>
      <c r="DD209" s="207" t="str">
        <f>IFERROR(__xludf.DUMMYFUNCTION("IF(OR(DC209&gt;$BS209+$BT209*$BT$2,DC209&lt;$BS209-$BT209*$BT$2),AVEDEV(ARRAYFORMULA(XLOOKUP(FILTER(INDIRECT(""'""&amp;DC$1&amp;""'!$C$4:$C$66""),INDIRECT(""'""&amp;DC$1&amp;""'!$D$4:$D$66"")=DC$2),$G$4:$BQ$4,$G209:$BQ209))),"""")"),"")</f>
        <v/>
      </c>
      <c r="DE209" s="208" t="str">
        <f t="shared" si="18"/>
        <v/>
      </c>
      <c r="DF209" s="210">
        <f>IFERROR(__xludf.DUMMYFUNCTION("AVERAGE(ARRAYFORMULA(XLOOKUP(FILTER(INDIRECT(""'""&amp;DF$1&amp;""'!$C$4:$C$66""),INDIRECT(""'""&amp;DF$1&amp;""'!$D$4:$D$66"")=DF$2),$G$4:$BQ$4,$G209:$BQ209)))"),0.35217342545454544)</f>
        <v>0.3521734255</v>
      </c>
      <c r="DG209" s="207" t="str">
        <f>IFERROR(__xludf.DUMMYFUNCTION("IF(OR(DF209&gt;$BS209+$BT209*$BT$2,DF209&lt;$BS209-$BT209*$BT$2),AVEDEV(ARRAYFORMULA(XLOOKUP(FILTER(INDIRECT(""'""&amp;DF$1&amp;""'!$C$4:$C$66""),INDIRECT(""'""&amp;DF$1&amp;""'!$D$4:$D$66"")=DF$2),$G$4:$BQ$4,$G209:$BQ209))),"""")"),"")</f>
        <v/>
      </c>
      <c r="DH209" s="208" t="str">
        <f t="shared" si="19"/>
        <v/>
      </c>
      <c r="DI209" s="210">
        <f>IFERROR(__xludf.DUMMYFUNCTION("AVERAGE(ARRAYFORMULA(XLOOKUP(FILTER(INDIRECT(""'""&amp;DI$1&amp;""'!$C$4:$C$66""),INDIRECT(""'""&amp;DI$1&amp;""'!$D$4:$D$66"")=DI$2),$G$4:$BQ$4,$G209:$BQ209)))"),-0.42072412)</f>
        <v>-0.42072412</v>
      </c>
      <c r="DJ209" s="207" t="str">
        <f>IFERROR(__xludf.DUMMYFUNCTION("IF(OR(DI209&gt;$BS209+$BT209*$BT$2,DI209&lt;$BS209-$BT209*$BT$2),AVEDEV(ARRAYFORMULA(XLOOKUP(FILTER(INDIRECT(""'""&amp;DI$1&amp;""'!$C$4:$C$66""),INDIRECT(""'""&amp;DI$1&amp;""'!$D$4:$D$66"")=DI$2),$G$4:$BQ$4,$G209:$BQ209))),"""")"),"")</f>
        <v/>
      </c>
      <c r="DK209" s="208" t="str">
        <f t="shared" si="20"/>
        <v/>
      </c>
      <c r="DL209" s="210">
        <f>IFERROR(__xludf.DUMMYFUNCTION("AVERAGE(ARRAYFORMULA(XLOOKUP(FILTER(INDIRECT(""'""&amp;DL$1&amp;""'!$C$4:$C$66""),INDIRECT(""'""&amp;DL$1&amp;""'!$D$4:$D$66"")=DL$2),$G$4:$BQ$4,$G209:$BQ209)))"),-0.19038702785714282)</f>
        <v>-0.1903870279</v>
      </c>
      <c r="DM209" s="207" t="str">
        <f>IFERROR(__xludf.DUMMYFUNCTION("IF(OR(DL209&gt;$BS209+$BT209*$BT$2,DL209&lt;$BS209-$BT209*$BT$2),AVEDEV(ARRAYFORMULA(XLOOKUP(FILTER(INDIRECT(""'""&amp;DL$1&amp;""'!$C$4:$C$66""),INDIRECT(""'""&amp;DL$1&amp;""'!$D$4:$D$66"")=DL$2),$G$4:$BQ$4,$G209:$BQ209))),"""")"),"")</f>
        <v/>
      </c>
      <c r="DN209" s="208" t="str">
        <f t="shared" si="21"/>
        <v/>
      </c>
      <c r="DO209" s="209" t="s">
        <v>444</v>
      </c>
      <c r="DP209" s="210">
        <f>IFERROR(__xludf.DUMMYFUNCTION("AVERAGE(ARRAYFORMULA(XLOOKUP(FILTER(INDIRECT(""'""&amp;DP$1&amp;""'!$C$4:$C$66""),INDIRECT(""'""&amp;DP$1&amp;""'!$D$4:$D$66"")=DP$2),$G$4:$BQ$4,$G209:$BQ209)))"),0.2734498516666666)</f>
        <v>0.2734498517</v>
      </c>
      <c r="DQ209" s="207" t="str">
        <f>IFERROR(__xludf.DUMMYFUNCTION("IF(OR(DP209&gt;$BS209+$BT209*$BT$2,DP209&lt;$BS209-$BT209*$BT$2),AVEDEV(ARRAYFORMULA(XLOOKUP(FILTER(INDIRECT(""'""&amp;DP$1&amp;""'!$C$4:$C$66""),INDIRECT(""'""&amp;DP$1&amp;""'!$D$4:$D$66"")=DP$2),$G$4:$BQ$4,$G209:$BQ209))),"""")"),"")</f>
        <v/>
      </c>
      <c r="DR209" s="208" t="str">
        <f t="shared" si="22"/>
        <v/>
      </c>
      <c r="DS209" s="210">
        <f>IFERROR(__xludf.DUMMYFUNCTION("AVERAGE(ARRAYFORMULA(XLOOKUP(FILTER(INDIRECT(""'""&amp;DS$1&amp;""'!$C$4:$C$66""),INDIRECT(""'""&amp;DS$1&amp;""'!$D$4:$D$66"")=DS$2),$G$4:$BQ$4,$G209:$BQ209)))"),0.10159523222222222)</f>
        <v>0.1015952322</v>
      </c>
      <c r="DT209" s="207" t="str">
        <f>IFERROR(__xludf.DUMMYFUNCTION("IF(OR(DS209&gt;$BS209+$BT209*$BT$2,DS209&lt;$BS209-$BT209*$BT$2),AVEDEV(ARRAYFORMULA(XLOOKUP(FILTER(INDIRECT(""'""&amp;DS$1&amp;""'!$C$4:$C$66""),INDIRECT(""'""&amp;DS$1&amp;""'!$D$4:$D$66"")=DS$2),$G$4:$BQ$4,$G209:$BQ209))),"""")"),"")</f>
        <v/>
      </c>
      <c r="DU209" s="208" t="str">
        <f t="shared" si="23"/>
        <v/>
      </c>
      <c r="DV209" s="210">
        <f>IFERROR(__xludf.DUMMYFUNCTION("AVERAGE(ARRAYFORMULA(XLOOKUP(FILTER(INDIRECT(""'""&amp;DV$1&amp;""'!$C$4:$C$66""),INDIRECT(""'""&amp;DV$1&amp;""'!$D$4:$D$66"")=DV$2),$G$4:$BQ$4,$G209:$BQ209)))"),-0.23785892875)</f>
        <v>-0.2378589288</v>
      </c>
      <c r="DW209" s="207" t="str">
        <f>IFERROR(__xludf.DUMMYFUNCTION("IF(OR(DV209&gt;$BS209+$BT209*$BT$2,DV209&lt;$BS209-$BT209*$BT$2),AVEDEV(ARRAYFORMULA(XLOOKUP(FILTER(INDIRECT(""'""&amp;DV$1&amp;""'!$C$4:$C$66""),INDIRECT(""'""&amp;DV$1&amp;""'!$D$4:$D$66"")=DV$2),$G$4:$BQ$4,$G209:$BQ209))),"""")"),"")</f>
        <v/>
      </c>
      <c r="DX209" s="208" t="str">
        <f t="shared" si="24"/>
        <v/>
      </c>
      <c r="DY209" s="210">
        <f>IFERROR(__xludf.DUMMYFUNCTION("AVERAGE(ARRAYFORMULA(XLOOKUP(FILTER(INDIRECT(""'""&amp;DY$1&amp;""'!$C$4:$C$66""),INDIRECT(""'""&amp;DY$1&amp;""'!$D$4:$D$66"")=DY$2),$G$4:$BQ$4,$G209:$BQ209)))"),0.25634622777777777)</f>
        <v>0.2563462278</v>
      </c>
      <c r="DZ209" s="207" t="str">
        <f>IFERROR(__xludf.DUMMYFUNCTION("IF(OR(DY209&gt;$BS209+$BT209*$BT$2,DY209&lt;$BS209-$BT209*$BT$2),AVEDEV(ARRAYFORMULA(XLOOKUP(FILTER(INDIRECT(""'""&amp;DY$1&amp;""'!$C$4:$C$66""),INDIRECT(""'""&amp;DY$1&amp;""'!$D$4:$D$66"")=DY$2),$G$4:$BQ$4,$G209:$BQ209))),"""")"),"")</f>
        <v/>
      </c>
      <c r="EA209" s="208" t="str">
        <f t="shared" si="25"/>
        <v/>
      </c>
      <c r="EB209" s="191"/>
    </row>
    <row r="210" outlineLevel="1">
      <c r="A210" s="2"/>
      <c r="B210" s="204">
        <v>206.0</v>
      </c>
      <c r="C210" s="204" t="s">
        <v>646</v>
      </c>
      <c r="D210" s="204" t="s">
        <v>655</v>
      </c>
      <c r="E210" s="205" t="b">
        <f>VLOOKUP(D210,'Feature Set List'!A206:C246,2,0)</f>
        <v>1</v>
      </c>
      <c r="F210" s="205" t="b">
        <f>VLOOKUP(D210,'Feature Set List'!A206:C246,3,0)</f>
        <v>0</v>
      </c>
      <c r="G210" s="205">
        <v>0.0</v>
      </c>
      <c r="H210" s="205">
        <v>-0.5064146</v>
      </c>
      <c r="I210" s="205">
        <v>-0.9993248</v>
      </c>
      <c r="J210" s="205">
        <v>1.20661715</v>
      </c>
      <c r="K210" s="205">
        <v>0.09182984</v>
      </c>
      <c r="L210" s="205">
        <v>0.25523295</v>
      </c>
      <c r="M210" s="205">
        <v>0.1215395</v>
      </c>
      <c r="N210" s="205">
        <v>0.66509115</v>
      </c>
      <c r="O210" s="205">
        <v>0.93990547</v>
      </c>
      <c r="P210" s="205">
        <v>-1.0668467</v>
      </c>
      <c r="Q210" s="205">
        <v>0.14449696</v>
      </c>
      <c r="R210" s="205">
        <v>0.18906144</v>
      </c>
      <c r="S210" s="205">
        <v>0.81634031</v>
      </c>
      <c r="T210" s="205">
        <v>0.10465901</v>
      </c>
      <c r="U210" s="205">
        <v>1.18568535</v>
      </c>
      <c r="V210" s="205">
        <v>-0.9453072</v>
      </c>
      <c r="W210" s="205">
        <v>0.0</v>
      </c>
      <c r="X210" s="205">
        <v>-0.6826469</v>
      </c>
      <c r="Y210" s="205">
        <v>-0.4773801</v>
      </c>
      <c r="Z210" s="205">
        <v>0.52329507</v>
      </c>
      <c r="AA210" s="205">
        <v>-0.1829845</v>
      </c>
      <c r="AB210" s="205">
        <v>-0.4868332</v>
      </c>
      <c r="AC210" s="205">
        <v>-0.2336259</v>
      </c>
      <c r="AD210" s="205">
        <v>-0.6887238</v>
      </c>
      <c r="AE210" s="205">
        <v>-0.0054018</v>
      </c>
      <c r="AF210" s="205">
        <v>0.1181634</v>
      </c>
      <c r="AG210" s="205">
        <v>-0.2248481</v>
      </c>
      <c r="AH210" s="205">
        <v>0.03646185</v>
      </c>
      <c r="AI210" s="205">
        <v>-0.9696151</v>
      </c>
      <c r="AJ210" s="205">
        <v>-0.6076975</v>
      </c>
      <c r="AK210" s="205">
        <v>-0.8041864</v>
      </c>
      <c r="AL210" s="205">
        <v>-0.2457799</v>
      </c>
      <c r="AM210" s="205">
        <v>1.56853477</v>
      </c>
      <c r="AN210" s="205">
        <v>0.27819041</v>
      </c>
      <c r="AO210" s="205">
        <v>-0.4051317</v>
      </c>
      <c r="AP210" s="205">
        <v>0.13504389</v>
      </c>
      <c r="AQ210" s="205">
        <v>-0.8392978</v>
      </c>
      <c r="AR210" s="205">
        <v>0.06752194</v>
      </c>
      <c r="AS210" s="205">
        <v>0.06076975</v>
      </c>
      <c r="AT210" s="205">
        <v>2.23295071</v>
      </c>
      <c r="AU210" s="205">
        <v>-1.8230925</v>
      </c>
      <c r="AV210" s="205">
        <v>-0.6752194</v>
      </c>
      <c r="AW210" s="205">
        <v>-0.6900743</v>
      </c>
      <c r="AX210" s="205">
        <v>0.43889264</v>
      </c>
      <c r="AY210" s="205">
        <v>-1.0634706</v>
      </c>
      <c r="AZ210" s="205">
        <v>0.73126266</v>
      </c>
      <c r="BA210" s="205">
        <v>-0.2518569</v>
      </c>
      <c r="BB210" s="205">
        <v>-0.1755571</v>
      </c>
      <c r="BC210" s="205">
        <v>1.71843349</v>
      </c>
      <c r="BD210" s="205">
        <v>-0.9648886</v>
      </c>
      <c r="BE210" s="205">
        <v>-0.3497637</v>
      </c>
      <c r="BF210" s="205">
        <v>-0.2748143</v>
      </c>
      <c r="BG210" s="205">
        <v>-0.1417961</v>
      </c>
      <c r="BH210" s="205">
        <v>0.02700878</v>
      </c>
      <c r="BI210" s="205">
        <v>0.52532073</v>
      </c>
      <c r="BJ210" s="205">
        <v>1.32140446</v>
      </c>
      <c r="BK210" s="205">
        <v>1.3923025</v>
      </c>
      <c r="BL210" s="205">
        <v>-0.9453072</v>
      </c>
      <c r="BM210" s="205">
        <v>-1.1731938</v>
      </c>
      <c r="BN210" s="205">
        <v>0.52464551</v>
      </c>
      <c r="BO210" s="205">
        <v>1.24105334</v>
      </c>
      <c r="BP210" s="205">
        <v>-0.8494261</v>
      </c>
      <c r="BQ210" s="205">
        <v>0.11951384</v>
      </c>
      <c r="BR210" s="206"/>
      <c r="BS210" s="207">
        <f t="shared" si="6"/>
        <v>-0.01538536079</v>
      </c>
      <c r="BT210" s="207">
        <f t="shared" si="7"/>
        <v>0.6121759992</v>
      </c>
      <c r="BU210" s="206"/>
      <c r="BV210" s="207">
        <f>IFERROR(__xludf.DUMMYFUNCTION("AVERAGE(ARRAYFORMULA(XLOOKUP(FILTER(INDIRECT(""'""&amp;BV$1&amp;""'!$C$4:$C$66""),INDIRECT(""'""&amp;BV$1&amp;""'!$D$4:$D$66"")=BV$2),$G$4:$BQ$4,$G210:$BQ210)))"),-0.3480274071428572)</f>
        <v>-0.3480274071</v>
      </c>
      <c r="BW210" s="207" t="str">
        <f>IFERROR(__xludf.DUMMYFUNCTION("IF(OR(BV210&gt;$BS210+$BT210*$BT$2,BV210&lt;$BS210-$BT210*$BT$2),AVEDEV(ARRAYFORMULA(XLOOKUP(FILTER(INDIRECT(""'""&amp;BV$1&amp;""'!$C$4:$C$66""),INDIRECT(""'""&amp;BV$1&amp;""'!$D$4:$D$66"")=BV$2),$G$4:$BQ$4,$G210:$BQ210))),"""")"),"")</f>
        <v/>
      </c>
      <c r="BX210" s="208" t="str">
        <f t="shared" si="8"/>
        <v/>
      </c>
      <c r="BY210" s="207">
        <f>IFERROR(__xludf.DUMMYFUNCTION("AVERAGE(ARRAYFORMULA(XLOOKUP(FILTER(INDIRECT(""'""&amp;BY$1&amp;""'!$C$4:$C$66""),INDIRECT(""'""&amp;BY$1&amp;""'!$D$4:$D$66"")=BY$2),$G$4:$BQ$4,$G210:$BQ210)))"),0.16411047619047614)</f>
        <v>0.1641104762</v>
      </c>
      <c r="BZ210" s="207" t="str">
        <f>IFERROR(__xludf.DUMMYFUNCTION("IF(OR(BY210&gt;$BS210+$BT210*$BT$2,BY210&lt;$BS210-$BT210*$BT$2),AVEDEV(ARRAYFORMULA(XLOOKUP(FILTER(INDIRECT(""'""&amp;BY$1&amp;""'!$C$4:$C$66""),INDIRECT(""'""&amp;BY$1&amp;""'!$D$4:$D$66"")=BY$2),$G$4:$BQ$4,$G210:$BQ210))),"""")"),"")</f>
        <v/>
      </c>
      <c r="CA210" s="208" t="str">
        <f t="shared" si="9"/>
        <v/>
      </c>
      <c r="CB210" s="207">
        <f>IFERROR(__xludf.DUMMYFUNCTION("AVERAGE(ARRAYFORMULA(XLOOKUP(FILTER(INDIRECT(""'""&amp;CB$1&amp;""'!$C$4:$C$66""),INDIRECT(""'""&amp;CB$1&amp;""'!$D$4:$D$66"")=CB$2),$G$4:$BQ$4,$G210:$BQ210)))"),-0.1489472709090909)</f>
        <v>-0.1489472709</v>
      </c>
      <c r="CC210" s="207" t="str">
        <f>IFERROR(__xludf.DUMMYFUNCTION("IF(OR(CB210&gt;$BS210+$BT210*$BT$2,CB210&lt;$BS210-$BT210*$BT$2),AVEDEV(ARRAYFORMULA(XLOOKUP(FILTER(INDIRECT(""'""&amp;CB$1&amp;""'!$C$4:$C$66""),INDIRECT(""'""&amp;CB$1&amp;""'!$D$4:$D$66"")=CB$2),$G$4:$BQ$4,$G210:$BQ210))),"""")"),"")</f>
        <v/>
      </c>
      <c r="CD210" s="208" t="str">
        <f t="shared" si="10"/>
        <v/>
      </c>
      <c r="CE210" s="209" t="s">
        <v>444</v>
      </c>
      <c r="CF210" s="207">
        <f>IFERROR(__xludf.DUMMYFUNCTION("AVERAGE(ARRAYFORMULA(XLOOKUP(FILTER(INDIRECT(""'""&amp;CF$1&amp;""'!$C$4:$C$66""),INDIRECT(""'""&amp;CF$1&amp;""'!$D$4:$D$66"")=CF$2),$G$4:$BQ$4,$G210:$BQ210)))"),0.005106336874999968)</f>
        <v>0.005106336875</v>
      </c>
      <c r="CG210" s="207" t="str">
        <f>IFERROR(__xludf.DUMMYFUNCTION("IF(OR(CF210&gt;$BS210+$BT210*$BT$2,CF210&lt;$BS210-$BT210*$BT$2),AVEDEV(ARRAYFORMULA(XLOOKUP(FILTER(INDIRECT(""'""&amp;CF$1&amp;""'!$C$4:$C$66""),INDIRECT(""'""&amp;CF$1&amp;""'!$D$4:$D$66"")=CF$2),$G$4:$BQ$4,$G210:$BQ210))),"""")"),"")</f>
        <v/>
      </c>
      <c r="CH210" s="208" t="str">
        <f t="shared" si="11"/>
        <v/>
      </c>
      <c r="CI210" s="207">
        <f>IFERROR(__xludf.DUMMYFUNCTION("AVERAGE(ARRAYFORMULA(XLOOKUP(FILTER(INDIRECT(""'""&amp;CI$1&amp;""'!$C$4:$C$66""),INDIRECT(""'""&amp;CI$1&amp;""'!$D$4:$D$66"")=CI$2),$G$4:$BQ$4,$G210:$BQ210)))"),0.1771035290322581)</f>
        <v>0.177103529</v>
      </c>
      <c r="CJ210" s="207" t="str">
        <f>IFERROR(__xludf.DUMMYFUNCTION("IF(OR(CI210&gt;$BS210+$BT210*$BT$2,CI210&lt;$BS210-$BT210*$BT$2),AVEDEV(ARRAYFORMULA(XLOOKUP(FILTER(INDIRECT(""'""&amp;CI$1&amp;""'!$C$4:$C$66""),INDIRECT(""'""&amp;CI$1&amp;""'!$D$4:$D$66"")=CI$2),$G$4:$BQ$4,$G210:$BQ210))),"""")"),"")</f>
        <v/>
      </c>
      <c r="CK210" s="208" t="str">
        <f t="shared" si="12"/>
        <v/>
      </c>
      <c r="CL210" s="207">
        <f>IFERROR(__xludf.DUMMYFUNCTION("AVERAGE(ARRAYFORMULA(XLOOKUP(FILTER(INDIRECT(""'""&amp;CL$1&amp;""'!$C$4:$C$66""),INDIRECT(""'""&amp;CL$1&amp;""'!$D$4:$D$66"")=CL$2),$G$4:$BQ$4,$G210:$BQ210)))"),-0.259014188)</f>
        <v>-0.259014188</v>
      </c>
      <c r="CM210" s="207" t="str">
        <f>IFERROR(__xludf.DUMMYFUNCTION("IF(OR(CL210&gt;$BS210+$BT210*$BT$2,CL210&lt;$BS210-$BT210*$BT$2),AVEDEV(ARRAYFORMULA(XLOOKUP(FILTER(INDIRECT(""'""&amp;CL$1&amp;""'!$C$4:$C$66""),INDIRECT(""'""&amp;CL$1&amp;""'!$D$4:$D$66"")=CL$2),$G$4:$BQ$4,$G210:$BQ210))),"""")"),"")</f>
        <v/>
      </c>
      <c r="CN210" s="208" t="str">
        <f t="shared" si="13"/>
        <v/>
      </c>
      <c r="CO210" s="209" t="s">
        <v>444</v>
      </c>
      <c r="CP210" s="210">
        <f>IFERROR(__xludf.DUMMYFUNCTION("AVERAGE(ARRAYFORMULA(XLOOKUP(FILTER(INDIRECT(""'""&amp;CP$1&amp;""'!$C$4:$C$66""),INDIRECT(""'""&amp;CP$1&amp;""'!$D$4:$D$66"")=CP$2),$G$4:$BQ$4,$G210:$BQ210)))"),0.10625702666666666)</f>
        <v>0.1062570267</v>
      </c>
      <c r="CQ210" s="207" t="str">
        <f>IFERROR(__xludf.DUMMYFUNCTION("IF(OR(CP210&gt;$BS210+$BT210*$BT$2,CP210&lt;$BS210-$BT210*$BT$2),AVEDEV(ARRAYFORMULA(XLOOKUP(FILTER(INDIRECT(""'""&amp;CP$1&amp;""'!$C$4:$C$66""),INDIRECT(""'""&amp;CP$1&amp;""'!$D$4:$D$66"")=CP$2),$G$4:$BQ$4,$G210:$BQ210))),"""")"),"")</f>
        <v/>
      </c>
      <c r="CR210" s="208" t="str">
        <f t="shared" si="14"/>
        <v/>
      </c>
      <c r="CS210" s="210">
        <f>IFERROR(__xludf.DUMMYFUNCTION("AVERAGE(ARRAYFORMULA(XLOOKUP(FILTER(INDIRECT(""'""&amp;CS$1&amp;""'!$C$4:$C$66""),INDIRECT(""'""&amp;CS$1&amp;""'!$D$4:$D$66"")=CS$2),$G$4:$BQ$4,$G210:$BQ210)))"),0.08883463871794875)</f>
        <v>0.08883463872</v>
      </c>
      <c r="CT210" s="207" t="str">
        <f>IFERROR(__xludf.DUMMYFUNCTION("IF(OR(CS210&gt;$BS210+$BT210*$BT$2,CS210&lt;$BS210-$BT210*$BT$2),AVEDEV(ARRAYFORMULA(XLOOKUP(FILTER(INDIRECT(""'""&amp;CS$1&amp;""'!$C$4:$C$66""),INDIRECT(""'""&amp;CS$1&amp;""'!$D$4:$D$66"")=CS$2),$G$4:$BQ$4,$G210:$BQ210))),"""")"),"")</f>
        <v/>
      </c>
      <c r="CU210" s="208" t="str">
        <f t="shared" si="15"/>
        <v/>
      </c>
      <c r="CV210" s="210">
        <f>IFERROR(__xludf.DUMMYFUNCTION("AVERAGE(ARRAYFORMULA(XLOOKUP(FILTER(INDIRECT(""'""&amp;CV$1&amp;""'!$C$4:$C$66""),INDIRECT(""'""&amp;CV$1&amp;""'!$D$4:$D$66"")=CV$2),$G$4:$BQ$4,$G210:$BQ210)))"),-0.259014188)</f>
        <v>-0.259014188</v>
      </c>
      <c r="CW210" s="207" t="str">
        <f>IFERROR(__xludf.DUMMYFUNCTION("IF(OR(CV210&gt;$BS210+$BT210*$BT$2,CV210&lt;$BS210-$BT210*$BT$2),AVEDEV(ARRAYFORMULA(XLOOKUP(FILTER(INDIRECT(""'""&amp;CV$1&amp;""'!$C$4:$C$66""),INDIRECT(""'""&amp;CV$1&amp;""'!$D$4:$D$66"")=CV$2),$G$4:$BQ$4,$G210:$BQ210))),"""")"),"")</f>
        <v/>
      </c>
      <c r="CX210" s="208" t="str">
        <f t="shared" si="16"/>
        <v/>
      </c>
      <c r="CY210" s="209" t="s">
        <v>444</v>
      </c>
      <c r="CZ210" s="210">
        <f>IFERROR(__xludf.DUMMYFUNCTION("AVERAGE(ARRAYFORMULA(XLOOKUP(FILTER(INDIRECT(""'""&amp;CZ$1&amp;""'!$C$4:$C$66""),INDIRECT(""'""&amp;CZ$1&amp;""'!$D$4:$D$66"")=CZ$2),$G$4:$BQ$4,$G210:$BQ210)))"),-0.1504774864285714)</f>
        <v>-0.1504774864</v>
      </c>
      <c r="DA210" s="207" t="str">
        <f>IFERROR(__xludf.DUMMYFUNCTION("IF(OR(CZ210&gt;$BS210+$BT210*$BT$2,CZ210&lt;$BS210-$BT210*$BT$2),AVEDEV(ARRAYFORMULA(XLOOKUP(FILTER(INDIRECT(""'""&amp;CZ$1&amp;""'!$C$4:$C$66""),INDIRECT(""'""&amp;CZ$1&amp;""'!$D$4:$D$66"")=CZ$2),$G$4:$BQ$4,$G210:$BQ210))),"""")"),"")</f>
        <v/>
      </c>
      <c r="DB210" s="208" t="str">
        <f t="shared" si="17"/>
        <v/>
      </c>
      <c r="DC210" s="210">
        <f>IFERROR(__xludf.DUMMYFUNCTION("AVERAGE(ARRAYFORMULA(XLOOKUP(FILTER(INDIRECT(""'""&amp;DC$1&amp;""'!$C$4:$C$66""),INDIRECT(""'""&amp;DC$1&amp;""'!$D$4:$D$66"")=DC$2),$G$4:$BQ$4,$G210:$BQ210)))"),-0.1329432044444444)</f>
        <v>-0.1329432044</v>
      </c>
      <c r="DD210" s="207" t="str">
        <f>IFERROR(__xludf.DUMMYFUNCTION("IF(OR(DC210&gt;$BS210+$BT210*$BT$2,DC210&lt;$BS210-$BT210*$BT$2),AVEDEV(ARRAYFORMULA(XLOOKUP(FILTER(INDIRECT(""'""&amp;DC$1&amp;""'!$C$4:$C$66""),INDIRECT(""'""&amp;DC$1&amp;""'!$D$4:$D$66"")=DC$2),$G$4:$BQ$4,$G210:$BQ210))),"""")"),"")</f>
        <v/>
      </c>
      <c r="DE210" s="208" t="str">
        <f t="shared" si="18"/>
        <v/>
      </c>
      <c r="DF210" s="210">
        <f>IFERROR(__xludf.DUMMYFUNCTION("AVERAGE(ARRAYFORMULA(XLOOKUP(FILTER(INDIRECT(""'""&amp;DF$1&amp;""'!$C$4:$C$66""),INDIRECT(""'""&amp;DF$1&amp;""'!$D$4:$D$66"")=DF$2),$G$4:$BQ$4,$G210:$BQ210)))"),0.44601314)</f>
        <v>0.44601314</v>
      </c>
      <c r="DG210" s="207" t="str">
        <f>IFERROR(__xludf.DUMMYFUNCTION("IF(OR(DF210&gt;$BS210+$BT210*$BT$2,DF210&lt;$BS210-$BT210*$BT$2),AVEDEV(ARRAYFORMULA(XLOOKUP(FILTER(INDIRECT(""'""&amp;DF$1&amp;""'!$C$4:$C$66""),INDIRECT(""'""&amp;DF$1&amp;""'!$D$4:$D$66"")=DF$2),$G$4:$BQ$4,$G210:$BQ210))),"""")"),"")</f>
        <v/>
      </c>
      <c r="DH210" s="208" t="str">
        <f t="shared" si="19"/>
        <v/>
      </c>
      <c r="DI210" s="210">
        <f>IFERROR(__xludf.DUMMYFUNCTION("AVERAGE(ARRAYFORMULA(XLOOKUP(FILTER(INDIRECT(""'""&amp;DI$1&amp;""'!$C$4:$C$66""),INDIRECT(""'""&amp;DI$1&amp;""'!$D$4:$D$66"")=DI$2),$G$4:$BQ$4,$G210:$BQ210)))"),-0.33085751)</f>
        <v>-0.33085751</v>
      </c>
      <c r="DJ210" s="207" t="str">
        <f>IFERROR(__xludf.DUMMYFUNCTION("IF(OR(DI210&gt;$BS210+$BT210*$BT$2,DI210&lt;$BS210-$BT210*$BT$2),AVEDEV(ARRAYFORMULA(XLOOKUP(FILTER(INDIRECT(""'""&amp;DI$1&amp;""'!$C$4:$C$66""),INDIRECT(""'""&amp;DI$1&amp;""'!$D$4:$D$66"")=DI$2),$G$4:$BQ$4,$G210:$BQ210))),"""")"),"")</f>
        <v/>
      </c>
      <c r="DK210" s="208" t="str">
        <f t="shared" si="20"/>
        <v/>
      </c>
      <c r="DL210" s="210">
        <f>IFERROR(__xludf.DUMMYFUNCTION("AVERAGE(ARRAYFORMULA(XLOOKUP(FILTER(INDIRECT(""'""&amp;DL$1&amp;""'!$C$4:$C$66""),INDIRECT(""'""&amp;DL$1&amp;""'!$D$4:$D$66"")=DL$2),$G$4:$BQ$4,$G210:$BQ210)))"),0.38096845428571424)</f>
        <v>0.3809684543</v>
      </c>
      <c r="DM210" s="207" t="str">
        <f>IFERROR(__xludf.DUMMYFUNCTION("IF(OR(DL210&gt;$BS210+$BT210*$BT$2,DL210&lt;$BS210-$BT210*$BT$2),AVEDEV(ARRAYFORMULA(XLOOKUP(FILTER(INDIRECT(""'""&amp;DL$1&amp;""'!$C$4:$C$66""),INDIRECT(""'""&amp;DL$1&amp;""'!$D$4:$D$66"")=DL$2),$G$4:$BQ$4,$G210:$BQ210))),"""")"),"")</f>
        <v/>
      </c>
      <c r="DN210" s="208" t="str">
        <f t="shared" si="21"/>
        <v/>
      </c>
      <c r="DO210" s="209" t="s">
        <v>444</v>
      </c>
      <c r="DP210" s="210">
        <f>IFERROR(__xludf.DUMMYFUNCTION("AVERAGE(ARRAYFORMULA(XLOOKUP(FILTER(INDIRECT(""'""&amp;DP$1&amp;""'!$C$4:$C$66""),INDIRECT(""'""&amp;DP$1&amp;""'!$D$4:$D$66"")=DP$2),$G$4:$BQ$4,$G210:$BQ210)))"),0.12590591299999998)</f>
        <v>0.125905913</v>
      </c>
      <c r="DQ210" s="207" t="str">
        <f>IFERROR(__xludf.DUMMYFUNCTION("IF(OR(DP210&gt;$BS210+$BT210*$BT$2,DP210&lt;$BS210-$BT210*$BT$2),AVEDEV(ARRAYFORMULA(XLOOKUP(FILTER(INDIRECT(""'""&amp;DP$1&amp;""'!$C$4:$C$66""),INDIRECT(""'""&amp;DP$1&amp;""'!$D$4:$D$66"")=DP$2),$G$4:$BQ$4,$G210:$BQ210))),"""")"),"")</f>
        <v/>
      </c>
      <c r="DR210" s="208" t="str">
        <f t="shared" si="22"/>
        <v/>
      </c>
      <c r="DS210" s="210">
        <f>IFERROR(__xludf.DUMMYFUNCTION("AVERAGE(ARRAYFORMULA(XLOOKUP(FILTER(INDIRECT(""'""&amp;DS$1&amp;""'!$C$4:$C$66""),INDIRECT(""'""&amp;DS$1&amp;""'!$D$4:$D$66"")=DS$2),$G$4:$BQ$4,$G210:$BQ210)))"),-0.29840948222222224)</f>
        <v>-0.2984094822</v>
      </c>
      <c r="DT210" s="207" t="str">
        <f>IFERROR(__xludf.DUMMYFUNCTION("IF(OR(DS210&gt;$BS210+$BT210*$BT$2,DS210&lt;$BS210-$BT210*$BT$2),AVEDEV(ARRAYFORMULA(XLOOKUP(FILTER(INDIRECT(""'""&amp;DS$1&amp;""'!$C$4:$C$66""),INDIRECT(""'""&amp;DS$1&amp;""'!$D$4:$D$66"")=DS$2),$G$4:$BQ$4,$G210:$BQ210))),"""")"),"")</f>
        <v/>
      </c>
      <c r="DU210" s="208" t="str">
        <f t="shared" si="23"/>
        <v/>
      </c>
      <c r="DV210" s="210">
        <f>IFERROR(__xludf.DUMMYFUNCTION("AVERAGE(ARRAYFORMULA(XLOOKUP(FILTER(INDIRECT(""'""&amp;DV$1&amp;""'!$C$4:$C$66""),INDIRECT(""'""&amp;DV$1&amp;""'!$D$4:$D$66"")=DV$2),$G$4:$BQ$4,$G210:$BQ210)))"),0.25101282875)</f>
        <v>0.2510128288</v>
      </c>
      <c r="DW210" s="207" t="str">
        <f>IFERROR(__xludf.DUMMYFUNCTION("IF(OR(DV210&gt;$BS210+$BT210*$BT$2,DV210&lt;$BS210-$BT210*$BT$2),AVEDEV(ARRAYFORMULA(XLOOKUP(FILTER(INDIRECT(""'""&amp;DV$1&amp;""'!$C$4:$C$66""),INDIRECT(""'""&amp;DV$1&amp;""'!$D$4:$D$66"")=DV$2),$G$4:$BQ$4,$G210:$BQ210))),"""")"),"")</f>
        <v/>
      </c>
      <c r="DX210" s="208" t="str">
        <f t="shared" si="24"/>
        <v/>
      </c>
      <c r="DY210" s="210">
        <f>IFERROR(__xludf.DUMMYFUNCTION("AVERAGE(ARRAYFORMULA(XLOOKUP(FILTER(INDIRECT(""'""&amp;DY$1&amp;""'!$C$4:$C$66""),INDIRECT(""'""&amp;DY$1&amp;""'!$D$4:$D$66"")=DY$2),$G$4:$BQ$4,$G210:$BQ210)))"),0.18711081666666665)</f>
        <v>0.1871108167</v>
      </c>
      <c r="DZ210" s="207" t="str">
        <f>IFERROR(__xludf.DUMMYFUNCTION("IF(OR(DY210&gt;$BS210+$BT210*$BT$2,DY210&lt;$BS210-$BT210*$BT$2),AVEDEV(ARRAYFORMULA(XLOOKUP(FILTER(INDIRECT(""'""&amp;DY$1&amp;""'!$C$4:$C$66""),INDIRECT(""'""&amp;DY$1&amp;""'!$D$4:$D$66"")=DY$2),$G$4:$BQ$4,$G210:$BQ210))),"""")"),"")</f>
        <v/>
      </c>
      <c r="EA210" s="208" t="str">
        <f t="shared" si="25"/>
        <v/>
      </c>
      <c r="EB210" s="191"/>
    </row>
    <row r="211" outlineLevel="1">
      <c r="A211" s="2"/>
      <c r="B211" s="204">
        <v>207.0</v>
      </c>
      <c r="C211" s="204" t="s">
        <v>646</v>
      </c>
      <c r="D211" s="204" t="s">
        <v>656</v>
      </c>
      <c r="E211" s="205" t="b">
        <f>VLOOKUP(D211,'Feature Set List'!A207:C246,2,0)</f>
        <v>1</v>
      </c>
      <c r="F211" s="205" t="b">
        <f>VLOOKUP(D211,'Feature Set List'!A207:C246,3,0)</f>
        <v>0</v>
      </c>
      <c r="G211" s="205">
        <v>-0.6865801</v>
      </c>
      <c r="H211" s="205">
        <v>2.6978355</v>
      </c>
      <c r="I211" s="205">
        <v>-1.0541126</v>
      </c>
      <c r="J211" s="205">
        <v>-0.8155844</v>
      </c>
      <c r="K211" s="205">
        <v>-0.869697</v>
      </c>
      <c r="L211" s="205">
        <v>-0.1121212</v>
      </c>
      <c r="M211" s="205">
        <v>0.66580087</v>
      </c>
      <c r="N211" s="205">
        <v>-0.8441558</v>
      </c>
      <c r="O211" s="205">
        <v>1.40692641</v>
      </c>
      <c r="P211" s="205">
        <v>0.25800866</v>
      </c>
      <c r="Q211" s="205">
        <v>0.98268398</v>
      </c>
      <c r="R211" s="205">
        <v>-0.4229437</v>
      </c>
      <c r="S211" s="205">
        <v>0.34761905</v>
      </c>
      <c r="T211" s="205">
        <v>-0.1658009</v>
      </c>
      <c r="U211" s="205">
        <v>-0.3683983</v>
      </c>
      <c r="V211" s="205">
        <v>-0.1160173</v>
      </c>
      <c r="W211" s="205">
        <v>0.5030303</v>
      </c>
      <c r="X211" s="205">
        <v>1.8987013</v>
      </c>
      <c r="Y211" s="205">
        <v>0.0</v>
      </c>
      <c r="Z211" s="205">
        <v>0.19177489</v>
      </c>
      <c r="AA211" s="205">
        <v>0.6008658</v>
      </c>
      <c r="AB211" s="205">
        <v>-0.4047619</v>
      </c>
      <c r="AC211" s="205">
        <v>-0.6692641</v>
      </c>
      <c r="AD211" s="205">
        <v>1.2021645</v>
      </c>
      <c r="AE211" s="205">
        <v>-0.5645022</v>
      </c>
      <c r="AF211" s="205">
        <v>-0.0437229</v>
      </c>
      <c r="AG211" s="205">
        <v>0.01818182</v>
      </c>
      <c r="AH211" s="205">
        <v>-0.4632035</v>
      </c>
      <c r="AI211" s="205">
        <v>0.0025974</v>
      </c>
      <c r="AJ211" s="205">
        <v>0.1004329</v>
      </c>
      <c r="AK211" s="205">
        <v>-0.3402597</v>
      </c>
      <c r="AL211" s="205">
        <v>1.58051948</v>
      </c>
      <c r="AM211" s="205">
        <v>-1.6311688</v>
      </c>
      <c r="AN211" s="205">
        <v>-0.1883117</v>
      </c>
      <c r="AO211" s="205">
        <v>0.01082251</v>
      </c>
      <c r="AP211" s="205">
        <v>-0.3718615</v>
      </c>
      <c r="AQ211" s="205">
        <v>0.04458874</v>
      </c>
      <c r="AR211" s="205">
        <v>-0.1385281</v>
      </c>
      <c r="AS211" s="205">
        <v>1.11731602</v>
      </c>
      <c r="AT211" s="205">
        <v>-1.6311688</v>
      </c>
      <c r="AU211" s="205">
        <v>2.6978355</v>
      </c>
      <c r="AV211" s="205">
        <v>-0.3458874</v>
      </c>
      <c r="AW211" s="205">
        <v>-1.0233766</v>
      </c>
      <c r="AX211" s="205">
        <v>1.92251082</v>
      </c>
      <c r="AY211" s="205">
        <v>1.25497835</v>
      </c>
      <c r="AZ211" s="205">
        <v>0.27662338</v>
      </c>
      <c r="BA211" s="205">
        <v>0.73766234</v>
      </c>
      <c r="BB211" s="205">
        <v>0.0</v>
      </c>
      <c r="BC211" s="205">
        <v>-1.6311688</v>
      </c>
      <c r="BD211" s="205">
        <v>0.11255411</v>
      </c>
      <c r="BE211" s="205">
        <v>-0.6242424</v>
      </c>
      <c r="BF211" s="205">
        <v>1.06580087</v>
      </c>
      <c r="BG211" s="205">
        <v>-0.1714286</v>
      </c>
      <c r="BH211" s="205">
        <v>-1.6311688</v>
      </c>
      <c r="BI211" s="205">
        <v>1.85454545</v>
      </c>
      <c r="BJ211" s="205">
        <v>-0.5489177</v>
      </c>
      <c r="BK211" s="205">
        <v>0.65151515</v>
      </c>
      <c r="BL211" s="205">
        <v>-0.4428571</v>
      </c>
      <c r="BM211" s="205">
        <v>0.19177489</v>
      </c>
      <c r="BN211" s="205">
        <v>0.53333333</v>
      </c>
      <c r="BO211" s="205">
        <v>0.19177489</v>
      </c>
      <c r="BP211" s="205">
        <v>0.43333333</v>
      </c>
      <c r="BQ211" s="205">
        <v>-0.0493506</v>
      </c>
      <c r="BR211" s="206"/>
      <c r="BS211" s="207">
        <f t="shared" si="6"/>
        <v>0.1140246038</v>
      </c>
      <c r="BT211" s="207">
        <f t="shared" si="7"/>
        <v>0.7115657132</v>
      </c>
      <c r="BU211" s="206"/>
      <c r="BV211" s="207">
        <f>IFERROR(__xludf.DUMMYFUNCTION("AVERAGE(ARRAYFORMULA(XLOOKUP(FILTER(INDIRECT(""'""&amp;BV$1&amp;""'!$C$4:$C$66""),INDIRECT(""'""&amp;BV$1&amp;""'!$D$4:$D$66"")=BV$2),$G$4:$BQ$4,$G211:$BQ211)))"),0.24700062285714286)</f>
        <v>0.2470006229</v>
      </c>
      <c r="BW211" s="207" t="str">
        <f>IFERROR(__xludf.DUMMYFUNCTION("IF(OR(BV211&gt;$BS211+$BT211*$BT$2,BV211&lt;$BS211-$BT211*$BT$2),AVEDEV(ARRAYFORMULA(XLOOKUP(FILTER(INDIRECT(""'""&amp;BV$1&amp;""'!$C$4:$C$66""),INDIRECT(""'""&amp;BV$1&amp;""'!$D$4:$D$66"")=BV$2),$G$4:$BQ$4,$G211:$BQ211))),"""")"),"")</f>
        <v/>
      </c>
      <c r="BX211" s="208" t="str">
        <f t="shared" si="8"/>
        <v/>
      </c>
      <c r="BY211" s="207">
        <f>IFERROR(__xludf.DUMMYFUNCTION("AVERAGE(ARRAYFORMULA(XLOOKUP(FILTER(INDIRECT(""'""&amp;BY$1&amp;""'!$C$4:$C$66""),INDIRECT(""'""&amp;BY$1&amp;""'!$D$4:$D$66"")=BY$2),$G$4:$BQ$4,$G211:$BQ211)))"),0.049371269761904785)</f>
        <v>0.04937126976</v>
      </c>
      <c r="BZ211" s="207" t="str">
        <f>IFERROR(__xludf.DUMMYFUNCTION("IF(OR(BY211&gt;$BS211+$BT211*$BT$2,BY211&lt;$BS211-$BT211*$BT$2),AVEDEV(ARRAYFORMULA(XLOOKUP(FILTER(INDIRECT(""'""&amp;BY$1&amp;""'!$C$4:$C$66""),INDIRECT(""'""&amp;BY$1&amp;""'!$D$4:$D$66"")=BY$2),$G$4:$BQ$4,$G211:$BQ211))),"""")"),"")</f>
        <v/>
      </c>
      <c r="CA211" s="208" t="str">
        <f t="shared" si="9"/>
        <v/>
      </c>
      <c r="CB211" s="207">
        <f>IFERROR(__xludf.DUMMYFUNCTION("AVERAGE(ARRAYFORMULA(XLOOKUP(FILTER(INDIRECT(""'""&amp;CB$1&amp;""'!$C$4:$C$66""),INDIRECT(""'""&amp;CB$1&amp;""'!$D$4:$D$66"")=CB$2),$G$4:$BQ$4,$G211:$BQ211)))"),0.14769775818181813)</f>
        <v>0.1476977582</v>
      </c>
      <c r="CC211" s="207" t="str">
        <f>IFERROR(__xludf.DUMMYFUNCTION("IF(OR(CB211&gt;$BS211+$BT211*$BT$2,CB211&lt;$BS211-$BT211*$BT$2),AVEDEV(ARRAYFORMULA(XLOOKUP(FILTER(INDIRECT(""'""&amp;CB$1&amp;""'!$C$4:$C$66""),INDIRECT(""'""&amp;CB$1&amp;""'!$D$4:$D$66"")=CB$2),$G$4:$BQ$4,$G211:$BQ211))),"""")"),"")</f>
        <v/>
      </c>
      <c r="CD211" s="208" t="str">
        <f t="shared" si="10"/>
        <v/>
      </c>
      <c r="CE211" s="209" t="s">
        <v>444</v>
      </c>
      <c r="CF211" s="207">
        <f>IFERROR(__xludf.DUMMYFUNCTION("AVERAGE(ARRAYFORMULA(XLOOKUP(FILTER(INDIRECT(""'""&amp;CF$1&amp;""'!$C$4:$C$66""),INDIRECT(""'""&amp;CF$1&amp;""'!$D$4:$D$66"")=CF$2),$G$4:$BQ$4,$G211:$BQ211)))"),-0.19475107937499994)</f>
        <v>-0.1947510794</v>
      </c>
      <c r="CG211" s="207" t="str">
        <f>IFERROR(__xludf.DUMMYFUNCTION("IF(OR(CF211&gt;$BS211+$BT211*$BT$2,CF211&lt;$BS211-$BT211*$BT$2),AVEDEV(ARRAYFORMULA(XLOOKUP(FILTER(INDIRECT(""'""&amp;CF$1&amp;""'!$C$4:$C$66""),INDIRECT(""'""&amp;CF$1&amp;""'!$D$4:$D$66"")=CF$2),$G$4:$BQ$4,$G211:$BQ211))),"""")"),"")</f>
        <v/>
      </c>
      <c r="CH211" s="208" t="str">
        <f t="shared" si="11"/>
        <v/>
      </c>
      <c r="CI211" s="207">
        <f>IFERROR(__xludf.DUMMYFUNCTION("AVERAGE(ARRAYFORMULA(XLOOKUP(FILTER(INDIRECT(""'""&amp;CI$1&amp;""'!$C$4:$C$66""),INDIRECT(""'""&amp;CI$1&amp;""'!$D$4:$D$66"")=CI$2),$G$4:$BQ$4,$G211:$BQ211)))"),0.12322302161290322)</f>
        <v>0.1232230216</v>
      </c>
      <c r="CJ211" s="207" t="str">
        <f>IFERROR(__xludf.DUMMYFUNCTION("IF(OR(CI211&gt;$BS211+$BT211*$BT$2,CI211&lt;$BS211-$BT211*$BT$2),AVEDEV(ARRAYFORMULA(XLOOKUP(FILTER(INDIRECT(""'""&amp;CI$1&amp;""'!$C$4:$C$66""),INDIRECT(""'""&amp;CI$1&amp;""'!$D$4:$D$66"")=CI$2),$G$4:$BQ$4,$G211:$BQ211))),"""")"),"")</f>
        <v/>
      </c>
      <c r="CK211" s="208" t="str">
        <f t="shared" si="12"/>
        <v/>
      </c>
      <c r="CL211" s="207">
        <f>IFERROR(__xludf.DUMMYFUNCTION("AVERAGE(ARRAYFORMULA(XLOOKUP(FILTER(INDIRECT(""'""&amp;CL$1&amp;""'!$C$4:$C$66""),INDIRECT(""'""&amp;CL$1&amp;""'!$D$4:$D$66"")=CL$2),$G$4:$BQ$4,$G211:$BQ211)))"),0.35515150400000006)</f>
        <v>0.355151504</v>
      </c>
      <c r="CM211" s="207" t="str">
        <f>IFERROR(__xludf.DUMMYFUNCTION("IF(OR(CL211&gt;$BS211+$BT211*$BT$2,CL211&lt;$BS211-$BT211*$BT$2),AVEDEV(ARRAYFORMULA(XLOOKUP(FILTER(INDIRECT(""'""&amp;CL$1&amp;""'!$C$4:$C$66""),INDIRECT(""'""&amp;CL$1&amp;""'!$D$4:$D$66"")=CL$2),$G$4:$BQ$4,$G211:$BQ211))),"""")"),"")</f>
        <v/>
      </c>
      <c r="CN211" s="208" t="str">
        <f t="shared" si="13"/>
        <v/>
      </c>
      <c r="CO211" s="209" t="s">
        <v>444</v>
      </c>
      <c r="CP211" s="210">
        <f>IFERROR(__xludf.DUMMYFUNCTION("AVERAGE(ARRAYFORMULA(XLOOKUP(FILTER(INDIRECT(""'""&amp;CP$1&amp;""'!$C$4:$C$66""),INDIRECT(""'""&amp;CP$1&amp;""'!$D$4:$D$66"")=CP$2),$G$4:$BQ$4,$G211:$BQ211)))"),-0.22487734799999995)</f>
        <v>-0.224877348</v>
      </c>
      <c r="CQ211" s="207" t="str">
        <f>IFERROR(__xludf.DUMMYFUNCTION("IF(OR(CP211&gt;$BS211+$BT211*$BT$2,CP211&lt;$BS211-$BT211*$BT$2),AVEDEV(ARRAYFORMULA(XLOOKUP(FILTER(INDIRECT(""'""&amp;CP$1&amp;""'!$C$4:$C$66""),INDIRECT(""'""&amp;CP$1&amp;""'!$D$4:$D$66"")=CP$2),$G$4:$BQ$4,$G211:$BQ211))),"""")"),"")</f>
        <v/>
      </c>
      <c r="CR211" s="208" t="str">
        <f t="shared" si="14"/>
        <v/>
      </c>
      <c r="CS211" s="210">
        <f>IFERROR(__xludf.DUMMYFUNCTION("AVERAGE(ARRAYFORMULA(XLOOKUP(FILTER(INDIRECT(""'""&amp;CS$1&amp;""'!$C$4:$C$66""),INDIRECT(""'""&amp;CS$1&amp;""'!$D$4:$D$66"")=CS$2),$G$4:$BQ$4,$G211:$BQ211)))"),0.19147520076923077)</f>
        <v>0.1914752008</v>
      </c>
      <c r="CT211" s="207" t="str">
        <f>IFERROR(__xludf.DUMMYFUNCTION("IF(OR(CS211&gt;$BS211+$BT211*$BT$2,CS211&lt;$BS211-$BT211*$BT$2),AVEDEV(ARRAYFORMULA(XLOOKUP(FILTER(INDIRECT(""'""&amp;CS$1&amp;""'!$C$4:$C$66""),INDIRECT(""'""&amp;CS$1&amp;""'!$D$4:$D$66"")=CS$2),$G$4:$BQ$4,$G211:$BQ211))),"""")"),"")</f>
        <v/>
      </c>
      <c r="CU211" s="208" t="str">
        <f t="shared" si="15"/>
        <v/>
      </c>
      <c r="CV211" s="210">
        <f>IFERROR(__xludf.DUMMYFUNCTION("AVERAGE(ARRAYFORMULA(XLOOKUP(FILTER(INDIRECT(""'""&amp;CV$1&amp;""'!$C$4:$C$66""),INDIRECT(""'""&amp;CV$1&amp;""'!$D$4:$D$66"")=CV$2),$G$4:$BQ$4,$G211:$BQ211)))"),0.35515150400000006)</f>
        <v>0.355151504</v>
      </c>
      <c r="CW211" s="207" t="str">
        <f>IFERROR(__xludf.DUMMYFUNCTION("IF(OR(CV211&gt;$BS211+$BT211*$BT$2,CV211&lt;$BS211-$BT211*$BT$2),AVEDEV(ARRAYFORMULA(XLOOKUP(FILTER(INDIRECT(""'""&amp;CV$1&amp;""'!$C$4:$C$66""),INDIRECT(""'""&amp;CV$1&amp;""'!$D$4:$D$66"")=CV$2),$G$4:$BQ$4,$G211:$BQ211))),"""")"),"")</f>
        <v/>
      </c>
      <c r="CX211" s="208" t="str">
        <f t="shared" si="16"/>
        <v/>
      </c>
      <c r="CY211" s="209" t="s">
        <v>444</v>
      </c>
      <c r="CZ211" s="210">
        <f>IFERROR(__xludf.DUMMYFUNCTION("AVERAGE(ARRAYFORMULA(XLOOKUP(FILTER(INDIRECT(""'""&amp;CZ$1&amp;""'!$C$4:$C$66""),INDIRECT(""'""&amp;CZ$1&amp;""'!$D$4:$D$66"")=CZ$2),$G$4:$BQ$4,$G211:$BQ211)))"),0.1418058185714286)</f>
        <v>0.1418058186</v>
      </c>
      <c r="DA211" s="207" t="str">
        <f>IFERROR(__xludf.DUMMYFUNCTION("IF(OR(CZ211&gt;$BS211+$BT211*$BT$2,CZ211&lt;$BS211-$BT211*$BT$2),AVEDEV(ARRAYFORMULA(XLOOKUP(FILTER(INDIRECT(""'""&amp;CZ$1&amp;""'!$C$4:$C$66""),INDIRECT(""'""&amp;CZ$1&amp;""'!$D$4:$D$66"")=CZ$2),$G$4:$BQ$4,$G211:$BQ211))),"""")"),"")</f>
        <v/>
      </c>
      <c r="DB211" s="208" t="str">
        <f t="shared" si="17"/>
        <v/>
      </c>
      <c r="DC211" s="210">
        <f>IFERROR(__xludf.DUMMYFUNCTION("AVERAGE(ARRAYFORMULA(XLOOKUP(FILTER(INDIRECT(""'""&amp;DC$1&amp;""'!$C$4:$C$66""),INDIRECT(""'""&amp;DC$1&amp;""'!$D$4:$D$66"")=DC$2),$G$4:$BQ$4,$G211:$BQ211)))"),0.12847522999999994)</f>
        <v>0.12847523</v>
      </c>
      <c r="DD211" s="207" t="str">
        <f>IFERROR(__xludf.DUMMYFUNCTION("IF(OR(DC211&gt;$BS211+$BT211*$BT$2,DC211&lt;$BS211-$BT211*$BT$2),AVEDEV(ARRAYFORMULA(XLOOKUP(FILTER(INDIRECT(""'""&amp;DC$1&amp;""'!$C$4:$C$66""),INDIRECT(""'""&amp;DC$1&amp;""'!$D$4:$D$66"")=DC$2),$G$4:$BQ$4,$G211:$BQ211))),"""")"),"")</f>
        <v/>
      </c>
      <c r="DE211" s="208" t="str">
        <f t="shared" si="18"/>
        <v/>
      </c>
      <c r="DF211" s="210">
        <f>IFERROR(__xludf.DUMMYFUNCTION("AVERAGE(ARRAYFORMULA(XLOOKUP(FILTER(INDIRECT(""'""&amp;DF$1&amp;""'!$C$4:$C$66""),INDIRECT(""'""&amp;DF$1&amp;""'!$D$4:$D$66"")=DF$2),$G$4:$BQ$4,$G211:$BQ211)))"),-0.3545454527272727)</f>
        <v>-0.3545454527</v>
      </c>
      <c r="DG211" s="207" t="str">
        <f>IFERROR(__xludf.DUMMYFUNCTION("IF(OR(DF211&gt;$BS211+$BT211*$BT$2,DF211&lt;$BS211-$BT211*$BT$2),AVEDEV(ARRAYFORMULA(XLOOKUP(FILTER(INDIRECT(""'""&amp;DF$1&amp;""'!$C$4:$C$66""),INDIRECT(""'""&amp;DF$1&amp;""'!$D$4:$D$66"")=DF$2),$G$4:$BQ$4,$G211:$BQ211))),"""")"),"")</f>
        <v/>
      </c>
      <c r="DH211" s="208" t="str">
        <f t="shared" si="19"/>
        <v/>
      </c>
      <c r="DI211" s="210">
        <f>IFERROR(__xludf.DUMMYFUNCTION("AVERAGE(ARRAYFORMULA(XLOOKUP(FILTER(INDIRECT(""'""&amp;DI$1&amp;""'!$C$4:$C$66""),INDIRECT(""'""&amp;DI$1&amp;""'!$D$4:$D$66"")=DI$2),$G$4:$BQ$4,$G211:$BQ211)))"),-0.21450214999999995)</f>
        <v>-0.21450215</v>
      </c>
      <c r="DJ211" s="207" t="str">
        <f>IFERROR(__xludf.DUMMYFUNCTION("IF(OR(DI211&gt;$BS211+$BT211*$BT$2,DI211&lt;$BS211-$BT211*$BT$2),AVEDEV(ARRAYFORMULA(XLOOKUP(FILTER(INDIRECT(""'""&amp;DI$1&amp;""'!$C$4:$C$66""),INDIRECT(""'""&amp;DI$1&amp;""'!$D$4:$D$66"")=DI$2),$G$4:$BQ$4,$G211:$BQ211))),"""")"),"")</f>
        <v/>
      </c>
      <c r="DK211" s="208" t="str">
        <f t="shared" si="20"/>
        <v/>
      </c>
      <c r="DL211" s="210">
        <f>IFERROR(__xludf.DUMMYFUNCTION("AVERAGE(ARRAYFORMULA(XLOOKUP(FILTER(INDIRECT(""'""&amp;DL$1&amp;""'!$C$4:$C$66""),INDIRECT(""'""&amp;DL$1&amp;""'!$D$4:$D$66"")=DL$2),$G$4:$BQ$4,$G211:$BQ211)))"),0.31759432214285727)</f>
        <v>0.3175943221</v>
      </c>
      <c r="DM211" s="207" t="str">
        <f>IFERROR(__xludf.DUMMYFUNCTION("IF(OR(DL211&gt;$BS211+$BT211*$BT$2,DL211&lt;$BS211-$BT211*$BT$2),AVEDEV(ARRAYFORMULA(XLOOKUP(FILTER(INDIRECT(""'""&amp;DL$1&amp;""'!$C$4:$C$66""),INDIRECT(""'""&amp;DL$1&amp;""'!$D$4:$D$66"")=DL$2),$G$4:$BQ$4,$G211:$BQ211))),"""")"),"")</f>
        <v/>
      </c>
      <c r="DN211" s="208" t="str">
        <f t="shared" si="21"/>
        <v/>
      </c>
      <c r="DO211" s="209" t="s">
        <v>444</v>
      </c>
      <c r="DP211" s="210">
        <f>IFERROR(__xludf.DUMMYFUNCTION("AVERAGE(ARRAYFORMULA(XLOOKUP(FILTER(INDIRECT(""'""&amp;DP$1&amp;""'!$C$4:$C$66""),INDIRECT(""'""&amp;DP$1&amp;""'!$D$4:$D$66"")=DP$2),$G$4:$BQ$4,$G211:$BQ211)))"),0.038066381)</f>
        <v>0.038066381</v>
      </c>
      <c r="DQ211" s="207" t="str">
        <f>IFERROR(__xludf.DUMMYFUNCTION("IF(OR(DP211&gt;$BS211+$BT211*$BT$2,DP211&lt;$BS211-$BT211*$BT$2),AVEDEV(ARRAYFORMULA(XLOOKUP(FILTER(INDIRECT(""'""&amp;DP$1&amp;""'!$C$4:$C$66""),INDIRECT(""'""&amp;DP$1&amp;""'!$D$4:$D$66"")=DP$2),$G$4:$BQ$4,$G211:$BQ211))),"""")"),"")</f>
        <v/>
      </c>
      <c r="DR211" s="208" t="str">
        <f t="shared" si="22"/>
        <v/>
      </c>
      <c r="DS211" s="210">
        <f>IFERROR(__xludf.DUMMYFUNCTION("AVERAGE(ARRAYFORMULA(XLOOKUP(FILTER(INDIRECT(""'""&amp;DS$1&amp;""'!$C$4:$C$66""),INDIRECT(""'""&amp;DS$1&amp;""'!$D$4:$D$66"")=DS$2),$G$4:$BQ$4,$G211:$BQ211)))"),0.11620971777777779)</f>
        <v>0.1162097178</v>
      </c>
      <c r="DT211" s="207" t="str">
        <f>IFERROR(__xludf.DUMMYFUNCTION("IF(OR(DS211&gt;$BS211+$BT211*$BT$2,DS211&lt;$BS211-$BT211*$BT$2),AVEDEV(ARRAYFORMULA(XLOOKUP(FILTER(INDIRECT(""'""&amp;DS$1&amp;""'!$C$4:$C$66""),INDIRECT(""'""&amp;DS$1&amp;""'!$D$4:$D$66"")=DS$2),$G$4:$BQ$4,$G211:$BQ211))),"""")"),"")</f>
        <v/>
      </c>
      <c r="DU211" s="208" t="str">
        <f t="shared" si="23"/>
        <v/>
      </c>
      <c r="DV211" s="210">
        <f>IFERROR(__xludf.DUMMYFUNCTION("AVERAGE(ARRAYFORMULA(XLOOKUP(FILTER(INDIRECT(""'""&amp;DV$1&amp;""'!$C$4:$C$66""),INDIRECT(""'""&amp;DV$1&amp;""'!$D$4:$D$66"")=DV$2),$G$4:$BQ$4,$G211:$BQ211)))"),0.39951298625)</f>
        <v>0.3995129863</v>
      </c>
      <c r="DW211" s="207" t="str">
        <f>IFERROR(__xludf.DUMMYFUNCTION("IF(OR(DV211&gt;$BS211+$BT211*$BT$2,DV211&lt;$BS211-$BT211*$BT$2),AVEDEV(ARRAYFORMULA(XLOOKUP(FILTER(INDIRECT(""'""&amp;DV$1&amp;""'!$C$4:$C$66""),INDIRECT(""'""&amp;DV$1&amp;""'!$D$4:$D$66"")=DV$2),$G$4:$BQ$4,$G211:$BQ211))),"""")"),"")</f>
        <v/>
      </c>
      <c r="DX211" s="208" t="str">
        <f t="shared" si="24"/>
        <v/>
      </c>
      <c r="DY211" s="210">
        <f>IFERROR(__xludf.DUMMYFUNCTION("AVERAGE(ARRAYFORMULA(XLOOKUP(FILTER(INDIRECT(""'""&amp;DY$1&amp;""'!$C$4:$C$66""),INDIRECT(""'""&amp;DY$1&amp;""'!$D$4:$D$66"")=DY$2),$G$4:$BQ$4,$G211:$BQ211)))"),-0.1427609288888889)</f>
        <v>-0.1427609289</v>
      </c>
      <c r="DZ211" s="207" t="str">
        <f>IFERROR(__xludf.DUMMYFUNCTION("IF(OR(DY211&gt;$BS211+$BT211*$BT$2,DY211&lt;$BS211-$BT211*$BT$2),AVEDEV(ARRAYFORMULA(XLOOKUP(FILTER(INDIRECT(""'""&amp;DY$1&amp;""'!$C$4:$C$66""),INDIRECT(""'""&amp;DY$1&amp;""'!$D$4:$D$66"")=DY$2),$G$4:$BQ$4,$G211:$BQ211))),"""")"),"")</f>
        <v/>
      </c>
      <c r="EA211" s="208" t="str">
        <f t="shared" si="25"/>
        <v/>
      </c>
      <c r="EB211" s="191"/>
    </row>
    <row r="212" outlineLevel="1">
      <c r="A212" s="2"/>
      <c r="B212" s="204">
        <v>208.0</v>
      </c>
      <c r="C212" s="204" t="s">
        <v>646</v>
      </c>
      <c r="D212" s="204" t="s">
        <v>657</v>
      </c>
      <c r="E212" s="205" t="b">
        <f>VLOOKUP(D212,'Feature Set List'!A208:C246,2,0)</f>
        <v>1</v>
      </c>
      <c r="F212" s="205" t="b">
        <f>VLOOKUP(D212,'Feature Set List'!A208:C246,3,0)</f>
        <v>0</v>
      </c>
      <c r="G212" s="205">
        <v>0.0</v>
      </c>
      <c r="H212" s="205">
        <v>0.02284</v>
      </c>
      <c r="I212" s="205">
        <v>0.0</v>
      </c>
      <c r="J212" s="205">
        <v>0.0</v>
      </c>
      <c r="K212" s="205">
        <v>0.0</v>
      </c>
      <c r="L212" s="205">
        <v>0.0</v>
      </c>
      <c r="M212" s="205">
        <v>0.0</v>
      </c>
      <c r="N212" s="205">
        <v>0.0</v>
      </c>
      <c r="O212" s="205">
        <v>0.008163</v>
      </c>
      <c r="P212" s="205">
        <v>0.0</v>
      </c>
      <c r="Q212" s="205">
        <v>0.1693</v>
      </c>
      <c r="R212" s="205">
        <v>0.02206</v>
      </c>
      <c r="S212" s="205">
        <v>0.2965</v>
      </c>
      <c r="T212" s="205">
        <v>0.0</v>
      </c>
      <c r="U212" s="205">
        <v>0.0</v>
      </c>
      <c r="V212" s="205">
        <v>0.0</v>
      </c>
      <c r="W212" s="205">
        <v>0.0</v>
      </c>
      <c r="X212" s="205">
        <v>0.01105</v>
      </c>
      <c r="Y212" s="205">
        <v>0.0</v>
      </c>
      <c r="Z212" s="205">
        <v>0.0</v>
      </c>
      <c r="AA212" s="205">
        <v>0.0</v>
      </c>
      <c r="AB212" s="205">
        <v>0.0</v>
      </c>
      <c r="AC212" s="205">
        <v>0.0</v>
      </c>
      <c r="AD212" s="205">
        <v>0.0</v>
      </c>
      <c r="AE212" s="205">
        <v>0.0</v>
      </c>
      <c r="AF212" s="205">
        <v>0.0</v>
      </c>
      <c r="AG212" s="205">
        <v>0.0</v>
      </c>
      <c r="AH212" s="205">
        <v>0.0</v>
      </c>
      <c r="AI212" s="205">
        <v>0.0</v>
      </c>
      <c r="AJ212" s="205">
        <v>0.4396</v>
      </c>
      <c r="AK212" s="205">
        <v>0.0</v>
      </c>
      <c r="AL212" s="205">
        <v>0.0</v>
      </c>
      <c r="AM212" s="205">
        <v>0.0</v>
      </c>
      <c r="AN212" s="205">
        <v>0.0</v>
      </c>
      <c r="AO212" s="205">
        <v>0.4495</v>
      </c>
      <c r="AP212" s="205">
        <v>0.44</v>
      </c>
      <c r="AQ212" s="205">
        <v>0.0</v>
      </c>
      <c r="AR212" s="205">
        <v>0.0</v>
      </c>
      <c r="AS212" s="205">
        <v>0.5556</v>
      </c>
      <c r="AT212" s="205">
        <v>0.0</v>
      </c>
      <c r="AU212" s="205">
        <v>0.0</v>
      </c>
      <c r="AV212" s="205">
        <v>0.0</v>
      </c>
      <c r="AW212" s="205">
        <v>0.0</v>
      </c>
      <c r="AX212" s="205">
        <v>0.1474</v>
      </c>
      <c r="AY212" s="205">
        <v>0.0</v>
      </c>
      <c r="AZ212" s="205">
        <v>0.0</v>
      </c>
      <c r="BA212" s="205">
        <v>0.0</v>
      </c>
      <c r="BB212" s="205">
        <v>0.01536</v>
      </c>
      <c r="BC212" s="205">
        <v>0.0</v>
      </c>
      <c r="BD212" s="205">
        <v>0.0</v>
      </c>
      <c r="BE212" s="205">
        <v>0.0</v>
      </c>
      <c r="BF212" s="205">
        <v>0.3196</v>
      </c>
      <c r="BG212" s="205">
        <v>0.0</v>
      </c>
      <c r="BH212" s="205">
        <v>0.0</v>
      </c>
      <c r="BI212" s="205">
        <v>0.0</v>
      </c>
      <c r="BJ212" s="205">
        <v>0.0</v>
      </c>
      <c r="BK212" s="205">
        <v>0.0</v>
      </c>
      <c r="BL212" s="205">
        <v>0.0</v>
      </c>
      <c r="BM212" s="205">
        <v>0.0</v>
      </c>
      <c r="BN212" s="205">
        <v>0.0202</v>
      </c>
      <c r="BO212" s="205">
        <v>0.0</v>
      </c>
      <c r="BP212" s="205">
        <v>0.0</v>
      </c>
      <c r="BQ212" s="205">
        <v>0.6162</v>
      </c>
      <c r="BR212" s="206"/>
      <c r="BS212" s="207">
        <f t="shared" si="6"/>
        <v>0.05608528571</v>
      </c>
      <c r="BT212" s="207">
        <f t="shared" si="7"/>
        <v>0.09298198186</v>
      </c>
      <c r="BU212" s="206"/>
      <c r="BV212" s="207">
        <f>IFERROR(__xludf.DUMMYFUNCTION("AVERAGE(ARRAYFORMULA(XLOOKUP(FILTER(INDIRECT(""'""&amp;BV$1&amp;""'!$C$4:$C$66""),INDIRECT(""'""&amp;BV$1&amp;""'!$D$4:$D$66"")=BV$2),$G$4:$BQ$4,$G212:$BQ212)))"),0.06798714285714286)</f>
        <v>0.06798714286</v>
      </c>
      <c r="BW212" s="207" t="str">
        <f>IFERROR(__xludf.DUMMYFUNCTION("IF(OR(BV212&gt;$BS212+$BT212*$BT$2,BV212&lt;$BS212-$BT212*$BT$2),AVEDEV(ARRAYFORMULA(XLOOKUP(FILTER(INDIRECT(""'""&amp;BV$1&amp;""'!$C$4:$C$66""),INDIRECT(""'""&amp;BV$1&amp;""'!$D$4:$D$66"")=BV$2),$G$4:$BQ$4,$G212:$BQ212))),"""")"),"")</f>
        <v/>
      </c>
      <c r="BX212" s="208" t="str">
        <f t="shared" si="8"/>
        <v/>
      </c>
      <c r="BY212" s="207">
        <f>IFERROR(__xludf.DUMMYFUNCTION("AVERAGE(ARRAYFORMULA(XLOOKUP(FILTER(INDIRECT(""'""&amp;BY$1&amp;""'!$C$4:$C$66""),INDIRECT(""'""&amp;BY$1&amp;""'!$D$4:$D$66"")=BY$2),$G$4:$BQ$4,$G212:$BQ212)))"),0.0727967380952381)</f>
        <v>0.0727967381</v>
      </c>
      <c r="BZ212" s="207" t="str">
        <f>IFERROR(__xludf.DUMMYFUNCTION("IF(OR(BY212&gt;$BS212+$BT212*$BT$2,BY212&lt;$BS212-$BT212*$BT$2),AVEDEV(ARRAYFORMULA(XLOOKUP(FILTER(INDIRECT(""'""&amp;BY$1&amp;""'!$C$4:$C$66""),INDIRECT(""'""&amp;BY$1&amp;""'!$D$4:$D$66"")=BY$2),$G$4:$BQ$4,$G212:$BQ212))),"""")"),"")</f>
        <v/>
      </c>
      <c r="CA212" s="208" t="str">
        <f t="shared" si="9"/>
        <v/>
      </c>
      <c r="CB212" s="207">
        <f>IFERROR(__xludf.DUMMYFUNCTION("AVERAGE(ARRAYFORMULA(XLOOKUP(FILTER(INDIRECT(""'""&amp;CB$1&amp;""'!$C$4:$C$66""),INDIRECT(""'""&amp;CB$1&amp;""'!$D$4:$D$66"")=CB$2),$G$4:$BQ$4,$G212:$BQ212)))"),0.0)</f>
        <v>0</v>
      </c>
      <c r="CC212" s="207" t="str">
        <f>IFERROR(__xludf.DUMMYFUNCTION("IF(OR(CB212&gt;$BS212+$BT212*$BT$2,CB212&lt;$BS212-$BT212*$BT$2),AVEDEV(ARRAYFORMULA(XLOOKUP(FILTER(INDIRECT(""'""&amp;CB$1&amp;""'!$C$4:$C$66""),INDIRECT(""'""&amp;CB$1&amp;""'!$D$4:$D$66"")=CB$2),$G$4:$BQ$4,$G212:$BQ212))),"""")"),"")</f>
        <v/>
      </c>
      <c r="CD212" s="208" t="str">
        <f t="shared" si="10"/>
        <v/>
      </c>
      <c r="CE212" s="209" t="s">
        <v>444</v>
      </c>
      <c r="CF212" s="207">
        <f>IFERROR(__xludf.DUMMYFUNCTION("AVERAGE(ARRAYFORMULA(XLOOKUP(FILTER(INDIRECT(""'""&amp;CF$1&amp;""'!$C$4:$C$66""),INDIRECT(""'""&amp;CF$1&amp;""'!$D$4:$D$66"")=CF$2),$G$4:$BQ$4,$G212:$BQ212)))"),0.0498625)</f>
        <v>0.0498625</v>
      </c>
      <c r="CG212" s="207" t="str">
        <f>IFERROR(__xludf.DUMMYFUNCTION("IF(OR(CF212&gt;$BS212+$BT212*$BT$2,CF212&lt;$BS212-$BT212*$BT$2),AVEDEV(ARRAYFORMULA(XLOOKUP(FILTER(INDIRECT(""'""&amp;CF$1&amp;""'!$C$4:$C$66""),INDIRECT(""'""&amp;CF$1&amp;""'!$D$4:$D$66"")=CF$2),$G$4:$BQ$4,$G212:$BQ212))),"""")"),"")</f>
        <v/>
      </c>
      <c r="CH212" s="208" t="str">
        <f t="shared" si="11"/>
        <v/>
      </c>
      <c r="CI212" s="207">
        <f>IFERROR(__xludf.DUMMYFUNCTION("AVERAGE(ARRAYFORMULA(XLOOKUP(FILTER(INDIRECT(""'""&amp;CI$1&amp;""'!$C$4:$C$66""),INDIRECT(""'""&amp;CI$1&amp;""'!$D$4:$D$66"")=CI$2),$G$4:$BQ$4,$G212:$BQ212)))"),0.05071041935483871)</f>
        <v>0.05071041935</v>
      </c>
      <c r="CJ212" s="207" t="str">
        <f>IFERROR(__xludf.DUMMYFUNCTION("IF(OR(CI212&gt;$BS212+$BT212*$BT$2,CI212&lt;$BS212-$BT212*$BT$2),AVEDEV(ARRAYFORMULA(XLOOKUP(FILTER(INDIRECT(""'""&amp;CI$1&amp;""'!$C$4:$C$66""),INDIRECT(""'""&amp;CI$1&amp;""'!$D$4:$D$66"")=CI$2),$G$4:$BQ$4,$G212:$BQ212))),"""")"),"")</f>
        <v/>
      </c>
      <c r="CK212" s="208" t="str">
        <f t="shared" si="12"/>
        <v/>
      </c>
      <c r="CL212" s="207">
        <f>IFERROR(__xludf.DUMMYFUNCTION("AVERAGE(ARRAYFORMULA(XLOOKUP(FILTER(INDIRECT(""'""&amp;CL$1&amp;""'!$C$4:$C$66""),INDIRECT(""'""&amp;CL$1&amp;""'!$D$4:$D$66"")=CL$2),$G$4:$BQ$4,$G212:$BQ212)))"),0.11112)</f>
        <v>0.11112</v>
      </c>
      <c r="CM212" s="207" t="str">
        <f>IFERROR(__xludf.DUMMYFUNCTION("IF(OR(CL212&gt;$BS212+$BT212*$BT$2,CL212&lt;$BS212-$BT212*$BT$2),AVEDEV(ARRAYFORMULA(XLOOKUP(FILTER(INDIRECT(""'""&amp;CL$1&amp;""'!$C$4:$C$66""),INDIRECT(""'""&amp;CL$1&amp;""'!$D$4:$D$66"")=CL$2),$G$4:$BQ$4,$G212:$BQ212))),"""")"),"")</f>
        <v/>
      </c>
      <c r="CN212" s="208" t="str">
        <f t="shared" si="13"/>
        <v/>
      </c>
      <c r="CO212" s="209" t="s">
        <v>444</v>
      </c>
      <c r="CP212" s="210">
        <f>IFERROR(__xludf.DUMMYFUNCTION("AVERAGE(ARRAYFORMULA(XLOOKUP(FILTER(INDIRECT(""'""&amp;CP$1&amp;""'!$C$4:$C$66""),INDIRECT(""'""&amp;CP$1&amp;""'!$D$4:$D$66"")=CP$2),$G$4:$BQ$4,$G212:$BQ212)))"),0.0017606666666666669)</f>
        <v>0.001760666667</v>
      </c>
      <c r="CQ212" s="207" t="str">
        <f>IFERROR(__xludf.DUMMYFUNCTION("IF(OR(CP212&gt;$BS212+$BT212*$BT$2,CP212&lt;$BS212-$BT212*$BT$2),AVEDEV(ARRAYFORMULA(XLOOKUP(FILTER(INDIRECT(""'""&amp;CP$1&amp;""'!$C$4:$C$66""),INDIRECT(""'""&amp;CP$1&amp;""'!$D$4:$D$66"")=CP$2),$G$4:$BQ$4,$G212:$BQ212))),"""")"),"")</f>
        <v/>
      </c>
      <c r="CR212" s="208" t="str">
        <f t="shared" si="14"/>
        <v/>
      </c>
      <c r="CS212" s="210">
        <f>IFERROR(__xludf.DUMMYFUNCTION("AVERAGE(ARRAYFORMULA(XLOOKUP(FILTER(INDIRECT(""'""&amp;CS$1&amp;""'!$C$4:$C$66""),INDIRECT(""'""&amp;CS$1&amp;""'!$D$4:$D$66"")=CS$2),$G$4:$BQ$4,$G212:$BQ212)))"),0.07567597435897436)</f>
        <v>0.07567597436</v>
      </c>
      <c r="CT212" s="207" t="str">
        <f>IFERROR(__xludf.DUMMYFUNCTION("IF(OR(CS212&gt;$BS212+$BT212*$BT$2,CS212&lt;$BS212-$BT212*$BT$2),AVEDEV(ARRAYFORMULA(XLOOKUP(FILTER(INDIRECT(""'""&amp;CS$1&amp;""'!$C$4:$C$66""),INDIRECT(""'""&amp;CS$1&amp;""'!$D$4:$D$66"")=CS$2),$G$4:$BQ$4,$G212:$BQ212))),"""")"),"")</f>
        <v/>
      </c>
      <c r="CU212" s="208" t="str">
        <f t="shared" si="15"/>
        <v/>
      </c>
      <c r="CV212" s="210">
        <f>IFERROR(__xludf.DUMMYFUNCTION("AVERAGE(ARRAYFORMULA(XLOOKUP(FILTER(INDIRECT(""'""&amp;CV$1&amp;""'!$C$4:$C$66""),INDIRECT(""'""&amp;CV$1&amp;""'!$D$4:$D$66"")=CV$2),$G$4:$BQ$4,$G212:$BQ212)))"),0.11112)</f>
        <v>0.11112</v>
      </c>
      <c r="CW212" s="207" t="str">
        <f>IFERROR(__xludf.DUMMYFUNCTION("IF(OR(CV212&gt;$BS212+$BT212*$BT$2,CV212&lt;$BS212-$BT212*$BT$2),AVEDEV(ARRAYFORMULA(XLOOKUP(FILTER(INDIRECT(""'""&amp;CV$1&amp;""'!$C$4:$C$66""),INDIRECT(""'""&amp;CV$1&amp;""'!$D$4:$D$66"")=CV$2),$G$4:$BQ$4,$G212:$BQ212))),"""")"),"")</f>
        <v/>
      </c>
      <c r="CX212" s="208" t="str">
        <f t="shared" si="16"/>
        <v/>
      </c>
      <c r="CY212" s="209" t="s">
        <v>444</v>
      </c>
      <c r="CZ212" s="210">
        <f>IFERROR(__xludf.DUMMYFUNCTION("AVERAGE(ARRAYFORMULA(XLOOKUP(FILTER(INDIRECT(""'""&amp;CZ$1&amp;""'!$C$4:$C$66""),INDIRECT(""'""&amp;CZ$1&amp;""'!$D$4:$D$66"")=CZ$2),$G$4:$BQ$4,$G212:$BQ212)))"),0.05588857142857143)</f>
        <v>0.05588857143</v>
      </c>
      <c r="DA212" s="207" t="str">
        <f>IFERROR(__xludf.DUMMYFUNCTION("IF(OR(CZ212&gt;$BS212+$BT212*$BT$2,CZ212&lt;$BS212-$BT212*$BT$2),AVEDEV(ARRAYFORMULA(XLOOKUP(FILTER(INDIRECT(""'""&amp;CZ$1&amp;""'!$C$4:$C$66""),INDIRECT(""'""&amp;CZ$1&amp;""'!$D$4:$D$66"")=CZ$2),$G$4:$BQ$4,$G212:$BQ212))),"""")"),"")</f>
        <v/>
      </c>
      <c r="DB212" s="208" t="str">
        <f t="shared" si="17"/>
        <v/>
      </c>
      <c r="DC212" s="210">
        <f>IFERROR(__xludf.DUMMYFUNCTION("AVERAGE(ARRAYFORMULA(XLOOKUP(FILTER(INDIRECT(""'""&amp;DC$1&amp;""'!$C$4:$C$66""),INDIRECT(""'""&amp;DC$1&amp;""'!$D$4:$D$66"")=DC$2),$G$4:$BQ$4,$G212:$BQ212)))"),0.0)</f>
        <v>0</v>
      </c>
      <c r="DD212" s="207" t="str">
        <f>IFERROR(__xludf.DUMMYFUNCTION("IF(OR(DC212&gt;$BS212+$BT212*$BT$2,DC212&lt;$BS212-$BT212*$BT$2),AVEDEV(ARRAYFORMULA(XLOOKUP(FILTER(INDIRECT(""'""&amp;DC$1&amp;""'!$C$4:$C$66""),INDIRECT(""'""&amp;DC$1&amp;""'!$D$4:$D$66"")=DC$2),$G$4:$BQ$4,$G212:$BQ212))),"""")"),"")</f>
        <v/>
      </c>
      <c r="DE212" s="208" t="str">
        <f t="shared" si="18"/>
        <v/>
      </c>
      <c r="DF212" s="210">
        <f>IFERROR(__xludf.DUMMYFUNCTION("AVERAGE(ARRAYFORMULA(XLOOKUP(FILTER(INDIRECT(""'""&amp;DF$1&amp;""'!$C$4:$C$66""),INDIRECT(""'""&amp;DF$1&amp;""'!$D$4:$D$66"")=DF$2),$G$4:$BQ$4,$G212:$BQ212)))"),0.026954545454545453)</f>
        <v>0.02695454545</v>
      </c>
      <c r="DG212" s="207" t="str">
        <f>IFERROR(__xludf.DUMMYFUNCTION("IF(OR(DF212&gt;$BS212+$BT212*$BT$2,DF212&lt;$BS212-$BT212*$BT$2),AVEDEV(ARRAYFORMULA(XLOOKUP(FILTER(INDIRECT(""'""&amp;DF$1&amp;""'!$C$4:$C$66""),INDIRECT(""'""&amp;DF$1&amp;""'!$D$4:$D$66"")=DF$2),$G$4:$BQ$4,$G212:$BQ212))),"""")"),"")</f>
        <v/>
      </c>
      <c r="DH212" s="208" t="str">
        <f t="shared" si="19"/>
        <v/>
      </c>
      <c r="DI212" s="210">
        <f>IFERROR(__xludf.DUMMYFUNCTION("AVERAGE(ARRAYFORMULA(XLOOKUP(FILTER(INDIRECT(""'""&amp;DI$1&amp;""'!$C$4:$C$66""),INDIRECT(""'""&amp;DI$1&amp;""'!$D$4:$D$66"")=DI$2),$G$4:$BQ$4,$G212:$BQ212)))"),0.0)</f>
        <v>0</v>
      </c>
      <c r="DJ212" s="207" t="str">
        <f>IFERROR(__xludf.DUMMYFUNCTION("IF(OR(DI212&gt;$BS212+$BT212*$BT$2,DI212&lt;$BS212-$BT212*$BT$2),AVEDEV(ARRAYFORMULA(XLOOKUP(FILTER(INDIRECT(""'""&amp;DI$1&amp;""'!$C$4:$C$66""),INDIRECT(""'""&amp;DI$1&amp;""'!$D$4:$D$66"")=DI$2),$G$4:$BQ$4,$G212:$BQ212))),"""")"),"")</f>
        <v/>
      </c>
      <c r="DK212" s="208" t="str">
        <f t="shared" si="20"/>
        <v/>
      </c>
      <c r="DL212" s="210">
        <f>IFERROR(__xludf.DUMMYFUNCTION("AVERAGE(ARRAYFORMULA(XLOOKUP(FILTER(INDIRECT(""'""&amp;DL$1&amp;""'!$C$4:$C$66""),INDIRECT(""'""&amp;DL$1&amp;""'!$D$4:$D$66"")=DL$2),$G$4:$BQ$4,$G212:$BQ212)))"),0.10163735714285714)</f>
        <v>0.1016373571</v>
      </c>
      <c r="DM212" s="207" t="str">
        <f>IFERROR(__xludf.DUMMYFUNCTION("IF(OR(DL212&gt;$BS212+$BT212*$BT$2,DL212&lt;$BS212-$BT212*$BT$2),AVEDEV(ARRAYFORMULA(XLOOKUP(FILTER(INDIRECT(""'""&amp;DL$1&amp;""'!$C$4:$C$66""),INDIRECT(""'""&amp;DL$1&amp;""'!$D$4:$D$66"")=DL$2),$G$4:$BQ$4,$G212:$BQ212))),"""")"),"")</f>
        <v/>
      </c>
      <c r="DN212" s="208" t="str">
        <f t="shared" si="21"/>
        <v/>
      </c>
      <c r="DO212" s="209" t="s">
        <v>444</v>
      </c>
      <c r="DP212" s="210">
        <f>IFERROR(__xludf.DUMMYFUNCTION("AVERAGE(ARRAYFORMULA(XLOOKUP(FILTER(INDIRECT(""'""&amp;DP$1&amp;""'!$C$4:$C$66""),INDIRECT(""'""&amp;DP$1&amp;""'!$D$4:$D$66"")=DP$2),$G$4:$BQ$4,$G212:$BQ212)))"),0.05769)</f>
        <v>0.05769</v>
      </c>
      <c r="DQ212" s="207" t="str">
        <f>IFERROR(__xludf.DUMMYFUNCTION("IF(OR(DP212&gt;$BS212+$BT212*$BT$2,DP212&lt;$BS212-$BT212*$BT$2),AVEDEV(ARRAYFORMULA(XLOOKUP(FILTER(INDIRECT(""'""&amp;DP$1&amp;""'!$C$4:$C$66""),INDIRECT(""'""&amp;DP$1&amp;""'!$D$4:$D$66"")=DP$2),$G$4:$BQ$4,$G212:$BQ212))),"""")"),"")</f>
        <v/>
      </c>
      <c r="DR212" s="208" t="str">
        <f t="shared" si="22"/>
        <v/>
      </c>
      <c r="DS212" s="210">
        <f>IFERROR(__xludf.DUMMYFUNCTION("AVERAGE(ARRAYFORMULA(XLOOKUP(FILTER(INDIRECT(""'""&amp;DS$1&amp;""'!$C$4:$C$66""),INDIRECT(""'""&amp;DS$1&amp;""'!$D$4:$D$66"")=DS$2),$G$4:$BQ$4,$G212:$BQ212)))"),0.0)</f>
        <v>0</v>
      </c>
      <c r="DT212" s="207" t="str">
        <f>IFERROR(__xludf.DUMMYFUNCTION("IF(OR(DS212&gt;$BS212+$BT212*$BT$2,DS212&lt;$BS212-$BT212*$BT$2),AVEDEV(ARRAYFORMULA(XLOOKUP(FILTER(INDIRECT(""'""&amp;DS$1&amp;""'!$C$4:$C$66""),INDIRECT(""'""&amp;DS$1&amp;""'!$D$4:$D$66"")=DS$2),$G$4:$BQ$4,$G212:$BQ212))),"""")"),"")</f>
        <v/>
      </c>
      <c r="DU212" s="208" t="str">
        <f t="shared" si="23"/>
        <v/>
      </c>
      <c r="DV212" s="210">
        <f>IFERROR(__xludf.DUMMYFUNCTION("AVERAGE(ARRAYFORMULA(XLOOKUP(FILTER(INDIRECT(""'""&amp;DV$1&amp;""'!$C$4:$C$66""),INDIRECT(""'""&amp;DV$1&amp;""'!$D$4:$D$66"")=DV$2),$G$4:$BQ$4,$G212:$BQ212)))"),0.095790375)</f>
        <v>0.095790375</v>
      </c>
      <c r="DW212" s="207" t="str">
        <f>IFERROR(__xludf.DUMMYFUNCTION("IF(OR(DV212&gt;$BS212+$BT212*$BT$2,DV212&lt;$BS212-$BT212*$BT$2),AVEDEV(ARRAYFORMULA(XLOOKUP(FILTER(INDIRECT(""'""&amp;DV$1&amp;""'!$C$4:$C$66""),INDIRECT(""'""&amp;DV$1&amp;""'!$D$4:$D$66"")=DV$2),$G$4:$BQ$4,$G212:$BQ212))),"""")"),"")</f>
        <v/>
      </c>
      <c r="DX212" s="208" t="str">
        <f t="shared" si="24"/>
        <v/>
      </c>
      <c r="DY212" s="210">
        <f>IFERROR(__xludf.DUMMYFUNCTION("AVERAGE(ARRAYFORMULA(XLOOKUP(FILTER(INDIRECT(""'""&amp;DY$1&amp;""'!$C$4:$C$66""),INDIRECT(""'""&amp;DY$1&amp;""'!$D$4:$D$66"")=DY$2),$G$4:$BQ$4,$G212:$BQ212)))"),0.06397777777777777)</f>
        <v>0.06397777778</v>
      </c>
      <c r="DZ212" s="207" t="str">
        <f>IFERROR(__xludf.DUMMYFUNCTION("IF(OR(DY212&gt;$BS212+$BT212*$BT$2,DY212&lt;$BS212-$BT212*$BT$2),AVEDEV(ARRAYFORMULA(XLOOKUP(FILTER(INDIRECT(""'""&amp;DY$1&amp;""'!$C$4:$C$66""),INDIRECT(""'""&amp;DY$1&amp;""'!$D$4:$D$66"")=DY$2),$G$4:$BQ$4,$G212:$BQ212))),"""")"),"")</f>
        <v/>
      </c>
      <c r="EA212" s="208" t="str">
        <f t="shared" si="25"/>
        <v/>
      </c>
      <c r="EB212" s="191"/>
    </row>
    <row r="213" outlineLevel="1">
      <c r="A213" s="2"/>
      <c r="B213" s="204">
        <v>209.0</v>
      </c>
      <c r="C213" s="204" t="s">
        <v>646</v>
      </c>
      <c r="D213" s="204" t="s">
        <v>658</v>
      </c>
      <c r="E213" s="205" t="b">
        <f>VLOOKUP(D213,'Feature Set List'!A209:C246,2,0)</f>
        <v>1</v>
      </c>
      <c r="F213" s="205" t="b">
        <f>VLOOKUP(D213,'Feature Set List'!A209:C246,3,0)</f>
        <v>1</v>
      </c>
      <c r="G213" s="205">
        <v>-1.7284556</v>
      </c>
      <c r="H213" s="205">
        <v>-0.8621535</v>
      </c>
      <c r="I213" s="205">
        <v>-0.1697153</v>
      </c>
      <c r="J213" s="205">
        <v>-1.1819725</v>
      </c>
      <c r="K213" s="205">
        <v>-1.2046012</v>
      </c>
      <c r="L213" s="205">
        <v>-0.2726758</v>
      </c>
      <c r="M213" s="205">
        <v>1.27324156</v>
      </c>
      <c r="N213" s="205">
        <v>1.28116161</v>
      </c>
      <c r="O213" s="205">
        <v>0.32283613</v>
      </c>
      <c r="P213" s="205">
        <v>0.60305487</v>
      </c>
      <c r="Q213" s="205">
        <v>-0.4476711</v>
      </c>
      <c r="R213" s="205">
        <v>-0.6758439</v>
      </c>
      <c r="S213" s="205">
        <v>0.96549123</v>
      </c>
      <c r="T213" s="205">
        <v>0.36017349</v>
      </c>
      <c r="U213" s="205">
        <v>-0.1568923</v>
      </c>
      <c r="V213" s="205">
        <v>-0.2198755</v>
      </c>
      <c r="W213" s="205">
        <v>-1.0910805</v>
      </c>
      <c r="X213" s="205">
        <v>1.34678484</v>
      </c>
      <c r="Y213" s="205">
        <v>0.5672261</v>
      </c>
      <c r="Z213" s="205">
        <v>-0.3390534</v>
      </c>
      <c r="AA213" s="205">
        <v>0.21610409</v>
      </c>
      <c r="AB213" s="205">
        <v>1.28870451</v>
      </c>
      <c r="AC213" s="205">
        <v>0.83235904</v>
      </c>
      <c r="AD213" s="205">
        <v>-0.4254196</v>
      </c>
      <c r="AE213" s="205">
        <v>0.73128418</v>
      </c>
      <c r="AF213" s="205">
        <v>-0.3454648</v>
      </c>
      <c r="AG213" s="205">
        <v>0.56119178</v>
      </c>
      <c r="AH213" s="205">
        <v>0.24702998</v>
      </c>
      <c r="AI213" s="205">
        <v>0.33528192</v>
      </c>
      <c r="AJ213" s="205">
        <v>0.41825382</v>
      </c>
      <c r="AK213" s="205">
        <v>0.38883651</v>
      </c>
      <c r="AL213" s="205">
        <v>-0.5117858</v>
      </c>
      <c r="AM213" s="205">
        <v>-0.1372808</v>
      </c>
      <c r="AN213" s="205">
        <v>0.04638884</v>
      </c>
      <c r="AO213" s="205">
        <v>1.71789553</v>
      </c>
      <c r="AP213" s="205">
        <v>0.05430888</v>
      </c>
      <c r="AQ213" s="205">
        <v>0.15726947</v>
      </c>
      <c r="AR213" s="205">
        <v>0.87271356</v>
      </c>
      <c r="AS213" s="205">
        <v>-0.4114652</v>
      </c>
      <c r="AT213" s="205">
        <v>0.48991137</v>
      </c>
      <c r="AU213" s="205">
        <v>2.04299453</v>
      </c>
      <c r="AV213" s="205">
        <v>-1.3158589</v>
      </c>
      <c r="AW213" s="205">
        <v>-0.9345653</v>
      </c>
      <c r="AX213" s="205">
        <v>-0.096172</v>
      </c>
      <c r="AY213" s="205">
        <v>-1.397624</v>
      </c>
      <c r="AZ213" s="205">
        <v>-0.1942297</v>
      </c>
      <c r="BA213" s="205">
        <v>-1.7284556</v>
      </c>
      <c r="BB213" s="205">
        <v>0.89534226</v>
      </c>
      <c r="BC213" s="205">
        <v>-1.7284556</v>
      </c>
      <c r="BD213" s="205">
        <v>0.26211578</v>
      </c>
      <c r="BE213" s="205">
        <v>0.46426551</v>
      </c>
      <c r="BF213" s="205">
        <v>1.11559495</v>
      </c>
      <c r="BG213" s="205">
        <v>-0.4567226</v>
      </c>
      <c r="BH213" s="205">
        <v>-0.4254196</v>
      </c>
      <c r="BI213" s="205">
        <v>1.30831605</v>
      </c>
      <c r="BJ213" s="205">
        <v>0.53441448</v>
      </c>
      <c r="BK213" s="205">
        <v>0.26023006</v>
      </c>
      <c r="BL213" s="205">
        <v>-1.7284556</v>
      </c>
      <c r="BM213" s="205">
        <v>-1.1329436</v>
      </c>
      <c r="BN213" s="205">
        <v>0.0</v>
      </c>
      <c r="BO213" s="205">
        <v>-0.4050537</v>
      </c>
      <c r="BP213" s="205">
        <v>-0.3360362</v>
      </c>
      <c r="BQ213" s="205">
        <v>-1.3658307</v>
      </c>
      <c r="BR213" s="206"/>
      <c r="BS213" s="207">
        <f t="shared" si="6"/>
        <v>-0.02327703127</v>
      </c>
      <c r="BT213" s="207">
        <f t="shared" si="7"/>
        <v>0.7208140295</v>
      </c>
      <c r="BU213" s="206"/>
      <c r="BV213" s="207">
        <f>IFERROR(__xludf.DUMMYFUNCTION("AVERAGE(ARRAYFORMULA(XLOOKUP(FILTER(INDIRECT(""'""&amp;BV$1&amp;""'!$C$4:$C$66""),INDIRECT(""'""&amp;BV$1&amp;""'!$D$4:$D$66"")=BV$2),$G$4:$BQ$4,$G213:$BQ213)))"),0.16304517714285713)</f>
        <v>0.1630451771</v>
      </c>
      <c r="BW213" s="207" t="str">
        <f>IFERROR(__xludf.DUMMYFUNCTION("IF(OR(BV213&gt;$BS213+$BT213*$BT$2,BV213&lt;$BS213-$BT213*$BT$2),AVEDEV(ARRAYFORMULA(XLOOKUP(FILTER(INDIRECT(""'""&amp;BV$1&amp;""'!$C$4:$C$66""),INDIRECT(""'""&amp;BV$1&amp;""'!$D$4:$D$66"")=BV$2),$G$4:$BQ$4,$G213:$BQ213))),"""")"),"")</f>
        <v/>
      </c>
      <c r="BX213" s="208" t="str">
        <f t="shared" si="8"/>
        <v/>
      </c>
      <c r="BY213" s="207">
        <f>IFERROR(__xludf.DUMMYFUNCTION("AVERAGE(ARRAYFORMULA(XLOOKUP(FILTER(INDIRECT(""'""&amp;BY$1&amp;""'!$C$4:$C$66""),INDIRECT(""'""&amp;BY$1&amp;""'!$D$4:$D$66"")=BY$2),$G$4:$BQ$4,$G213:$BQ213)))"),-0.02508463428571429)</f>
        <v>-0.02508463429</v>
      </c>
      <c r="BZ213" s="207" t="str">
        <f>IFERROR(__xludf.DUMMYFUNCTION("IF(OR(BY213&gt;$BS213+$BT213*$BT$2,BY213&lt;$BS213-$BT213*$BT$2),AVEDEV(ARRAYFORMULA(XLOOKUP(FILTER(INDIRECT(""'""&amp;BY$1&amp;""'!$C$4:$C$66""),INDIRECT(""'""&amp;BY$1&amp;""'!$D$4:$D$66"")=BY$2),$G$4:$BQ$4,$G213:$BQ213))),"""")"),"")</f>
        <v/>
      </c>
      <c r="CA213" s="208" t="str">
        <f t="shared" si="9"/>
        <v/>
      </c>
      <c r="CB213" s="207">
        <f>IFERROR(__xludf.DUMMYFUNCTION("AVERAGE(ARRAYFORMULA(XLOOKUP(FILTER(INDIRECT(""'""&amp;CB$1&amp;""'!$C$4:$C$66""),INDIRECT(""'""&amp;CB$1&amp;""'!$D$4:$D$66"")=CB$2),$G$4:$BQ$4,$G213:$BQ213)))"),-0.33541905272727274)</f>
        <v>-0.3354190527</v>
      </c>
      <c r="CC213" s="207" t="str">
        <f>IFERROR(__xludf.DUMMYFUNCTION("IF(OR(CB213&gt;$BS213+$BT213*$BT$2,CB213&lt;$BS213-$BT213*$BT$2),AVEDEV(ARRAYFORMULA(XLOOKUP(FILTER(INDIRECT(""'""&amp;CB$1&amp;""'!$C$4:$C$66""),INDIRECT(""'""&amp;CB$1&amp;""'!$D$4:$D$66"")=CB$2),$G$4:$BQ$4,$G213:$BQ213))),"""")"),"")</f>
        <v/>
      </c>
      <c r="CD213" s="208" t="str">
        <f t="shared" si="10"/>
        <v/>
      </c>
      <c r="CE213" s="209" t="s">
        <v>444</v>
      </c>
      <c r="CF213" s="207">
        <f>IFERROR(__xludf.DUMMYFUNCTION("AVERAGE(ARRAYFORMULA(XLOOKUP(FILTER(INDIRECT(""'""&amp;CF$1&amp;""'!$C$4:$C$66""),INDIRECT(""'""&amp;CF$1&amp;""'!$D$4:$D$66"")=CF$2),$G$4:$BQ$4,$G213:$BQ213)))"),0.09063266437499999)</f>
        <v>0.09063266438</v>
      </c>
      <c r="CG213" s="207" t="str">
        <f>IFERROR(__xludf.DUMMYFUNCTION("IF(OR(CF213&gt;$BS213+$BT213*$BT$2,CF213&lt;$BS213-$BT213*$BT$2),AVEDEV(ARRAYFORMULA(XLOOKUP(FILTER(INDIRECT(""'""&amp;CF$1&amp;""'!$C$4:$C$66""),INDIRECT(""'""&amp;CF$1&amp;""'!$D$4:$D$66"")=CF$2),$G$4:$BQ$4,$G213:$BQ213))),"""")"),"")</f>
        <v/>
      </c>
      <c r="CH213" s="208" t="str">
        <f t="shared" si="11"/>
        <v/>
      </c>
      <c r="CI213" s="207">
        <f>IFERROR(__xludf.DUMMYFUNCTION("AVERAGE(ARRAYFORMULA(XLOOKUP(FILTER(INDIRECT(""'""&amp;CI$1&amp;""'!$C$4:$C$66""),INDIRECT(""'""&amp;CI$1&amp;""'!$D$4:$D$66"")=CI$2),$G$4:$BQ$4,$G213:$BQ213)))"),-0.07306029032258063)</f>
        <v>-0.07306029032</v>
      </c>
      <c r="CJ213" s="207" t="str">
        <f>IFERROR(__xludf.DUMMYFUNCTION("IF(OR(CI213&gt;$BS213+$BT213*$BT$2,CI213&lt;$BS213-$BT213*$BT$2),AVEDEV(ARRAYFORMULA(XLOOKUP(FILTER(INDIRECT(""'""&amp;CI$1&amp;""'!$C$4:$C$66""),INDIRECT(""'""&amp;CI$1&amp;""'!$D$4:$D$66"")=CI$2),$G$4:$BQ$4,$G213:$BQ213))),"""")"),"")</f>
        <v/>
      </c>
      <c r="CK213" s="208" t="str">
        <f t="shared" si="12"/>
        <v/>
      </c>
      <c r="CL213" s="207">
        <f>IFERROR(__xludf.DUMMYFUNCTION("AVERAGE(ARRAYFORMULA(XLOOKUP(FILTER(INDIRECT(""'""&amp;CL$1&amp;""'!$C$4:$C$66""),INDIRECT(""'""&amp;CL$1&amp;""'!$D$4:$D$66"")=CL$2),$G$4:$BQ$4,$G213:$BQ213)))"),-0.32668300799999994)</f>
        <v>-0.326683008</v>
      </c>
      <c r="CM213" s="207" t="str">
        <f>IFERROR(__xludf.DUMMYFUNCTION("IF(OR(CL213&gt;$BS213+$BT213*$BT$2,CL213&lt;$BS213-$BT213*$BT$2),AVEDEV(ARRAYFORMULA(XLOOKUP(FILTER(INDIRECT(""'""&amp;CL$1&amp;""'!$C$4:$C$66""),INDIRECT(""'""&amp;CL$1&amp;""'!$D$4:$D$66"")=CL$2),$G$4:$BQ$4,$G213:$BQ213))),"""")"),"")</f>
        <v/>
      </c>
      <c r="CN213" s="208" t="str">
        <f t="shared" si="13"/>
        <v/>
      </c>
      <c r="CO213" s="209" t="s">
        <v>444</v>
      </c>
      <c r="CP213" s="210">
        <f>IFERROR(__xludf.DUMMYFUNCTION("AVERAGE(ARRAYFORMULA(XLOOKUP(FILTER(INDIRECT(""'""&amp;CP$1&amp;""'!$C$4:$C$66""),INDIRECT(""'""&amp;CP$1&amp;""'!$D$4:$D$66"")=CP$2),$G$4:$BQ$4,$G213:$BQ213)))"),0.32912188600000003)</f>
        <v>0.329121886</v>
      </c>
      <c r="CQ213" s="207" t="str">
        <f>IFERROR(__xludf.DUMMYFUNCTION("IF(OR(CP213&gt;$BS213+$BT213*$BT$2,CP213&lt;$BS213-$BT213*$BT$2),AVEDEV(ARRAYFORMULA(XLOOKUP(FILTER(INDIRECT(""'""&amp;CP$1&amp;""'!$C$4:$C$66""),INDIRECT(""'""&amp;CP$1&amp;""'!$D$4:$D$66"")=CP$2),$G$4:$BQ$4,$G213:$BQ213))),"""")"),"")</f>
        <v/>
      </c>
      <c r="CR213" s="208" t="str">
        <f t="shared" si="14"/>
        <v/>
      </c>
      <c r="CS213" s="210">
        <f>IFERROR(__xludf.DUMMYFUNCTION("AVERAGE(ARRAYFORMULA(XLOOKUP(FILTER(INDIRECT(""'""&amp;CS$1&amp;""'!$C$4:$C$66""),INDIRECT(""'""&amp;CS$1&amp;""'!$D$4:$D$66"")=CS$2),$G$4:$BQ$4,$G213:$BQ213)))"),-0.13273860589743589)</f>
        <v>-0.1327386059</v>
      </c>
      <c r="CT213" s="207" t="str">
        <f>IFERROR(__xludf.DUMMYFUNCTION("IF(OR(CS213&gt;$BS213+$BT213*$BT$2,CS213&lt;$BS213-$BT213*$BT$2),AVEDEV(ARRAYFORMULA(XLOOKUP(FILTER(INDIRECT(""'""&amp;CS$1&amp;""'!$C$4:$C$66""),INDIRECT(""'""&amp;CS$1&amp;""'!$D$4:$D$66"")=CS$2),$G$4:$BQ$4,$G213:$BQ213))),"""")"),"")</f>
        <v/>
      </c>
      <c r="CU213" s="208" t="str">
        <f t="shared" si="15"/>
        <v/>
      </c>
      <c r="CV213" s="210">
        <f>IFERROR(__xludf.DUMMYFUNCTION("AVERAGE(ARRAYFORMULA(XLOOKUP(FILTER(INDIRECT(""'""&amp;CV$1&amp;""'!$C$4:$C$66""),INDIRECT(""'""&amp;CV$1&amp;""'!$D$4:$D$66"")=CV$2),$G$4:$BQ$4,$G213:$BQ213)))"),-0.32668300799999994)</f>
        <v>-0.326683008</v>
      </c>
      <c r="CW213" s="207" t="str">
        <f>IFERROR(__xludf.DUMMYFUNCTION("IF(OR(CV213&gt;$BS213+$BT213*$BT$2,CV213&lt;$BS213-$BT213*$BT$2),AVEDEV(ARRAYFORMULA(XLOOKUP(FILTER(INDIRECT(""'""&amp;CV$1&amp;""'!$C$4:$C$66""),INDIRECT(""'""&amp;CV$1&amp;""'!$D$4:$D$66"")=CV$2),$G$4:$BQ$4,$G213:$BQ213))),"""")"),"")</f>
        <v/>
      </c>
      <c r="CX213" s="208" t="str">
        <f t="shared" si="16"/>
        <v/>
      </c>
      <c r="CY213" s="209" t="s">
        <v>444</v>
      </c>
      <c r="CZ213" s="210">
        <f>IFERROR(__xludf.DUMMYFUNCTION("AVERAGE(ARRAYFORMULA(XLOOKUP(FILTER(INDIRECT(""'""&amp;CZ$1&amp;""'!$C$4:$C$66""),INDIRECT(""'""&amp;CZ$1&amp;""'!$D$4:$D$66"")=CZ$2),$G$4:$BQ$4,$G213:$BQ213)))"),0.08391476857142856)</f>
        <v>0.08391476857</v>
      </c>
      <c r="DA213" s="207" t="str">
        <f>IFERROR(__xludf.DUMMYFUNCTION("IF(OR(CZ213&gt;$BS213+$BT213*$BT$2,CZ213&lt;$BS213-$BT213*$BT$2),AVEDEV(ARRAYFORMULA(XLOOKUP(FILTER(INDIRECT(""'""&amp;CZ$1&amp;""'!$C$4:$C$66""),INDIRECT(""'""&amp;CZ$1&amp;""'!$D$4:$D$66"")=CZ$2),$G$4:$BQ$4,$G213:$BQ213))),"""")"),"")</f>
        <v/>
      </c>
      <c r="DB213" s="208" t="str">
        <f t="shared" si="17"/>
        <v/>
      </c>
      <c r="DC213" s="210">
        <f>IFERROR(__xludf.DUMMYFUNCTION("AVERAGE(ARRAYFORMULA(XLOOKUP(FILTER(INDIRECT(""'""&amp;DC$1&amp;""'!$C$4:$C$66""),INDIRECT(""'""&amp;DC$1&amp;""'!$D$4:$D$66"")=DC$2),$G$4:$BQ$4,$G213:$BQ213)))"),-0.26249291999999996)</f>
        <v>-0.26249292</v>
      </c>
      <c r="DD213" s="207" t="str">
        <f>IFERROR(__xludf.DUMMYFUNCTION("IF(OR(DC213&gt;$BS213+$BT213*$BT$2,DC213&lt;$BS213-$BT213*$BT$2),AVEDEV(ARRAYFORMULA(XLOOKUP(FILTER(INDIRECT(""'""&amp;DC$1&amp;""'!$C$4:$C$66""),INDIRECT(""'""&amp;DC$1&amp;""'!$D$4:$D$66"")=DC$2),$G$4:$BQ$4,$G213:$BQ213))),"""")"),"")</f>
        <v/>
      </c>
      <c r="DE213" s="208" t="str">
        <f t="shared" si="18"/>
        <v/>
      </c>
      <c r="DF213" s="210">
        <f>IFERROR(__xludf.DUMMYFUNCTION("AVERAGE(ARRAYFORMULA(XLOOKUP(FILTER(INDIRECT(""'""&amp;DF$1&amp;""'!$C$4:$C$66""),INDIRECT(""'""&amp;DF$1&amp;""'!$D$4:$D$66"")=DF$2),$G$4:$BQ$4,$G213:$BQ213)))"),0.13913222909090908)</f>
        <v>0.1391322291</v>
      </c>
      <c r="DG213" s="207" t="str">
        <f>IFERROR(__xludf.DUMMYFUNCTION("IF(OR(DF213&gt;$BS213+$BT213*$BT$2,DF213&lt;$BS213-$BT213*$BT$2),AVEDEV(ARRAYFORMULA(XLOOKUP(FILTER(INDIRECT(""'""&amp;DF$1&amp;""'!$C$4:$C$66""),INDIRECT(""'""&amp;DF$1&amp;""'!$D$4:$D$66"")=DF$2),$G$4:$BQ$4,$G213:$BQ213))),"""")"),"")</f>
        <v/>
      </c>
      <c r="DH213" s="208" t="str">
        <f t="shared" si="19"/>
        <v/>
      </c>
      <c r="DI213" s="210">
        <f>IFERROR(__xludf.DUMMYFUNCTION("AVERAGE(ARRAYFORMULA(XLOOKUP(FILTER(INDIRECT(""'""&amp;DI$1&amp;""'!$C$4:$C$66""),INDIRECT(""'""&amp;DI$1&amp;""'!$D$4:$D$66"")=DI$2),$G$4:$BQ$4,$G213:$BQ213)))"),-0.4254196)</f>
        <v>-0.4254196</v>
      </c>
      <c r="DJ213" s="207" t="str">
        <f>IFERROR(__xludf.DUMMYFUNCTION("IF(OR(DI213&gt;$BS213+$BT213*$BT$2,DI213&lt;$BS213-$BT213*$BT$2),AVEDEV(ARRAYFORMULA(XLOOKUP(FILTER(INDIRECT(""'""&amp;DI$1&amp;""'!$C$4:$C$66""),INDIRECT(""'""&amp;DI$1&amp;""'!$D$4:$D$66"")=DI$2),$G$4:$BQ$4,$G213:$BQ213))),"""")"),"")</f>
        <v/>
      </c>
      <c r="DK213" s="208" t="str">
        <f t="shared" si="20"/>
        <v/>
      </c>
      <c r="DL213" s="210">
        <f>IFERROR(__xludf.DUMMYFUNCTION("AVERAGE(ARRAYFORMULA(XLOOKUP(FILTER(INDIRECT(""'""&amp;DL$1&amp;""'!$C$4:$C$66""),INDIRECT(""'""&amp;DL$1&amp;""'!$D$4:$D$66"")=DL$2),$G$4:$BQ$4,$G213:$BQ213)))"),-0.10615285857142862)</f>
        <v>-0.1061528586</v>
      </c>
      <c r="DM213" s="207" t="str">
        <f>IFERROR(__xludf.DUMMYFUNCTION("IF(OR(DL213&gt;$BS213+$BT213*$BT$2,DL213&lt;$BS213-$BT213*$BT$2),AVEDEV(ARRAYFORMULA(XLOOKUP(FILTER(INDIRECT(""'""&amp;DL$1&amp;""'!$C$4:$C$66""),INDIRECT(""'""&amp;DL$1&amp;""'!$D$4:$D$66"")=DL$2),$G$4:$BQ$4,$G213:$BQ213))),"""")"),"")</f>
        <v/>
      </c>
      <c r="DN213" s="208" t="str">
        <f t="shared" si="21"/>
        <v/>
      </c>
      <c r="DO213" s="209" t="s">
        <v>444</v>
      </c>
      <c r="DP213" s="210">
        <f>IFERROR(__xludf.DUMMYFUNCTION("AVERAGE(ARRAYFORMULA(XLOOKUP(FILTER(INDIRECT(""'""&amp;DP$1&amp;""'!$C$4:$C$66""),INDIRECT(""'""&amp;DP$1&amp;""'!$D$4:$D$66"")=DP$2),$G$4:$BQ$4,$G213:$BQ213)))"),0.07471871)</f>
        <v>0.07471871</v>
      </c>
      <c r="DQ213" s="207" t="str">
        <f>IFERROR(__xludf.DUMMYFUNCTION("IF(OR(DP213&gt;$BS213+$BT213*$BT$2,DP213&lt;$BS213-$BT213*$BT$2),AVEDEV(ARRAYFORMULA(XLOOKUP(FILTER(INDIRECT(""'""&amp;DP$1&amp;""'!$C$4:$C$66""),INDIRECT(""'""&amp;DP$1&amp;""'!$D$4:$D$66"")=DP$2),$G$4:$BQ$4,$G213:$BQ213))),"""")"),"")</f>
        <v/>
      </c>
      <c r="DR213" s="208" t="str">
        <f t="shared" si="22"/>
        <v/>
      </c>
      <c r="DS213" s="210">
        <f>IFERROR(__xludf.DUMMYFUNCTION("AVERAGE(ARRAYFORMULA(XLOOKUP(FILTER(INDIRECT(""'""&amp;DS$1&amp;""'!$C$4:$C$66""),INDIRECT(""'""&amp;DS$1&amp;""'!$D$4:$D$66"")=DS$2),$G$4:$BQ$4,$G213:$BQ213)))"),-0.5592222311111111)</f>
        <v>-0.5592222311</v>
      </c>
      <c r="DT213" s="207" t="str">
        <f>IFERROR(__xludf.DUMMYFUNCTION("IF(OR(DS213&gt;$BS213+$BT213*$BT$2,DS213&lt;$BS213-$BT213*$BT$2),AVEDEV(ARRAYFORMULA(XLOOKUP(FILTER(INDIRECT(""'""&amp;DS$1&amp;""'!$C$4:$C$66""),INDIRECT(""'""&amp;DS$1&amp;""'!$D$4:$D$66"")=DS$2),$G$4:$BQ$4,$G213:$BQ213))),"""")"),"")</f>
        <v/>
      </c>
      <c r="DU213" s="208" t="str">
        <f t="shared" si="23"/>
        <v/>
      </c>
      <c r="DV213" s="210">
        <f>IFERROR(__xludf.DUMMYFUNCTION("AVERAGE(ARRAYFORMULA(XLOOKUP(FILTER(INDIRECT(""'""&amp;DV$1&amp;""'!$C$4:$C$66""),INDIRECT(""'""&amp;DV$1&amp;""'!$D$4:$D$66"")=DV$2),$G$4:$BQ$4,$G213:$BQ213)))"),-0.06273807875)</f>
        <v>-0.06273807875</v>
      </c>
      <c r="DW213" s="207" t="str">
        <f>IFERROR(__xludf.DUMMYFUNCTION("IF(OR(DV213&gt;$BS213+$BT213*$BT$2,DV213&lt;$BS213-$BT213*$BT$2),AVEDEV(ARRAYFORMULA(XLOOKUP(FILTER(INDIRECT(""'""&amp;DV$1&amp;""'!$C$4:$C$66""),INDIRECT(""'""&amp;DV$1&amp;""'!$D$4:$D$66"")=DV$2),$G$4:$BQ$4,$G213:$BQ213))),"""")"),"")</f>
        <v/>
      </c>
      <c r="DX213" s="208" t="str">
        <f t="shared" si="24"/>
        <v/>
      </c>
      <c r="DY213" s="210">
        <f>IFERROR(__xludf.DUMMYFUNCTION("AVERAGE(ARRAYFORMULA(XLOOKUP(FILTER(INDIRECT(""'""&amp;DY$1&amp;""'!$C$4:$C$66""),INDIRECT(""'""&amp;DY$1&amp;""'!$D$4:$D$66"")=DY$2),$G$4:$BQ$4,$G213:$BQ213)))"),-0.2797158777777778)</f>
        <v>-0.2797158778</v>
      </c>
      <c r="DZ213" s="207" t="str">
        <f>IFERROR(__xludf.DUMMYFUNCTION("IF(OR(DY213&gt;$BS213+$BT213*$BT$2,DY213&lt;$BS213-$BT213*$BT$2),AVEDEV(ARRAYFORMULA(XLOOKUP(FILTER(INDIRECT(""'""&amp;DY$1&amp;""'!$C$4:$C$66""),INDIRECT(""'""&amp;DY$1&amp;""'!$D$4:$D$66"")=DY$2),$G$4:$BQ$4,$G213:$BQ213))),"""")"),"")</f>
        <v/>
      </c>
      <c r="EA213" s="208" t="str">
        <f t="shared" si="25"/>
        <v/>
      </c>
      <c r="EB213" s="191"/>
    </row>
    <row r="214" outlineLevel="1">
      <c r="A214" s="2"/>
      <c r="B214" s="204">
        <v>210.0</v>
      </c>
      <c r="C214" s="204" t="s">
        <v>646</v>
      </c>
      <c r="D214" s="204" t="s">
        <v>659</v>
      </c>
      <c r="E214" s="205" t="b">
        <f>VLOOKUP(D214,'Feature Set List'!A210:C246,2,0)</f>
        <v>1</v>
      </c>
      <c r="F214" s="205" t="b">
        <f>VLOOKUP(D214,'Feature Set List'!A210:C246,3,0)</f>
        <v>1</v>
      </c>
      <c r="G214" s="205">
        <v>1.21292135</v>
      </c>
      <c r="H214" s="205">
        <v>1.29550562</v>
      </c>
      <c r="I214" s="205">
        <v>1.26853933</v>
      </c>
      <c r="J214" s="205">
        <v>0.96741573</v>
      </c>
      <c r="K214" s="205">
        <v>5.7741573</v>
      </c>
      <c r="L214" s="205">
        <v>-0.6162921</v>
      </c>
      <c r="M214" s="205">
        <v>-0.8994944</v>
      </c>
      <c r="N214" s="205">
        <v>1.03314607</v>
      </c>
      <c r="O214" s="205">
        <v>-0.7050562</v>
      </c>
      <c r="P214" s="205">
        <v>-0.9014607</v>
      </c>
      <c r="Q214" s="205">
        <v>1.36123596</v>
      </c>
      <c r="R214" s="205">
        <v>-1.0117416</v>
      </c>
      <c r="S214" s="205">
        <v>-0.7792135</v>
      </c>
      <c r="T214" s="205">
        <v>0.05898876</v>
      </c>
      <c r="U214" s="205">
        <v>-0.4146067</v>
      </c>
      <c r="V214" s="205">
        <v>0.08370787</v>
      </c>
      <c r="W214" s="205">
        <v>-0.7516854</v>
      </c>
      <c r="X214" s="205">
        <v>-0.8348315</v>
      </c>
      <c r="Y214" s="205">
        <v>0.18033708</v>
      </c>
      <c r="Z214" s="205">
        <v>-0.8775281</v>
      </c>
      <c r="AA214" s="205">
        <v>-0.6544944</v>
      </c>
      <c r="AB214" s="205">
        <v>0.21067416</v>
      </c>
      <c r="AC214" s="205">
        <v>-0.0926966</v>
      </c>
      <c r="AD214" s="205">
        <v>0.83258427</v>
      </c>
      <c r="AE214" s="205">
        <v>-0.2432584</v>
      </c>
      <c r="AF214" s="205">
        <v>0.06179775</v>
      </c>
      <c r="AG214" s="205">
        <v>0.24662921</v>
      </c>
      <c r="AH214" s="205">
        <v>-0.2825843</v>
      </c>
      <c r="AI214" s="205">
        <v>0.0</v>
      </c>
      <c r="AJ214" s="205">
        <v>-0.5337079</v>
      </c>
      <c r="AK214" s="205">
        <v>1.26011236</v>
      </c>
      <c r="AL214" s="205">
        <v>-0.0691011</v>
      </c>
      <c r="AM214" s="205">
        <v>0.39044944</v>
      </c>
      <c r="AN214" s="205">
        <v>-0.1853933</v>
      </c>
      <c r="AO214" s="205">
        <v>-0.7983146</v>
      </c>
      <c r="AP214" s="205">
        <v>1.77696629</v>
      </c>
      <c r="AQ214" s="205">
        <v>-0.8348315</v>
      </c>
      <c r="AR214" s="205">
        <v>-0.0735955</v>
      </c>
      <c r="AS214" s="205">
        <v>0.22247191</v>
      </c>
      <c r="AT214" s="205">
        <v>0.86404494</v>
      </c>
      <c r="AU214" s="205">
        <v>-0.7325843</v>
      </c>
      <c r="AV214" s="205">
        <v>-0.5292135</v>
      </c>
      <c r="AW214" s="205">
        <v>-0.3202247</v>
      </c>
      <c r="AX214" s="205">
        <v>0.08539326</v>
      </c>
      <c r="AY214" s="205">
        <v>-0.9583146</v>
      </c>
      <c r="AZ214" s="205">
        <v>0.06797753</v>
      </c>
      <c r="BA214" s="205">
        <v>-0.4634831</v>
      </c>
      <c r="BB214" s="205">
        <v>-0.2308989</v>
      </c>
      <c r="BC214" s="205">
        <v>-0.2938202</v>
      </c>
      <c r="BD214" s="205">
        <v>0.26404494</v>
      </c>
      <c r="BE214" s="205">
        <v>0.16573034</v>
      </c>
      <c r="BF214" s="205">
        <v>0.61685393</v>
      </c>
      <c r="BG214" s="205">
        <v>-0.3078652</v>
      </c>
      <c r="BH214" s="205">
        <v>1.54494382</v>
      </c>
      <c r="BI214" s="205">
        <v>0.15505618</v>
      </c>
      <c r="BJ214" s="205">
        <v>-0.2561798</v>
      </c>
      <c r="BK214" s="205">
        <v>0.31629213</v>
      </c>
      <c r="BL214" s="205">
        <v>3.53932584</v>
      </c>
      <c r="BM214" s="205">
        <v>0.16629213</v>
      </c>
      <c r="BN214" s="205">
        <v>1.68033708</v>
      </c>
      <c r="BO214" s="205">
        <v>-0.0696629</v>
      </c>
      <c r="BP214" s="205">
        <v>1.31235955</v>
      </c>
      <c r="BQ214" s="205">
        <v>-0.4269663</v>
      </c>
      <c r="BR214" s="206"/>
      <c r="BS214" s="207">
        <f t="shared" si="6"/>
        <v>0.2042411243</v>
      </c>
      <c r="BT214" s="207">
        <f t="shared" si="7"/>
        <v>0.7459589364</v>
      </c>
      <c r="BU214" s="206"/>
      <c r="BV214" s="207">
        <f>IFERROR(__xludf.DUMMYFUNCTION("AVERAGE(ARRAYFORMULA(XLOOKUP(FILTER(INDIRECT(""'""&amp;BV$1&amp;""'!$C$4:$C$66""),INDIRECT(""'""&amp;BV$1&amp;""'!$D$4:$D$66"")=BV$2),$G$4:$BQ$4,$G214:$BQ214)))"),0.06686998285714285)</f>
        <v>0.06686998286</v>
      </c>
      <c r="BW214" s="207" t="str">
        <f>IFERROR(__xludf.DUMMYFUNCTION("IF(OR(BV214&gt;$BS214+$BT214*$BT$2,BV214&lt;$BS214-$BT214*$BT$2),AVEDEV(ARRAYFORMULA(XLOOKUP(FILTER(INDIRECT(""'""&amp;BV$1&amp;""'!$C$4:$C$66""),INDIRECT(""'""&amp;BV$1&amp;""'!$D$4:$D$66"")=BV$2),$G$4:$BQ$4,$G214:$BQ214))),"""")"),"")</f>
        <v/>
      </c>
      <c r="BX214" s="208" t="str">
        <f t="shared" si="8"/>
        <v/>
      </c>
      <c r="BY214" s="207">
        <f>IFERROR(__xludf.DUMMYFUNCTION("AVERAGE(ARRAYFORMULA(XLOOKUP(FILTER(INDIRECT(""'""&amp;BY$1&amp;""'!$C$4:$C$66""),INDIRECT(""'""&amp;BY$1&amp;""'!$D$4:$D$66"")=BY$2),$G$4:$BQ$4,$G214:$BQ214)))"),0.321028620952381)</f>
        <v>0.321028621</v>
      </c>
      <c r="BZ214" s="207" t="str">
        <f>IFERROR(__xludf.DUMMYFUNCTION("IF(OR(BY214&gt;$BS214+$BT214*$BT$2,BY214&lt;$BS214-$BT214*$BT$2),AVEDEV(ARRAYFORMULA(XLOOKUP(FILTER(INDIRECT(""'""&amp;BY$1&amp;""'!$C$4:$C$66""),INDIRECT(""'""&amp;BY$1&amp;""'!$D$4:$D$66"")=BY$2),$G$4:$BQ$4,$G214:$BQ214))),"""")"),"")</f>
        <v/>
      </c>
      <c r="CA214" s="208" t="str">
        <f t="shared" si="9"/>
        <v/>
      </c>
      <c r="CB214" s="207">
        <f>IFERROR(__xludf.DUMMYFUNCTION("AVERAGE(ARRAYFORMULA(XLOOKUP(FILTER(INDIRECT(""'""&amp;CB$1&amp;""'!$C$4:$C$66""),INDIRECT(""'""&amp;CB$1&amp;""'!$D$4:$D$66"")=CB$2),$G$4:$BQ$4,$G214:$BQ214)))"),-0.17128191818181818)</f>
        <v>-0.1712819182</v>
      </c>
      <c r="CC214" s="207" t="str">
        <f>IFERROR(__xludf.DUMMYFUNCTION("IF(OR(CB214&gt;$BS214+$BT214*$BT$2,CB214&lt;$BS214-$BT214*$BT$2),AVEDEV(ARRAYFORMULA(XLOOKUP(FILTER(INDIRECT(""'""&amp;CB$1&amp;""'!$C$4:$C$66""),INDIRECT(""'""&amp;CB$1&amp;""'!$D$4:$D$66"")=CB$2),$G$4:$BQ$4,$G214:$BQ214))),"""")"),"")</f>
        <v/>
      </c>
      <c r="CD214" s="208" t="str">
        <f t="shared" si="10"/>
        <v/>
      </c>
      <c r="CE214" s="209" t="s">
        <v>444</v>
      </c>
      <c r="CF214" s="207">
        <f>IFERROR(__xludf.DUMMYFUNCTION("AVERAGE(ARRAYFORMULA(XLOOKUP(FILTER(INDIRECT(""'""&amp;CF$1&amp;""'!$C$4:$C$66""),INDIRECT(""'""&amp;CF$1&amp;""'!$D$4:$D$66"")=CF$2),$G$4:$BQ$4,$G214:$BQ214)))"),0.7421699450000001)</f>
        <v>0.742169945</v>
      </c>
      <c r="CG214" s="207" t="str">
        <f>IFERROR(__xludf.DUMMYFUNCTION("IF(OR(CF214&gt;$BS214+$BT214*$BT$2,CF214&lt;$BS214-$BT214*$BT$2),AVEDEV(ARRAYFORMULA(XLOOKUP(FILTER(INDIRECT(""'""&amp;CF$1&amp;""'!$C$4:$C$66""),INDIRECT(""'""&amp;CF$1&amp;""'!$D$4:$D$66"")=CF$2),$G$4:$BQ$4,$G214:$BQ214))),"""")"),"")</f>
        <v/>
      </c>
      <c r="CH214" s="208" t="str">
        <f t="shared" si="11"/>
        <v/>
      </c>
      <c r="CI214" s="207">
        <f>IFERROR(__xludf.DUMMYFUNCTION("AVERAGE(ARRAYFORMULA(XLOOKUP(FILTER(INDIRECT(""'""&amp;CI$1&amp;""'!$C$4:$C$66""),INDIRECT(""'""&amp;CI$1&amp;""'!$D$4:$D$66"")=CI$2),$G$4:$BQ$4,$G214:$BQ214)))"),-0.05302283903225805)</f>
        <v>-0.05302283903</v>
      </c>
      <c r="CJ214" s="207" t="str">
        <f>IFERROR(__xludf.DUMMYFUNCTION("IF(OR(CI214&gt;$BS214+$BT214*$BT$2,CI214&lt;$BS214-$BT214*$BT$2),AVEDEV(ARRAYFORMULA(XLOOKUP(FILTER(INDIRECT(""'""&amp;CI$1&amp;""'!$C$4:$C$66""),INDIRECT(""'""&amp;CI$1&amp;""'!$D$4:$D$66"")=CI$2),$G$4:$BQ$4,$G214:$BQ214))),"""")"),"")</f>
        <v/>
      </c>
      <c r="CK214" s="208" t="str">
        <f t="shared" si="12"/>
        <v/>
      </c>
      <c r="CL214" s="207">
        <f>IFERROR(__xludf.DUMMYFUNCTION("AVERAGE(ARRAYFORMULA(XLOOKUP(FILTER(INDIRECT(""'""&amp;CL$1&amp;""'!$C$4:$C$66""),INDIRECT(""'""&amp;CL$1&amp;""'!$D$4:$D$66"")=CL$2),$G$4:$BQ$4,$G214:$BQ214)))"),-0.27826966599999997)</f>
        <v>-0.278269666</v>
      </c>
      <c r="CM214" s="207" t="str">
        <f>IFERROR(__xludf.DUMMYFUNCTION("IF(OR(CL214&gt;$BS214+$BT214*$BT$2,CL214&lt;$BS214-$BT214*$BT$2),AVEDEV(ARRAYFORMULA(XLOOKUP(FILTER(INDIRECT(""'""&amp;CL$1&amp;""'!$C$4:$C$66""),INDIRECT(""'""&amp;CL$1&amp;""'!$D$4:$D$66"")=CL$2),$G$4:$BQ$4,$G214:$BQ214))),"""")"),"")</f>
        <v/>
      </c>
      <c r="CN214" s="208" t="str">
        <f t="shared" si="13"/>
        <v/>
      </c>
      <c r="CO214" s="209" t="s">
        <v>444</v>
      </c>
      <c r="CP214" s="210">
        <f>IFERROR(__xludf.DUMMYFUNCTION("AVERAGE(ARRAYFORMULA(XLOOKUP(FILTER(INDIRECT(""'""&amp;CP$1&amp;""'!$C$4:$C$66""),INDIRECT(""'""&amp;CP$1&amp;""'!$D$4:$D$66"")=CP$2),$G$4:$BQ$4,$G214:$BQ214)))"),0.06734082466666666)</f>
        <v>0.06734082467</v>
      </c>
      <c r="CQ214" s="207" t="str">
        <f>IFERROR(__xludf.DUMMYFUNCTION("IF(OR(CP214&gt;$BS214+$BT214*$BT$2,CP214&lt;$BS214-$BT214*$BT$2),AVEDEV(ARRAYFORMULA(XLOOKUP(FILTER(INDIRECT(""'""&amp;CP$1&amp;""'!$C$4:$C$66""),INDIRECT(""'""&amp;CP$1&amp;""'!$D$4:$D$66"")=CP$2),$G$4:$BQ$4,$G214:$BQ214))),"""")"),"")</f>
        <v/>
      </c>
      <c r="CR214" s="208" t="str">
        <f t="shared" si="14"/>
        <v/>
      </c>
      <c r="CS214" s="210">
        <f>IFERROR(__xludf.DUMMYFUNCTION("AVERAGE(ARRAYFORMULA(XLOOKUP(FILTER(INDIRECT(""'""&amp;CS$1&amp;""'!$C$4:$C$66""),INDIRECT(""'""&amp;CS$1&amp;""'!$D$4:$D$66"")=CS$2),$G$4:$BQ$4,$G214:$BQ214)))"),0.22843848666666666)</f>
        <v>0.2284384867</v>
      </c>
      <c r="CT214" s="207" t="str">
        <f>IFERROR(__xludf.DUMMYFUNCTION("IF(OR(CS214&gt;$BS214+$BT214*$BT$2,CS214&lt;$BS214-$BT214*$BT$2),AVEDEV(ARRAYFORMULA(XLOOKUP(FILTER(INDIRECT(""'""&amp;CS$1&amp;""'!$C$4:$C$66""),INDIRECT(""'""&amp;CS$1&amp;""'!$D$4:$D$66"")=CS$2),$G$4:$BQ$4,$G214:$BQ214))),"""")"),"")</f>
        <v/>
      </c>
      <c r="CU214" s="208" t="str">
        <f t="shared" si="15"/>
        <v/>
      </c>
      <c r="CV214" s="210">
        <f>IFERROR(__xludf.DUMMYFUNCTION("AVERAGE(ARRAYFORMULA(XLOOKUP(FILTER(INDIRECT(""'""&amp;CV$1&amp;""'!$C$4:$C$66""),INDIRECT(""'""&amp;CV$1&amp;""'!$D$4:$D$66"")=CV$2),$G$4:$BQ$4,$G214:$BQ214)))"),-0.27826966599999997)</f>
        <v>-0.278269666</v>
      </c>
      <c r="CW214" s="207" t="str">
        <f>IFERROR(__xludf.DUMMYFUNCTION("IF(OR(CV214&gt;$BS214+$BT214*$BT$2,CV214&lt;$BS214-$BT214*$BT$2),AVEDEV(ARRAYFORMULA(XLOOKUP(FILTER(INDIRECT(""'""&amp;CV$1&amp;""'!$C$4:$C$66""),INDIRECT(""'""&amp;CV$1&amp;""'!$D$4:$D$66"")=CV$2),$G$4:$BQ$4,$G214:$BQ214))),"""")"),"")</f>
        <v/>
      </c>
      <c r="CX214" s="208" t="str">
        <f t="shared" si="16"/>
        <v/>
      </c>
      <c r="CY214" s="209" t="s">
        <v>444</v>
      </c>
      <c r="CZ214" s="210">
        <f>IFERROR(__xludf.DUMMYFUNCTION("AVERAGE(ARRAYFORMULA(XLOOKUP(FILTER(INDIRECT(""'""&amp;CZ$1&amp;""'!$C$4:$C$66""),INDIRECT(""'""&amp;CZ$1&amp;""'!$D$4:$D$66"")=CZ$2),$G$4:$BQ$4,$G214:$BQ214)))"),0.43780096500000004)</f>
        <v>0.437800965</v>
      </c>
      <c r="DA214" s="207" t="str">
        <f>IFERROR(__xludf.DUMMYFUNCTION("IF(OR(CZ214&gt;$BS214+$BT214*$BT$2,CZ214&lt;$BS214-$BT214*$BT$2),AVEDEV(ARRAYFORMULA(XLOOKUP(FILTER(INDIRECT(""'""&amp;CZ$1&amp;""'!$C$4:$C$66""),INDIRECT(""'""&amp;CZ$1&amp;""'!$D$4:$D$66"")=CZ$2),$G$4:$BQ$4,$G214:$BQ214))),"""")"),"")</f>
        <v/>
      </c>
      <c r="DB214" s="208" t="str">
        <f t="shared" si="17"/>
        <v/>
      </c>
      <c r="DC214" s="210">
        <f>IFERROR(__xludf.DUMMYFUNCTION("AVERAGE(ARRAYFORMULA(XLOOKUP(FILTER(INDIRECT(""'""&amp;DC$1&amp;""'!$C$4:$C$66""),INDIRECT(""'""&amp;DC$1&amp;""'!$D$4:$D$66"")=DC$2),$G$4:$BQ$4,$G214:$BQ214)))"),-0.23537452888888882)</f>
        <v>-0.2353745289</v>
      </c>
      <c r="DD214" s="207" t="str">
        <f>IFERROR(__xludf.DUMMYFUNCTION("IF(OR(DC214&gt;$BS214+$BT214*$BT$2,DC214&lt;$BS214-$BT214*$BT$2),AVEDEV(ARRAYFORMULA(XLOOKUP(FILTER(INDIRECT(""'""&amp;DC$1&amp;""'!$C$4:$C$66""),INDIRECT(""'""&amp;DC$1&amp;""'!$D$4:$D$66"")=DC$2),$G$4:$BQ$4,$G214:$BQ214))),"""")"),"")</f>
        <v/>
      </c>
      <c r="DE214" s="208" t="str">
        <f t="shared" si="18"/>
        <v/>
      </c>
      <c r="DF214" s="210">
        <f>IFERROR(__xludf.DUMMYFUNCTION("AVERAGE(ARRAYFORMULA(XLOOKUP(FILTER(INDIRECT(""'""&amp;DF$1&amp;""'!$C$4:$C$66""),INDIRECT(""'""&amp;DF$1&amp;""'!$D$4:$D$66"")=DF$2),$G$4:$BQ$4,$G214:$BQ214)))"),-0.10750766636363637)</f>
        <v>-0.1075076664</v>
      </c>
      <c r="DG214" s="207" t="str">
        <f>IFERROR(__xludf.DUMMYFUNCTION("IF(OR(DF214&gt;$BS214+$BT214*$BT$2,DF214&lt;$BS214-$BT214*$BT$2),AVEDEV(ARRAYFORMULA(XLOOKUP(FILTER(INDIRECT(""'""&amp;DF$1&amp;""'!$C$4:$C$66""),INDIRECT(""'""&amp;DF$1&amp;""'!$D$4:$D$66"")=DF$2),$G$4:$BQ$4,$G214:$BQ214))),"""")"),"")</f>
        <v/>
      </c>
      <c r="DH214" s="208" t="str">
        <f t="shared" si="19"/>
        <v/>
      </c>
      <c r="DI214" s="210">
        <f>IFERROR(__xludf.DUMMYFUNCTION("AVERAGE(ARRAYFORMULA(XLOOKUP(FILTER(INDIRECT(""'""&amp;DI$1&amp;""'!$C$4:$C$66""),INDIRECT(""'""&amp;DI$1&amp;""'!$D$4:$D$66"")=DI$2),$G$4:$BQ$4,$G214:$BQ214)))"),1.188764045)</f>
        <v>1.188764045</v>
      </c>
      <c r="DJ214" s="207">
        <f>IFERROR(__xludf.DUMMYFUNCTION("IF(OR(DI214&gt;$BS214+$BT214*$BT$2,DI214&lt;$BS214-$BT214*$BT$2),AVEDEV(ARRAYFORMULA(XLOOKUP(FILTER(INDIRECT(""'""&amp;DI$1&amp;""'!$C$4:$C$66""),INDIRECT(""'""&amp;DI$1&amp;""'!$D$4:$D$66"")=DI$2),$G$4:$BQ$4,$G214:$BQ214))),"""")"),0.35617977500000003)</f>
        <v>0.356179775</v>
      </c>
      <c r="DK214" s="208">
        <f t="shared" si="20"/>
        <v>0.2385639843</v>
      </c>
      <c r="DL214" s="210">
        <f>IFERROR(__xludf.DUMMYFUNCTION("AVERAGE(ARRAYFORMULA(XLOOKUP(FILTER(INDIRECT(""'""&amp;DL$1&amp;""'!$C$4:$C$66""),INDIRECT(""'""&amp;DL$1&amp;""'!$D$4:$D$66"")=DL$2),$G$4:$BQ$4,$G214:$BQ214)))"),0.01645665214285715)</f>
        <v>0.01645665214</v>
      </c>
      <c r="DM214" s="207" t="str">
        <f>IFERROR(__xludf.DUMMYFUNCTION("IF(OR(DL214&gt;$BS214+$BT214*$BT$2,DL214&lt;$BS214-$BT214*$BT$2),AVEDEV(ARRAYFORMULA(XLOOKUP(FILTER(INDIRECT(""'""&amp;DL$1&amp;""'!$C$4:$C$66""),INDIRECT(""'""&amp;DL$1&amp;""'!$D$4:$D$66"")=DL$2),$G$4:$BQ$4,$G214:$BQ214))),"""")"),"")</f>
        <v/>
      </c>
      <c r="DN214" s="208" t="str">
        <f t="shared" si="21"/>
        <v/>
      </c>
      <c r="DO214" s="209" t="s">
        <v>444</v>
      </c>
      <c r="DP214" s="210">
        <f>IFERROR(__xludf.DUMMYFUNCTION("AVERAGE(ARRAYFORMULA(XLOOKUP(FILTER(INDIRECT(""'""&amp;DP$1&amp;""'!$C$4:$C$66""),INDIRECT(""'""&amp;DP$1&amp;""'!$D$4:$D$66"")=DP$2),$G$4:$BQ$4,$G214:$BQ214)))"),0.4474719066666667)</f>
        <v>0.4474719067</v>
      </c>
      <c r="DQ214" s="207" t="str">
        <f>IFERROR(__xludf.DUMMYFUNCTION("IF(OR(DP214&gt;$BS214+$BT214*$BT$2,DP214&lt;$BS214-$BT214*$BT$2),AVEDEV(ARRAYFORMULA(XLOOKUP(FILTER(INDIRECT(""'""&amp;DP$1&amp;""'!$C$4:$C$66""),INDIRECT(""'""&amp;DP$1&amp;""'!$D$4:$D$66"")=DP$2),$G$4:$BQ$4,$G214:$BQ214))),"""")"),"")</f>
        <v/>
      </c>
      <c r="DR214" s="208" t="str">
        <f t="shared" si="22"/>
        <v/>
      </c>
      <c r="DS214" s="210">
        <f>IFERROR(__xludf.DUMMYFUNCTION("AVERAGE(ARRAYFORMULA(XLOOKUP(FILTER(INDIRECT(""'""&amp;DS$1&amp;""'!$C$4:$C$66""),INDIRECT(""'""&amp;DS$1&amp;""'!$D$4:$D$66"")=DS$2),$G$4:$BQ$4,$G214:$BQ214)))"),-0.3026029955555556)</f>
        <v>-0.3026029956</v>
      </c>
      <c r="DT214" s="207" t="str">
        <f>IFERROR(__xludf.DUMMYFUNCTION("IF(OR(DS214&gt;$BS214+$BT214*$BT$2,DS214&lt;$BS214-$BT214*$BT$2),AVEDEV(ARRAYFORMULA(XLOOKUP(FILTER(INDIRECT(""'""&amp;DS$1&amp;""'!$C$4:$C$66""),INDIRECT(""'""&amp;DS$1&amp;""'!$D$4:$D$66"")=DS$2),$G$4:$BQ$4,$G214:$BQ214))),"""")"),"")</f>
        <v/>
      </c>
      <c r="DU214" s="208" t="str">
        <f t="shared" si="23"/>
        <v/>
      </c>
      <c r="DV214" s="210">
        <f>IFERROR(__xludf.DUMMYFUNCTION("AVERAGE(ARRAYFORMULA(XLOOKUP(FILTER(INDIRECT(""'""&amp;DV$1&amp;""'!$C$4:$C$66""),INDIRECT(""'""&amp;DV$1&amp;""'!$D$4:$D$66"")=DV$2),$G$4:$BQ$4,$G214:$BQ214)))"),-0.6236446712499999)</f>
        <v>-0.6236446713</v>
      </c>
      <c r="DW214" s="207">
        <f>IFERROR(__xludf.DUMMYFUNCTION("IF(OR(DV214&gt;$BS214+$BT214*$BT$2,DV214&lt;$BS214-$BT214*$BT$2),AVEDEV(ARRAYFORMULA(XLOOKUP(FILTER(INDIRECT(""'""&amp;DV$1&amp;""'!$C$4:$C$66""),INDIRECT(""'""&amp;DV$1&amp;""'!$D$4:$D$66"")=DV$2),$G$4:$BQ$4,$G214:$BQ214))),"""")"),0.24764923593750005)</f>
        <v>0.2476492359</v>
      </c>
      <c r="DX214" s="208">
        <f t="shared" si="24"/>
        <v>-0.08192685916</v>
      </c>
      <c r="DY214" s="210">
        <f>IFERROR(__xludf.DUMMYFUNCTION("AVERAGE(ARRAYFORMULA(XLOOKUP(FILTER(INDIRECT(""'""&amp;DY$1&amp;""'!$C$4:$C$66""),INDIRECT(""'""&amp;DY$1&amp;""'!$D$4:$D$66"")=DY$2),$G$4:$BQ$4,$G214:$BQ214)))"),0.5025593055555556)</f>
        <v>0.5025593056</v>
      </c>
      <c r="DZ214" s="207" t="str">
        <f>IFERROR(__xludf.DUMMYFUNCTION("IF(OR(DY214&gt;$BS214+$BT214*$BT$2,DY214&lt;$BS214-$BT214*$BT$2),AVEDEV(ARRAYFORMULA(XLOOKUP(FILTER(INDIRECT(""'""&amp;DY$1&amp;""'!$C$4:$C$66""),INDIRECT(""'""&amp;DY$1&amp;""'!$D$4:$D$66"")=DY$2),$G$4:$BQ$4,$G214:$BQ214))),"""")"),"")</f>
        <v/>
      </c>
      <c r="EA214" s="208" t="str">
        <f t="shared" si="25"/>
        <v/>
      </c>
      <c r="EB214" s="191"/>
    </row>
    <row r="215" outlineLevel="1">
      <c r="A215" s="2"/>
      <c r="B215" s="204">
        <v>211.0</v>
      </c>
      <c r="C215" s="204" t="s">
        <v>646</v>
      </c>
      <c r="D215" s="204" t="s">
        <v>660</v>
      </c>
      <c r="E215" s="205" t="b">
        <f>VLOOKUP(D215,'Feature Set List'!A211:C246,2,0)</f>
        <v>1</v>
      </c>
      <c r="F215" s="205" t="b">
        <f>VLOOKUP(D215,'Feature Set List'!A211:C246,3,0)</f>
        <v>1</v>
      </c>
      <c r="G215" s="205">
        <v>-0.9858418</v>
      </c>
      <c r="H215" s="205">
        <v>-0.1142177</v>
      </c>
      <c r="I215" s="205">
        <v>0.14039262</v>
      </c>
      <c r="J215" s="205">
        <v>0.10232005</v>
      </c>
      <c r="K215" s="205">
        <v>1.72159429</v>
      </c>
      <c r="L215" s="205">
        <v>1.03271862</v>
      </c>
      <c r="M215" s="205">
        <v>1.38726948</v>
      </c>
      <c r="N215" s="205">
        <v>0.18560381</v>
      </c>
      <c r="O215" s="205">
        <v>0.93872695</v>
      </c>
      <c r="P215" s="205">
        <v>-0.3402736</v>
      </c>
      <c r="Q215" s="205">
        <v>-0.364069</v>
      </c>
      <c r="R215" s="205">
        <v>-0.3616895</v>
      </c>
      <c r="S215" s="205">
        <v>0.23319453</v>
      </c>
      <c r="T215" s="205">
        <v>0.35455086</v>
      </c>
      <c r="U215" s="205">
        <v>-0.4391434</v>
      </c>
      <c r="V215" s="205">
        <v>1.50624628</v>
      </c>
      <c r="W215" s="205">
        <v>0.21653778</v>
      </c>
      <c r="X215" s="205">
        <v>-0.7453896</v>
      </c>
      <c r="Y215" s="205">
        <v>-0.0547293</v>
      </c>
      <c r="Z215" s="205">
        <v>0.18798334</v>
      </c>
      <c r="AA215" s="205">
        <v>-0.3569304</v>
      </c>
      <c r="AB215" s="205">
        <v>-0.5777513</v>
      </c>
      <c r="AC215" s="205">
        <v>-1.1425342</v>
      </c>
      <c r="AD215" s="205">
        <v>-0.2450922</v>
      </c>
      <c r="AE215" s="205">
        <v>0.87447948</v>
      </c>
      <c r="AF215" s="205">
        <v>0.46519929</v>
      </c>
      <c r="AG215" s="205">
        <v>-0.5863177</v>
      </c>
      <c r="AH215" s="205">
        <v>-1.5856395</v>
      </c>
      <c r="AI215" s="205">
        <v>0.26888757</v>
      </c>
      <c r="AJ215" s="205">
        <v>-1.11279</v>
      </c>
      <c r="AK215" s="205">
        <v>0.82569899</v>
      </c>
      <c r="AL215" s="205">
        <v>0.50089233</v>
      </c>
      <c r="AM215" s="205">
        <v>-0.0499703</v>
      </c>
      <c r="AN215" s="205">
        <v>0.03926234</v>
      </c>
      <c r="AO215" s="205">
        <v>4.46519929</v>
      </c>
      <c r="AP215" s="205">
        <v>4.95657347</v>
      </c>
      <c r="AQ215" s="205">
        <v>0.36168947</v>
      </c>
      <c r="AR215" s="205">
        <v>2.71029149</v>
      </c>
      <c r="AS215" s="205">
        <v>0.61629982</v>
      </c>
      <c r="AT215" s="205">
        <v>0.81261154</v>
      </c>
      <c r="AU215" s="205">
        <v>-0.4366449</v>
      </c>
      <c r="AV215" s="205">
        <v>-0.0713861</v>
      </c>
      <c r="AW215" s="205">
        <v>3.75014872</v>
      </c>
      <c r="AX215" s="205">
        <v>1.40987507</v>
      </c>
      <c r="AY215" s="205">
        <v>-0.4318858</v>
      </c>
      <c r="AZ215" s="205">
        <v>0.28197501</v>
      </c>
      <c r="BA215" s="205">
        <v>-0.0380726</v>
      </c>
      <c r="BB215" s="205">
        <v>-0.3819155</v>
      </c>
      <c r="BC215" s="205">
        <v>0.0</v>
      </c>
      <c r="BD215" s="205">
        <v>0.54491374</v>
      </c>
      <c r="BE215" s="205">
        <v>-0.553837</v>
      </c>
      <c r="BF215" s="205">
        <v>-0.5377751</v>
      </c>
      <c r="BG215" s="205">
        <v>-0.1439619</v>
      </c>
      <c r="BH215" s="205">
        <v>-0.2343843</v>
      </c>
      <c r="BI215" s="205">
        <v>3.6133254</v>
      </c>
      <c r="BJ215" s="205">
        <v>-0.5343248</v>
      </c>
      <c r="BK215" s="205">
        <v>0.07852469</v>
      </c>
      <c r="BL215" s="205">
        <v>-0.8586556</v>
      </c>
      <c r="BM215" s="205">
        <v>-0.4069007</v>
      </c>
      <c r="BN215" s="205">
        <v>-1.164188</v>
      </c>
      <c r="BO215" s="205">
        <v>-0.9991672</v>
      </c>
      <c r="BP215" s="205">
        <v>-0.1570494</v>
      </c>
      <c r="BQ215" s="205">
        <v>1.00297442</v>
      </c>
      <c r="BR215" s="206"/>
      <c r="BS215" s="207">
        <f t="shared" si="6"/>
        <v>0.3106894022</v>
      </c>
      <c r="BT215" s="207">
        <f t="shared" si="7"/>
        <v>0.8675175096</v>
      </c>
      <c r="BU215" s="206"/>
      <c r="BV215" s="207">
        <f>IFERROR(__xludf.DUMMYFUNCTION("AVERAGE(ARRAYFORMULA(XLOOKUP(FILTER(INDIRECT(""'""&amp;BV$1&amp;""'!$C$4:$C$66""),INDIRECT(""'""&amp;BV$1&amp;""'!$D$4:$D$66"")=BV$2),$G$4:$BQ$4,$G215:$BQ215)))"),0.1506246271428572)</f>
        <v>0.1506246271</v>
      </c>
      <c r="BW215" s="207" t="str">
        <f>IFERROR(__xludf.DUMMYFUNCTION("IF(OR(BV215&gt;$BS215+$BT215*$BT$2,BV215&lt;$BS215-$BT215*$BT$2),AVEDEV(ARRAYFORMULA(XLOOKUP(FILTER(INDIRECT(""'""&amp;BV$1&amp;""'!$C$4:$C$66""),INDIRECT(""'""&amp;BV$1&amp;""'!$D$4:$D$66"")=BV$2),$G$4:$BQ$4,$G215:$BQ215))),"""")"),"")</f>
        <v/>
      </c>
      <c r="BX215" s="208" t="str">
        <f t="shared" si="8"/>
        <v/>
      </c>
      <c r="BY215" s="207">
        <f>IFERROR(__xludf.DUMMYFUNCTION("AVERAGE(ARRAYFORMULA(XLOOKUP(FILTER(INDIRECT(""'""&amp;BY$1&amp;""'!$C$4:$C$66""),INDIRECT(""'""&amp;BY$1&amp;""'!$D$4:$D$66"")=BY$2),$G$4:$BQ$4,$G215:$BQ215)))"),0.3894753678571429)</f>
        <v>0.3894753679</v>
      </c>
      <c r="BZ215" s="207" t="str">
        <f>IFERROR(__xludf.DUMMYFUNCTION("IF(OR(BY215&gt;$BS215+$BT215*$BT$2,BY215&lt;$BS215-$BT215*$BT$2),AVEDEV(ARRAYFORMULA(XLOOKUP(FILTER(INDIRECT(""'""&amp;BY$1&amp;""'!$C$4:$C$66""),INDIRECT(""'""&amp;BY$1&amp;""'!$D$4:$D$66"")=BY$2),$G$4:$BQ$4,$G215:$BQ215))),"""")"),"")</f>
        <v/>
      </c>
      <c r="CA215" s="208" t="str">
        <f t="shared" si="9"/>
        <v/>
      </c>
      <c r="CB215" s="207">
        <f>IFERROR(__xludf.DUMMYFUNCTION("AVERAGE(ARRAYFORMULA(XLOOKUP(FILTER(INDIRECT(""'""&amp;CB$1&amp;""'!$C$4:$C$66""),INDIRECT(""'""&amp;CB$1&amp;""'!$D$4:$D$66"")=CB$2),$G$4:$BQ$4,$G215:$BQ215)))"),0.1738575490909091)</f>
        <v>0.1738575491</v>
      </c>
      <c r="CC215" s="207" t="str">
        <f>IFERROR(__xludf.DUMMYFUNCTION("IF(OR(CB215&gt;$BS215+$BT215*$BT$2,CB215&lt;$BS215-$BT215*$BT$2),AVEDEV(ARRAYFORMULA(XLOOKUP(FILTER(INDIRECT(""'""&amp;CB$1&amp;""'!$C$4:$C$66""),INDIRECT(""'""&amp;CB$1&amp;""'!$D$4:$D$66"")=CB$2),$G$4:$BQ$4,$G215:$BQ215))),"""")"),"")</f>
        <v/>
      </c>
      <c r="CD215" s="208" t="str">
        <f t="shared" si="10"/>
        <v/>
      </c>
      <c r="CE215" s="209" t="s">
        <v>444</v>
      </c>
      <c r="CF215" s="207">
        <f>IFERROR(__xludf.DUMMYFUNCTION("AVERAGE(ARRAYFORMULA(XLOOKUP(FILTER(INDIRECT(""'""&amp;CF$1&amp;""'!$C$4:$C$66""),INDIRECT(""'""&amp;CF$1&amp;""'!$D$4:$D$66"")=CF$2),$G$4:$BQ$4,$G215:$BQ215)))"),0.8316552668750002)</f>
        <v>0.8316552669</v>
      </c>
      <c r="CG215" s="207" t="str">
        <f>IFERROR(__xludf.DUMMYFUNCTION("IF(OR(CF215&gt;$BS215+$BT215*$BT$2,CF215&lt;$BS215-$BT215*$BT$2),AVEDEV(ARRAYFORMULA(XLOOKUP(FILTER(INDIRECT(""'""&amp;CF$1&amp;""'!$C$4:$C$66""),INDIRECT(""'""&amp;CF$1&amp;""'!$D$4:$D$66"")=CF$2),$G$4:$BQ$4,$G215:$BQ215))),"""")"),"")</f>
        <v/>
      </c>
      <c r="CH215" s="208" t="str">
        <f t="shared" si="11"/>
        <v/>
      </c>
      <c r="CI215" s="207">
        <f>IFERROR(__xludf.DUMMYFUNCTION("AVERAGE(ARRAYFORMULA(XLOOKUP(FILTER(INDIRECT(""'""&amp;CI$1&amp;""'!$C$4:$C$66""),INDIRECT(""'""&amp;CI$1&amp;""'!$D$4:$D$66"")=CI$2),$G$4:$BQ$4,$G215:$BQ215)))"),0.0316236477419355)</f>
        <v>0.03162364774</v>
      </c>
      <c r="CJ215" s="207" t="str">
        <f>IFERROR(__xludf.DUMMYFUNCTION("IF(OR(CI215&gt;$BS215+$BT215*$BT$2,CI215&lt;$BS215-$BT215*$BT$2),AVEDEV(ARRAYFORMULA(XLOOKUP(FILTER(INDIRECT(""'""&amp;CI$1&amp;""'!$C$4:$C$66""),INDIRECT(""'""&amp;CI$1&amp;""'!$D$4:$D$66"")=CI$2),$G$4:$BQ$4,$G215:$BQ215))),"""")"),"")</f>
        <v/>
      </c>
      <c r="CK215" s="208" t="str">
        <f t="shared" si="12"/>
        <v/>
      </c>
      <c r="CL215" s="207">
        <f>IFERROR(__xludf.DUMMYFUNCTION("AVERAGE(ARRAYFORMULA(XLOOKUP(FILTER(INDIRECT(""'""&amp;CL$1&amp;""'!$C$4:$C$66""),INDIRECT(""'""&amp;CL$1&amp;""'!$D$4:$D$66"")=CL$2),$G$4:$BQ$4,$G215:$BQ215)))"),0.08970851600000003)</f>
        <v>0.089708516</v>
      </c>
      <c r="CM215" s="207" t="str">
        <f>IFERROR(__xludf.DUMMYFUNCTION("IF(OR(CL215&gt;$BS215+$BT215*$BT$2,CL215&lt;$BS215-$BT215*$BT$2),AVEDEV(ARRAYFORMULA(XLOOKUP(FILTER(INDIRECT(""'""&amp;CL$1&amp;""'!$C$4:$C$66""),INDIRECT(""'""&amp;CL$1&amp;""'!$D$4:$D$66"")=CL$2),$G$4:$BQ$4,$G215:$BQ215))),"""")"),"")</f>
        <v/>
      </c>
      <c r="CN215" s="208" t="str">
        <f t="shared" si="13"/>
        <v/>
      </c>
      <c r="CO215" s="209" t="s">
        <v>444</v>
      </c>
      <c r="CP215" s="210">
        <f>IFERROR(__xludf.DUMMYFUNCTION("AVERAGE(ARRAYFORMULA(XLOOKUP(FILTER(INDIRECT(""'""&amp;CP$1&amp;""'!$C$4:$C$66""),INDIRECT(""'""&amp;CP$1&amp;""'!$D$4:$D$66"")=CP$2),$G$4:$BQ$4,$G215:$BQ215)))"),-0.42380567133333347)</f>
        <v>-0.4238056713</v>
      </c>
      <c r="CQ215" s="207" t="str">
        <f>IFERROR(__xludf.DUMMYFUNCTION("IF(OR(CP215&gt;$BS215+$BT215*$BT$2,CP215&lt;$BS215-$BT215*$BT$2),AVEDEV(ARRAYFORMULA(XLOOKUP(FILTER(INDIRECT(""'""&amp;CP$1&amp;""'!$C$4:$C$66""),INDIRECT(""'""&amp;CP$1&amp;""'!$D$4:$D$66"")=CP$2),$G$4:$BQ$4,$G215:$BQ215))),"""")"),"")</f>
        <v/>
      </c>
      <c r="CR215" s="208" t="str">
        <f t="shared" si="14"/>
        <v/>
      </c>
      <c r="CS215" s="210">
        <f>IFERROR(__xludf.DUMMYFUNCTION("AVERAGE(ARRAYFORMULA(XLOOKUP(FILTER(INDIRECT(""'""&amp;CS$1&amp;""'!$C$4:$C$66""),INDIRECT(""'""&amp;CS$1&amp;""'!$D$4:$D$66"")=CS$2),$G$4:$BQ$4,$G215:$BQ215)))"),0.6690248453846154)</f>
        <v>0.6690248454</v>
      </c>
      <c r="CT215" s="207" t="str">
        <f>IFERROR(__xludf.DUMMYFUNCTION("IF(OR(CS215&gt;$BS215+$BT215*$BT$2,CS215&lt;$BS215-$BT215*$BT$2),AVEDEV(ARRAYFORMULA(XLOOKUP(FILTER(INDIRECT(""'""&amp;CS$1&amp;""'!$C$4:$C$66""),INDIRECT(""'""&amp;CS$1&amp;""'!$D$4:$D$66"")=CS$2),$G$4:$BQ$4,$G215:$BQ215))),"""")"),"")</f>
        <v/>
      </c>
      <c r="CU215" s="208" t="str">
        <f t="shared" si="15"/>
        <v/>
      </c>
      <c r="CV215" s="210">
        <f>IFERROR(__xludf.DUMMYFUNCTION("AVERAGE(ARRAYFORMULA(XLOOKUP(FILTER(INDIRECT(""'""&amp;CV$1&amp;""'!$C$4:$C$66""),INDIRECT(""'""&amp;CV$1&amp;""'!$D$4:$D$66"")=CV$2),$G$4:$BQ$4,$G215:$BQ215)))"),0.08970851600000003)</f>
        <v>0.089708516</v>
      </c>
      <c r="CW215" s="207" t="str">
        <f>IFERROR(__xludf.DUMMYFUNCTION("IF(OR(CV215&gt;$BS215+$BT215*$BT$2,CV215&lt;$BS215-$BT215*$BT$2),AVEDEV(ARRAYFORMULA(XLOOKUP(FILTER(INDIRECT(""'""&amp;CV$1&amp;""'!$C$4:$C$66""),INDIRECT(""'""&amp;CV$1&amp;""'!$D$4:$D$66"")=CV$2),$G$4:$BQ$4,$G215:$BQ215))),"""")"),"")</f>
        <v/>
      </c>
      <c r="CX215" s="208" t="str">
        <f t="shared" si="16"/>
        <v/>
      </c>
      <c r="CY215" s="209" t="s">
        <v>444</v>
      </c>
      <c r="CZ215" s="210">
        <f>IFERROR(__xludf.DUMMYFUNCTION("AVERAGE(ARRAYFORMULA(XLOOKUP(FILTER(INDIRECT(""'""&amp;CZ$1&amp;""'!$C$4:$C$66""),INDIRECT(""'""&amp;CZ$1&amp;""'!$D$4:$D$66"")=CZ$2),$G$4:$BQ$4,$G215:$BQ215)))"),0.8694824542857144)</f>
        <v>0.8694824543</v>
      </c>
      <c r="DA215" s="207" t="str">
        <f>IFERROR(__xludf.DUMMYFUNCTION("IF(OR(CZ215&gt;$BS215+$BT215*$BT$2,CZ215&lt;$BS215-$BT215*$BT$2),AVEDEV(ARRAYFORMULA(XLOOKUP(FILTER(INDIRECT(""'""&amp;CZ$1&amp;""'!$C$4:$C$66""),INDIRECT(""'""&amp;CZ$1&amp;""'!$D$4:$D$66"")=CZ$2),$G$4:$BQ$4,$G215:$BQ215))),"""")"),"")</f>
        <v/>
      </c>
      <c r="DB215" s="208" t="str">
        <f t="shared" si="17"/>
        <v/>
      </c>
      <c r="DC215" s="210">
        <f>IFERROR(__xludf.DUMMYFUNCTION("AVERAGE(ARRAYFORMULA(XLOOKUP(FILTER(INDIRECT(""'""&amp;DC$1&amp;""'!$C$4:$C$66""),INDIRECT(""'""&amp;DC$1&amp;""'!$D$4:$D$66"")=DC$2),$G$4:$BQ$4,$G215:$BQ215)))"),0.22637319222222224)</f>
        <v>0.2263731922</v>
      </c>
      <c r="DD215" s="207" t="str">
        <f>IFERROR(__xludf.DUMMYFUNCTION("IF(OR(DC215&gt;$BS215+$BT215*$BT$2,DC215&lt;$BS215-$BT215*$BT$2),AVEDEV(ARRAYFORMULA(XLOOKUP(FILTER(INDIRECT(""'""&amp;DC$1&amp;""'!$C$4:$C$66""),INDIRECT(""'""&amp;DC$1&amp;""'!$D$4:$D$66"")=DC$2),$G$4:$BQ$4,$G215:$BQ215))),"""")"),"")</f>
        <v/>
      </c>
      <c r="DE215" s="208" t="str">
        <f t="shared" si="18"/>
        <v/>
      </c>
      <c r="DF215" s="210">
        <f>IFERROR(__xludf.DUMMYFUNCTION("AVERAGE(ARRAYFORMULA(XLOOKUP(FILTER(INDIRECT(""'""&amp;DF$1&amp;""'!$C$4:$C$66""),INDIRECT(""'""&amp;DF$1&amp;""'!$D$4:$D$66"")=DF$2),$G$4:$BQ$4,$G215:$BQ215)))"),-0.3272327109090909)</f>
        <v>-0.3272327109</v>
      </c>
      <c r="DG215" s="207" t="str">
        <f>IFERROR(__xludf.DUMMYFUNCTION("IF(OR(DF215&gt;$BS215+$BT215*$BT$2,DF215&lt;$BS215-$BT215*$BT$2),AVEDEV(ARRAYFORMULA(XLOOKUP(FILTER(INDIRECT(""'""&amp;DF$1&amp;""'!$C$4:$C$66""),INDIRECT(""'""&amp;DF$1&amp;""'!$D$4:$D$66"")=DF$2),$G$4:$BQ$4,$G215:$BQ215))),"""")"),"")</f>
        <v/>
      </c>
      <c r="DH215" s="208" t="str">
        <f t="shared" si="19"/>
        <v/>
      </c>
      <c r="DI215" s="210">
        <f>IFERROR(__xludf.DUMMYFUNCTION("AVERAGE(ARRAYFORMULA(XLOOKUP(FILTER(INDIRECT(""'""&amp;DI$1&amp;""'!$C$4:$C$66""),INDIRECT(""'""&amp;DI$1&amp;""'!$D$4:$D$66"")=DI$2),$G$4:$BQ$4,$G215:$BQ215)))"),-0.23973824999999999)</f>
        <v>-0.23973825</v>
      </c>
      <c r="DJ215" s="207" t="str">
        <f>IFERROR(__xludf.DUMMYFUNCTION("IF(OR(DI215&gt;$BS215+$BT215*$BT$2,DI215&lt;$BS215-$BT215*$BT$2),AVEDEV(ARRAYFORMULA(XLOOKUP(FILTER(INDIRECT(""'""&amp;DI$1&amp;""'!$C$4:$C$66""),INDIRECT(""'""&amp;DI$1&amp;""'!$D$4:$D$66"")=DI$2),$G$4:$BQ$4,$G215:$BQ215))),"""")"),"")</f>
        <v/>
      </c>
      <c r="DK215" s="208" t="str">
        <f t="shared" si="20"/>
        <v/>
      </c>
      <c r="DL215" s="210">
        <f>IFERROR(__xludf.DUMMYFUNCTION("AVERAGE(ARRAYFORMULA(XLOOKUP(FILTER(INDIRECT(""'""&amp;DL$1&amp;""'!$C$4:$C$66""),INDIRECT(""'""&amp;DL$1&amp;""'!$D$4:$D$66"")=DL$2),$G$4:$BQ$4,$G215:$BQ215)))"),0.44345202214285706)</f>
        <v>0.4434520221</v>
      </c>
      <c r="DM215" s="207" t="str">
        <f>IFERROR(__xludf.DUMMYFUNCTION("IF(OR(DL215&gt;$BS215+$BT215*$BT$2,DL215&lt;$BS215-$BT215*$BT$2),AVEDEV(ARRAYFORMULA(XLOOKUP(FILTER(INDIRECT(""'""&amp;DL$1&amp;""'!$C$4:$C$66""),INDIRECT(""'""&amp;DL$1&amp;""'!$D$4:$D$66"")=DL$2),$G$4:$BQ$4,$G215:$BQ215))),"""")"),"")</f>
        <v/>
      </c>
      <c r="DN215" s="208" t="str">
        <f t="shared" si="21"/>
        <v/>
      </c>
      <c r="DO215" s="209" t="s">
        <v>444</v>
      </c>
      <c r="DP215" s="210">
        <f>IFERROR(__xludf.DUMMYFUNCTION("AVERAGE(ARRAYFORMULA(XLOOKUP(FILTER(INDIRECT(""'""&amp;DP$1&amp;""'!$C$4:$C$66""),INDIRECT(""'""&amp;DP$1&amp;""'!$D$4:$D$66"")=DP$2),$G$4:$BQ$4,$G215:$BQ215)))"),0.3923049813333333)</f>
        <v>0.3923049813</v>
      </c>
      <c r="DQ215" s="207" t="str">
        <f>IFERROR(__xludf.DUMMYFUNCTION("IF(OR(DP215&gt;$BS215+$BT215*$BT$2,DP215&lt;$BS215-$BT215*$BT$2),AVEDEV(ARRAYFORMULA(XLOOKUP(FILTER(INDIRECT(""'""&amp;DP$1&amp;""'!$C$4:$C$66""),INDIRECT(""'""&amp;DP$1&amp;""'!$D$4:$D$66"")=DP$2),$G$4:$BQ$4,$G215:$BQ215))),"""")"),"")</f>
        <v/>
      </c>
      <c r="DR215" s="208" t="str">
        <f t="shared" si="22"/>
        <v/>
      </c>
      <c r="DS215" s="210">
        <f>IFERROR(__xludf.DUMMYFUNCTION("AVERAGE(ARRAYFORMULA(XLOOKUP(FILTER(INDIRECT(""'""&amp;DS$1&amp;""'!$C$4:$C$66""),INDIRECT(""'""&amp;DS$1&amp;""'!$D$4:$D$66"")=DS$2),$G$4:$BQ$4,$G215:$BQ215)))"),0.1276224377777778)</f>
        <v>0.1276224378</v>
      </c>
      <c r="DT215" s="207" t="str">
        <f>IFERROR(__xludf.DUMMYFUNCTION("IF(OR(DS215&gt;$BS215+$BT215*$BT$2,DS215&lt;$BS215-$BT215*$BT$2),AVEDEV(ARRAYFORMULA(XLOOKUP(FILTER(INDIRECT(""'""&amp;DS$1&amp;""'!$C$4:$C$66""),INDIRECT(""'""&amp;DS$1&amp;""'!$D$4:$D$66"")=DS$2),$G$4:$BQ$4,$G215:$BQ215))),"""")"),"")</f>
        <v/>
      </c>
      <c r="DU215" s="208" t="str">
        <f t="shared" si="23"/>
        <v/>
      </c>
      <c r="DV215" s="210">
        <f>IFERROR(__xludf.DUMMYFUNCTION("AVERAGE(ARRAYFORMULA(XLOOKUP(FILTER(INDIRECT(""'""&amp;DV$1&amp;""'!$C$4:$C$66""),INDIRECT(""'""&amp;DV$1&amp;""'!$D$4:$D$66"")=DV$2),$G$4:$BQ$4,$G215:$BQ215)))"),-0.15606782624999999)</f>
        <v>-0.1560678263</v>
      </c>
      <c r="DW215" s="207" t="str">
        <f>IFERROR(__xludf.DUMMYFUNCTION("IF(OR(DV215&gt;$BS215+$BT215*$BT$2,DV215&lt;$BS215-$BT215*$BT$2),AVEDEV(ARRAYFORMULA(XLOOKUP(FILTER(INDIRECT(""'""&amp;DV$1&amp;""'!$C$4:$C$66""),INDIRECT(""'""&amp;DV$1&amp;""'!$D$4:$D$66"")=DV$2),$G$4:$BQ$4,$G215:$BQ215))),"""")"),"")</f>
        <v/>
      </c>
      <c r="DX215" s="208" t="str">
        <f t="shared" si="24"/>
        <v/>
      </c>
      <c r="DY215" s="210">
        <f>IFERROR(__xludf.DUMMYFUNCTION("AVERAGE(ARRAYFORMULA(XLOOKUP(FILTER(INDIRECT(""'""&amp;DY$1&amp;""'!$C$4:$C$66""),INDIRECT(""'""&amp;DY$1&amp;""'!$D$4:$D$66"")=DY$2),$G$4:$BQ$4,$G215:$BQ215)))"),0.23156850333333334)</f>
        <v>0.2315685033</v>
      </c>
      <c r="DZ215" s="207" t="str">
        <f>IFERROR(__xludf.DUMMYFUNCTION("IF(OR(DY215&gt;$BS215+$BT215*$BT$2,DY215&lt;$BS215-$BT215*$BT$2),AVEDEV(ARRAYFORMULA(XLOOKUP(FILTER(INDIRECT(""'""&amp;DY$1&amp;""'!$C$4:$C$66""),INDIRECT(""'""&amp;DY$1&amp;""'!$D$4:$D$66"")=DY$2),$G$4:$BQ$4,$G215:$BQ215))),"""")"),"")</f>
        <v/>
      </c>
      <c r="EA215" s="208" t="str">
        <f t="shared" si="25"/>
        <v/>
      </c>
      <c r="EB215" s="191"/>
    </row>
    <row r="216" outlineLevel="1">
      <c r="A216" s="2"/>
      <c r="B216" s="204">
        <v>212.0</v>
      </c>
      <c r="C216" s="204" t="s">
        <v>646</v>
      </c>
      <c r="D216" s="204" t="s">
        <v>661</v>
      </c>
      <c r="E216" s="205" t="b">
        <f>VLOOKUP(D216,'Feature Set List'!A212:C246,2,0)</f>
        <v>1</v>
      </c>
      <c r="F216" s="205" t="b">
        <f>VLOOKUP(D216,'Feature Set List'!A212:C246,3,0)</f>
        <v>1</v>
      </c>
      <c r="G216" s="205">
        <v>0.89666395</v>
      </c>
      <c r="H216" s="205">
        <v>0.0</v>
      </c>
      <c r="I216" s="205">
        <v>1.2278275</v>
      </c>
      <c r="J216" s="205">
        <v>1.52563059</v>
      </c>
      <c r="K216" s="205">
        <v>0.0</v>
      </c>
      <c r="L216" s="205">
        <v>0.0</v>
      </c>
      <c r="M216" s="205">
        <v>0.0</v>
      </c>
      <c r="N216" s="205">
        <v>1.56061839</v>
      </c>
      <c r="O216" s="205">
        <v>1.59804719</v>
      </c>
      <c r="P216" s="205">
        <v>2.47599675</v>
      </c>
      <c r="Q216" s="205">
        <v>0.0</v>
      </c>
      <c r="R216" s="205">
        <v>0.0</v>
      </c>
      <c r="S216" s="205">
        <v>0.68852726</v>
      </c>
      <c r="T216" s="205">
        <v>0.0</v>
      </c>
      <c r="U216" s="205">
        <v>0.38543531</v>
      </c>
      <c r="V216" s="205">
        <v>0.0</v>
      </c>
      <c r="W216" s="205">
        <v>0.0</v>
      </c>
      <c r="X216" s="205">
        <v>0.0</v>
      </c>
      <c r="Y216" s="205">
        <v>0.0</v>
      </c>
      <c r="Z216" s="205">
        <v>0.0</v>
      </c>
      <c r="AA216" s="205">
        <v>0.85435313</v>
      </c>
      <c r="AB216" s="205">
        <v>0.0</v>
      </c>
      <c r="AC216" s="205">
        <v>0.0</v>
      </c>
      <c r="AD216" s="205">
        <v>0.0</v>
      </c>
      <c r="AE216" s="205">
        <v>0.0</v>
      </c>
      <c r="AF216" s="205">
        <v>0.0</v>
      </c>
      <c r="AG216" s="205">
        <v>0.0</v>
      </c>
      <c r="AH216" s="205">
        <v>0.0</v>
      </c>
      <c r="AI216" s="205">
        <v>2.75427177</v>
      </c>
      <c r="AJ216" s="205">
        <v>0.58917819</v>
      </c>
      <c r="AK216" s="205">
        <v>1.36208299</v>
      </c>
      <c r="AL216" s="205">
        <v>0.0</v>
      </c>
      <c r="AM216" s="205">
        <v>0.0</v>
      </c>
      <c r="AN216" s="205">
        <v>0.0</v>
      </c>
      <c r="AO216" s="205">
        <v>1.03580146</v>
      </c>
      <c r="AP216" s="205">
        <v>1.17249797</v>
      </c>
      <c r="AQ216" s="205">
        <v>0.77664768</v>
      </c>
      <c r="AR216" s="205">
        <v>0.0</v>
      </c>
      <c r="AS216" s="205">
        <v>0.0</v>
      </c>
      <c r="AT216" s="205">
        <v>1.26769731</v>
      </c>
      <c r="AU216" s="205">
        <v>0.81366965</v>
      </c>
      <c r="AV216" s="205">
        <v>1.18388934</v>
      </c>
      <c r="AW216" s="205">
        <v>1.91049634</v>
      </c>
      <c r="AX216" s="205">
        <v>0.0</v>
      </c>
      <c r="AY216" s="205">
        <v>2.44100895</v>
      </c>
      <c r="AZ216" s="205">
        <v>0.0</v>
      </c>
      <c r="BA216" s="205">
        <v>1.24328723</v>
      </c>
      <c r="BB216" s="205">
        <v>0.58120423</v>
      </c>
      <c r="BC216" s="205">
        <v>1.35069162</v>
      </c>
      <c r="BD216" s="205">
        <v>0.49528072</v>
      </c>
      <c r="BE216" s="205">
        <v>0.0</v>
      </c>
      <c r="BF216" s="205">
        <v>0.0</v>
      </c>
      <c r="BG216" s="205">
        <v>0.0</v>
      </c>
      <c r="BH216" s="205">
        <v>0.62587469</v>
      </c>
      <c r="BI216" s="205">
        <v>0.14027665</v>
      </c>
      <c r="BJ216" s="205">
        <v>0.0</v>
      </c>
      <c r="BK216" s="205">
        <v>1.50203417</v>
      </c>
      <c r="BL216" s="205">
        <v>0.52310822</v>
      </c>
      <c r="BM216" s="205">
        <v>0.96419854</v>
      </c>
      <c r="BN216" s="205">
        <v>0.89991863</v>
      </c>
      <c r="BO216" s="205">
        <v>0.0</v>
      </c>
      <c r="BP216" s="205">
        <v>0.0</v>
      </c>
      <c r="BQ216" s="205">
        <v>0.32050448</v>
      </c>
      <c r="BR216" s="206"/>
      <c r="BS216" s="207">
        <f t="shared" si="6"/>
        <v>0.558201919</v>
      </c>
      <c r="BT216" s="207">
        <f t="shared" si="7"/>
        <v>0.5964719246</v>
      </c>
      <c r="BU216" s="206"/>
      <c r="BV216" s="207">
        <f>IFERROR(__xludf.DUMMYFUNCTION("AVERAGE(ARRAYFORMULA(XLOOKUP(FILTER(INDIRECT(""'""&amp;BV$1&amp;""'!$C$4:$C$66""),INDIRECT(""'""&amp;BV$1&amp;""'!$D$4:$D$66"")=BV$2),$G$4:$BQ$4,$G216:$BQ216)))"),0.7095083100000001)</f>
        <v>0.70950831</v>
      </c>
      <c r="BW216" s="207" t="str">
        <f>IFERROR(__xludf.DUMMYFUNCTION("IF(OR(BV216&gt;$BS216+$BT216*$BT$2,BV216&lt;$BS216-$BT216*$BT$2),AVEDEV(ARRAYFORMULA(XLOOKUP(FILTER(INDIRECT(""'""&amp;BV$1&amp;""'!$C$4:$C$66""),INDIRECT(""'""&amp;BV$1&amp;""'!$D$4:$D$66"")=BV$2),$G$4:$BQ$4,$G216:$BQ216))),"""")"),"")</f>
        <v/>
      </c>
      <c r="BX216" s="208" t="str">
        <f t="shared" si="8"/>
        <v/>
      </c>
      <c r="BY216" s="207">
        <f>IFERROR(__xludf.DUMMYFUNCTION("AVERAGE(ARRAYFORMULA(XLOOKUP(FILTER(INDIRECT(""'""&amp;BY$1&amp;""'!$C$4:$C$66""),INDIRECT(""'""&amp;BY$1&amp;""'!$D$4:$D$66"")=BY$2),$G$4:$BQ$4,$G216:$BQ216)))"),0.5257913902380952)</f>
        <v>0.5257913902</v>
      </c>
      <c r="BZ216" s="207" t="str">
        <f>IFERROR(__xludf.DUMMYFUNCTION("IF(OR(BY216&gt;$BS216+$BT216*$BT$2,BY216&lt;$BS216-$BT216*$BT$2),AVEDEV(ARRAYFORMULA(XLOOKUP(FILTER(INDIRECT(""'""&amp;BY$1&amp;""'!$C$4:$C$66""),INDIRECT(""'""&amp;BY$1&amp;""'!$D$4:$D$66"")=BY$2),$G$4:$BQ$4,$G216:$BQ216))),"""")"),"")</f>
        <v/>
      </c>
      <c r="CA216" s="208" t="str">
        <f t="shared" si="9"/>
        <v/>
      </c>
      <c r="CB216" s="207">
        <f>IFERROR(__xludf.DUMMYFUNCTION("AVERAGE(ARRAYFORMULA(XLOOKUP(FILTER(INDIRECT(""'""&amp;CB$1&amp;""'!$C$4:$C$66""),INDIRECT(""'""&amp;CB$1&amp;""'!$D$4:$D$66"")=CB$2),$G$4:$BQ$4,$G216:$BQ216)))"),0.5072860427272727)</f>
        <v>0.5072860427</v>
      </c>
      <c r="CC216" s="207" t="str">
        <f>IFERROR(__xludf.DUMMYFUNCTION("IF(OR(CB216&gt;$BS216+$BT216*$BT$2,CB216&lt;$BS216-$BT216*$BT$2),AVEDEV(ARRAYFORMULA(XLOOKUP(FILTER(INDIRECT(""'""&amp;CB$1&amp;""'!$C$4:$C$66""),INDIRECT(""'""&amp;CB$1&amp;""'!$D$4:$D$66"")=CB$2),$G$4:$BQ$4,$G216:$BQ216))),"""")"),"")</f>
        <v/>
      </c>
      <c r="CD216" s="208" t="str">
        <f t="shared" si="10"/>
        <v/>
      </c>
      <c r="CE216" s="209" t="s">
        <v>444</v>
      </c>
      <c r="CF216" s="207">
        <f>IFERROR(__xludf.DUMMYFUNCTION("AVERAGE(ARRAYFORMULA(XLOOKUP(FILTER(INDIRECT(""'""&amp;CF$1&amp;""'!$C$4:$C$66""),INDIRECT(""'""&amp;CF$1&amp;""'!$D$4:$D$66"")=CF$2),$G$4:$BQ$4,$G216:$BQ216)))"),0.83103641125)</f>
        <v>0.8310364113</v>
      </c>
      <c r="CG216" s="207" t="str">
        <f>IFERROR(__xludf.DUMMYFUNCTION("IF(OR(CF216&gt;$BS216+$BT216*$BT$2,CF216&lt;$BS216-$BT216*$BT$2),AVEDEV(ARRAYFORMULA(XLOOKUP(FILTER(INDIRECT(""'""&amp;CF$1&amp;""'!$C$4:$C$66""),INDIRECT(""'""&amp;CF$1&amp;""'!$D$4:$D$66"")=CF$2),$G$4:$BQ$4,$G216:$BQ216))),"""")"),"")</f>
        <v/>
      </c>
      <c r="CH216" s="208" t="str">
        <f t="shared" si="11"/>
        <v/>
      </c>
      <c r="CI216" s="207">
        <f>IFERROR(__xludf.DUMMYFUNCTION("AVERAGE(ARRAYFORMULA(XLOOKUP(FILTER(INDIRECT(""'""&amp;CI$1&amp;""'!$C$4:$C$66""),INDIRECT(""'""&amp;CI$1&amp;""'!$D$4:$D$66"")=CI$2),$G$4:$BQ$4,$G216:$BQ216)))"),0.3933646548387097)</f>
        <v>0.3933646548</v>
      </c>
      <c r="CJ216" s="207" t="str">
        <f>IFERROR(__xludf.DUMMYFUNCTION("IF(OR(CI216&gt;$BS216+$BT216*$BT$2,CI216&lt;$BS216-$BT216*$BT$2),AVEDEV(ARRAYFORMULA(XLOOKUP(FILTER(INDIRECT(""'""&amp;CI$1&amp;""'!$C$4:$C$66""),INDIRECT(""'""&amp;CI$1&amp;""'!$D$4:$D$66"")=CI$2),$G$4:$BQ$4,$G216:$BQ216))),"""")"),"")</f>
        <v/>
      </c>
      <c r="CK216" s="208" t="str">
        <f t="shared" si="12"/>
        <v/>
      </c>
      <c r="CL216" s="207">
        <f>IFERROR(__xludf.DUMMYFUNCTION("AVERAGE(ARRAYFORMULA(XLOOKUP(FILTER(INDIRECT(""'""&amp;CL$1&amp;""'!$C$4:$C$66""),INDIRECT(""'""&amp;CL$1&amp;""'!$D$4:$D$66"")=CL$2),$G$4:$BQ$4,$G216:$BQ216)))"),0.743856796)</f>
        <v>0.743856796</v>
      </c>
      <c r="CM216" s="207" t="str">
        <f>IFERROR(__xludf.DUMMYFUNCTION("IF(OR(CL216&gt;$BS216+$BT216*$BT$2,CL216&lt;$BS216-$BT216*$BT$2),AVEDEV(ARRAYFORMULA(XLOOKUP(FILTER(INDIRECT(""'""&amp;CL$1&amp;""'!$C$4:$C$66""),INDIRECT(""'""&amp;CL$1&amp;""'!$D$4:$D$66"")=CL$2),$G$4:$BQ$4,$G216:$BQ216))),"""")"),"")</f>
        <v/>
      </c>
      <c r="CN216" s="208" t="str">
        <f t="shared" si="13"/>
        <v/>
      </c>
      <c r="CO216" s="209" t="s">
        <v>444</v>
      </c>
      <c r="CP216" s="210">
        <f>IFERROR(__xludf.DUMMYFUNCTION("AVERAGE(ARRAYFORMULA(XLOOKUP(FILTER(INDIRECT(""'""&amp;CP$1&amp;""'!$C$4:$C$66""),INDIRECT(""'""&amp;CP$1&amp;""'!$D$4:$D$66"")=CP$2),$G$4:$BQ$4,$G216:$BQ216)))"),0.43401139066666666)</f>
        <v>0.4340113907</v>
      </c>
      <c r="CQ216" s="207" t="str">
        <f>IFERROR(__xludf.DUMMYFUNCTION("IF(OR(CP216&gt;$BS216+$BT216*$BT$2,CP216&lt;$BS216-$BT216*$BT$2),AVEDEV(ARRAYFORMULA(XLOOKUP(FILTER(INDIRECT(""'""&amp;CP$1&amp;""'!$C$4:$C$66""),INDIRECT(""'""&amp;CP$1&amp;""'!$D$4:$D$66"")=CP$2),$G$4:$BQ$4,$G216:$BQ216))),"""")"),"")</f>
        <v/>
      </c>
      <c r="CR216" s="208" t="str">
        <f t="shared" si="14"/>
        <v/>
      </c>
      <c r="CS216" s="210">
        <f>IFERROR(__xludf.DUMMYFUNCTION("AVERAGE(ARRAYFORMULA(XLOOKUP(FILTER(INDIRECT(""'""&amp;CS$1&amp;""'!$C$4:$C$66""),INDIRECT(""'""&amp;CS$1&amp;""'!$D$4:$D$66"")=CS$2),$G$4:$BQ$4,$G216:$BQ216)))"),0.5609584607692307)</f>
        <v>0.5609584608</v>
      </c>
      <c r="CT216" s="207" t="str">
        <f>IFERROR(__xludf.DUMMYFUNCTION("IF(OR(CS216&gt;$BS216+$BT216*$BT$2,CS216&lt;$BS216-$BT216*$BT$2),AVEDEV(ARRAYFORMULA(XLOOKUP(FILTER(INDIRECT(""'""&amp;CS$1&amp;""'!$C$4:$C$66""),INDIRECT(""'""&amp;CS$1&amp;""'!$D$4:$D$66"")=CS$2),$G$4:$BQ$4,$G216:$BQ216))),"""")"),"")</f>
        <v/>
      </c>
      <c r="CU216" s="208" t="str">
        <f t="shared" si="15"/>
        <v/>
      </c>
      <c r="CV216" s="210">
        <f>IFERROR(__xludf.DUMMYFUNCTION("AVERAGE(ARRAYFORMULA(XLOOKUP(FILTER(INDIRECT(""'""&amp;CV$1&amp;""'!$C$4:$C$66""),INDIRECT(""'""&amp;CV$1&amp;""'!$D$4:$D$66"")=CV$2),$G$4:$BQ$4,$G216:$BQ216)))"),0.743856796)</f>
        <v>0.743856796</v>
      </c>
      <c r="CW216" s="207" t="str">
        <f>IFERROR(__xludf.DUMMYFUNCTION("IF(OR(CV216&gt;$BS216+$BT216*$BT$2,CV216&lt;$BS216-$BT216*$BT$2),AVEDEV(ARRAYFORMULA(XLOOKUP(FILTER(INDIRECT(""'""&amp;CV$1&amp;""'!$C$4:$C$66""),INDIRECT(""'""&amp;CV$1&amp;""'!$D$4:$D$66"")=CV$2),$G$4:$BQ$4,$G216:$BQ216))),"""")"),"")</f>
        <v/>
      </c>
      <c r="CX216" s="208" t="str">
        <f t="shared" si="16"/>
        <v/>
      </c>
      <c r="CY216" s="209" t="s">
        <v>444</v>
      </c>
      <c r="CZ216" s="210">
        <f>IFERROR(__xludf.DUMMYFUNCTION("AVERAGE(ARRAYFORMULA(XLOOKUP(FILTER(INDIRECT(""'""&amp;CZ$1&amp;""'!$C$4:$C$66""),INDIRECT(""'""&amp;CZ$1&amp;""'!$D$4:$D$66"")=CZ$2),$G$4:$BQ$4,$G216:$BQ216)))"),0.8974485642857143)</f>
        <v>0.8974485643</v>
      </c>
      <c r="DA216" s="207" t="str">
        <f>IFERROR(__xludf.DUMMYFUNCTION("IF(OR(CZ216&gt;$BS216+$BT216*$BT$2,CZ216&lt;$BS216-$BT216*$BT$2),AVEDEV(ARRAYFORMULA(XLOOKUP(FILTER(INDIRECT(""'""&amp;CZ$1&amp;""'!$C$4:$C$66""),INDIRECT(""'""&amp;CZ$1&amp;""'!$D$4:$D$66"")=CZ$2),$G$4:$BQ$4,$G216:$BQ216))),"""")"),"")</f>
        <v/>
      </c>
      <c r="DB216" s="208" t="str">
        <f t="shared" si="17"/>
        <v/>
      </c>
      <c r="DC216" s="210">
        <f>IFERROR(__xludf.DUMMYFUNCTION("AVERAGE(ARRAYFORMULA(XLOOKUP(FILTER(INDIRECT(""'""&amp;DC$1&amp;""'!$C$4:$C$66""),INDIRECT(""'""&amp;DC$1&amp;""'!$D$4:$D$66"")=DC$2),$G$4:$BQ$4,$G216:$BQ216)))"),0.5128831033333333)</f>
        <v>0.5128831033</v>
      </c>
      <c r="DD216" s="207" t="str">
        <f>IFERROR(__xludf.DUMMYFUNCTION("IF(OR(DC216&gt;$BS216+$BT216*$BT$2,DC216&lt;$BS216-$BT216*$BT$2),AVEDEV(ARRAYFORMULA(XLOOKUP(FILTER(INDIRECT(""'""&amp;DC$1&amp;""'!$C$4:$C$66""),INDIRECT(""'""&amp;DC$1&amp;""'!$D$4:$D$66"")=DC$2),$G$4:$BQ$4,$G216:$BQ216))),"""")"),"")</f>
        <v/>
      </c>
      <c r="DE216" s="208" t="str">
        <f t="shared" si="18"/>
        <v/>
      </c>
      <c r="DF216" s="210">
        <f>IFERROR(__xludf.DUMMYFUNCTION("AVERAGE(ARRAYFORMULA(XLOOKUP(FILTER(INDIRECT(""'""&amp;DF$1&amp;""'!$C$4:$C$66""),INDIRECT(""'""&amp;DF$1&amp;""'!$D$4:$D$66"")=DF$2),$G$4:$BQ$4,$G216:$BQ216)))"),0.36313336727272727)</f>
        <v>0.3631333673</v>
      </c>
      <c r="DG216" s="207" t="str">
        <f>IFERROR(__xludf.DUMMYFUNCTION("IF(OR(DF216&gt;$BS216+$BT216*$BT$2,DF216&lt;$BS216-$BT216*$BT$2),AVEDEV(ARRAYFORMULA(XLOOKUP(FILTER(INDIRECT(""'""&amp;DF$1&amp;""'!$C$4:$C$66""),INDIRECT(""'""&amp;DF$1&amp;""'!$D$4:$D$66"")=DF$2),$G$4:$BQ$4,$G216:$BQ216))),"""")"),"")</f>
        <v/>
      </c>
      <c r="DH216" s="208" t="str">
        <f t="shared" si="19"/>
        <v/>
      </c>
      <c r="DI216" s="210">
        <f>IFERROR(__xludf.DUMMYFUNCTION("AVERAGE(ARRAYFORMULA(XLOOKUP(FILTER(INDIRECT(""'""&amp;DI$1&amp;""'!$C$4:$C$66""),INDIRECT(""'""&amp;DI$1&amp;""'!$D$4:$D$66"")=DI$2),$G$4:$BQ$4,$G216:$BQ216)))"),0.312937345)</f>
        <v>0.312937345</v>
      </c>
      <c r="DJ216" s="207" t="str">
        <f>IFERROR(__xludf.DUMMYFUNCTION("IF(OR(DI216&gt;$BS216+$BT216*$BT$2,DI216&lt;$BS216-$BT216*$BT$2),AVEDEV(ARRAYFORMULA(XLOOKUP(FILTER(INDIRECT(""'""&amp;DI$1&amp;""'!$C$4:$C$66""),INDIRECT(""'""&amp;DI$1&amp;""'!$D$4:$D$66"")=DI$2),$G$4:$BQ$4,$G216:$BQ216))),"""")"),"")</f>
        <v/>
      </c>
      <c r="DK216" s="208" t="str">
        <f t="shared" si="20"/>
        <v/>
      </c>
      <c r="DL216" s="210">
        <f>IFERROR(__xludf.DUMMYFUNCTION("AVERAGE(ARRAYFORMULA(XLOOKUP(FILTER(INDIRECT(""'""&amp;DL$1&amp;""'!$C$4:$C$66""),INDIRECT(""'""&amp;DL$1&amp;""'!$D$4:$D$66"")=DL$2),$G$4:$BQ$4,$G216:$BQ216)))"),0.3499011971428571)</f>
        <v>0.3499011971</v>
      </c>
      <c r="DM216" s="207" t="str">
        <f>IFERROR(__xludf.DUMMYFUNCTION("IF(OR(DL216&gt;$BS216+$BT216*$BT$2,DL216&lt;$BS216-$BT216*$BT$2),AVEDEV(ARRAYFORMULA(XLOOKUP(FILTER(INDIRECT(""'""&amp;DL$1&amp;""'!$C$4:$C$66""),INDIRECT(""'""&amp;DL$1&amp;""'!$D$4:$D$66"")=DL$2),$G$4:$BQ$4,$G216:$BQ216))),"""")"),"")</f>
        <v/>
      </c>
      <c r="DN216" s="208" t="str">
        <f t="shared" si="21"/>
        <v/>
      </c>
      <c r="DO216" s="209" t="s">
        <v>444</v>
      </c>
      <c r="DP216" s="210">
        <f>IFERROR(__xludf.DUMMYFUNCTION("AVERAGE(ARRAYFORMULA(XLOOKUP(FILTER(INDIRECT(""'""&amp;DP$1&amp;""'!$C$4:$C$66""),INDIRECT(""'""&amp;DP$1&amp;""'!$D$4:$D$66"")=DP$2),$G$4:$BQ$4,$G216:$BQ216)))"),0.47713859500000005)</f>
        <v>0.477138595</v>
      </c>
      <c r="DQ216" s="207" t="str">
        <f>IFERROR(__xludf.DUMMYFUNCTION("IF(OR(DP216&gt;$BS216+$BT216*$BT$2,DP216&lt;$BS216-$BT216*$BT$2),AVEDEV(ARRAYFORMULA(XLOOKUP(FILTER(INDIRECT(""'""&amp;DP$1&amp;""'!$C$4:$C$66""),INDIRECT(""'""&amp;DP$1&amp;""'!$D$4:$D$66"")=DP$2),$G$4:$BQ$4,$G216:$BQ216))),"""")"),"")</f>
        <v/>
      </c>
      <c r="DR216" s="208" t="str">
        <f t="shared" si="22"/>
        <v/>
      </c>
      <c r="DS216" s="210">
        <f>IFERROR(__xludf.DUMMYFUNCTION("AVERAGE(ARRAYFORMULA(XLOOKUP(FILTER(INDIRECT(""'""&amp;DS$1&amp;""'!$C$4:$C$66""),INDIRECT(""'""&amp;DS$1&amp;""'!$D$4:$D$66"")=DS$2),$G$4:$BQ$4,$G216:$BQ216)))"),0.7515595344444445)</f>
        <v>0.7515595344</v>
      </c>
      <c r="DT216" s="207" t="str">
        <f>IFERROR(__xludf.DUMMYFUNCTION("IF(OR(DS216&gt;$BS216+$BT216*$BT$2,DS216&lt;$BS216-$BT216*$BT$2),AVEDEV(ARRAYFORMULA(XLOOKUP(FILTER(INDIRECT(""'""&amp;DS$1&amp;""'!$C$4:$C$66""),INDIRECT(""'""&amp;DS$1&amp;""'!$D$4:$D$66"")=DS$2),$G$4:$BQ$4,$G216:$BQ216))),"""")"),"")</f>
        <v/>
      </c>
      <c r="DU216" s="208" t="str">
        <f t="shared" si="23"/>
        <v/>
      </c>
      <c r="DV216" s="210">
        <f>IFERROR(__xludf.DUMMYFUNCTION("AVERAGE(ARRAYFORMULA(XLOOKUP(FILTER(INDIRECT(""'""&amp;DV$1&amp;""'!$C$4:$C$66""),INDIRECT(""'""&amp;DV$1&amp;""'!$D$4:$D$66"")=DV$2),$G$4:$BQ$4,$G216:$BQ216)))"),0.81956875375)</f>
        <v>0.8195687538</v>
      </c>
      <c r="DW216" s="207" t="str">
        <f>IFERROR(__xludf.DUMMYFUNCTION("IF(OR(DV216&gt;$BS216+$BT216*$BT$2,DV216&lt;$BS216-$BT216*$BT$2),AVEDEV(ARRAYFORMULA(XLOOKUP(FILTER(INDIRECT(""'""&amp;DV$1&amp;""'!$C$4:$C$66""),INDIRECT(""'""&amp;DV$1&amp;""'!$D$4:$D$66"")=DV$2),$G$4:$BQ$4,$G216:$BQ216))),"""")"),"")</f>
        <v/>
      </c>
      <c r="DX216" s="208" t="str">
        <f t="shared" si="24"/>
        <v/>
      </c>
      <c r="DY216" s="210">
        <f>IFERROR(__xludf.DUMMYFUNCTION("AVERAGE(ARRAYFORMULA(XLOOKUP(FILTER(INDIRECT(""'""&amp;DY$1&amp;""'!$C$4:$C$66""),INDIRECT(""'""&amp;DY$1&amp;""'!$D$4:$D$66"")=DY$2),$G$4:$BQ$4,$G216:$BQ216)))"),0.3818099622222222)</f>
        <v>0.3818099622</v>
      </c>
      <c r="DZ216" s="207" t="str">
        <f>IFERROR(__xludf.DUMMYFUNCTION("IF(OR(DY216&gt;$BS216+$BT216*$BT$2,DY216&lt;$BS216-$BT216*$BT$2),AVEDEV(ARRAYFORMULA(XLOOKUP(FILTER(INDIRECT(""'""&amp;DY$1&amp;""'!$C$4:$C$66""),INDIRECT(""'""&amp;DY$1&amp;""'!$D$4:$D$66"")=DY$2),$G$4:$BQ$4,$G216:$BQ216))),"""")"),"")</f>
        <v/>
      </c>
      <c r="EA216" s="208" t="str">
        <f t="shared" si="25"/>
        <v/>
      </c>
      <c r="EB216" s="191"/>
    </row>
    <row r="217" outlineLevel="1">
      <c r="A217" s="2"/>
      <c r="B217" s="204">
        <v>213.0</v>
      </c>
      <c r="C217" s="204" t="s">
        <v>646</v>
      </c>
      <c r="D217" s="204" t="s">
        <v>662</v>
      </c>
      <c r="E217" s="205" t="b">
        <f>VLOOKUP(D217,'Feature Set List'!A213:C246,2,0)</f>
        <v>1</v>
      </c>
      <c r="F217" s="205" t="b">
        <f>VLOOKUP(D217,'Feature Set List'!A213:C246,3,0)</f>
        <v>1</v>
      </c>
      <c r="G217" s="205">
        <v>-1.0144928</v>
      </c>
      <c r="H217" s="205">
        <v>0.22397892</v>
      </c>
      <c r="I217" s="205">
        <v>0.06324111</v>
      </c>
      <c r="J217" s="205">
        <v>-0.2714097</v>
      </c>
      <c r="K217" s="205">
        <v>-0.7694335</v>
      </c>
      <c r="L217" s="205">
        <v>-0.0237154</v>
      </c>
      <c r="M217" s="205">
        <v>0.00263505</v>
      </c>
      <c r="N217" s="205">
        <v>-0.5349144</v>
      </c>
      <c r="O217" s="205">
        <v>0.16600791</v>
      </c>
      <c r="P217" s="205">
        <v>0.28458498</v>
      </c>
      <c r="Q217" s="205">
        <v>-0.3188406</v>
      </c>
      <c r="R217" s="205">
        <v>-1.9868248</v>
      </c>
      <c r="S217" s="205">
        <v>-0.8115942</v>
      </c>
      <c r="T217" s="205">
        <v>0.25823452</v>
      </c>
      <c r="U217" s="205">
        <v>-1.5625823</v>
      </c>
      <c r="V217" s="205">
        <v>0.25296443</v>
      </c>
      <c r="W217" s="205">
        <v>-2.0342556</v>
      </c>
      <c r="X217" s="205">
        <v>0.26086957</v>
      </c>
      <c r="Y217" s="205">
        <v>-0.2555995</v>
      </c>
      <c r="Z217" s="205">
        <v>0.22924901</v>
      </c>
      <c r="AA217" s="205">
        <v>-2.6798419</v>
      </c>
      <c r="AB217" s="205">
        <v>0.26086957</v>
      </c>
      <c r="AC217" s="205">
        <v>0.2345191</v>
      </c>
      <c r="AD217" s="205">
        <v>-0.4110672</v>
      </c>
      <c r="AE217" s="205">
        <v>0.27140975</v>
      </c>
      <c r="AF217" s="205">
        <v>0.27140975</v>
      </c>
      <c r="AG217" s="205">
        <v>-0.0131752</v>
      </c>
      <c r="AH217" s="205">
        <v>-0.2529644</v>
      </c>
      <c r="AI217" s="205">
        <v>-1.2964427</v>
      </c>
      <c r="AJ217" s="205">
        <v>-0.5955204</v>
      </c>
      <c r="AK217" s="205">
        <v>0.2740448</v>
      </c>
      <c r="AL217" s="205">
        <v>0.23188406</v>
      </c>
      <c r="AM217" s="205">
        <v>-1.140975</v>
      </c>
      <c r="AN217" s="205">
        <v>-0.7720685</v>
      </c>
      <c r="AO217" s="205">
        <v>-11.046113</v>
      </c>
      <c r="AP217" s="205">
        <v>0.16337286</v>
      </c>
      <c r="AQ217" s="205">
        <v>0.06324111</v>
      </c>
      <c r="AR217" s="205">
        <v>0.19235837</v>
      </c>
      <c r="AS217" s="205">
        <v>0.22924901</v>
      </c>
      <c r="AT217" s="205">
        <v>0.27667984</v>
      </c>
      <c r="AU217" s="205">
        <v>-26.060606</v>
      </c>
      <c r="AV217" s="205">
        <v>0.0</v>
      </c>
      <c r="AW217" s="205">
        <v>-3.088274</v>
      </c>
      <c r="AX217" s="205">
        <v>0.13438735</v>
      </c>
      <c r="AY217" s="205">
        <v>-7.0144928</v>
      </c>
      <c r="AZ217" s="205">
        <v>-0.5032938</v>
      </c>
      <c r="BA217" s="205">
        <v>0.28985507</v>
      </c>
      <c r="BB217" s="205">
        <v>0.07905138</v>
      </c>
      <c r="BC217" s="205">
        <v>-0.1844532</v>
      </c>
      <c r="BD217" s="205">
        <v>0.27931489</v>
      </c>
      <c r="BE217" s="205">
        <v>-2.3056653</v>
      </c>
      <c r="BF217" s="205">
        <v>0.25296443</v>
      </c>
      <c r="BG217" s="205">
        <v>0.28458498</v>
      </c>
      <c r="BH217" s="205">
        <v>-0.5032938</v>
      </c>
      <c r="BI217" s="205">
        <v>0.08168643</v>
      </c>
      <c r="BJ217" s="205">
        <v>0.21870883</v>
      </c>
      <c r="BK217" s="205">
        <v>-0.4110672</v>
      </c>
      <c r="BL217" s="205">
        <v>-6.7826087</v>
      </c>
      <c r="BM217" s="205">
        <v>0.22661397</v>
      </c>
      <c r="BN217" s="205">
        <v>0.19235837</v>
      </c>
      <c r="BO217" s="205">
        <v>-1.5098814</v>
      </c>
      <c r="BP217" s="205">
        <v>-0.0816864</v>
      </c>
      <c r="BQ217" s="205">
        <v>0.15810277</v>
      </c>
      <c r="BR217" s="206"/>
      <c r="BS217" s="207">
        <f t="shared" si="6"/>
        <v>-1.108392405</v>
      </c>
      <c r="BT217" s="207">
        <f t="shared" si="7"/>
        <v>1.717443246</v>
      </c>
      <c r="BU217" s="206"/>
      <c r="BV217" s="207">
        <f>IFERROR(__xludf.DUMMYFUNCTION("AVERAGE(ARRAYFORMULA(XLOOKUP(FILTER(INDIRECT(""'""&amp;BV$1&amp;""'!$C$4:$C$66""),INDIRECT(""'""&amp;BV$1&amp;""'!$D$4:$D$66"")=BV$2),$G$4:$BQ$4,$G217:$BQ217)))"),-4.053077307142857)</f>
        <v>-4.053077307</v>
      </c>
      <c r="BW217" s="207">
        <f>IFERROR(__xludf.DUMMYFUNCTION("IF(OR(BV217&gt;$BS217+$BT217*$BT$2,BV217&lt;$BS217-$BT217*$BT$2),AVEDEV(ARRAYFORMULA(XLOOKUP(FILTER(INDIRECT(""'""&amp;BV$1&amp;""'!$C$4:$C$66""),INDIRECT(""'""&amp;BV$1&amp;""'!$D$4:$D$66"")=BV$2),$G$4:$BQ$4,$G217:$BQ217))),"""")"),3.62399502244898)</f>
        <v>3.623995022</v>
      </c>
      <c r="BX217" s="208" t="str">
        <f t="shared" si="8"/>
        <v/>
      </c>
      <c r="BY217" s="207">
        <f>IFERROR(__xludf.DUMMYFUNCTION("AVERAGE(ARRAYFORMULA(XLOOKUP(FILTER(INDIRECT(""'""&amp;BY$1&amp;""'!$C$4:$C$66""),INDIRECT(""'""&amp;BY$1&amp;""'!$D$4:$D$66"")=BY$2),$G$4:$BQ$4,$G217:$BQ217)))"),-0.3152644428571428)</f>
        <v>-0.3152644429</v>
      </c>
      <c r="BZ217" s="207" t="str">
        <f>IFERROR(__xludf.DUMMYFUNCTION("IF(OR(BY217&gt;$BS217+$BT217*$BT$2,BY217&lt;$BS217-$BT217*$BT$2),AVEDEV(ARRAYFORMULA(XLOOKUP(FILTER(INDIRECT(""'""&amp;BY$1&amp;""'!$C$4:$C$66""),INDIRECT(""'""&amp;BY$1&amp;""'!$D$4:$D$66"")=BY$2),$G$4:$BQ$4,$G217:$BQ217))),"""")"),"")</f>
        <v/>
      </c>
      <c r="CA217" s="208" t="str">
        <f t="shared" si="9"/>
        <v/>
      </c>
      <c r="CB217" s="207">
        <f>IFERROR(__xludf.DUMMYFUNCTION("AVERAGE(ARRAYFORMULA(XLOOKUP(FILTER(INDIRECT(""'""&amp;CB$1&amp;""'!$C$4:$C$66""),INDIRECT(""'""&amp;CB$1&amp;""'!$D$4:$D$66"")=CB$2),$G$4:$BQ$4,$G217:$BQ217)))"),-0.22709306909090907)</f>
        <v>-0.2270930691</v>
      </c>
      <c r="CC217" s="207" t="str">
        <f>IFERROR(__xludf.DUMMYFUNCTION("IF(OR(CB217&gt;$BS217+$BT217*$BT$2,CB217&lt;$BS217-$BT217*$BT$2),AVEDEV(ARRAYFORMULA(XLOOKUP(FILTER(INDIRECT(""'""&amp;CB$1&amp;""'!$C$4:$C$66""),INDIRECT(""'""&amp;CB$1&amp;""'!$D$4:$D$66"")=CB$2),$G$4:$BQ$4,$G217:$BQ217))),"""")"),"")</f>
        <v/>
      </c>
      <c r="CD217" s="208" t="str">
        <f t="shared" si="10"/>
        <v/>
      </c>
      <c r="CE217" s="209" t="s">
        <v>444</v>
      </c>
      <c r="CF217" s="207">
        <f>IFERROR(__xludf.DUMMYFUNCTION("AVERAGE(ARRAYFORMULA(XLOOKUP(FILTER(INDIRECT(""'""&amp;CF$1&amp;""'!$C$4:$C$66""),INDIRECT(""'""&amp;CF$1&amp;""'!$D$4:$D$66"")=CF$2),$G$4:$BQ$4,$G217:$BQ217)))"),-0.3549077675)</f>
        <v>-0.3549077675</v>
      </c>
      <c r="CG217" s="207" t="str">
        <f>IFERROR(__xludf.DUMMYFUNCTION("IF(OR(CF217&gt;$BS217+$BT217*$BT$2,CF217&lt;$BS217-$BT217*$BT$2),AVEDEV(ARRAYFORMULA(XLOOKUP(FILTER(INDIRECT(""'""&amp;CF$1&amp;""'!$C$4:$C$66""),INDIRECT(""'""&amp;CF$1&amp;""'!$D$4:$D$66"")=CF$2),$G$4:$BQ$4,$G217:$BQ217))),"""")"),"")</f>
        <v/>
      </c>
      <c r="CH217" s="208" t="str">
        <f t="shared" si="11"/>
        <v/>
      </c>
      <c r="CI217" s="207">
        <f>IFERROR(__xludf.DUMMYFUNCTION("AVERAGE(ARRAYFORMULA(XLOOKUP(FILTER(INDIRECT(""'""&amp;CI$1&amp;""'!$C$4:$C$66""),INDIRECT(""'""&amp;CI$1&amp;""'!$D$4:$D$66"")=CI$2),$G$4:$BQ$4,$G217:$BQ217)))"),-0.6528964241935485)</f>
        <v>-0.6528964242</v>
      </c>
      <c r="CJ217" s="207" t="str">
        <f>IFERROR(__xludf.DUMMYFUNCTION("IF(OR(CI217&gt;$BS217+$BT217*$BT$2,CI217&lt;$BS217-$BT217*$BT$2),AVEDEV(ARRAYFORMULA(XLOOKUP(FILTER(INDIRECT(""'""&amp;CI$1&amp;""'!$C$4:$C$66""),INDIRECT(""'""&amp;CI$1&amp;""'!$D$4:$D$66"")=CI$2),$G$4:$BQ$4,$G217:$BQ217))),"""")"),"")</f>
        <v/>
      </c>
      <c r="CK217" s="208" t="str">
        <f t="shared" si="12"/>
        <v/>
      </c>
      <c r="CL217" s="207">
        <f>IFERROR(__xludf.DUMMYFUNCTION("AVERAGE(ARRAYFORMULA(XLOOKUP(FILTER(INDIRECT(""'""&amp;CL$1&amp;""'!$C$4:$C$66""),INDIRECT(""'""&amp;CL$1&amp;""'!$D$4:$D$66"")=CL$2),$G$4:$BQ$4,$G217:$BQ217)))"),0.26930171199999997)</f>
        <v>0.269301712</v>
      </c>
      <c r="CM217" s="207" t="str">
        <f>IFERROR(__xludf.DUMMYFUNCTION("IF(OR(CL217&gt;$BS217+$BT217*$BT$2,CL217&lt;$BS217-$BT217*$BT$2),AVEDEV(ARRAYFORMULA(XLOOKUP(FILTER(INDIRECT(""'""&amp;CL$1&amp;""'!$C$4:$C$66""),INDIRECT(""'""&amp;CL$1&amp;""'!$D$4:$D$66"")=CL$2),$G$4:$BQ$4,$G217:$BQ217))),"""")"),"")</f>
        <v/>
      </c>
      <c r="CN217" s="208" t="str">
        <f t="shared" si="13"/>
        <v/>
      </c>
      <c r="CO217" s="209" t="s">
        <v>444</v>
      </c>
      <c r="CP217" s="210">
        <f>IFERROR(__xludf.DUMMYFUNCTION("AVERAGE(ARRAYFORMULA(XLOOKUP(FILTER(INDIRECT(""'""&amp;CP$1&amp;""'!$C$4:$C$66""),INDIRECT(""'""&amp;CP$1&amp;""'!$D$4:$D$66"")=CP$2),$G$4:$BQ$4,$G217:$BQ217)))"),-0.5670619213333333)</f>
        <v>-0.5670619213</v>
      </c>
      <c r="CQ217" s="207" t="str">
        <f>IFERROR(__xludf.DUMMYFUNCTION("IF(OR(CP217&gt;$BS217+$BT217*$BT$2,CP217&lt;$BS217-$BT217*$BT$2),AVEDEV(ARRAYFORMULA(XLOOKUP(FILTER(INDIRECT(""'""&amp;CP$1&amp;""'!$C$4:$C$66""),INDIRECT(""'""&amp;CP$1&amp;""'!$D$4:$D$66"")=CP$2),$G$4:$BQ$4,$G217:$BQ217))),"""")"),"")</f>
        <v/>
      </c>
      <c r="CR217" s="208" t="str">
        <f t="shared" si="14"/>
        <v/>
      </c>
      <c r="CS217" s="210">
        <f>IFERROR(__xludf.DUMMYFUNCTION("AVERAGE(ARRAYFORMULA(XLOOKUP(FILTER(INDIRECT(""'""&amp;CS$1&amp;""'!$C$4:$C$66""),INDIRECT(""'""&amp;CS$1&amp;""'!$D$4:$D$66"")=CS$2),$G$4:$BQ$4,$G217:$BQ217)))"),-0.7735549371794872)</f>
        <v>-0.7735549372</v>
      </c>
      <c r="CT217" s="207" t="str">
        <f>IFERROR(__xludf.DUMMYFUNCTION("IF(OR(CS217&gt;$BS217+$BT217*$BT$2,CS217&lt;$BS217-$BT217*$BT$2),AVEDEV(ARRAYFORMULA(XLOOKUP(FILTER(INDIRECT(""'""&amp;CS$1&amp;""'!$C$4:$C$66""),INDIRECT(""'""&amp;CS$1&amp;""'!$D$4:$D$66"")=CS$2),$G$4:$BQ$4,$G217:$BQ217))),"""")"),"")</f>
        <v/>
      </c>
      <c r="CU217" s="208" t="str">
        <f t="shared" si="15"/>
        <v/>
      </c>
      <c r="CV217" s="210">
        <f>IFERROR(__xludf.DUMMYFUNCTION("AVERAGE(ARRAYFORMULA(XLOOKUP(FILTER(INDIRECT(""'""&amp;CV$1&amp;""'!$C$4:$C$66""),INDIRECT(""'""&amp;CV$1&amp;""'!$D$4:$D$66"")=CV$2),$G$4:$BQ$4,$G217:$BQ217)))"),0.26930171199999997)</f>
        <v>0.269301712</v>
      </c>
      <c r="CW217" s="207" t="str">
        <f>IFERROR(__xludf.DUMMYFUNCTION("IF(OR(CV217&gt;$BS217+$BT217*$BT$2,CV217&lt;$BS217-$BT217*$BT$2),AVEDEV(ARRAYFORMULA(XLOOKUP(FILTER(INDIRECT(""'""&amp;CV$1&amp;""'!$C$4:$C$66""),INDIRECT(""'""&amp;CV$1&amp;""'!$D$4:$D$66"")=CV$2),$G$4:$BQ$4,$G217:$BQ217))),"""")"),"")</f>
        <v/>
      </c>
      <c r="CX217" s="208" t="str">
        <f t="shared" si="16"/>
        <v/>
      </c>
      <c r="CY217" s="209" t="s">
        <v>444</v>
      </c>
      <c r="CZ217" s="210">
        <f>IFERROR(__xludf.DUMMYFUNCTION("AVERAGE(ARRAYFORMULA(XLOOKUP(FILTER(INDIRECT(""'""&amp;CZ$1&amp;""'!$C$4:$C$66""),INDIRECT(""'""&amp;CZ$1&amp;""'!$D$4:$D$66"")=CZ$2),$G$4:$BQ$4,$G217:$BQ217)))"),-0.2772444885714286)</f>
        <v>-0.2772444886</v>
      </c>
      <c r="DA217" s="207" t="str">
        <f>IFERROR(__xludf.DUMMYFUNCTION("IF(OR(CZ217&gt;$BS217+$BT217*$BT$2,CZ217&lt;$BS217-$BT217*$BT$2),AVEDEV(ARRAYFORMULA(XLOOKUP(FILTER(INDIRECT(""'""&amp;CZ$1&amp;""'!$C$4:$C$66""),INDIRECT(""'""&amp;CZ$1&amp;""'!$D$4:$D$66"")=CZ$2),$G$4:$BQ$4,$G217:$BQ217))),"""")"),"")</f>
        <v/>
      </c>
      <c r="DB217" s="208" t="str">
        <f t="shared" si="17"/>
        <v/>
      </c>
      <c r="DC217" s="210">
        <f>IFERROR(__xludf.DUMMYFUNCTION("AVERAGE(ARRAYFORMULA(XLOOKUP(FILTER(INDIRECT(""'""&amp;DC$1&amp;""'!$C$4:$C$66""),INDIRECT(""'""&amp;DC$1&amp;""'!$D$4:$D$66"")=DC$2),$G$4:$BQ$4,$G217:$BQ217)))"),-0.24681599222222214)</f>
        <v>-0.2468159922</v>
      </c>
      <c r="DD217" s="207" t="str">
        <f>IFERROR(__xludf.DUMMYFUNCTION("IF(OR(DC217&gt;$BS217+$BT217*$BT$2,DC217&lt;$BS217-$BT217*$BT$2),AVEDEV(ARRAYFORMULA(XLOOKUP(FILTER(INDIRECT(""'""&amp;DC$1&amp;""'!$C$4:$C$66""),INDIRECT(""'""&amp;DC$1&amp;""'!$D$4:$D$66"")=DC$2),$G$4:$BQ$4,$G217:$BQ217))),"""")"),"")</f>
        <v/>
      </c>
      <c r="DE217" s="208" t="str">
        <f t="shared" si="18"/>
        <v/>
      </c>
      <c r="DF217" s="210">
        <f>IFERROR(__xludf.DUMMYFUNCTION("AVERAGE(ARRAYFORMULA(XLOOKUP(FILTER(INDIRECT(""'""&amp;DF$1&amp;""'!$C$4:$C$66""),INDIRECT(""'""&amp;DF$1&amp;""'!$D$4:$D$66"")=DF$2),$G$4:$BQ$4,$G217:$BQ217)))"),-0.5310815645454545)</f>
        <v>-0.5310815645</v>
      </c>
      <c r="DG217" s="207" t="str">
        <f>IFERROR(__xludf.DUMMYFUNCTION("IF(OR(DF217&gt;$BS217+$BT217*$BT$2,DF217&lt;$BS217-$BT217*$BT$2),AVEDEV(ARRAYFORMULA(XLOOKUP(FILTER(INDIRECT(""'""&amp;DF$1&amp;""'!$C$4:$C$66""),INDIRECT(""'""&amp;DF$1&amp;""'!$D$4:$D$66"")=DF$2),$G$4:$BQ$4,$G217:$BQ217))),"""")"),"")</f>
        <v/>
      </c>
      <c r="DH217" s="208" t="str">
        <f t="shared" si="19"/>
        <v/>
      </c>
      <c r="DI217" s="210">
        <f>IFERROR(__xludf.DUMMYFUNCTION("AVERAGE(ARRAYFORMULA(XLOOKUP(FILTER(INDIRECT(""'""&amp;DI$1&amp;""'!$C$4:$C$66""),INDIRECT(""'""&amp;DI$1&amp;""'!$D$4:$D$66"")=DI$2),$G$4:$BQ$4,$G217:$BQ217)))"),-0.4571805)</f>
        <v>-0.4571805</v>
      </c>
      <c r="DJ217" s="207" t="str">
        <f>IFERROR(__xludf.DUMMYFUNCTION("IF(OR(DI217&gt;$BS217+$BT217*$BT$2,DI217&lt;$BS217-$BT217*$BT$2),AVEDEV(ARRAYFORMULA(XLOOKUP(FILTER(INDIRECT(""'""&amp;DI$1&amp;""'!$C$4:$C$66""),INDIRECT(""'""&amp;DI$1&amp;""'!$D$4:$D$66"")=DI$2),$G$4:$BQ$4,$G217:$BQ217))),"""")"),"")</f>
        <v/>
      </c>
      <c r="DK217" s="208" t="str">
        <f t="shared" si="20"/>
        <v/>
      </c>
      <c r="DL217" s="210">
        <f>IFERROR(__xludf.DUMMYFUNCTION("AVERAGE(ARRAYFORMULA(XLOOKUP(FILTER(INDIRECT(""'""&amp;DL$1&amp;""'!$C$4:$C$66""),INDIRECT(""'""&amp;DL$1&amp;""'!$D$4:$D$66"")=DL$2),$G$4:$BQ$4,$G217:$BQ217)))"),-0.18332391857142857)</f>
        <v>-0.1833239186</v>
      </c>
      <c r="DM217" s="207" t="str">
        <f>IFERROR(__xludf.DUMMYFUNCTION("IF(OR(DL217&gt;$BS217+$BT217*$BT$2,DL217&lt;$BS217-$BT217*$BT$2),AVEDEV(ARRAYFORMULA(XLOOKUP(FILTER(INDIRECT(""'""&amp;DL$1&amp;""'!$C$4:$C$66""),INDIRECT(""'""&amp;DL$1&amp;""'!$D$4:$D$66"")=DL$2),$G$4:$BQ$4,$G217:$BQ217))),"""")"),"")</f>
        <v/>
      </c>
      <c r="DN217" s="208" t="str">
        <f t="shared" si="21"/>
        <v/>
      </c>
      <c r="DO217" s="209" t="s">
        <v>444</v>
      </c>
      <c r="DP217" s="210">
        <f>IFERROR(__xludf.DUMMYFUNCTION("AVERAGE(ARRAYFORMULA(XLOOKUP(FILTER(INDIRECT(""'""&amp;DP$1&amp;""'!$C$4:$C$66""),INDIRECT(""'""&amp;DP$1&amp;""'!$D$4:$D$66"")=DP$2),$G$4:$BQ$4,$G217:$BQ217)))"),-0.11734738266666664)</f>
        <v>-0.1173473827</v>
      </c>
      <c r="DQ217" s="207" t="str">
        <f>IFERROR(__xludf.DUMMYFUNCTION("IF(OR(DP217&gt;$BS217+$BT217*$BT$2,DP217&lt;$BS217-$BT217*$BT$2),AVEDEV(ARRAYFORMULA(XLOOKUP(FILTER(INDIRECT(""'""&amp;DP$1&amp;""'!$C$4:$C$66""),INDIRECT(""'""&amp;DP$1&amp;""'!$D$4:$D$66"")=DP$2),$G$4:$BQ$4,$G217:$BQ217))),"""")"),"")</f>
        <v/>
      </c>
      <c r="DR217" s="208" t="str">
        <f t="shared" si="22"/>
        <v/>
      </c>
      <c r="DS217" s="210">
        <f>IFERROR(__xludf.DUMMYFUNCTION("AVERAGE(ARRAYFORMULA(XLOOKUP(FILTER(INDIRECT(""'""&amp;DS$1&amp;""'!$C$4:$C$66""),INDIRECT(""'""&amp;DS$1&amp;""'!$D$4:$D$66"")=DS$2),$G$4:$BQ$4,$G217:$BQ217)))"),-0.2233933566666666)</f>
        <v>-0.2233933567</v>
      </c>
      <c r="DT217" s="207" t="str">
        <f>IFERROR(__xludf.DUMMYFUNCTION("IF(OR(DS217&gt;$BS217+$BT217*$BT$2,DS217&lt;$BS217-$BT217*$BT$2),AVEDEV(ARRAYFORMULA(XLOOKUP(FILTER(INDIRECT(""'""&amp;DS$1&amp;""'!$C$4:$C$66""),INDIRECT(""'""&amp;DS$1&amp;""'!$D$4:$D$66"")=DS$2),$G$4:$BQ$4,$G217:$BQ217))),"""")"),"")</f>
        <v/>
      </c>
      <c r="DU217" s="208" t="str">
        <f t="shared" si="23"/>
        <v/>
      </c>
      <c r="DV217" s="210">
        <f>IFERROR(__xludf.DUMMYFUNCTION("AVERAGE(ARRAYFORMULA(XLOOKUP(FILTER(INDIRECT(""'""&amp;DV$1&amp;""'!$C$4:$C$66""),INDIRECT(""'""&amp;DV$1&amp;""'!$D$4:$D$66"")=DV$2),$G$4:$BQ$4,$G217:$BQ217)))"),-1.87351778625)</f>
        <v>-1.873517786</v>
      </c>
      <c r="DW217" s="207" t="str">
        <f>IFERROR(__xludf.DUMMYFUNCTION("IF(OR(DV217&gt;$BS217+$BT217*$BT$2,DV217&lt;$BS217-$BT217*$BT$2),AVEDEV(ARRAYFORMULA(XLOOKUP(FILTER(INDIRECT(""'""&amp;DV$1&amp;""'!$C$4:$C$66""),INDIRECT(""'""&amp;DV$1&amp;""'!$D$4:$D$66"")=DV$2),$G$4:$BQ$4,$G217:$BQ217))),"""")"),"")</f>
        <v/>
      </c>
      <c r="DX217" s="208" t="str">
        <f t="shared" si="24"/>
        <v/>
      </c>
      <c r="DY217" s="210">
        <f>IFERROR(__xludf.DUMMYFUNCTION("AVERAGE(ARRAYFORMULA(XLOOKUP(FILTER(INDIRECT(""'""&amp;DY$1&amp;""'!$C$4:$C$66""),INDIRECT(""'""&amp;DY$1&amp;""'!$D$4:$D$66"")=DY$2),$G$4:$BQ$4,$G217:$BQ217)))"),-0.6906748633333334)</f>
        <v>-0.6906748633</v>
      </c>
      <c r="DZ217" s="207" t="str">
        <f>IFERROR(__xludf.DUMMYFUNCTION("IF(OR(DY217&gt;$BS217+$BT217*$BT$2,DY217&lt;$BS217-$BT217*$BT$2),AVEDEV(ARRAYFORMULA(XLOOKUP(FILTER(INDIRECT(""'""&amp;DY$1&amp;""'!$C$4:$C$66""),INDIRECT(""'""&amp;DY$1&amp;""'!$D$4:$D$66"")=DY$2),$G$4:$BQ$4,$G217:$BQ217))),"""")"),"")</f>
        <v/>
      </c>
      <c r="EA217" s="208" t="str">
        <f t="shared" si="25"/>
        <v/>
      </c>
      <c r="EB217" s="191"/>
    </row>
    <row r="218" outlineLevel="1">
      <c r="A218" s="2"/>
      <c r="B218" s="204">
        <v>214.0</v>
      </c>
      <c r="C218" s="204" t="s">
        <v>646</v>
      </c>
      <c r="D218" s="204" t="s">
        <v>663</v>
      </c>
      <c r="E218" s="205" t="b">
        <f>VLOOKUP(D218,'Feature Set List'!A214:C246,2,0)</f>
        <v>1</v>
      </c>
      <c r="F218" s="205" t="b">
        <f>VLOOKUP(D218,'Feature Set List'!A214:C246,3,0)</f>
        <v>1</v>
      </c>
      <c r="G218" s="205">
        <v>-0.0400479</v>
      </c>
      <c r="H218" s="205">
        <v>0.02498716</v>
      </c>
      <c r="I218" s="205">
        <v>0.7301044</v>
      </c>
      <c r="J218" s="205">
        <v>-0.1663529</v>
      </c>
      <c r="K218" s="205">
        <v>1.30070169</v>
      </c>
      <c r="L218" s="205">
        <v>-0.1112442</v>
      </c>
      <c r="M218" s="205">
        <v>0.78726681</v>
      </c>
      <c r="N218" s="205">
        <v>0.90124936</v>
      </c>
      <c r="O218" s="205">
        <v>-0.6284443</v>
      </c>
      <c r="P218" s="205">
        <v>1.04398425</v>
      </c>
      <c r="Q218" s="205">
        <v>0.04552456</v>
      </c>
      <c r="R218" s="205">
        <v>1.21512921</v>
      </c>
      <c r="S218" s="205">
        <v>0.30806093</v>
      </c>
      <c r="T218" s="205">
        <v>-0.3080609</v>
      </c>
      <c r="U218" s="205">
        <v>-0.1968167</v>
      </c>
      <c r="V218" s="205">
        <v>-0.2396029</v>
      </c>
      <c r="W218" s="205">
        <v>1.15385932</v>
      </c>
      <c r="X218" s="205">
        <v>0.05990074</v>
      </c>
      <c r="Y218" s="205">
        <v>-0.6212562</v>
      </c>
      <c r="Z218" s="205">
        <v>3.24148554</v>
      </c>
      <c r="AA218" s="205">
        <v>0.95841177</v>
      </c>
      <c r="AB218" s="205">
        <v>-0.6739689</v>
      </c>
      <c r="AC218" s="205">
        <v>-0.0400479</v>
      </c>
      <c r="AD218" s="205">
        <v>-0.2204347</v>
      </c>
      <c r="AE218" s="205">
        <v>-0.3823378</v>
      </c>
      <c r="AF218" s="205">
        <v>-0.3484511</v>
      </c>
      <c r="AG218" s="205">
        <v>1.12955673</v>
      </c>
      <c r="AH218" s="205">
        <v>-0.3251754</v>
      </c>
      <c r="AI218" s="205">
        <v>-0.2738319</v>
      </c>
      <c r="AJ218" s="205">
        <v>0.33099435</v>
      </c>
      <c r="AK218" s="205">
        <v>-0.7530378</v>
      </c>
      <c r="AL218" s="205">
        <v>-0.3080609</v>
      </c>
      <c r="AM218" s="205">
        <v>-0.1256204</v>
      </c>
      <c r="AN218" s="205">
        <v>0.22488448</v>
      </c>
      <c r="AO218" s="205">
        <v>6.43505049</v>
      </c>
      <c r="AP218" s="205">
        <v>0.10268698</v>
      </c>
      <c r="AQ218" s="205">
        <v>0.7301044</v>
      </c>
      <c r="AR218" s="205">
        <v>0.38781448</v>
      </c>
      <c r="AS218" s="205">
        <v>-0.068458</v>
      </c>
      <c r="AT218" s="205">
        <v>-0.4107479</v>
      </c>
      <c r="AU218" s="205">
        <v>-1.4376177</v>
      </c>
      <c r="AV218" s="205">
        <v>0.66506931</v>
      </c>
      <c r="AW218" s="205">
        <v>0.14547322</v>
      </c>
      <c r="AX218" s="205">
        <v>-0.1444463</v>
      </c>
      <c r="AY218" s="205">
        <v>4.2683553</v>
      </c>
      <c r="AZ218" s="205">
        <v>-0.2241999</v>
      </c>
      <c r="BA218" s="205">
        <v>0.0</v>
      </c>
      <c r="BB218" s="205">
        <v>2.58428889</v>
      </c>
      <c r="BC218" s="205">
        <v>-0.3080609</v>
      </c>
      <c r="BD218" s="205">
        <v>1.07239432</v>
      </c>
      <c r="BE218" s="205">
        <v>0.8557248</v>
      </c>
      <c r="BF218" s="205">
        <v>-0.4371042</v>
      </c>
      <c r="BG218" s="205">
        <v>0.00753038</v>
      </c>
      <c r="BH218" s="205">
        <v>-0.2204347</v>
      </c>
      <c r="BI218" s="205">
        <v>0.19784357</v>
      </c>
      <c r="BJ218" s="205">
        <v>-0.4107479</v>
      </c>
      <c r="BK218" s="205">
        <v>0.02943693</v>
      </c>
      <c r="BL218" s="205">
        <v>0.61612186</v>
      </c>
      <c r="BM218" s="205">
        <v>0.02943693</v>
      </c>
      <c r="BN218" s="205">
        <v>-0.3823378</v>
      </c>
      <c r="BO218" s="205">
        <v>-0.2967654</v>
      </c>
      <c r="BP218" s="205">
        <v>-0.3173028</v>
      </c>
      <c r="BQ218" s="205">
        <v>-0.2967654</v>
      </c>
      <c r="BR218" s="206"/>
      <c r="BS218" s="207">
        <f t="shared" si="6"/>
        <v>0.3312008168</v>
      </c>
      <c r="BT218" s="207">
        <f t="shared" si="7"/>
        <v>0.7550430924</v>
      </c>
      <c r="BU218" s="206"/>
      <c r="BV218" s="207">
        <f>IFERROR(__xludf.DUMMYFUNCTION("AVERAGE(ARRAYFORMULA(XLOOKUP(FILTER(INDIRECT(""'""&amp;BV$1&amp;""'!$C$4:$C$66""),INDIRECT(""'""&amp;BV$1&amp;""'!$D$4:$D$66"")=BV$2),$G$4:$BQ$4,$G218:$BQ218)))"),2.0889464828571427)</f>
        <v>2.088946483</v>
      </c>
      <c r="BW218" s="207">
        <f>IFERROR(__xludf.DUMMYFUNCTION("IF(OR(BV218&gt;$BS218+$BT218*$BT$2,BV218&lt;$BS218-$BT218*$BT$2),AVEDEV(ARRAYFORMULA(XLOOKUP(FILTER(INDIRECT(""'""&amp;BV$1&amp;""'!$C$4:$C$66""),INDIRECT(""'""&amp;BV$1&amp;""'!$D$4:$D$66"")=BV$2),$G$4:$BQ$4,$G218:$BQ218))),"""")"),2.0059586375510206)</f>
        <v>2.005958638</v>
      </c>
      <c r="BX218" s="208" t="str">
        <f t="shared" si="8"/>
        <v/>
      </c>
      <c r="BY218" s="207">
        <f>IFERROR(__xludf.DUMMYFUNCTION("AVERAGE(ARRAYFORMULA(XLOOKUP(FILTER(INDIRECT(""'""&amp;BY$1&amp;""'!$C$4:$C$66""),INDIRECT(""'""&amp;BY$1&amp;""'!$D$4:$D$66"")=BY$2),$G$4:$BQ$4,$G218:$BQ218)))"),0.10754423690476192)</f>
        <v>0.1075442369</v>
      </c>
      <c r="BZ218" s="207" t="str">
        <f>IFERROR(__xludf.DUMMYFUNCTION("IF(OR(BY218&gt;$BS218+$BT218*$BT$2,BY218&lt;$BS218-$BT218*$BT$2),AVEDEV(ARRAYFORMULA(XLOOKUP(FILTER(INDIRECT(""'""&amp;BY$1&amp;""'!$C$4:$C$66""),INDIRECT(""'""&amp;BY$1&amp;""'!$D$4:$D$66"")=BY$2),$G$4:$BQ$4,$G218:$BQ218))),"""")"),"")</f>
        <v/>
      </c>
      <c r="CA218" s="208" t="str">
        <f t="shared" si="9"/>
        <v/>
      </c>
      <c r="CB218" s="207">
        <f>IFERROR(__xludf.DUMMYFUNCTION("AVERAGE(ARRAYFORMULA(XLOOKUP(FILTER(INDIRECT(""'""&amp;CB$1&amp;""'!$C$4:$C$66""),INDIRECT(""'""&amp;CB$1&amp;""'!$D$4:$D$66"")=CB$2),$G$4:$BQ$4,$G218:$BQ218)))"),0.12375337363636364)</f>
        <v>0.1237533736</v>
      </c>
      <c r="CC218" s="207" t="str">
        <f>IFERROR(__xludf.DUMMYFUNCTION("IF(OR(CB218&gt;$BS218+$BT218*$BT$2,CB218&lt;$BS218-$BT218*$BT$2),AVEDEV(ARRAYFORMULA(XLOOKUP(FILTER(INDIRECT(""'""&amp;CB$1&amp;""'!$C$4:$C$66""),INDIRECT(""'""&amp;CB$1&amp;""'!$D$4:$D$66"")=CB$2),$G$4:$BQ$4,$G218:$BQ218))),"""")"),"")</f>
        <v/>
      </c>
      <c r="CD218" s="208" t="str">
        <f t="shared" si="10"/>
        <v/>
      </c>
      <c r="CE218" s="209" t="s">
        <v>444</v>
      </c>
      <c r="CF218" s="207">
        <f>IFERROR(__xludf.DUMMYFUNCTION("AVERAGE(ARRAYFORMULA(XLOOKUP(FILTER(INDIRECT(""'""&amp;CF$1&amp;""'!$C$4:$C$66""),INDIRECT(""'""&amp;CF$1&amp;""'!$D$4:$D$66"")=CF$2),$G$4:$BQ$4,$G218:$BQ218)))"),0.253701020625)</f>
        <v>0.2537010206</v>
      </c>
      <c r="CG218" s="207" t="str">
        <f>IFERROR(__xludf.DUMMYFUNCTION("IF(OR(CF218&gt;$BS218+$BT218*$BT$2,CF218&lt;$BS218-$BT218*$BT$2),AVEDEV(ARRAYFORMULA(XLOOKUP(FILTER(INDIRECT(""'""&amp;CF$1&amp;""'!$C$4:$C$66""),INDIRECT(""'""&amp;CF$1&amp;""'!$D$4:$D$66"")=CF$2),$G$4:$BQ$4,$G218:$BQ218))),"""")"),"")</f>
        <v/>
      </c>
      <c r="CH218" s="208" t="str">
        <f t="shared" si="11"/>
        <v/>
      </c>
      <c r="CI218" s="207">
        <f>IFERROR(__xludf.DUMMYFUNCTION("AVERAGE(ARRAYFORMULA(XLOOKUP(FILTER(INDIRECT(""'""&amp;CI$1&amp;""'!$C$4:$C$66""),INDIRECT(""'""&amp;CI$1&amp;""'!$D$4:$D$66"")=CI$2),$G$4:$BQ$4,$G218:$BQ218)))"),0.2812739832258065)</f>
        <v>0.2812739832</v>
      </c>
      <c r="CJ218" s="207" t="str">
        <f>IFERROR(__xludf.DUMMYFUNCTION("IF(OR(CI218&gt;$BS218+$BT218*$BT$2,CI218&lt;$BS218-$BT218*$BT$2),AVEDEV(ARRAYFORMULA(XLOOKUP(FILTER(INDIRECT(""'""&amp;CI$1&amp;""'!$C$4:$C$66""),INDIRECT(""'""&amp;CI$1&amp;""'!$D$4:$D$66"")=CI$2),$G$4:$BQ$4,$G218:$BQ218))),"""")"),"")</f>
        <v/>
      </c>
      <c r="CK218" s="208" t="str">
        <f t="shared" si="12"/>
        <v/>
      </c>
      <c r="CL218" s="207">
        <f>IFERROR(__xludf.DUMMYFUNCTION("AVERAGE(ARRAYFORMULA(XLOOKUP(FILTER(INDIRECT(""'""&amp;CL$1&amp;""'!$C$4:$C$66""),INDIRECT(""'""&amp;CL$1&amp;""'!$D$4:$D$66"")=CL$2),$G$4:$BQ$4,$G218:$BQ218)))"),0.13499914600000001)</f>
        <v>0.134999146</v>
      </c>
      <c r="CM218" s="207" t="str">
        <f>IFERROR(__xludf.DUMMYFUNCTION("IF(OR(CL218&gt;$BS218+$BT218*$BT$2,CL218&lt;$BS218-$BT218*$BT$2),AVEDEV(ARRAYFORMULA(XLOOKUP(FILTER(INDIRECT(""'""&amp;CL$1&amp;""'!$C$4:$C$66""),INDIRECT(""'""&amp;CL$1&amp;""'!$D$4:$D$66"")=CL$2),$G$4:$BQ$4,$G218:$BQ218))),"""")"),"")</f>
        <v/>
      </c>
      <c r="CN218" s="208" t="str">
        <f t="shared" si="13"/>
        <v/>
      </c>
      <c r="CO218" s="209" t="s">
        <v>444</v>
      </c>
      <c r="CP218" s="210">
        <f>IFERROR(__xludf.DUMMYFUNCTION("AVERAGE(ARRAYFORMULA(XLOOKUP(FILTER(INDIRECT(""'""&amp;CP$1&amp;""'!$C$4:$C$66""),INDIRECT(""'""&amp;CP$1&amp;""'!$D$4:$D$66"")=CP$2),$G$4:$BQ$4,$G218:$BQ218)))"),0.160123226)</f>
        <v>0.160123226</v>
      </c>
      <c r="CQ218" s="207" t="str">
        <f>IFERROR(__xludf.DUMMYFUNCTION("IF(OR(CP218&gt;$BS218+$BT218*$BT$2,CP218&lt;$BS218-$BT218*$BT$2),AVEDEV(ARRAYFORMULA(XLOOKUP(FILTER(INDIRECT(""'""&amp;CP$1&amp;""'!$C$4:$C$66""),INDIRECT(""'""&amp;CP$1&amp;""'!$D$4:$D$66"")=CP$2),$G$4:$BQ$4,$G218:$BQ218))),"""")"),"")</f>
        <v/>
      </c>
      <c r="CR218" s="208" t="str">
        <f t="shared" si="14"/>
        <v/>
      </c>
      <c r="CS218" s="210">
        <f>IFERROR(__xludf.DUMMYFUNCTION("AVERAGE(ARRAYFORMULA(XLOOKUP(FILTER(INDIRECT(""'""&amp;CS$1&amp;""'!$C$4:$C$66""),INDIRECT(""'""&amp;CS$1&amp;""'!$D$4:$D$66"")=CS$2),$G$4:$BQ$4,$G218:$BQ218)))"),0.43096934512820523)</f>
        <v>0.4309693451</v>
      </c>
      <c r="CT218" s="207" t="str">
        <f>IFERROR(__xludf.DUMMYFUNCTION("IF(OR(CS218&gt;$BS218+$BT218*$BT$2,CS218&lt;$BS218-$BT218*$BT$2),AVEDEV(ARRAYFORMULA(XLOOKUP(FILTER(INDIRECT(""'""&amp;CS$1&amp;""'!$C$4:$C$66""),INDIRECT(""'""&amp;CS$1&amp;""'!$D$4:$D$66"")=CS$2),$G$4:$BQ$4,$G218:$BQ218))),"""")"),"")</f>
        <v/>
      </c>
      <c r="CU218" s="208" t="str">
        <f t="shared" si="15"/>
        <v/>
      </c>
      <c r="CV218" s="210">
        <f>IFERROR(__xludf.DUMMYFUNCTION("AVERAGE(ARRAYFORMULA(XLOOKUP(FILTER(INDIRECT(""'""&amp;CV$1&amp;""'!$C$4:$C$66""),INDIRECT(""'""&amp;CV$1&amp;""'!$D$4:$D$66"")=CV$2),$G$4:$BQ$4,$G218:$BQ218)))"),0.13499914600000001)</f>
        <v>0.134999146</v>
      </c>
      <c r="CW218" s="207" t="str">
        <f>IFERROR(__xludf.DUMMYFUNCTION("IF(OR(CV218&gt;$BS218+$BT218*$BT$2,CV218&lt;$BS218-$BT218*$BT$2),AVEDEV(ARRAYFORMULA(XLOOKUP(FILTER(INDIRECT(""'""&amp;CV$1&amp;""'!$C$4:$C$66""),INDIRECT(""'""&amp;CV$1&amp;""'!$D$4:$D$66"")=CV$2),$G$4:$BQ$4,$G218:$BQ218))),"""")"),"")</f>
        <v/>
      </c>
      <c r="CX218" s="208" t="str">
        <f t="shared" si="16"/>
        <v/>
      </c>
      <c r="CY218" s="209" t="s">
        <v>444</v>
      </c>
      <c r="CZ218" s="210">
        <f>IFERROR(__xludf.DUMMYFUNCTION("AVERAGE(ARRAYFORMULA(XLOOKUP(FILTER(INDIRECT(""'""&amp;CZ$1&amp;""'!$C$4:$C$66""),INDIRECT(""'""&amp;CZ$1&amp;""'!$D$4:$D$66"")=CZ$2),$G$4:$BQ$4,$G218:$BQ218)))"),0.03594045571428571)</f>
        <v>0.03594045571</v>
      </c>
      <c r="DA218" s="207" t="str">
        <f>IFERROR(__xludf.DUMMYFUNCTION("IF(OR(CZ218&gt;$BS218+$BT218*$BT$2,CZ218&lt;$BS218-$BT218*$BT$2),AVEDEV(ARRAYFORMULA(XLOOKUP(FILTER(INDIRECT(""'""&amp;CZ$1&amp;""'!$C$4:$C$66""),INDIRECT(""'""&amp;CZ$1&amp;""'!$D$4:$D$66"")=CZ$2),$G$4:$BQ$4,$G218:$BQ218))),"""")"),"")</f>
        <v/>
      </c>
      <c r="DB218" s="208" t="str">
        <f t="shared" si="17"/>
        <v/>
      </c>
      <c r="DC218" s="210">
        <f>IFERROR(__xludf.DUMMYFUNCTION("AVERAGE(ARRAYFORMULA(XLOOKUP(FILTER(INDIRECT(""'""&amp;DC$1&amp;""'!$C$4:$C$66""),INDIRECT(""'""&amp;DC$1&amp;""'!$D$4:$D$66"")=DC$2),$G$4:$BQ$4,$G218:$BQ218)))"),0.17289445333333336)</f>
        <v>0.1728944533</v>
      </c>
      <c r="DD218" s="207" t="str">
        <f>IFERROR(__xludf.DUMMYFUNCTION("IF(OR(DC218&gt;$BS218+$BT218*$BT$2,DC218&lt;$BS218-$BT218*$BT$2),AVEDEV(ARRAYFORMULA(XLOOKUP(FILTER(INDIRECT(""'""&amp;DC$1&amp;""'!$C$4:$C$66""),INDIRECT(""'""&amp;DC$1&amp;""'!$D$4:$D$66"")=DC$2),$G$4:$BQ$4,$G218:$BQ218))),"""")"),"")</f>
        <v/>
      </c>
      <c r="DE218" s="208" t="str">
        <f t="shared" si="18"/>
        <v/>
      </c>
      <c r="DF218" s="210">
        <f>IFERROR(__xludf.DUMMYFUNCTION("AVERAGE(ARRAYFORMULA(XLOOKUP(FILTER(INDIRECT(""'""&amp;DF$1&amp;""'!$C$4:$C$66""),INDIRECT(""'""&amp;DF$1&amp;""'!$D$4:$D$66"")=DF$2),$G$4:$BQ$4,$G218:$BQ218)))"),-0.014313946363636363)</f>
        <v>-0.01431394636</v>
      </c>
      <c r="DG218" s="207" t="str">
        <f>IFERROR(__xludf.DUMMYFUNCTION("IF(OR(DF218&gt;$BS218+$BT218*$BT$2,DF218&lt;$BS218-$BT218*$BT$2),AVEDEV(ARRAYFORMULA(XLOOKUP(FILTER(INDIRECT(""'""&amp;DF$1&amp;""'!$C$4:$C$66""),INDIRECT(""'""&amp;DF$1&amp;""'!$D$4:$D$66"")=DF$2),$G$4:$BQ$4,$G218:$BQ218))),"""")"),"")</f>
        <v/>
      </c>
      <c r="DH218" s="208" t="str">
        <f t="shared" si="19"/>
        <v/>
      </c>
      <c r="DI218" s="210">
        <f>IFERROR(__xludf.DUMMYFUNCTION("AVERAGE(ARRAYFORMULA(XLOOKUP(FILTER(INDIRECT(""'""&amp;DI$1&amp;""'!$C$4:$C$66""),INDIRECT(""'""&amp;DI$1&amp;""'!$D$4:$D$66"")=DI$2),$G$4:$BQ$4,$G218:$BQ218)))"),-0.2204347)</f>
        <v>-0.2204347</v>
      </c>
      <c r="DJ218" s="207" t="str">
        <f>IFERROR(__xludf.DUMMYFUNCTION("IF(OR(DI218&gt;$BS218+$BT218*$BT$2,DI218&lt;$BS218-$BT218*$BT$2),AVEDEV(ARRAYFORMULA(XLOOKUP(FILTER(INDIRECT(""'""&amp;DI$1&amp;""'!$C$4:$C$66""),INDIRECT(""'""&amp;DI$1&amp;""'!$D$4:$D$66"")=DI$2),$G$4:$BQ$4,$G218:$BQ218))),"""")"),"")</f>
        <v/>
      </c>
      <c r="DK218" s="208" t="str">
        <f t="shared" si="20"/>
        <v/>
      </c>
      <c r="DL218" s="210">
        <f>IFERROR(__xludf.DUMMYFUNCTION("AVERAGE(ARRAYFORMULA(XLOOKUP(FILTER(INDIRECT(""'""&amp;DL$1&amp;""'!$C$4:$C$66""),INDIRECT(""'""&amp;DL$1&amp;""'!$D$4:$D$66"")=DL$2),$G$4:$BQ$4,$G218:$BQ218)))"),0.2253979135714286)</f>
        <v>0.2253979136</v>
      </c>
      <c r="DM218" s="207" t="str">
        <f>IFERROR(__xludf.DUMMYFUNCTION("IF(OR(DL218&gt;$BS218+$BT218*$BT$2,DL218&lt;$BS218-$BT218*$BT$2),AVEDEV(ARRAYFORMULA(XLOOKUP(FILTER(INDIRECT(""'""&amp;DL$1&amp;""'!$C$4:$C$66""),INDIRECT(""'""&amp;DL$1&amp;""'!$D$4:$D$66"")=DL$2),$G$4:$BQ$4,$G218:$BQ218))),"""")"),"")</f>
        <v/>
      </c>
      <c r="DN218" s="208" t="str">
        <f t="shared" si="21"/>
        <v/>
      </c>
      <c r="DO218" s="209" t="s">
        <v>444</v>
      </c>
      <c r="DP218" s="210">
        <f>IFERROR(__xludf.DUMMYFUNCTION("AVERAGE(ARRAYFORMULA(XLOOKUP(FILTER(INDIRECT(""'""&amp;DP$1&amp;""'!$C$4:$C$66""),INDIRECT(""'""&amp;DP$1&amp;""'!$D$4:$D$66"")=DP$2),$G$4:$BQ$4,$G218:$BQ218)))"),0.19628045566666666)</f>
        <v>0.1962804557</v>
      </c>
      <c r="DQ218" s="207" t="str">
        <f>IFERROR(__xludf.DUMMYFUNCTION("IF(OR(DP218&gt;$BS218+$BT218*$BT$2,DP218&lt;$BS218-$BT218*$BT$2),AVEDEV(ARRAYFORMULA(XLOOKUP(FILTER(INDIRECT(""'""&amp;DP$1&amp;""'!$C$4:$C$66""),INDIRECT(""'""&amp;DP$1&amp;""'!$D$4:$D$66"")=DP$2),$G$4:$BQ$4,$G218:$BQ218))),"""")"),"")</f>
        <v/>
      </c>
      <c r="DR218" s="208" t="str">
        <f t="shared" si="22"/>
        <v/>
      </c>
      <c r="DS218" s="210">
        <f>IFERROR(__xludf.DUMMYFUNCTION("AVERAGE(ARRAYFORMULA(XLOOKUP(FILTER(INDIRECT(""'""&amp;DS$1&amp;""'!$C$4:$C$66""),INDIRECT(""'""&amp;DS$1&amp;""'!$D$4:$D$66"")=DS$2),$G$4:$BQ$4,$G218:$BQ218)))"),0.3578070688888889)</f>
        <v>0.3578070689</v>
      </c>
      <c r="DT218" s="207" t="str">
        <f>IFERROR(__xludf.DUMMYFUNCTION("IF(OR(DS218&gt;$BS218+$BT218*$BT$2,DS218&lt;$BS218-$BT218*$BT$2),AVEDEV(ARRAYFORMULA(XLOOKUP(FILTER(INDIRECT(""'""&amp;DS$1&amp;""'!$C$4:$C$66""),INDIRECT(""'""&amp;DS$1&amp;""'!$D$4:$D$66"")=DS$2),$G$4:$BQ$4,$G218:$BQ218))),"""")"),"")</f>
        <v/>
      </c>
      <c r="DU218" s="208" t="str">
        <f t="shared" si="23"/>
        <v/>
      </c>
      <c r="DV218" s="210">
        <f>IFERROR(__xludf.DUMMYFUNCTION("AVERAGE(ARRAYFORMULA(XLOOKUP(FILTER(INDIRECT(""'""&amp;DV$1&amp;""'!$C$4:$C$66""),INDIRECT(""'""&amp;DV$1&amp;""'!$D$4:$D$66"")=DV$2),$G$4:$BQ$4,$G218:$BQ218)))"),0.7539363325)</f>
        <v>0.7539363325</v>
      </c>
      <c r="DW218" s="207" t="str">
        <f>IFERROR(__xludf.DUMMYFUNCTION("IF(OR(DV218&gt;$BS218+$BT218*$BT$2,DV218&lt;$BS218-$BT218*$BT$2),AVEDEV(ARRAYFORMULA(XLOOKUP(FILTER(INDIRECT(""'""&amp;DV$1&amp;""'!$C$4:$C$66""),INDIRECT(""'""&amp;DV$1&amp;""'!$D$4:$D$66"")=DV$2),$G$4:$BQ$4,$G218:$BQ218))),"""")"),"")</f>
        <v/>
      </c>
      <c r="DX218" s="208" t="str">
        <f t="shared" si="24"/>
        <v/>
      </c>
      <c r="DY218" s="210">
        <f>IFERROR(__xludf.DUMMYFUNCTION("AVERAGE(ARRAYFORMULA(XLOOKUP(FILTER(INDIRECT(""'""&amp;DY$1&amp;""'!$C$4:$C$66""),INDIRECT(""'""&amp;DY$1&amp;""'!$D$4:$D$66"")=DY$2),$G$4:$BQ$4,$G218:$BQ218)))"),-0.23758723111111113)</f>
        <v>-0.2375872311</v>
      </c>
      <c r="DZ218" s="207" t="str">
        <f>IFERROR(__xludf.DUMMYFUNCTION("IF(OR(DY218&gt;$BS218+$BT218*$BT$2,DY218&lt;$BS218-$BT218*$BT$2),AVEDEV(ARRAYFORMULA(XLOOKUP(FILTER(INDIRECT(""'""&amp;DY$1&amp;""'!$C$4:$C$66""),INDIRECT(""'""&amp;DY$1&amp;""'!$D$4:$D$66"")=DY$2),$G$4:$BQ$4,$G218:$BQ218))),"""")"),"")</f>
        <v/>
      </c>
      <c r="EA218" s="208" t="str">
        <f t="shared" si="25"/>
        <v/>
      </c>
      <c r="EB218" s="191"/>
    </row>
    <row r="219" outlineLevel="1">
      <c r="A219" s="2"/>
      <c r="B219" s="204">
        <v>215.0</v>
      </c>
      <c r="C219" s="204" t="s">
        <v>646</v>
      </c>
      <c r="D219" s="204" t="s">
        <v>664</v>
      </c>
      <c r="E219" s="205" t="b">
        <f>VLOOKUP(D219,'Feature Set List'!A215:C246,2,0)</f>
        <v>1</v>
      </c>
      <c r="F219" s="205" t="b">
        <f>VLOOKUP(D219,'Feature Set List'!A215:C246,3,0)</f>
        <v>1</v>
      </c>
      <c r="G219" s="205">
        <v>0.2006555</v>
      </c>
      <c r="H219" s="205">
        <v>-0.3863802</v>
      </c>
      <c r="I219" s="205">
        <v>-0.02185</v>
      </c>
      <c r="J219" s="205">
        <v>0.98252003</v>
      </c>
      <c r="K219" s="205">
        <v>2.90349599</v>
      </c>
      <c r="L219" s="205">
        <v>0.0782957</v>
      </c>
      <c r="M219" s="205">
        <v>0.52439913</v>
      </c>
      <c r="N219" s="205">
        <v>2.64493809</v>
      </c>
      <c r="O219" s="205">
        <v>-0.1125273</v>
      </c>
      <c r="P219" s="205">
        <v>0.88820102</v>
      </c>
      <c r="Q219" s="205">
        <v>-0.3739985</v>
      </c>
      <c r="R219" s="205">
        <v>2.05498908</v>
      </c>
      <c r="S219" s="205">
        <v>0.96795339</v>
      </c>
      <c r="T219" s="205">
        <v>0.01529497</v>
      </c>
      <c r="U219" s="205">
        <v>-0.0593591</v>
      </c>
      <c r="V219" s="205">
        <v>0.30298616</v>
      </c>
      <c r="W219" s="205">
        <v>1.51857247</v>
      </c>
      <c r="X219" s="205">
        <v>0.02986162</v>
      </c>
      <c r="Y219" s="205">
        <v>-0.6329206</v>
      </c>
      <c r="Z219" s="205">
        <v>1.1179898</v>
      </c>
      <c r="AA219" s="205">
        <v>0.59286235</v>
      </c>
      <c r="AB219" s="205">
        <v>-0.7002913</v>
      </c>
      <c r="AC219" s="205">
        <v>-0.370721</v>
      </c>
      <c r="AD219" s="205">
        <v>-0.1536781</v>
      </c>
      <c r="AE219" s="205">
        <v>-0.5859432</v>
      </c>
      <c r="AF219" s="205">
        <v>-0.0997815</v>
      </c>
      <c r="AG219" s="205">
        <v>0.80517116</v>
      </c>
      <c r="AH219" s="205">
        <v>-0.5473416</v>
      </c>
      <c r="AI219" s="205">
        <v>0.05025492</v>
      </c>
      <c r="AJ219" s="205">
        <v>0.00400583</v>
      </c>
      <c r="AK219" s="205">
        <v>-0.9821559</v>
      </c>
      <c r="AL219" s="205">
        <v>-0.1744355</v>
      </c>
      <c r="AM219" s="205">
        <v>-0.3404953</v>
      </c>
      <c r="AN219" s="205">
        <v>0.04151493</v>
      </c>
      <c r="AO219" s="205">
        <v>-1.710488</v>
      </c>
      <c r="AP219" s="205">
        <v>1.46212673</v>
      </c>
      <c r="AQ219" s="205">
        <v>1.802622</v>
      </c>
      <c r="AR219" s="205">
        <v>0.50655499</v>
      </c>
      <c r="AS219" s="205">
        <v>-0.5305899</v>
      </c>
      <c r="AT219" s="205">
        <v>-0.3783685</v>
      </c>
      <c r="AU219" s="205">
        <v>-1.710488</v>
      </c>
      <c r="AV219" s="205">
        <v>-0.0491624</v>
      </c>
      <c r="AW219" s="205">
        <v>-0.5273125</v>
      </c>
      <c r="AX219" s="205">
        <v>-0.3506919</v>
      </c>
      <c r="AY219" s="205">
        <v>1.23306628</v>
      </c>
      <c r="AZ219" s="205">
        <v>0.0611799</v>
      </c>
      <c r="BA219" s="205">
        <v>-0.0214858</v>
      </c>
      <c r="BB219" s="205">
        <v>1.45557174</v>
      </c>
      <c r="BC219" s="205">
        <v>-0.2232338</v>
      </c>
      <c r="BD219" s="205">
        <v>0.87144938</v>
      </c>
      <c r="BE219" s="205">
        <v>0.66241806</v>
      </c>
      <c r="BF219" s="205">
        <v>-1.0717407</v>
      </c>
      <c r="BG219" s="205">
        <v>0.18863802</v>
      </c>
      <c r="BH219" s="205">
        <v>-0.3587036</v>
      </c>
      <c r="BI219" s="205">
        <v>0.79133285</v>
      </c>
      <c r="BJ219" s="205">
        <v>-0.4060452</v>
      </c>
      <c r="BK219" s="205">
        <v>-0.1412964</v>
      </c>
      <c r="BL219" s="205">
        <v>0.41296431</v>
      </c>
      <c r="BM219" s="205">
        <v>-0.4024035</v>
      </c>
      <c r="BN219" s="205">
        <v>-0.3350328</v>
      </c>
      <c r="BO219" s="205">
        <v>0.0</v>
      </c>
      <c r="BP219" s="205">
        <v>-0.6412964</v>
      </c>
      <c r="BQ219" s="205">
        <v>0.05535324</v>
      </c>
      <c r="BR219" s="206"/>
      <c r="BS219" s="207">
        <f t="shared" si="6"/>
        <v>0.1718574784</v>
      </c>
      <c r="BT219" s="207">
        <f t="shared" si="7"/>
        <v>0.6647224294</v>
      </c>
      <c r="BU219" s="206"/>
      <c r="BV219" s="207">
        <f>IFERROR(__xludf.DUMMYFUNCTION("AVERAGE(ARRAYFORMULA(XLOOKUP(FILTER(INDIRECT(""'""&amp;BV$1&amp;""'!$C$4:$C$66""),INDIRECT(""'""&amp;BV$1&amp;""'!$D$4:$D$66"")=BV$2),$G$4:$BQ$4,$G219:$BQ219)))"),0.28914784428571433)</f>
        <v>0.2891478443</v>
      </c>
      <c r="BW219" s="207" t="str">
        <f>IFERROR(__xludf.DUMMYFUNCTION("IF(OR(BV219&gt;$BS219+$BT219*$BT$2,BV219&lt;$BS219-$BT219*$BT$2),AVEDEV(ARRAYFORMULA(XLOOKUP(FILTER(INDIRECT(""'""&amp;BV$1&amp;""'!$C$4:$C$66""),INDIRECT(""'""&amp;BV$1&amp;""'!$D$4:$D$66"")=BV$2),$G$4:$BQ$4,$G219:$BQ219))),"""")"),"")</f>
        <v/>
      </c>
      <c r="BX219" s="208" t="str">
        <f t="shared" si="8"/>
        <v/>
      </c>
      <c r="BY219" s="207">
        <f>IFERROR(__xludf.DUMMYFUNCTION("AVERAGE(ARRAYFORMULA(XLOOKUP(FILTER(INDIRECT(""'""&amp;BY$1&amp;""'!$C$4:$C$66""),INDIRECT(""'""&amp;BY$1&amp;""'!$D$4:$D$66"")=BY$2),$G$4:$BQ$4,$G219:$BQ219)))"),0.17937779904761902)</f>
        <v>0.179377799</v>
      </c>
      <c r="BZ219" s="207" t="str">
        <f>IFERROR(__xludf.DUMMYFUNCTION("IF(OR(BY219&gt;$BS219+$BT219*$BT$2,BY219&lt;$BS219-$BT219*$BT$2),AVEDEV(ARRAYFORMULA(XLOOKUP(FILTER(INDIRECT(""'""&amp;BY$1&amp;""'!$C$4:$C$66""),INDIRECT(""'""&amp;BY$1&amp;""'!$D$4:$D$66"")=BY$2),$G$4:$BQ$4,$G219:$BQ219))),"""")"),"")</f>
        <v/>
      </c>
      <c r="CA219" s="208" t="str">
        <f t="shared" si="9"/>
        <v/>
      </c>
      <c r="CB219" s="207">
        <f>IFERROR(__xludf.DUMMYFUNCTION("AVERAGE(ARRAYFORMULA(XLOOKUP(FILTER(INDIRECT(""'""&amp;CB$1&amp;""'!$C$4:$C$66""),INDIRECT(""'""&amp;CB$1&amp;""'!$D$4:$D$66"")=CB$2),$G$4:$BQ$4,$G219:$BQ219)))"),0.19363702636363628)</f>
        <v>0.1936370264</v>
      </c>
      <c r="CC219" s="207" t="str">
        <f>IFERROR(__xludf.DUMMYFUNCTION("IF(OR(CB219&gt;$BS219+$BT219*$BT$2,CB219&lt;$BS219-$BT219*$BT$2),AVEDEV(ARRAYFORMULA(XLOOKUP(FILTER(INDIRECT(""'""&amp;CB$1&amp;""'!$C$4:$C$66""),INDIRECT(""'""&amp;CB$1&amp;""'!$D$4:$D$66"")=CB$2),$G$4:$BQ$4,$G219:$BQ219))),"""")"),"")</f>
        <v/>
      </c>
      <c r="CD219" s="208" t="str">
        <f t="shared" si="10"/>
        <v/>
      </c>
      <c r="CE219" s="209" t="s">
        <v>444</v>
      </c>
      <c r="CF219" s="207">
        <f>IFERROR(__xludf.DUMMYFUNCTION("AVERAGE(ARRAYFORMULA(XLOOKUP(FILTER(INDIRECT(""'""&amp;CF$1&amp;""'!$C$4:$C$66""),INDIRECT(""'""&amp;CF$1&amp;""'!$D$4:$D$66"")=CF$2),$G$4:$BQ$4,$G219:$BQ219)))"),0.52615167)</f>
        <v>0.52615167</v>
      </c>
      <c r="CG219" s="207" t="str">
        <f>IFERROR(__xludf.DUMMYFUNCTION("IF(OR(CF219&gt;$BS219+$BT219*$BT$2,CF219&lt;$BS219-$BT219*$BT$2),AVEDEV(ARRAYFORMULA(XLOOKUP(FILTER(INDIRECT(""'""&amp;CF$1&amp;""'!$C$4:$C$66""),INDIRECT(""'""&amp;CF$1&amp;""'!$D$4:$D$66"")=CF$2),$G$4:$BQ$4,$G219:$BQ219))),"""")"),"")</f>
        <v/>
      </c>
      <c r="CH219" s="208" t="str">
        <f t="shared" si="11"/>
        <v/>
      </c>
      <c r="CI219" s="207">
        <f>IFERROR(__xludf.DUMMYFUNCTION("AVERAGE(ARRAYFORMULA(XLOOKUP(FILTER(INDIRECT(""'""&amp;CI$1&amp;""'!$C$4:$C$66""),INDIRECT(""'""&amp;CI$1&amp;""'!$D$4:$D$66"")=CI$2),$G$4:$BQ$4,$G219:$BQ219)))"),0.13041844225806448)</f>
        <v>0.1304184423</v>
      </c>
      <c r="CJ219" s="207" t="str">
        <f>IFERROR(__xludf.DUMMYFUNCTION("IF(OR(CI219&gt;$BS219+$BT219*$BT$2,CI219&lt;$BS219-$BT219*$BT$2),AVEDEV(ARRAYFORMULA(XLOOKUP(FILTER(INDIRECT(""'""&amp;CI$1&amp;""'!$C$4:$C$66""),INDIRECT(""'""&amp;CI$1&amp;""'!$D$4:$D$66"")=CI$2),$G$4:$BQ$4,$G219:$BQ219))),"""")"),"")</f>
        <v/>
      </c>
      <c r="CK219" s="208" t="str">
        <f t="shared" si="12"/>
        <v/>
      </c>
      <c r="CL219" s="207">
        <f>IFERROR(__xludf.DUMMYFUNCTION("AVERAGE(ARRAYFORMULA(XLOOKUP(FILTER(INDIRECT(""'""&amp;CL$1&amp;""'!$C$4:$C$66""),INDIRECT(""'""&amp;CL$1&amp;""'!$D$4:$D$66"")=CL$2),$G$4:$BQ$4,$G219:$BQ219)))"),0.10801166200000001)</f>
        <v>0.108011662</v>
      </c>
      <c r="CM219" s="207" t="str">
        <f>IFERROR(__xludf.DUMMYFUNCTION("IF(OR(CL219&gt;$BS219+$BT219*$BT$2,CL219&lt;$BS219-$BT219*$BT$2),AVEDEV(ARRAYFORMULA(XLOOKUP(FILTER(INDIRECT(""'""&amp;CL$1&amp;""'!$C$4:$C$66""),INDIRECT(""'""&amp;CL$1&amp;""'!$D$4:$D$66"")=CL$2),$G$4:$BQ$4,$G219:$BQ219))),"""")"),"")</f>
        <v/>
      </c>
      <c r="CN219" s="208" t="str">
        <f t="shared" si="13"/>
        <v/>
      </c>
      <c r="CO219" s="209" t="s">
        <v>444</v>
      </c>
      <c r="CP219" s="210">
        <f>IFERROR(__xludf.DUMMYFUNCTION("AVERAGE(ARRAYFORMULA(XLOOKUP(FILTER(INDIRECT(""'""&amp;CP$1&amp;""'!$C$4:$C$66""),INDIRECT(""'""&amp;CP$1&amp;""'!$D$4:$D$66"")=CP$2),$G$4:$BQ$4,$G219:$BQ219)))"),0.12726390399999993)</f>
        <v>0.127263904</v>
      </c>
      <c r="CQ219" s="207" t="str">
        <f>IFERROR(__xludf.DUMMYFUNCTION("IF(OR(CP219&gt;$BS219+$BT219*$BT$2,CP219&lt;$BS219-$BT219*$BT$2),AVEDEV(ARRAYFORMULA(XLOOKUP(FILTER(INDIRECT(""'""&amp;CP$1&amp;""'!$C$4:$C$66""),INDIRECT(""'""&amp;CP$1&amp;""'!$D$4:$D$66"")=CP$2),$G$4:$BQ$4,$G219:$BQ219))),"""")"),"")</f>
        <v/>
      </c>
      <c r="CR219" s="208" t="str">
        <f t="shared" si="14"/>
        <v/>
      </c>
      <c r="CS219" s="210">
        <f>IFERROR(__xludf.DUMMYFUNCTION("AVERAGE(ARRAYFORMULA(XLOOKUP(FILTER(INDIRECT(""'""&amp;CS$1&amp;""'!$C$4:$C$66""),INDIRECT(""'""&amp;CS$1&amp;""'!$D$4:$D$66"")=CS$2),$G$4:$BQ$4,$G219:$BQ219)))"),0.2263058610256411)</f>
        <v>0.226305861</v>
      </c>
      <c r="CT219" s="207" t="str">
        <f>IFERROR(__xludf.DUMMYFUNCTION("IF(OR(CS219&gt;$BS219+$BT219*$BT$2,CS219&lt;$BS219-$BT219*$BT$2),AVEDEV(ARRAYFORMULA(XLOOKUP(FILTER(INDIRECT(""'""&amp;CS$1&amp;""'!$C$4:$C$66""),INDIRECT(""'""&amp;CS$1&amp;""'!$D$4:$D$66"")=CS$2),$G$4:$BQ$4,$G219:$BQ219))),"""")"),"")</f>
        <v/>
      </c>
      <c r="CU219" s="208" t="str">
        <f t="shared" si="15"/>
        <v/>
      </c>
      <c r="CV219" s="210">
        <f>IFERROR(__xludf.DUMMYFUNCTION("AVERAGE(ARRAYFORMULA(XLOOKUP(FILTER(INDIRECT(""'""&amp;CV$1&amp;""'!$C$4:$C$66""),INDIRECT(""'""&amp;CV$1&amp;""'!$D$4:$D$66"")=CV$2),$G$4:$BQ$4,$G219:$BQ219)))"),0.10801166200000001)</f>
        <v>0.108011662</v>
      </c>
      <c r="CW219" s="207" t="str">
        <f>IFERROR(__xludf.DUMMYFUNCTION("IF(OR(CV219&gt;$BS219+$BT219*$BT$2,CV219&lt;$BS219-$BT219*$BT$2),AVEDEV(ARRAYFORMULA(XLOOKUP(FILTER(INDIRECT(""'""&amp;CV$1&amp;""'!$C$4:$C$66""),INDIRECT(""'""&amp;CV$1&amp;""'!$D$4:$D$66"")=CV$2),$G$4:$BQ$4,$G219:$BQ219))),"""")"),"")</f>
        <v/>
      </c>
      <c r="CX219" s="208" t="str">
        <f t="shared" si="16"/>
        <v/>
      </c>
      <c r="CY219" s="209" t="s">
        <v>444</v>
      </c>
      <c r="CZ219" s="210">
        <f>IFERROR(__xludf.DUMMYFUNCTION("AVERAGE(ARRAYFORMULA(XLOOKUP(FILTER(INDIRECT(""'""&amp;CZ$1&amp;""'!$C$4:$C$66""),INDIRECT(""'""&amp;CZ$1&amp;""'!$D$4:$D$66"")=CZ$2),$G$4:$BQ$4,$G219:$BQ219)))"),0.298668192142857)</f>
        <v>0.2986681921</v>
      </c>
      <c r="DA219" s="207" t="str">
        <f>IFERROR(__xludf.DUMMYFUNCTION("IF(OR(CZ219&gt;$BS219+$BT219*$BT$2,CZ219&lt;$BS219-$BT219*$BT$2),AVEDEV(ARRAYFORMULA(XLOOKUP(FILTER(INDIRECT(""'""&amp;CZ$1&amp;""'!$C$4:$C$66""),INDIRECT(""'""&amp;CZ$1&amp;""'!$D$4:$D$66"")=CZ$2),$G$4:$BQ$4,$G219:$BQ219))),"""")"),"")</f>
        <v/>
      </c>
      <c r="DB219" s="208" t="str">
        <f t="shared" si="17"/>
        <v/>
      </c>
      <c r="DC219" s="210">
        <f>IFERROR(__xludf.DUMMYFUNCTION("AVERAGE(ARRAYFORMULA(XLOOKUP(FILTER(INDIRECT(""'""&amp;DC$1&amp;""'!$C$4:$C$66""),INDIRECT(""'""&amp;DC$1&amp;""'!$D$4:$D$66"")=DC$2),$G$4:$BQ$4,$G219:$BQ219)))"),0.2745812099999999)</f>
        <v>0.27458121</v>
      </c>
      <c r="DD219" s="207" t="str">
        <f>IFERROR(__xludf.DUMMYFUNCTION("IF(OR(DC219&gt;$BS219+$BT219*$BT$2,DC219&lt;$BS219-$BT219*$BT$2),AVEDEV(ARRAYFORMULA(XLOOKUP(FILTER(INDIRECT(""'""&amp;DC$1&amp;""'!$C$4:$C$66""),INDIRECT(""'""&amp;DC$1&amp;""'!$D$4:$D$66"")=DC$2),$G$4:$BQ$4,$G219:$BQ219))),"""")"),"")</f>
        <v/>
      </c>
      <c r="DE219" s="208" t="str">
        <f t="shared" si="18"/>
        <v/>
      </c>
      <c r="DF219" s="210">
        <f>IFERROR(__xludf.DUMMYFUNCTION("AVERAGE(ARRAYFORMULA(XLOOKUP(FILTER(INDIRECT(""'""&amp;DF$1&amp;""'!$C$4:$C$66""),INDIRECT(""'""&amp;DF$1&amp;""'!$D$4:$D$66"")=DF$2),$G$4:$BQ$4,$G219:$BQ219)))"),-0.05234058545454545)</f>
        <v>-0.05234058545</v>
      </c>
      <c r="DG219" s="207" t="str">
        <f>IFERROR(__xludf.DUMMYFUNCTION("IF(OR(DF219&gt;$BS219+$BT219*$BT$2,DF219&lt;$BS219-$BT219*$BT$2),AVEDEV(ARRAYFORMULA(XLOOKUP(FILTER(INDIRECT(""'""&amp;DF$1&amp;""'!$C$4:$C$66""),INDIRECT(""'""&amp;DF$1&amp;""'!$D$4:$D$66"")=DF$2),$G$4:$BQ$4,$G219:$BQ219))),"""")"),"")</f>
        <v/>
      </c>
      <c r="DH219" s="208" t="str">
        <f t="shared" si="19"/>
        <v/>
      </c>
      <c r="DI219" s="210">
        <f>IFERROR(__xludf.DUMMYFUNCTION("AVERAGE(ARRAYFORMULA(XLOOKUP(FILTER(INDIRECT(""'""&amp;DI$1&amp;""'!$C$4:$C$66""),INDIRECT(""'""&amp;DI$1&amp;""'!$D$4:$D$66"")=DI$2),$G$4:$BQ$4,$G219:$BQ219)))"),-0.25619085)</f>
        <v>-0.25619085</v>
      </c>
      <c r="DJ219" s="207" t="str">
        <f>IFERROR(__xludf.DUMMYFUNCTION("IF(OR(DI219&gt;$BS219+$BT219*$BT$2,DI219&lt;$BS219-$BT219*$BT$2),AVEDEV(ARRAYFORMULA(XLOOKUP(FILTER(INDIRECT(""'""&amp;DI$1&amp;""'!$C$4:$C$66""),INDIRECT(""'""&amp;DI$1&amp;""'!$D$4:$D$66"")=DI$2),$G$4:$BQ$4,$G219:$BQ219))),"""")"),"")</f>
        <v/>
      </c>
      <c r="DK219" s="208" t="str">
        <f t="shared" si="20"/>
        <v/>
      </c>
      <c r="DL219" s="210">
        <f>IFERROR(__xludf.DUMMYFUNCTION("AVERAGE(ARRAYFORMULA(XLOOKUP(FILTER(INDIRECT(""'""&amp;DL$1&amp;""'!$C$4:$C$66""),INDIRECT(""'""&amp;DL$1&amp;""'!$D$4:$D$66"")=DL$2),$G$4:$BQ$4,$G219:$BQ219)))"),0.15206534428571428)</f>
        <v>0.1520653443</v>
      </c>
      <c r="DM219" s="207" t="str">
        <f>IFERROR(__xludf.DUMMYFUNCTION("IF(OR(DL219&gt;$BS219+$BT219*$BT$2,DL219&lt;$BS219-$BT219*$BT$2),AVEDEV(ARRAYFORMULA(XLOOKUP(FILTER(INDIRECT(""'""&amp;DL$1&amp;""'!$C$4:$C$66""),INDIRECT(""'""&amp;DL$1&amp;""'!$D$4:$D$66"")=DL$2),$G$4:$BQ$4,$G219:$BQ219))),"""")"),"")</f>
        <v/>
      </c>
      <c r="DN219" s="208" t="str">
        <f t="shared" si="21"/>
        <v/>
      </c>
      <c r="DO219" s="209" t="s">
        <v>444</v>
      </c>
      <c r="DP219" s="210">
        <f>IFERROR(__xludf.DUMMYFUNCTION("AVERAGE(ARRAYFORMULA(XLOOKUP(FILTER(INDIRECT(""'""&amp;DP$1&amp;""'!$C$4:$C$66""),INDIRECT(""'""&amp;DP$1&amp;""'!$D$4:$D$66"")=DP$2),$G$4:$BQ$4,$G219:$BQ219)))"),0.26443312066666663)</f>
        <v>0.2644331207</v>
      </c>
      <c r="DQ219" s="207" t="str">
        <f>IFERROR(__xludf.DUMMYFUNCTION("IF(OR(DP219&gt;$BS219+$BT219*$BT$2,DP219&lt;$BS219-$BT219*$BT$2),AVEDEV(ARRAYFORMULA(XLOOKUP(FILTER(INDIRECT(""'""&amp;DP$1&amp;""'!$C$4:$C$66""),INDIRECT(""'""&amp;DP$1&amp;""'!$D$4:$D$66"")=DP$2),$G$4:$BQ$4,$G219:$BQ219))),"""")"),"")</f>
        <v/>
      </c>
      <c r="DR219" s="208" t="str">
        <f t="shared" si="22"/>
        <v/>
      </c>
      <c r="DS219" s="210">
        <f>IFERROR(__xludf.DUMMYFUNCTION("AVERAGE(ARRAYFORMULA(XLOOKUP(FILTER(INDIRECT(""'""&amp;DS$1&amp;""'!$C$4:$C$66""),INDIRECT(""'""&amp;DS$1&amp;""'!$D$4:$D$66"")=DS$2),$G$4:$BQ$4,$G219:$BQ219)))"),0.3058185655555555)</f>
        <v>0.3058185656</v>
      </c>
      <c r="DT219" s="207" t="str">
        <f>IFERROR(__xludf.DUMMYFUNCTION("IF(OR(DS219&gt;$BS219+$BT219*$BT$2,DS219&lt;$BS219-$BT219*$BT$2),AVEDEV(ARRAYFORMULA(XLOOKUP(FILTER(INDIRECT(""'""&amp;DS$1&amp;""'!$C$4:$C$66""),INDIRECT(""'""&amp;DS$1&amp;""'!$D$4:$D$66"")=DS$2),$G$4:$BQ$4,$G219:$BQ219))),"""")"),"")</f>
        <v/>
      </c>
      <c r="DU219" s="208" t="str">
        <f t="shared" si="23"/>
        <v/>
      </c>
      <c r="DV219" s="210">
        <f>IFERROR(__xludf.DUMMYFUNCTION("AVERAGE(ARRAYFORMULA(XLOOKUP(FILTER(INDIRECT(""'""&amp;DV$1&amp;""'!$C$4:$C$66""),INDIRECT(""'""&amp;DV$1&amp;""'!$D$4:$D$66"")=DV$2),$G$4:$BQ$4,$G219:$BQ219)))"),0.5927713037499999)</f>
        <v>0.5927713038</v>
      </c>
      <c r="DW219" s="207" t="str">
        <f>IFERROR(__xludf.DUMMYFUNCTION("IF(OR(DV219&gt;$BS219+$BT219*$BT$2,DV219&lt;$BS219-$BT219*$BT$2),AVEDEV(ARRAYFORMULA(XLOOKUP(FILTER(INDIRECT(""'""&amp;DV$1&amp;""'!$C$4:$C$66""),INDIRECT(""'""&amp;DV$1&amp;""'!$D$4:$D$66"")=DV$2),$G$4:$BQ$4,$G219:$BQ219))),"""")"),"")</f>
        <v/>
      </c>
      <c r="DX219" s="208" t="str">
        <f t="shared" si="24"/>
        <v/>
      </c>
      <c r="DY219" s="210">
        <f>IFERROR(__xludf.DUMMYFUNCTION("AVERAGE(ARRAYFORMULA(XLOOKUP(FILTER(INDIRECT(""'""&amp;DY$1&amp;""'!$C$4:$C$66""),INDIRECT(""'""&amp;DY$1&amp;""'!$D$4:$D$66"")=DY$2),$G$4:$BQ$4,$G219:$BQ219)))"),-0.33094603333333333)</f>
        <v>-0.3309460333</v>
      </c>
      <c r="DZ219" s="207" t="str">
        <f>IFERROR(__xludf.DUMMYFUNCTION("IF(OR(DY219&gt;$BS219+$BT219*$BT$2,DY219&lt;$BS219-$BT219*$BT$2),AVEDEV(ARRAYFORMULA(XLOOKUP(FILTER(INDIRECT(""'""&amp;DY$1&amp;""'!$C$4:$C$66""),INDIRECT(""'""&amp;DY$1&amp;""'!$D$4:$D$66"")=DY$2),$G$4:$BQ$4,$G219:$BQ219))),"""")"),"")</f>
        <v/>
      </c>
      <c r="EA219" s="208" t="str">
        <f t="shared" si="25"/>
        <v/>
      </c>
      <c r="EB219" s="191"/>
    </row>
    <row r="220" outlineLevel="1">
      <c r="A220" s="2"/>
      <c r="B220" s="204">
        <v>216.0</v>
      </c>
      <c r="C220" s="204" t="s">
        <v>646</v>
      </c>
      <c r="D220" s="204" t="s">
        <v>665</v>
      </c>
      <c r="E220" s="205" t="b">
        <f>VLOOKUP(D220,'Feature Set List'!A216:C246,2,0)</f>
        <v>1</v>
      </c>
      <c r="F220" s="205" t="b">
        <f>VLOOKUP(D220,'Feature Set List'!A216:C246,3,0)</f>
        <v>1</v>
      </c>
      <c r="G220" s="205">
        <v>-0.8553494</v>
      </c>
      <c r="H220" s="205">
        <v>0.11077264</v>
      </c>
      <c r="I220" s="205">
        <v>-0.164682</v>
      </c>
      <c r="J220" s="205">
        <v>0.27637773</v>
      </c>
      <c r="K220" s="205">
        <v>0.3505954</v>
      </c>
      <c r="L220" s="205">
        <v>0.09009508</v>
      </c>
      <c r="M220" s="205">
        <v>-0.7043294</v>
      </c>
      <c r="N220" s="205">
        <v>1.9307671</v>
      </c>
      <c r="O220" s="205">
        <v>-0.0238161</v>
      </c>
      <c r="P220" s="205">
        <v>-0.4669067</v>
      </c>
      <c r="Q220" s="205">
        <v>0.31274808</v>
      </c>
      <c r="R220" s="205">
        <v>-0.2041909</v>
      </c>
      <c r="S220" s="205">
        <v>0.52580079</v>
      </c>
      <c r="T220" s="205">
        <v>-0.4417982</v>
      </c>
      <c r="U220" s="205">
        <v>3.2655774</v>
      </c>
      <c r="V220" s="205">
        <v>1.7406074</v>
      </c>
      <c r="W220" s="205">
        <v>-0.5462937</v>
      </c>
      <c r="X220" s="205">
        <v>4.65946645</v>
      </c>
      <c r="Y220" s="205">
        <v>-0.3816117</v>
      </c>
      <c r="Z220" s="205">
        <v>2.61386504</v>
      </c>
      <c r="AA220" s="205">
        <v>0.91350503</v>
      </c>
      <c r="AB220" s="205">
        <v>0.39711991</v>
      </c>
      <c r="AC220" s="205">
        <v>-0.3376719</v>
      </c>
      <c r="AD220" s="205">
        <v>0.1691129</v>
      </c>
      <c r="AE220" s="205">
        <v>2.37755008</v>
      </c>
      <c r="AF220" s="205">
        <v>-0.404874</v>
      </c>
      <c r="AG220" s="205">
        <v>0.99104588</v>
      </c>
      <c r="AH220" s="205">
        <v>0.20917567</v>
      </c>
      <c r="AI220" s="205">
        <v>-0.4502908</v>
      </c>
      <c r="AJ220" s="205">
        <v>-1.2071633</v>
      </c>
      <c r="AK220" s="205">
        <v>-0.0612942</v>
      </c>
      <c r="AL220" s="205">
        <v>-0.0976645</v>
      </c>
      <c r="AM220" s="205">
        <v>-0.7962707</v>
      </c>
      <c r="AN220" s="205">
        <v>-0.2677005</v>
      </c>
      <c r="AO220" s="205">
        <v>2.47724545</v>
      </c>
      <c r="AP220" s="205">
        <v>-0.2893012</v>
      </c>
      <c r="AQ220" s="205">
        <v>0.4469676</v>
      </c>
      <c r="AR220" s="205">
        <v>2.45509093</v>
      </c>
      <c r="AS220" s="205">
        <v>-0.3081326</v>
      </c>
      <c r="AT220" s="205">
        <v>0.78427029</v>
      </c>
      <c r="AU220" s="205">
        <v>0.0</v>
      </c>
      <c r="AV220" s="205">
        <v>-0.2677005</v>
      </c>
      <c r="AW220" s="205">
        <v>0.33785655</v>
      </c>
      <c r="AX220" s="205">
        <v>1.10551094</v>
      </c>
      <c r="AY220" s="205">
        <v>3.27480846</v>
      </c>
      <c r="AZ220" s="205">
        <v>-0.07551</v>
      </c>
      <c r="BA220" s="205">
        <v>-0.4916459</v>
      </c>
      <c r="BB220" s="205">
        <v>4.40099695</v>
      </c>
      <c r="BC220" s="205">
        <v>-0.0775408</v>
      </c>
      <c r="BD220" s="205">
        <v>-0.3609342</v>
      </c>
      <c r="BE220" s="205">
        <v>1.14981999</v>
      </c>
      <c r="BF220" s="205">
        <v>0.39601218</v>
      </c>
      <c r="BG220" s="205">
        <v>-0.6186652</v>
      </c>
      <c r="BH220" s="205">
        <v>0.05040155</v>
      </c>
      <c r="BI220" s="205">
        <v>-0.2708391</v>
      </c>
      <c r="BJ220" s="205">
        <v>-0.264562</v>
      </c>
      <c r="BK220" s="205">
        <v>-0.1746515</v>
      </c>
      <c r="BL220" s="205">
        <v>2.07661774</v>
      </c>
      <c r="BM220" s="205">
        <v>0.59411059</v>
      </c>
      <c r="BN220" s="205">
        <v>-0.7111603</v>
      </c>
      <c r="BO220" s="205">
        <v>-0.3134866</v>
      </c>
      <c r="BP220" s="205">
        <v>-0.252377</v>
      </c>
      <c r="BQ220" s="205">
        <v>0.12997323</v>
      </c>
      <c r="BR220" s="206"/>
      <c r="BS220" s="207">
        <f t="shared" si="6"/>
        <v>0.4559595259</v>
      </c>
      <c r="BT220" s="207">
        <f t="shared" si="7"/>
        <v>0.9247423824</v>
      </c>
      <c r="BU220" s="206"/>
      <c r="BV220" s="207">
        <f>IFERROR(__xludf.DUMMYFUNCTION("AVERAGE(ARRAYFORMULA(XLOOKUP(FILTER(INDIRECT(""'""&amp;BV$1&amp;""'!$C$4:$C$66""),INDIRECT(""'""&amp;BV$1&amp;""'!$D$4:$D$66"")=BV$2),$G$4:$BQ$4,$G220:$BQ220)))"),3.043504634285714)</f>
        <v>3.043504634</v>
      </c>
      <c r="BW220" s="207">
        <f>IFERROR(__xludf.DUMMYFUNCTION("IF(OR(BV220&gt;$BS220+$BT220*$BT$2,BV220&lt;$BS220-$BT220*$BT$2),AVEDEV(ARRAYFORMULA(XLOOKUP(FILTER(INDIRECT(""'""&amp;BV$1&amp;""'!$C$4:$C$66""),INDIRECT(""'""&amp;BV$1&amp;""'!$D$4:$D$66"")=BV$2),$G$4:$BQ$4,$G220:$BQ220))),"""")"),0.979094492244898)</f>
        <v>0.9790944922</v>
      </c>
      <c r="BX220" s="208">
        <f t="shared" si="8"/>
        <v>1.662802726</v>
      </c>
      <c r="BY220" s="207">
        <f>IFERROR(__xludf.DUMMYFUNCTION("AVERAGE(ARRAYFORMULA(XLOOKUP(FILTER(INDIRECT(""'""&amp;BY$1&amp;""'!$C$4:$C$66""),INDIRECT(""'""&amp;BY$1&amp;""'!$D$4:$D$66"")=BY$2),$G$4:$BQ$4,$G220:$BQ220)))"),0.2769201719047619)</f>
        <v>0.2769201719</v>
      </c>
      <c r="BZ220" s="207" t="str">
        <f>IFERROR(__xludf.DUMMYFUNCTION("IF(OR(BY220&gt;$BS220+$BT220*$BT$2,BY220&lt;$BS220-$BT220*$BT$2),AVEDEV(ARRAYFORMULA(XLOOKUP(FILTER(INDIRECT(""'""&amp;BY$1&amp;""'!$C$4:$C$66""),INDIRECT(""'""&amp;BY$1&amp;""'!$D$4:$D$66"")=BY$2),$G$4:$BQ$4,$G220:$BQ220))),"""")"),"")</f>
        <v/>
      </c>
      <c r="CA220" s="208" t="str">
        <f t="shared" si="9"/>
        <v/>
      </c>
      <c r="CB220" s="207">
        <f>IFERROR(__xludf.DUMMYFUNCTION("AVERAGE(ARRAYFORMULA(XLOOKUP(FILTER(INDIRECT(""'""&amp;CB$1&amp;""'!$C$4:$C$66""),INDIRECT(""'""&amp;CB$1&amp;""'!$D$4:$D$66"")=CB$2),$G$4:$BQ$4,$G220:$BQ220)))"),-0.33491939363636364)</f>
        <v>-0.3349193936</v>
      </c>
      <c r="CC220" s="207" t="str">
        <f>IFERROR(__xludf.DUMMYFUNCTION("IF(OR(CB220&gt;$BS220+$BT220*$BT$2,CB220&lt;$BS220-$BT220*$BT$2),AVEDEV(ARRAYFORMULA(XLOOKUP(FILTER(INDIRECT(""'""&amp;CB$1&amp;""'!$C$4:$C$66""),INDIRECT(""'""&amp;CB$1&amp;""'!$D$4:$D$66"")=CB$2),$G$4:$BQ$4,$G220:$BQ220))),"""")"),"")</f>
        <v/>
      </c>
      <c r="CD220" s="208" t="str">
        <f t="shared" si="10"/>
        <v/>
      </c>
      <c r="CE220" s="209" t="s">
        <v>444</v>
      </c>
      <c r="CF220" s="207">
        <f>IFERROR(__xludf.DUMMYFUNCTION("AVERAGE(ARRAYFORMULA(XLOOKUP(FILTER(INDIRECT(""'""&amp;CF$1&amp;""'!$C$4:$C$66""),INDIRECT(""'""&amp;CF$1&amp;""'!$D$4:$D$66"")=CF$2),$G$4:$BQ$4,$G220:$BQ220)))"),1.0380319375)</f>
        <v>1.038031938</v>
      </c>
      <c r="CG220" s="207" t="str">
        <f>IFERROR(__xludf.DUMMYFUNCTION("IF(OR(CF220&gt;$BS220+$BT220*$BT$2,CF220&lt;$BS220-$BT220*$BT$2),AVEDEV(ARRAYFORMULA(XLOOKUP(FILTER(INDIRECT(""'""&amp;CF$1&amp;""'!$C$4:$C$66""),INDIRECT(""'""&amp;CF$1&amp;""'!$D$4:$D$66"")=CF$2),$G$4:$BQ$4,$G220:$BQ220))),"""")"),"")</f>
        <v/>
      </c>
      <c r="CH220" s="208" t="str">
        <f t="shared" si="11"/>
        <v/>
      </c>
      <c r="CI220" s="207">
        <f>IFERROR(__xludf.DUMMYFUNCTION("AVERAGE(ARRAYFORMULA(XLOOKUP(FILTER(INDIRECT(""'""&amp;CI$1&amp;""'!$C$4:$C$66""),INDIRECT(""'""&amp;CI$1&amp;""'!$D$4:$D$66"")=CI$2),$G$4:$BQ$4,$G220:$BQ220)))"),0.0893708977419355)</f>
        <v>0.08937089774</v>
      </c>
      <c r="CJ220" s="207" t="str">
        <f>IFERROR(__xludf.DUMMYFUNCTION("IF(OR(CI220&gt;$BS220+$BT220*$BT$2,CI220&lt;$BS220-$BT220*$BT$2),AVEDEV(ARRAYFORMULA(XLOOKUP(FILTER(INDIRECT(""'""&amp;CI$1&amp;""'!$C$4:$C$66""),INDIRECT(""'""&amp;CI$1&amp;""'!$D$4:$D$66"")=CI$2),$G$4:$BQ$4,$G220:$BQ220))),"""")"),"")</f>
        <v/>
      </c>
      <c r="CK220" s="208" t="str">
        <f t="shared" si="12"/>
        <v/>
      </c>
      <c r="CL220" s="207">
        <f>IFERROR(__xludf.DUMMYFUNCTION("AVERAGE(ARRAYFORMULA(XLOOKUP(FILTER(INDIRECT(""'""&amp;CL$1&amp;""'!$C$4:$C$66""),INDIRECT(""'""&amp;CL$1&amp;""'!$D$4:$D$66"")=CL$2),$G$4:$BQ$4,$G220:$BQ220)))"),-0.46542972000000005)</f>
        <v>-0.46542972</v>
      </c>
      <c r="CM220" s="207" t="str">
        <f>IFERROR(__xludf.DUMMYFUNCTION("IF(OR(CL220&gt;$BS220+$BT220*$BT$2,CL220&lt;$BS220-$BT220*$BT$2),AVEDEV(ARRAYFORMULA(XLOOKUP(FILTER(INDIRECT(""'""&amp;CL$1&amp;""'!$C$4:$C$66""),INDIRECT(""'""&amp;CL$1&amp;""'!$D$4:$D$66"")=CL$2),$G$4:$BQ$4,$G220:$BQ220))),"""")"),"")</f>
        <v/>
      </c>
      <c r="CN220" s="208" t="str">
        <f t="shared" si="13"/>
        <v/>
      </c>
      <c r="CO220" s="209" t="s">
        <v>444</v>
      </c>
      <c r="CP220" s="210">
        <f>IFERROR(__xludf.DUMMYFUNCTION("AVERAGE(ARRAYFORMULA(XLOOKUP(FILTER(INDIRECT(""'""&amp;CP$1&amp;""'!$C$4:$C$66""),INDIRECT(""'""&amp;CP$1&amp;""'!$D$4:$D$66"")=CP$2),$G$4:$BQ$4,$G220:$BQ220)))"),1.2529493239999998)</f>
        <v>1.252949324</v>
      </c>
      <c r="CQ220" s="207" t="str">
        <f>IFERROR(__xludf.DUMMYFUNCTION("IF(OR(CP220&gt;$BS220+$BT220*$BT$2,CP220&lt;$BS220-$BT220*$BT$2),AVEDEV(ARRAYFORMULA(XLOOKUP(FILTER(INDIRECT(""'""&amp;CP$1&amp;""'!$C$4:$C$66""),INDIRECT(""'""&amp;CP$1&amp;""'!$D$4:$D$66"")=CP$2),$G$4:$BQ$4,$G220:$BQ220))),"""")"),"")</f>
        <v/>
      </c>
      <c r="CR220" s="208" t="str">
        <f t="shared" si="14"/>
        <v/>
      </c>
      <c r="CS220" s="210">
        <f>IFERROR(__xludf.DUMMYFUNCTION("AVERAGE(ARRAYFORMULA(XLOOKUP(FILTER(INDIRECT(""'""&amp;CS$1&amp;""'!$C$4:$C$66""),INDIRECT(""'""&amp;CS$1&amp;""'!$D$4:$D$66"")=CS$2),$G$4:$BQ$4,$G220:$BQ220)))"),0.27454762384615383)</f>
        <v>0.2745476238</v>
      </c>
      <c r="CT220" s="207" t="str">
        <f>IFERROR(__xludf.DUMMYFUNCTION("IF(OR(CS220&gt;$BS220+$BT220*$BT$2,CS220&lt;$BS220-$BT220*$BT$2),AVEDEV(ARRAYFORMULA(XLOOKUP(FILTER(INDIRECT(""'""&amp;CS$1&amp;""'!$C$4:$C$66""),INDIRECT(""'""&amp;CS$1&amp;""'!$D$4:$D$66"")=CS$2),$G$4:$BQ$4,$G220:$BQ220))),"""")"),"")</f>
        <v/>
      </c>
      <c r="CU220" s="208" t="str">
        <f t="shared" si="15"/>
        <v/>
      </c>
      <c r="CV220" s="210">
        <f>IFERROR(__xludf.DUMMYFUNCTION("AVERAGE(ARRAYFORMULA(XLOOKUP(FILTER(INDIRECT(""'""&amp;CV$1&amp;""'!$C$4:$C$66""),INDIRECT(""'""&amp;CV$1&amp;""'!$D$4:$D$66"")=CV$2),$G$4:$BQ$4,$G220:$BQ220)))"),-0.46542972000000005)</f>
        <v>-0.46542972</v>
      </c>
      <c r="CW220" s="207" t="str">
        <f>IFERROR(__xludf.DUMMYFUNCTION("IF(OR(CV220&gt;$BS220+$BT220*$BT$2,CV220&lt;$BS220-$BT220*$BT$2),AVEDEV(ARRAYFORMULA(XLOOKUP(FILTER(INDIRECT(""'""&amp;CV$1&amp;""'!$C$4:$C$66""),INDIRECT(""'""&amp;CV$1&amp;""'!$D$4:$D$66"")=CV$2),$G$4:$BQ$4,$G220:$BQ220))),"""")"),"")</f>
        <v/>
      </c>
      <c r="CX220" s="208" t="str">
        <f t="shared" si="16"/>
        <v/>
      </c>
      <c r="CY220" s="209" t="s">
        <v>444</v>
      </c>
      <c r="CZ220" s="210">
        <f>IFERROR(__xludf.DUMMYFUNCTION("AVERAGE(ARRAYFORMULA(XLOOKUP(FILTER(INDIRECT(""'""&amp;CZ$1&amp;""'!$C$4:$C$66""),INDIRECT(""'""&amp;CZ$1&amp;""'!$D$4:$D$66"")=CZ$2),$G$4:$BQ$4,$G220:$BQ220)))"),0.5381967828571429)</f>
        <v>0.5381967829</v>
      </c>
      <c r="DA220" s="207" t="str">
        <f>IFERROR(__xludf.DUMMYFUNCTION("IF(OR(CZ220&gt;$BS220+$BT220*$BT$2,CZ220&lt;$BS220-$BT220*$BT$2),AVEDEV(ARRAYFORMULA(XLOOKUP(FILTER(INDIRECT(""'""&amp;CZ$1&amp;""'!$C$4:$C$66""),INDIRECT(""'""&amp;CZ$1&amp;""'!$D$4:$D$66"")=CZ$2),$G$4:$BQ$4,$G220:$BQ220))),"""")"),"")</f>
        <v/>
      </c>
      <c r="DB220" s="208" t="str">
        <f t="shared" si="17"/>
        <v/>
      </c>
      <c r="DC220" s="210">
        <f>IFERROR(__xludf.DUMMYFUNCTION("AVERAGE(ARRAYFORMULA(XLOOKUP(FILTER(INDIRECT(""'""&amp;DC$1&amp;""'!$C$4:$C$66""),INDIRECT(""'""&amp;DC$1&amp;""'!$D$4:$D$66"")=DC$2),$G$4:$BQ$4,$G220:$BQ220)))"),-0.4669682133333333)</f>
        <v>-0.4669682133</v>
      </c>
      <c r="DD220" s="207" t="str">
        <f>IFERROR(__xludf.DUMMYFUNCTION("IF(OR(DC220&gt;$BS220+$BT220*$BT$2,DC220&lt;$BS220-$BT220*$BT$2),AVEDEV(ARRAYFORMULA(XLOOKUP(FILTER(INDIRECT(""'""&amp;DC$1&amp;""'!$C$4:$C$66""),INDIRECT(""'""&amp;DC$1&amp;""'!$D$4:$D$66"")=DC$2),$G$4:$BQ$4,$G220:$BQ220))),"""")"),"")</f>
        <v/>
      </c>
      <c r="DE220" s="208" t="str">
        <f t="shared" si="18"/>
        <v/>
      </c>
      <c r="DF220" s="210">
        <f>IFERROR(__xludf.DUMMYFUNCTION("AVERAGE(ARRAYFORMULA(XLOOKUP(FILTER(INDIRECT(""'""&amp;DF$1&amp;""'!$C$4:$C$66""),INDIRECT(""'""&amp;DF$1&amp;""'!$D$4:$D$66"")=DF$2),$G$4:$BQ$4,$G220:$BQ220)))"),0.03823334454545452)</f>
        <v>0.03823334455</v>
      </c>
      <c r="DG220" s="207" t="str">
        <f>IFERROR(__xludf.DUMMYFUNCTION("IF(OR(DF220&gt;$BS220+$BT220*$BT$2,DF220&lt;$BS220-$BT220*$BT$2),AVEDEV(ARRAYFORMULA(XLOOKUP(FILTER(INDIRECT(""'""&amp;DF$1&amp;""'!$C$4:$C$66""),INDIRECT(""'""&amp;DF$1&amp;""'!$D$4:$D$66"")=DF$2),$G$4:$BQ$4,$G220:$BQ220))),"""")"),"")</f>
        <v/>
      </c>
      <c r="DH220" s="208" t="str">
        <f t="shared" si="19"/>
        <v/>
      </c>
      <c r="DI220" s="210">
        <f>IFERROR(__xludf.DUMMYFUNCTION("AVERAGE(ARRAYFORMULA(XLOOKUP(FILTER(INDIRECT(""'""&amp;DI$1&amp;""'!$C$4:$C$66""),INDIRECT(""'""&amp;DI$1&amp;""'!$D$4:$D$66"")=DI$2),$G$4:$BQ$4,$G220:$BQ220)))"),0.10975722500000001)</f>
        <v>0.109757225</v>
      </c>
      <c r="DJ220" s="207" t="str">
        <f>IFERROR(__xludf.DUMMYFUNCTION("IF(OR(DI220&gt;$BS220+$BT220*$BT$2,DI220&lt;$BS220-$BT220*$BT$2),AVEDEV(ARRAYFORMULA(XLOOKUP(FILTER(INDIRECT(""'""&amp;DI$1&amp;""'!$C$4:$C$66""),INDIRECT(""'""&amp;DI$1&amp;""'!$D$4:$D$66"")=DI$2),$G$4:$BQ$4,$G220:$BQ220))),"""")"),"")</f>
        <v/>
      </c>
      <c r="DK220" s="208" t="str">
        <f t="shared" si="20"/>
        <v/>
      </c>
      <c r="DL220" s="210">
        <f>IFERROR(__xludf.DUMMYFUNCTION("AVERAGE(ARRAYFORMULA(XLOOKUP(FILTER(INDIRECT(""'""&amp;DL$1&amp;""'!$C$4:$C$66""),INDIRECT(""'""&amp;DL$1&amp;""'!$D$4:$D$66"")=DL$2),$G$4:$BQ$4,$G220:$BQ220)))"),0.2384170157142857)</f>
        <v>0.2384170157</v>
      </c>
      <c r="DM220" s="207" t="str">
        <f>IFERROR(__xludf.DUMMYFUNCTION("IF(OR(DL220&gt;$BS220+$BT220*$BT$2,DL220&lt;$BS220-$BT220*$BT$2),AVEDEV(ARRAYFORMULA(XLOOKUP(FILTER(INDIRECT(""'""&amp;DL$1&amp;""'!$C$4:$C$66""),INDIRECT(""'""&amp;DL$1&amp;""'!$D$4:$D$66"")=DL$2),$G$4:$BQ$4,$G220:$BQ220))),"""")"),"")</f>
        <v/>
      </c>
      <c r="DN220" s="208" t="str">
        <f t="shared" si="21"/>
        <v/>
      </c>
      <c r="DO220" s="209" t="s">
        <v>444</v>
      </c>
      <c r="DP220" s="210">
        <f>IFERROR(__xludf.DUMMYFUNCTION("AVERAGE(ARRAYFORMULA(XLOOKUP(FILTER(INDIRECT(""'""&amp;DP$1&amp;""'!$C$4:$C$66""),INDIRECT(""'""&amp;DP$1&amp;""'!$D$4:$D$66"")=DP$2),$G$4:$BQ$4,$G220:$BQ220)))"),0.5520539136666667)</f>
        <v>0.5520539137</v>
      </c>
      <c r="DQ220" s="207" t="str">
        <f>IFERROR(__xludf.DUMMYFUNCTION("IF(OR(DP220&gt;$BS220+$BT220*$BT$2,DP220&lt;$BS220-$BT220*$BT$2),AVEDEV(ARRAYFORMULA(XLOOKUP(FILTER(INDIRECT(""'""&amp;DP$1&amp;""'!$C$4:$C$66""),INDIRECT(""'""&amp;DP$1&amp;""'!$D$4:$D$66"")=DP$2),$G$4:$BQ$4,$G220:$BQ220))),"""")"),"")</f>
        <v/>
      </c>
      <c r="DR220" s="208" t="str">
        <f t="shared" si="22"/>
        <v/>
      </c>
      <c r="DS220" s="210">
        <f>IFERROR(__xludf.DUMMYFUNCTION("AVERAGE(ARRAYFORMULA(XLOOKUP(FILTER(INDIRECT(""'""&amp;DS$1&amp;""'!$C$4:$C$66""),INDIRECT(""'""&amp;DS$1&amp;""'!$D$4:$D$66"")=DS$2),$G$4:$BQ$4,$G220:$BQ220)))"),-0.3433131255555556)</f>
        <v>-0.3433131256</v>
      </c>
      <c r="DT220" s="207" t="str">
        <f>IFERROR(__xludf.DUMMYFUNCTION("IF(OR(DS220&gt;$BS220+$BT220*$BT$2,DS220&lt;$BS220-$BT220*$BT$2),AVEDEV(ARRAYFORMULA(XLOOKUP(FILTER(INDIRECT(""'""&amp;DS$1&amp;""'!$C$4:$C$66""),INDIRECT(""'""&amp;DS$1&amp;""'!$D$4:$D$66"")=DS$2),$G$4:$BQ$4,$G220:$BQ220))),"""")"),"")</f>
        <v/>
      </c>
      <c r="DU220" s="208" t="str">
        <f t="shared" si="23"/>
        <v/>
      </c>
      <c r="DV220" s="210">
        <f>IFERROR(__xludf.DUMMYFUNCTION("AVERAGE(ARRAYFORMULA(XLOOKUP(FILTER(INDIRECT(""'""&amp;DV$1&amp;""'!$C$4:$C$66""),INDIRECT(""'""&amp;DV$1&amp;""'!$D$4:$D$66"")=DV$2),$G$4:$BQ$4,$G220:$BQ220)))"),0.8086264224999999)</f>
        <v>0.8086264225</v>
      </c>
      <c r="DW220" s="207" t="str">
        <f>IFERROR(__xludf.DUMMYFUNCTION("IF(OR(DV220&gt;$BS220+$BT220*$BT$2,DV220&lt;$BS220-$BT220*$BT$2),AVEDEV(ARRAYFORMULA(XLOOKUP(FILTER(INDIRECT(""'""&amp;DV$1&amp;""'!$C$4:$C$66""),INDIRECT(""'""&amp;DV$1&amp;""'!$D$4:$D$66"")=DV$2),$G$4:$BQ$4,$G220:$BQ220))),"""")"),"")</f>
        <v/>
      </c>
      <c r="DX220" s="208" t="str">
        <f t="shared" si="24"/>
        <v/>
      </c>
      <c r="DY220" s="210">
        <f>IFERROR(__xludf.DUMMYFUNCTION("AVERAGE(ARRAYFORMULA(XLOOKUP(FILTER(INDIRECT(""'""&amp;DY$1&amp;""'!$C$4:$C$66""),INDIRECT(""'""&amp;DY$1&amp;""'!$D$4:$D$66"")=DY$2),$G$4:$BQ$4,$G220:$BQ220)))"),-0.26201832222222227)</f>
        <v>-0.2620183222</v>
      </c>
      <c r="DZ220" s="207" t="str">
        <f>IFERROR(__xludf.DUMMYFUNCTION("IF(OR(DY220&gt;$BS220+$BT220*$BT$2,DY220&lt;$BS220-$BT220*$BT$2),AVEDEV(ARRAYFORMULA(XLOOKUP(FILTER(INDIRECT(""'""&amp;DY$1&amp;""'!$C$4:$C$66""),INDIRECT(""'""&amp;DY$1&amp;""'!$D$4:$D$66"")=DY$2),$G$4:$BQ$4,$G220:$BQ220))),"""")"),"")</f>
        <v/>
      </c>
      <c r="EA220" s="208" t="str">
        <f t="shared" si="25"/>
        <v/>
      </c>
      <c r="EB220" s="191"/>
    </row>
    <row r="221" outlineLevel="1">
      <c r="A221" s="2"/>
      <c r="B221" s="204">
        <v>217.0</v>
      </c>
      <c r="C221" s="204" t="s">
        <v>646</v>
      </c>
      <c r="D221" s="204" t="s">
        <v>666</v>
      </c>
      <c r="E221" s="205" t="b">
        <f>VLOOKUP(D221,'Feature Set List'!A217:C246,2,0)</f>
        <v>1</v>
      </c>
      <c r="F221" s="205" t="b">
        <f>VLOOKUP(D221,'Feature Set List'!A217:C246,3,0)</f>
        <v>1</v>
      </c>
      <c r="G221" s="205">
        <v>-0.005403</v>
      </c>
      <c r="H221" s="205">
        <v>-0.3214768</v>
      </c>
      <c r="I221" s="205">
        <v>0.0</v>
      </c>
      <c r="J221" s="205">
        <v>-0.0198109</v>
      </c>
      <c r="K221" s="205">
        <v>-0.6888789</v>
      </c>
      <c r="L221" s="205">
        <v>0.64655561</v>
      </c>
      <c r="M221" s="205">
        <v>0.55650608</v>
      </c>
      <c r="N221" s="205">
        <v>-1.0715894</v>
      </c>
      <c r="O221" s="205">
        <v>0.1143629</v>
      </c>
      <c r="P221" s="205">
        <v>0.12426835</v>
      </c>
      <c r="Q221" s="205">
        <v>-0.7447096</v>
      </c>
      <c r="R221" s="205">
        <v>0.10895993</v>
      </c>
      <c r="S221" s="205">
        <v>0.04142278</v>
      </c>
      <c r="T221" s="205">
        <v>0.09365151</v>
      </c>
      <c r="U221" s="205">
        <v>-0.2899595</v>
      </c>
      <c r="V221" s="205">
        <v>-0.099955</v>
      </c>
      <c r="W221" s="205">
        <v>0.81224674</v>
      </c>
      <c r="X221" s="205">
        <v>-1.3228276</v>
      </c>
      <c r="Y221" s="205">
        <v>0.35029266</v>
      </c>
      <c r="Z221" s="205">
        <v>-1.32733</v>
      </c>
      <c r="AA221" s="205">
        <v>-0.849167</v>
      </c>
      <c r="AB221" s="205">
        <v>0.28905898</v>
      </c>
      <c r="AC221" s="205">
        <v>0.83565961</v>
      </c>
      <c r="AD221" s="205">
        <v>-0.5898244</v>
      </c>
      <c r="AE221" s="205">
        <v>-0.9383161</v>
      </c>
      <c r="AF221" s="205">
        <v>0.16028816</v>
      </c>
      <c r="AG221" s="205">
        <v>-0.3493922</v>
      </c>
      <c r="AH221" s="205">
        <v>0.54479964</v>
      </c>
      <c r="AI221" s="205">
        <v>0.29085997</v>
      </c>
      <c r="AJ221" s="205">
        <v>4.0189104</v>
      </c>
      <c r="AK221" s="205">
        <v>0.53939667</v>
      </c>
      <c r="AL221" s="205">
        <v>0.46105358</v>
      </c>
      <c r="AM221" s="205">
        <v>-0.5366952</v>
      </c>
      <c r="AN221" s="205">
        <v>0.95722647</v>
      </c>
      <c r="AO221" s="205">
        <v>-0.9797389</v>
      </c>
      <c r="AP221" s="205">
        <v>-0.0603332</v>
      </c>
      <c r="AQ221" s="205">
        <v>-1.2850068</v>
      </c>
      <c r="AR221" s="205">
        <v>1.10220621</v>
      </c>
      <c r="AS221" s="205">
        <v>-0.003602</v>
      </c>
      <c r="AT221" s="205">
        <v>0.68437641</v>
      </c>
      <c r="AU221" s="205">
        <v>-0.5718145</v>
      </c>
      <c r="AV221" s="205">
        <v>0.41242683</v>
      </c>
      <c r="AW221" s="205">
        <v>-0.7492121</v>
      </c>
      <c r="AX221" s="205">
        <v>-0.376407</v>
      </c>
      <c r="AY221" s="205">
        <v>-0.4538496</v>
      </c>
      <c r="AZ221" s="205">
        <v>-0.8014408</v>
      </c>
      <c r="BA221" s="205">
        <v>0.52588924</v>
      </c>
      <c r="BB221" s="205">
        <v>-1.4146781</v>
      </c>
      <c r="BC221" s="205">
        <v>0.56100855</v>
      </c>
      <c r="BD221" s="205">
        <v>0.21071589</v>
      </c>
      <c r="BE221" s="205">
        <v>-1.134624</v>
      </c>
      <c r="BF221" s="205">
        <v>-0.0432238</v>
      </c>
      <c r="BG221" s="205">
        <v>0.75461504</v>
      </c>
      <c r="BH221" s="205">
        <v>-0.3953174</v>
      </c>
      <c r="BI221" s="205">
        <v>0.47996398</v>
      </c>
      <c r="BJ221" s="205">
        <v>0.18550203</v>
      </c>
      <c r="BK221" s="205">
        <v>0.28185502</v>
      </c>
      <c r="BL221" s="205">
        <v>-0.0423233</v>
      </c>
      <c r="BM221" s="205">
        <v>-0.009005</v>
      </c>
      <c r="BN221" s="205">
        <v>-0.5511031</v>
      </c>
      <c r="BO221" s="205">
        <v>0.19540747</v>
      </c>
      <c r="BP221" s="205">
        <v>0.81314723</v>
      </c>
      <c r="BQ221" s="205">
        <v>0.45114813</v>
      </c>
      <c r="BR221" s="206"/>
      <c r="BS221" s="207">
        <f t="shared" si="6"/>
        <v>-0.00671798619</v>
      </c>
      <c r="BT221" s="207">
        <f t="shared" si="7"/>
        <v>0.5658155111</v>
      </c>
      <c r="BU221" s="206"/>
      <c r="BV221" s="207">
        <f>IFERROR(__xludf.DUMMYFUNCTION("AVERAGE(ARRAYFORMULA(XLOOKUP(FILTER(INDIRECT(""'""&amp;BV$1&amp;""'!$C$4:$C$66""),INDIRECT(""'""&amp;BV$1&amp;""'!$D$4:$D$66"")=BV$2),$G$4:$BQ$4,$G221:$BQ221)))"),-0.8054287142857143)</f>
        <v>-0.8054287143</v>
      </c>
      <c r="BW221" s="207">
        <f>IFERROR(__xludf.DUMMYFUNCTION("IF(OR(BV221&gt;$BS221+$BT221*$BT$2,BV221&lt;$BS221-$BT221*$BT$2),AVEDEV(ARRAYFORMULA(XLOOKUP(FILTER(INDIRECT(""'""&amp;BV$1&amp;""'!$C$4:$C$66""),INDIRECT(""'""&amp;BV$1&amp;""'!$D$4:$D$66"")=BV$2),$G$4:$BQ$4,$G221:$BQ221))),"""")"),0.46575821224489805)</f>
        <v>0.4657582122</v>
      </c>
      <c r="BX221" s="208">
        <f t="shared" si="8"/>
        <v>-0.232895217</v>
      </c>
      <c r="BY221" s="207">
        <f>IFERROR(__xludf.DUMMYFUNCTION("AVERAGE(ARRAYFORMULA(XLOOKUP(FILTER(INDIRECT(""'""&amp;BY$1&amp;""'!$C$4:$C$66""),INDIRECT(""'""&amp;BY$1&amp;""'!$D$4:$D$66"")=BY$2),$G$4:$BQ$4,$G221:$BQ221)))"),0.07433373642857143)</f>
        <v>0.07433373643</v>
      </c>
      <c r="BZ221" s="207" t="str">
        <f>IFERROR(__xludf.DUMMYFUNCTION("IF(OR(BY221&gt;$BS221+$BT221*$BT$2,BY221&lt;$BS221-$BT221*$BT$2),AVEDEV(ARRAYFORMULA(XLOOKUP(FILTER(INDIRECT(""'""&amp;BY$1&amp;""'!$C$4:$C$66""),INDIRECT(""'""&amp;BY$1&amp;""'!$D$4:$D$66"")=BY$2),$G$4:$BQ$4,$G221:$BQ221))),"""")"),"")</f>
        <v/>
      </c>
      <c r="CA221" s="208" t="str">
        <f t="shared" si="9"/>
        <v/>
      </c>
      <c r="CB221" s="207">
        <f>IFERROR(__xludf.DUMMYFUNCTION("AVERAGE(ARRAYFORMULA(XLOOKUP(FILTER(INDIRECT(""'""&amp;CB$1&amp;""'!$C$4:$C$66""),INDIRECT(""'""&amp;CB$1&amp;""'!$D$4:$D$66"")=CB$2),$G$4:$BQ$4,$G221:$BQ221)))"),0.22307723181818184)</f>
        <v>0.2230772318</v>
      </c>
      <c r="CC221" s="207" t="str">
        <f>IFERROR(__xludf.DUMMYFUNCTION("IF(OR(CB221&gt;$BS221+$BT221*$BT$2,CB221&lt;$BS221-$BT221*$BT$2),AVEDEV(ARRAYFORMULA(XLOOKUP(FILTER(INDIRECT(""'""&amp;CB$1&amp;""'!$C$4:$C$66""),INDIRECT(""'""&amp;CB$1&amp;""'!$D$4:$D$66"")=CB$2),$G$4:$BQ$4,$G221:$BQ221))),"""")"),"")</f>
        <v/>
      </c>
      <c r="CD221" s="208" t="str">
        <f t="shared" si="10"/>
        <v/>
      </c>
      <c r="CE221" s="209" t="s">
        <v>444</v>
      </c>
      <c r="CF221" s="207">
        <f>IFERROR(__xludf.DUMMYFUNCTION("AVERAGE(ARRAYFORMULA(XLOOKUP(FILTER(INDIRECT(""'""&amp;CF$1&amp;""'!$C$4:$C$66""),INDIRECT(""'""&amp;CF$1&amp;""'!$D$4:$D$66"")=CF$2),$G$4:$BQ$4,$G221:$BQ221)))"),-0.36357498437499997)</f>
        <v>-0.3635749844</v>
      </c>
      <c r="CG221" s="207" t="str">
        <f>IFERROR(__xludf.DUMMYFUNCTION("IF(OR(CF221&gt;$BS221+$BT221*$BT$2,CF221&lt;$BS221-$BT221*$BT$2),AVEDEV(ARRAYFORMULA(XLOOKUP(FILTER(INDIRECT(""'""&amp;CF$1&amp;""'!$C$4:$C$66""),INDIRECT(""'""&amp;CF$1&amp;""'!$D$4:$D$66"")=CF$2),$G$4:$BQ$4,$G221:$BQ221))),"""")"),"")</f>
        <v/>
      </c>
      <c r="CH221" s="208" t="str">
        <f t="shared" si="11"/>
        <v/>
      </c>
      <c r="CI221" s="207">
        <f>IFERROR(__xludf.DUMMYFUNCTION("AVERAGE(ARRAYFORMULA(XLOOKUP(FILTER(INDIRECT(""'""&amp;CI$1&amp;""'!$C$4:$C$66""),INDIRECT(""'""&amp;CI$1&amp;""'!$D$4:$D$66"")=CI$2),$G$4:$BQ$4,$G221:$BQ221)))"),0.1838172325806452)</f>
        <v>0.1838172326</v>
      </c>
      <c r="CJ221" s="207" t="str">
        <f>IFERROR(__xludf.DUMMYFUNCTION("IF(OR(CI221&gt;$BS221+$BT221*$BT$2,CI221&lt;$BS221-$BT221*$BT$2),AVEDEV(ARRAYFORMULA(XLOOKUP(FILTER(INDIRECT(""'""&amp;CI$1&amp;""'!$C$4:$C$66""),INDIRECT(""'""&amp;CI$1&amp;""'!$D$4:$D$66"")=CI$2),$G$4:$BQ$4,$G221:$BQ221))),"""")"),"")</f>
        <v/>
      </c>
      <c r="CK221" s="208" t="str">
        <f t="shared" si="12"/>
        <v/>
      </c>
      <c r="CL221" s="207">
        <f>IFERROR(__xludf.DUMMYFUNCTION("AVERAGE(ARRAYFORMULA(XLOOKUP(FILTER(INDIRECT(""'""&amp;CL$1&amp;""'!$C$4:$C$66""),INDIRECT(""'""&amp;CL$1&amp;""'!$D$4:$D$66"")=CL$2),$G$4:$BQ$4,$G221:$BQ221)))"),0.298964428)</f>
        <v>0.298964428</v>
      </c>
      <c r="CM221" s="207" t="str">
        <f>IFERROR(__xludf.DUMMYFUNCTION("IF(OR(CL221&gt;$BS221+$BT221*$BT$2,CL221&lt;$BS221-$BT221*$BT$2),AVEDEV(ARRAYFORMULA(XLOOKUP(FILTER(INDIRECT(""'""&amp;CL$1&amp;""'!$C$4:$C$66""),INDIRECT(""'""&amp;CL$1&amp;""'!$D$4:$D$66"")=CL$2),$G$4:$BQ$4,$G221:$BQ221))),"""")"),"")</f>
        <v/>
      </c>
      <c r="CN221" s="208" t="str">
        <f t="shared" si="13"/>
        <v/>
      </c>
      <c r="CO221" s="209" t="s">
        <v>444</v>
      </c>
      <c r="CP221" s="210">
        <f>IFERROR(__xludf.DUMMYFUNCTION("AVERAGE(ARRAYFORMULA(XLOOKUP(FILTER(INDIRECT(""'""&amp;CP$1&amp;""'!$C$4:$C$66""),INDIRECT(""'""&amp;CP$1&amp;""'!$D$4:$D$66"")=CP$2),$G$4:$BQ$4,$G221:$BQ221)))"),-0.27573166200000004)</f>
        <v>-0.275731662</v>
      </c>
      <c r="CQ221" s="207" t="str">
        <f>IFERROR(__xludf.DUMMYFUNCTION("IF(OR(CP221&gt;$BS221+$BT221*$BT$2,CP221&lt;$BS221-$BT221*$BT$2),AVEDEV(ARRAYFORMULA(XLOOKUP(FILTER(INDIRECT(""'""&amp;CP$1&amp;""'!$C$4:$C$66""),INDIRECT(""'""&amp;CP$1&amp;""'!$D$4:$D$66"")=CP$2),$G$4:$BQ$4,$G221:$BQ221))),"""")"),"")</f>
        <v/>
      </c>
      <c r="CR221" s="208" t="str">
        <f t="shared" si="14"/>
        <v/>
      </c>
      <c r="CS221" s="210">
        <f>IFERROR(__xludf.DUMMYFUNCTION("AVERAGE(ARRAYFORMULA(XLOOKUP(FILTER(INDIRECT(""'""&amp;CS$1&amp;""'!$C$4:$C$66""),INDIRECT(""'""&amp;CS$1&amp;""'!$D$4:$D$66"")=CS$2),$G$4:$BQ$4,$G221:$BQ221)))"),0.06721388641025641)</f>
        <v>0.06721388641</v>
      </c>
      <c r="CT221" s="207" t="str">
        <f>IFERROR(__xludf.DUMMYFUNCTION("IF(OR(CS221&gt;$BS221+$BT221*$BT$2,CS221&lt;$BS221-$BT221*$BT$2),AVEDEV(ARRAYFORMULA(XLOOKUP(FILTER(INDIRECT(""'""&amp;CS$1&amp;""'!$C$4:$C$66""),INDIRECT(""'""&amp;CS$1&amp;""'!$D$4:$D$66"")=CS$2),$G$4:$BQ$4,$G221:$BQ221))),"""")"),"")</f>
        <v/>
      </c>
      <c r="CU221" s="208" t="str">
        <f t="shared" si="15"/>
        <v/>
      </c>
      <c r="CV221" s="210">
        <f>IFERROR(__xludf.DUMMYFUNCTION("AVERAGE(ARRAYFORMULA(XLOOKUP(FILTER(INDIRECT(""'""&amp;CV$1&amp;""'!$C$4:$C$66""),INDIRECT(""'""&amp;CV$1&amp;""'!$D$4:$D$66"")=CV$2),$G$4:$BQ$4,$G221:$BQ221)))"),0.298964428)</f>
        <v>0.298964428</v>
      </c>
      <c r="CW221" s="207" t="str">
        <f>IFERROR(__xludf.DUMMYFUNCTION("IF(OR(CV221&gt;$BS221+$BT221*$BT$2,CV221&lt;$BS221-$BT221*$BT$2),AVEDEV(ARRAYFORMULA(XLOOKUP(FILTER(INDIRECT(""'""&amp;CV$1&amp;""'!$C$4:$C$66""),INDIRECT(""'""&amp;CV$1&amp;""'!$D$4:$D$66"")=CV$2),$G$4:$BQ$4,$G221:$BQ221))),"""")"),"")</f>
        <v/>
      </c>
      <c r="CX221" s="208" t="str">
        <f t="shared" si="16"/>
        <v/>
      </c>
      <c r="CY221" s="209" t="s">
        <v>444</v>
      </c>
      <c r="CZ221" s="210">
        <f>IFERROR(__xludf.DUMMYFUNCTION("AVERAGE(ARRAYFORMULA(XLOOKUP(FILTER(INDIRECT(""'""&amp;CZ$1&amp;""'!$C$4:$C$66""),INDIRECT(""'""&amp;CZ$1&amp;""'!$D$4:$D$66"")=CZ$2),$G$4:$BQ$4,$G221:$BQ221)))"),-0.24036793285714284)</f>
        <v>-0.2403679329</v>
      </c>
      <c r="DA221" s="207" t="str">
        <f>IFERROR(__xludf.DUMMYFUNCTION("IF(OR(CZ221&gt;$BS221+$BT221*$BT$2,CZ221&lt;$BS221-$BT221*$BT$2),AVEDEV(ARRAYFORMULA(XLOOKUP(FILTER(INDIRECT(""'""&amp;CZ$1&amp;""'!$C$4:$C$66""),INDIRECT(""'""&amp;CZ$1&amp;""'!$D$4:$D$66"")=CZ$2),$G$4:$BQ$4,$G221:$BQ221))),"""")"),"")</f>
        <v/>
      </c>
      <c r="DB221" s="208" t="str">
        <f t="shared" si="17"/>
        <v/>
      </c>
      <c r="DC221" s="210">
        <f>IFERROR(__xludf.DUMMYFUNCTION("AVERAGE(ARRAYFORMULA(XLOOKUP(FILTER(INDIRECT(""'""&amp;DC$1&amp;""'!$C$4:$C$66""),INDIRECT(""'""&amp;DC$1&amp;""'!$D$4:$D$66"")=DC$2),$G$4:$BQ$4,$G221:$BQ221)))"),0.3626994833333333)</f>
        <v>0.3626994833</v>
      </c>
      <c r="DD221" s="207" t="str">
        <f>IFERROR(__xludf.DUMMYFUNCTION("IF(OR(DC221&gt;$BS221+$BT221*$BT$2,DC221&lt;$BS221-$BT221*$BT$2),AVEDEV(ARRAYFORMULA(XLOOKUP(FILTER(INDIRECT(""'""&amp;DC$1&amp;""'!$C$4:$C$66""),INDIRECT(""'""&amp;DC$1&amp;""'!$D$4:$D$66"")=DC$2),$G$4:$BQ$4,$G221:$BQ221))),"""")"),"")</f>
        <v/>
      </c>
      <c r="DE221" s="208" t="str">
        <f t="shared" si="18"/>
        <v/>
      </c>
      <c r="DF221" s="210">
        <f>IFERROR(__xludf.DUMMYFUNCTION("AVERAGE(ARRAYFORMULA(XLOOKUP(FILTER(INDIRECT(""'""&amp;DF$1&amp;""'!$C$4:$C$66""),INDIRECT(""'""&amp;DF$1&amp;""'!$D$4:$D$66"")=DF$2),$G$4:$BQ$4,$G221:$BQ221)))"),0.14276943272727272)</f>
        <v>0.1427694327</v>
      </c>
      <c r="DG221" s="207" t="str">
        <f>IFERROR(__xludf.DUMMYFUNCTION("IF(OR(DF221&gt;$BS221+$BT221*$BT$2,DF221&lt;$BS221-$BT221*$BT$2),AVEDEV(ARRAYFORMULA(XLOOKUP(FILTER(INDIRECT(""'""&amp;DF$1&amp;""'!$C$4:$C$66""),INDIRECT(""'""&amp;DF$1&amp;""'!$D$4:$D$66"")=DF$2),$G$4:$BQ$4,$G221:$BQ221))),"""")"),"")</f>
        <v/>
      </c>
      <c r="DH221" s="208" t="str">
        <f t="shared" si="19"/>
        <v/>
      </c>
      <c r="DI221" s="210">
        <f>IFERROR(__xludf.DUMMYFUNCTION("AVERAGE(ARRAYFORMULA(XLOOKUP(FILTER(INDIRECT(""'""&amp;DI$1&amp;""'!$C$4:$C$66""),INDIRECT(""'""&amp;DI$1&amp;""'!$D$4:$D$66"")=DI$2),$G$4:$BQ$4,$G221:$BQ221)))"),-0.49257090000000003)</f>
        <v>-0.4925709</v>
      </c>
      <c r="DJ221" s="207" t="str">
        <f>IFERROR(__xludf.DUMMYFUNCTION("IF(OR(DI221&gt;$BS221+$BT221*$BT$2,DI221&lt;$BS221-$BT221*$BT$2),AVEDEV(ARRAYFORMULA(XLOOKUP(FILTER(INDIRECT(""'""&amp;DI$1&amp;""'!$C$4:$C$66""),INDIRECT(""'""&amp;DI$1&amp;""'!$D$4:$D$66"")=DI$2),$G$4:$BQ$4,$G221:$BQ221))),"""")"),"")</f>
        <v/>
      </c>
      <c r="DK221" s="208" t="str">
        <f t="shared" si="20"/>
        <v/>
      </c>
      <c r="DL221" s="210">
        <f>IFERROR(__xludf.DUMMYFUNCTION("AVERAGE(ARRAYFORMULA(XLOOKUP(FILTER(INDIRECT(""'""&amp;DL$1&amp;""'!$C$4:$C$66""),INDIRECT(""'""&amp;DL$1&amp;""'!$D$4:$D$66"")=DL$2),$G$4:$BQ$4,$G221:$BQ221)))"),0.4137775807142857)</f>
        <v>0.4137775807</v>
      </c>
      <c r="DM221" s="207" t="str">
        <f>IFERROR(__xludf.DUMMYFUNCTION("IF(OR(DL221&gt;$BS221+$BT221*$BT$2,DL221&lt;$BS221-$BT221*$BT$2),AVEDEV(ARRAYFORMULA(XLOOKUP(FILTER(INDIRECT(""'""&amp;DL$1&amp;""'!$C$4:$C$66""),INDIRECT(""'""&amp;DL$1&amp;""'!$D$4:$D$66"")=DL$2),$G$4:$BQ$4,$G221:$BQ221))),"""")"),"")</f>
        <v/>
      </c>
      <c r="DN221" s="208" t="str">
        <f t="shared" si="21"/>
        <v/>
      </c>
      <c r="DO221" s="209" t="s">
        <v>444</v>
      </c>
      <c r="DP221" s="210">
        <f>IFERROR(__xludf.DUMMYFUNCTION("AVERAGE(ARRAYFORMULA(XLOOKUP(FILTER(INDIRECT(""'""&amp;DP$1&amp;""'!$C$4:$C$66""),INDIRECT(""'""&amp;DP$1&amp;""'!$D$4:$D$66"")=DP$2),$G$4:$BQ$4,$G221:$BQ221)))"),-0.058202016333333294)</f>
        <v>-0.05820201633</v>
      </c>
      <c r="DQ221" s="207" t="str">
        <f>IFERROR(__xludf.DUMMYFUNCTION("IF(OR(DP221&gt;$BS221+$BT221*$BT$2,DP221&lt;$BS221-$BT221*$BT$2),AVEDEV(ARRAYFORMULA(XLOOKUP(FILTER(INDIRECT(""'""&amp;DP$1&amp;""'!$C$4:$C$66""),INDIRECT(""'""&amp;DP$1&amp;""'!$D$4:$D$66"")=DP$2),$G$4:$BQ$4,$G221:$BQ221))),"""")"),"")</f>
        <v/>
      </c>
      <c r="DR221" s="208" t="str">
        <f t="shared" si="22"/>
        <v/>
      </c>
      <c r="DS221" s="210">
        <f>IFERROR(__xludf.DUMMYFUNCTION("AVERAGE(ARRAYFORMULA(XLOOKUP(FILTER(INDIRECT(""'""&amp;DS$1&amp;""'!$C$4:$C$66""),INDIRECT(""'""&amp;DS$1&amp;""'!$D$4:$D$66"")=DS$2),$G$4:$BQ$4,$G221:$BQ221)))"),0.3507929288888889)</f>
        <v>0.3507929289</v>
      </c>
      <c r="DT221" s="207" t="str">
        <f>IFERROR(__xludf.DUMMYFUNCTION("IF(OR(DS221&gt;$BS221+$BT221*$BT$2,DS221&lt;$BS221-$BT221*$BT$2),AVEDEV(ARRAYFORMULA(XLOOKUP(FILTER(INDIRECT(""'""&amp;DS$1&amp;""'!$C$4:$C$66""),INDIRECT(""'""&amp;DS$1&amp;""'!$D$4:$D$66"")=DS$2),$G$4:$BQ$4,$G221:$BQ221))),"""")"),"")</f>
        <v/>
      </c>
      <c r="DU221" s="208" t="str">
        <f t="shared" si="23"/>
        <v/>
      </c>
      <c r="DV221" s="210">
        <f>IFERROR(__xludf.DUMMYFUNCTION("AVERAGE(ARRAYFORMULA(XLOOKUP(FILTER(INDIRECT(""'""&amp;DV$1&amp;""'!$C$4:$C$66""),INDIRECT(""'""&amp;DV$1&amp;""'!$D$4:$D$66"")=DV$2),$G$4:$BQ$4,$G221:$BQ221)))"),0.23615488875000007)</f>
        <v>0.2361548888</v>
      </c>
      <c r="DW221" s="207" t="str">
        <f>IFERROR(__xludf.DUMMYFUNCTION("IF(OR(DV221&gt;$BS221+$BT221*$BT$2,DV221&lt;$BS221-$BT221*$BT$2),AVEDEV(ARRAYFORMULA(XLOOKUP(FILTER(INDIRECT(""'""&amp;DV$1&amp;""'!$C$4:$C$66""),INDIRECT(""'""&amp;DV$1&amp;""'!$D$4:$D$66"")=DV$2),$G$4:$BQ$4,$G221:$BQ221))),"""")"),"")</f>
        <v/>
      </c>
      <c r="DX221" s="208" t="str">
        <f t="shared" si="24"/>
        <v/>
      </c>
      <c r="DY221" s="210">
        <f>IFERROR(__xludf.DUMMYFUNCTION("AVERAGE(ARRAYFORMULA(XLOOKUP(FILTER(INDIRECT(""'""&amp;DY$1&amp;""'!$C$4:$C$66""),INDIRECT(""'""&amp;DY$1&amp;""'!$D$4:$D$66"")=DY$2),$G$4:$BQ$4,$G221:$BQ221)))"),-0.23552954555555555)</f>
        <v>-0.2355295456</v>
      </c>
      <c r="DZ221" s="207" t="str">
        <f>IFERROR(__xludf.DUMMYFUNCTION("IF(OR(DY221&gt;$BS221+$BT221*$BT$2,DY221&lt;$BS221-$BT221*$BT$2),AVEDEV(ARRAYFORMULA(XLOOKUP(FILTER(INDIRECT(""'""&amp;DY$1&amp;""'!$C$4:$C$66""),INDIRECT(""'""&amp;DY$1&amp;""'!$D$4:$D$66"")=DY$2),$G$4:$BQ$4,$G221:$BQ221))),"""")"),"")</f>
        <v/>
      </c>
      <c r="EA221" s="208" t="str">
        <f t="shared" si="25"/>
        <v/>
      </c>
      <c r="EB221" s="191"/>
    </row>
    <row r="222" outlineLevel="1">
      <c r="A222" s="2"/>
      <c r="B222" s="204">
        <v>218.0</v>
      </c>
      <c r="C222" s="204" t="s">
        <v>646</v>
      </c>
      <c r="D222" s="204" t="s">
        <v>667</v>
      </c>
      <c r="E222" s="205" t="b">
        <f>VLOOKUP(D222,'Feature Set List'!A218:C246,2,0)</f>
        <v>1</v>
      </c>
      <c r="F222" s="205" t="b">
        <f>VLOOKUP(D222,'Feature Set List'!A218:C246,3,0)</f>
        <v>1</v>
      </c>
      <c r="G222" s="205">
        <v>-1.6746907</v>
      </c>
      <c r="H222" s="205">
        <v>0.85669291</v>
      </c>
      <c r="I222" s="205">
        <v>-0.2726659</v>
      </c>
      <c r="J222" s="205">
        <v>1.92935883</v>
      </c>
      <c r="K222" s="205">
        <v>-0.040045</v>
      </c>
      <c r="L222" s="205">
        <v>0.22542182</v>
      </c>
      <c r="M222" s="205">
        <v>0.66906637</v>
      </c>
      <c r="N222" s="205">
        <v>-0.2200225</v>
      </c>
      <c r="O222" s="205">
        <v>0.09403825</v>
      </c>
      <c r="P222" s="205">
        <v>-0.6069741</v>
      </c>
      <c r="Q222" s="205">
        <v>0.42024747</v>
      </c>
      <c r="R222" s="205">
        <v>-0.4440945</v>
      </c>
      <c r="S222" s="205">
        <v>0.9264342</v>
      </c>
      <c r="T222" s="205">
        <v>0.19977503</v>
      </c>
      <c r="U222" s="205">
        <v>3.00652418</v>
      </c>
      <c r="V222" s="205">
        <v>3.35298088</v>
      </c>
      <c r="W222" s="205">
        <v>-0.2870641</v>
      </c>
      <c r="X222" s="205">
        <v>-0.3253093</v>
      </c>
      <c r="Y222" s="205">
        <v>-1.1185602</v>
      </c>
      <c r="Z222" s="205">
        <v>0.57637795</v>
      </c>
      <c r="AA222" s="205">
        <v>0.55253093</v>
      </c>
      <c r="AB222" s="205">
        <v>-0.151631</v>
      </c>
      <c r="AC222" s="205">
        <v>0.02924634</v>
      </c>
      <c r="AD222" s="205">
        <v>-0.2375703</v>
      </c>
      <c r="AE222" s="205">
        <v>-0.6915636</v>
      </c>
      <c r="AF222" s="205">
        <v>-0.2542182</v>
      </c>
      <c r="AG222" s="205">
        <v>-0.9115861</v>
      </c>
      <c r="AH222" s="205">
        <v>-0.1948256</v>
      </c>
      <c r="AI222" s="205">
        <v>0.64701912</v>
      </c>
      <c r="AJ222" s="205">
        <v>-1.616198</v>
      </c>
      <c r="AK222" s="205">
        <v>1.35613048</v>
      </c>
      <c r="AL222" s="205">
        <v>-0.4832396</v>
      </c>
      <c r="AM222" s="205">
        <v>-0.2767154</v>
      </c>
      <c r="AN222" s="205">
        <v>-0.431946</v>
      </c>
      <c r="AO222" s="205">
        <v>1.58515186</v>
      </c>
      <c r="AP222" s="205">
        <v>-0.0670416</v>
      </c>
      <c r="AQ222" s="205">
        <v>0.95568054</v>
      </c>
      <c r="AR222" s="205">
        <v>0.83914511</v>
      </c>
      <c r="AS222" s="205">
        <v>-0.0184477</v>
      </c>
      <c r="AT222" s="205">
        <v>0.6519685</v>
      </c>
      <c r="AU222" s="205">
        <v>2.46659168</v>
      </c>
      <c r="AV222" s="205">
        <v>-0.8890889</v>
      </c>
      <c r="AW222" s="205">
        <v>-0.3725534</v>
      </c>
      <c r="AX222" s="205">
        <v>1.83847019</v>
      </c>
      <c r="AY222" s="205">
        <v>-0.2726659</v>
      </c>
      <c r="AZ222" s="205">
        <v>-0.4589426</v>
      </c>
      <c r="BA222" s="205">
        <v>-0.167829</v>
      </c>
      <c r="BB222" s="205">
        <v>0.80944882</v>
      </c>
      <c r="BC222" s="205">
        <v>-0.3959505</v>
      </c>
      <c r="BD222" s="205">
        <v>0.53768279</v>
      </c>
      <c r="BE222" s="205">
        <v>1.10281215</v>
      </c>
      <c r="BF222" s="205">
        <v>0.45354331</v>
      </c>
      <c r="BG222" s="205">
        <v>-0.7500562</v>
      </c>
      <c r="BH222" s="205">
        <v>-0.3239595</v>
      </c>
      <c r="BI222" s="205">
        <v>0.26771654</v>
      </c>
      <c r="BJ222" s="205">
        <v>0.68166479</v>
      </c>
      <c r="BK222" s="205">
        <v>0.82474691</v>
      </c>
      <c r="BL222" s="205">
        <v>-0.6929134</v>
      </c>
      <c r="BM222" s="205">
        <v>2.59707537</v>
      </c>
      <c r="BN222" s="205">
        <v>0.06209224</v>
      </c>
      <c r="BO222" s="205">
        <v>-0.0260967</v>
      </c>
      <c r="BP222" s="205">
        <v>0.55658043</v>
      </c>
      <c r="BQ222" s="205">
        <v>0.0</v>
      </c>
      <c r="BR222" s="206"/>
      <c r="BS222" s="207">
        <f t="shared" si="6"/>
        <v>0.2602817538</v>
      </c>
      <c r="BT222" s="207">
        <f t="shared" si="7"/>
        <v>0.7522005305</v>
      </c>
      <c r="BU222" s="206"/>
      <c r="BV222" s="207">
        <f>IFERROR(__xludf.DUMMYFUNCTION("AVERAGE(ARRAYFORMULA(XLOOKUP(FILTER(INDIRECT(""'""&amp;BV$1&amp;""'!$C$4:$C$66""),INDIRECT(""'""&amp;BV$1&amp;""'!$D$4:$D$66"")=BV$2),$G$4:$BQ$4,$G222:$BQ222)))"),0.7447212014285715)</f>
        <v>0.7447212014</v>
      </c>
      <c r="BW222" s="207" t="str">
        <f>IFERROR(__xludf.DUMMYFUNCTION("IF(OR(BV222&gt;$BS222+$BT222*$BT$2,BV222&lt;$BS222-$BT222*$BT$2),AVEDEV(ARRAYFORMULA(XLOOKUP(FILTER(INDIRECT(""'""&amp;BV$1&amp;""'!$C$4:$C$66""),INDIRECT(""'""&amp;BV$1&amp;""'!$D$4:$D$66"")=BV$2),$G$4:$BQ$4,$G222:$BQ222))),"""")"),"")</f>
        <v/>
      </c>
      <c r="BX222" s="208" t="str">
        <f t="shared" si="8"/>
        <v/>
      </c>
      <c r="BY222" s="207">
        <f>IFERROR(__xludf.DUMMYFUNCTION("AVERAGE(ARRAYFORMULA(XLOOKUP(FILTER(INDIRECT(""'""&amp;BY$1&amp;""'!$C$4:$C$66""),INDIRECT(""'""&amp;BY$1&amp;""'!$D$4:$D$66"")=BY$2),$G$4:$BQ$4,$G222:$BQ222)))"),0.22214366238095248)</f>
        <v>0.2221436624</v>
      </c>
      <c r="BZ222" s="207" t="str">
        <f>IFERROR(__xludf.DUMMYFUNCTION("IF(OR(BY222&gt;$BS222+$BT222*$BT$2,BY222&lt;$BS222-$BT222*$BT$2),AVEDEV(ARRAYFORMULA(XLOOKUP(FILTER(INDIRECT(""'""&amp;BY$1&amp;""'!$C$4:$C$66""),INDIRECT(""'""&amp;BY$1&amp;""'!$D$4:$D$66"")=BY$2),$G$4:$BQ$4,$G222:$BQ222))),"""")"),"")</f>
        <v/>
      </c>
      <c r="CA222" s="208" t="str">
        <f t="shared" si="9"/>
        <v/>
      </c>
      <c r="CB222" s="207">
        <f>IFERROR(__xludf.DUMMYFUNCTION("AVERAGE(ARRAYFORMULA(XLOOKUP(FILTER(INDIRECT(""'""&amp;CB$1&amp;""'!$C$4:$C$66""),INDIRECT(""'""&amp;CB$1&amp;""'!$D$4:$D$66"")=CB$2),$G$4:$BQ$4,$G222:$BQ222)))"),-0.07972184636363633)</f>
        <v>-0.07972184636</v>
      </c>
      <c r="CC222" s="207" t="str">
        <f>IFERROR(__xludf.DUMMYFUNCTION("IF(OR(CB222&gt;$BS222+$BT222*$BT$2,CB222&lt;$BS222-$BT222*$BT$2),AVEDEV(ARRAYFORMULA(XLOOKUP(FILTER(INDIRECT(""'""&amp;CB$1&amp;""'!$C$4:$C$66""),INDIRECT(""'""&amp;CB$1&amp;""'!$D$4:$D$66"")=CB$2),$G$4:$BQ$4,$G222:$BQ222))),"""")"),"")</f>
        <v/>
      </c>
      <c r="CD222" s="208" t="str">
        <f t="shared" si="10"/>
        <v/>
      </c>
      <c r="CE222" s="209" t="s">
        <v>444</v>
      </c>
      <c r="CF222" s="207">
        <f>IFERROR(__xludf.DUMMYFUNCTION("AVERAGE(ARRAYFORMULA(XLOOKUP(FILTER(INDIRECT(""'""&amp;CF$1&amp;""'!$C$4:$C$66""),INDIRECT(""'""&amp;CF$1&amp;""'!$D$4:$D$66"")=CF$2),$G$4:$BQ$4,$G222:$BQ222)))"),0.7322834606250002)</f>
        <v>0.7322834606</v>
      </c>
      <c r="CG222" s="207" t="str">
        <f>IFERROR(__xludf.DUMMYFUNCTION("IF(OR(CF222&gt;$BS222+$BT222*$BT$2,CF222&lt;$BS222-$BT222*$BT$2),AVEDEV(ARRAYFORMULA(XLOOKUP(FILTER(INDIRECT(""'""&amp;CF$1&amp;""'!$C$4:$C$66""),INDIRECT(""'""&amp;CF$1&amp;""'!$D$4:$D$66"")=CF$2),$G$4:$BQ$4,$G222:$BQ222))),"""")"),"")</f>
        <v/>
      </c>
      <c r="CH222" s="208" t="str">
        <f t="shared" si="11"/>
        <v/>
      </c>
      <c r="CI222" s="207">
        <f>IFERROR(__xludf.DUMMYFUNCTION("AVERAGE(ARRAYFORMULA(XLOOKUP(FILTER(INDIRECT(""'""&amp;CI$1&amp;""'!$C$4:$C$66""),INDIRECT(""'""&amp;CI$1&amp;""'!$D$4:$D$66"")=CI$2),$G$4:$BQ$4,$G222:$BQ222)))"),-0.02734496483870966)</f>
        <v>-0.02734496484</v>
      </c>
      <c r="CJ222" s="207" t="str">
        <f>IFERROR(__xludf.DUMMYFUNCTION("IF(OR(CI222&gt;$BS222+$BT222*$BT$2,CI222&lt;$BS222-$BT222*$BT$2),AVEDEV(ARRAYFORMULA(XLOOKUP(FILTER(INDIRECT(""'""&amp;CI$1&amp;""'!$C$4:$C$66""),INDIRECT(""'""&amp;CI$1&amp;""'!$D$4:$D$66"")=CI$2),$G$4:$BQ$4,$G222:$BQ222))),"""")"),"")</f>
        <v/>
      </c>
      <c r="CK222" s="208" t="str">
        <f t="shared" si="12"/>
        <v/>
      </c>
      <c r="CL222" s="207">
        <f>IFERROR(__xludf.DUMMYFUNCTION("AVERAGE(ARRAYFORMULA(XLOOKUP(FILTER(INDIRECT(""'""&amp;CL$1&amp;""'!$C$4:$C$66""),INDIRECT(""'""&amp;CL$1&amp;""'!$D$4:$D$66"")=CL$2),$G$4:$BQ$4,$G222:$BQ222)))"),-0.26870639399999996)</f>
        <v>-0.268706394</v>
      </c>
      <c r="CM222" s="207" t="str">
        <f>IFERROR(__xludf.DUMMYFUNCTION("IF(OR(CL222&gt;$BS222+$BT222*$BT$2,CL222&lt;$BS222-$BT222*$BT$2),AVEDEV(ARRAYFORMULA(XLOOKUP(FILTER(INDIRECT(""'""&amp;CL$1&amp;""'!$C$4:$C$66""),INDIRECT(""'""&amp;CL$1&amp;""'!$D$4:$D$66"")=CL$2),$G$4:$BQ$4,$G222:$BQ222))),"""")"),"")</f>
        <v/>
      </c>
      <c r="CN222" s="208" t="str">
        <f t="shared" si="13"/>
        <v/>
      </c>
      <c r="CO222" s="209" t="s">
        <v>444</v>
      </c>
      <c r="CP222" s="210">
        <f>IFERROR(__xludf.DUMMYFUNCTION("AVERAGE(ARRAYFORMULA(XLOOKUP(FILTER(INDIRECT(""'""&amp;CP$1&amp;""'!$C$4:$C$66""),INDIRECT(""'""&amp;CP$1&amp;""'!$D$4:$D$66"")=CP$2),$G$4:$BQ$4,$G222:$BQ222)))"),0.2897937793333333)</f>
        <v>0.2897937793</v>
      </c>
      <c r="CQ222" s="207" t="str">
        <f>IFERROR(__xludf.DUMMYFUNCTION("IF(OR(CP222&gt;$BS222+$BT222*$BT$2,CP222&lt;$BS222-$BT222*$BT$2),AVEDEV(ARRAYFORMULA(XLOOKUP(FILTER(INDIRECT(""'""&amp;CP$1&amp;""'!$C$4:$C$66""),INDIRECT(""'""&amp;CP$1&amp;""'!$D$4:$D$66"")=CP$2),$G$4:$BQ$4,$G222:$BQ222))),"""")"),"")</f>
        <v/>
      </c>
      <c r="CR222" s="208" t="str">
        <f t="shared" si="14"/>
        <v/>
      </c>
      <c r="CS222" s="210">
        <f>IFERROR(__xludf.DUMMYFUNCTION("AVERAGE(ARRAYFORMULA(XLOOKUP(FILTER(INDIRECT(""'""&amp;CS$1&amp;""'!$C$4:$C$66""),INDIRECT(""'""&amp;CS$1&amp;""'!$D$4:$D$66"")=CS$2),$G$4:$BQ$4,$G222:$BQ222)))"),0.2911712974358974)</f>
        <v>0.2911712974</v>
      </c>
      <c r="CT222" s="207" t="str">
        <f>IFERROR(__xludf.DUMMYFUNCTION("IF(OR(CS222&gt;$BS222+$BT222*$BT$2,CS222&lt;$BS222-$BT222*$BT$2),AVEDEV(ARRAYFORMULA(XLOOKUP(FILTER(INDIRECT(""'""&amp;CS$1&amp;""'!$C$4:$C$66""),INDIRECT(""'""&amp;CS$1&amp;""'!$D$4:$D$66"")=CS$2),$G$4:$BQ$4,$G222:$BQ222))),"""")"),"")</f>
        <v/>
      </c>
      <c r="CU222" s="208" t="str">
        <f t="shared" si="15"/>
        <v/>
      </c>
      <c r="CV222" s="210">
        <f>IFERROR(__xludf.DUMMYFUNCTION("AVERAGE(ARRAYFORMULA(XLOOKUP(FILTER(INDIRECT(""'""&amp;CV$1&amp;""'!$C$4:$C$66""),INDIRECT(""'""&amp;CV$1&amp;""'!$D$4:$D$66"")=CV$2),$G$4:$BQ$4,$G222:$BQ222)))"),-0.26870639399999996)</f>
        <v>-0.268706394</v>
      </c>
      <c r="CW222" s="207" t="str">
        <f>IFERROR(__xludf.DUMMYFUNCTION("IF(OR(CV222&gt;$BS222+$BT222*$BT$2,CV222&lt;$BS222-$BT222*$BT$2),AVEDEV(ARRAYFORMULA(XLOOKUP(FILTER(INDIRECT(""'""&amp;CV$1&amp;""'!$C$4:$C$66""),INDIRECT(""'""&amp;CV$1&amp;""'!$D$4:$D$66"")=CV$2),$G$4:$BQ$4,$G222:$BQ222))),"""")"),"")</f>
        <v/>
      </c>
      <c r="CX222" s="208" t="str">
        <f t="shared" si="16"/>
        <v/>
      </c>
      <c r="CY222" s="209" t="s">
        <v>444</v>
      </c>
      <c r="CZ222" s="210">
        <f>IFERROR(__xludf.DUMMYFUNCTION("AVERAGE(ARRAYFORMULA(XLOOKUP(FILTER(INDIRECT(""'""&amp;CZ$1&amp;""'!$C$4:$C$66""),INDIRECT(""'""&amp;CZ$1&amp;""'!$D$4:$D$66"")=CZ$2),$G$4:$BQ$4,$G222:$BQ222)))"),0.5450104414285716)</f>
        <v>0.5450104414</v>
      </c>
      <c r="DA222" s="207" t="str">
        <f>IFERROR(__xludf.DUMMYFUNCTION("IF(OR(CZ222&gt;$BS222+$BT222*$BT$2,CZ222&lt;$BS222-$BT222*$BT$2),AVEDEV(ARRAYFORMULA(XLOOKUP(FILTER(INDIRECT(""'""&amp;CZ$1&amp;""'!$C$4:$C$66""),INDIRECT(""'""&amp;CZ$1&amp;""'!$D$4:$D$66"")=CZ$2),$G$4:$BQ$4,$G222:$BQ222))),"""")"),"")</f>
        <v/>
      </c>
      <c r="DB222" s="208" t="str">
        <f t="shared" si="17"/>
        <v/>
      </c>
      <c r="DC222" s="210">
        <f>IFERROR(__xludf.DUMMYFUNCTION("AVERAGE(ARRAYFORMULA(XLOOKUP(FILTER(INDIRECT(""'""&amp;DC$1&amp;""'!$C$4:$C$66""),INDIRECT(""'""&amp;DC$1&amp;""'!$D$4:$D$66"")=DC$2),$G$4:$BQ$4,$G222:$BQ222)))"),-0.33500811999999996)</f>
        <v>-0.33500812</v>
      </c>
      <c r="DD222" s="207" t="str">
        <f>IFERROR(__xludf.DUMMYFUNCTION("IF(OR(DC222&gt;$BS222+$BT222*$BT$2,DC222&lt;$BS222-$BT222*$BT$2),AVEDEV(ARRAYFORMULA(XLOOKUP(FILTER(INDIRECT(""'""&amp;DC$1&amp;""'!$C$4:$C$66""),INDIRECT(""'""&amp;DC$1&amp;""'!$D$4:$D$66"")=DC$2),$G$4:$BQ$4,$G222:$BQ222))),"""")"),"")</f>
        <v/>
      </c>
      <c r="DE222" s="208" t="str">
        <f t="shared" si="18"/>
        <v/>
      </c>
      <c r="DF222" s="210">
        <f>IFERROR(__xludf.DUMMYFUNCTION("AVERAGE(ARRAYFORMULA(XLOOKUP(FILTER(INDIRECT(""'""&amp;DF$1&amp;""'!$C$4:$C$66""),INDIRECT(""'""&amp;DF$1&amp;""'!$D$4:$D$66"")=DF$2),$G$4:$BQ$4,$G222:$BQ222)))"),-0.05337967545454545)</f>
        <v>-0.05337967545</v>
      </c>
      <c r="DG222" s="207" t="str">
        <f>IFERROR(__xludf.DUMMYFUNCTION("IF(OR(DF222&gt;$BS222+$BT222*$BT$2,DF222&lt;$BS222-$BT222*$BT$2),AVEDEV(ARRAYFORMULA(XLOOKUP(FILTER(INDIRECT(""'""&amp;DF$1&amp;""'!$C$4:$C$66""),INDIRECT(""'""&amp;DF$1&amp;""'!$D$4:$D$66"")=DF$2),$G$4:$BQ$4,$G222:$BQ222))),"""")"),"")</f>
        <v/>
      </c>
      <c r="DH222" s="208" t="str">
        <f t="shared" si="19"/>
        <v/>
      </c>
      <c r="DI222" s="210">
        <f>IFERROR(__xludf.DUMMYFUNCTION("AVERAGE(ARRAYFORMULA(XLOOKUP(FILTER(INDIRECT(""'""&amp;DI$1&amp;""'!$C$4:$C$66""),INDIRECT(""'""&amp;DI$1&amp;""'!$D$4:$D$66"")=DI$2),$G$4:$BQ$4,$G222:$BQ222)))"),-0.2807649)</f>
        <v>-0.2807649</v>
      </c>
      <c r="DJ222" s="207" t="str">
        <f>IFERROR(__xludf.DUMMYFUNCTION("IF(OR(DI222&gt;$BS222+$BT222*$BT$2,DI222&lt;$BS222-$BT222*$BT$2),AVEDEV(ARRAYFORMULA(XLOOKUP(FILTER(INDIRECT(""'""&amp;DI$1&amp;""'!$C$4:$C$66""),INDIRECT(""'""&amp;DI$1&amp;""'!$D$4:$D$66"")=DI$2),$G$4:$BQ$4,$G222:$BQ222))),"""")"),"")</f>
        <v/>
      </c>
      <c r="DK222" s="208" t="str">
        <f t="shared" si="20"/>
        <v/>
      </c>
      <c r="DL222" s="210">
        <f>IFERROR(__xludf.DUMMYFUNCTION("AVERAGE(ARRAYFORMULA(XLOOKUP(FILTER(INDIRECT(""'""&amp;DL$1&amp;""'!$C$4:$C$66""),INDIRECT(""'""&amp;DL$1&amp;""'!$D$4:$D$66"")=DL$2),$G$4:$BQ$4,$G222:$BQ222)))"),0.1748674264285715)</f>
        <v>0.1748674264</v>
      </c>
      <c r="DM222" s="207" t="str">
        <f>IFERROR(__xludf.DUMMYFUNCTION("IF(OR(DL222&gt;$BS222+$BT222*$BT$2,DL222&lt;$BS222-$BT222*$BT$2),AVEDEV(ARRAYFORMULA(XLOOKUP(FILTER(INDIRECT(""'""&amp;DL$1&amp;""'!$C$4:$C$66""),INDIRECT(""'""&amp;DL$1&amp;""'!$D$4:$D$66"")=DL$2),$G$4:$BQ$4,$G222:$BQ222))),"""")"),"")</f>
        <v/>
      </c>
      <c r="DN222" s="208" t="str">
        <f t="shared" si="21"/>
        <v/>
      </c>
      <c r="DO222" s="209" t="s">
        <v>444</v>
      </c>
      <c r="DP222" s="210">
        <f>IFERROR(__xludf.DUMMYFUNCTION("AVERAGE(ARRAYFORMULA(XLOOKUP(FILTER(INDIRECT(""'""&amp;DP$1&amp;""'!$C$4:$C$66""),INDIRECT(""'""&amp;DP$1&amp;""'!$D$4:$D$66"")=DP$2),$G$4:$BQ$4,$G222:$BQ222)))"),0.4324259486666667)</f>
        <v>0.4324259487</v>
      </c>
      <c r="DQ222" s="207" t="str">
        <f>IFERROR(__xludf.DUMMYFUNCTION("IF(OR(DP222&gt;$BS222+$BT222*$BT$2,DP222&lt;$BS222-$BT222*$BT$2),AVEDEV(ARRAYFORMULA(XLOOKUP(FILTER(INDIRECT(""'""&amp;DP$1&amp;""'!$C$4:$C$66""),INDIRECT(""'""&amp;DP$1&amp;""'!$D$4:$D$66"")=DP$2),$G$4:$BQ$4,$G222:$BQ222))),"""")"),"")</f>
        <v/>
      </c>
      <c r="DR222" s="208" t="str">
        <f t="shared" si="22"/>
        <v/>
      </c>
      <c r="DS222" s="210">
        <f>IFERROR(__xludf.DUMMYFUNCTION("AVERAGE(ARRAYFORMULA(XLOOKUP(FILTER(INDIRECT(""'""&amp;DS$1&amp;""'!$C$4:$C$66""),INDIRECT(""'""&amp;DS$1&amp;""'!$D$4:$D$66"")=DS$2),$G$4:$BQ$4,$G222:$BQ222)))"),0.0072990877777778206)</f>
        <v>0.007299087778</v>
      </c>
      <c r="DT222" s="207" t="str">
        <f>IFERROR(__xludf.DUMMYFUNCTION("IF(OR(DS222&gt;$BS222+$BT222*$BT$2,DS222&lt;$BS222-$BT222*$BT$2),AVEDEV(ARRAYFORMULA(XLOOKUP(FILTER(INDIRECT(""'""&amp;DS$1&amp;""'!$C$4:$C$66""),INDIRECT(""'""&amp;DS$1&amp;""'!$D$4:$D$66"")=DS$2),$G$4:$BQ$4,$G222:$BQ222))),"""")"),"")</f>
        <v/>
      </c>
      <c r="DU222" s="208" t="str">
        <f t="shared" si="23"/>
        <v/>
      </c>
      <c r="DV222" s="210">
        <f>IFERROR(__xludf.DUMMYFUNCTION("AVERAGE(ARRAYFORMULA(XLOOKUP(FILTER(INDIRECT(""'""&amp;DV$1&amp;""'!$C$4:$C$66""),INDIRECT(""'""&amp;DV$1&amp;""'!$D$4:$D$66"")=DV$2),$G$4:$BQ$4,$G222:$BQ222)))"),0.22345332000000004)</f>
        <v>0.22345332</v>
      </c>
      <c r="DW222" s="207" t="str">
        <f>IFERROR(__xludf.DUMMYFUNCTION("IF(OR(DV222&gt;$BS222+$BT222*$BT$2,DV222&lt;$BS222-$BT222*$BT$2),AVEDEV(ARRAYFORMULA(XLOOKUP(FILTER(INDIRECT(""'""&amp;DV$1&amp;""'!$C$4:$C$66""),INDIRECT(""'""&amp;DV$1&amp;""'!$D$4:$D$66"")=DV$2),$G$4:$BQ$4,$G222:$BQ222))),"""")"),"")</f>
        <v/>
      </c>
      <c r="DX222" s="208" t="str">
        <f t="shared" si="24"/>
        <v/>
      </c>
      <c r="DY222" s="210">
        <f>IFERROR(__xludf.DUMMYFUNCTION("AVERAGE(ARRAYFORMULA(XLOOKUP(FILTER(INDIRECT(""'""&amp;DY$1&amp;""'!$C$4:$C$66""),INDIRECT(""'""&amp;DY$1&amp;""'!$D$4:$D$66"")=DY$2),$G$4:$BQ$4,$G222:$BQ222)))"),-0.2851143511111111)</f>
        <v>-0.2851143511</v>
      </c>
      <c r="DZ222" s="207" t="str">
        <f>IFERROR(__xludf.DUMMYFUNCTION("IF(OR(DY222&gt;$BS222+$BT222*$BT$2,DY222&lt;$BS222-$BT222*$BT$2),AVEDEV(ARRAYFORMULA(XLOOKUP(FILTER(INDIRECT(""'""&amp;DY$1&amp;""'!$C$4:$C$66""),INDIRECT(""'""&amp;DY$1&amp;""'!$D$4:$D$66"")=DY$2),$G$4:$BQ$4,$G222:$BQ222))),"""")"),"")</f>
        <v/>
      </c>
      <c r="EA222" s="208" t="str">
        <f t="shared" si="25"/>
        <v/>
      </c>
      <c r="EB222" s="191"/>
    </row>
    <row r="223" outlineLevel="1">
      <c r="A223" s="2"/>
      <c r="B223" s="204">
        <v>219.0</v>
      </c>
      <c r="C223" s="204" t="s">
        <v>646</v>
      </c>
      <c r="D223" s="204" t="s">
        <v>668</v>
      </c>
      <c r="E223" s="205" t="b">
        <f>VLOOKUP(D223,'Feature Set List'!A219:C246,2,0)</f>
        <v>1</v>
      </c>
      <c r="F223" s="205" t="b">
        <f>VLOOKUP(D223,'Feature Set List'!A219:C246,3,0)</f>
        <v>1</v>
      </c>
      <c r="G223" s="205">
        <v>1.32545115</v>
      </c>
      <c r="H223" s="205">
        <v>0.40945862</v>
      </c>
      <c r="I223" s="205">
        <v>0.46421904</v>
      </c>
      <c r="J223" s="205">
        <v>-0.4144368</v>
      </c>
      <c r="K223" s="205">
        <v>1.00435594</v>
      </c>
      <c r="L223" s="205">
        <v>-0.7392657</v>
      </c>
      <c r="M223" s="205">
        <v>-0.2016179</v>
      </c>
      <c r="N223" s="205">
        <v>0.51649035</v>
      </c>
      <c r="O223" s="205">
        <v>0.10952085</v>
      </c>
      <c r="P223" s="205">
        <v>0.58867455</v>
      </c>
      <c r="Q223" s="205">
        <v>0.97946484</v>
      </c>
      <c r="R223" s="205">
        <v>0.38705663</v>
      </c>
      <c r="S223" s="205">
        <v>-0.3895457</v>
      </c>
      <c r="T223" s="205">
        <v>0.38954574</v>
      </c>
      <c r="U223" s="205">
        <v>-2.3534536</v>
      </c>
      <c r="V223" s="205">
        <v>-1.6851276</v>
      </c>
      <c r="W223" s="205">
        <v>-0.3982576</v>
      </c>
      <c r="X223" s="205">
        <v>-0.9458619</v>
      </c>
      <c r="Y223" s="205">
        <v>0.35967642</v>
      </c>
      <c r="Z223" s="205">
        <v>0.19041693</v>
      </c>
      <c r="AA223" s="205">
        <v>0.68201618</v>
      </c>
      <c r="AB223" s="205">
        <v>-0.3484754</v>
      </c>
      <c r="AC223" s="205">
        <v>-0.6571251</v>
      </c>
      <c r="AD223" s="205">
        <v>1.04418171</v>
      </c>
      <c r="AE223" s="205">
        <v>0.16303671</v>
      </c>
      <c r="AF223" s="205">
        <v>0.39950218</v>
      </c>
      <c r="AG223" s="205">
        <v>0.34474175</v>
      </c>
      <c r="AH223" s="205">
        <v>-0.5625389</v>
      </c>
      <c r="AI223" s="205">
        <v>0.0</v>
      </c>
      <c r="AJ223" s="205">
        <v>-4.0149347</v>
      </c>
      <c r="AK223" s="205">
        <v>-0.8014935</v>
      </c>
      <c r="AL223" s="205">
        <v>-0.159303</v>
      </c>
      <c r="AM223" s="205">
        <v>1.63285625</v>
      </c>
      <c r="AN223" s="205">
        <v>-0.7454885</v>
      </c>
      <c r="AO223" s="205">
        <v>-0.4779091</v>
      </c>
      <c r="AP223" s="205">
        <v>0.57373989</v>
      </c>
      <c r="AQ223" s="205">
        <v>1.48724331</v>
      </c>
      <c r="AR223" s="205">
        <v>-3.1325451</v>
      </c>
      <c r="AS223" s="205">
        <v>0.49533292</v>
      </c>
      <c r="AT223" s="205">
        <v>-1.3777225</v>
      </c>
      <c r="AU223" s="205">
        <v>0.38456752</v>
      </c>
      <c r="AV223" s="205">
        <v>0.13441195</v>
      </c>
      <c r="AW223" s="205">
        <v>1.18855009</v>
      </c>
      <c r="AX223" s="205">
        <v>-0.4555072</v>
      </c>
      <c r="AY223" s="205">
        <v>-1.2271313</v>
      </c>
      <c r="AZ223" s="205">
        <v>1.56191661</v>
      </c>
      <c r="BA223" s="205">
        <v>-0.0709396</v>
      </c>
      <c r="BB223" s="205">
        <v>-0.9583074</v>
      </c>
      <c r="BC223" s="205">
        <v>-0.3360299</v>
      </c>
      <c r="BD223" s="205">
        <v>0.08089608</v>
      </c>
      <c r="BE223" s="205">
        <v>0.76540137</v>
      </c>
      <c r="BF223" s="205">
        <v>-0.056005</v>
      </c>
      <c r="BG223" s="205">
        <v>-0.1406347</v>
      </c>
      <c r="BH223" s="205">
        <v>0.87990044</v>
      </c>
      <c r="BI223" s="205">
        <v>-0.2775358</v>
      </c>
      <c r="BJ223" s="205">
        <v>0.00995644</v>
      </c>
      <c r="BK223" s="205">
        <v>-0.2215308</v>
      </c>
      <c r="BL223" s="205">
        <v>-0.8724331</v>
      </c>
      <c r="BM223" s="205">
        <v>-0.8276291</v>
      </c>
      <c r="BN223" s="205">
        <v>1.50093342</v>
      </c>
      <c r="BO223" s="205">
        <v>0.22650902</v>
      </c>
      <c r="BP223" s="205">
        <v>-0.8301182</v>
      </c>
      <c r="BQ223" s="205">
        <v>-0.4343497</v>
      </c>
      <c r="BR223" s="206"/>
      <c r="BS223" s="207">
        <f t="shared" si="6"/>
        <v>-0.09259094444</v>
      </c>
      <c r="BT223" s="207">
        <f t="shared" si="7"/>
        <v>0.7397197591</v>
      </c>
      <c r="BU223" s="206"/>
      <c r="BV223" s="207">
        <f>IFERROR(__xludf.DUMMYFUNCTION("AVERAGE(ARRAYFORMULA(XLOOKUP(FILTER(INDIRECT(""'""&amp;BV$1&amp;""'!$C$4:$C$66""),INDIRECT(""'""&amp;BV$1&amp;""'!$D$4:$D$66"")=BV$2),$G$4:$BQ$4,$G223:$BQ223)))"),-0.8670992899999999)</f>
        <v>-0.86709929</v>
      </c>
      <c r="BW223" s="207">
        <f>IFERROR(__xludf.DUMMYFUNCTION("IF(OR(BV223&gt;$BS223+$BT223*$BT$2,BV223&lt;$BS223-$BT223*$BT$2),AVEDEV(ARRAYFORMULA(XLOOKUP(FILTER(INDIRECT(""'""&amp;BV$1&amp;""'!$C$4:$C$66""),INDIRECT(""'""&amp;BV$1&amp;""'!$D$4:$D$66"")=BV$2),$G$4:$BQ$4,$G223:$BQ223))),"""")"),0.5776259571428571)</f>
        <v>0.5776259571</v>
      </c>
      <c r="BX223" s="208">
        <f t="shared" si="8"/>
        <v>-0.03478858647</v>
      </c>
      <c r="BY223" s="207">
        <f>IFERROR(__xludf.DUMMYFUNCTION("AVERAGE(ARRAYFORMULA(XLOOKUP(FILTER(INDIRECT(""'""&amp;BY$1&amp;""'!$C$4:$C$66""),INDIRECT(""'""&amp;BY$1&amp;""'!$D$4:$D$66"")=BY$2),$G$4:$BQ$4,$G223:$BQ223)))"),-0.07333985380952382)</f>
        <v>-0.07333985381</v>
      </c>
      <c r="BZ223" s="207" t="str">
        <f>IFERROR(__xludf.DUMMYFUNCTION("IF(OR(BY223&gt;$BS223+$BT223*$BT$2,BY223&lt;$BS223-$BT223*$BT$2),AVEDEV(ARRAYFORMULA(XLOOKUP(FILTER(INDIRECT(""'""&amp;BY$1&amp;""'!$C$4:$C$66""),INDIRECT(""'""&amp;BY$1&amp;""'!$D$4:$D$66"")=BY$2),$G$4:$BQ$4,$G223:$BQ223))),"""")"),"")</f>
        <v/>
      </c>
      <c r="CA223" s="208" t="str">
        <f t="shared" si="9"/>
        <v/>
      </c>
      <c r="CB223" s="207">
        <f>IFERROR(__xludf.DUMMYFUNCTION("AVERAGE(ARRAYFORMULA(XLOOKUP(FILTER(INDIRECT(""'""&amp;CB$1&amp;""'!$C$4:$C$66""),INDIRECT(""'""&amp;CB$1&amp;""'!$D$4:$D$66"")=CB$2),$G$4:$BQ$4,$G223:$BQ223)))"),0.21700515909090906)</f>
        <v>0.2170051591</v>
      </c>
      <c r="CC223" s="207" t="str">
        <f>IFERROR(__xludf.DUMMYFUNCTION("IF(OR(CB223&gt;$BS223+$BT223*$BT$2,CB223&lt;$BS223-$BT223*$BT$2),AVEDEV(ARRAYFORMULA(XLOOKUP(FILTER(INDIRECT(""'""&amp;CB$1&amp;""'!$C$4:$C$66""),INDIRECT(""'""&amp;CB$1&amp;""'!$D$4:$D$66"")=CB$2),$G$4:$BQ$4,$G223:$BQ223))),"""")"),"")</f>
        <v/>
      </c>
      <c r="CD223" s="208" t="str">
        <f t="shared" si="10"/>
        <v/>
      </c>
      <c r="CE223" s="209" t="s">
        <v>444</v>
      </c>
      <c r="CF223" s="207">
        <f>IFERROR(__xludf.DUMMYFUNCTION("AVERAGE(ARRAYFORMULA(XLOOKUP(FILTER(INDIRECT(""'""&amp;CF$1&amp;""'!$C$4:$C$66""),INDIRECT(""'""&amp;CF$1&amp;""'!$D$4:$D$66"")=CF$2),$G$4:$BQ$4,$G223:$BQ223)))"),-0.12243310874999998)</f>
        <v>-0.1224331088</v>
      </c>
      <c r="CG223" s="207" t="str">
        <f>IFERROR(__xludf.DUMMYFUNCTION("IF(OR(CF223&gt;$BS223+$BT223*$BT$2,CF223&lt;$BS223-$BT223*$BT$2),AVEDEV(ARRAYFORMULA(XLOOKUP(FILTER(INDIRECT(""'""&amp;CF$1&amp;""'!$C$4:$C$66""),INDIRECT(""'""&amp;CF$1&amp;""'!$D$4:$D$66"")=CF$2),$G$4:$BQ$4,$G223:$BQ223))),"""")"),"")</f>
        <v/>
      </c>
      <c r="CH223" s="208" t="str">
        <f t="shared" si="11"/>
        <v/>
      </c>
      <c r="CI223" s="207">
        <f>IFERROR(__xludf.DUMMYFUNCTION("AVERAGE(ARRAYFORMULA(XLOOKUP(FILTER(INDIRECT(""'""&amp;CI$1&amp;""'!$C$4:$C$66""),INDIRECT(""'""&amp;CI$1&amp;""'!$D$4:$D$66"")=CI$2),$G$4:$BQ$4,$G223:$BQ223)))"),-0.029226967096774192)</f>
        <v>-0.0292269671</v>
      </c>
      <c r="CJ223" s="207" t="str">
        <f>IFERROR(__xludf.DUMMYFUNCTION("IF(OR(CI223&gt;$BS223+$BT223*$BT$2,CI223&lt;$BS223-$BT223*$BT$2),AVEDEV(ARRAYFORMULA(XLOOKUP(FILTER(INDIRECT(""'""&amp;CI$1&amp;""'!$C$4:$C$66""),INDIRECT(""'""&amp;CI$1&amp;""'!$D$4:$D$66"")=CI$2),$G$4:$BQ$4,$G223:$BQ223))),"""")"),"")</f>
        <v/>
      </c>
      <c r="CK223" s="208" t="str">
        <f t="shared" si="12"/>
        <v/>
      </c>
      <c r="CL223" s="207">
        <f>IFERROR(__xludf.DUMMYFUNCTION("AVERAGE(ARRAYFORMULA(XLOOKUP(FILTER(INDIRECT(""'""&amp;CL$1&amp;""'!$C$4:$C$66""),INDIRECT(""'""&amp;CL$1&amp;""'!$D$4:$D$66"")=CL$2),$G$4:$BQ$4,$G223:$BQ223)))"),0.25239578199999996)</f>
        <v>0.252395782</v>
      </c>
      <c r="CM223" s="207" t="str">
        <f>IFERROR(__xludf.DUMMYFUNCTION("IF(OR(CL223&gt;$BS223+$BT223*$BT$2,CL223&lt;$BS223-$BT223*$BT$2),AVEDEV(ARRAYFORMULA(XLOOKUP(FILTER(INDIRECT(""'""&amp;CL$1&amp;""'!$C$4:$C$66""),INDIRECT(""'""&amp;CL$1&amp;""'!$D$4:$D$66"")=CL$2),$G$4:$BQ$4,$G223:$BQ223))),"""")"),"")</f>
        <v/>
      </c>
      <c r="CN223" s="208" t="str">
        <f t="shared" si="13"/>
        <v/>
      </c>
      <c r="CO223" s="209" t="s">
        <v>444</v>
      </c>
      <c r="CP223" s="210">
        <f>IFERROR(__xludf.DUMMYFUNCTION("AVERAGE(ARRAYFORMULA(XLOOKUP(FILTER(INDIRECT(""'""&amp;CP$1&amp;""'!$C$4:$C$66""),INDIRECT(""'""&amp;CP$1&amp;""'!$D$4:$D$66"")=CP$2),$G$4:$BQ$4,$G223:$BQ223)))"),-0.2661688466666667)</f>
        <v>-0.2661688467</v>
      </c>
      <c r="CQ223" s="207" t="str">
        <f>IFERROR(__xludf.DUMMYFUNCTION("IF(OR(CP223&gt;$BS223+$BT223*$BT$2,CP223&lt;$BS223-$BT223*$BT$2),AVEDEV(ARRAYFORMULA(XLOOKUP(FILTER(INDIRECT(""'""&amp;CP$1&amp;""'!$C$4:$C$66""),INDIRECT(""'""&amp;CP$1&amp;""'!$D$4:$D$66"")=CP$2),$G$4:$BQ$4,$G223:$BQ223))),"""")"),"")</f>
        <v/>
      </c>
      <c r="CR223" s="208" t="str">
        <f t="shared" si="14"/>
        <v/>
      </c>
      <c r="CS223" s="210">
        <f>IFERROR(__xludf.DUMMYFUNCTION("AVERAGE(ARRAYFORMULA(XLOOKUP(FILTER(INDIRECT(""'""&amp;CS$1&amp;""'!$C$4:$C$66""),INDIRECT(""'""&amp;CS$1&amp;""'!$D$4:$D$66"")=CS$2),$G$4:$BQ$4,$G223:$BQ223)))"),-0.08102372435897438)</f>
        <v>-0.08102372436</v>
      </c>
      <c r="CT223" s="207" t="str">
        <f>IFERROR(__xludf.DUMMYFUNCTION("IF(OR(CS223&gt;$BS223+$BT223*$BT$2,CS223&lt;$BS223-$BT223*$BT$2),AVEDEV(ARRAYFORMULA(XLOOKUP(FILTER(INDIRECT(""'""&amp;CS$1&amp;""'!$C$4:$C$66""),INDIRECT(""'""&amp;CS$1&amp;""'!$D$4:$D$66"")=CS$2),$G$4:$BQ$4,$G223:$BQ223))),"""")"),"")</f>
        <v/>
      </c>
      <c r="CU223" s="208" t="str">
        <f t="shared" si="15"/>
        <v/>
      </c>
      <c r="CV223" s="210">
        <f>IFERROR(__xludf.DUMMYFUNCTION("AVERAGE(ARRAYFORMULA(XLOOKUP(FILTER(INDIRECT(""'""&amp;CV$1&amp;""'!$C$4:$C$66""),INDIRECT(""'""&amp;CV$1&amp;""'!$D$4:$D$66"")=CV$2),$G$4:$BQ$4,$G223:$BQ223)))"),0.25239578199999996)</f>
        <v>0.252395782</v>
      </c>
      <c r="CW223" s="207" t="str">
        <f>IFERROR(__xludf.DUMMYFUNCTION("IF(OR(CV223&gt;$BS223+$BT223*$BT$2,CV223&lt;$BS223-$BT223*$BT$2),AVEDEV(ARRAYFORMULA(XLOOKUP(FILTER(INDIRECT(""'""&amp;CV$1&amp;""'!$C$4:$C$66""),INDIRECT(""'""&amp;CV$1&amp;""'!$D$4:$D$66"")=CV$2),$G$4:$BQ$4,$G223:$BQ223))),"""")"),"")</f>
        <v/>
      </c>
      <c r="CX223" s="208" t="str">
        <f t="shared" si="16"/>
        <v/>
      </c>
      <c r="CY223" s="209" t="s">
        <v>444</v>
      </c>
      <c r="CZ223" s="210">
        <f>IFERROR(__xludf.DUMMYFUNCTION("AVERAGE(ARRAYFORMULA(XLOOKUP(FILTER(INDIRECT(""'""&amp;CZ$1&amp;""'!$C$4:$C$66""),INDIRECT(""'""&amp;CZ$1&amp;""'!$D$4:$D$66"")=CZ$2),$G$4:$BQ$4,$G223:$BQ223)))"),0.09609743)</f>
        <v>0.09609743</v>
      </c>
      <c r="DA223" s="207" t="str">
        <f>IFERROR(__xludf.DUMMYFUNCTION("IF(OR(CZ223&gt;$BS223+$BT223*$BT$2,CZ223&lt;$BS223-$BT223*$BT$2),AVEDEV(ARRAYFORMULA(XLOOKUP(FILTER(INDIRECT(""'""&amp;CZ$1&amp;""'!$C$4:$C$66""),INDIRECT(""'""&amp;CZ$1&amp;""'!$D$4:$D$66"")=CZ$2),$G$4:$BQ$4,$G223:$BQ223))),"""")"),"")</f>
        <v/>
      </c>
      <c r="DB223" s="208" t="str">
        <f t="shared" si="17"/>
        <v/>
      </c>
      <c r="DC223" s="210">
        <f>IFERROR(__xludf.DUMMYFUNCTION("AVERAGE(ARRAYFORMULA(XLOOKUP(FILTER(INDIRECT(""'""&amp;DC$1&amp;""'!$C$4:$C$66""),INDIRECT(""'""&amp;DC$1&amp;""'!$D$4:$D$66"")=DC$2),$G$4:$BQ$4,$G223:$BQ223)))"),0.18364102666666665)</f>
        <v>0.1836410267</v>
      </c>
      <c r="DD223" s="207" t="str">
        <f>IFERROR(__xludf.DUMMYFUNCTION("IF(OR(DC223&gt;$BS223+$BT223*$BT$2,DC223&lt;$BS223-$BT223*$BT$2),AVEDEV(ARRAYFORMULA(XLOOKUP(FILTER(INDIRECT(""'""&amp;DC$1&amp;""'!$C$4:$C$66""),INDIRECT(""'""&amp;DC$1&amp;""'!$D$4:$D$66"")=DC$2),$G$4:$BQ$4,$G223:$BQ223))),"""")"),"")</f>
        <v/>
      </c>
      <c r="DE223" s="208" t="str">
        <f t="shared" si="18"/>
        <v/>
      </c>
      <c r="DF223" s="210">
        <f>IFERROR(__xludf.DUMMYFUNCTION("AVERAGE(ARRAYFORMULA(XLOOKUP(FILTER(INDIRECT(""'""&amp;DF$1&amp;""'!$C$4:$C$66""),INDIRECT(""'""&amp;DF$1&amp;""'!$D$4:$D$66"")=DF$2),$G$4:$BQ$4,$G223:$BQ223)))"),0.06924251909090909)</f>
        <v>0.06924251909</v>
      </c>
      <c r="DG223" s="207" t="str">
        <f>IFERROR(__xludf.DUMMYFUNCTION("IF(OR(DF223&gt;$BS223+$BT223*$BT$2,DF223&lt;$BS223-$BT223*$BT$2),AVEDEV(ARRAYFORMULA(XLOOKUP(FILTER(INDIRECT(""'""&amp;DF$1&amp;""'!$C$4:$C$66""),INDIRECT(""'""&amp;DF$1&amp;""'!$D$4:$D$66"")=DF$2),$G$4:$BQ$4,$G223:$BQ223))),"""")"),"")</f>
        <v/>
      </c>
      <c r="DH223" s="208" t="str">
        <f t="shared" si="19"/>
        <v/>
      </c>
      <c r="DI223" s="210">
        <f>IFERROR(__xludf.DUMMYFUNCTION("AVERAGE(ARRAYFORMULA(XLOOKUP(FILTER(INDIRECT(""'""&amp;DI$1&amp;""'!$C$4:$C$66""),INDIRECT(""'""&amp;DI$1&amp;""'!$D$4:$D$66"")=DI$2),$G$4:$BQ$4,$G223:$BQ223)))"),0.9620410749999999)</f>
        <v>0.962041075</v>
      </c>
      <c r="DJ223" s="207">
        <f>IFERROR(__xludf.DUMMYFUNCTION("IF(OR(DI223&gt;$BS223+$BT223*$BT$2,DI223&lt;$BS223-$BT223*$BT$2),AVEDEV(ARRAYFORMULA(XLOOKUP(FILTER(INDIRECT(""'""&amp;DI$1&amp;""'!$C$4:$C$66""),INDIRECT(""'""&amp;DI$1&amp;""'!$D$4:$D$66"")=DI$2),$G$4:$BQ$4,$G223:$BQ223))),"""")"),0.08214063499999996)</f>
        <v>0.082140635</v>
      </c>
      <c r="DK223" s="208">
        <f t="shared" si="20"/>
        <v>0.3149122604</v>
      </c>
      <c r="DL223" s="210">
        <f>IFERROR(__xludf.DUMMYFUNCTION("AVERAGE(ARRAYFORMULA(XLOOKUP(FILTER(INDIRECT(""'""&amp;DL$1&amp;""'!$C$4:$C$66""),INDIRECT(""'""&amp;DL$1&amp;""'!$D$4:$D$66"")=DL$2),$G$4:$BQ$4,$G223:$BQ223)))"),-0.5035114278571429)</f>
        <v>-0.5035114279</v>
      </c>
      <c r="DM223" s="207" t="str">
        <f>IFERROR(__xludf.DUMMYFUNCTION("IF(OR(DL223&gt;$BS223+$BT223*$BT$2,DL223&lt;$BS223-$BT223*$BT$2),AVEDEV(ARRAYFORMULA(XLOOKUP(FILTER(INDIRECT(""'""&amp;DL$1&amp;""'!$C$4:$C$66""),INDIRECT(""'""&amp;DL$1&amp;""'!$D$4:$D$66"")=DL$2),$G$4:$BQ$4,$G223:$BQ223))),"""")"),"")</f>
        <v/>
      </c>
      <c r="DN223" s="208" t="str">
        <f t="shared" si="21"/>
        <v/>
      </c>
      <c r="DO223" s="209" t="s">
        <v>444</v>
      </c>
      <c r="DP223" s="210">
        <f>IFERROR(__xludf.DUMMYFUNCTION("AVERAGE(ARRAYFORMULA(XLOOKUP(FILTER(INDIRECT(""'""&amp;DP$1&amp;""'!$C$4:$C$66""),INDIRECT(""'""&amp;DP$1&amp;""'!$D$4:$D$66"")=DP$2),$G$4:$BQ$4,$G223:$BQ223)))"),-0.13391412833333335)</f>
        <v>-0.1339141283</v>
      </c>
      <c r="DQ223" s="207" t="str">
        <f>IFERROR(__xludf.DUMMYFUNCTION("IF(OR(DP223&gt;$BS223+$BT223*$BT$2,DP223&lt;$BS223-$BT223*$BT$2),AVEDEV(ARRAYFORMULA(XLOOKUP(FILTER(INDIRECT(""'""&amp;DP$1&amp;""'!$C$4:$C$66""),INDIRECT(""'""&amp;DP$1&amp;""'!$D$4:$D$66"")=DP$2),$G$4:$BQ$4,$G223:$BQ223))),"""")"),"")</f>
        <v/>
      </c>
      <c r="DR223" s="208" t="str">
        <f t="shared" si="22"/>
        <v/>
      </c>
      <c r="DS223" s="210">
        <f>IFERROR(__xludf.DUMMYFUNCTION("AVERAGE(ARRAYFORMULA(XLOOKUP(FILTER(INDIRECT(""'""&amp;DS$1&amp;""'!$C$4:$C$66""),INDIRECT(""'""&amp;DS$1&amp;""'!$D$4:$D$66"")=DS$2),$G$4:$BQ$4,$G223:$BQ223)))"),0.022263721111111093)</f>
        <v>0.02226372111</v>
      </c>
      <c r="DT223" s="207" t="str">
        <f>IFERROR(__xludf.DUMMYFUNCTION("IF(OR(DS223&gt;$BS223+$BT223*$BT$2,DS223&lt;$BS223-$BT223*$BT$2),AVEDEV(ARRAYFORMULA(XLOOKUP(FILTER(INDIRECT(""'""&amp;DS$1&amp;""'!$C$4:$C$66""),INDIRECT(""'""&amp;DS$1&amp;""'!$D$4:$D$66"")=DS$2),$G$4:$BQ$4,$G223:$BQ223))),"""")"),"")</f>
        <v/>
      </c>
      <c r="DU223" s="208" t="str">
        <f t="shared" si="23"/>
        <v/>
      </c>
      <c r="DV223" s="210">
        <f>IFERROR(__xludf.DUMMYFUNCTION("AVERAGE(ARRAYFORMULA(XLOOKUP(FILTER(INDIRECT(""'""&amp;DV$1&amp;""'!$C$4:$C$66""),INDIRECT(""'""&amp;DV$1&amp;""'!$D$4:$D$66"")=DV$2),$G$4:$BQ$4,$G223:$BQ223)))"),-0.6555693787500001)</f>
        <v>-0.6555693788</v>
      </c>
      <c r="DW223" s="207" t="str">
        <f>IFERROR(__xludf.DUMMYFUNCTION("IF(OR(DV223&gt;$BS223+$BT223*$BT$2,DV223&lt;$BS223-$BT223*$BT$2),AVEDEV(ARRAYFORMULA(XLOOKUP(FILTER(INDIRECT(""'""&amp;DV$1&amp;""'!$C$4:$C$66""),INDIRECT(""'""&amp;DV$1&amp;""'!$D$4:$D$66"")=DV$2),$G$4:$BQ$4,$G223:$BQ223))),"""")"),"")</f>
        <v/>
      </c>
      <c r="DX223" s="208" t="str">
        <f t="shared" si="24"/>
        <v/>
      </c>
      <c r="DY223" s="210">
        <f>IFERROR(__xludf.DUMMYFUNCTION("AVERAGE(ARRAYFORMULA(XLOOKUP(FILTER(INDIRECT(""'""&amp;DY$1&amp;""'!$C$4:$C$66""),INDIRECT(""'""&amp;DY$1&amp;""'!$D$4:$D$66"")=DY$2),$G$4:$BQ$4,$G223:$BQ223)))"),0.8586047166666666)</f>
        <v>0.8586047167</v>
      </c>
      <c r="DZ223" s="207">
        <f>IFERROR(__xludf.DUMMYFUNCTION("IF(OR(DY223&gt;$BS223+$BT223*$BT$2,DY223&lt;$BS223-$BT223*$BT$2),AVEDEV(ARRAYFORMULA(XLOOKUP(FILTER(INDIRECT(""'""&amp;DY$1&amp;""'!$C$4:$C$66""),INDIRECT(""'""&amp;DY$1&amp;""'!$D$4:$D$66"")=DY$2),$G$4:$BQ$4,$G223:$BQ223))),"""")"),0.434088517037037)</f>
        <v>0.434088517</v>
      </c>
      <c r="EA223" s="208">
        <f t="shared" si="25"/>
        <v>0.211475902</v>
      </c>
      <c r="EB223" s="191"/>
    </row>
    <row r="224" outlineLevel="1">
      <c r="A224" s="2"/>
      <c r="B224" s="204">
        <v>220.0</v>
      </c>
      <c r="C224" s="204" t="s">
        <v>646</v>
      </c>
      <c r="D224" s="204" t="s">
        <v>669</v>
      </c>
      <c r="E224" s="205" t="b">
        <f>VLOOKUP(D224,'Feature Set List'!A220:C246,2,0)</f>
        <v>1</v>
      </c>
      <c r="F224" s="205" t="b">
        <f>VLOOKUP(D224,'Feature Set List'!A220:C246,3,0)</f>
        <v>1</v>
      </c>
      <c r="G224" s="205">
        <v>0.0</v>
      </c>
      <c r="H224" s="205">
        <v>-0.4662522</v>
      </c>
      <c r="I224" s="205">
        <v>-0.9410302</v>
      </c>
      <c r="J224" s="205">
        <v>-0.0563055</v>
      </c>
      <c r="K224" s="205">
        <v>-0.0904085</v>
      </c>
      <c r="L224" s="205">
        <v>0.2642984</v>
      </c>
      <c r="M224" s="205">
        <v>-0.5390764</v>
      </c>
      <c r="N224" s="205">
        <v>-0.3307282</v>
      </c>
      <c r="O224" s="205">
        <v>0.44635879</v>
      </c>
      <c r="P224" s="205">
        <v>-0.0714032</v>
      </c>
      <c r="Q224" s="205">
        <v>0.66731794</v>
      </c>
      <c r="R224" s="205">
        <v>-0.357016</v>
      </c>
      <c r="S224" s="205">
        <v>0.84333925</v>
      </c>
      <c r="T224" s="205">
        <v>-0.1902309</v>
      </c>
      <c r="U224" s="205">
        <v>0.81669627</v>
      </c>
      <c r="V224" s="205">
        <v>1.21989343</v>
      </c>
      <c r="W224" s="205">
        <v>-0.3474245</v>
      </c>
      <c r="X224" s="205">
        <v>13.3690941</v>
      </c>
      <c r="Y224" s="205">
        <v>-0.1024867</v>
      </c>
      <c r="Z224" s="205">
        <v>3.07424512</v>
      </c>
      <c r="AA224" s="205">
        <v>2.82380107</v>
      </c>
      <c r="AB224" s="205">
        <v>1.22166963</v>
      </c>
      <c r="AC224" s="205">
        <v>0.25293073</v>
      </c>
      <c r="AD224" s="205">
        <v>-0.1431616</v>
      </c>
      <c r="AE224" s="205">
        <v>1.24120782</v>
      </c>
      <c r="AF224" s="205">
        <v>-0.2259325</v>
      </c>
      <c r="AG224" s="205">
        <v>0.0259325</v>
      </c>
      <c r="AH224" s="205">
        <v>1.17548845</v>
      </c>
      <c r="AI224" s="205">
        <v>-0.3809947</v>
      </c>
      <c r="AJ224" s="205">
        <v>-0.7596803</v>
      </c>
      <c r="AK224" s="205">
        <v>-0.0953819</v>
      </c>
      <c r="AL224" s="205">
        <v>-0.3994671</v>
      </c>
      <c r="AM224" s="205">
        <v>-0.685968</v>
      </c>
      <c r="AN224" s="205">
        <v>-0.168206</v>
      </c>
      <c r="AO224" s="205">
        <v>1.96589698</v>
      </c>
      <c r="AP224" s="205">
        <v>-0.0154529</v>
      </c>
      <c r="AQ224" s="205">
        <v>1.20923623</v>
      </c>
      <c r="AR224" s="205">
        <v>1.9410302</v>
      </c>
      <c r="AS224" s="205">
        <v>0.43854352</v>
      </c>
      <c r="AT224" s="205">
        <v>1.83978686</v>
      </c>
      <c r="AU224" s="205">
        <v>-0.4571936</v>
      </c>
      <c r="AV224" s="205">
        <v>-0.0273535</v>
      </c>
      <c r="AW224" s="205">
        <v>-0.6618117</v>
      </c>
      <c r="AX224" s="205">
        <v>0.48827709</v>
      </c>
      <c r="AY224" s="205">
        <v>0.71190053</v>
      </c>
      <c r="AZ224" s="205">
        <v>0.35257549</v>
      </c>
      <c r="BA224" s="205">
        <v>-0.3932504</v>
      </c>
      <c r="BB224" s="205">
        <v>3.52007105</v>
      </c>
      <c r="BC224" s="205">
        <v>0.05079929</v>
      </c>
      <c r="BD224" s="205">
        <v>-0.5412078</v>
      </c>
      <c r="BE224" s="205">
        <v>0.0259325</v>
      </c>
      <c r="BF224" s="205">
        <v>0.60852575</v>
      </c>
      <c r="BG224" s="205">
        <v>-0.2900533</v>
      </c>
      <c r="BH224" s="205">
        <v>-0.2694494</v>
      </c>
      <c r="BI224" s="205">
        <v>-0.1850799</v>
      </c>
      <c r="BJ224" s="205">
        <v>0.1964476</v>
      </c>
      <c r="BK224" s="205">
        <v>0.18419183</v>
      </c>
      <c r="BL224" s="205">
        <v>-1.0571936</v>
      </c>
      <c r="BM224" s="205">
        <v>3.29271758</v>
      </c>
      <c r="BN224" s="205">
        <v>-0.6813499</v>
      </c>
      <c r="BO224" s="205">
        <v>0.07726465</v>
      </c>
      <c r="BP224" s="205">
        <v>-0.1003552</v>
      </c>
      <c r="BQ224" s="205">
        <v>0.12397869</v>
      </c>
      <c r="BR224" s="206"/>
      <c r="BS224" s="207">
        <f t="shared" si="6"/>
        <v>0.5307705356</v>
      </c>
      <c r="BT224" s="207">
        <f t="shared" si="7"/>
        <v>1.015493607</v>
      </c>
      <c r="BU224" s="206"/>
      <c r="BV224" s="207">
        <f>IFERROR(__xludf.DUMMYFUNCTION("AVERAGE(ARRAYFORMULA(XLOOKUP(FILTER(INDIRECT(""'""&amp;BV$1&amp;""'!$C$4:$C$66""),INDIRECT(""'""&amp;BV$1&amp;""'!$D$4:$D$66"")=BV$2),$G$4:$BQ$4,$G224:$BQ224)))"),2.7646282614285718)</f>
        <v>2.764628261</v>
      </c>
      <c r="BW224" s="207">
        <f>IFERROR(__xludf.DUMMYFUNCTION("IF(OR(BV224&gt;$BS224+$BT224*$BT$2,BV224&lt;$BS224-$BT224*$BT$2),AVEDEV(ARRAYFORMULA(XLOOKUP(FILTER(INDIRECT(""'""&amp;BV$1&amp;""'!$C$4:$C$66""),INDIRECT(""'""&amp;BV$1&amp;""'!$D$4:$D$66"")=BV$2),$G$4:$BQ$4,$G224:$BQ224))),"""")"),3.2456881791836736)</f>
        <v>3.245688179</v>
      </c>
      <c r="BX224" s="208" t="str">
        <f t="shared" si="8"/>
        <v/>
      </c>
      <c r="BY224" s="207">
        <f>IFERROR(__xludf.DUMMYFUNCTION("AVERAGE(ARRAYFORMULA(XLOOKUP(FILTER(INDIRECT(""'""&amp;BY$1&amp;""'!$C$4:$C$66""),INDIRECT(""'""&amp;BY$1&amp;""'!$D$4:$D$66"")=BY$2),$G$4:$BQ$4,$G224:$BQ224)))"),0.33299501523809516)</f>
        <v>0.3329950152</v>
      </c>
      <c r="BZ224" s="207" t="str">
        <f>IFERROR(__xludf.DUMMYFUNCTION("IF(OR(BY224&gt;$BS224+$BT224*$BT$2,BY224&lt;$BS224-$BT224*$BT$2),AVEDEV(ARRAYFORMULA(XLOOKUP(FILTER(INDIRECT(""'""&amp;BY$1&amp;""'!$C$4:$C$66""),INDIRECT(""'""&amp;BY$1&amp;""'!$D$4:$D$66"")=BY$2),$G$4:$BQ$4,$G224:$BQ224))),"""")"),"")</f>
        <v/>
      </c>
      <c r="CA224" s="208" t="str">
        <f t="shared" si="9"/>
        <v/>
      </c>
      <c r="CB224" s="207">
        <f>IFERROR(__xludf.DUMMYFUNCTION("AVERAGE(ARRAYFORMULA(XLOOKUP(FILTER(INDIRECT(""'""&amp;CB$1&amp;""'!$C$4:$C$66""),INDIRECT(""'""&amp;CB$1&amp;""'!$D$4:$D$66"")=CB$2),$G$4:$BQ$4,$G224:$BQ224)))"),0.18543517000000007)</f>
        <v>0.18543517</v>
      </c>
      <c r="CC224" s="207" t="str">
        <f>IFERROR(__xludf.DUMMYFUNCTION("IF(OR(CB224&gt;$BS224+$BT224*$BT$2,CB224&lt;$BS224-$BT224*$BT$2),AVEDEV(ARRAYFORMULA(XLOOKUP(FILTER(INDIRECT(""'""&amp;CB$1&amp;""'!$C$4:$C$66""),INDIRECT(""'""&amp;CB$1&amp;""'!$D$4:$D$66"")=CB$2),$G$4:$BQ$4,$G224:$BQ224))),"""")"),"")</f>
        <v/>
      </c>
      <c r="CD224" s="208" t="str">
        <f t="shared" si="10"/>
        <v/>
      </c>
      <c r="CE224" s="209" t="s">
        <v>444</v>
      </c>
      <c r="CF224" s="207">
        <f>IFERROR(__xludf.DUMMYFUNCTION("AVERAGE(ARRAYFORMULA(XLOOKUP(FILTER(INDIRECT(""'""&amp;CF$1&amp;""'!$C$4:$C$66""),INDIRECT(""'""&amp;CF$1&amp;""'!$D$4:$D$66"")=CF$2),$G$4:$BQ$4,$G224:$BQ224)))"),0.524000894375)</f>
        <v>0.5240008944</v>
      </c>
      <c r="CG224" s="207" t="str">
        <f>IFERROR(__xludf.DUMMYFUNCTION("IF(OR(CF224&gt;$BS224+$BT224*$BT$2,CF224&lt;$BS224-$BT224*$BT$2),AVEDEV(ARRAYFORMULA(XLOOKUP(FILTER(INDIRECT(""'""&amp;CF$1&amp;""'!$C$4:$C$66""),INDIRECT(""'""&amp;CF$1&amp;""'!$D$4:$D$66"")=CF$2),$G$4:$BQ$4,$G224:$BQ224))),"""")"),"")</f>
        <v/>
      </c>
      <c r="CH224" s="208" t="str">
        <f t="shared" si="11"/>
        <v/>
      </c>
      <c r="CI224" s="207">
        <f>IFERROR(__xludf.DUMMYFUNCTION("AVERAGE(ARRAYFORMULA(XLOOKUP(FILTER(INDIRECT(""'""&amp;CI$1&amp;""'!$C$4:$C$66""),INDIRECT(""'""&amp;CI$1&amp;""'!$D$4:$D$66"")=CI$2),$G$4:$BQ$4,$G224:$BQ224)))"),0.23946026806451612)</f>
        <v>0.2394602681</v>
      </c>
      <c r="CJ224" s="207" t="str">
        <f>IFERROR(__xludf.DUMMYFUNCTION("IF(OR(CI224&gt;$BS224+$BT224*$BT$2,CI224&lt;$BS224-$BT224*$BT$2),AVEDEV(ARRAYFORMULA(XLOOKUP(FILTER(INDIRECT(""'""&amp;CI$1&amp;""'!$C$4:$C$66""),INDIRECT(""'""&amp;CI$1&amp;""'!$D$4:$D$66"")=CI$2),$G$4:$BQ$4,$G224:$BQ224))),"""")"),"")</f>
        <v/>
      </c>
      <c r="CK224" s="208" t="str">
        <f t="shared" si="12"/>
        <v/>
      </c>
      <c r="CL224" s="207">
        <f>IFERROR(__xludf.DUMMYFUNCTION("AVERAGE(ARRAYFORMULA(XLOOKUP(FILTER(INDIRECT(""'""&amp;CL$1&amp;""'!$C$4:$C$66""),INDIRECT(""'""&amp;CL$1&amp;""'!$D$4:$D$66"")=CL$2),$G$4:$BQ$4,$G224:$BQ224)))"),-0.101278856)</f>
        <v>-0.101278856</v>
      </c>
      <c r="CM224" s="207" t="str">
        <f>IFERROR(__xludf.DUMMYFUNCTION("IF(OR(CL224&gt;$BS224+$BT224*$BT$2,CL224&lt;$BS224-$BT224*$BT$2),AVEDEV(ARRAYFORMULA(XLOOKUP(FILTER(INDIRECT(""'""&amp;CL$1&amp;""'!$C$4:$C$66""),INDIRECT(""'""&amp;CL$1&amp;""'!$D$4:$D$66"")=CL$2),$G$4:$BQ$4,$G224:$BQ224))),"""")"),"")</f>
        <v/>
      </c>
      <c r="CN224" s="208" t="str">
        <f t="shared" si="13"/>
        <v/>
      </c>
      <c r="CO224" s="209" t="s">
        <v>444</v>
      </c>
      <c r="CP224" s="210">
        <f>IFERROR(__xludf.DUMMYFUNCTION("AVERAGE(ARRAYFORMULA(XLOOKUP(FILTER(INDIRECT(""'""&amp;CP$1&amp;""'!$C$4:$C$66""),INDIRECT(""'""&amp;CP$1&amp;""'!$D$4:$D$66"")=CP$2),$G$4:$BQ$4,$G224:$BQ224)))"),1.9482297206666666)</f>
        <v>1.948229721</v>
      </c>
      <c r="CQ224" s="207">
        <f>IFERROR(__xludf.DUMMYFUNCTION("IF(OR(CP224&gt;$BS224+$BT224*$BT$2,CP224&lt;$BS224-$BT224*$BT$2),AVEDEV(ARRAYFORMULA(XLOOKUP(FILTER(INDIRECT(""'""&amp;CP$1&amp;""'!$C$4:$C$66""),INDIRECT(""'""&amp;CP$1&amp;""'!$D$4:$D$66"")=CP$2),$G$4:$BQ$4,$G224:$BQ224))),"""")"),2.0283686556444445)</f>
        <v>2.028368656</v>
      </c>
      <c r="CR224" s="208" t="str">
        <f t="shared" si="14"/>
        <v/>
      </c>
      <c r="CS224" s="210">
        <f>IFERROR(__xludf.DUMMYFUNCTION("AVERAGE(ARRAYFORMULA(XLOOKUP(FILTER(INDIRECT(""'""&amp;CS$1&amp;""'!$C$4:$C$66""),INDIRECT(""'""&amp;CS$1&amp;""'!$D$4:$D$66"")=CS$2),$G$4:$BQ$4,$G224:$BQ224)))"),0.19790044641025636)</f>
        <v>0.1979004464</v>
      </c>
      <c r="CT224" s="207" t="str">
        <f>IFERROR(__xludf.DUMMYFUNCTION("IF(OR(CS224&gt;$BS224+$BT224*$BT$2,CS224&lt;$BS224-$BT224*$BT$2),AVEDEV(ARRAYFORMULA(XLOOKUP(FILTER(INDIRECT(""'""&amp;CS$1&amp;""'!$C$4:$C$66""),INDIRECT(""'""&amp;CS$1&amp;""'!$D$4:$D$66"")=CS$2),$G$4:$BQ$4,$G224:$BQ224))),"""")"),"")</f>
        <v/>
      </c>
      <c r="CU224" s="208" t="str">
        <f t="shared" si="15"/>
        <v/>
      </c>
      <c r="CV224" s="210">
        <f>IFERROR(__xludf.DUMMYFUNCTION("AVERAGE(ARRAYFORMULA(XLOOKUP(FILTER(INDIRECT(""'""&amp;CV$1&amp;""'!$C$4:$C$66""),INDIRECT(""'""&amp;CV$1&amp;""'!$D$4:$D$66"")=CV$2),$G$4:$BQ$4,$G224:$BQ224)))"),-0.101278856)</f>
        <v>-0.101278856</v>
      </c>
      <c r="CW224" s="207" t="str">
        <f>IFERROR(__xludf.DUMMYFUNCTION("IF(OR(CV224&gt;$BS224+$BT224*$BT$2,CV224&lt;$BS224-$BT224*$BT$2),AVEDEV(ARRAYFORMULA(XLOOKUP(FILTER(INDIRECT(""'""&amp;CV$1&amp;""'!$C$4:$C$66""),INDIRECT(""'""&amp;CV$1&amp;""'!$D$4:$D$66"")=CV$2),$G$4:$BQ$4,$G224:$BQ224))),"""")"),"")</f>
        <v/>
      </c>
      <c r="CX224" s="208" t="str">
        <f t="shared" si="16"/>
        <v/>
      </c>
      <c r="CY224" s="209" t="s">
        <v>444</v>
      </c>
      <c r="CZ224" s="210">
        <f>IFERROR(__xludf.DUMMYFUNCTION("AVERAGE(ARRAYFORMULA(XLOOKUP(FILTER(INDIRECT(""'""&amp;CZ$1&amp;""'!$C$4:$C$66""),INDIRECT(""'""&amp;CZ$1&amp;""'!$D$4:$D$66"")=CZ$2),$G$4:$BQ$4,$G224:$BQ224)))"),0.14875666857142858)</f>
        <v>0.1487566686</v>
      </c>
      <c r="DA224" s="207" t="str">
        <f>IFERROR(__xludf.DUMMYFUNCTION("IF(OR(CZ224&gt;$BS224+$BT224*$BT$2,CZ224&lt;$BS224-$BT224*$BT$2),AVEDEV(ARRAYFORMULA(XLOOKUP(FILTER(INDIRECT(""'""&amp;CZ$1&amp;""'!$C$4:$C$66""),INDIRECT(""'""&amp;CZ$1&amp;""'!$D$4:$D$66"")=CZ$2),$G$4:$BQ$4,$G224:$BQ224))),"""")"),"")</f>
        <v/>
      </c>
      <c r="DB224" s="208" t="str">
        <f t="shared" si="17"/>
        <v/>
      </c>
      <c r="DC224" s="210">
        <f>IFERROR(__xludf.DUMMYFUNCTION("AVERAGE(ARRAYFORMULA(XLOOKUP(FILTER(INDIRECT(""'""&amp;DC$1&amp;""'!$C$4:$C$66""),INDIRECT(""'""&amp;DC$1&amp;""'!$D$4:$D$66"")=DC$2),$G$4:$BQ$4,$G224:$BQ224)))"),-0.1783895777777778)</f>
        <v>-0.1783895778</v>
      </c>
      <c r="DD224" s="207" t="str">
        <f>IFERROR(__xludf.DUMMYFUNCTION("IF(OR(DC224&gt;$BS224+$BT224*$BT$2,DC224&lt;$BS224-$BT224*$BT$2),AVEDEV(ARRAYFORMULA(XLOOKUP(FILTER(INDIRECT(""'""&amp;DC$1&amp;""'!$C$4:$C$66""),INDIRECT(""'""&amp;DC$1&amp;""'!$D$4:$D$66"")=DC$2),$G$4:$BQ$4,$G224:$BQ224))),"""")"),"")</f>
        <v/>
      </c>
      <c r="DE224" s="208" t="str">
        <f t="shared" si="18"/>
        <v/>
      </c>
      <c r="DF224" s="210">
        <f>IFERROR(__xludf.DUMMYFUNCTION("AVERAGE(ARRAYFORMULA(XLOOKUP(FILTER(INDIRECT(""'""&amp;DF$1&amp;""'!$C$4:$C$66""),INDIRECT(""'""&amp;DF$1&amp;""'!$D$4:$D$66"")=DF$2),$G$4:$BQ$4,$G224:$BQ224)))"),0.6894073936363637)</f>
        <v>0.6894073936</v>
      </c>
      <c r="DG224" s="207" t="str">
        <f>IFERROR(__xludf.DUMMYFUNCTION("IF(OR(DF224&gt;$BS224+$BT224*$BT$2,DF224&lt;$BS224-$BT224*$BT$2),AVEDEV(ARRAYFORMULA(XLOOKUP(FILTER(INDIRECT(""'""&amp;DF$1&amp;""'!$C$4:$C$66""),INDIRECT(""'""&amp;DF$1&amp;""'!$D$4:$D$66"")=DF$2),$G$4:$BQ$4,$G224:$BQ224))),"""")"),"")</f>
        <v/>
      </c>
      <c r="DH224" s="208" t="str">
        <f t="shared" si="19"/>
        <v/>
      </c>
      <c r="DI224" s="210">
        <f>IFERROR(__xludf.DUMMYFUNCTION("AVERAGE(ARRAYFORMULA(XLOOKUP(FILTER(INDIRECT(""'""&amp;DI$1&amp;""'!$C$4:$C$66""),INDIRECT(""'""&amp;DI$1&amp;""'!$D$4:$D$66"")=DI$2),$G$4:$BQ$4,$G224:$BQ224)))"),-0.2063055)</f>
        <v>-0.2063055</v>
      </c>
      <c r="DJ224" s="207" t="str">
        <f>IFERROR(__xludf.DUMMYFUNCTION("IF(OR(DI224&gt;$BS224+$BT224*$BT$2,DI224&lt;$BS224-$BT224*$BT$2),AVEDEV(ARRAYFORMULA(XLOOKUP(FILTER(INDIRECT(""'""&amp;DI$1&amp;""'!$C$4:$C$66""),INDIRECT(""'""&amp;DI$1&amp;""'!$D$4:$D$66"")=DI$2),$G$4:$BQ$4,$G224:$BQ224))),"""")"),"")</f>
        <v/>
      </c>
      <c r="DK224" s="208" t="str">
        <f t="shared" si="20"/>
        <v/>
      </c>
      <c r="DL224" s="210">
        <f>IFERROR(__xludf.DUMMYFUNCTION("AVERAGE(ARRAYFORMULA(XLOOKUP(FILTER(INDIRECT(""'""&amp;DL$1&amp;""'!$C$4:$C$66""),INDIRECT(""'""&amp;DL$1&amp;""'!$D$4:$D$66"")=DL$2),$G$4:$BQ$4,$G224:$BQ224)))"),0.33834053000000003)</f>
        <v>0.33834053</v>
      </c>
      <c r="DM224" s="207" t="str">
        <f>IFERROR(__xludf.DUMMYFUNCTION("IF(OR(DL224&gt;$BS224+$BT224*$BT$2,DL224&lt;$BS224-$BT224*$BT$2),AVEDEV(ARRAYFORMULA(XLOOKUP(FILTER(INDIRECT(""'""&amp;DL$1&amp;""'!$C$4:$C$66""),INDIRECT(""'""&amp;DL$1&amp;""'!$D$4:$D$66"")=DL$2),$G$4:$BQ$4,$G224:$BQ224))),"""")"),"")</f>
        <v/>
      </c>
      <c r="DN224" s="208" t="str">
        <f t="shared" si="21"/>
        <v/>
      </c>
      <c r="DO224" s="209" t="s">
        <v>444</v>
      </c>
      <c r="DP224" s="210">
        <f>IFERROR(__xludf.DUMMYFUNCTION("AVERAGE(ARRAYFORMULA(XLOOKUP(FILTER(INDIRECT(""'""&amp;DP$1&amp;""'!$C$4:$C$66""),INDIRECT(""'""&amp;DP$1&amp;""'!$D$4:$D$66"")=DP$2),$G$4:$BQ$4,$G224:$BQ224)))"),0.48490823699999996)</f>
        <v>0.484908237</v>
      </c>
      <c r="DQ224" s="207" t="str">
        <f>IFERROR(__xludf.DUMMYFUNCTION("IF(OR(DP224&gt;$BS224+$BT224*$BT$2,DP224&lt;$BS224-$BT224*$BT$2),AVEDEV(ARRAYFORMULA(XLOOKUP(FILTER(INDIRECT(""'""&amp;DP$1&amp;""'!$C$4:$C$66""),INDIRECT(""'""&amp;DP$1&amp;""'!$D$4:$D$66"")=DP$2),$G$4:$BQ$4,$G224:$BQ224))),"""")"),"")</f>
        <v/>
      </c>
      <c r="DR224" s="208" t="str">
        <f t="shared" si="22"/>
        <v/>
      </c>
      <c r="DS224" s="210">
        <f>IFERROR(__xludf.DUMMYFUNCTION("AVERAGE(ARRAYFORMULA(XLOOKUP(FILTER(INDIRECT(""'""&amp;DS$1&amp;""'!$C$4:$C$66""),INDIRECT(""'""&amp;DS$1&amp;""'!$D$4:$D$66"")=DS$2),$G$4:$BQ$4,$G224:$BQ224)))"),0.2209196755555556)</f>
        <v>0.2209196756</v>
      </c>
      <c r="DT224" s="207" t="str">
        <f>IFERROR(__xludf.DUMMYFUNCTION("IF(OR(DS224&gt;$BS224+$BT224*$BT$2,DS224&lt;$BS224-$BT224*$BT$2),AVEDEV(ARRAYFORMULA(XLOOKUP(FILTER(INDIRECT(""'""&amp;DS$1&amp;""'!$C$4:$C$66""),INDIRECT(""'""&amp;DS$1&amp;""'!$D$4:$D$66"")=DS$2),$G$4:$BQ$4,$G224:$BQ224))),"""")"),"")</f>
        <v/>
      </c>
      <c r="DU224" s="208" t="str">
        <f t="shared" si="23"/>
        <v/>
      </c>
      <c r="DV224" s="210">
        <f>IFERROR(__xludf.DUMMYFUNCTION("AVERAGE(ARRAYFORMULA(XLOOKUP(FILTER(INDIRECT(""'""&amp;DV$1&amp;""'!$C$4:$C$66""),INDIRECT(""'""&amp;DV$1&amp;""'!$D$4:$D$66"")=DV$2),$G$4:$BQ$4,$G224:$BQ224)))"),0.6097468875000001)</f>
        <v>0.6097468875</v>
      </c>
      <c r="DW224" s="207" t="str">
        <f>IFERROR(__xludf.DUMMYFUNCTION("IF(OR(DV224&gt;$BS224+$BT224*$BT$2,DV224&lt;$BS224-$BT224*$BT$2),AVEDEV(ARRAYFORMULA(XLOOKUP(FILTER(INDIRECT(""'""&amp;DV$1&amp;""'!$C$4:$C$66""),INDIRECT(""'""&amp;DV$1&amp;""'!$D$4:$D$66"")=DV$2),$G$4:$BQ$4,$G224:$BQ224))),"""")"),"")</f>
        <v/>
      </c>
      <c r="DX224" s="208" t="str">
        <f t="shared" si="24"/>
        <v/>
      </c>
      <c r="DY224" s="210">
        <f>IFERROR(__xludf.DUMMYFUNCTION("AVERAGE(ARRAYFORMULA(XLOOKUP(FILTER(INDIRECT(""'""&amp;DY$1&amp;""'!$C$4:$C$66""),INDIRECT(""'""&amp;DY$1&amp;""'!$D$4:$D$66"")=DY$2),$G$4:$BQ$4,$G224:$BQ224)))"),-0.25048351444444444)</f>
        <v>-0.2504835144</v>
      </c>
      <c r="DZ224" s="207" t="str">
        <f>IFERROR(__xludf.DUMMYFUNCTION("IF(OR(DY224&gt;$BS224+$BT224*$BT$2,DY224&lt;$BS224-$BT224*$BT$2),AVEDEV(ARRAYFORMULA(XLOOKUP(FILTER(INDIRECT(""'""&amp;DY$1&amp;""'!$C$4:$C$66""),INDIRECT(""'""&amp;DY$1&amp;""'!$D$4:$D$66"")=DY$2),$G$4:$BQ$4,$G224:$BQ224))),"""")"),"")</f>
        <v/>
      </c>
      <c r="EA224" s="208" t="str">
        <f t="shared" si="25"/>
        <v/>
      </c>
      <c r="EB224" s="191"/>
    </row>
    <row r="225" outlineLevel="1">
      <c r="A225" s="2"/>
      <c r="B225" s="204">
        <v>221.0</v>
      </c>
      <c r="C225" s="204" t="s">
        <v>646</v>
      </c>
      <c r="D225" s="204" t="s">
        <v>670</v>
      </c>
      <c r="E225" s="205" t="b">
        <f>VLOOKUP(D225,'Feature Set List'!A221:C246,2,0)</f>
        <v>1</v>
      </c>
      <c r="F225" s="205" t="b">
        <f>VLOOKUP(D225,'Feature Set List'!A221:C246,3,0)</f>
        <v>1</v>
      </c>
      <c r="G225" s="205">
        <v>-0.6776476</v>
      </c>
      <c r="H225" s="205">
        <v>0.04873477</v>
      </c>
      <c r="I225" s="205">
        <v>0.38378632</v>
      </c>
      <c r="J225" s="205">
        <v>0.72071228</v>
      </c>
      <c r="K225" s="205">
        <v>0.00609185</v>
      </c>
      <c r="L225" s="205">
        <v>0.26897844</v>
      </c>
      <c r="M225" s="205">
        <v>-0.5862231</v>
      </c>
      <c r="N225" s="205">
        <v>4.56888472</v>
      </c>
      <c r="O225" s="205">
        <v>0.01077788</v>
      </c>
      <c r="P225" s="205">
        <v>-0.1190253</v>
      </c>
      <c r="Q225" s="205">
        <v>0.05014058</v>
      </c>
      <c r="R225" s="205">
        <v>0.52905342</v>
      </c>
      <c r="S225" s="205">
        <v>0.62277413</v>
      </c>
      <c r="T225" s="205">
        <v>-0.2314902</v>
      </c>
      <c r="U225" s="205">
        <v>7.50234302</v>
      </c>
      <c r="V225" s="205">
        <v>1.67619494</v>
      </c>
      <c r="W225" s="205">
        <v>-0.5684161</v>
      </c>
      <c r="X225" s="205">
        <v>3.78163074</v>
      </c>
      <c r="Y225" s="205">
        <v>-0.3317713</v>
      </c>
      <c r="Z225" s="205">
        <v>2.13495783</v>
      </c>
      <c r="AA225" s="205">
        <v>0.76522962</v>
      </c>
      <c r="AB225" s="205">
        <v>-0.0913777</v>
      </c>
      <c r="AC225" s="205">
        <v>-0.2052484</v>
      </c>
      <c r="AD225" s="205">
        <v>-0.8460169</v>
      </c>
      <c r="AE225" s="205">
        <v>1.37535145</v>
      </c>
      <c r="AF225" s="205">
        <v>-0.2239925</v>
      </c>
      <c r="AG225" s="205">
        <v>-0.1073102</v>
      </c>
      <c r="AH225" s="205">
        <v>-0.0534208</v>
      </c>
      <c r="AI225" s="205">
        <v>-0.4784442</v>
      </c>
      <c r="AJ225" s="205">
        <v>-1.0871603</v>
      </c>
      <c r="AK225" s="205">
        <v>-0.0721649</v>
      </c>
      <c r="AL225" s="205">
        <v>0.13964386</v>
      </c>
      <c r="AM225" s="205">
        <v>-0.5276476</v>
      </c>
      <c r="AN225" s="205">
        <v>-0.0149953</v>
      </c>
      <c r="AO225" s="205">
        <v>1.50515464</v>
      </c>
      <c r="AP225" s="205">
        <v>-0.262418</v>
      </c>
      <c r="AQ225" s="205">
        <v>-0.5782568</v>
      </c>
      <c r="AR225" s="205">
        <v>3.0262418</v>
      </c>
      <c r="AS225" s="205">
        <v>-0.1869728</v>
      </c>
      <c r="AT225" s="205">
        <v>0.5656045</v>
      </c>
      <c r="AU225" s="205">
        <v>-1.0871603</v>
      </c>
      <c r="AV225" s="205">
        <v>-0.3580131</v>
      </c>
      <c r="AW225" s="205">
        <v>2.59512652</v>
      </c>
      <c r="AX225" s="205">
        <v>1.21368322</v>
      </c>
      <c r="AY225" s="205">
        <v>1.868791</v>
      </c>
      <c r="AZ225" s="205">
        <v>0.50187441</v>
      </c>
      <c r="BA225" s="205">
        <v>-0.5735708</v>
      </c>
      <c r="BB225" s="205">
        <v>2.49578257</v>
      </c>
      <c r="BC225" s="205">
        <v>-0.1799438</v>
      </c>
      <c r="BD225" s="205">
        <v>-0.5426429</v>
      </c>
      <c r="BE225" s="205">
        <v>2.6846298</v>
      </c>
      <c r="BF225" s="205">
        <v>0.19119025</v>
      </c>
      <c r="BG225" s="205">
        <v>-0.549672</v>
      </c>
      <c r="BH225" s="205">
        <v>-0.8793346</v>
      </c>
      <c r="BI225" s="205">
        <v>-0.0388941</v>
      </c>
      <c r="BJ225" s="205">
        <v>-0.3233365</v>
      </c>
      <c r="BK225" s="205">
        <v>0.0</v>
      </c>
      <c r="BL225" s="205">
        <v>5.10777882</v>
      </c>
      <c r="BM225" s="205">
        <v>0.6846298</v>
      </c>
      <c r="BN225" s="205">
        <v>-0.2713215</v>
      </c>
      <c r="BO225" s="205">
        <v>0.47656982</v>
      </c>
      <c r="BP225" s="205">
        <v>-0.0398313</v>
      </c>
      <c r="BQ225" s="205">
        <v>0.0660731</v>
      </c>
      <c r="BR225" s="206"/>
      <c r="BS225" s="207">
        <f t="shared" si="6"/>
        <v>0.5630904</v>
      </c>
      <c r="BT225" s="207">
        <f t="shared" si="7"/>
        <v>1.085612184</v>
      </c>
      <c r="BU225" s="206"/>
      <c r="BV225" s="207">
        <f>IFERROR(__xludf.DUMMYFUNCTION("AVERAGE(ARRAYFORMULA(XLOOKUP(FILTER(INDIRECT(""'""&amp;BV$1&amp;""'!$C$4:$C$66""),INDIRECT(""'""&amp;BV$1&amp;""'!$D$4:$D$66"")=BV$2),$G$4:$BQ$4,$G225:$BQ225)))"),3.563730084285715)</f>
        <v>3.563730084</v>
      </c>
      <c r="BW225" s="207">
        <f>IFERROR(__xludf.DUMMYFUNCTION("IF(OR(BV225&gt;$BS225+$BT225*$BT$2,BV225&lt;$BS225-$BT225*$BT$2),AVEDEV(ARRAYFORMULA(XLOOKUP(FILTER(INDIRECT(""'""&amp;BV$1&amp;""'!$C$4:$C$66""),INDIRECT(""'""&amp;BV$1&amp;""'!$D$4:$D$66"")=BV$2),$G$4:$BQ$4,$G225:$BQ225))),"""")"),1.6287320934693879)</f>
        <v>1.628732093</v>
      </c>
      <c r="BX225" s="208">
        <f t="shared" si="8"/>
        <v>1.9150275</v>
      </c>
      <c r="BY225" s="207">
        <f>IFERROR(__xludf.DUMMYFUNCTION("AVERAGE(ARRAYFORMULA(XLOOKUP(FILTER(INDIRECT(""'""&amp;BY$1&amp;""'!$C$4:$C$66""),INDIRECT(""'""&amp;BY$1&amp;""'!$D$4:$D$66"")=BY$2),$G$4:$BQ$4,$G225:$BQ225)))"),0.32455370809523804)</f>
        <v>0.3245537081</v>
      </c>
      <c r="BZ225" s="207" t="str">
        <f>IFERROR(__xludf.DUMMYFUNCTION("IF(OR(BY225&gt;$BS225+$BT225*$BT$2,BY225&lt;$BS225-$BT225*$BT$2),AVEDEV(ARRAYFORMULA(XLOOKUP(FILTER(INDIRECT(""'""&amp;BY$1&amp;""'!$C$4:$C$66""),INDIRECT(""'""&amp;BY$1&amp;""'!$D$4:$D$66"")=BY$2),$G$4:$BQ$4,$G225:$BQ225))),"""")"),"")</f>
        <v/>
      </c>
      <c r="CA225" s="208" t="str">
        <f t="shared" si="9"/>
        <v/>
      </c>
      <c r="CB225" s="207">
        <f>IFERROR(__xludf.DUMMYFUNCTION("AVERAGE(ARRAYFORMULA(XLOOKUP(FILTER(INDIRECT(""'""&amp;CB$1&amp;""'!$C$4:$C$66""),INDIRECT(""'""&amp;CB$1&amp;""'!$D$4:$D$66"")=CB$2),$G$4:$BQ$4,$G225:$BQ225)))"),-0.16878675)</f>
        <v>-0.16878675</v>
      </c>
      <c r="CC225" s="207" t="str">
        <f>IFERROR(__xludf.DUMMYFUNCTION("IF(OR(CB225&gt;$BS225+$BT225*$BT$2,CB225&lt;$BS225-$BT225*$BT$2),AVEDEV(ARRAYFORMULA(XLOOKUP(FILTER(INDIRECT(""'""&amp;CB$1&amp;""'!$C$4:$C$66""),INDIRECT(""'""&amp;CB$1&amp;""'!$D$4:$D$66"")=CB$2),$G$4:$BQ$4,$G225:$BQ225))),"""")"),"")</f>
        <v/>
      </c>
      <c r="CD225" s="208" t="str">
        <f t="shared" si="10"/>
        <v/>
      </c>
      <c r="CE225" s="209" t="s">
        <v>444</v>
      </c>
      <c r="CF225" s="207">
        <f>IFERROR(__xludf.DUMMYFUNCTION("AVERAGE(ARRAYFORMULA(XLOOKUP(FILTER(INDIRECT(""'""&amp;CF$1&amp;""'!$C$4:$C$66""),INDIRECT(""'""&amp;CF$1&amp;""'!$D$4:$D$66"")=CF$2),$G$4:$BQ$4,$G225:$BQ225)))"),1.2654639231250002)</f>
        <v>1.265463923</v>
      </c>
      <c r="CG225" s="207" t="str">
        <f>IFERROR(__xludf.DUMMYFUNCTION("IF(OR(CF225&gt;$BS225+$BT225*$BT$2,CF225&lt;$BS225-$BT225*$BT$2),AVEDEV(ARRAYFORMULA(XLOOKUP(FILTER(INDIRECT(""'""&amp;CF$1&amp;""'!$C$4:$C$66""),INDIRECT(""'""&amp;CF$1&amp;""'!$D$4:$D$66"")=CF$2),$G$4:$BQ$4,$G225:$BQ225))),"""")"),"")</f>
        <v/>
      </c>
      <c r="CH225" s="208" t="str">
        <f t="shared" si="11"/>
        <v/>
      </c>
      <c r="CI225" s="207">
        <f>IFERROR(__xludf.DUMMYFUNCTION("AVERAGE(ARRAYFORMULA(XLOOKUP(FILTER(INDIRECT(""'""&amp;CI$1&amp;""'!$C$4:$C$66""),INDIRECT(""'""&amp;CI$1&amp;""'!$D$4:$D$66"")=CI$2),$G$4:$BQ$4,$G225:$BQ225)))"),0.09728965064516128)</f>
        <v>0.09728965065</v>
      </c>
      <c r="CJ225" s="207" t="str">
        <f>IFERROR(__xludf.DUMMYFUNCTION("IF(OR(CI225&gt;$BS225+$BT225*$BT$2,CI225&lt;$BS225-$BT225*$BT$2),AVEDEV(ARRAYFORMULA(XLOOKUP(FILTER(INDIRECT(""'""&amp;CI$1&amp;""'!$C$4:$C$66""),INDIRECT(""'""&amp;CI$1&amp;""'!$D$4:$D$66"")=CI$2),$G$4:$BQ$4,$G225:$BQ225))),"""")"),"")</f>
        <v/>
      </c>
      <c r="CK225" s="208" t="str">
        <f t="shared" si="12"/>
        <v/>
      </c>
      <c r="CL225" s="207">
        <f>IFERROR(__xludf.DUMMYFUNCTION("AVERAGE(ARRAYFORMULA(XLOOKUP(FILTER(INDIRECT(""'""&amp;CL$1&amp;""'!$C$4:$C$66""),INDIRECT(""'""&amp;CL$1&amp;""'!$D$4:$D$66"")=CL$2),$G$4:$BQ$4,$G225:$BQ225)))"),-0.33214622)</f>
        <v>-0.33214622</v>
      </c>
      <c r="CM225" s="207" t="str">
        <f>IFERROR(__xludf.DUMMYFUNCTION("IF(OR(CL225&gt;$BS225+$BT225*$BT$2,CL225&lt;$BS225-$BT225*$BT$2),AVEDEV(ARRAYFORMULA(XLOOKUP(FILTER(INDIRECT(""'""&amp;CL$1&amp;""'!$C$4:$C$66""),INDIRECT(""'""&amp;CL$1&amp;""'!$D$4:$D$66"")=CL$2),$G$4:$BQ$4,$G225:$BQ225))),"""")"),"")</f>
        <v/>
      </c>
      <c r="CN225" s="208" t="str">
        <f t="shared" si="13"/>
        <v/>
      </c>
      <c r="CO225" s="209" t="s">
        <v>444</v>
      </c>
      <c r="CP225" s="210">
        <f>IFERROR(__xludf.DUMMYFUNCTION("AVERAGE(ARRAYFORMULA(XLOOKUP(FILTER(INDIRECT(""'""&amp;CP$1&amp;""'!$C$4:$C$66""),INDIRECT(""'""&amp;CP$1&amp;""'!$D$4:$D$66"")=CP$2),$G$4:$BQ$4,$G225:$BQ225)))"),1.5694126826666668)</f>
        <v>1.569412683</v>
      </c>
      <c r="CQ225" s="207" t="str">
        <f>IFERROR(__xludf.DUMMYFUNCTION("IF(OR(CP225&gt;$BS225+$BT225*$BT$2,CP225&lt;$BS225-$BT225*$BT$2),AVEDEV(ARRAYFORMULA(XLOOKUP(FILTER(INDIRECT(""'""&amp;CP$1&amp;""'!$C$4:$C$66""),INDIRECT(""'""&amp;CP$1&amp;""'!$D$4:$D$66"")=CP$2),$G$4:$BQ$4,$G225:$BQ225))),"""")"),"")</f>
        <v/>
      </c>
      <c r="CR225" s="208" t="str">
        <f t="shared" si="14"/>
        <v/>
      </c>
      <c r="CS225" s="210">
        <f>IFERROR(__xludf.DUMMYFUNCTION("AVERAGE(ARRAYFORMULA(XLOOKUP(FILTER(INDIRECT(""'""&amp;CS$1&amp;""'!$C$4:$C$66""),INDIRECT(""'""&amp;CS$1&amp;""'!$D$4:$D$66"")=CS$2),$G$4:$BQ$4,$G225:$BQ225)))"),0.24955061846153845)</f>
        <v>0.2495506185</v>
      </c>
      <c r="CT225" s="207" t="str">
        <f>IFERROR(__xludf.DUMMYFUNCTION("IF(OR(CS225&gt;$BS225+$BT225*$BT$2,CS225&lt;$BS225-$BT225*$BT$2),AVEDEV(ARRAYFORMULA(XLOOKUP(FILTER(INDIRECT(""'""&amp;CS$1&amp;""'!$C$4:$C$66""),INDIRECT(""'""&amp;CS$1&amp;""'!$D$4:$D$66"")=CS$2),$G$4:$BQ$4,$G225:$BQ225))),"""")"),"")</f>
        <v/>
      </c>
      <c r="CU225" s="208" t="str">
        <f t="shared" si="15"/>
        <v/>
      </c>
      <c r="CV225" s="210">
        <f>IFERROR(__xludf.DUMMYFUNCTION("AVERAGE(ARRAYFORMULA(XLOOKUP(FILTER(INDIRECT(""'""&amp;CV$1&amp;""'!$C$4:$C$66""),INDIRECT(""'""&amp;CV$1&amp;""'!$D$4:$D$66"")=CV$2),$G$4:$BQ$4,$G225:$BQ225)))"),-0.33214622)</f>
        <v>-0.33214622</v>
      </c>
      <c r="CW225" s="207" t="str">
        <f>IFERROR(__xludf.DUMMYFUNCTION("IF(OR(CV225&gt;$BS225+$BT225*$BT$2,CV225&lt;$BS225-$BT225*$BT$2),AVEDEV(ARRAYFORMULA(XLOOKUP(FILTER(INDIRECT(""'""&amp;CV$1&amp;""'!$C$4:$C$66""),INDIRECT(""'""&amp;CV$1&amp;""'!$D$4:$D$66"")=CV$2),$G$4:$BQ$4,$G225:$BQ225))),"""")"),"")</f>
        <v/>
      </c>
      <c r="CX225" s="208" t="str">
        <f t="shared" si="16"/>
        <v/>
      </c>
      <c r="CY225" s="209" t="s">
        <v>444</v>
      </c>
      <c r="CZ225" s="210">
        <f>IFERROR(__xludf.DUMMYFUNCTION("AVERAGE(ARRAYFORMULA(XLOOKUP(FILTER(INDIRECT(""'""&amp;CZ$1&amp;""'!$C$4:$C$66""),INDIRECT(""'""&amp;CZ$1&amp;""'!$D$4:$D$66"")=CZ$2),$G$4:$BQ$4,$G225:$BQ225)))"),0.7012317635714284)</f>
        <v>0.7012317636</v>
      </c>
      <c r="DA225" s="207" t="str">
        <f>IFERROR(__xludf.DUMMYFUNCTION("IF(OR(CZ225&gt;$BS225+$BT225*$BT$2,CZ225&lt;$BS225-$BT225*$BT$2),AVEDEV(ARRAYFORMULA(XLOOKUP(FILTER(INDIRECT(""'""&amp;CZ$1&amp;""'!$C$4:$C$66""),INDIRECT(""'""&amp;CZ$1&amp;""'!$D$4:$D$66"")=CZ$2),$G$4:$BQ$4,$G225:$BQ225))),"""")"),"")</f>
        <v/>
      </c>
      <c r="DB225" s="208" t="str">
        <f t="shared" si="17"/>
        <v/>
      </c>
      <c r="DC225" s="210">
        <f>IFERROR(__xludf.DUMMYFUNCTION("AVERAGE(ARRAYFORMULA(XLOOKUP(FILTER(INDIRECT(""'""&amp;DC$1&amp;""'!$C$4:$C$66""),INDIRECT(""'""&amp;DC$1&amp;""'!$D$4:$D$66"")=DC$2),$G$4:$BQ$4,$G225:$BQ225)))"),-0.33812871777777787)</f>
        <v>-0.3381287178</v>
      </c>
      <c r="DD225" s="207" t="str">
        <f>IFERROR(__xludf.DUMMYFUNCTION("IF(OR(DC225&gt;$BS225+$BT225*$BT$2,DC225&lt;$BS225-$BT225*$BT$2),AVEDEV(ARRAYFORMULA(XLOOKUP(FILTER(INDIRECT(""'""&amp;DC$1&amp;""'!$C$4:$C$66""),INDIRECT(""'""&amp;DC$1&amp;""'!$D$4:$D$66"")=DC$2),$G$4:$BQ$4,$G225:$BQ225))),"""")"),"")</f>
        <v/>
      </c>
      <c r="DE225" s="208" t="str">
        <f t="shared" si="18"/>
        <v/>
      </c>
      <c r="DF225" s="210">
        <f>IFERROR(__xludf.DUMMYFUNCTION("AVERAGE(ARRAYFORMULA(XLOOKUP(FILTER(INDIRECT(""'""&amp;DF$1&amp;""'!$C$4:$C$66""),INDIRECT(""'""&amp;DF$1&amp;""'!$D$4:$D$66"")=DF$2),$G$4:$BQ$4,$G225:$BQ225)))"),0.10424298909090911)</f>
        <v>0.1042429891</v>
      </c>
      <c r="DG225" s="207" t="str">
        <f>IFERROR(__xludf.DUMMYFUNCTION("IF(OR(DF225&gt;$BS225+$BT225*$BT$2,DF225&lt;$BS225-$BT225*$BT$2),AVEDEV(ARRAYFORMULA(XLOOKUP(FILTER(INDIRECT(""'""&amp;DF$1&amp;""'!$C$4:$C$66""),INDIRECT(""'""&amp;DF$1&amp;""'!$D$4:$D$66"")=DF$2),$G$4:$BQ$4,$G225:$BQ225))),"""")"),"")</f>
        <v/>
      </c>
      <c r="DH225" s="208" t="str">
        <f t="shared" si="19"/>
        <v/>
      </c>
      <c r="DI225" s="210">
        <f>IFERROR(__xludf.DUMMYFUNCTION("AVERAGE(ARRAYFORMULA(XLOOKUP(FILTER(INDIRECT(""'""&amp;DI$1&amp;""'!$C$4:$C$66""),INDIRECT(""'""&amp;DI$1&amp;""'!$D$4:$D$66"")=DI$2),$G$4:$BQ$4,$G225:$BQ225)))"),-0.86267575)</f>
        <v>-0.86267575</v>
      </c>
      <c r="DJ225" s="207">
        <f>IFERROR(__xludf.DUMMYFUNCTION("IF(OR(DI225&gt;$BS225+$BT225*$BT$2,DI225&lt;$BS225-$BT225*$BT$2),AVEDEV(ARRAYFORMULA(XLOOKUP(FILTER(INDIRECT(""'""&amp;DI$1&amp;""'!$C$4:$C$66""),INDIRECT(""'""&amp;DI$1&amp;""'!$D$4:$D$66"")=DI$2),$G$4:$BQ$4,$G225:$BQ225))),"""")"),0.016658850000000003)</f>
        <v>0.01665885</v>
      </c>
      <c r="DK225" s="208">
        <f t="shared" si="20"/>
        <v>-0.3401539659</v>
      </c>
      <c r="DL225" s="210">
        <f>IFERROR(__xludf.DUMMYFUNCTION("AVERAGE(ARRAYFORMULA(XLOOKUP(FILTER(INDIRECT(""'""&amp;DL$1&amp;""'!$C$4:$C$66""),INDIRECT(""'""&amp;DL$1&amp;""'!$D$4:$D$66"")=DL$2),$G$4:$BQ$4,$G225:$BQ225)))"),0.3625317878571428)</f>
        <v>0.3625317879</v>
      </c>
      <c r="DM225" s="207" t="str">
        <f>IFERROR(__xludf.DUMMYFUNCTION("IF(OR(DL225&gt;$BS225+$BT225*$BT$2,DL225&lt;$BS225-$BT225*$BT$2),AVEDEV(ARRAYFORMULA(XLOOKUP(FILTER(INDIRECT(""'""&amp;DL$1&amp;""'!$C$4:$C$66""),INDIRECT(""'""&amp;DL$1&amp;""'!$D$4:$D$66"")=DL$2),$G$4:$BQ$4,$G225:$BQ225))),"""")"),"")</f>
        <v/>
      </c>
      <c r="DN225" s="208" t="str">
        <f t="shared" si="21"/>
        <v/>
      </c>
      <c r="DO225" s="209" t="s">
        <v>444</v>
      </c>
      <c r="DP225" s="210">
        <f>IFERROR(__xludf.DUMMYFUNCTION("AVERAGE(ARRAYFORMULA(XLOOKUP(FILTER(INDIRECT(""'""&amp;DP$1&amp;""'!$C$4:$C$66""),INDIRECT(""'""&amp;DP$1&amp;""'!$D$4:$D$66"")=DP$2),$G$4:$BQ$4,$G225:$BQ225)))"),0.4980787239999999)</f>
        <v>0.498078724</v>
      </c>
      <c r="DQ225" s="207" t="str">
        <f>IFERROR(__xludf.DUMMYFUNCTION("IF(OR(DP225&gt;$BS225+$BT225*$BT$2,DP225&lt;$BS225-$BT225*$BT$2),AVEDEV(ARRAYFORMULA(XLOOKUP(FILTER(INDIRECT(""'""&amp;DP$1&amp;""'!$C$4:$C$66""),INDIRECT(""'""&amp;DP$1&amp;""'!$D$4:$D$66"")=DP$2),$G$4:$BQ$4,$G225:$BQ225))),"""")"),"")</f>
        <v/>
      </c>
      <c r="DR225" s="208" t="str">
        <f t="shared" si="22"/>
        <v/>
      </c>
      <c r="DS225" s="210">
        <f>IFERROR(__xludf.DUMMYFUNCTION("AVERAGE(ARRAYFORMULA(XLOOKUP(FILTER(INDIRECT(""'""&amp;DS$1&amp;""'!$C$4:$C$66""),INDIRECT(""'""&amp;DS$1&amp;""'!$D$4:$D$66"")=DS$2),$G$4:$BQ$4,$G225:$BQ225)))"),-0.24008643999999998)</f>
        <v>-0.24008644</v>
      </c>
      <c r="DT225" s="207" t="str">
        <f>IFERROR(__xludf.DUMMYFUNCTION("IF(OR(DS225&gt;$BS225+$BT225*$BT$2,DS225&lt;$BS225-$BT225*$BT$2),AVEDEV(ARRAYFORMULA(XLOOKUP(FILTER(INDIRECT(""'""&amp;DS$1&amp;""'!$C$4:$C$66""),INDIRECT(""'""&amp;DS$1&amp;""'!$D$4:$D$66"")=DS$2),$G$4:$BQ$4,$G225:$BQ225))),"""")"),"")</f>
        <v/>
      </c>
      <c r="DU225" s="208" t="str">
        <f t="shared" si="23"/>
        <v/>
      </c>
      <c r="DV225" s="210">
        <f>IFERROR(__xludf.DUMMYFUNCTION("AVERAGE(ARRAYFORMULA(XLOOKUP(FILTER(INDIRECT(""'""&amp;DV$1&amp;""'!$C$4:$C$66""),INDIRECT(""'""&amp;DV$1&amp;""'!$D$4:$D$66"")=DV$2),$G$4:$BQ$4,$G225:$BQ225)))"),1.3392103974999998)</f>
        <v>1.339210398</v>
      </c>
      <c r="DW225" s="207" t="str">
        <f>IFERROR(__xludf.DUMMYFUNCTION("IF(OR(DV225&gt;$BS225+$BT225*$BT$2,DV225&lt;$BS225-$BT225*$BT$2),AVEDEV(ARRAYFORMULA(XLOOKUP(FILTER(INDIRECT(""'""&amp;DV$1&amp;""'!$C$4:$C$66""),INDIRECT(""'""&amp;DV$1&amp;""'!$D$4:$D$66"")=DV$2),$G$4:$BQ$4,$G225:$BQ225))),"""")"),"")</f>
        <v/>
      </c>
      <c r="DX225" s="208" t="str">
        <f t="shared" si="24"/>
        <v/>
      </c>
      <c r="DY225" s="210">
        <f>IFERROR(__xludf.DUMMYFUNCTION("AVERAGE(ARRAYFORMULA(XLOOKUP(FILTER(INDIRECT(""'""&amp;DY$1&amp;""'!$C$4:$C$66""),INDIRECT(""'""&amp;DY$1&amp;""'!$D$4:$D$66"")=DY$2),$G$4:$BQ$4,$G225:$BQ225)))"),-0.021706762222222214)</f>
        <v>-0.02170676222</v>
      </c>
      <c r="DZ225" s="207" t="str">
        <f>IFERROR(__xludf.DUMMYFUNCTION("IF(OR(DY225&gt;$BS225+$BT225*$BT$2,DY225&lt;$BS225-$BT225*$BT$2),AVEDEV(ARRAYFORMULA(XLOOKUP(FILTER(INDIRECT(""'""&amp;DY$1&amp;""'!$C$4:$C$66""),INDIRECT(""'""&amp;DY$1&amp;""'!$D$4:$D$66"")=DY$2),$G$4:$BQ$4,$G225:$BQ225))),"""")"),"")</f>
        <v/>
      </c>
      <c r="EA225" s="208" t="str">
        <f t="shared" si="25"/>
        <v/>
      </c>
      <c r="EB225" s="191"/>
    </row>
    <row r="226" outlineLevel="1">
      <c r="A226" s="2"/>
      <c r="B226" s="204">
        <v>222.0</v>
      </c>
      <c r="C226" s="204" t="s">
        <v>671</v>
      </c>
      <c r="D226" s="204" t="s">
        <v>672</v>
      </c>
      <c r="E226" s="205" t="b">
        <f>VLOOKUP(D226,'Feature Set List'!A222:C246,2,0)</f>
        <v>1</v>
      </c>
      <c r="F226" s="205" t="b">
        <f>VLOOKUP(D226,'Feature Set List'!A222:C246,3,0)</f>
        <v>0</v>
      </c>
      <c r="G226" s="205">
        <v>0.0</v>
      </c>
      <c r="H226" s="205">
        <v>-0.2857143</v>
      </c>
      <c r="I226" s="205">
        <v>0.08163265</v>
      </c>
      <c r="J226" s="205">
        <v>-0.6122449</v>
      </c>
      <c r="K226" s="205">
        <v>-0.7755102</v>
      </c>
      <c r="L226" s="205">
        <v>-0.1632653</v>
      </c>
      <c r="M226" s="205">
        <v>0.65306122</v>
      </c>
      <c r="N226" s="205">
        <v>0.20408163</v>
      </c>
      <c r="O226" s="205">
        <v>-0.1632653</v>
      </c>
      <c r="P226" s="205">
        <v>-0.6122449</v>
      </c>
      <c r="Q226" s="205">
        <v>-1.1020408</v>
      </c>
      <c r="R226" s="205">
        <v>0.0</v>
      </c>
      <c r="S226" s="205">
        <v>-0.2040816</v>
      </c>
      <c r="T226" s="205">
        <v>0.16326531</v>
      </c>
      <c r="U226" s="205">
        <v>0.93877551</v>
      </c>
      <c r="V226" s="205">
        <v>-2.5306122</v>
      </c>
      <c r="W226" s="205">
        <v>-0.2040816</v>
      </c>
      <c r="X226" s="205">
        <v>-1.6326531</v>
      </c>
      <c r="Y226" s="205">
        <v>0.6122449</v>
      </c>
      <c r="Z226" s="205">
        <v>0.85714286</v>
      </c>
      <c r="AA226" s="205">
        <v>0.44897959</v>
      </c>
      <c r="AB226" s="205">
        <v>0.89795918</v>
      </c>
      <c r="AC226" s="205">
        <v>0.28571429</v>
      </c>
      <c r="AD226" s="205">
        <v>-0.4897959</v>
      </c>
      <c r="AE226" s="205">
        <v>0.12244898</v>
      </c>
      <c r="AF226" s="205">
        <v>0.16326531</v>
      </c>
      <c r="AG226" s="205">
        <v>-1.0204082</v>
      </c>
      <c r="AH226" s="205">
        <v>-0.6530612</v>
      </c>
      <c r="AI226" s="205">
        <v>-0.8163265</v>
      </c>
      <c r="AJ226" s="205">
        <v>-0.2040816</v>
      </c>
      <c r="AK226" s="205">
        <v>-1.3877551</v>
      </c>
      <c r="AL226" s="205">
        <v>0.04081633</v>
      </c>
      <c r="AM226" s="205">
        <v>0.69387755</v>
      </c>
      <c r="AN226" s="205">
        <v>-0.2040816</v>
      </c>
      <c r="AO226" s="205">
        <v>-0.8163265</v>
      </c>
      <c r="AP226" s="205">
        <v>-1.0204082</v>
      </c>
      <c r="AQ226" s="205">
        <v>0.85714286</v>
      </c>
      <c r="AR226" s="205">
        <v>0.65306122</v>
      </c>
      <c r="AS226" s="205">
        <v>0.24489796</v>
      </c>
      <c r="AT226" s="205">
        <v>0.40816327</v>
      </c>
      <c r="AU226" s="205">
        <v>-4.244898</v>
      </c>
      <c r="AV226" s="205">
        <v>0.6122449</v>
      </c>
      <c r="AW226" s="205">
        <v>-1.3469388</v>
      </c>
      <c r="AX226" s="205">
        <v>-1.5102041</v>
      </c>
      <c r="AY226" s="205">
        <v>-1.2244898</v>
      </c>
      <c r="AZ226" s="205">
        <v>0.40816327</v>
      </c>
      <c r="BA226" s="205">
        <v>-0.2040816</v>
      </c>
      <c r="BB226" s="205">
        <v>-0.4489796</v>
      </c>
      <c r="BC226" s="205">
        <v>-0.1632653</v>
      </c>
      <c r="BD226" s="205">
        <v>-0.3265306</v>
      </c>
      <c r="BE226" s="205">
        <v>0.48979592</v>
      </c>
      <c r="BF226" s="205">
        <v>0.0</v>
      </c>
      <c r="BG226" s="205">
        <v>0.85714286</v>
      </c>
      <c r="BH226" s="205">
        <v>0.93877551</v>
      </c>
      <c r="BI226" s="205">
        <v>0.44897959</v>
      </c>
      <c r="BJ226" s="205">
        <v>0.44897959</v>
      </c>
      <c r="BK226" s="205">
        <v>0.04081633</v>
      </c>
      <c r="BL226" s="205">
        <v>0.73469388</v>
      </c>
      <c r="BM226" s="205">
        <v>0.28571429</v>
      </c>
      <c r="BN226" s="205">
        <v>0.16326531</v>
      </c>
      <c r="BO226" s="205">
        <v>0.36734694</v>
      </c>
      <c r="BP226" s="205">
        <v>-0.3265306</v>
      </c>
      <c r="BQ226" s="205">
        <v>0.44897959</v>
      </c>
      <c r="BR226" s="206"/>
      <c r="BS226" s="207">
        <f t="shared" si="6"/>
        <v>-0.1606737905</v>
      </c>
      <c r="BT226" s="207">
        <f t="shared" si="7"/>
        <v>0.6360107135</v>
      </c>
      <c r="BU226" s="206"/>
      <c r="BV226" s="207">
        <f>IFERROR(__xludf.DUMMYFUNCTION("AVERAGE(ARRAYFORMULA(XLOOKUP(FILTER(INDIRECT(""'""&amp;BV$1&amp;""'!$C$4:$C$66""),INDIRECT(""'""&amp;BV$1&amp;""'!$D$4:$D$66"")=BV$2),$G$4:$BQ$4,$G226:$BQ226)))"),-0.27988338428571424)</f>
        <v>-0.2798833843</v>
      </c>
      <c r="BW226" s="207" t="str">
        <f>IFERROR(__xludf.DUMMYFUNCTION("IF(OR(BV226&gt;$BS226+$BT226*$BT$2,BV226&lt;$BS226-$BT226*$BT$2),AVEDEV(ARRAYFORMULA(XLOOKUP(FILTER(INDIRECT(""'""&amp;BV$1&amp;""'!$C$4:$C$66""),INDIRECT(""'""&amp;BV$1&amp;""'!$D$4:$D$66"")=BV$2),$G$4:$BQ$4,$G226:$BQ226))),"""")"),"")</f>
        <v/>
      </c>
      <c r="BX226" s="208" t="str">
        <f t="shared" si="8"/>
        <v/>
      </c>
      <c r="BY226" s="207">
        <f>IFERROR(__xludf.DUMMYFUNCTION("AVERAGE(ARRAYFORMULA(XLOOKUP(FILTER(INDIRECT(""'""&amp;BY$1&amp;""'!$C$4:$C$66""),INDIRECT(""'""&amp;BY$1&amp;""'!$D$4:$D$66"")=BY$2),$G$4:$BQ$4,$G226:$BQ226)))"),-0.11370262047619055)</f>
        <v>-0.1137026205</v>
      </c>
      <c r="BZ226" s="207" t="str">
        <f>IFERROR(__xludf.DUMMYFUNCTION("IF(OR(BY226&gt;$BS226+$BT226*$BT$2,BY226&lt;$BS226-$BT226*$BT$2),AVEDEV(ARRAYFORMULA(XLOOKUP(FILTER(INDIRECT(""'""&amp;BY$1&amp;""'!$C$4:$C$66""),INDIRECT(""'""&amp;BY$1&amp;""'!$D$4:$D$66"")=BY$2),$G$4:$BQ$4,$G226:$BQ226))),"""")"),"")</f>
        <v/>
      </c>
      <c r="CA226" s="208" t="str">
        <f t="shared" si="9"/>
        <v/>
      </c>
      <c r="CB226" s="207">
        <f>IFERROR(__xludf.DUMMYFUNCTION("AVERAGE(ARRAYFORMULA(XLOOKUP(FILTER(INDIRECT(""'""&amp;CB$1&amp;""'!$C$4:$C$66""),INDIRECT(""'""&amp;CB$1&amp;""'!$D$4:$D$66"")=CB$2),$G$4:$BQ$4,$G226:$BQ226)))"),0.10018553636363636)</f>
        <v>0.1001855364</v>
      </c>
      <c r="CC226" s="207" t="str">
        <f>IFERROR(__xludf.DUMMYFUNCTION("IF(OR(CB226&gt;$BS226+$BT226*$BT$2,CB226&lt;$BS226-$BT226*$BT$2),AVEDEV(ARRAYFORMULA(XLOOKUP(FILTER(INDIRECT(""'""&amp;CB$1&amp;""'!$C$4:$C$66""),INDIRECT(""'""&amp;CB$1&amp;""'!$D$4:$D$66"")=CB$2),$G$4:$BQ$4,$G226:$BQ226))),"""")"),"")</f>
        <v/>
      </c>
      <c r="CD226" s="208" t="str">
        <f t="shared" si="10"/>
        <v/>
      </c>
      <c r="CE226" s="209" t="s">
        <v>444</v>
      </c>
      <c r="CF226" s="207">
        <f>IFERROR(__xludf.DUMMYFUNCTION("AVERAGE(ARRAYFORMULA(XLOOKUP(FILTER(INDIRECT(""'""&amp;CF$1&amp;""'!$C$4:$C$66""),INDIRECT(""'""&amp;CF$1&amp;""'!$D$4:$D$66"")=CF$2),$G$4:$BQ$4,$G226:$BQ226)))"),-0.48214285937500007)</f>
        <v>-0.4821428594</v>
      </c>
      <c r="CG226" s="207" t="str">
        <f>IFERROR(__xludf.DUMMYFUNCTION("IF(OR(CF226&gt;$BS226+$BT226*$BT$2,CF226&lt;$BS226-$BT226*$BT$2),AVEDEV(ARRAYFORMULA(XLOOKUP(FILTER(INDIRECT(""'""&amp;CF$1&amp;""'!$C$4:$C$66""),INDIRECT(""'""&amp;CF$1&amp;""'!$D$4:$D$66"")=CF$2),$G$4:$BQ$4,$G226:$BQ226))),"""")"),"")</f>
        <v/>
      </c>
      <c r="CH226" s="208" t="str">
        <f t="shared" si="11"/>
        <v/>
      </c>
      <c r="CI226" s="207">
        <f>IFERROR(__xludf.DUMMYFUNCTION("AVERAGE(ARRAYFORMULA(XLOOKUP(FILTER(INDIRECT(""'""&amp;CI$1&amp;""'!$C$4:$C$66""),INDIRECT(""'""&amp;CI$1&amp;""'!$D$4:$D$66"")=CI$2),$G$4:$BQ$4,$G226:$BQ226)))"),0.1145490529032258)</f>
        <v>0.1145490529</v>
      </c>
      <c r="CJ226" s="207" t="str">
        <f>IFERROR(__xludf.DUMMYFUNCTION("IF(OR(CI226&gt;$BS226+$BT226*$BT$2,CI226&lt;$BS226-$BT226*$BT$2),AVEDEV(ARRAYFORMULA(XLOOKUP(FILTER(INDIRECT(""'""&amp;CI$1&amp;""'!$C$4:$C$66""),INDIRECT(""'""&amp;CI$1&amp;""'!$D$4:$D$66"")=CI$2),$G$4:$BQ$4,$G226:$BQ226))),"""")"),"")</f>
        <v/>
      </c>
      <c r="CK226" s="208" t="str">
        <f t="shared" si="12"/>
        <v/>
      </c>
      <c r="CL226" s="207">
        <f>IFERROR(__xludf.DUMMYFUNCTION("AVERAGE(ARRAYFORMULA(XLOOKUP(FILTER(INDIRECT(""'""&amp;CL$1&amp;""'!$C$4:$C$66""),INDIRECT(""'""&amp;CL$1&amp;""'!$D$4:$D$66"")=CL$2),$G$4:$BQ$4,$G226:$BQ226)))"),0.089795926)</f>
        <v>0.089795926</v>
      </c>
      <c r="CM226" s="207" t="str">
        <f>IFERROR(__xludf.DUMMYFUNCTION("IF(OR(CL226&gt;$BS226+$BT226*$BT$2,CL226&lt;$BS226-$BT226*$BT$2),AVEDEV(ARRAYFORMULA(XLOOKUP(FILTER(INDIRECT(""'""&amp;CL$1&amp;""'!$C$4:$C$66""),INDIRECT(""'""&amp;CL$1&amp;""'!$D$4:$D$66"")=CL$2),$G$4:$BQ$4,$G226:$BQ226))),"""")"),"")</f>
        <v/>
      </c>
      <c r="CN226" s="208" t="str">
        <f t="shared" si="13"/>
        <v/>
      </c>
      <c r="CO226" s="209" t="s">
        <v>444</v>
      </c>
      <c r="CP226" s="210">
        <f>IFERROR(__xludf.DUMMYFUNCTION("AVERAGE(ARRAYFORMULA(XLOOKUP(FILTER(INDIRECT(""'""&amp;CP$1&amp;""'!$C$4:$C$66""),INDIRECT(""'""&amp;CP$1&amp;""'!$D$4:$D$66"")=CP$2),$G$4:$BQ$4,$G226:$BQ226)))"),0.15510204000000002)</f>
        <v>0.15510204</v>
      </c>
      <c r="CQ226" s="207" t="str">
        <f>IFERROR(__xludf.DUMMYFUNCTION("IF(OR(CP226&gt;$BS226+$BT226*$BT$2,CP226&lt;$BS226-$BT226*$BT$2),AVEDEV(ARRAYFORMULA(XLOOKUP(FILTER(INDIRECT(""'""&amp;CP$1&amp;""'!$C$4:$C$66""),INDIRECT(""'""&amp;CP$1&amp;""'!$D$4:$D$66"")=CP$2),$G$4:$BQ$4,$G226:$BQ226))),"""")"),"")</f>
        <v/>
      </c>
      <c r="CR226" s="208" t="str">
        <f t="shared" si="14"/>
        <v/>
      </c>
      <c r="CS226" s="210">
        <f>IFERROR(__xludf.DUMMYFUNCTION("AVERAGE(ARRAYFORMULA(XLOOKUP(FILTER(INDIRECT(""'""&amp;CS$1&amp;""'!$C$4:$C$66""),INDIRECT(""'""&amp;CS$1&amp;""'!$D$4:$D$66"")=CS$2),$G$4:$BQ$4,$G226:$BQ226)))"),-0.23443222974358977)</f>
        <v>-0.2344322297</v>
      </c>
      <c r="CT226" s="207" t="str">
        <f>IFERROR(__xludf.DUMMYFUNCTION("IF(OR(CS226&gt;$BS226+$BT226*$BT$2,CS226&lt;$BS226-$BT226*$BT$2),AVEDEV(ARRAYFORMULA(XLOOKUP(FILTER(INDIRECT(""'""&amp;CS$1&amp;""'!$C$4:$C$66""),INDIRECT(""'""&amp;CS$1&amp;""'!$D$4:$D$66"")=CS$2),$G$4:$BQ$4,$G226:$BQ226))),"""")"),"")</f>
        <v/>
      </c>
      <c r="CU226" s="208" t="str">
        <f t="shared" si="15"/>
        <v/>
      </c>
      <c r="CV226" s="210">
        <f>IFERROR(__xludf.DUMMYFUNCTION("AVERAGE(ARRAYFORMULA(XLOOKUP(FILTER(INDIRECT(""'""&amp;CV$1&amp;""'!$C$4:$C$66""),INDIRECT(""'""&amp;CV$1&amp;""'!$D$4:$D$66"")=CV$2),$G$4:$BQ$4,$G226:$BQ226)))"),0.089795926)</f>
        <v>0.089795926</v>
      </c>
      <c r="CW226" s="207" t="str">
        <f>IFERROR(__xludf.DUMMYFUNCTION("IF(OR(CV226&gt;$BS226+$BT226*$BT$2,CV226&lt;$BS226-$BT226*$BT$2),AVEDEV(ARRAYFORMULA(XLOOKUP(FILTER(INDIRECT(""'""&amp;CV$1&amp;""'!$C$4:$C$66""),INDIRECT(""'""&amp;CV$1&amp;""'!$D$4:$D$66"")=CV$2),$G$4:$BQ$4,$G226:$BQ226))),"""")"),"")</f>
        <v/>
      </c>
      <c r="CX226" s="208" t="str">
        <f t="shared" si="16"/>
        <v/>
      </c>
      <c r="CY226" s="209" t="s">
        <v>444</v>
      </c>
      <c r="CZ226" s="210">
        <f>IFERROR(__xludf.DUMMYFUNCTION("AVERAGE(ARRAYFORMULA(XLOOKUP(FILTER(INDIRECT(""'""&amp;CZ$1&amp;""'!$C$4:$C$66""),INDIRECT(""'""&amp;CZ$1&amp;""'!$D$4:$D$66"")=CZ$2),$G$4:$BQ$4,$G226:$BQ226)))"),-0.5539358621428573)</f>
        <v>-0.5539358621</v>
      </c>
      <c r="DA226" s="207" t="str">
        <f>IFERROR(__xludf.DUMMYFUNCTION("IF(OR(CZ226&gt;$BS226+$BT226*$BT$2,CZ226&lt;$BS226-$BT226*$BT$2),AVEDEV(ARRAYFORMULA(XLOOKUP(FILTER(INDIRECT(""'""&amp;CZ$1&amp;""'!$C$4:$C$66""),INDIRECT(""'""&amp;CZ$1&amp;""'!$D$4:$D$66"")=CZ$2),$G$4:$BQ$4,$G226:$BQ226))),"""")"),"")</f>
        <v/>
      </c>
      <c r="DB226" s="208" t="str">
        <f t="shared" si="17"/>
        <v/>
      </c>
      <c r="DC226" s="210">
        <f>IFERROR(__xludf.DUMMYFUNCTION("AVERAGE(ARRAYFORMULA(XLOOKUP(FILTER(INDIRECT(""'""&amp;DC$1&amp;""'!$C$4:$C$66""),INDIRECT(""'""&amp;DC$1&amp;""'!$D$4:$D$66"")=DC$2),$G$4:$BQ$4,$G226:$BQ226)))"),0.04535148222222222)</f>
        <v>0.04535148222</v>
      </c>
      <c r="DD226" s="207" t="str">
        <f>IFERROR(__xludf.DUMMYFUNCTION("IF(OR(DC226&gt;$BS226+$BT226*$BT$2,DC226&lt;$BS226-$BT226*$BT$2),AVEDEV(ARRAYFORMULA(XLOOKUP(FILTER(INDIRECT(""'""&amp;DC$1&amp;""'!$C$4:$C$66""),INDIRECT(""'""&amp;DC$1&amp;""'!$D$4:$D$66"")=DC$2),$G$4:$BQ$4,$G226:$BQ226))),"""")"),"")</f>
        <v/>
      </c>
      <c r="DE226" s="208" t="str">
        <f t="shared" si="18"/>
        <v/>
      </c>
      <c r="DF226" s="210">
        <f>IFERROR(__xludf.DUMMYFUNCTION("AVERAGE(ARRAYFORMULA(XLOOKUP(FILTER(INDIRECT(""'""&amp;DF$1&amp;""'!$C$4:$C$66""),INDIRECT(""'""&amp;DF$1&amp;""'!$D$4:$D$66"")=DF$2),$G$4:$BQ$4,$G226:$BQ226)))"),0.3747680954545455)</f>
        <v>0.3747680955</v>
      </c>
      <c r="DG226" s="207" t="str">
        <f>IFERROR(__xludf.DUMMYFUNCTION("IF(OR(DF226&gt;$BS226+$BT226*$BT$2,DF226&lt;$BS226-$BT226*$BT$2),AVEDEV(ARRAYFORMULA(XLOOKUP(FILTER(INDIRECT(""'""&amp;DF$1&amp;""'!$C$4:$C$66""),INDIRECT(""'""&amp;DF$1&amp;""'!$D$4:$D$66"")=DF$2),$G$4:$BQ$4,$G226:$BQ226))),"""")"),"")</f>
        <v/>
      </c>
      <c r="DH226" s="208" t="str">
        <f t="shared" si="19"/>
        <v/>
      </c>
      <c r="DI226" s="210">
        <f>IFERROR(__xludf.DUMMYFUNCTION("AVERAGE(ARRAYFORMULA(XLOOKUP(FILTER(INDIRECT(""'""&amp;DI$1&amp;""'!$C$4:$C$66""),INDIRECT(""'""&amp;DI$1&amp;""'!$D$4:$D$66"")=DI$2),$G$4:$BQ$4,$G226:$BQ226)))"),0.22448980500000001)</f>
        <v>0.224489805</v>
      </c>
      <c r="DJ226" s="207" t="str">
        <f>IFERROR(__xludf.DUMMYFUNCTION("IF(OR(DI226&gt;$BS226+$BT226*$BT$2,DI226&lt;$BS226-$BT226*$BT$2),AVEDEV(ARRAYFORMULA(XLOOKUP(FILTER(INDIRECT(""'""&amp;DI$1&amp;""'!$C$4:$C$66""),INDIRECT(""'""&amp;DI$1&amp;""'!$D$4:$D$66"")=DI$2),$G$4:$BQ$4,$G226:$BQ226))),"""")"),"")</f>
        <v/>
      </c>
      <c r="DK226" s="208" t="str">
        <f t="shared" si="20"/>
        <v/>
      </c>
      <c r="DL226" s="210">
        <f>IFERROR(__xludf.DUMMYFUNCTION("AVERAGE(ARRAYFORMULA(XLOOKUP(FILTER(INDIRECT(""'""&amp;DL$1&amp;""'!$C$4:$C$66""),INDIRECT(""'""&amp;DL$1&amp;""'!$D$4:$D$66"")=DL$2),$G$4:$BQ$4,$G226:$BQ226)))"),-0.04664722428571428)</f>
        <v>-0.04664722429</v>
      </c>
      <c r="DM226" s="207" t="str">
        <f>IFERROR(__xludf.DUMMYFUNCTION("IF(OR(DL226&gt;$BS226+$BT226*$BT$2,DL226&lt;$BS226-$BT226*$BT$2),AVEDEV(ARRAYFORMULA(XLOOKUP(FILTER(INDIRECT(""'""&amp;DL$1&amp;""'!$C$4:$C$66""),INDIRECT(""'""&amp;DL$1&amp;""'!$D$4:$D$66"")=DL$2),$G$4:$BQ$4,$G226:$BQ226))),"""")"),"")</f>
        <v/>
      </c>
      <c r="DN226" s="208" t="str">
        <f t="shared" si="21"/>
        <v/>
      </c>
      <c r="DO226" s="209" t="s">
        <v>444</v>
      </c>
      <c r="DP226" s="210">
        <f>IFERROR(__xludf.DUMMYFUNCTION("AVERAGE(ARRAYFORMULA(XLOOKUP(FILTER(INDIRECT(""'""&amp;DP$1&amp;""'!$C$4:$C$66""),INDIRECT(""'""&amp;DP$1&amp;""'!$D$4:$D$66"")=DP$2),$G$4:$BQ$4,$G226:$BQ226)))"),-0.21496598400000005)</f>
        <v>-0.214965984</v>
      </c>
      <c r="DQ226" s="207" t="str">
        <f>IFERROR(__xludf.DUMMYFUNCTION("IF(OR(DP226&gt;$BS226+$BT226*$BT$2,DP226&lt;$BS226-$BT226*$BT$2),AVEDEV(ARRAYFORMULA(XLOOKUP(FILTER(INDIRECT(""'""&amp;DP$1&amp;""'!$C$4:$C$66""),INDIRECT(""'""&amp;DP$1&amp;""'!$D$4:$D$66"")=DP$2),$G$4:$BQ$4,$G226:$BQ226))),"""")"),"")</f>
        <v/>
      </c>
      <c r="DR226" s="208" t="str">
        <f t="shared" si="22"/>
        <v/>
      </c>
      <c r="DS226" s="210">
        <f>IFERROR(__xludf.DUMMYFUNCTION("AVERAGE(ARRAYFORMULA(XLOOKUP(FILTER(INDIRECT(""'""&amp;DS$1&amp;""'!$C$4:$C$66""),INDIRECT(""'""&amp;DS$1&amp;""'!$D$4:$D$66"")=DS$2),$G$4:$BQ$4,$G226:$BQ226)))"),0.058956924444444433)</f>
        <v>0.05895692444</v>
      </c>
      <c r="DT226" s="207" t="str">
        <f>IFERROR(__xludf.DUMMYFUNCTION("IF(OR(DS226&gt;$BS226+$BT226*$BT$2,DS226&lt;$BS226-$BT226*$BT$2),AVEDEV(ARRAYFORMULA(XLOOKUP(FILTER(INDIRECT(""'""&amp;DS$1&amp;""'!$C$4:$C$66""),INDIRECT(""'""&amp;DS$1&amp;""'!$D$4:$D$66"")=DS$2),$G$4:$BQ$4,$G226:$BQ226))),"""")"),"")</f>
        <v/>
      </c>
      <c r="DU226" s="208" t="str">
        <f t="shared" si="23"/>
        <v/>
      </c>
      <c r="DV226" s="210">
        <f>IFERROR(__xludf.DUMMYFUNCTION("AVERAGE(ARRAYFORMULA(XLOOKUP(FILTER(INDIRECT(""'""&amp;DV$1&amp;""'!$C$4:$C$66""),INDIRECT(""'""&amp;DV$1&amp;""'!$D$4:$D$66"")=DV$2),$G$4:$BQ$4,$G226:$BQ226)))"),8.750000012741621E-9)</f>
        <v>0.000000008750000013</v>
      </c>
      <c r="DW226" s="207" t="str">
        <f>IFERROR(__xludf.DUMMYFUNCTION("IF(OR(DV226&gt;$BS226+$BT226*$BT$2,DV226&lt;$BS226-$BT226*$BT$2),AVEDEV(ARRAYFORMULA(XLOOKUP(FILTER(INDIRECT(""'""&amp;DV$1&amp;""'!$C$4:$C$66""),INDIRECT(""'""&amp;DV$1&amp;""'!$D$4:$D$66"")=DV$2),$G$4:$BQ$4,$G226:$BQ226))),"""")"),"")</f>
        <v/>
      </c>
      <c r="DX226" s="208" t="str">
        <f t="shared" si="24"/>
        <v/>
      </c>
      <c r="DY226" s="210">
        <f>IFERROR(__xludf.DUMMYFUNCTION("AVERAGE(ARRAYFORMULA(XLOOKUP(FILTER(INDIRECT(""'""&amp;DY$1&amp;""'!$C$4:$C$66""),INDIRECT(""'""&amp;DY$1&amp;""'!$D$4:$D$66"")=DY$2),$G$4:$BQ$4,$G226:$BQ226)))"),0.14965986444444443)</f>
        <v>0.1496598644</v>
      </c>
      <c r="DZ226" s="207" t="str">
        <f>IFERROR(__xludf.DUMMYFUNCTION("IF(OR(DY226&gt;$BS226+$BT226*$BT$2,DY226&lt;$BS226-$BT226*$BT$2),AVEDEV(ARRAYFORMULA(XLOOKUP(FILTER(INDIRECT(""'""&amp;DY$1&amp;""'!$C$4:$C$66""),INDIRECT(""'""&amp;DY$1&amp;""'!$D$4:$D$66"")=DY$2),$G$4:$BQ$4,$G226:$BQ226))),"""")"),"")</f>
        <v/>
      </c>
      <c r="EA226" s="208" t="str">
        <f t="shared" si="25"/>
        <v/>
      </c>
      <c r="EB226" s="191"/>
    </row>
    <row r="227" outlineLevel="1">
      <c r="A227" s="2"/>
      <c r="B227" s="204">
        <v>223.0</v>
      </c>
      <c r="C227" s="204" t="s">
        <v>671</v>
      </c>
      <c r="D227" s="204" t="s">
        <v>673</v>
      </c>
      <c r="E227" s="205" t="b">
        <f>VLOOKUP(D227,'Feature Set List'!A223:C246,2,0)</f>
        <v>1</v>
      </c>
      <c r="F227" s="205" t="b">
        <f>VLOOKUP(D227,'Feature Set List'!A223:C246,3,0)</f>
        <v>0</v>
      </c>
      <c r="G227" s="205">
        <v>0.84339315</v>
      </c>
      <c r="H227" s="205">
        <v>0.03425775</v>
      </c>
      <c r="I227" s="205">
        <v>-0.2088091</v>
      </c>
      <c r="J227" s="205">
        <v>-0.2936378</v>
      </c>
      <c r="K227" s="205">
        <v>-0.4812398</v>
      </c>
      <c r="L227" s="205">
        <v>-0.2936378</v>
      </c>
      <c r="M227" s="205">
        <v>0.98205546</v>
      </c>
      <c r="N227" s="205">
        <v>-0.5040783</v>
      </c>
      <c r="O227" s="205">
        <v>0.96084829</v>
      </c>
      <c r="P227" s="205">
        <v>-1.0880914</v>
      </c>
      <c r="Q227" s="205">
        <v>-0.1631321</v>
      </c>
      <c r="R227" s="205">
        <v>0.55301794</v>
      </c>
      <c r="S227" s="205">
        <v>1.21207178</v>
      </c>
      <c r="T227" s="205">
        <v>0.0</v>
      </c>
      <c r="U227" s="205">
        <v>0.908646</v>
      </c>
      <c r="V227" s="205">
        <v>-1.5986949</v>
      </c>
      <c r="W227" s="205">
        <v>-0.1305057</v>
      </c>
      <c r="X227" s="205">
        <v>-1.5900489</v>
      </c>
      <c r="Y227" s="205">
        <v>1.42414356</v>
      </c>
      <c r="Z227" s="205">
        <v>0.07993475</v>
      </c>
      <c r="AA227" s="205">
        <v>0.04730832</v>
      </c>
      <c r="AB227" s="205">
        <v>-1.045677</v>
      </c>
      <c r="AC227" s="205">
        <v>0.16313214</v>
      </c>
      <c r="AD227" s="205">
        <v>-0.4453507</v>
      </c>
      <c r="AE227" s="205">
        <v>-0.725938</v>
      </c>
      <c r="AF227" s="205">
        <v>0.13376835</v>
      </c>
      <c r="AG227" s="205">
        <v>0.91517129</v>
      </c>
      <c r="AH227" s="205">
        <v>0.57096248</v>
      </c>
      <c r="AI227" s="205">
        <v>-1.137031</v>
      </c>
      <c r="AJ227" s="205">
        <v>-0.0032626</v>
      </c>
      <c r="AK227" s="205">
        <v>-1.71354</v>
      </c>
      <c r="AL227" s="205">
        <v>-0.3458401</v>
      </c>
      <c r="AM227" s="205">
        <v>1.64274062</v>
      </c>
      <c r="AN227" s="205">
        <v>-0.0309951</v>
      </c>
      <c r="AO227" s="205">
        <v>0.31158238</v>
      </c>
      <c r="AP227" s="205">
        <v>-0.9526917</v>
      </c>
      <c r="AQ227" s="205">
        <v>0.33931485</v>
      </c>
      <c r="AR227" s="205">
        <v>-0.2022838</v>
      </c>
      <c r="AS227" s="205">
        <v>-0.4420881</v>
      </c>
      <c r="AT227" s="205">
        <v>0.05709625</v>
      </c>
      <c r="AU227" s="205">
        <v>-2.9314845</v>
      </c>
      <c r="AV227" s="205">
        <v>0.70146819</v>
      </c>
      <c r="AW227" s="205">
        <v>-1.7549755</v>
      </c>
      <c r="AX227" s="205">
        <v>-0.3898858</v>
      </c>
      <c r="AY227" s="205">
        <v>-0.2251223</v>
      </c>
      <c r="AZ227" s="205">
        <v>0.20391517</v>
      </c>
      <c r="BA227" s="205">
        <v>0.18433931</v>
      </c>
      <c r="BB227" s="205">
        <v>0.11908646</v>
      </c>
      <c r="BC227" s="205">
        <v>0.57748777</v>
      </c>
      <c r="BD227" s="205">
        <v>-0.0424144</v>
      </c>
      <c r="BE227" s="205">
        <v>-0.1044046</v>
      </c>
      <c r="BF227" s="205">
        <v>0.26916803</v>
      </c>
      <c r="BG227" s="205">
        <v>-0.091354</v>
      </c>
      <c r="BH227" s="205">
        <v>-0.8287113</v>
      </c>
      <c r="BI227" s="205">
        <v>0.72920065</v>
      </c>
      <c r="BJ227" s="205">
        <v>0.94453507</v>
      </c>
      <c r="BK227" s="205">
        <v>0.27406199</v>
      </c>
      <c r="BL227" s="205">
        <v>1.73409462</v>
      </c>
      <c r="BM227" s="205">
        <v>0.28874388</v>
      </c>
      <c r="BN227" s="205">
        <v>0.55954323</v>
      </c>
      <c r="BO227" s="205">
        <v>0.6949429</v>
      </c>
      <c r="BP227" s="205">
        <v>-0.766721</v>
      </c>
      <c r="BQ227" s="205">
        <v>-0.5791191</v>
      </c>
      <c r="BR227" s="206"/>
      <c r="BS227" s="207">
        <f t="shared" si="6"/>
        <v>-0.04207513921</v>
      </c>
      <c r="BT227" s="207">
        <f t="shared" si="7"/>
        <v>0.6303596718</v>
      </c>
      <c r="BU227" s="206"/>
      <c r="BV227" s="207">
        <f>IFERROR(__xludf.DUMMYFUNCTION("AVERAGE(ARRAYFORMULA(XLOOKUP(FILTER(INDIRECT(""'""&amp;BV$1&amp;""'!$C$4:$C$66""),INDIRECT(""'""&amp;BV$1&amp;""'!$D$4:$D$66"")=BV$2),$G$4:$BQ$4,$G227:$BQ227)))"),0.16483337999999997)</f>
        <v>0.16483338</v>
      </c>
      <c r="BW227" s="207" t="str">
        <f>IFERROR(__xludf.DUMMYFUNCTION("IF(OR(BV227&gt;$BS227+$BT227*$BT$2,BV227&lt;$BS227-$BT227*$BT$2),AVEDEV(ARRAYFORMULA(XLOOKUP(FILTER(INDIRECT(""'""&amp;BV$1&amp;""'!$C$4:$C$66""),INDIRECT(""'""&amp;BV$1&amp;""'!$D$4:$D$66"")=BV$2),$G$4:$BQ$4,$G227:$BQ227))),"""")"),"")</f>
        <v/>
      </c>
      <c r="BX227" s="208" t="str">
        <f t="shared" si="8"/>
        <v/>
      </c>
      <c r="BY227" s="207">
        <f>IFERROR(__xludf.DUMMYFUNCTION("AVERAGE(ARRAYFORMULA(XLOOKUP(FILTER(INDIRECT(""'""&amp;BY$1&amp;""'!$C$4:$C$66""),INDIRECT(""'""&amp;BY$1&amp;""'!$D$4:$D$66"")=BY$2),$G$4:$BQ$4,$G227:$BQ227)))"),-0.0754757954761905)</f>
        <v>-0.07547579548</v>
      </c>
      <c r="BZ227" s="207" t="str">
        <f>IFERROR(__xludf.DUMMYFUNCTION("IF(OR(BY227&gt;$BS227+$BT227*$BT$2,BY227&lt;$BS227-$BT227*$BT$2),AVEDEV(ARRAYFORMULA(XLOOKUP(FILTER(INDIRECT(""'""&amp;BY$1&amp;""'!$C$4:$C$66""),INDIRECT(""'""&amp;BY$1&amp;""'!$D$4:$D$66"")=BY$2),$G$4:$BQ$4,$G227:$BQ227))),"""")"),"")</f>
        <v/>
      </c>
      <c r="CA227" s="208" t="str">
        <f t="shared" si="9"/>
        <v/>
      </c>
      <c r="CB227" s="207">
        <f>IFERROR(__xludf.DUMMYFUNCTION("AVERAGE(ARRAYFORMULA(XLOOKUP(FILTER(INDIRECT(""'""&amp;CB$1&amp;""'!$C$4:$C$66""),INDIRECT(""'""&amp;CB$1&amp;""'!$D$4:$D$66"")=CB$2),$G$4:$BQ$4,$G227:$BQ227)))"),0.23164763454545456)</f>
        <v>0.2316476345</v>
      </c>
      <c r="CC227" s="207" t="str">
        <f>IFERROR(__xludf.DUMMYFUNCTION("IF(OR(CB227&gt;$BS227+$BT227*$BT$2,CB227&lt;$BS227-$BT227*$BT$2),AVEDEV(ARRAYFORMULA(XLOOKUP(FILTER(INDIRECT(""'""&amp;CB$1&amp;""'!$C$4:$C$66""),INDIRECT(""'""&amp;CB$1&amp;""'!$D$4:$D$66"")=CB$2),$G$4:$BQ$4,$G227:$BQ227))),"""")"),"")</f>
        <v/>
      </c>
      <c r="CD227" s="208" t="str">
        <f t="shared" si="10"/>
        <v/>
      </c>
      <c r="CE227" s="209" t="s">
        <v>444</v>
      </c>
      <c r="CF227" s="207">
        <f>IFERROR(__xludf.DUMMYFUNCTION("AVERAGE(ARRAYFORMULA(XLOOKUP(FILTER(INDIRECT(""'""&amp;CF$1&amp;""'!$C$4:$C$66""),INDIRECT(""'""&amp;CF$1&amp;""'!$D$4:$D$66"")=CF$2),$G$4:$BQ$4,$G227:$BQ227)))"),-0.40744289812499995)</f>
        <v>-0.4074428981</v>
      </c>
      <c r="CG227" s="207" t="str">
        <f>IFERROR(__xludf.DUMMYFUNCTION("IF(OR(CF227&gt;$BS227+$BT227*$BT$2,CF227&lt;$BS227-$BT227*$BT$2),AVEDEV(ARRAYFORMULA(XLOOKUP(FILTER(INDIRECT(""'""&amp;CF$1&amp;""'!$C$4:$C$66""),INDIRECT(""'""&amp;CF$1&amp;""'!$D$4:$D$66"")=CF$2),$G$4:$BQ$4,$G227:$BQ227))),"""")"),"")</f>
        <v/>
      </c>
      <c r="CH227" s="208" t="str">
        <f t="shared" si="11"/>
        <v/>
      </c>
      <c r="CI227" s="207">
        <f>IFERROR(__xludf.DUMMYFUNCTION("AVERAGE(ARRAYFORMULA(XLOOKUP(FILTER(INDIRECT(""'""&amp;CI$1&amp;""'!$C$4:$C$66""),INDIRECT(""'""&amp;CI$1&amp;""'!$D$4:$D$66"")=CI$2),$G$4:$BQ$4,$G227:$BQ227)))"),0.21928117290322582)</f>
        <v>0.2192811729</v>
      </c>
      <c r="CJ227" s="207" t="str">
        <f>IFERROR(__xludf.DUMMYFUNCTION("IF(OR(CI227&gt;$BS227+$BT227*$BT$2,CI227&lt;$BS227-$BT227*$BT$2),AVEDEV(ARRAYFORMULA(XLOOKUP(FILTER(INDIRECT(""'""&amp;CI$1&amp;""'!$C$4:$C$66""),INDIRECT(""'""&amp;CI$1&amp;""'!$D$4:$D$66"")=CI$2),$G$4:$BQ$4,$G227:$BQ227))),"""")"),"")</f>
        <v/>
      </c>
      <c r="CK227" s="208" t="str">
        <f t="shared" si="12"/>
        <v/>
      </c>
      <c r="CL227" s="207">
        <f>IFERROR(__xludf.DUMMYFUNCTION("AVERAGE(ARRAYFORMULA(XLOOKUP(FILTER(INDIRECT(""'""&amp;CL$1&amp;""'!$C$4:$C$66""),INDIRECT(""'""&amp;CL$1&amp;""'!$D$4:$D$66"")=CL$2),$G$4:$BQ$4,$G227:$BQ227)))"),-0.287438838)</f>
        <v>-0.287438838</v>
      </c>
      <c r="CM227" s="207" t="str">
        <f>IFERROR(__xludf.DUMMYFUNCTION("IF(OR(CL227&gt;$BS227+$BT227*$BT$2,CL227&lt;$BS227-$BT227*$BT$2),AVEDEV(ARRAYFORMULA(XLOOKUP(FILTER(INDIRECT(""'""&amp;CL$1&amp;""'!$C$4:$C$66""),INDIRECT(""'""&amp;CL$1&amp;""'!$D$4:$D$66"")=CL$2),$G$4:$BQ$4,$G227:$BQ227))),"""")"),"")</f>
        <v/>
      </c>
      <c r="CN227" s="208" t="str">
        <f t="shared" si="13"/>
        <v/>
      </c>
      <c r="CO227" s="209" t="s">
        <v>444</v>
      </c>
      <c r="CP227" s="210">
        <f>IFERROR(__xludf.DUMMYFUNCTION("AVERAGE(ARRAYFORMULA(XLOOKUP(FILTER(INDIRECT(""'""&amp;CP$1&amp;""'!$C$4:$C$66""),INDIRECT(""'""&amp;CP$1&amp;""'!$D$4:$D$66"")=CP$2),$G$4:$BQ$4,$G227:$BQ227)))"),0.07648722266666669)</f>
        <v>0.07648722267</v>
      </c>
      <c r="CQ227" s="207" t="str">
        <f>IFERROR(__xludf.DUMMYFUNCTION("IF(OR(CP227&gt;$BS227+$BT227*$BT$2,CP227&lt;$BS227-$BT227*$BT$2),AVEDEV(ARRAYFORMULA(XLOOKUP(FILTER(INDIRECT(""'""&amp;CP$1&amp;""'!$C$4:$C$66""),INDIRECT(""'""&amp;CP$1&amp;""'!$D$4:$D$66"")=CP$2),$G$4:$BQ$4,$G227:$BQ227))),"""")"),"")</f>
        <v/>
      </c>
      <c r="CR227" s="208" t="str">
        <f t="shared" si="14"/>
        <v/>
      </c>
      <c r="CS227" s="210">
        <f>IFERROR(__xludf.DUMMYFUNCTION("AVERAGE(ARRAYFORMULA(XLOOKUP(FILTER(INDIRECT(""'""&amp;CS$1&amp;""'!$C$4:$C$66""),INDIRECT(""'""&amp;CS$1&amp;""'!$D$4:$D$66"")=CS$2),$G$4:$BQ$4,$G227:$BQ227)))"),-0.023390629230769212)</f>
        <v>-0.02339062923</v>
      </c>
      <c r="CT227" s="207" t="str">
        <f>IFERROR(__xludf.DUMMYFUNCTION("IF(OR(CS227&gt;$BS227+$BT227*$BT$2,CS227&lt;$BS227-$BT227*$BT$2),AVEDEV(ARRAYFORMULA(XLOOKUP(FILTER(INDIRECT(""'""&amp;CS$1&amp;""'!$C$4:$C$66""),INDIRECT(""'""&amp;CS$1&amp;""'!$D$4:$D$66"")=CS$2),$G$4:$BQ$4,$G227:$BQ227))),"""")"),"")</f>
        <v/>
      </c>
      <c r="CU227" s="208" t="str">
        <f t="shared" si="15"/>
        <v/>
      </c>
      <c r="CV227" s="210">
        <f>IFERROR(__xludf.DUMMYFUNCTION("AVERAGE(ARRAYFORMULA(XLOOKUP(FILTER(INDIRECT(""'""&amp;CV$1&amp;""'!$C$4:$C$66""),INDIRECT(""'""&amp;CV$1&amp;""'!$D$4:$D$66"")=CV$2),$G$4:$BQ$4,$G227:$BQ227)))"),-0.287438838)</f>
        <v>-0.287438838</v>
      </c>
      <c r="CW227" s="207" t="str">
        <f>IFERROR(__xludf.DUMMYFUNCTION("IF(OR(CV227&gt;$BS227+$BT227*$BT$2,CV227&lt;$BS227-$BT227*$BT$2),AVEDEV(ARRAYFORMULA(XLOOKUP(FILTER(INDIRECT(""'""&amp;CV$1&amp;""'!$C$4:$C$66""),INDIRECT(""'""&amp;CV$1&amp;""'!$D$4:$D$66"")=CV$2),$G$4:$BQ$4,$G227:$BQ227))),"""")"),"")</f>
        <v/>
      </c>
      <c r="CX227" s="208" t="str">
        <f t="shared" si="16"/>
        <v/>
      </c>
      <c r="CY227" s="209" t="s">
        <v>444</v>
      </c>
      <c r="CZ227" s="210">
        <f>IFERROR(__xludf.DUMMYFUNCTION("AVERAGE(ARRAYFORMULA(XLOOKUP(FILTER(INDIRECT(""'""&amp;CZ$1&amp;""'!$C$4:$C$66""),INDIRECT(""'""&amp;CZ$1&amp;""'!$D$4:$D$66"")=CZ$2),$G$4:$BQ$4,$G227:$BQ227)))"),-0.5138895278571428)</f>
        <v>-0.5138895279</v>
      </c>
      <c r="DA227" s="207" t="str">
        <f>IFERROR(__xludf.DUMMYFUNCTION("IF(OR(CZ227&gt;$BS227+$BT227*$BT$2,CZ227&lt;$BS227-$BT227*$BT$2),AVEDEV(ARRAYFORMULA(XLOOKUP(FILTER(INDIRECT(""'""&amp;CZ$1&amp;""'!$C$4:$C$66""),INDIRECT(""'""&amp;CZ$1&amp;""'!$D$4:$D$66"")=CZ$2),$G$4:$BQ$4,$G227:$BQ227))),"""")"),"")</f>
        <v/>
      </c>
      <c r="DB227" s="208" t="str">
        <f t="shared" si="17"/>
        <v/>
      </c>
      <c r="DC227" s="210">
        <f>IFERROR(__xludf.DUMMYFUNCTION("AVERAGE(ARRAYFORMULA(XLOOKUP(FILTER(INDIRECT(""'""&amp;DC$1&amp;""'!$C$4:$C$66""),INDIRECT(""'""&amp;DC$1&amp;""'!$D$4:$D$66"")=DC$2),$G$4:$BQ$4,$G227:$BQ227)))"),0.22838499222222225)</f>
        <v>0.2283849922</v>
      </c>
      <c r="DD227" s="207" t="str">
        <f>IFERROR(__xludf.DUMMYFUNCTION("IF(OR(DC227&gt;$BS227+$BT227*$BT$2,DC227&lt;$BS227-$BT227*$BT$2),AVEDEV(ARRAYFORMULA(XLOOKUP(FILTER(INDIRECT(""'""&amp;DC$1&amp;""'!$C$4:$C$66""),INDIRECT(""'""&amp;DC$1&amp;""'!$D$4:$D$66"")=DC$2),$G$4:$BQ$4,$G227:$BQ227))),"""")"),"")</f>
        <v/>
      </c>
      <c r="DE227" s="208" t="str">
        <f t="shared" si="18"/>
        <v/>
      </c>
      <c r="DF227" s="210">
        <f>IFERROR(__xludf.DUMMYFUNCTION("AVERAGE(ARRAYFORMULA(XLOOKUP(FILTER(INDIRECT(""'""&amp;DF$1&amp;""'!$C$4:$C$66""),INDIRECT(""'""&amp;DF$1&amp;""'!$D$4:$D$66"")=DF$2),$G$4:$BQ$4,$G227:$BQ227)))"),0.37787335)</f>
        <v>0.37787335</v>
      </c>
      <c r="DG227" s="207" t="str">
        <f>IFERROR(__xludf.DUMMYFUNCTION("IF(OR(DF227&gt;$BS227+$BT227*$BT$2,DF227&lt;$BS227-$BT227*$BT$2),AVEDEV(ARRAYFORMULA(XLOOKUP(FILTER(INDIRECT(""'""&amp;DF$1&amp;""'!$C$4:$C$66""),INDIRECT(""'""&amp;DF$1&amp;""'!$D$4:$D$66"")=DF$2),$G$4:$BQ$4,$G227:$BQ227))),"""")"),"")</f>
        <v/>
      </c>
      <c r="DH227" s="208" t="str">
        <f t="shared" si="19"/>
        <v/>
      </c>
      <c r="DI227" s="210">
        <f>IFERROR(__xludf.DUMMYFUNCTION("AVERAGE(ARRAYFORMULA(XLOOKUP(FILTER(INDIRECT(""'""&amp;DI$1&amp;""'!$C$4:$C$66""),INDIRECT(""'""&amp;DI$1&amp;""'!$D$4:$D$66"")=DI$2),$G$4:$BQ$4,$G227:$BQ227)))"),-0.637031)</f>
        <v>-0.637031</v>
      </c>
      <c r="DJ227" s="207" t="str">
        <f>IFERROR(__xludf.DUMMYFUNCTION("IF(OR(DI227&gt;$BS227+$BT227*$BT$2,DI227&lt;$BS227-$BT227*$BT$2),AVEDEV(ARRAYFORMULA(XLOOKUP(FILTER(INDIRECT(""'""&amp;DI$1&amp;""'!$C$4:$C$66""),INDIRECT(""'""&amp;DI$1&amp;""'!$D$4:$D$66"")=DI$2),$G$4:$BQ$4,$G227:$BQ227))),"""")"),"")</f>
        <v/>
      </c>
      <c r="DK227" s="208" t="str">
        <f t="shared" si="20"/>
        <v/>
      </c>
      <c r="DL227" s="210">
        <f>IFERROR(__xludf.DUMMYFUNCTION("AVERAGE(ARRAYFORMULA(XLOOKUP(FILTER(INDIRECT(""'""&amp;DL$1&amp;""'!$C$4:$C$66""),INDIRECT(""'""&amp;DL$1&amp;""'!$D$4:$D$66"")=DL$2),$G$4:$BQ$4,$G227:$BQ227)))"),0.16208344285714288)</f>
        <v>0.1620834429</v>
      </c>
      <c r="DM227" s="207" t="str">
        <f>IFERROR(__xludf.DUMMYFUNCTION("IF(OR(DL227&gt;$BS227+$BT227*$BT$2,DL227&lt;$BS227-$BT227*$BT$2),AVEDEV(ARRAYFORMULA(XLOOKUP(FILTER(INDIRECT(""'""&amp;DL$1&amp;""'!$C$4:$C$66""),INDIRECT(""'""&amp;DL$1&amp;""'!$D$4:$D$66"")=DL$2),$G$4:$BQ$4,$G227:$BQ227))),"""")"),"")</f>
        <v/>
      </c>
      <c r="DN227" s="208" t="str">
        <f t="shared" si="21"/>
        <v/>
      </c>
      <c r="DO227" s="209" t="s">
        <v>444</v>
      </c>
      <c r="DP227" s="210">
        <f>IFERROR(__xludf.DUMMYFUNCTION("AVERAGE(ARRAYFORMULA(XLOOKUP(FILTER(INDIRECT(""'""&amp;DP$1&amp;""'!$C$4:$C$66""),INDIRECT(""'""&amp;DP$1&amp;""'!$D$4:$D$66"")=DP$2),$G$4:$BQ$4,$G227:$BQ227)))"),-0.19501902733333334)</f>
        <v>-0.1950190273</v>
      </c>
      <c r="DQ227" s="207" t="str">
        <f>IFERROR(__xludf.DUMMYFUNCTION("IF(OR(DP227&gt;$BS227+$BT227*$BT$2,DP227&lt;$BS227-$BT227*$BT$2),AVEDEV(ARRAYFORMULA(XLOOKUP(FILTER(INDIRECT(""'""&amp;DP$1&amp;""'!$C$4:$C$66""),INDIRECT(""'""&amp;DP$1&amp;""'!$D$4:$D$66"")=DP$2),$G$4:$BQ$4,$G227:$BQ227))),"""")"),"")</f>
        <v/>
      </c>
      <c r="DR227" s="208" t="str">
        <f t="shared" si="22"/>
        <v/>
      </c>
      <c r="DS227" s="210">
        <f>IFERROR(__xludf.DUMMYFUNCTION("AVERAGE(ARRAYFORMULA(XLOOKUP(FILTER(INDIRECT(""'""&amp;DS$1&amp;""'!$C$4:$C$66""),INDIRECT(""'""&amp;DS$1&amp;""'!$D$4:$D$66"")=DS$2),$G$4:$BQ$4,$G227:$BQ227)))"),0.16530723222222224)</f>
        <v>0.1653072322</v>
      </c>
      <c r="DT227" s="207" t="str">
        <f>IFERROR(__xludf.DUMMYFUNCTION("IF(OR(DS227&gt;$BS227+$BT227*$BT$2,DS227&lt;$BS227-$BT227*$BT$2),AVEDEV(ARRAYFORMULA(XLOOKUP(FILTER(INDIRECT(""'""&amp;DS$1&amp;""'!$C$4:$C$66""),INDIRECT(""'""&amp;DS$1&amp;""'!$D$4:$D$66"")=DS$2),$G$4:$BQ$4,$G227:$BQ227))),"""")"),"")</f>
        <v/>
      </c>
      <c r="DU227" s="208" t="str">
        <f t="shared" si="23"/>
        <v/>
      </c>
      <c r="DV227" s="210">
        <f>IFERROR(__xludf.DUMMYFUNCTION("AVERAGE(ARRAYFORMULA(XLOOKUP(FILTER(INDIRECT(""'""&amp;DV$1&amp;""'!$C$4:$C$66""),INDIRECT(""'""&amp;DV$1&amp;""'!$D$4:$D$66"")=DV$2),$G$4:$BQ$4,$G227:$BQ227)))"),0.4571778250000001)</f>
        <v>0.457177825</v>
      </c>
      <c r="DW227" s="207" t="str">
        <f>IFERROR(__xludf.DUMMYFUNCTION("IF(OR(DV227&gt;$BS227+$BT227*$BT$2,DV227&lt;$BS227-$BT227*$BT$2),AVEDEV(ARRAYFORMULA(XLOOKUP(FILTER(INDIRECT(""'""&amp;DV$1&amp;""'!$C$4:$C$66""),INDIRECT(""'""&amp;DV$1&amp;""'!$D$4:$D$66"")=DV$2),$G$4:$BQ$4,$G227:$BQ227))),"""")"),"")</f>
        <v/>
      </c>
      <c r="DX227" s="208" t="str">
        <f t="shared" si="24"/>
        <v/>
      </c>
      <c r="DY227" s="210">
        <f>IFERROR(__xludf.DUMMYFUNCTION("AVERAGE(ARRAYFORMULA(XLOOKUP(FILTER(INDIRECT(""'""&amp;DY$1&amp;""'!$C$4:$C$66""),INDIRECT(""'""&amp;DY$1&amp;""'!$D$4:$D$66"")=DY$2),$G$4:$BQ$4,$G227:$BQ227)))"),0.10933478444444446)</f>
        <v>0.1093347844</v>
      </c>
      <c r="DZ227" s="207" t="str">
        <f>IFERROR(__xludf.DUMMYFUNCTION("IF(OR(DY227&gt;$BS227+$BT227*$BT$2,DY227&lt;$BS227-$BT227*$BT$2),AVEDEV(ARRAYFORMULA(XLOOKUP(FILTER(INDIRECT(""'""&amp;DY$1&amp;""'!$C$4:$C$66""),INDIRECT(""'""&amp;DY$1&amp;""'!$D$4:$D$66"")=DY$2),$G$4:$BQ$4,$G227:$BQ227))),"""")"),"")</f>
        <v/>
      </c>
      <c r="EA227" s="208" t="str">
        <f t="shared" si="25"/>
        <v/>
      </c>
      <c r="EB227" s="191"/>
    </row>
    <row r="228" outlineLevel="1">
      <c r="A228" s="2"/>
      <c r="B228" s="204">
        <v>224.0</v>
      </c>
      <c r="C228" s="204" t="s">
        <v>671</v>
      </c>
      <c r="D228" s="204" t="s">
        <v>674</v>
      </c>
      <c r="E228" s="205" t="b">
        <f>VLOOKUP(D228,'Feature Set List'!A224:C246,2,0)</f>
        <v>1</v>
      </c>
      <c r="F228" s="205" t="b">
        <f>VLOOKUP(D228,'Feature Set List'!A224:C246,3,0)</f>
        <v>0</v>
      </c>
      <c r="G228" s="205">
        <v>0.35800236</v>
      </c>
      <c r="H228" s="205">
        <v>-0.7451042</v>
      </c>
      <c r="I228" s="205">
        <v>0.10460087</v>
      </c>
      <c r="J228" s="205">
        <v>-0.3652379</v>
      </c>
      <c r="K228" s="205">
        <v>-0.6441211</v>
      </c>
      <c r="L228" s="205">
        <v>0.47597326</v>
      </c>
      <c r="M228" s="205">
        <v>1.37097916</v>
      </c>
      <c r="N228" s="205">
        <v>-0.1118364</v>
      </c>
      <c r="O228" s="205">
        <v>-0.0075501</v>
      </c>
      <c r="P228" s="205">
        <v>0.15996854</v>
      </c>
      <c r="Q228" s="205">
        <v>-0.3595753</v>
      </c>
      <c r="R228" s="205">
        <v>0.78584349</v>
      </c>
      <c r="S228" s="205">
        <v>0.13841919</v>
      </c>
      <c r="T228" s="205">
        <v>0.19127015</v>
      </c>
      <c r="U228" s="205">
        <v>0.0</v>
      </c>
      <c r="V228" s="205">
        <v>-0.5832481</v>
      </c>
      <c r="W228" s="205">
        <v>0.52473457</v>
      </c>
      <c r="X228" s="205">
        <v>-1.1535981</v>
      </c>
      <c r="Y228" s="205">
        <v>1.21368462</v>
      </c>
      <c r="Z228" s="205">
        <v>0.9525757</v>
      </c>
      <c r="AA228" s="205">
        <v>-0.0907589</v>
      </c>
      <c r="AB228" s="205">
        <v>-0.0353913</v>
      </c>
      <c r="AC228" s="205">
        <v>0.30766811</v>
      </c>
      <c r="AD228" s="205">
        <v>0.01808887</v>
      </c>
      <c r="AE228" s="205">
        <v>-0.7328352</v>
      </c>
      <c r="AF228" s="205">
        <v>0.61124656</v>
      </c>
      <c r="AG228" s="205">
        <v>-0.7130161</v>
      </c>
      <c r="AH228" s="205">
        <v>0.11466772</v>
      </c>
      <c r="AI228" s="205">
        <v>-0.237672</v>
      </c>
      <c r="AJ228" s="205">
        <v>-0.7042076</v>
      </c>
      <c r="AK228" s="205">
        <v>-0.539363</v>
      </c>
      <c r="AL228" s="205">
        <v>0.30766811</v>
      </c>
      <c r="AM228" s="205">
        <v>0.56248525</v>
      </c>
      <c r="AN228" s="205">
        <v>-0.0371215</v>
      </c>
      <c r="AO228" s="205">
        <v>0.8173024</v>
      </c>
      <c r="AP228" s="205">
        <v>-0.8279984</v>
      </c>
      <c r="AQ228" s="205">
        <v>0.86449076</v>
      </c>
      <c r="AR228" s="205">
        <v>-0.3325206</v>
      </c>
      <c r="AS228" s="205">
        <v>0.77955171</v>
      </c>
      <c r="AT228" s="205">
        <v>-0.7032639</v>
      </c>
      <c r="AU228" s="205">
        <v>-1.3407786</v>
      </c>
      <c r="AV228" s="205">
        <v>-0.6710185</v>
      </c>
      <c r="AW228" s="205">
        <v>-0.5763272</v>
      </c>
      <c r="AX228" s="205">
        <v>-0.5272513</v>
      </c>
      <c r="AY228" s="205">
        <v>-0.7194652</v>
      </c>
      <c r="AZ228" s="205">
        <v>-0.0514353</v>
      </c>
      <c r="BA228" s="205">
        <v>0.19142745</v>
      </c>
      <c r="BB228" s="205">
        <v>-0.9421943</v>
      </c>
      <c r="BC228" s="205">
        <v>-0.0805348</v>
      </c>
      <c r="BD228" s="205">
        <v>0.40833661</v>
      </c>
      <c r="BE228" s="205">
        <v>-0.1115218</v>
      </c>
      <c r="BF228" s="205">
        <v>0.68517499</v>
      </c>
      <c r="BG228" s="205">
        <v>0.92898152</v>
      </c>
      <c r="BH228" s="205">
        <v>-1.115061</v>
      </c>
      <c r="BI228" s="205">
        <v>1.10829729</v>
      </c>
      <c r="BJ228" s="205">
        <v>-0.7076681</v>
      </c>
      <c r="BK228" s="205">
        <v>0.07723162</v>
      </c>
      <c r="BL228" s="205">
        <v>0.03602045</v>
      </c>
      <c r="BM228" s="205">
        <v>1.38198978</v>
      </c>
      <c r="BN228" s="205">
        <v>0.39889894</v>
      </c>
      <c r="BO228" s="205">
        <v>0.35485647</v>
      </c>
      <c r="BP228" s="205">
        <v>0.57192293</v>
      </c>
      <c r="BQ228" s="205">
        <v>-0.1640582</v>
      </c>
      <c r="BR228" s="206"/>
      <c r="BS228" s="207">
        <f t="shared" si="6"/>
        <v>0.01381945159</v>
      </c>
      <c r="BT228" s="207">
        <f t="shared" si="7"/>
        <v>0.5198081413</v>
      </c>
      <c r="BU228" s="206"/>
      <c r="BV228" s="207">
        <f>IFERROR(__xludf.DUMMYFUNCTION("AVERAGE(ARRAYFORMULA(XLOOKUP(FILTER(INDIRECT(""'""&amp;BV$1&amp;""'!$C$4:$C$66""),INDIRECT(""'""&amp;BV$1&amp;""'!$D$4:$D$66"")=BV$2),$G$4:$BQ$4,$G228:$BQ228)))"),-0.29620807857142856)</f>
        <v>-0.2962080786</v>
      </c>
      <c r="BW228" s="207" t="str">
        <f>IFERROR(__xludf.DUMMYFUNCTION("IF(OR(BV228&gt;$BS228+$BT228*$BT$2,BV228&lt;$BS228-$BT228*$BT$2),AVEDEV(ARRAYFORMULA(XLOOKUP(FILTER(INDIRECT(""'""&amp;BV$1&amp;""'!$C$4:$C$66""),INDIRECT(""'""&amp;BV$1&amp;""'!$D$4:$D$66"")=BV$2),$G$4:$BQ$4,$G228:$BQ228))),"""")"),"")</f>
        <v/>
      </c>
      <c r="BX228" s="208" t="str">
        <f t="shared" si="8"/>
        <v/>
      </c>
      <c r="BY228" s="207">
        <f>IFERROR(__xludf.DUMMYFUNCTION("AVERAGE(ARRAYFORMULA(XLOOKUP(FILTER(INDIRECT(""'""&amp;BY$1&amp;""'!$C$4:$C$66""),INDIRECT(""'""&amp;BY$1&amp;""'!$D$4:$D$66"")=BY$2),$G$4:$BQ$4,$G228:$BQ228)))"),-0.0632361435714286)</f>
        <v>-0.06323614357</v>
      </c>
      <c r="BZ228" s="207" t="str">
        <f>IFERROR(__xludf.DUMMYFUNCTION("IF(OR(BY228&gt;$BS228+$BT228*$BT$2,BY228&lt;$BS228-$BT228*$BT$2),AVEDEV(ARRAYFORMULA(XLOOKUP(FILTER(INDIRECT(""'""&amp;BY$1&amp;""'!$C$4:$C$66""),INDIRECT(""'""&amp;BY$1&amp;""'!$D$4:$D$66"")=BY$2),$G$4:$BQ$4,$G228:$BQ228))),"""")"),"")</f>
        <v/>
      </c>
      <c r="CA228" s="208" t="str">
        <f t="shared" si="9"/>
        <v/>
      </c>
      <c r="CB228" s="207">
        <f>IFERROR(__xludf.DUMMYFUNCTION("AVERAGE(ARRAYFORMULA(XLOOKUP(FILTER(INDIRECT(""'""&amp;CB$1&amp;""'!$C$4:$C$66""),INDIRECT(""'""&amp;CB$1&amp;""'!$D$4:$D$66"")=CB$2),$G$4:$BQ$4,$G228:$BQ228)))"),0.5843491954545456)</f>
        <v>0.5843491955</v>
      </c>
      <c r="CC228" s="207">
        <f>IFERROR(__xludf.DUMMYFUNCTION("IF(OR(CB228&gt;$BS228+$BT228*$BT$2,CB228&lt;$BS228-$BT228*$BT$2),AVEDEV(ARRAYFORMULA(XLOOKUP(FILTER(INDIRECT(""'""&amp;CB$1&amp;""'!$C$4:$C$66""),INDIRECT(""'""&amp;CB$1&amp;""'!$D$4:$D$66"")=CB$2),$G$4:$BQ$4,$G228:$BQ228))),"""")"),0.4073642433057851)</f>
        <v>0.4073642433</v>
      </c>
      <c r="CD228" s="208">
        <f t="shared" si="10"/>
        <v>0.05072160257</v>
      </c>
      <c r="CE228" s="209" t="s">
        <v>444</v>
      </c>
      <c r="CF228" s="207">
        <f>IFERROR(__xludf.DUMMYFUNCTION("AVERAGE(ARRAYFORMULA(XLOOKUP(FILTER(INDIRECT(""'""&amp;CF$1&amp;""'!$C$4:$C$66""),INDIRECT(""'""&amp;CF$1&amp;""'!$D$4:$D$66"")=CF$2),$G$4:$BQ$4,$G228:$BQ228)))"),-0.38578450312499996)</f>
        <v>-0.3857845031</v>
      </c>
      <c r="CG228" s="207" t="str">
        <f>IFERROR(__xludf.DUMMYFUNCTION("IF(OR(CF228&gt;$BS228+$BT228*$BT$2,CF228&lt;$BS228-$BT228*$BT$2),AVEDEV(ARRAYFORMULA(XLOOKUP(FILTER(INDIRECT(""'""&amp;CF$1&amp;""'!$C$4:$C$66""),INDIRECT(""'""&amp;CF$1&amp;""'!$D$4:$D$66"")=CF$2),$G$4:$BQ$4,$G228:$BQ228))),"""")"),"")</f>
        <v/>
      </c>
      <c r="CH228" s="208" t="str">
        <f t="shared" si="11"/>
        <v/>
      </c>
      <c r="CI228" s="207">
        <f>IFERROR(__xludf.DUMMYFUNCTION("AVERAGE(ARRAYFORMULA(XLOOKUP(FILTER(INDIRECT(""'""&amp;CI$1&amp;""'!$C$4:$C$66""),INDIRECT(""'""&amp;CI$1&amp;""'!$D$4:$D$66"")=CI$2),$G$4:$BQ$4,$G228:$BQ228)))"),0.15112960612903226)</f>
        <v>0.1511296061</v>
      </c>
      <c r="CJ228" s="207" t="str">
        <f>IFERROR(__xludf.DUMMYFUNCTION("IF(OR(CI228&gt;$BS228+$BT228*$BT$2,CI228&lt;$BS228-$BT228*$BT$2),AVEDEV(ARRAYFORMULA(XLOOKUP(FILTER(INDIRECT(""'""&amp;CI$1&amp;""'!$C$4:$C$66""),INDIRECT(""'""&amp;CI$1&amp;""'!$D$4:$D$66"")=CI$2),$G$4:$BQ$4,$G228:$BQ228))),"""")"),"")</f>
        <v/>
      </c>
      <c r="CK228" s="208" t="str">
        <f t="shared" si="12"/>
        <v/>
      </c>
      <c r="CL228" s="207">
        <f>IFERROR(__xludf.DUMMYFUNCTION("AVERAGE(ARRAYFORMULA(XLOOKUP(FILTER(INDIRECT(""'""&amp;CL$1&amp;""'!$C$4:$C$66""),INDIRECT(""'""&amp;CL$1&amp;""'!$D$4:$D$66"")=CL$2),$G$4:$BQ$4,$G228:$BQ228)))"),0.45023987400000004)</f>
        <v>0.450239874</v>
      </c>
      <c r="CM228" s="207" t="str">
        <f>IFERROR(__xludf.DUMMYFUNCTION("IF(OR(CL228&gt;$BS228+$BT228*$BT$2,CL228&lt;$BS228-$BT228*$BT$2),AVEDEV(ARRAYFORMULA(XLOOKUP(FILTER(INDIRECT(""'""&amp;CL$1&amp;""'!$C$4:$C$66""),INDIRECT(""'""&amp;CL$1&amp;""'!$D$4:$D$66"")=CL$2),$G$4:$BQ$4,$G228:$BQ228))),"""")"),"")</f>
        <v/>
      </c>
      <c r="CN228" s="208" t="str">
        <f t="shared" si="13"/>
        <v/>
      </c>
      <c r="CO228" s="209" t="s">
        <v>444</v>
      </c>
      <c r="CP228" s="210">
        <f>IFERROR(__xludf.DUMMYFUNCTION("AVERAGE(ARRAYFORMULA(XLOOKUP(FILTER(INDIRECT(""'""&amp;CP$1&amp;""'!$C$4:$C$66""),INDIRECT(""'""&amp;CP$1&amp;""'!$D$4:$D$66"")=CP$2),$G$4:$BQ$4,$G228:$BQ228)))"),-0.01003538933333333)</f>
        <v>-0.01003538933</v>
      </c>
      <c r="CQ228" s="207" t="str">
        <f>IFERROR(__xludf.DUMMYFUNCTION("IF(OR(CP228&gt;$BS228+$BT228*$BT$2,CP228&lt;$BS228-$BT228*$BT$2),AVEDEV(ARRAYFORMULA(XLOOKUP(FILTER(INDIRECT(""'""&amp;CP$1&amp;""'!$C$4:$C$66""),INDIRECT(""'""&amp;CP$1&amp;""'!$D$4:$D$66"")=CP$2),$G$4:$BQ$4,$G228:$BQ228))),"""")"),"")</f>
        <v/>
      </c>
      <c r="CR228" s="208" t="str">
        <f t="shared" si="14"/>
        <v/>
      </c>
      <c r="CS228" s="210">
        <f>IFERROR(__xludf.DUMMYFUNCTION("AVERAGE(ARRAYFORMULA(XLOOKUP(FILTER(INDIRECT(""'""&amp;CS$1&amp;""'!$C$4:$C$66""),INDIRECT(""'""&amp;CS$1&amp;""'!$D$4:$D$66"")=CS$2),$G$4:$BQ$4,$G228:$BQ228)))"),-0.011236472051282052)</f>
        <v>-0.01123647205</v>
      </c>
      <c r="CT228" s="207" t="str">
        <f>IFERROR(__xludf.DUMMYFUNCTION("IF(OR(CS228&gt;$BS228+$BT228*$BT$2,CS228&lt;$BS228-$BT228*$BT$2),AVEDEV(ARRAYFORMULA(XLOOKUP(FILTER(INDIRECT(""'""&amp;CS$1&amp;""'!$C$4:$C$66""),INDIRECT(""'""&amp;CS$1&amp;""'!$D$4:$D$66"")=CS$2),$G$4:$BQ$4,$G228:$BQ228))),"""")"),"")</f>
        <v/>
      </c>
      <c r="CU228" s="208" t="str">
        <f t="shared" si="15"/>
        <v/>
      </c>
      <c r="CV228" s="210">
        <f>IFERROR(__xludf.DUMMYFUNCTION("AVERAGE(ARRAYFORMULA(XLOOKUP(FILTER(INDIRECT(""'""&amp;CV$1&amp;""'!$C$4:$C$66""),INDIRECT(""'""&amp;CV$1&amp;""'!$D$4:$D$66"")=CV$2),$G$4:$BQ$4,$G228:$BQ228)))"),0.45023987400000004)</f>
        <v>0.450239874</v>
      </c>
      <c r="CW228" s="207" t="str">
        <f>IFERROR(__xludf.DUMMYFUNCTION("IF(OR(CV228&gt;$BS228+$BT228*$BT$2,CV228&lt;$BS228-$BT228*$BT$2),AVEDEV(ARRAYFORMULA(XLOOKUP(FILTER(INDIRECT(""'""&amp;CV$1&amp;""'!$C$4:$C$66""),INDIRECT(""'""&amp;CV$1&amp;""'!$D$4:$D$66"")=CV$2),$G$4:$BQ$4,$G228:$BQ228))),"""")"),"")</f>
        <v/>
      </c>
      <c r="CX228" s="208" t="str">
        <f t="shared" si="16"/>
        <v/>
      </c>
      <c r="CY228" s="209" t="s">
        <v>444</v>
      </c>
      <c r="CZ228" s="210">
        <f>IFERROR(__xludf.DUMMYFUNCTION("AVERAGE(ARRAYFORMULA(XLOOKUP(FILTER(INDIRECT(""'""&amp;CZ$1&amp;""'!$C$4:$C$66""),INDIRECT(""'""&amp;CZ$1&amp;""'!$D$4:$D$66"")=CZ$2),$G$4:$BQ$4,$G228:$BQ228)))"),-0.2498623585714286)</f>
        <v>-0.2498623586</v>
      </c>
      <c r="DA228" s="207" t="str">
        <f>IFERROR(__xludf.DUMMYFUNCTION("IF(OR(CZ228&gt;$BS228+$BT228*$BT$2,CZ228&lt;$BS228-$BT228*$BT$2),AVEDEV(ARRAYFORMULA(XLOOKUP(FILTER(INDIRECT(""'""&amp;CZ$1&amp;""'!$C$4:$C$66""),INDIRECT(""'""&amp;CZ$1&amp;""'!$D$4:$D$66"")=CZ$2),$G$4:$BQ$4,$G228:$BQ228))),"""")"),"")</f>
        <v/>
      </c>
      <c r="DB228" s="208" t="str">
        <f t="shared" si="17"/>
        <v/>
      </c>
      <c r="DC228" s="210">
        <f>IFERROR(__xludf.DUMMYFUNCTION("AVERAGE(ARRAYFORMULA(XLOOKUP(FILTER(INDIRECT(""'""&amp;DC$1&amp;""'!$C$4:$C$66""),INDIRECT(""'""&amp;DC$1&amp;""'!$D$4:$D$66"")=DC$2),$G$4:$BQ$4,$G228:$BQ228)))"),0.5663651855555556)</f>
        <v>0.5663651856</v>
      </c>
      <c r="DD228" s="207">
        <f>IFERROR(__xludf.DUMMYFUNCTION("IF(OR(DC228&gt;$BS228+$BT228*$BT$2,DC228&lt;$BS228-$BT228*$BT$2),AVEDEV(ARRAYFORMULA(XLOOKUP(FILTER(INDIRECT(""'""&amp;DC$1&amp;""'!$C$4:$C$66""),INDIRECT(""'""&amp;DC$1&amp;""'!$D$4:$D$66"")=DC$2),$G$4:$BQ$4,$G228:$BQ228))),"""")"),0.33262550740740743)</f>
        <v>0.3326255074</v>
      </c>
      <c r="DE228" s="208">
        <f t="shared" si="18"/>
        <v>0.03273759267</v>
      </c>
      <c r="DF228" s="210">
        <f>IFERROR(__xludf.DUMMYFUNCTION("AVERAGE(ARRAYFORMULA(XLOOKUP(FILTER(INDIRECT(""'""&amp;DF$1&amp;""'!$C$4:$C$66""),INDIRECT(""'""&amp;DF$1&amp;""'!$D$4:$D$66"")=DF$2),$G$4:$BQ$4,$G228:$BQ228)))"),0.07774639636363635)</f>
        <v>0.07774639636</v>
      </c>
      <c r="DG228" s="207" t="str">
        <f>IFERROR(__xludf.DUMMYFUNCTION("IF(OR(DF228&gt;$BS228+$BT228*$BT$2,DF228&lt;$BS228-$BT228*$BT$2),AVEDEV(ARRAYFORMULA(XLOOKUP(FILTER(INDIRECT(""'""&amp;DF$1&amp;""'!$C$4:$C$66""),INDIRECT(""'""&amp;DF$1&amp;""'!$D$4:$D$66"")=DF$2),$G$4:$BQ$4,$G228:$BQ228))),"""")"),"")</f>
        <v/>
      </c>
      <c r="DH228" s="208" t="str">
        <f t="shared" si="19"/>
        <v/>
      </c>
      <c r="DI228" s="210">
        <f>IFERROR(__xludf.DUMMYFUNCTION("AVERAGE(ARRAYFORMULA(XLOOKUP(FILTER(INDIRECT(""'""&amp;DI$1&amp;""'!$C$4:$C$66""),INDIRECT(""'""&amp;DI$1&amp;""'!$D$4:$D$66"")=DI$2),$G$4:$BQ$4,$G228:$BQ228)))"),-0.5484860650000001)</f>
        <v>-0.548486065</v>
      </c>
      <c r="DJ228" s="207">
        <f>IFERROR(__xludf.DUMMYFUNCTION("IF(OR(DI228&gt;$BS228+$BT228*$BT$2,DI228&lt;$BS228-$BT228*$BT$2),AVEDEV(ARRAYFORMULA(XLOOKUP(FILTER(INDIRECT(""'""&amp;DI$1&amp;""'!$C$4:$C$66""),INDIRECT(""'""&amp;DI$1&amp;""'!$D$4:$D$66"")=DI$2),$G$4:$BQ$4,$G228:$BQ228))),"""")"),0.566574935)</f>
        <v>0.566574935</v>
      </c>
      <c r="DK228" s="208">
        <f t="shared" si="20"/>
        <v>-0.04249737529</v>
      </c>
      <c r="DL228" s="210">
        <f>IFERROR(__xludf.DUMMYFUNCTION("AVERAGE(ARRAYFORMULA(XLOOKUP(FILTER(INDIRECT(""'""&amp;DL$1&amp;""'!$C$4:$C$66""),INDIRECT(""'""&amp;DL$1&amp;""'!$D$4:$D$66"")=DL$2),$G$4:$BQ$4,$G228:$BQ228)))"),0.06407506071428573)</f>
        <v>0.06407506071</v>
      </c>
      <c r="DM228" s="207" t="str">
        <f>IFERROR(__xludf.DUMMYFUNCTION("IF(OR(DL228&gt;$BS228+$BT228*$BT$2,DL228&lt;$BS228-$BT228*$BT$2),AVEDEV(ARRAYFORMULA(XLOOKUP(FILTER(INDIRECT(""'""&amp;DL$1&amp;""'!$C$4:$C$66""),INDIRECT(""'""&amp;DL$1&amp;""'!$D$4:$D$66"")=DL$2),$G$4:$BQ$4,$G228:$BQ228))),"""")"),"")</f>
        <v/>
      </c>
      <c r="DN228" s="208" t="str">
        <f t="shared" si="21"/>
        <v/>
      </c>
      <c r="DO228" s="209" t="s">
        <v>444</v>
      </c>
      <c r="DP228" s="210">
        <f>IFERROR(__xludf.DUMMYFUNCTION("AVERAGE(ARRAYFORMULA(XLOOKUP(FILTER(INDIRECT(""'""&amp;DP$1&amp;""'!$C$4:$C$66""),INDIRECT(""'""&amp;DP$1&amp;""'!$D$4:$D$66"")=DP$2),$G$4:$BQ$4,$G228:$BQ228)))"),-0.1083444716666667)</f>
        <v>-0.1083444717</v>
      </c>
      <c r="DQ228" s="207" t="str">
        <f>IFERROR(__xludf.DUMMYFUNCTION("IF(OR(DP228&gt;$BS228+$BT228*$BT$2,DP228&lt;$BS228-$BT228*$BT$2),AVEDEV(ARRAYFORMULA(XLOOKUP(FILTER(INDIRECT(""'""&amp;DP$1&amp;""'!$C$4:$C$66""),INDIRECT(""'""&amp;DP$1&amp;""'!$D$4:$D$66"")=DP$2),$G$4:$BQ$4,$G228:$BQ228))),"""")"),"")</f>
        <v/>
      </c>
      <c r="DR228" s="208" t="str">
        <f t="shared" si="22"/>
        <v/>
      </c>
      <c r="DS228" s="210">
        <f>IFERROR(__xludf.DUMMYFUNCTION("AVERAGE(ARRAYFORMULA(XLOOKUP(FILTER(INDIRECT(""'""&amp;DS$1&amp;""'!$C$4:$C$66""),INDIRECT(""'""&amp;DS$1&amp;""'!$D$4:$D$66"")=DS$2),$G$4:$BQ$4,$G228:$BQ228)))"),0.4425918633333333)</f>
        <v>0.4425918633</v>
      </c>
      <c r="DT228" s="207" t="str">
        <f>IFERROR(__xludf.DUMMYFUNCTION("IF(OR(DS228&gt;$BS228+$BT228*$BT$2,DS228&lt;$BS228-$BT228*$BT$2),AVEDEV(ARRAYFORMULA(XLOOKUP(FILTER(INDIRECT(""'""&amp;DS$1&amp;""'!$C$4:$C$66""),INDIRECT(""'""&amp;DS$1&amp;""'!$D$4:$D$66"")=DS$2),$G$4:$BQ$4,$G228:$BQ228))),"""")"),"")</f>
        <v/>
      </c>
      <c r="DU228" s="208" t="str">
        <f t="shared" si="23"/>
        <v/>
      </c>
      <c r="DV228" s="210">
        <f>IFERROR(__xludf.DUMMYFUNCTION("AVERAGE(ARRAYFORMULA(XLOOKUP(FILTER(INDIRECT(""'""&amp;DV$1&amp;""'!$C$4:$C$66""),INDIRECT(""'""&amp;DV$1&amp;""'!$D$4:$D$66"")=DV$2),$G$4:$BQ$4,$G228:$BQ228)))"),-0.08114430250000002)</f>
        <v>-0.0811443025</v>
      </c>
      <c r="DW228" s="207" t="str">
        <f>IFERROR(__xludf.DUMMYFUNCTION("IF(OR(DV228&gt;$BS228+$BT228*$BT$2,DV228&lt;$BS228-$BT228*$BT$2),AVEDEV(ARRAYFORMULA(XLOOKUP(FILTER(INDIRECT(""'""&amp;DV$1&amp;""'!$C$4:$C$66""),INDIRECT(""'""&amp;DV$1&amp;""'!$D$4:$D$66"")=DV$2),$G$4:$BQ$4,$G228:$BQ228))),"""")"),"")</f>
        <v/>
      </c>
      <c r="DX228" s="208" t="str">
        <f t="shared" si="24"/>
        <v/>
      </c>
      <c r="DY228" s="210">
        <f>IFERROR(__xludf.DUMMYFUNCTION("AVERAGE(ARRAYFORMULA(XLOOKUP(FILTER(INDIRECT(""'""&amp;DY$1&amp;""'!$C$4:$C$66""),INDIRECT(""'""&amp;DY$1&amp;""'!$D$4:$D$66"")=DY$2),$G$4:$BQ$4,$G228:$BQ228)))"),0.24971380222222223)</f>
        <v>0.2497138022</v>
      </c>
      <c r="DZ228" s="207" t="str">
        <f>IFERROR(__xludf.DUMMYFUNCTION("IF(OR(DY228&gt;$BS228+$BT228*$BT$2,DY228&lt;$BS228-$BT228*$BT$2),AVEDEV(ARRAYFORMULA(XLOOKUP(FILTER(INDIRECT(""'""&amp;DY$1&amp;""'!$C$4:$C$66""),INDIRECT(""'""&amp;DY$1&amp;""'!$D$4:$D$66"")=DY$2),$G$4:$BQ$4,$G228:$BQ228))),"""")"),"")</f>
        <v/>
      </c>
      <c r="EA228" s="208" t="str">
        <f t="shared" si="25"/>
        <v/>
      </c>
      <c r="EB228" s="191"/>
    </row>
    <row r="229" outlineLevel="1">
      <c r="A229" s="2"/>
      <c r="B229" s="204">
        <v>225.0</v>
      </c>
      <c r="C229" s="204" t="s">
        <v>671</v>
      </c>
      <c r="D229" s="204" t="s">
        <v>675</v>
      </c>
      <c r="E229" s="205" t="b">
        <f>VLOOKUP(D229,'Feature Set List'!A225:C246,2,0)</f>
        <v>1</v>
      </c>
      <c r="F229" s="205" t="b">
        <f>VLOOKUP(D229,'Feature Set List'!A225:C246,3,0)</f>
        <v>0</v>
      </c>
      <c r="G229" s="205">
        <v>1.40891411</v>
      </c>
      <c r="H229" s="205">
        <v>-0.4754192</v>
      </c>
      <c r="I229" s="205">
        <v>0.57361474</v>
      </c>
      <c r="J229" s="205">
        <v>-0.6120003</v>
      </c>
      <c r="K229" s="205">
        <v>-0.7322579</v>
      </c>
      <c r="L229" s="205">
        <v>0.24268316</v>
      </c>
      <c r="M229" s="205">
        <v>0.0</v>
      </c>
      <c r="N229" s="205">
        <v>-0.7897724</v>
      </c>
      <c r="O229" s="205">
        <v>-0.5669834</v>
      </c>
      <c r="P229" s="205">
        <v>0.4014538</v>
      </c>
      <c r="Q229" s="205">
        <v>-0.6660715</v>
      </c>
      <c r="R229" s="205">
        <v>0.19460562</v>
      </c>
      <c r="S229" s="205">
        <v>-0.3786265</v>
      </c>
      <c r="T229" s="205">
        <v>0.44863865</v>
      </c>
      <c r="U229" s="205">
        <v>0.65650705</v>
      </c>
      <c r="V229" s="205">
        <v>-0.8867564</v>
      </c>
      <c r="W229" s="205">
        <v>0.44481285</v>
      </c>
      <c r="X229" s="205">
        <v>-0.6800995</v>
      </c>
      <c r="Y229" s="205">
        <v>0.1437225</v>
      </c>
      <c r="Z229" s="205">
        <v>-0.0715424</v>
      </c>
      <c r="AA229" s="205">
        <v>-0.7586559</v>
      </c>
      <c r="AB229" s="205">
        <v>-0.028821</v>
      </c>
      <c r="AC229" s="205">
        <v>0.43971179</v>
      </c>
      <c r="AD229" s="205">
        <v>0.29688197</v>
      </c>
      <c r="AE229" s="205">
        <v>-0.6390359</v>
      </c>
      <c r="AF229" s="205">
        <v>0.49837404</v>
      </c>
      <c r="AG229" s="205">
        <v>0.98425046</v>
      </c>
      <c r="AH229" s="205">
        <v>0.50475037</v>
      </c>
      <c r="AI229" s="205">
        <v>-0.1103105</v>
      </c>
      <c r="AJ229" s="205">
        <v>0.91666135</v>
      </c>
      <c r="AK229" s="205">
        <v>-0.7891347</v>
      </c>
      <c r="AL229" s="205">
        <v>0.31346043</v>
      </c>
      <c r="AM229" s="205">
        <v>0.78020787</v>
      </c>
      <c r="AN229" s="205">
        <v>0.62845119</v>
      </c>
      <c r="AO229" s="205">
        <v>0.54683415</v>
      </c>
      <c r="AP229" s="205">
        <v>-0.3702098</v>
      </c>
      <c r="AQ229" s="205">
        <v>-0.9713065</v>
      </c>
      <c r="AR229" s="205">
        <v>-0.785564</v>
      </c>
      <c r="AS229" s="205">
        <v>0.58764267</v>
      </c>
      <c r="AT229" s="205">
        <v>-0.5370146</v>
      </c>
      <c r="AU229" s="205">
        <v>-0.9860358</v>
      </c>
      <c r="AV229" s="205">
        <v>1.22527578</v>
      </c>
      <c r="AW229" s="205">
        <v>-0.2104189</v>
      </c>
      <c r="AX229" s="205">
        <v>-0.6074093</v>
      </c>
      <c r="AY229" s="205">
        <v>0.17968501</v>
      </c>
      <c r="AZ229" s="205">
        <v>-0.033412</v>
      </c>
      <c r="BA229" s="205">
        <v>0.5978448</v>
      </c>
      <c r="BB229" s="205">
        <v>-0.9684627</v>
      </c>
      <c r="BC229" s="205">
        <v>-0.4346107</v>
      </c>
      <c r="BD229" s="205">
        <v>-0.3369253</v>
      </c>
      <c r="BE229" s="205">
        <v>0.1006185</v>
      </c>
      <c r="BF229" s="205">
        <v>-0.1388765</v>
      </c>
      <c r="BG229" s="205">
        <v>0.27316202</v>
      </c>
      <c r="BH229" s="205">
        <v>-0.9371549</v>
      </c>
      <c r="BI229" s="205">
        <v>-0.2873175</v>
      </c>
      <c r="BJ229" s="205">
        <v>0.12829178</v>
      </c>
      <c r="BK229" s="205">
        <v>0.29178091</v>
      </c>
      <c r="BL229" s="205">
        <v>3.92884015</v>
      </c>
      <c r="BM229" s="205">
        <v>0.44736339</v>
      </c>
      <c r="BN229" s="205">
        <v>-0.0286935</v>
      </c>
      <c r="BO229" s="205">
        <v>0.8886055</v>
      </c>
      <c r="BP229" s="205">
        <v>0.4014538</v>
      </c>
      <c r="BQ229" s="205">
        <v>-0.2021297</v>
      </c>
      <c r="BR229" s="206"/>
      <c r="BS229" s="207">
        <f t="shared" si="6"/>
        <v>0.05482652714</v>
      </c>
      <c r="BT229" s="207">
        <f t="shared" si="7"/>
        <v>0.5643008911</v>
      </c>
      <c r="BU229" s="206"/>
      <c r="BV229" s="207">
        <f>IFERROR(__xludf.DUMMYFUNCTION("AVERAGE(ARRAYFORMULA(XLOOKUP(FILTER(INDIRECT(""'""&amp;BV$1&amp;""'!$C$4:$C$66""),INDIRECT(""'""&amp;BV$1&amp;""'!$D$4:$D$66"")=BV$2),$G$4:$BQ$4,$G229:$BQ229)))"),0.5377032371428572)</f>
        <v>0.5377032371</v>
      </c>
      <c r="BW229" s="207" t="str">
        <f>IFERROR(__xludf.DUMMYFUNCTION("IF(OR(BV229&gt;$BS229+$BT229*$BT$2,BV229&lt;$BS229-$BT229*$BT$2),AVEDEV(ARRAYFORMULA(XLOOKUP(FILTER(INDIRECT(""'""&amp;BV$1&amp;""'!$C$4:$C$66""),INDIRECT(""'""&amp;BV$1&amp;""'!$D$4:$D$66"")=BV$2),$G$4:$BQ$4,$G229:$BQ229))),"""")"),"")</f>
        <v/>
      </c>
      <c r="BX229" s="208" t="str">
        <f t="shared" si="8"/>
        <v/>
      </c>
      <c r="BY229" s="207">
        <f>IFERROR(__xludf.DUMMYFUNCTION("AVERAGE(ARRAYFORMULA(XLOOKUP(FILTER(INDIRECT(""'""&amp;BY$1&amp;""'!$C$4:$C$66""),INDIRECT(""'""&amp;BY$1&amp;""'!$D$4:$D$66"")=BY$2),$G$4:$BQ$4,$G229:$BQ229)))"),-0.09906905690476198)</f>
        <v>-0.0990690569</v>
      </c>
      <c r="BZ229" s="207" t="str">
        <f>IFERROR(__xludf.DUMMYFUNCTION("IF(OR(BY229&gt;$BS229+$BT229*$BT$2,BY229&lt;$BS229-$BT229*$BT$2),AVEDEV(ARRAYFORMULA(XLOOKUP(FILTER(INDIRECT(""'""&amp;BY$1&amp;""'!$C$4:$C$66""),INDIRECT(""'""&amp;BY$1&amp;""'!$D$4:$D$66"")=BY$2),$G$4:$BQ$4,$G229:$BQ229))),"""")"),"")</f>
        <v/>
      </c>
      <c r="CA229" s="208" t="str">
        <f t="shared" si="9"/>
        <v/>
      </c>
      <c r="CB229" s="207">
        <f>IFERROR(__xludf.DUMMYFUNCTION("AVERAGE(ARRAYFORMULA(XLOOKUP(FILTER(INDIRECT(""'""&amp;CB$1&amp;""'!$C$4:$C$66""),INDIRECT(""'""&amp;CB$1&amp;""'!$D$4:$D$66"")=CB$2),$G$4:$BQ$4,$G229:$BQ229)))"),0.4182177545454546)</f>
        <v>0.4182177545</v>
      </c>
      <c r="CC229" s="207" t="str">
        <f>IFERROR(__xludf.DUMMYFUNCTION("IF(OR(CB229&gt;$BS229+$BT229*$BT$2,CB229&lt;$BS229-$BT229*$BT$2),AVEDEV(ARRAYFORMULA(XLOOKUP(FILTER(INDIRECT(""'""&amp;CB$1&amp;""'!$C$4:$C$66""),INDIRECT(""'""&amp;CB$1&amp;""'!$D$4:$D$66"")=CB$2),$G$4:$BQ$4,$G229:$BQ229))),"""")"),"")</f>
        <v/>
      </c>
      <c r="CD229" s="208" t="str">
        <f t="shared" si="10"/>
        <v/>
      </c>
      <c r="CE229" s="209" t="s">
        <v>444</v>
      </c>
      <c r="CF229" s="207">
        <f>IFERROR(__xludf.DUMMYFUNCTION("AVERAGE(ARRAYFORMULA(XLOOKUP(FILTER(INDIRECT(""'""&amp;CF$1&amp;""'!$C$4:$C$66""),INDIRECT(""'""&amp;CF$1&amp;""'!$D$4:$D$66"")=CF$2),$G$4:$BQ$4,$G229:$BQ229)))"),-0.411888674375)</f>
        <v>-0.4118886744</v>
      </c>
      <c r="CG229" s="207" t="str">
        <f>IFERROR(__xludf.DUMMYFUNCTION("IF(OR(CF229&gt;$BS229+$BT229*$BT$2,CF229&lt;$BS229-$BT229*$BT$2),AVEDEV(ARRAYFORMULA(XLOOKUP(FILTER(INDIRECT(""'""&amp;CF$1&amp;""'!$C$4:$C$66""),INDIRECT(""'""&amp;CF$1&amp;""'!$D$4:$D$66"")=CF$2),$G$4:$BQ$4,$G229:$BQ229))),"""")"),"")</f>
        <v/>
      </c>
      <c r="CH229" s="208" t="str">
        <f t="shared" si="11"/>
        <v/>
      </c>
      <c r="CI229" s="207">
        <f>IFERROR(__xludf.DUMMYFUNCTION("AVERAGE(ARRAYFORMULA(XLOOKUP(FILTER(INDIRECT(""'""&amp;CI$1&amp;""'!$C$4:$C$66""),INDIRECT(""'""&amp;CI$1&amp;""'!$D$4:$D$66"")=CI$2),$G$4:$BQ$4,$G229:$BQ229)))"),0.10765838451612904)</f>
        <v>0.1076583845</v>
      </c>
      <c r="CJ229" s="207" t="str">
        <f>IFERROR(__xludf.DUMMYFUNCTION("IF(OR(CI229&gt;$BS229+$BT229*$BT$2,CI229&lt;$BS229-$BT229*$BT$2),AVEDEV(ARRAYFORMULA(XLOOKUP(FILTER(INDIRECT(""'""&amp;CI$1&amp;""'!$C$4:$C$66""),INDIRECT(""'""&amp;CI$1&amp;""'!$D$4:$D$66"")=CI$2),$G$4:$BQ$4,$G229:$BQ229))),"""")"),"")</f>
        <v/>
      </c>
      <c r="CK229" s="208" t="str">
        <f t="shared" si="12"/>
        <v/>
      </c>
      <c r="CL229" s="207">
        <f>IFERROR(__xludf.DUMMYFUNCTION("AVERAGE(ARRAYFORMULA(XLOOKUP(FILTER(INDIRECT(""'""&amp;CL$1&amp;""'!$C$4:$C$66""),INDIRECT(""'""&amp;CL$1&amp;""'!$D$4:$D$66"")=CL$2),$G$4:$BQ$4,$G229:$BQ229)))"),0.461748388)</f>
        <v>0.461748388</v>
      </c>
      <c r="CM229" s="207" t="str">
        <f>IFERROR(__xludf.DUMMYFUNCTION("IF(OR(CL229&gt;$BS229+$BT229*$BT$2,CL229&lt;$BS229-$BT229*$BT$2),AVEDEV(ARRAYFORMULA(XLOOKUP(FILTER(INDIRECT(""'""&amp;CL$1&amp;""'!$C$4:$C$66""),INDIRECT(""'""&amp;CL$1&amp;""'!$D$4:$D$66"")=CL$2),$G$4:$BQ$4,$G229:$BQ229))),"""")"),"")</f>
        <v/>
      </c>
      <c r="CN229" s="208" t="str">
        <f t="shared" si="13"/>
        <v/>
      </c>
      <c r="CO229" s="209" t="s">
        <v>444</v>
      </c>
      <c r="CP229" s="210">
        <f>IFERROR(__xludf.DUMMYFUNCTION("AVERAGE(ARRAYFORMULA(XLOOKUP(FILTER(INDIRECT(""'""&amp;CP$1&amp;""'!$C$4:$C$66""),INDIRECT(""'""&amp;CP$1&amp;""'!$D$4:$D$66"")=CP$2),$G$4:$BQ$4,$G229:$BQ229)))"),0.012555414000000013)</f>
        <v>0.012555414</v>
      </c>
      <c r="CQ229" s="207" t="str">
        <f>IFERROR(__xludf.DUMMYFUNCTION("IF(OR(CP229&gt;$BS229+$BT229*$BT$2,CP229&lt;$BS229-$BT229*$BT$2),AVEDEV(ARRAYFORMULA(XLOOKUP(FILTER(INDIRECT(""'""&amp;CP$1&amp;""'!$C$4:$C$66""),INDIRECT(""'""&amp;CP$1&amp;""'!$D$4:$D$66"")=CP$2),$G$4:$BQ$4,$G229:$BQ229))),"""")"),"")</f>
        <v/>
      </c>
      <c r="CR229" s="208" t="str">
        <f t="shared" si="14"/>
        <v/>
      </c>
      <c r="CS229" s="210">
        <f>IFERROR(__xludf.DUMMYFUNCTION("AVERAGE(ARRAYFORMULA(XLOOKUP(FILTER(INDIRECT(""'""&amp;CS$1&amp;""'!$C$4:$C$66""),INDIRECT(""'""&amp;CS$1&amp;""'!$D$4:$D$66"")=CS$2),$G$4:$BQ$4,$G229:$BQ229)))"),-0.05698707000000002)</f>
        <v>-0.05698707</v>
      </c>
      <c r="CT229" s="207" t="str">
        <f>IFERROR(__xludf.DUMMYFUNCTION("IF(OR(CS229&gt;$BS229+$BT229*$BT$2,CS229&lt;$BS229-$BT229*$BT$2),AVEDEV(ARRAYFORMULA(XLOOKUP(FILTER(INDIRECT(""'""&amp;CS$1&amp;""'!$C$4:$C$66""),INDIRECT(""'""&amp;CS$1&amp;""'!$D$4:$D$66"")=CS$2),$G$4:$BQ$4,$G229:$BQ229))),"""")"),"")</f>
        <v/>
      </c>
      <c r="CU229" s="208" t="str">
        <f t="shared" si="15"/>
        <v/>
      </c>
      <c r="CV229" s="210">
        <f>IFERROR(__xludf.DUMMYFUNCTION("AVERAGE(ARRAYFORMULA(XLOOKUP(FILTER(INDIRECT(""'""&amp;CV$1&amp;""'!$C$4:$C$66""),INDIRECT(""'""&amp;CV$1&amp;""'!$D$4:$D$66"")=CV$2),$G$4:$BQ$4,$G229:$BQ229)))"),0.461748388)</f>
        <v>0.461748388</v>
      </c>
      <c r="CW229" s="207" t="str">
        <f>IFERROR(__xludf.DUMMYFUNCTION("IF(OR(CV229&gt;$BS229+$BT229*$BT$2,CV229&lt;$BS229-$BT229*$BT$2),AVEDEV(ARRAYFORMULA(XLOOKUP(FILTER(INDIRECT(""'""&amp;CV$1&amp;""'!$C$4:$C$66""),INDIRECT(""'""&amp;CV$1&amp;""'!$D$4:$D$66"")=CV$2),$G$4:$BQ$4,$G229:$BQ229))),"""")"),"")</f>
        <v/>
      </c>
      <c r="CX229" s="208" t="str">
        <f t="shared" si="16"/>
        <v/>
      </c>
      <c r="CY229" s="209" t="s">
        <v>444</v>
      </c>
      <c r="CZ229" s="210">
        <f>IFERROR(__xludf.DUMMYFUNCTION("AVERAGE(ARRAYFORMULA(XLOOKUP(FILTER(INDIRECT(""'""&amp;CZ$1&amp;""'!$C$4:$C$66""),INDIRECT(""'""&amp;CZ$1&amp;""'!$D$4:$D$66"")=CZ$2),$G$4:$BQ$4,$G229:$BQ229)))"),-0.3145535214285714)</f>
        <v>-0.3145535214</v>
      </c>
      <c r="DA229" s="207" t="str">
        <f>IFERROR(__xludf.DUMMYFUNCTION("IF(OR(CZ229&gt;$BS229+$BT229*$BT$2,CZ229&lt;$BS229-$BT229*$BT$2),AVEDEV(ARRAYFORMULA(XLOOKUP(FILTER(INDIRECT(""'""&amp;CZ$1&amp;""'!$C$4:$C$66""),INDIRECT(""'""&amp;CZ$1&amp;""'!$D$4:$D$66"")=CZ$2),$G$4:$BQ$4,$G229:$BQ229))),"""")"),"")</f>
        <v/>
      </c>
      <c r="DB229" s="208" t="str">
        <f t="shared" si="17"/>
        <v/>
      </c>
      <c r="DC229" s="210">
        <f>IFERROR(__xludf.DUMMYFUNCTION("AVERAGE(ARRAYFORMULA(XLOOKUP(FILTER(INDIRECT(""'""&amp;DC$1&amp;""'!$C$4:$C$66""),INDIRECT(""'""&amp;DC$1&amp;""'!$D$4:$D$66"")=DC$2),$G$4:$BQ$4,$G229:$BQ229)))"),0.4651604344444445)</f>
        <v>0.4651604344</v>
      </c>
      <c r="DD229" s="207" t="str">
        <f>IFERROR(__xludf.DUMMYFUNCTION("IF(OR(DC229&gt;$BS229+$BT229*$BT$2,DC229&lt;$BS229-$BT229*$BT$2),AVEDEV(ARRAYFORMULA(XLOOKUP(FILTER(INDIRECT(""'""&amp;DC$1&amp;""'!$C$4:$C$66""),INDIRECT(""'""&amp;DC$1&amp;""'!$D$4:$D$66"")=DC$2),$G$4:$BQ$4,$G229:$BQ229))),"""")"),"")</f>
        <v/>
      </c>
      <c r="DE229" s="208" t="str">
        <f t="shared" si="18"/>
        <v/>
      </c>
      <c r="DF229" s="210">
        <f>IFERROR(__xludf.DUMMYFUNCTION("AVERAGE(ARRAYFORMULA(XLOOKUP(FILTER(INDIRECT(""'""&amp;DF$1&amp;""'!$C$4:$C$66""),INDIRECT(""'""&amp;DF$1&amp;""'!$D$4:$D$66"")=DF$2),$G$4:$BQ$4,$G229:$BQ229)))"),0.21592575727272728)</f>
        <v>0.2159257573</v>
      </c>
      <c r="DG229" s="207" t="str">
        <f>IFERROR(__xludf.DUMMYFUNCTION("IF(OR(DF229&gt;$BS229+$BT229*$BT$2,DF229&lt;$BS229-$BT229*$BT$2),AVEDEV(ARRAYFORMULA(XLOOKUP(FILTER(INDIRECT(""'""&amp;DF$1&amp;""'!$C$4:$C$66""),INDIRECT(""'""&amp;DF$1&amp;""'!$D$4:$D$66"")=DF$2),$G$4:$BQ$4,$G229:$BQ229))),"""")"),"")</f>
        <v/>
      </c>
      <c r="DH229" s="208" t="str">
        <f t="shared" si="19"/>
        <v/>
      </c>
      <c r="DI229" s="210">
        <f>IFERROR(__xludf.DUMMYFUNCTION("AVERAGE(ARRAYFORMULA(XLOOKUP(FILTER(INDIRECT(""'""&amp;DI$1&amp;""'!$C$4:$C$66""),INDIRECT(""'""&amp;DI$1&amp;""'!$D$4:$D$66"")=DI$2),$G$4:$BQ$4,$G229:$BQ229)))"),-0.32013646500000004)</f>
        <v>-0.320136465</v>
      </c>
      <c r="DJ229" s="207" t="str">
        <f>IFERROR(__xludf.DUMMYFUNCTION("IF(OR(DI229&gt;$BS229+$BT229*$BT$2,DI229&lt;$BS229-$BT229*$BT$2),AVEDEV(ARRAYFORMULA(XLOOKUP(FILTER(INDIRECT(""'""&amp;DI$1&amp;""'!$C$4:$C$66""),INDIRECT(""'""&amp;DI$1&amp;""'!$D$4:$D$66"")=DI$2),$G$4:$BQ$4,$G229:$BQ229))),"""")"),"")</f>
        <v/>
      </c>
      <c r="DK229" s="208" t="str">
        <f t="shared" si="20"/>
        <v/>
      </c>
      <c r="DL229" s="210">
        <f>IFERROR(__xludf.DUMMYFUNCTION("AVERAGE(ARRAYFORMULA(XLOOKUP(FILTER(INDIRECT(""'""&amp;DL$1&amp;""'!$C$4:$C$66""),INDIRECT(""'""&amp;DL$1&amp;""'!$D$4:$D$66"")=DL$2),$G$4:$BQ$4,$G229:$BQ229)))"),-0.09863273285714283)</f>
        <v>-0.09863273286</v>
      </c>
      <c r="DM229" s="207" t="str">
        <f>IFERROR(__xludf.DUMMYFUNCTION("IF(OR(DL229&gt;$BS229+$BT229*$BT$2,DL229&lt;$BS229-$BT229*$BT$2),AVEDEV(ARRAYFORMULA(XLOOKUP(FILTER(INDIRECT(""'""&amp;DL$1&amp;""'!$C$4:$C$66""),INDIRECT(""'""&amp;DL$1&amp;""'!$D$4:$D$66"")=DL$2),$G$4:$BQ$4,$G229:$BQ229))),"""")"),"")</f>
        <v/>
      </c>
      <c r="DN229" s="208" t="str">
        <f t="shared" si="21"/>
        <v/>
      </c>
      <c r="DO229" s="209" t="s">
        <v>444</v>
      </c>
      <c r="DP229" s="210">
        <f>IFERROR(__xludf.DUMMYFUNCTION("AVERAGE(ARRAYFORMULA(XLOOKUP(FILTER(INDIRECT(""'""&amp;DP$1&amp;""'!$C$4:$C$66""),INDIRECT(""'""&amp;DP$1&amp;""'!$D$4:$D$66"")=DP$2),$G$4:$BQ$4,$G229:$BQ229)))"),-0.2084176083333334)</f>
        <v>-0.2084176083</v>
      </c>
      <c r="DQ229" s="207" t="str">
        <f>IFERROR(__xludf.DUMMYFUNCTION("IF(OR(DP229&gt;$BS229+$BT229*$BT$2,DP229&lt;$BS229-$BT229*$BT$2),AVEDEV(ARRAYFORMULA(XLOOKUP(FILTER(INDIRECT(""'""&amp;DP$1&amp;""'!$C$4:$C$66""),INDIRECT(""'""&amp;DP$1&amp;""'!$D$4:$D$66"")=DP$2),$G$4:$BQ$4,$G229:$BQ229))),"""")"),"")</f>
        <v/>
      </c>
      <c r="DR229" s="208" t="str">
        <f t="shared" si="22"/>
        <v/>
      </c>
      <c r="DS229" s="210">
        <f>IFERROR(__xludf.DUMMYFUNCTION("AVERAGE(ARRAYFORMULA(XLOOKUP(FILTER(INDIRECT(""'""&amp;DS$1&amp;""'!$C$4:$C$66""),INDIRECT(""'""&amp;DS$1&amp;""'!$D$4:$D$66"")=DS$2),$G$4:$BQ$4,$G229:$BQ229)))"),0.5796651711111112)</f>
        <v>0.5796651711</v>
      </c>
      <c r="DT229" s="207" t="str">
        <f>IFERROR(__xludf.DUMMYFUNCTION("IF(OR(DS229&gt;$BS229+$BT229*$BT$2,DS229&lt;$BS229-$BT229*$BT$2),AVEDEV(ARRAYFORMULA(XLOOKUP(FILTER(INDIRECT(""'""&amp;DS$1&amp;""'!$C$4:$C$66""),INDIRECT(""'""&amp;DS$1&amp;""'!$D$4:$D$66"")=DS$2),$G$4:$BQ$4,$G229:$BQ229))),"""")"),"")</f>
        <v/>
      </c>
      <c r="DU229" s="208" t="str">
        <f t="shared" si="23"/>
        <v/>
      </c>
      <c r="DV229" s="210">
        <f>IFERROR(__xludf.DUMMYFUNCTION("AVERAGE(ARRAYFORMULA(XLOOKUP(FILTER(INDIRECT(""'""&amp;DV$1&amp;""'!$C$4:$C$66""),INDIRECT(""'""&amp;DV$1&amp;""'!$D$4:$D$66"")=DV$2),$G$4:$BQ$4,$G229:$BQ229)))"),0.026222653750000005)</f>
        <v>0.02622265375</v>
      </c>
      <c r="DW229" s="207" t="str">
        <f>IFERROR(__xludf.DUMMYFUNCTION("IF(OR(DV229&gt;$BS229+$BT229*$BT$2,DV229&lt;$BS229-$BT229*$BT$2),AVEDEV(ARRAYFORMULA(XLOOKUP(FILTER(INDIRECT(""'""&amp;DV$1&amp;""'!$C$4:$C$66""),INDIRECT(""'""&amp;DV$1&amp;""'!$D$4:$D$66"")=DV$2),$G$4:$BQ$4,$G229:$BQ229))),"""")"),"")</f>
        <v/>
      </c>
      <c r="DX229" s="208" t="str">
        <f t="shared" si="24"/>
        <v/>
      </c>
      <c r="DY229" s="210">
        <f>IFERROR(__xludf.DUMMYFUNCTION("AVERAGE(ARRAYFORMULA(XLOOKUP(FILTER(INDIRECT(""'""&amp;DY$1&amp;""'!$C$4:$C$66""),INDIRECT(""'""&amp;DY$1&amp;""'!$D$4:$D$66"")=DY$2),$G$4:$BQ$4,$G229:$BQ229)))"),0.22435191666666668)</f>
        <v>0.2243519167</v>
      </c>
      <c r="DZ229" s="207" t="str">
        <f>IFERROR(__xludf.DUMMYFUNCTION("IF(OR(DY229&gt;$BS229+$BT229*$BT$2,DY229&lt;$BS229-$BT229*$BT$2),AVEDEV(ARRAYFORMULA(XLOOKUP(FILTER(INDIRECT(""'""&amp;DY$1&amp;""'!$C$4:$C$66""),INDIRECT(""'""&amp;DY$1&amp;""'!$D$4:$D$66"")=DY$2),$G$4:$BQ$4,$G229:$BQ229))),"""")"),"")</f>
        <v/>
      </c>
      <c r="EA229" s="208" t="str">
        <f t="shared" si="25"/>
        <v/>
      </c>
      <c r="EB229" s="191"/>
    </row>
    <row r="230" outlineLevel="1">
      <c r="A230" s="2"/>
      <c r="B230" s="192"/>
      <c r="C230" s="192"/>
      <c r="D230" s="192"/>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187"/>
      <c r="BI230" s="187"/>
      <c r="BJ230" s="187"/>
      <c r="BK230" s="187"/>
      <c r="BL230" s="187"/>
      <c r="BM230" s="187"/>
      <c r="BN230" s="187"/>
      <c r="BO230" s="187"/>
      <c r="BP230" s="187"/>
      <c r="BQ230" s="187"/>
      <c r="BR230" s="206"/>
      <c r="BS230" s="187"/>
      <c r="BT230" s="206"/>
      <c r="BU230" s="206"/>
      <c r="BV230" s="206"/>
      <c r="BW230" s="187"/>
      <c r="BX230" s="206"/>
      <c r="BY230" s="206"/>
      <c r="BZ230" s="187"/>
      <c r="CA230" s="206"/>
      <c r="CB230" s="206"/>
      <c r="CC230" s="187"/>
      <c r="CD230" s="206"/>
      <c r="CE230" s="206"/>
      <c r="CF230" s="206"/>
      <c r="CG230" s="187"/>
      <c r="CH230" s="206"/>
      <c r="CI230" s="206"/>
      <c r="CJ230" s="187"/>
      <c r="CK230" s="206"/>
      <c r="CL230" s="206"/>
      <c r="CM230" s="187"/>
      <c r="CN230" s="206"/>
      <c r="CO230" s="206"/>
      <c r="CP230" s="191"/>
      <c r="CQ230" s="187"/>
      <c r="CR230" s="206"/>
      <c r="CS230" s="191"/>
      <c r="CT230" s="187"/>
      <c r="CU230" s="206"/>
      <c r="CV230" s="191"/>
      <c r="CW230" s="187"/>
      <c r="CX230" s="206"/>
      <c r="CY230" s="206"/>
      <c r="CZ230" s="191"/>
      <c r="DA230" s="187"/>
      <c r="DB230" s="206"/>
      <c r="DC230" s="191"/>
      <c r="DD230" s="187"/>
      <c r="DE230" s="206"/>
      <c r="DF230" s="191"/>
      <c r="DG230" s="187"/>
      <c r="DH230" s="206"/>
      <c r="DI230" s="191"/>
      <c r="DJ230" s="187"/>
      <c r="DK230" s="206"/>
      <c r="DL230" s="191"/>
      <c r="DM230" s="187"/>
      <c r="DN230" s="206"/>
      <c r="DO230" s="206"/>
      <c r="DP230" s="191"/>
      <c r="DQ230" s="187"/>
      <c r="DR230" s="206"/>
      <c r="DS230" s="191"/>
      <c r="DT230" s="187"/>
      <c r="DU230" s="206"/>
      <c r="DV230" s="191"/>
      <c r="DW230" s="187"/>
      <c r="DX230" s="206"/>
      <c r="DY230" s="191"/>
      <c r="DZ230" s="187"/>
      <c r="EA230" s="206"/>
      <c r="EB230" s="191"/>
    </row>
    <row r="231">
      <c r="A231" s="2"/>
      <c r="B231" s="216"/>
      <c r="C231" s="216"/>
      <c r="D231" s="216"/>
      <c r="E231" s="216"/>
      <c r="F231" s="216"/>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187"/>
      <c r="BI231" s="187"/>
      <c r="BJ231" s="187"/>
      <c r="BK231" s="187"/>
      <c r="BL231" s="187"/>
      <c r="BM231" s="187"/>
      <c r="BN231" s="187"/>
      <c r="BO231" s="187"/>
      <c r="BP231" s="187"/>
      <c r="BQ231" s="187"/>
      <c r="BR231" s="216"/>
      <c r="BS231" s="217" t="s">
        <v>676</v>
      </c>
      <c r="BU231" s="206"/>
      <c r="BV231" s="218">
        <f>IFERROR(__xludf.DUMMYFUNCTION("COUNT(FILTER(BV$5:BV$229,BV$5:BV$229&lt;$BS$5:$BS$229-$BT$5:$BT$229*$BT$2))"),39.0)</f>
        <v>39</v>
      </c>
      <c r="BW231" s="218"/>
      <c r="BX231" s="218"/>
      <c r="BY231" s="218">
        <f>IFERROR(__xludf.DUMMYFUNCTION("COUNT(FILTER(BY$5:BY$229,BY$5:BY$229&lt;$BS$5:$BS$229-$BT$5:$BT$229*$BT$2))"),0.0)</f>
        <v>0</v>
      </c>
      <c r="BZ231" s="218"/>
      <c r="CA231" s="218"/>
      <c r="CB231" s="218">
        <f>IFERROR(__xludf.DUMMYFUNCTION("COUNT(FILTER(CB$5:CB$229,CB$5:CB$229&lt;$BS$5:$BS$229-$BT$5:$BT$229*$BT$2))"),7.0)</f>
        <v>7</v>
      </c>
      <c r="CC231" s="218"/>
      <c r="CD231" s="218"/>
      <c r="CE231" s="218"/>
      <c r="CF231" s="218">
        <f>IFERROR(__xludf.DUMMYFUNCTION("COUNT(FILTER(CF$5:CF$229,CF$5:CF$229&lt;$BS$5:$BS$229-$BT$5:$BT$229*$BT$2))"),0.0)</f>
        <v>0</v>
      </c>
      <c r="CG231" s="218"/>
      <c r="CH231" s="218"/>
      <c r="CI231" s="218">
        <f>IFERROR(__xludf.DUMMYFUNCTION("COUNT(FILTER(CI$5:CI$229,CI$5:CI$229&lt;$BS$5:$BS$229-$BT$5:$BT$229*$BT$2))"),0.0)</f>
        <v>0</v>
      </c>
      <c r="CJ231" s="218"/>
      <c r="CK231" s="218"/>
      <c r="CL231" s="218">
        <f>IFERROR(__xludf.DUMMYFUNCTION("COUNT(FILTER(CL$5:CL$229,CL$5:CL$229&lt;$BS$5:$BS$229-$BT$5:$BT$229*$BT$2))"),17.0)</f>
        <v>17</v>
      </c>
      <c r="CM231" s="218"/>
      <c r="CN231" s="218"/>
      <c r="CO231" s="218"/>
      <c r="CP231" s="218">
        <f>IFERROR(__xludf.DUMMYFUNCTION("COUNT(FILTER(CP$5:CP$229,CP$5:CP$229&lt;$BS$5:$BS$229-$BT$5:$BT$229*$BT$2))"),3.0)</f>
        <v>3</v>
      </c>
      <c r="CQ231" s="218"/>
      <c r="CR231" s="218"/>
      <c r="CS231" s="218">
        <f>IFERROR(__xludf.DUMMYFUNCTION("COUNT(FILTER(CS$5:CS$229,CS$5:CS$229&lt;$BS$5:$BS$229-$BT$5:$BT$229*$BT$2))"),0.0)</f>
        <v>0</v>
      </c>
      <c r="CT231" s="218"/>
      <c r="CU231" s="218"/>
      <c r="CV231" s="218">
        <f>IFERROR(__xludf.DUMMYFUNCTION("COUNT(FILTER(CV$5:CV$229,CV$5:CV$229&lt;$BS$5:$BS$229-$BT$5:$BT$229*$BT$2))"),17.0)</f>
        <v>17</v>
      </c>
      <c r="CW231" s="218"/>
      <c r="CX231" s="218"/>
      <c r="CY231" s="218"/>
      <c r="CZ231" s="218">
        <f>IFERROR(__xludf.DUMMYFUNCTION("COUNT(FILTER(CZ$5:CZ$229,CZ$5:CZ$229&lt;$BS$5:$BS$229-$BT$5:$BT$229*$BT$2))"),1.0)</f>
        <v>1</v>
      </c>
      <c r="DA231" s="218"/>
      <c r="DB231" s="218"/>
      <c r="DC231" s="218">
        <f>IFERROR(__xludf.DUMMYFUNCTION("COUNT(FILTER(DC$5:DC$229,DC$5:DC$229&lt;$BS$5:$BS$229-$BT$5:$BT$229*$BT$2))"),9.0)</f>
        <v>9</v>
      </c>
      <c r="DD231" s="218"/>
      <c r="DE231" s="218"/>
      <c r="DF231" s="218">
        <f>IFERROR(__xludf.DUMMYFUNCTION("COUNT(FILTER(DF$5:DF$229,DF$5:DF$229&lt;$BS$5:$BS$229-$BT$5:$BT$229*$BT$2))"),2.0)</f>
        <v>2</v>
      </c>
      <c r="DG231" s="218"/>
      <c r="DH231" s="218"/>
      <c r="DI231" s="218">
        <f>IFERROR(__xludf.DUMMYFUNCTION("COUNT(FILTER(DI$5:DI$229,DI$5:DI$229&lt;$BS$5:$BS$229-$BT$5:$BT$229*$BT$2))"),28.0)</f>
        <v>28</v>
      </c>
      <c r="DJ231" s="218"/>
      <c r="DK231" s="218"/>
      <c r="DL231" s="218">
        <f>IFERROR(__xludf.DUMMYFUNCTION("COUNT(FILTER(DL$5:DL$229,DL$5:DL$229&lt;$BS$5:$BS$229-$BT$5:$BT$229*$BT$2))"),0.0)</f>
        <v>0</v>
      </c>
      <c r="DM231" s="218"/>
      <c r="DN231" s="218"/>
      <c r="DO231" s="218"/>
      <c r="DP231" s="218">
        <f>IFERROR(__xludf.DUMMYFUNCTION("COUNT(FILTER(DP$5:DP$229,DP$5:DP$229&lt;$BS$5:$BS$229-$BT$5:$BT$229*$BT$2))"),0.0)</f>
        <v>0</v>
      </c>
      <c r="DQ231" s="218"/>
      <c r="DR231" s="218"/>
      <c r="DS231" s="218">
        <f>IFERROR(__xludf.DUMMYFUNCTION("COUNT(FILTER(DS$5:DS$229,DS$5:DS$229&lt;$BS$5:$BS$229-$BT$5:$BT$229*$BT$2))"),4.0)</f>
        <v>4</v>
      </c>
      <c r="DT231" s="218"/>
      <c r="DU231" s="218"/>
      <c r="DV231" s="218">
        <f>IFERROR(__xludf.DUMMYFUNCTION("COUNT(FILTER(DV$5:DV$229,DV$5:DV$229&lt;$BS$5:$BS$229-$BT$5:$BT$229*$BT$2))"),9.0)</f>
        <v>9</v>
      </c>
      <c r="DW231" s="218"/>
      <c r="DX231" s="218"/>
      <c r="DY231" s="218">
        <f>IFERROR(__xludf.DUMMYFUNCTION("COUNT(FILTER(DY$5:DY$229,DY$5:DY$229&lt;$BS$5:$BS$229-$BT$5:$BT$229*$BT$2))"),1.0)</f>
        <v>1</v>
      </c>
      <c r="DZ231" s="218"/>
      <c r="EA231" s="218"/>
      <c r="EB231" s="191"/>
    </row>
    <row r="232">
      <c r="A232" s="2"/>
      <c r="B232" s="216"/>
      <c r="C232" s="216"/>
      <c r="D232" s="216"/>
      <c r="E232" s="216"/>
      <c r="F232" s="216"/>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187"/>
      <c r="BI232" s="187"/>
      <c r="BJ232" s="187"/>
      <c r="BK232" s="187"/>
      <c r="BL232" s="187"/>
      <c r="BM232" s="187"/>
      <c r="BN232" s="187"/>
      <c r="BO232" s="187"/>
      <c r="BP232" s="187"/>
      <c r="BQ232" s="187"/>
      <c r="BR232" s="216"/>
      <c r="BS232" s="217" t="s">
        <v>677</v>
      </c>
      <c r="BU232" s="206"/>
      <c r="BV232" s="218">
        <f>IFERROR(__xludf.DUMMYFUNCTION("COUNT(FILTER(BV$5:BV$229,BV$5:BV$229&gt;$BS$5:$BS$229+$BT$5:$BT$229*$BT$2))"),31.0)</f>
        <v>31</v>
      </c>
      <c r="BW232" s="218"/>
      <c r="BX232" s="218"/>
      <c r="BY232" s="218">
        <f>IFERROR(__xludf.DUMMYFUNCTION("COUNT(FILTER(BY$5:BY$229,BY$5:BY$229&gt;$BS$5:$BS$229+$BT$5:$BT$229*$BT$2))"),0.0)</f>
        <v>0</v>
      </c>
      <c r="BZ232" s="218"/>
      <c r="CA232" s="218"/>
      <c r="CB232" s="218">
        <f>IFERROR(__xludf.DUMMYFUNCTION("COUNT(FILTER(CB$5:CB$229,CB$5:CB$229&gt;$BS$5:$BS$229+$BT$5:$BT$229*$BT$2))"),10.0)</f>
        <v>10</v>
      </c>
      <c r="CC232" s="218"/>
      <c r="CD232" s="218"/>
      <c r="CE232" s="218"/>
      <c r="CF232" s="218">
        <f>IFERROR(__xludf.DUMMYFUNCTION("COUNT(FILTER(CF$5:CF$229,CF$5:CF$229&gt;$BS$5:$BS$229+$BT$5:$BT$229*$BT$2))"),2.0)</f>
        <v>2</v>
      </c>
      <c r="CG232" s="218"/>
      <c r="CH232" s="218"/>
      <c r="CI232" s="218">
        <f>IFERROR(__xludf.DUMMYFUNCTION("COUNT(FILTER(CI$5:CI$229,CI$5:CI$229&gt;$BS$5:$BS$229+$BT$5:$BT$229*$BT$2))"),0.0)</f>
        <v>0</v>
      </c>
      <c r="CJ232" s="218"/>
      <c r="CK232" s="218"/>
      <c r="CL232" s="218">
        <f>IFERROR(__xludf.DUMMYFUNCTION("COUNT(FILTER(CL$5:CL$229,CL$5:CL$229&gt;$BS$5:$BS$229+$BT$5:$BT$229*$BT$2))"),18.0)</f>
        <v>18</v>
      </c>
      <c r="CM232" s="218"/>
      <c r="CN232" s="218"/>
      <c r="CO232" s="218"/>
      <c r="CP232" s="218">
        <f>IFERROR(__xludf.DUMMYFUNCTION("COUNT(FILTER(CP$5:CP$229,CP$5:CP$229&gt;$BS$5:$BS$229+$BT$5:$BT$229*$BT$2))"),10.0)</f>
        <v>10</v>
      </c>
      <c r="CQ232" s="218"/>
      <c r="CR232" s="218"/>
      <c r="CS232" s="218">
        <f>IFERROR(__xludf.DUMMYFUNCTION("COUNT(FILTER(CS$5:CS$170,CS$5:CS$170&gt;$BS$5:$BS$170+$BT$5:$BT$170*$BT$2))"),0.0)</f>
        <v>0</v>
      </c>
      <c r="CT232" s="218"/>
      <c r="CU232" s="218"/>
      <c r="CV232" s="218">
        <f>IFERROR(__xludf.DUMMYFUNCTION("COUNT(FILTER(CV$5:CV$170,CV$5:CV$170&gt;$BS$5:$BS$170+$BT$5:$BT$170*$BT$2))"),14.0)</f>
        <v>14</v>
      </c>
      <c r="CW232" s="218"/>
      <c r="CX232" s="218"/>
      <c r="CY232" s="218"/>
      <c r="CZ232" s="218">
        <f>IFERROR(__xludf.DUMMYFUNCTION("COUNT(FILTER(CZ$5:CZ$229,CZ$5:CZ$229&gt;$BS$5:$BS$229+$BT$5:$BT$229*$BT$2))"),3.0)</f>
        <v>3</v>
      </c>
      <c r="DA232" s="218"/>
      <c r="DB232" s="218"/>
      <c r="DC232" s="218">
        <f>IFERROR(__xludf.DUMMYFUNCTION("COUNT(FILTER(DC$5:DC$229,DC$5:DC$229&gt;$BS$5:$BS$229+$BT$5:$BT$229*$BT$2))"),10.0)</f>
        <v>10</v>
      </c>
      <c r="DD232" s="218"/>
      <c r="DE232" s="218"/>
      <c r="DF232" s="218">
        <f>IFERROR(__xludf.DUMMYFUNCTION("COUNT(FILTER(DF$5:DF$229,DF$5:DF$229&gt;$BS$5:$BS$229+$BT$5:$BT$229*$BT$2))"),4.0)</f>
        <v>4</v>
      </c>
      <c r="DG232" s="218"/>
      <c r="DH232" s="218"/>
      <c r="DI232" s="218">
        <f>IFERROR(__xludf.DUMMYFUNCTION("COUNT(FILTER(DI$5:DI$229,DI$5:DI$229&gt;$BS$5:$BS$229+$BT$5:$BT$229*$BT$2))"),36.0)</f>
        <v>36</v>
      </c>
      <c r="DJ232" s="218"/>
      <c r="DK232" s="218"/>
      <c r="DL232" s="218">
        <f>IFERROR(__xludf.DUMMYFUNCTION("COUNT(FILTER(DL$5:DL$229,DL$5:DL$229&gt;$BS$5:$BS$229+$BT$5:$BT$229*$BT$2))"),3.0)</f>
        <v>3</v>
      </c>
      <c r="DM232" s="218"/>
      <c r="DN232" s="218"/>
      <c r="DO232" s="218"/>
      <c r="DP232" s="218">
        <f>IFERROR(__xludf.DUMMYFUNCTION("COUNT(FILTER(DP$5:DP$229,DP$5:DP$229&gt;$BS$5:$BS$229+$BT$5:$BT$229*$BT$2))"),0.0)</f>
        <v>0</v>
      </c>
      <c r="DQ232" s="218"/>
      <c r="DR232" s="218"/>
      <c r="DS232" s="218">
        <f>IFERROR(__xludf.DUMMYFUNCTION("COUNT(FILTER(DS$5:DS$229,DS$5:DS$229&gt;$BS$5:$BS$229+$BT$5:$BT$229*$BT$2))"),7.0)</f>
        <v>7</v>
      </c>
      <c r="DT232" s="218"/>
      <c r="DU232" s="218"/>
      <c r="DV232" s="218">
        <f>IFERROR(__xludf.DUMMYFUNCTION("COUNT(FILTER(DV$5:DV$229,DV$5:DV$229&gt;$BS$5:$BS$229+$BT$5:$BT$229*$BT$2))"),12.0)</f>
        <v>12</v>
      </c>
      <c r="DW232" s="218"/>
      <c r="DX232" s="218"/>
      <c r="DY232" s="218">
        <f>IFERROR(__xludf.DUMMYFUNCTION("COUNT(FILTER(DY$5:DY$229,DY$5:DY$229&gt;$BS$5:$BS$229+$BT$5:$BT$229*$BT$2))"),11.0)</f>
        <v>11</v>
      </c>
      <c r="DZ232" s="218"/>
      <c r="EA232" s="218"/>
      <c r="EB232" s="191"/>
    </row>
    <row r="233">
      <c r="A233" s="2"/>
      <c r="B233" s="216"/>
      <c r="C233" s="216"/>
      <c r="D233" s="216"/>
      <c r="E233" s="216"/>
      <c r="F233" s="216"/>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187"/>
      <c r="BI233" s="187"/>
      <c r="BJ233" s="187"/>
      <c r="BK233" s="187"/>
      <c r="BL233" s="187"/>
      <c r="BM233" s="187"/>
      <c r="BN233" s="187"/>
      <c r="BO233" s="187"/>
      <c r="BP233" s="187"/>
      <c r="BQ233" s="187"/>
      <c r="BR233" s="216"/>
      <c r="BS233" s="217" t="s">
        <v>678</v>
      </c>
      <c r="BU233" s="206"/>
      <c r="BV233" s="218">
        <f>SUM(BV231:BV232)</f>
        <v>70</v>
      </c>
      <c r="BW233" s="218"/>
      <c r="BX233" s="218"/>
      <c r="BY233" s="218">
        <f>SUM(BY231:BY232)</f>
        <v>0</v>
      </c>
      <c r="BZ233" s="218"/>
      <c r="CA233" s="218"/>
      <c r="CB233" s="218">
        <f>SUM(CB231:CB232)</f>
        <v>17</v>
      </c>
      <c r="CC233" s="218"/>
      <c r="CD233" s="218"/>
      <c r="CE233" s="218"/>
      <c r="CF233" s="218">
        <f>SUM(CF231:CF232)</f>
        <v>2</v>
      </c>
      <c r="CG233" s="218"/>
      <c r="CH233" s="218"/>
      <c r="CI233" s="218">
        <f>SUM(CI231:CI232)</f>
        <v>0</v>
      </c>
      <c r="CJ233" s="218"/>
      <c r="CK233" s="218"/>
      <c r="CL233" s="218">
        <f>SUM(CL231:CL232)</f>
        <v>35</v>
      </c>
      <c r="CM233" s="218"/>
      <c r="CN233" s="218"/>
      <c r="CO233" s="218"/>
      <c r="CP233" s="218">
        <f>SUM(CP231:CP232)</f>
        <v>13</v>
      </c>
      <c r="CQ233" s="218"/>
      <c r="CR233" s="218"/>
      <c r="CS233" s="218">
        <f>SUM(CS231:CS232)</f>
        <v>0</v>
      </c>
      <c r="CT233" s="218"/>
      <c r="CU233" s="218"/>
      <c r="CV233" s="218">
        <f>SUM(CV231:CV232)</f>
        <v>31</v>
      </c>
      <c r="CW233" s="218"/>
      <c r="CX233" s="218"/>
      <c r="CY233" s="218"/>
      <c r="CZ233" s="218">
        <f>SUM(CZ231:CZ232)</f>
        <v>4</v>
      </c>
      <c r="DA233" s="218"/>
      <c r="DB233" s="218"/>
      <c r="DC233" s="218">
        <f>SUM(DC231:DC232)</f>
        <v>19</v>
      </c>
      <c r="DD233" s="218"/>
      <c r="DE233" s="218"/>
      <c r="DF233" s="218">
        <f>SUM(DF231:DF232)</f>
        <v>6</v>
      </c>
      <c r="DG233" s="218"/>
      <c r="DH233" s="218"/>
      <c r="DI233" s="218">
        <f>SUM(DI231:DI232)</f>
        <v>64</v>
      </c>
      <c r="DJ233" s="218"/>
      <c r="DK233" s="218"/>
      <c r="DL233" s="218">
        <f>SUM(DL231:DL232)</f>
        <v>3</v>
      </c>
      <c r="DM233" s="218"/>
      <c r="DN233" s="218"/>
      <c r="DO233" s="218"/>
      <c r="DP233" s="218">
        <f>SUM(DP231:DP232)</f>
        <v>0</v>
      </c>
      <c r="DQ233" s="218"/>
      <c r="DR233" s="218"/>
      <c r="DS233" s="218">
        <f>SUM(DS231:DS232)</f>
        <v>11</v>
      </c>
      <c r="DT233" s="218"/>
      <c r="DU233" s="218"/>
      <c r="DV233" s="218">
        <f>SUM(DV231:DV232)</f>
        <v>21</v>
      </c>
      <c r="DW233" s="218"/>
      <c r="DX233" s="218"/>
      <c r="DY233" s="218">
        <f>SUM(DY231:DY232)</f>
        <v>12</v>
      </c>
      <c r="DZ233" s="218"/>
      <c r="EA233" s="218"/>
      <c r="EB233" s="191"/>
    </row>
    <row r="234">
      <c r="A234" s="2"/>
      <c r="B234" s="192"/>
      <c r="C234" s="192"/>
      <c r="D234" s="192"/>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187"/>
      <c r="BI234" s="187"/>
      <c r="BJ234" s="187"/>
      <c r="BK234" s="187"/>
      <c r="BL234" s="187"/>
      <c r="BM234" s="187"/>
      <c r="BN234" s="187"/>
      <c r="BO234" s="187"/>
      <c r="BP234" s="187"/>
      <c r="BQ234" s="187"/>
      <c r="BR234" s="206"/>
      <c r="BS234" s="187"/>
      <c r="BT234" s="206"/>
      <c r="BU234" s="206"/>
      <c r="BV234" s="206"/>
      <c r="BW234" s="187"/>
      <c r="BX234" s="206"/>
      <c r="BY234" s="206"/>
      <c r="BZ234" s="187"/>
      <c r="CA234" s="206"/>
      <c r="CB234" s="206"/>
      <c r="CC234" s="187"/>
      <c r="CD234" s="206"/>
      <c r="CE234" s="206"/>
      <c r="CF234" s="206"/>
      <c r="CG234" s="187"/>
      <c r="CH234" s="206"/>
      <c r="CI234" s="206"/>
      <c r="CJ234" s="187"/>
      <c r="CK234" s="206"/>
      <c r="CL234" s="206"/>
      <c r="CM234" s="187"/>
      <c r="CN234" s="206"/>
      <c r="CO234" s="206"/>
      <c r="CP234" s="191"/>
      <c r="CQ234" s="187"/>
      <c r="CR234" s="206"/>
      <c r="CS234" s="191"/>
      <c r="CT234" s="187"/>
      <c r="CU234" s="206"/>
      <c r="CV234" s="191"/>
      <c r="CW234" s="187"/>
      <c r="CX234" s="206"/>
      <c r="CY234" s="206"/>
      <c r="CZ234" s="191"/>
      <c r="DA234" s="187"/>
      <c r="DB234" s="206"/>
      <c r="DC234" s="191"/>
      <c r="DD234" s="187"/>
      <c r="DE234" s="206"/>
      <c r="DF234" s="191"/>
      <c r="DG234" s="187"/>
      <c r="DH234" s="206"/>
      <c r="DI234" s="191"/>
      <c r="DJ234" s="187"/>
      <c r="DK234" s="206"/>
      <c r="DL234" s="191"/>
      <c r="DM234" s="187"/>
      <c r="DN234" s="206"/>
      <c r="DO234" s="206"/>
      <c r="DP234" s="191"/>
      <c r="DQ234" s="187"/>
      <c r="DR234" s="206"/>
      <c r="DS234" s="191"/>
      <c r="DT234" s="187"/>
      <c r="DU234" s="206"/>
      <c r="DV234" s="191"/>
      <c r="DW234" s="187"/>
      <c r="DX234" s="206"/>
      <c r="DY234" s="191"/>
      <c r="DZ234" s="187"/>
      <c r="EA234" s="206"/>
      <c r="EB234" s="191"/>
    </row>
    <row r="235">
      <c r="A235" s="2"/>
      <c r="B235" s="216"/>
      <c r="C235" s="216"/>
      <c r="D235" s="216"/>
      <c r="E235" s="216"/>
      <c r="F235" s="216"/>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187"/>
      <c r="BI235" s="187"/>
      <c r="BJ235" s="187"/>
      <c r="BK235" s="187"/>
      <c r="BL235" s="187"/>
      <c r="BM235" s="187"/>
      <c r="BN235" s="187"/>
      <c r="BO235" s="187"/>
      <c r="BP235" s="187"/>
      <c r="BQ235" s="187"/>
      <c r="BR235" s="216"/>
      <c r="BS235" s="217" t="s">
        <v>679</v>
      </c>
      <c r="BU235" s="206"/>
      <c r="BV235" s="219">
        <f>IFERROR(__xludf.DUMMYFUNCTION("COUNT(FILTER(BV$5:BV$229,BV$5:BV$229&lt;$BS$5:$BS$229-$BT$5:$BT$229*$BT$2,$F$5:$F$229))"),34.0)</f>
        <v>34</v>
      </c>
      <c r="BW235" s="219"/>
      <c r="BX235" s="219"/>
      <c r="BY235" s="219">
        <f>IFERROR(__xludf.DUMMYFUNCTION("COUNT(FILTER(BY$5:BY$229,BY$5:BY$229&lt;$BS$5:$BS$229-$BT$5:$BT$229*$BT$2,$F$5:$F$229))"),0.0)</f>
        <v>0</v>
      </c>
      <c r="BZ235" s="219"/>
      <c r="CA235" s="219"/>
      <c r="CB235" s="219">
        <f>IFERROR(__xludf.DUMMYFUNCTION("COUNT(FILTER(CB$5:CB$229,CB$5:CB$229&lt;$BS$5:$BS$229-$BT$5:$BT$229*$BT$2,$F$5:$F$229))"),1.0)</f>
        <v>1</v>
      </c>
      <c r="CC235" s="219"/>
      <c r="CD235" s="219"/>
      <c r="CE235" s="219"/>
      <c r="CF235" s="219">
        <f>IFERROR(__xludf.DUMMYFUNCTION("COUNT(FILTER(CF$5:CF$229,CF$5:CF$229&lt;$BS$5:$BS$229-$BT$5:$BT$229*$BT$2,$F$5:$F$229))"),0.0)</f>
        <v>0</v>
      </c>
      <c r="CG235" s="219"/>
      <c r="CH235" s="219"/>
      <c r="CI235" s="219">
        <f>IFERROR(__xludf.DUMMYFUNCTION("COUNT(FILTER(CI$5:CI$229,CI$5:CI$229&lt;$BS$5:$BS$229-$BT$5:$BT$229*$BT$2,$F$5:$F$229))"),0.0)</f>
        <v>0</v>
      </c>
      <c r="CJ235" s="219"/>
      <c r="CK235" s="219"/>
      <c r="CL235" s="219">
        <f>IFERROR(__xludf.DUMMYFUNCTION("COUNT(FILTER(CL$5:CL$229,CL$5:CL$229&lt;$BS$5:$BS$229-$BT$5:$BT$229*$BT$2,$F$5:$F$229))"),6.0)</f>
        <v>6</v>
      </c>
      <c r="CM235" s="219"/>
      <c r="CN235" s="219"/>
      <c r="CO235" s="219"/>
      <c r="CP235" s="219">
        <f>IFERROR(__xludf.DUMMYFUNCTION("COUNT(FILTER(CP$5:CP$229,CP$5:CP$229&lt;$BS$5:$BS$229-$BT$5:$BT$229*$BT$2,$F$5:$F$229))"),2.0)</f>
        <v>2</v>
      </c>
      <c r="CQ235" s="219"/>
      <c r="CR235" s="219"/>
      <c r="CS235" s="219">
        <f>IFERROR(__xludf.DUMMYFUNCTION("COUNT(FILTER(CS$5:CS$229,CS$5:CS$229&lt;$BS$5:$BS$229-$BT$5:$BT$229*$BT$2,$F$5:$F$229))"),0.0)</f>
        <v>0</v>
      </c>
      <c r="CT235" s="219"/>
      <c r="CU235" s="219"/>
      <c r="CV235" s="219">
        <f>IFERROR(__xludf.DUMMYFUNCTION("COUNT(FILTER(CV$5:CV$229,CV$5:CV$229&lt;$BS$5:$BS$229-$BT$5:$BT$229*$BT$2,$F$5:$F$229))"),6.0)</f>
        <v>6</v>
      </c>
      <c r="CW235" s="219"/>
      <c r="CX235" s="219"/>
      <c r="CY235" s="219"/>
      <c r="CZ235" s="219">
        <f>IFERROR(__xludf.DUMMYFUNCTION("COUNT(FILTER(CZ$5:CZ$229,CZ$5:CZ$229&lt;$BS$5:$BS$229-$BT$5:$BT$229*$BT$2,$F$5:$F$229))"),1.0)</f>
        <v>1</v>
      </c>
      <c r="DA235" s="219"/>
      <c r="DB235" s="219"/>
      <c r="DC235" s="219">
        <f>IFERROR(__xludf.DUMMYFUNCTION("COUNT(FILTER(DC$5:DC$229,DC$5:DC$229&lt;$BS$5:$BS$229-$BT$5:$BT$229*$BT$2,$F$5:$F$229))"),1.0)</f>
        <v>1</v>
      </c>
      <c r="DD235" s="219"/>
      <c r="DE235" s="219"/>
      <c r="DF235" s="219">
        <f>IFERROR(__xludf.DUMMYFUNCTION("COUNT(FILTER(DF$5:DF$229,DF$5:DF$229&lt;$BS$5:$BS$229-$BT$5:$BT$229*$BT$2,$F$5:$F$229))"),1.0)</f>
        <v>1</v>
      </c>
      <c r="DG235" s="219"/>
      <c r="DH235" s="219"/>
      <c r="DI235" s="219">
        <f>IFERROR(__xludf.DUMMYFUNCTION("COUNT(FILTER(DI$5:DI$229,DI$5:DI$229&lt;$BS$5:$BS$229-$BT$5:$BT$229*$BT$2,$F$5:$F$229))"),20.0)</f>
        <v>20</v>
      </c>
      <c r="DJ235" s="219"/>
      <c r="DK235" s="219"/>
      <c r="DL235" s="219">
        <f>IFERROR(__xludf.DUMMYFUNCTION("COUNT(FILTER(DL$5:DL$229,DL$5:DL$229&lt;$BS$5:$BS$229-$BT$5:$BT$229*$BT$2,$F$5:$F$229))"),0.0)</f>
        <v>0</v>
      </c>
      <c r="DM235" s="219"/>
      <c r="DN235" s="219"/>
      <c r="DO235" s="219"/>
      <c r="DP235" s="219">
        <f>IFERROR(__xludf.DUMMYFUNCTION("COUNT(FILTER(DP$5:DP$229,DP$5:DP$229&lt;$BS$5:$BS$229-$BT$5:$BT$229*$BT$2,$F$5:$F$229))"),0.0)</f>
        <v>0</v>
      </c>
      <c r="DQ235" s="219"/>
      <c r="DR235" s="219"/>
      <c r="DS235" s="219">
        <f>IFERROR(__xludf.DUMMYFUNCTION("COUNT(FILTER(DS$5:DS$229,DS$5:DS$229&lt;$BS$5:$BS$229-$BT$5:$BT$229*$BT$2,$F$5:$F$229))"),1.0)</f>
        <v>1</v>
      </c>
      <c r="DT235" s="219"/>
      <c r="DU235" s="219"/>
      <c r="DV235" s="219">
        <f>IFERROR(__xludf.DUMMYFUNCTION("COUNT(FILTER(DV$5:DV$229,DV$5:DV$229&lt;$BS$5:$BS$229-$BT$5:$BT$229*$BT$2,$F$5:$F$229))"),8.0)</f>
        <v>8</v>
      </c>
      <c r="DW235" s="219"/>
      <c r="DX235" s="219"/>
      <c r="DY235" s="219">
        <f>IFERROR(__xludf.DUMMYFUNCTION("COUNT(FILTER(DY$5:DY$229,DY$5:DY$229&lt;$BS$5:$BS$229-$BT$5:$BT$229*$BT$2,$F$5:$F$229))"),1.0)</f>
        <v>1</v>
      </c>
      <c r="DZ235" s="219"/>
      <c r="EA235" s="219"/>
      <c r="EB235" s="191"/>
    </row>
    <row r="236">
      <c r="A236" s="2"/>
      <c r="B236" s="216"/>
      <c r="C236" s="216"/>
      <c r="D236" s="216"/>
      <c r="E236" s="216"/>
      <c r="F236" s="216"/>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187"/>
      <c r="BH236" s="187"/>
      <c r="BI236" s="187"/>
      <c r="BJ236" s="187"/>
      <c r="BK236" s="187"/>
      <c r="BL236" s="187"/>
      <c r="BM236" s="187"/>
      <c r="BN236" s="187"/>
      <c r="BO236" s="187"/>
      <c r="BP236" s="187"/>
      <c r="BQ236" s="187"/>
      <c r="BR236" s="216"/>
      <c r="BS236" s="217" t="s">
        <v>680</v>
      </c>
      <c r="BU236" s="206"/>
      <c r="BV236" s="219">
        <f>IFERROR(__xludf.DUMMYFUNCTION("COUNT(FILTER(BV$5:BV$229,BV$5:BV$229&gt;$BS$5:$BS$229+$BT$5:$BT$229*$BT$2,$F$5:$F$229))"),26.0)</f>
        <v>26</v>
      </c>
      <c r="BW236" s="219"/>
      <c r="BX236" s="219"/>
      <c r="BY236" s="219">
        <f>IFERROR(__xludf.DUMMYFUNCTION("COUNT(FILTER(BY$5:BY$229,BY$5:BY$229&gt;$BS$5:$BS$229+$BT$5:$BT$229*$BT$2,$F$5:$F$229))"),0.0)</f>
        <v>0</v>
      </c>
      <c r="BZ236" s="219"/>
      <c r="CA236" s="219"/>
      <c r="CB236" s="219">
        <f>IFERROR(__xludf.DUMMYFUNCTION("COUNT(FILTER(CB$5:CB$229,CB$5:CB$229&gt;$BS$5:$BS$229+$BT$5:$BT$229*$BT$2,$F$5:$F$229))"),4.0)</f>
        <v>4</v>
      </c>
      <c r="CC236" s="219"/>
      <c r="CD236" s="219"/>
      <c r="CE236" s="219"/>
      <c r="CF236" s="219">
        <f>IFERROR(__xludf.DUMMYFUNCTION("COUNT(FILTER(CF$5:CF$229,CF$5:CF$229&gt;$BS$5:$BS$229+$BT$5:$BT$229*$BT$2,$F$5:$F$229))"),2.0)</f>
        <v>2</v>
      </c>
      <c r="CG236" s="219"/>
      <c r="CH236" s="219"/>
      <c r="CI236" s="219">
        <f>IFERROR(__xludf.DUMMYFUNCTION("COUNT(FILTER(CI$5:CI$229,CI$5:CI$229&gt;$BS$5:$BS$229+$BT$5:$BT$229*$BT$2,$F$5:$F$229))"),0.0)</f>
        <v>0</v>
      </c>
      <c r="CJ236" s="219"/>
      <c r="CK236" s="219"/>
      <c r="CL236" s="219">
        <f>IFERROR(__xludf.DUMMYFUNCTION("COUNT(FILTER(CL$5:CL$229,CL$5:CL$229&gt;$BS$5:$BS$229+$BT$5:$BT$229*$BT$2,$F$5:$F$229))"),11.0)</f>
        <v>11</v>
      </c>
      <c r="CM236" s="219"/>
      <c r="CN236" s="219"/>
      <c r="CO236" s="219"/>
      <c r="CP236" s="219">
        <f>IFERROR(__xludf.DUMMYFUNCTION("COUNT(FILTER(CP$5:CP$229,CP$5:CP$229&gt;$BS$5:$BS$229+$BT$5:$BT$229*$BT$2,$F$5:$F$229))"),9.0)</f>
        <v>9</v>
      </c>
      <c r="CQ236" s="219"/>
      <c r="CR236" s="219"/>
      <c r="CS236" s="219">
        <f>IFERROR(__xludf.DUMMYFUNCTION("COUNT(FILTER(CS$5:CS$229,CS$5:CS$229&gt;$BS$5:$BS$229+$BT$5:$BT$229*$BT$2,$F$5:$F$229))"),0.0)</f>
        <v>0</v>
      </c>
      <c r="CT236" s="219"/>
      <c r="CU236" s="219"/>
      <c r="CV236" s="219">
        <f>IFERROR(__xludf.DUMMYFUNCTION("COUNT(FILTER(CV$5:CV$229,CV$5:CV$229&gt;$BS$5:$BS$229+$BT$5:$BT$229*$BT$2,$F$5:$F$229))"),11.0)</f>
        <v>11</v>
      </c>
      <c r="CW236" s="219"/>
      <c r="CX236" s="219"/>
      <c r="CY236" s="219"/>
      <c r="CZ236" s="219">
        <f>IFERROR(__xludf.DUMMYFUNCTION("COUNT(FILTER(CZ$5:CZ$229,CZ$5:CZ$229&gt;$BS$5:$BS$229+$BT$5:$BT$229*$BT$2,$F$5:$F$229))"),3.0)</f>
        <v>3</v>
      </c>
      <c r="DA236" s="219"/>
      <c r="DB236" s="219"/>
      <c r="DC236" s="219">
        <f>IFERROR(__xludf.DUMMYFUNCTION("COUNT(FILTER(DC$5:DC$229,DC$5:DC$229&gt;$BS$5:$BS$229+$BT$5:$BT$229*$BT$2,$F$5:$F$229))"),3.0)</f>
        <v>3</v>
      </c>
      <c r="DD236" s="219"/>
      <c r="DE236" s="219"/>
      <c r="DF236" s="219">
        <f>IFERROR(__xludf.DUMMYFUNCTION("COUNT(FILTER(DF$5:DF$229,DF$5:DF$229&gt;$BS$5:$BS$229+$BT$5:$BT$229*$BT$2,$F$5:$F$229))"),2.0)</f>
        <v>2</v>
      </c>
      <c r="DG236" s="219"/>
      <c r="DH236" s="219"/>
      <c r="DI236" s="219">
        <f>IFERROR(__xludf.DUMMYFUNCTION("COUNT(FILTER(DI$5:DI$229,DI$5:DI$229&gt;$BS$5:$BS$229+$BT$5:$BT$229*$BT$2,$F$5:$F$229))"),24.0)</f>
        <v>24</v>
      </c>
      <c r="DJ236" s="219"/>
      <c r="DK236" s="219"/>
      <c r="DL236" s="219">
        <f>IFERROR(__xludf.DUMMYFUNCTION("COUNT(FILTER(DL$5:DL$229,DL$5:DL$229&gt;$BS$5:$BS$229+$BT$5:$BT$229*$BT$2,$F$5:$F$229))"),3.0)</f>
        <v>3</v>
      </c>
      <c r="DM236" s="219"/>
      <c r="DN236" s="219"/>
      <c r="DO236" s="219"/>
      <c r="DP236" s="219">
        <f>IFERROR(__xludf.DUMMYFUNCTION("COUNT(FILTER(DP$5:DP$229,DP$5:DP$229&gt;$BS$5:$BS$229+$BT$5:$BT$229*$BT$2,$F$5:$F$229))"),0.0)</f>
        <v>0</v>
      </c>
      <c r="DQ236" s="219"/>
      <c r="DR236" s="219"/>
      <c r="DS236" s="219">
        <f>IFERROR(__xludf.DUMMYFUNCTION("COUNT(FILTER(DS$5:DS$229,DS$5:DS$229&gt;$BS$5:$BS$229+$BT$5:$BT$229*$BT$2,$F$5:$F$229))"),3.0)</f>
        <v>3</v>
      </c>
      <c r="DT236" s="219"/>
      <c r="DU236" s="219"/>
      <c r="DV236" s="219">
        <f>IFERROR(__xludf.DUMMYFUNCTION("COUNT(FILTER(DV$5:DV$229,DV$5:DV$229&gt;$BS$5:$BS$229+$BT$5:$BT$229*$BT$2,$F$5:$F$229))"),11.0)</f>
        <v>11</v>
      </c>
      <c r="DW236" s="219"/>
      <c r="DX236" s="219"/>
      <c r="DY236" s="219">
        <f>IFERROR(__xludf.DUMMYFUNCTION("COUNT(FILTER(DY$5:DY$229,DY$5:DY$229&gt;$BS$5:$BS$229+$BT$5:$BT$229*$BT$2,$F$5:$F$229))"),8.0)</f>
        <v>8</v>
      </c>
      <c r="DZ236" s="219"/>
      <c r="EA236" s="219"/>
      <c r="EB236" s="191"/>
    </row>
    <row r="237">
      <c r="A237" s="2"/>
      <c r="B237" s="216"/>
      <c r="C237" s="216"/>
      <c r="D237" s="216"/>
      <c r="E237" s="216"/>
      <c r="F237" s="216"/>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187"/>
      <c r="BH237" s="187"/>
      <c r="BI237" s="187"/>
      <c r="BJ237" s="187"/>
      <c r="BK237" s="187"/>
      <c r="BL237" s="187"/>
      <c r="BM237" s="187"/>
      <c r="BN237" s="187"/>
      <c r="BO237" s="187"/>
      <c r="BP237" s="187"/>
      <c r="BQ237" s="187"/>
      <c r="BR237" s="216"/>
      <c r="BS237" s="217" t="s">
        <v>681</v>
      </c>
      <c r="BU237" s="206"/>
      <c r="BV237" s="219">
        <f>SUM(BV235:BV236)</f>
        <v>60</v>
      </c>
      <c r="BW237" s="219"/>
      <c r="BX237" s="219"/>
      <c r="BY237" s="219">
        <f>SUM(BY235:BY236)</f>
        <v>0</v>
      </c>
      <c r="BZ237" s="219"/>
      <c r="CA237" s="219"/>
      <c r="CB237" s="219">
        <f>SUM(CB235:CB236)</f>
        <v>5</v>
      </c>
      <c r="CC237" s="219"/>
      <c r="CD237" s="219"/>
      <c r="CE237" s="219"/>
      <c r="CF237" s="219">
        <f>SUM(CF235:CF236)</f>
        <v>2</v>
      </c>
      <c r="CG237" s="219"/>
      <c r="CH237" s="219"/>
      <c r="CI237" s="219">
        <f>SUM(CI235:CI236)</f>
        <v>0</v>
      </c>
      <c r="CJ237" s="219"/>
      <c r="CK237" s="219"/>
      <c r="CL237" s="219">
        <f>SUM(CL235:CL236)</f>
        <v>17</v>
      </c>
      <c r="CM237" s="219"/>
      <c r="CN237" s="219"/>
      <c r="CO237" s="219"/>
      <c r="CP237" s="219">
        <f>SUM(CP235:CP236)</f>
        <v>11</v>
      </c>
      <c r="CQ237" s="219"/>
      <c r="CR237" s="219"/>
      <c r="CS237" s="219">
        <f>SUM(CS235:CS236)</f>
        <v>0</v>
      </c>
      <c r="CT237" s="219"/>
      <c r="CU237" s="219"/>
      <c r="CV237" s="219">
        <f>SUM(CV235:CV236)</f>
        <v>17</v>
      </c>
      <c r="CW237" s="219"/>
      <c r="CX237" s="219"/>
      <c r="CY237" s="219"/>
      <c r="CZ237" s="219">
        <f>SUM(CZ235:CZ236)</f>
        <v>4</v>
      </c>
      <c r="DA237" s="219"/>
      <c r="DB237" s="219"/>
      <c r="DC237" s="219">
        <f>SUM(DC235:DC236)</f>
        <v>4</v>
      </c>
      <c r="DD237" s="219"/>
      <c r="DE237" s="219"/>
      <c r="DF237" s="219">
        <f>SUM(DF235:DF236)</f>
        <v>3</v>
      </c>
      <c r="DG237" s="219"/>
      <c r="DH237" s="219"/>
      <c r="DI237" s="219">
        <f>SUM(DI235:DI236)</f>
        <v>44</v>
      </c>
      <c r="DJ237" s="219"/>
      <c r="DK237" s="219"/>
      <c r="DL237" s="219">
        <f>SUM(DL235:DL236)</f>
        <v>3</v>
      </c>
      <c r="DM237" s="219"/>
      <c r="DN237" s="219"/>
      <c r="DO237" s="219"/>
      <c r="DP237" s="219">
        <f>SUM(DP235:DP236)</f>
        <v>0</v>
      </c>
      <c r="DQ237" s="219"/>
      <c r="DR237" s="219"/>
      <c r="DS237" s="219">
        <f>SUM(DS235:DS236)</f>
        <v>4</v>
      </c>
      <c r="DT237" s="219"/>
      <c r="DU237" s="219"/>
      <c r="DV237" s="219">
        <f>SUM(DV235:DV236)</f>
        <v>19</v>
      </c>
      <c r="DW237" s="219"/>
      <c r="DX237" s="219"/>
      <c r="DY237" s="219">
        <f>SUM(DY235:DY236)</f>
        <v>9</v>
      </c>
      <c r="DZ237" s="219"/>
      <c r="EA237" s="219"/>
      <c r="EB237" s="191"/>
    </row>
    <row r="238">
      <c r="A238" s="2"/>
      <c r="B238" s="192"/>
      <c r="C238" s="192"/>
      <c r="D238" s="192"/>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187"/>
      <c r="BH238" s="187"/>
      <c r="BI238" s="187"/>
      <c r="BJ238" s="187"/>
      <c r="BK238" s="187"/>
      <c r="BL238" s="187"/>
      <c r="BM238" s="187"/>
      <c r="BN238" s="187"/>
      <c r="BO238" s="187"/>
      <c r="BP238" s="187"/>
      <c r="BQ238" s="187"/>
      <c r="BR238" s="206"/>
      <c r="BS238" s="187"/>
      <c r="BT238" s="206"/>
      <c r="BU238" s="206"/>
      <c r="BV238" s="206"/>
      <c r="BW238" s="187"/>
      <c r="BX238" s="206"/>
      <c r="BY238" s="206"/>
      <c r="BZ238" s="187"/>
      <c r="CA238" s="206"/>
      <c r="CB238" s="206"/>
      <c r="CC238" s="187"/>
      <c r="CD238" s="206"/>
      <c r="CE238" s="206"/>
      <c r="CF238" s="206"/>
      <c r="CG238" s="187"/>
      <c r="CH238" s="206"/>
      <c r="CI238" s="206"/>
      <c r="CJ238" s="187"/>
      <c r="CK238" s="206"/>
      <c r="CL238" s="206"/>
      <c r="CM238" s="187"/>
      <c r="CN238" s="206"/>
      <c r="CO238" s="206"/>
      <c r="CP238" s="191"/>
      <c r="CQ238" s="187"/>
      <c r="CR238" s="206"/>
      <c r="CS238" s="191"/>
      <c r="CT238" s="187"/>
      <c r="CU238" s="206"/>
      <c r="CV238" s="191"/>
      <c r="CW238" s="187"/>
      <c r="CX238" s="206"/>
      <c r="CY238" s="206"/>
      <c r="CZ238" s="191"/>
      <c r="DA238" s="187"/>
      <c r="DB238" s="206"/>
      <c r="DC238" s="191"/>
      <c r="DD238" s="187"/>
      <c r="DE238" s="206"/>
      <c r="DF238" s="191"/>
      <c r="DG238" s="187"/>
      <c r="DH238" s="206"/>
      <c r="DI238" s="191"/>
      <c r="DJ238" s="187"/>
      <c r="DK238" s="206"/>
      <c r="DL238" s="191"/>
      <c r="DM238" s="187"/>
      <c r="DN238" s="206"/>
      <c r="DO238" s="206"/>
      <c r="DP238" s="191"/>
      <c r="DQ238" s="187"/>
      <c r="DR238" s="206"/>
      <c r="DS238" s="191"/>
      <c r="DT238" s="187"/>
      <c r="DU238" s="206"/>
      <c r="DV238" s="191"/>
      <c r="DW238" s="187"/>
      <c r="DX238" s="206"/>
      <c r="DY238" s="191"/>
      <c r="DZ238" s="187"/>
      <c r="EA238" s="206"/>
      <c r="EB238" s="191"/>
    </row>
    <row r="239">
      <c r="A239" s="2"/>
      <c r="B239" s="216"/>
      <c r="C239" s="216"/>
      <c r="D239" s="216"/>
      <c r="E239" s="216"/>
      <c r="F239" s="216"/>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c r="BD239" s="187"/>
      <c r="BE239" s="187"/>
      <c r="BF239" s="187"/>
      <c r="BG239" s="187"/>
      <c r="BH239" s="187"/>
      <c r="BI239" s="187"/>
      <c r="BJ239" s="187"/>
      <c r="BK239" s="187"/>
      <c r="BL239" s="187"/>
      <c r="BM239" s="187"/>
      <c r="BN239" s="187"/>
      <c r="BO239" s="187"/>
      <c r="BP239" s="187"/>
      <c r="BQ239" s="187"/>
      <c r="BR239" s="216"/>
      <c r="BS239" s="217" t="s">
        <v>682</v>
      </c>
      <c r="BU239" s="206"/>
      <c r="BV239" s="219">
        <f t="shared" ref="BV239:BV240" si="26">BV231-BV235</f>
        <v>5</v>
      </c>
      <c r="BW239" s="220"/>
      <c r="BX239" s="219"/>
      <c r="BY239" s="219">
        <f t="shared" ref="BY239:BY240" si="27">BY231-BY235</f>
        <v>0</v>
      </c>
      <c r="BZ239" s="220"/>
      <c r="CA239" s="219"/>
      <c r="CB239" s="219">
        <f t="shared" ref="CB239:CB240" si="28">CB231-CB235</f>
        <v>6</v>
      </c>
      <c r="CC239" s="220"/>
      <c r="CD239" s="219"/>
      <c r="CE239" s="221"/>
      <c r="CF239" s="219">
        <f t="shared" ref="CF239:CF240" si="29">CF231-CF235</f>
        <v>0</v>
      </c>
      <c r="CG239" s="220"/>
      <c r="CH239" s="219"/>
      <c r="CI239" s="219">
        <f t="shared" ref="CI239:CI240" si="30">CI231-CI235</f>
        <v>0</v>
      </c>
      <c r="CJ239" s="220"/>
      <c r="CK239" s="219"/>
      <c r="CL239" s="219">
        <f t="shared" ref="CL239:CL240" si="31">CL231-CL235</f>
        <v>11</v>
      </c>
      <c r="CM239" s="220"/>
      <c r="CN239" s="219"/>
      <c r="CO239" s="221"/>
      <c r="CP239" s="222">
        <f t="shared" ref="CP239:CP240" si="32">CP231-CP235</f>
        <v>1</v>
      </c>
      <c r="CQ239" s="220"/>
      <c r="CR239" s="219"/>
      <c r="CS239" s="222">
        <f t="shared" ref="CS239:CS240" si="33">CS231-CS235</f>
        <v>0</v>
      </c>
      <c r="CT239" s="220"/>
      <c r="CU239" s="219"/>
      <c r="CV239" s="222">
        <f t="shared" ref="CV239:CV240" si="34">CV231-CV235</f>
        <v>11</v>
      </c>
      <c r="CW239" s="220"/>
      <c r="CX239" s="219"/>
      <c r="CY239" s="221"/>
      <c r="CZ239" s="222">
        <f t="shared" ref="CZ239:CZ240" si="35">CZ231-CZ235</f>
        <v>0</v>
      </c>
      <c r="DA239" s="220"/>
      <c r="DB239" s="219"/>
      <c r="DC239" s="222">
        <f t="shared" ref="DC239:DC240" si="36">DC231-DC235</f>
        <v>8</v>
      </c>
      <c r="DD239" s="220"/>
      <c r="DE239" s="219"/>
      <c r="DF239" s="222">
        <f t="shared" ref="DF239:DF240" si="37">DF231-DF235</f>
        <v>1</v>
      </c>
      <c r="DG239" s="220"/>
      <c r="DH239" s="219"/>
      <c r="DI239" s="222">
        <f t="shared" ref="DI239:DI240" si="38">DI231-DI235</f>
        <v>8</v>
      </c>
      <c r="DJ239" s="220"/>
      <c r="DK239" s="219"/>
      <c r="DL239" s="222">
        <f t="shared" ref="DL239:DL240" si="39">DL231-DL235</f>
        <v>0</v>
      </c>
      <c r="DM239" s="220"/>
      <c r="DN239" s="219"/>
      <c r="DO239" s="221"/>
      <c r="DP239" s="222">
        <f t="shared" ref="DP239:DP240" si="40">DP231-DP235</f>
        <v>0</v>
      </c>
      <c r="DQ239" s="220"/>
      <c r="DR239" s="219"/>
      <c r="DS239" s="222">
        <f t="shared" ref="DS239:DS240" si="41">DS231-DS235</f>
        <v>3</v>
      </c>
      <c r="DT239" s="220"/>
      <c r="DU239" s="219"/>
      <c r="DV239" s="222">
        <f t="shared" ref="DV239:DV240" si="42">DV231-DV235</f>
        <v>1</v>
      </c>
      <c r="DW239" s="220"/>
      <c r="DX239" s="219"/>
      <c r="DY239" s="222">
        <f t="shared" ref="DY239:DY240" si="43">DY231-DY235</f>
        <v>0</v>
      </c>
      <c r="DZ239" s="220"/>
      <c r="EA239" s="219"/>
      <c r="EB239" s="191"/>
    </row>
    <row r="240">
      <c r="A240" s="2"/>
      <c r="B240" s="216"/>
      <c r="C240" s="216"/>
      <c r="D240" s="216"/>
      <c r="E240" s="216"/>
      <c r="F240" s="216"/>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c r="BD240" s="187"/>
      <c r="BE240" s="187"/>
      <c r="BF240" s="187"/>
      <c r="BG240" s="187"/>
      <c r="BH240" s="187"/>
      <c r="BI240" s="187"/>
      <c r="BJ240" s="187"/>
      <c r="BK240" s="187"/>
      <c r="BL240" s="187"/>
      <c r="BM240" s="187"/>
      <c r="BN240" s="187"/>
      <c r="BO240" s="187"/>
      <c r="BP240" s="187"/>
      <c r="BQ240" s="187"/>
      <c r="BR240" s="216"/>
      <c r="BS240" s="217" t="s">
        <v>683</v>
      </c>
      <c r="BU240" s="206"/>
      <c r="BV240" s="219">
        <f t="shared" si="26"/>
        <v>5</v>
      </c>
      <c r="BW240" s="223"/>
      <c r="BX240" s="219"/>
      <c r="BY240" s="219">
        <f t="shared" si="27"/>
        <v>0</v>
      </c>
      <c r="BZ240" s="223"/>
      <c r="CA240" s="219"/>
      <c r="CB240" s="219">
        <f t="shared" si="28"/>
        <v>6</v>
      </c>
      <c r="CC240" s="223"/>
      <c r="CD240" s="219"/>
      <c r="CE240" s="221"/>
      <c r="CF240" s="219">
        <f t="shared" si="29"/>
        <v>0</v>
      </c>
      <c r="CG240" s="223"/>
      <c r="CH240" s="219"/>
      <c r="CI240" s="219">
        <f t="shared" si="30"/>
        <v>0</v>
      </c>
      <c r="CJ240" s="223"/>
      <c r="CK240" s="219"/>
      <c r="CL240" s="219">
        <f t="shared" si="31"/>
        <v>7</v>
      </c>
      <c r="CM240" s="223"/>
      <c r="CN240" s="219"/>
      <c r="CO240" s="221"/>
      <c r="CP240" s="222">
        <f t="shared" si="32"/>
        <v>1</v>
      </c>
      <c r="CQ240" s="223"/>
      <c r="CR240" s="219"/>
      <c r="CS240" s="222">
        <f t="shared" si="33"/>
        <v>0</v>
      </c>
      <c r="CT240" s="223"/>
      <c r="CU240" s="219"/>
      <c r="CV240" s="222">
        <f t="shared" si="34"/>
        <v>3</v>
      </c>
      <c r="CW240" s="223"/>
      <c r="CX240" s="219"/>
      <c r="CY240" s="221"/>
      <c r="CZ240" s="222">
        <f t="shared" si="35"/>
        <v>0</v>
      </c>
      <c r="DA240" s="223"/>
      <c r="DB240" s="219"/>
      <c r="DC240" s="222">
        <f t="shared" si="36"/>
        <v>7</v>
      </c>
      <c r="DD240" s="223"/>
      <c r="DE240" s="219"/>
      <c r="DF240" s="222">
        <f t="shared" si="37"/>
        <v>2</v>
      </c>
      <c r="DG240" s="223"/>
      <c r="DH240" s="219"/>
      <c r="DI240" s="222">
        <f t="shared" si="38"/>
        <v>12</v>
      </c>
      <c r="DJ240" s="223"/>
      <c r="DK240" s="219"/>
      <c r="DL240" s="222">
        <f t="shared" si="39"/>
        <v>0</v>
      </c>
      <c r="DM240" s="223"/>
      <c r="DN240" s="219"/>
      <c r="DO240" s="221"/>
      <c r="DP240" s="222">
        <f t="shared" si="40"/>
        <v>0</v>
      </c>
      <c r="DQ240" s="223"/>
      <c r="DR240" s="219"/>
      <c r="DS240" s="222">
        <f t="shared" si="41"/>
        <v>4</v>
      </c>
      <c r="DT240" s="223"/>
      <c r="DU240" s="219"/>
      <c r="DV240" s="222">
        <f t="shared" si="42"/>
        <v>1</v>
      </c>
      <c r="DW240" s="223"/>
      <c r="DX240" s="219"/>
      <c r="DY240" s="222">
        <f t="shared" si="43"/>
        <v>3</v>
      </c>
      <c r="DZ240" s="223"/>
      <c r="EA240" s="219"/>
      <c r="EB240" s="191"/>
    </row>
    <row r="241">
      <c r="A241" s="2"/>
      <c r="B241" s="216"/>
      <c r="C241" s="216"/>
      <c r="D241" s="216"/>
      <c r="E241" s="216"/>
      <c r="F241" s="216"/>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c r="BD241" s="187"/>
      <c r="BE241" s="187"/>
      <c r="BF241" s="187"/>
      <c r="BG241" s="187"/>
      <c r="BH241" s="187"/>
      <c r="BI241" s="187"/>
      <c r="BJ241" s="187"/>
      <c r="BK241" s="187"/>
      <c r="BL241" s="187"/>
      <c r="BM241" s="187"/>
      <c r="BN241" s="187"/>
      <c r="BO241" s="187"/>
      <c r="BP241" s="187"/>
      <c r="BQ241" s="187"/>
      <c r="BR241" s="216"/>
      <c r="BS241" s="217" t="s">
        <v>684</v>
      </c>
      <c r="BU241" s="206"/>
      <c r="BV241" s="219">
        <f>SUM(BV239:BV240)</f>
        <v>10</v>
      </c>
      <c r="BW241" s="220"/>
      <c r="BX241" s="219"/>
      <c r="BY241" s="219">
        <f>SUM(BY239:BY240)</f>
        <v>0</v>
      </c>
      <c r="BZ241" s="220"/>
      <c r="CA241" s="219"/>
      <c r="CB241" s="219">
        <f>SUM(CB239:CB240)</f>
        <v>12</v>
      </c>
      <c r="CC241" s="220"/>
      <c r="CD241" s="219"/>
      <c r="CE241" s="221"/>
      <c r="CF241" s="219">
        <f>SUM(CF239:CF240)</f>
        <v>0</v>
      </c>
      <c r="CG241" s="220"/>
      <c r="CH241" s="219"/>
      <c r="CI241" s="219">
        <f>SUM(CI239:CI240)</f>
        <v>0</v>
      </c>
      <c r="CJ241" s="220"/>
      <c r="CK241" s="219"/>
      <c r="CL241" s="219">
        <f>SUM(CL239:CL240)</f>
        <v>18</v>
      </c>
      <c r="CM241" s="220"/>
      <c r="CN241" s="219"/>
      <c r="CO241" s="221"/>
      <c r="CP241" s="222">
        <f>SUM(CP239:CP240)</f>
        <v>2</v>
      </c>
      <c r="CQ241" s="220"/>
      <c r="CR241" s="219"/>
      <c r="CS241" s="222">
        <f>SUM(CS239:CS240)</f>
        <v>0</v>
      </c>
      <c r="CT241" s="220"/>
      <c r="CU241" s="219"/>
      <c r="CV241" s="222">
        <f>SUM(CV239:CV240)</f>
        <v>14</v>
      </c>
      <c r="CW241" s="220"/>
      <c r="CX241" s="219"/>
      <c r="CY241" s="221"/>
      <c r="CZ241" s="222">
        <f>SUM(CZ239:CZ240)</f>
        <v>0</v>
      </c>
      <c r="DA241" s="220"/>
      <c r="DB241" s="219"/>
      <c r="DC241" s="222">
        <f>SUM(DC239:DC240)</f>
        <v>15</v>
      </c>
      <c r="DD241" s="220"/>
      <c r="DE241" s="219"/>
      <c r="DF241" s="222">
        <f>SUM(DF239:DF240)</f>
        <v>3</v>
      </c>
      <c r="DG241" s="220"/>
      <c r="DH241" s="219"/>
      <c r="DI241" s="222">
        <f>SUM(DI239:DI240)</f>
        <v>20</v>
      </c>
      <c r="DJ241" s="220"/>
      <c r="DK241" s="219"/>
      <c r="DL241" s="222">
        <f>SUM(DL239:DL240)</f>
        <v>0</v>
      </c>
      <c r="DM241" s="220"/>
      <c r="DN241" s="219"/>
      <c r="DO241" s="221"/>
      <c r="DP241" s="222">
        <f>SUM(DP239:DP240)</f>
        <v>0</v>
      </c>
      <c r="DQ241" s="220"/>
      <c r="DR241" s="219"/>
      <c r="DS241" s="222">
        <f>SUM(DS239:DS240)</f>
        <v>7</v>
      </c>
      <c r="DT241" s="220"/>
      <c r="DU241" s="219"/>
      <c r="DV241" s="222">
        <f>SUM(DV239:DV240)</f>
        <v>2</v>
      </c>
      <c r="DW241" s="220"/>
      <c r="DX241" s="219"/>
      <c r="DY241" s="222">
        <f>SUM(DY239:DY240)</f>
        <v>3</v>
      </c>
      <c r="DZ241" s="220"/>
      <c r="EA241" s="219"/>
      <c r="EB241" s="191"/>
    </row>
    <row r="242">
      <c r="A242" s="2"/>
      <c r="B242" s="192"/>
      <c r="C242" s="192"/>
      <c r="D242" s="192"/>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c r="AA242" s="187"/>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c r="BD242" s="187"/>
      <c r="BE242" s="187"/>
      <c r="BF242" s="187"/>
      <c r="BG242" s="187"/>
      <c r="BH242" s="187"/>
      <c r="BI242" s="187"/>
      <c r="BJ242" s="187"/>
      <c r="BK242" s="187"/>
      <c r="BL242" s="187"/>
      <c r="BM242" s="187"/>
      <c r="BN242" s="187"/>
      <c r="BO242" s="187"/>
      <c r="BP242" s="187"/>
      <c r="BQ242" s="187"/>
      <c r="BR242" s="206"/>
      <c r="BS242" s="187"/>
      <c r="BT242" s="206"/>
      <c r="BU242" s="206"/>
      <c r="BV242" s="206" t="s">
        <v>434</v>
      </c>
      <c r="BW242" s="187"/>
      <c r="BX242" s="206"/>
      <c r="BY242" s="206"/>
      <c r="BZ242" s="187"/>
      <c r="CA242" s="206"/>
      <c r="CB242" s="206"/>
      <c r="CC242" s="187"/>
      <c r="CD242" s="206"/>
      <c r="CE242" s="206"/>
      <c r="CF242" s="206"/>
      <c r="CG242" s="187"/>
      <c r="CH242" s="206"/>
      <c r="CI242" s="206"/>
      <c r="CJ242" s="187"/>
      <c r="CK242" s="206"/>
      <c r="CL242" s="206"/>
      <c r="CM242" s="187"/>
      <c r="CN242" s="206"/>
      <c r="CO242" s="206"/>
      <c r="CP242" s="191"/>
      <c r="CQ242" s="187"/>
      <c r="CR242" s="206"/>
      <c r="CS242" s="191"/>
      <c r="CT242" s="187"/>
      <c r="CU242" s="206"/>
      <c r="CV242" s="191"/>
      <c r="CW242" s="187"/>
      <c r="CX242" s="206"/>
      <c r="CY242" s="206"/>
      <c r="CZ242" s="191"/>
      <c r="DA242" s="187"/>
      <c r="DB242" s="206"/>
      <c r="DC242" s="191"/>
      <c r="DD242" s="187"/>
      <c r="DE242" s="206"/>
      <c r="DF242" s="191"/>
      <c r="DG242" s="187"/>
      <c r="DH242" s="206"/>
      <c r="DI242" s="191"/>
      <c r="DJ242" s="187"/>
      <c r="DK242" s="206"/>
      <c r="DL242" s="191"/>
      <c r="DM242" s="187"/>
      <c r="DN242" s="206"/>
      <c r="DO242" s="206"/>
      <c r="DP242" s="191"/>
      <c r="DQ242" s="187"/>
      <c r="DR242" s="206"/>
      <c r="DS242" s="191"/>
      <c r="DT242" s="187"/>
      <c r="DU242" s="206"/>
      <c r="DV242" s="191"/>
      <c r="DW242" s="187"/>
      <c r="DX242" s="206"/>
      <c r="DY242" s="191"/>
      <c r="DZ242" s="187"/>
      <c r="EA242" s="206"/>
      <c r="EB242" s="191"/>
    </row>
    <row r="243">
      <c r="A243" s="2"/>
      <c r="B243" s="192"/>
      <c r="C243" s="192"/>
      <c r="D243" s="192"/>
      <c r="E243" s="192"/>
      <c r="F243" s="192"/>
      <c r="G243" s="187"/>
      <c r="H243" s="187"/>
      <c r="I243" s="187"/>
      <c r="J243" s="187"/>
      <c r="K243" s="187"/>
      <c r="L243" s="187"/>
      <c r="M243" s="187"/>
      <c r="N243" s="187"/>
      <c r="O243" s="187"/>
      <c r="P243" s="187"/>
      <c r="Q243" s="187"/>
      <c r="R243" s="187"/>
      <c r="S243" s="187"/>
      <c r="T243" s="187"/>
      <c r="U243" s="187"/>
      <c r="V243" s="187"/>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c r="BD243" s="187"/>
      <c r="BE243" s="187"/>
      <c r="BF243" s="187"/>
      <c r="BG243" s="187"/>
      <c r="BH243" s="187"/>
      <c r="BI243" s="187"/>
      <c r="BJ243" s="187"/>
      <c r="BK243" s="187"/>
      <c r="BL243" s="187"/>
      <c r="BM243" s="187"/>
      <c r="BN243" s="187"/>
      <c r="BO243" s="187"/>
      <c r="BP243" s="187"/>
      <c r="BQ243" s="187"/>
      <c r="BR243" s="206"/>
      <c r="BS243" s="224" t="s">
        <v>440</v>
      </c>
      <c r="BU243" s="206"/>
      <c r="BV243" s="206"/>
      <c r="BW243" s="187"/>
      <c r="BX243" s="206"/>
      <c r="BY243" s="206"/>
      <c r="BZ243" s="187"/>
      <c r="CA243" s="206"/>
      <c r="CB243" s="206"/>
      <c r="CC243" s="187"/>
      <c r="CD243" s="206"/>
      <c r="CE243" s="206"/>
      <c r="CF243" s="206"/>
      <c r="CG243" s="187"/>
      <c r="CH243" s="206"/>
      <c r="CI243" s="206"/>
      <c r="CJ243" s="187"/>
      <c r="CK243" s="206"/>
      <c r="CL243" s="206"/>
      <c r="CM243" s="187"/>
      <c r="CN243" s="206"/>
      <c r="CO243" s="206"/>
      <c r="CP243" s="191"/>
      <c r="CQ243" s="187"/>
      <c r="CR243" s="206"/>
      <c r="CS243" s="191"/>
      <c r="CT243" s="187"/>
      <c r="CU243" s="206"/>
      <c r="CV243" s="191"/>
      <c r="CW243" s="187"/>
      <c r="CX243" s="206"/>
      <c r="CY243" s="206"/>
      <c r="CZ243" s="191"/>
      <c r="DA243" s="187"/>
      <c r="DB243" s="206"/>
      <c r="DC243" s="191"/>
      <c r="DD243" s="187"/>
      <c r="DE243" s="206"/>
      <c r="DF243" s="191"/>
      <c r="DG243" s="187"/>
      <c r="DH243" s="206"/>
      <c r="DI243" s="191"/>
      <c r="DJ243" s="187"/>
      <c r="DK243" s="206"/>
      <c r="DL243" s="191"/>
      <c r="DM243" s="187"/>
      <c r="DN243" s="206"/>
      <c r="DO243" s="206"/>
      <c r="DP243" s="191"/>
      <c r="DQ243" s="187"/>
      <c r="DR243" s="206"/>
      <c r="DS243" s="191"/>
      <c r="DT243" s="187"/>
      <c r="DU243" s="206"/>
      <c r="DV243" s="191"/>
      <c r="DW243" s="187"/>
      <c r="DX243" s="206"/>
      <c r="DY243" s="191"/>
      <c r="DZ243" s="187"/>
      <c r="EA243" s="206"/>
      <c r="EB243" s="191"/>
    </row>
    <row r="244">
      <c r="A244" s="2"/>
      <c r="B244" s="192"/>
      <c r="C244" s="192"/>
      <c r="D244" s="192"/>
      <c r="E244" s="192"/>
      <c r="F244" s="192"/>
      <c r="G244" s="187"/>
      <c r="H244" s="187"/>
      <c r="I244" s="187"/>
      <c r="J244" s="187"/>
      <c r="K244" s="187"/>
      <c r="L244" s="187"/>
      <c r="M244" s="187"/>
      <c r="N244" s="187"/>
      <c r="O244" s="187"/>
      <c r="P244" s="187"/>
      <c r="Q244" s="187"/>
      <c r="R244" s="187"/>
      <c r="S244" s="187"/>
      <c r="T244" s="187"/>
      <c r="U244" s="187"/>
      <c r="V244" s="187"/>
      <c r="W244" s="187"/>
      <c r="X244" s="187"/>
      <c r="Y244" s="187"/>
      <c r="Z244" s="187"/>
      <c r="AA244" s="187"/>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c r="BD244" s="187"/>
      <c r="BE244" s="187"/>
      <c r="BF244" s="187"/>
      <c r="BG244" s="187"/>
      <c r="BH244" s="187"/>
      <c r="BI244" s="187"/>
      <c r="BJ244" s="187"/>
      <c r="BK244" s="187"/>
      <c r="BL244" s="187"/>
      <c r="BM244" s="187"/>
      <c r="BN244" s="187"/>
      <c r="BO244" s="187"/>
      <c r="BP244" s="187"/>
      <c r="BQ244" s="187"/>
      <c r="BR244" s="206"/>
      <c r="BS244" s="224" t="s">
        <v>685</v>
      </c>
      <c r="BT244" s="224" t="s">
        <v>686</v>
      </c>
      <c r="BU244" s="206"/>
      <c r="BV244" s="206"/>
      <c r="BW244" s="187"/>
      <c r="BX244" s="206"/>
      <c r="BY244" s="206"/>
      <c r="BZ244" s="187"/>
      <c r="CA244" s="206"/>
      <c r="CB244" s="206"/>
      <c r="CC244" s="187"/>
      <c r="CD244" s="206"/>
      <c r="CE244" s="206"/>
      <c r="CF244" s="206"/>
      <c r="CG244" s="187"/>
      <c r="CH244" s="206"/>
      <c r="CI244" s="206"/>
      <c r="CJ244" s="187"/>
      <c r="CK244" s="206"/>
      <c r="CL244" s="206"/>
      <c r="CM244" s="187"/>
      <c r="CN244" s="206"/>
      <c r="CO244" s="206"/>
      <c r="CP244" s="191"/>
      <c r="CQ244" s="187"/>
      <c r="CR244" s="206"/>
      <c r="CS244" s="191"/>
      <c r="CT244" s="187"/>
      <c r="CU244" s="206"/>
      <c r="CV244" s="191"/>
      <c r="CW244" s="187"/>
      <c r="CX244" s="206"/>
      <c r="CY244" s="206"/>
      <c r="CZ244" s="191"/>
      <c r="DA244" s="187"/>
      <c r="DB244" s="206"/>
      <c r="DC244" s="191"/>
      <c r="DD244" s="187"/>
      <c r="DE244" s="206"/>
      <c r="DF244" s="191"/>
      <c r="DG244" s="187"/>
      <c r="DH244" s="206"/>
      <c r="DI244" s="191"/>
      <c r="DJ244" s="187"/>
      <c r="DK244" s="206"/>
      <c r="DL244" s="191"/>
      <c r="DM244" s="187"/>
      <c r="DN244" s="206"/>
      <c r="DO244" s="206"/>
      <c r="DP244" s="191"/>
      <c r="DQ244" s="187"/>
      <c r="DR244" s="206"/>
      <c r="DS244" s="191"/>
      <c r="DT244" s="187"/>
      <c r="DU244" s="206"/>
      <c r="DV244" s="191"/>
      <c r="DW244" s="187"/>
      <c r="DX244" s="206"/>
      <c r="DY244" s="191"/>
      <c r="DZ244" s="187"/>
      <c r="EA244" s="206"/>
      <c r="EB244" s="191"/>
    </row>
    <row r="245">
      <c r="A245" s="2"/>
      <c r="B245" s="192"/>
      <c r="C245" s="192"/>
      <c r="D245" s="192"/>
      <c r="G245" s="187"/>
      <c r="H245" s="187"/>
      <c r="I245" s="187"/>
      <c r="J245" s="187"/>
      <c r="K245" s="187"/>
      <c r="L245" s="187"/>
      <c r="M245" s="187"/>
      <c r="N245" s="187"/>
      <c r="O245" s="187"/>
      <c r="P245" s="187"/>
      <c r="Q245" s="187"/>
      <c r="R245" s="187"/>
      <c r="S245" s="187"/>
      <c r="T245" s="187"/>
      <c r="U245" s="187"/>
      <c r="V245" s="187"/>
      <c r="W245" s="187"/>
      <c r="X245" s="187"/>
      <c r="Y245" s="187"/>
      <c r="Z245" s="187"/>
      <c r="AA245" s="187"/>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87"/>
      <c r="AY245" s="187"/>
      <c r="AZ245" s="187"/>
      <c r="BA245" s="187"/>
      <c r="BB245" s="187"/>
      <c r="BC245" s="187"/>
      <c r="BD245" s="187"/>
      <c r="BE245" s="187"/>
      <c r="BF245" s="187"/>
      <c r="BG245" s="187"/>
      <c r="BH245" s="187"/>
      <c r="BI245" s="187"/>
      <c r="BJ245" s="187"/>
      <c r="BK245" s="187"/>
      <c r="BL245" s="187"/>
      <c r="BM245" s="187"/>
      <c r="BN245" s="187"/>
      <c r="BO245" s="187"/>
      <c r="BP245" s="187"/>
      <c r="BQ245" s="187"/>
      <c r="BR245" s="206"/>
      <c r="BS245" s="224">
        <v>0.0</v>
      </c>
      <c r="BT245" s="224">
        <v>0.99</v>
      </c>
      <c r="BU245" s="206"/>
      <c r="BV245" s="225">
        <f t="shared" ref="BV245:BV249" si="44">COUNTIFS(BW$5:BW$229,"&gt;="&amp;$BS245,BW$5:BW$229,"&lt;="&amp;$BT245)</f>
        <v>40</v>
      </c>
      <c r="BW245" s="187"/>
      <c r="BX245" s="225"/>
      <c r="BY245" s="225">
        <f t="shared" ref="BY245:BY249" si="45">COUNTIFS(BZ$5:BZ$229,"&gt;="&amp;$BS245,BZ$5:BZ$229,"&lt;="&amp;$BT245)</f>
        <v>0</v>
      </c>
      <c r="BZ245" s="187"/>
      <c r="CA245" s="225"/>
      <c r="CB245" s="225">
        <f t="shared" ref="CB245:CB249" si="46">COUNTIFS(CC$5:CC$229,"&gt;="&amp;$BS245,CC$5:CC$229,"&lt;="&amp;$BT245)</f>
        <v>12</v>
      </c>
      <c r="CC245" s="187"/>
      <c r="CD245" s="225"/>
      <c r="CE245" s="206"/>
      <c r="CF245" s="225">
        <f t="shared" ref="CF245:CF249" si="47">COUNTIFS(CG$5:CG$229,"&gt;="&amp;$BS245,CG$5:CG$229,"&lt;="&amp;$BT245)</f>
        <v>2</v>
      </c>
      <c r="CG245" s="187"/>
      <c r="CH245" s="225"/>
      <c r="CI245" s="225">
        <f t="shared" ref="CI245:CI249" si="48">COUNTIFS(CJ$5:CJ$229,"&gt;="&amp;$BS245,CJ$5:CJ$229,"&lt;="&amp;$BT245)</f>
        <v>0</v>
      </c>
      <c r="CJ245" s="187"/>
      <c r="CK245" s="225"/>
      <c r="CL245" s="225">
        <f t="shared" ref="CL245:CL249" si="49">COUNTIFS(CM$5:CM$229,"&gt;="&amp;$BS245,CM$5:CM$229,"&lt;="&amp;$BT245)</f>
        <v>29</v>
      </c>
      <c r="CM245" s="187"/>
      <c r="CN245" s="225"/>
      <c r="CO245" s="206"/>
      <c r="CP245" s="225">
        <f t="shared" ref="CP245:CP249" si="50">COUNTIFS(CQ$5:CQ$229,"&gt;="&amp;$BS245,CQ$5:CQ$229,"&lt;="&amp;$BT245)</f>
        <v>7</v>
      </c>
      <c r="CQ245" s="187"/>
      <c r="CR245" s="225"/>
      <c r="CS245" s="225">
        <f t="shared" ref="CS245:CS249" si="51">COUNTIFS(CT$5:CT$229,"&gt;="&amp;$BS245,CT$5:CT$229,"&lt;="&amp;$BT245)</f>
        <v>0</v>
      </c>
      <c r="CT245" s="187"/>
      <c r="CU245" s="225"/>
      <c r="CV245" s="225">
        <f t="shared" ref="CV245:CV249" si="52">COUNTIFS(CW$5:CW$229,"&gt;="&amp;$BS245,CW$5:CW$229,"&lt;="&amp;$BT245)</f>
        <v>29</v>
      </c>
      <c r="CW245" s="187"/>
      <c r="CX245" s="225"/>
      <c r="CY245" s="206"/>
      <c r="CZ245" s="225">
        <f t="shared" ref="CZ245:CZ249" si="53">COUNTIFS(DA$5:DA$229,"&gt;="&amp;$BS245,DA$5:DA$229,"&lt;="&amp;$BT245)</f>
        <v>3</v>
      </c>
      <c r="DA245" s="187"/>
      <c r="DB245" s="225"/>
      <c r="DC245" s="225">
        <f t="shared" ref="DC245:DC249" si="54">COUNTIFS(DD$5:DD$229,"&gt;="&amp;$BS245,DD$5:DD$229,"&lt;="&amp;$BT245)</f>
        <v>16</v>
      </c>
      <c r="DD245" s="187"/>
      <c r="DE245" s="225"/>
      <c r="DF245" s="225">
        <f t="shared" ref="DF245:DF249" si="55">COUNTIFS(DG$5:DG$229,"&gt;="&amp;$BS245,DG$5:DG$229,"&lt;="&amp;$BT245)</f>
        <v>5</v>
      </c>
      <c r="DG245" s="187"/>
      <c r="DH245" s="225"/>
      <c r="DI245" s="225">
        <f t="shared" ref="DI245:DI249" si="56">COUNTIFS(DJ$5:DJ$229,"&gt;="&amp;$BS245,DJ$5:DJ$229,"&lt;="&amp;$BT245)</f>
        <v>63</v>
      </c>
      <c r="DJ245" s="187"/>
      <c r="DK245" s="225"/>
      <c r="DL245" s="225">
        <f t="shared" ref="DL245:DL249" si="57">COUNTIFS(DM$5:DM$229,"&gt;="&amp;$BS245,DM$5:DM$229,"&lt;="&amp;$BT245)</f>
        <v>3</v>
      </c>
      <c r="DM245" s="187"/>
      <c r="DN245" s="225"/>
      <c r="DO245" s="206"/>
      <c r="DP245" s="225">
        <f t="shared" ref="DP245:DP249" si="58">COUNTIFS(DQ$5:DQ$229,"&gt;="&amp;$BS245,DQ$5:DQ$229,"&lt;="&amp;$BT245)</f>
        <v>0</v>
      </c>
      <c r="DQ245" s="187"/>
      <c r="DR245" s="225"/>
      <c r="DS245" s="225">
        <f t="shared" ref="DS245:DS249" si="59">COUNTIFS(DT$5:DT$229,"&gt;="&amp;$BS245,DT$5:DT$229,"&lt;="&amp;$BT245)</f>
        <v>6</v>
      </c>
      <c r="DT245" s="187"/>
      <c r="DU245" s="225"/>
      <c r="DV245" s="225">
        <f t="shared" ref="DV245:DV249" si="60">COUNTIFS(DW$5:DW$229,"&gt;="&amp;$BS245,DW$5:DW$229,"&lt;="&amp;$BT245)</f>
        <v>16</v>
      </c>
      <c r="DW245" s="187"/>
      <c r="DX245" s="225"/>
      <c r="DY245" s="225">
        <f t="shared" ref="DY245:DY249" si="61">COUNTIFS(DZ$5:DZ$229,"&gt;="&amp;$BS245,DZ$5:DZ$229,"&lt;="&amp;$BT245)</f>
        <v>9</v>
      </c>
      <c r="DZ245" s="187"/>
      <c r="EA245" s="225"/>
      <c r="EB245" s="191"/>
    </row>
    <row r="246">
      <c r="A246" s="2"/>
      <c r="B246" s="192"/>
      <c r="C246" s="192"/>
      <c r="D246" s="192"/>
      <c r="G246" s="187"/>
      <c r="H246" s="187"/>
      <c r="I246" s="187"/>
      <c r="J246" s="187"/>
      <c r="K246" s="187"/>
      <c r="L246" s="187"/>
      <c r="M246" s="187"/>
      <c r="N246" s="187"/>
      <c r="O246" s="187"/>
      <c r="P246" s="187"/>
      <c r="Q246" s="187"/>
      <c r="R246" s="187"/>
      <c r="S246" s="187"/>
      <c r="T246" s="187"/>
      <c r="U246" s="187"/>
      <c r="V246" s="187"/>
      <c r="W246" s="187"/>
      <c r="X246" s="187"/>
      <c r="Y246" s="187"/>
      <c r="Z246" s="187"/>
      <c r="AA246" s="187"/>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87"/>
      <c r="AY246" s="187"/>
      <c r="AZ246" s="187"/>
      <c r="BA246" s="187"/>
      <c r="BB246" s="187"/>
      <c r="BC246" s="187"/>
      <c r="BD246" s="187"/>
      <c r="BE246" s="187"/>
      <c r="BF246" s="187"/>
      <c r="BG246" s="187"/>
      <c r="BH246" s="187"/>
      <c r="BI246" s="187"/>
      <c r="BJ246" s="187"/>
      <c r="BK246" s="187"/>
      <c r="BL246" s="187"/>
      <c r="BM246" s="187"/>
      <c r="BN246" s="187"/>
      <c r="BO246" s="187"/>
      <c r="BP246" s="187"/>
      <c r="BQ246" s="187"/>
      <c r="BR246" s="206"/>
      <c r="BS246" s="224">
        <v>1.0</v>
      </c>
      <c r="BT246" s="224">
        <v>1.99</v>
      </c>
      <c r="BU246" s="206"/>
      <c r="BV246" s="225">
        <f t="shared" si="44"/>
        <v>19</v>
      </c>
      <c r="BW246" s="187"/>
      <c r="BX246" s="225"/>
      <c r="BY246" s="225">
        <f t="shared" si="45"/>
        <v>0</v>
      </c>
      <c r="BZ246" s="187"/>
      <c r="CA246" s="225"/>
      <c r="CB246" s="225">
        <f t="shared" si="46"/>
        <v>3</v>
      </c>
      <c r="CC246" s="187"/>
      <c r="CD246" s="225"/>
      <c r="CE246" s="206"/>
      <c r="CF246" s="225">
        <f t="shared" si="47"/>
        <v>0</v>
      </c>
      <c r="CG246" s="187"/>
      <c r="CH246" s="225"/>
      <c r="CI246" s="225">
        <f t="shared" si="48"/>
        <v>0</v>
      </c>
      <c r="CJ246" s="187"/>
      <c r="CK246" s="225"/>
      <c r="CL246" s="225">
        <f t="shared" si="49"/>
        <v>3</v>
      </c>
      <c r="CM246" s="187"/>
      <c r="CN246" s="225"/>
      <c r="CO246" s="206"/>
      <c r="CP246" s="225">
        <f t="shared" si="50"/>
        <v>4</v>
      </c>
      <c r="CQ246" s="187"/>
      <c r="CR246" s="225"/>
      <c r="CS246" s="225">
        <f t="shared" si="51"/>
        <v>0</v>
      </c>
      <c r="CT246" s="187"/>
      <c r="CU246" s="225"/>
      <c r="CV246" s="225">
        <f t="shared" si="52"/>
        <v>3</v>
      </c>
      <c r="CW246" s="187"/>
      <c r="CX246" s="225"/>
      <c r="CY246" s="206"/>
      <c r="CZ246" s="225">
        <f t="shared" si="53"/>
        <v>1</v>
      </c>
      <c r="DA246" s="187"/>
      <c r="DB246" s="225"/>
      <c r="DC246" s="225">
        <f t="shared" si="54"/>
        <v>1</v>
      </c>
      <c r="DD246" s="187"/>
      <c r="DE246" s="225"/>
      <c r="DF246" s="225">
        <f t="shared" si="55"/>
        <v>0</v>
      </c>
      <c r="DG246" s="187"/>
      <c r="DH246" s="225"/>
      <c r="DI246" s="225">
        <f t="shared" si="56"/>
        <v>1</v>
      </c>
      <c r="DJ246" s="187"/>
      <c r="DK246" s="225"/>
      <c r="DL246" s="225">
        <f t="shared" si="57"/>
        <v>0</v>
      </c>
      <c r="DM246" s="187"/>
      <c r="DN246" s="225"/>
      <c r="DO246" s="206"/>
      <c r="DP246" s="225">
        <f t="shared" si="58"/>
        <v>0</v>
      </c>
      <c r="DQ246" s="187"/>
      <c r="DR246" s="225"/>
      <c r="DS246" s="225">
        <f t="shared" si="59"/>
        <v>3</v>
      </c>
      <c r="DT246" s="187"/>
      <c r="DU246" s="225"/>
      <c r="DV246" s="225">
        <f t="shared" si="60"/>
        <v>4</v>
      </c>
      <c r="DW246" s="187"/>
      <c r="DX246" s="225"/>
      <c r="DY246" s="225">
        <f t="shared" si="61"/>
        <v>1</v>
      </c>
      <c r="DZ246" s="187"/>
      <c r="EA246" s="225"/>
      <c r="EB246" s="191"/>
    </row>
    <row r="247">
      <c r="A247" s="2"/>
      <c r="B247" s="192"/>
      <c r="C247" s="192"/>
      <c r="D247" s="192"/>
      <c r="G247" s="187"/>
      <c r="H247" s="187"/>
      <c r="I247" s="187"/>
      <c r="J247" s="187"/>
      <c r="K247" s="187"/>
      <c r="L247" s="187"/>
      <c r="M247" s="187"/>
      <c r="N247" s="187"/>
      <c r="O247" s="187"/>
      <c r="P247" s="187"/>
      <c r="Q247" s="187"/>
      <c r="R247" s="187"/>
      <c r="S247" s="187"/>
      <c r="T247" s="187"/>
      <c r="U247" s="187"/>
      <c r="V247" s="187"/>
      <c r="W247" s="187"/>
      <c r="X247" s="187"/>
      <c r="Y247" s="187"/>
      <c r="Z247" s="187"/>
      <c r="AA247" s="187"/>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87"/>
      <c r="AY247" s="187"/>
      <c r="AZ247" s="187"/>
      <c r="BA247" s="187"/>
      <c r="BB247" s="187"/>
      <c r="BC247" s="187"/>
      <c r="BD247" s="187"/>
      <c r="BE247" s="187"/>
      <c r="BF247" s="187"/>
      <c r="BG247" s="187"/>
      <c r="BH247" s="187"/>
      <c r="BI247" s="187"/>
      <c r="BJ247" s="187"/>
      <c r="BK247" s="187"/>
      <c r="BL247" s="187"/>
      <c r="BM247" s="187"/>
      <c r="BN247" s="187"/>
      <c r="BO247" s="187"/>
      <c r="BP247" s="187"/>
      <c r="BQ247" s="187"/>
      <c r="BR247" s="206"/>
      <c r="BS247" s="224">
        <v>2.0</v>
      </c>
      <c r="BT247" s="224">
        <v>2.99</v>
      </c>
      <c r="BU247" s="206"/>
      <c r="BV247" s="225">
        <f t="shared" si="44"/>
        <v>3</v>
      </c>
      <c r="BW247" s="187"/>
      <c r="BX247" s="225"/>
      <c r="BY247" s="225">
        <f t="shared" si="45"/>
        <v>0</v>
      </c>
      <c r="BZ247" s="187"/>
      <c r="CA247" s="225"/>
      <c r="CB247" s="225">
        <f t="shared" si="46"/>
        <v>0</v>
      </c>
      <c r="CC247" s="187"/>
      <c r="CD247" s="225"/>
      <c r="CE247" s="206"/>
      <c r="CF247" s="225">
        <f t="shared" si="47"/>
        <v>0</v>
      </c>
      <c r="CG247" s="187"/>
      <c r="CH247" s="225"/>
      <c r="CI247" s="225">
        <f t="shared" si="48"/>
        <v>0</v>
      </c>
      <c r="CJ247" s="187"/>
      <c r="CK247" s="225"/>
      <c r="CL247" s="225">
        <f t="shared" si="49"/>
        <v>2</v>
      </c>
      <c r="CM247" s="187"/>
      <c r="CN247" s="225"/>
      <c r="CO247" s="206"/>
      <c r="CP247" s="225">
        <f t="shared" si="50"/>
        <v>1</v>
      </c>
      <c r="CQ247" s="187"/>
      <c r="CR247" s="225"/>
      <c r="CS247" s="225">
        <f t="shared" si="51"/>
        <v>0</v>
      </c>
      <c r="CT247" s="187"/>
      <c r="CU247" s="225"/>
      <c r="CV247" s="225">
        <f t="shared" si="52"/>
        <v>2</v>
      </c>
      <c r="CW247" s="187"/>
      <c r="CX247" s="225"/>
      <c r="CY247" s="206"/>
      <c r="CZ247" s="225">
        <f t="shared" si="53"/>
        <v>0</v>
      </c>
      <c r="DA247" s="187"/>
      <c r="DB247" s="225"/>
      <c r="DC247" s="225">
        <f t="shared" si="54"/>
        <v>0</v>
      </c>
      <c r="DD247" s="187"/>
      <c r="DE247" s="225"/>
      <c r="DF247" s="225">
        <f t="shared" si="55"/>
        <v>0</v>
      </c>
      <c r="DG247" s="187"/>
      <c r="DH247" s="225"/>
      <c r="DI247" s="225">
        <f t="shared" si="56"/>
        <v>0</v>
      </c>
      <c r="DJ247" s="187"/>
      <c r="DK247" s="225"/>
      <c r="DL247" s="225">
        <f t="shared" si="57"/>
        <v>0</v>
      </c>
      <c r="DM247" s="187"/>
      <c r="DN247" s="225"/>
      <c r="DO247" s="206"/>
      <c r="DP247" s="225">
        <f t="shared" si="58"/>
        <v>0</v>
      </c>
      <c r="DQ247" s="187"/>
      <c r="DR247" s="225"/>
      <c r="DS247" s="225">
        <f t="shared" si="59"/>
        <v>0</v>
      </c>
      <c r="DT247" s="187"/>
      <c r="DU247" s="225"/>
      <c r="DV247" s="225">
        <f t="shared" si="60"/>
        <v>0</v>
      </c>
      <c r="DW247" s="187"/>
      <c r="DX247" s="225"/>
      <c r="DY247" s="225">
        <f t="shared" si="61"/>
        <v>1</v>
      </c>
      <c r="DZ247" s="187"/>
      <c r="EA247" s="225"/>
      <c r="EB247" s="191"/>
    </row>
    <row r="248">
      <c r="A248" s="2"/>
      <c r="B248" s="192"/>
      <c r="C248" s="192"/>
      <c r="D248" s="192"/>
      <c r="G248" s="187"/>
      <c r="H248" s="187"/>
      <c r="I248" s="187"/>
      <c r="J248" s="187"/>
      <c r="K248" s="187"/>
      <c r="L248" s="187"/>
      <c r="M248" s="187"/>
      <c r="N248" s="187"/>
      <c r="O248" s="187"/>
      <c r="P248" s="187"/>
      <c r="Q248" s="187"/>
      <c r="R248" s="187"/>
      <c r="S248" s="187"/>
      <c r="T248" s="187"/>
      <c r="U248" s="187"/>
      <c r="V248" s="187"/>
      <c r="W248" s="187"/>
      <c r="X248" s="187"/>
      <c r="Y248" s="187"/>
      <c r="Z248" s="187"/>
      <c r="AA248" s="187"/>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87"/>
      <c r="AY248" s="187"/>
      <c r="AZ248" s="187"/>
      <c r="BA248" s="187"/>
      <c r="BB248" s="187"/>
      <c r="BC248" s="187"/>
      <c r="BD248" s="187"/>
      <c r="BE248" s="187"/>
      <c r="BF248" s="187"/>
      <c r="BG248" s="187"/>
      <c r="BH248" s="187"/>
      <c r="BI248" s="187"/>
      <c r="BJ248" s="187"/>
      <c r="BK248" s="187"/>
      <c r="BL248" s="187"/>
      <c r="BM248" s="187"/>
      <c r="BN248" s="187"/>
      <c r="BO248" s="187"/>
      <c r="BP248" s="187"/>
      <c r="BQ248" s="187"/>
      <c r="BR248" s="206"/>
      <c r="BS248" s="224">
        <v>3.0</v>
      </c>
      <c r="BT248" s="224">
        <v>3.99</v>
      </c>
      <c r="BU248" s="206"/>
      <c r="BV248" s="225">
        <f t="shared" si="44"/>
        <v>4</v>
      </c>
      <c r="BW248" s="187"/>
      <c r="BX248" s="225"/>
      <c r="BY248" s="225">
        <f t="shared" si="45"/>
        <v>0</v>
      </c>
      <c r="BZ248" s="187"/>
      <c r="CA248" s="225"/>
      <c r="CB248" s="225">
        <f t="shared" si="46"/>
        <v>0</v>
      </c>
      <c r="CC248" s="187"/>
      <c r="CD248" s="225"/>
      <c r="CE248" s="206"/>
      <c r="CF248" s="225">
        <f t="shared" si="47"/>
        <v>0</v>
      </c>
      <c r="CG248" s="187"/>
      <c r="CH248" s="225"/>
      <c r="CI248" s="225">
        <f t="shared" si="48"/>
        <v>0</v>
      </c>
      <c r="CJ248" s="187"/>
      <c r="CK248" s="225"/>
      <c r="CL248" s="225">
        <f t="shared" si="49"/>
        <v>0</v>
      </c>
      <c r="CM248" s="187"/>
      <c r="CN248" s="225"/>
      <c r="CO248" s="206"/>
      <c r="CP248" s="225">
        <f t="shared" si="50"/>
        <v>1</v>
      </c>
      <c r="CQ248" s="187"/>
      <c r="CR248" s="225"/>
      <c r="CS248" s="225">
        <f t="shared" si="51"/>
        <v>0</v>
      </c>
      <c r="CT248" s="187"/>
      <c r="CU248" s="225"/>
      <c r="CV248" s="225">
        <f t="shared" si="52"/>
        <v>0</v>
      </c>
      <c r="CW248" s="187"/>
      <c r="CX248" s="225"/>
      <c r="CY248" s="206"/>
      <c r="CZ248" s="225">
        <f t="shared" si="53"/>
        <v>0</v>
      </c>
      <c r="DA248" s="187"/>
      <c r="DB248" s="225"/>
      <c r="DC248" s="225">
        <f t="shared" si="54"/>
        <v>0</v>
      </c>
      <c r="DD248" s="187"/>
      <c r="DE248" s="225"/>
      <c r="DF248" s="225">
        <f t="shared" si="55"/>
        <v>0</v>
      </c>
      <c r="DG248" s="187"/>
      <c r="DH248" s="225"/>
      <c r="DI248" s="225">
        <f t="shared" si="56"/>
        <v>0</v>
      </c>
      <c r="DJ248" s="187"/>
      <c r="DK248" s="225"/>
      <c r="DL248" s="225">
        <f t="shared" si="57"/>
        <v>0</v>
      </c>
      <c r="DM248" s="187"/>
      <c r="DN248" s="225"/>
      <c r="DO248" s="206"/>
      <c r="DP248" s="225">
        <f t="shared" si="58"/>
        <v>0</v>
      </c>
      <c r="DQ248" s="187"/>
      <c r="DR248" s="225"/>
      <c r="DS248" s="225">
        <f t="shared" si="59"/>
        <v>0</v>
      </c>
      <c r="DT248" s="187"/>
      <c r="DU248" s="225"/>
      <c r="DV248" s="225">
        <f t="shared" si="60"/>
        <v>1</v>
      </c>
      <c r="DW248" s="187"/>
      <c r="DX248" s="225"/>
      <c r="DY248" s="225">
        <f t="shared" si="61"/>
        <v>0</v>
      </c>
      <c r="DZ248" s="187"/>
      <c r="EA248" s="225"/>
      <c r="EB248" s="191"/>
    </row>
    <row r="249">
      <c r="A249" s="2"/>
      <c r="B249" s="192"/>
      <c r="C249" s="192"/>
      <c r="D249" s="192"/>
      <c r="G249" s="187"/>
      <c r="H249" s="187"/>
      <c r="I249" s="187"/>
      <c r="J249" s="187"/>
      <c r="K249" s="187"/>
      <c r="L249" s="187"/>
      <c r="M249" s="187"/>
      <c r="N249" s="187"/>
      <c r="O249" s="187"/>
      <c r="P249" s="187"/>
      <c r="Q249" s="187"/>
      <c r="R249" s="187"/>
      <c r="S249" s="187"/>
      <c r="T249" s="187"/>
      <c r="U249" s="187"/>
      <c r="V249" s="187"/>
      <c r="W249" s="187"/>
      <c r="X249" s="187"/>
      <c r="Y249" s="187"/>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187"/>
      <c r="BH249" s="187"/>
      <c r="BI249" s="187"/>
      <c r="BJ249" s="187"/>
      <c r="BK249" s="187"/>
      <c r="BL249" s="187"/>
      <c r="BM249" s="187"/>
      <c r="BN249" s="187"/>
      <c r="BO249" s="187"/>
      <c r="BP249" s="187"/>
      <c r="BQ249" s="187"/>
      <c r="BR249" s="206"/>
      <c r="BS249" s="224">
        <v>4.0</v>
      </c>
      <c r="BT249" s="224">
        <v>999.0</v>
      </c>
      <c r="BU249" s="206"/>
      <c r="BV249" s="225">
        <f t="shared" si="44"/>
        <v>3</v>
      </c>
      <c r="BW249" s="187"/>
      <c r="BX249" s="225"/>
      <c r="BY249" s="225">
        <f t="shared" si="45"/>
        <v>0</v>
      </c>
      <c r="BZ249" s="187"/>
      <c r="CA249" s="225"/>
      <c r="CB249" s="225">
        <f t="shared" si="46"/>
        <v>2</v>
      </c>
      <c r="CC249" s="187"/>
      <c r="CD249" s="225"/>
      <c r="CE249" s="206"/>
      <c r="CF249" s="225">
        <f t="shared" si="47"/>
        <v>0</v>
      </c>
      <c r="CG249" s="187"/>
      <c r="CH249" s="225"/>
      <c r="CI249" s="225">
        <f t="shared" si="48"/>
        <v>0</v>
      </c>
      <c r="CJ249" s="187"/>
      <c r="CK249" s="225"/>
      <c r="CL249" s="225">
        <f t="shared" si="49"/>
        <v>1</v>
      </c>
      <c r="CM249" s="187"/>
      <c r="CN249" s="225"/>
      <c r="CO249" s="206"/>
      <c r="CP249" s="225">
        <f t="shared" si="50"/>
        <v>0</v>
      </c>
      <c r="CQ249" s="187"/>
      <c r="CR249" s="225"/>
      <c r="CS249" s="225">
        <f t="shared" si="51"/>
        <v>0</v>
      </c>
      <c r="CT249" s="187"/>
      <c r="CU249" s="225"/>
      <c r="CV249" s="225">
        <f t="shared" si="52"/>
        <v>1</v>
      </c>
      <c r="CW249" s="187"/>
      <c r="CX249" s="225"/>
      <c r="CY249" s="206"/>
      <c r="CZ249" s="225">
        <f t="shared" si="53"/>
        <v>0</v>
      </c>
      <c r="DA249" s="187"/>
      <c r="DB249" s="225"/>
      <c r="DC249" s="225">
        <f t="shared" si="54"/>
        <v>2</v>
      </c>
      <c r="DD249" s="187"/>
      <c r="DE249" s="225"/>
      <c r="DF249" s="225">
        <f t="shared" si="55"/>
        <v>1</v>
      </c>
      <c r="DG249" s="187"/>
      <c r="DH249" s="225"/>
      <c r="DI249" s="225">
        <f t="shared" si="56"/>
        <v>0</v>
      </c>
      <c r="DJ249" s="187"/>
      <c r="DK249" s="225"/>
      <c r="DL249" s="225">
        <f t="shared" si="57"/>
        <v>0</v>
      </c>
      <c r="DM249" s="187"/>
      <c r="DN249" s="225"/>
      <c r="DO249" s="206"/>
      <c r="DP249" s="225">
        <f t="shared" si="58"/>
        <v>0</v>
      </c>
      <c r="DQ249" s="187"/>
      <c r="DR249" s="225"/>
      <c r="DS249" s="225">
        <f t="shared" si="59"/>
        <v>2</v>
      </c>
      <c r="DT249" s="187"/>
      <c r="DU249" s="225"/>
      <c r="DV249" s="225">
        <f t="shared" si="60"/>
        <v>0</v>
      </c>
      <c r="DW249" s="187"/>
      <c r="DX249" s="225"/>
      <c r="DY249" s="225">
        <f t="shared" si="61"/>
        <v>1</v>
      </c>
      <c r="DZ249" s="187"/>
      <c r="EA249" s="225"/>
      <c r="EB249" s="191"/>
    </row>
    <row r="250">
      <c r="A250" s="2"/>
      <c r="B250" s="192"/>
      <c r="C250" s="192"/>
      <c r="D250" s="192"/>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c r="AA250" s="187"/>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c r="BD250" s="187"/>
      <c r="BE250" s="187"/>
      <c r="BF250" s="187"/>
      <c r="BG250" s="187"/>
      <c r="BH250" s="187"/>
      <c r="BI250" s="187"/>
      <c r="BJ250" s="187"/>
      <c r="BK250" s="187"/>
      <c r="BL250" s="187"/>
      <c r="BM250" s="187"/>
      <c r="BN250" s="187"/>
      <c r="BO250" s="187"/>
      <c r="BP250" s="187"/>
      <c r="BQ250" s="187"/>
      <c r="BR250" s="206"/>
      <c r="BS250" s="187"/>
      <c r="BT250" s="206"/>
      <c r="BU250" s="206"/>
      <c r="BV250" s="206"/>
      <c r="BW250" s="187"/>
      <c r="BX250" s="206"/>
      <c r="BY250" s="206"/>
      <c r="BZ250" s="187"/>
      <c r="CA250" s="206"/>
      <c r="CB250" s="206"/>
      <c r="CC250" s="187"/>
      <c r="CD250" s="206"/>
      <c r="CE250" s="206"/>
      <c r="CF250" s="206"/>
      <c r="CG250" s="187"/>
      <c r="CH250" s="206"/>
      <c r="CI250" s="206"/>
      <c r="CJ250" s="187"/>
      <c r="CK250" s="206"/>
      <c r="CL250" s="206"/>
      <c r="CM250" s="187"/>
      <c r="CN250" s="206"/>
      <c r="CO250" s="206"/>
      <c r="CP250" s="191"/>
      <c r="CQ250" s="187"/>
      <c r="CR250" s="206"/>
      <c r="CS250" s="191"/>
      <c r="CT250" s="187"/>
      <c r="CU250" s="206"/>
      <c r="CV250" s="191"/>
      <c r="CW250" s="187"/>
      <c r="CX250" s="206"/>
      <c r="CY250" s="206"/>
      <c r="CZ250" s="191"/>
      <c r="DA250" s="187"/>
      <c r="DB250" s="206"/>
      <c r="DC250" s="191"/>
      <c r="DD250" s="187"/>
      <c r="DE250" s="206"/>
      <c r="DF250" s="191"/>
      <c r="DG250" s="187"/>
      <c r="DH250" s="206"/>
      <c r="DI250" s="191"/>
      <c r="DJ250" s="187"/>
      <c r="DK250" s="206"/>
      <c r="DL250" s="191"/>
      <c r="DM250" s="187"/>
      <c r="DN250" s="206"/>
      <c r="DO250" s="206"/>
      <c r="DP250" s="191"/>
      <c r="DQ250" s="187"/>
      <c r="DR250" s="206"/>
      <c r="DS250" s="191"/>
      <c r="DT250" s="187"/>
      <c r="DU250" s="206"/>
      <c r="DV250" s="191"/>
      <c r="DW250" s="187"/>
      <c r="DX250" s="206"/>
      <c r="DY250" s="191"/>
      <c r="DZ250" s="187"/>
      <c r="EA250" s="206"/>
      <c r="EB250" s="191"/>
    </row>
    <row r="251">
      <c r="A251" s="2"/>
      <c r="B251" s="192"/>
      <c r="C251" s="192"/>
      <c r="D251" s="192"/>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c r="AA251" s="187"/>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87"/>
      <c r="AY251" s="187"/>
      <c r="AZ251" s="187"/>
      <c r="BA251" s="187"/>
      <c r="BB251" s="187"/>
      <c r="BC251" s="187"/>
      <c r="BD251" s="187"/>
      <c r="BE251" s="187"/>
      <c r="BF251" s="187"/>
      <c r="BG251" s="187"/>
      <c r="BH251" s="187"/>
      <c r="BI251" s="187"/>
      <c r="BJ251" s="187"/>
      <c r="BK251" s="187"/>
      <c r="BL251" s="187"/>
      <c r="BM251" s="187"/>
      <c r="BN251" s="187"/>
      <c r="BO251" s="187"/>
      <c r="BP251" s="187"/>
      <c r="BQ251" s="187"/>
      <c r="BR251" s="206"/>
      <c r="BS251" s="225" t="s">
        <v>687</v>
      </c>
      <c r="BU251" s="206"/>
      <c r="BV251" s="225" t="s">
        <v>688</v>
      </c>
      <c r="BW251" s="225" t="s">
        <v>689</v>
      </c>
      <c r="BX251" s="226"/>
      <c r="BY251" s="225" t="s">
        <v>688</v>
      </c>
      <c r="BZ251" s="225" t="s">
        <v>689</v>
      </c>
      <c r="CA251" s="226"/>
      <c r="CB251" s="225" t="s">
        <v>688</v>
      </c>
      <c r="CC251" s="225" t="s">
        <v>689</v>
      </c>
      <c r="CD251" s="226"/>
      <c r="CE251" s="206"/>
      <c r="CF251" s="225" t="s">
        <v>688</v>
      </c>
      <c r="CG251" s="225" t="s">
        <v>689</v>
      </c>
      <c r="CH251" s="226"/>
      <c r="CI251" s="225" t="s">
        <v>688</v>
      </c>
      <c r="CJ251" s="225" t="s">
        <v>689</v>
      </c>
      <c r="CK251" s="226"/>
      <c r="CL251" s="225" t="s">
        <v>688</v>
      </c>
      <c r="CM251" s="225" t="s">
        <v>689</v>
      </c>
      <c r="CN251" s="226"/>
      <c r="CO251" s="206"/>
      <c r="CP251" s="225" t="s">
        <v>688</v>
      </c>
      <c r="CQ251" s="225" t="s">
        <v>689</v>
      </c>
      <c r="CR251" s="226"/>
      <c r="CS251" s="226" t="s">
        <v>690</v>
      </c>
      <c r="CT251" s="226" t="s">
        <v>691</v>
      </c>
      <c r="CU251" s="226"/>
      <c r="CV251" s="225" t="s">
        <v>688</v>
      </c>
      <c r="CW251" s="225" t="s">
        <v>689</v>
      </c>
      <c r="CX251" s="226"/>
      <c r="CY251" s="206"/>
      <c r="CZ251" s="225" t="s">
        <v>688</v>
      </c>
      <c r="DA251" s="225" t="s">
        <v>689</v>
      </c>
      <c r="DB251" s="226"/>
      <c r="DC251" s="225" t="s">
        <v>688</v>
      </c>
      <c r="DD251" s="225" t="s">
        <v>689</v>
      </c>
      <c r="DE251" s="226"/>
      <c r="DF251" s="225" t="s">
        <v>688</v>
      </c>
      <c r="DG251" s="225" t="s">
        <v>689</v>
      </c>
      <c r="DH251" s="226"/>
      <c r="DI251" s="225" t="s">
        <v>688</v>
      </c>
      <c r="DJ251" s="225" t="s">
        <v>689</v>
      </c>
      <c r="DK251" s="226"/>
      <c r="DL251" s="225" t="s">
        <v>688</v>
      </c>
      <c r="DM251" s="225" t="s">
        <v>689</v>
      </c>
      <c r="DN251" s="226"/>
      <c r="DO251" s="206"/>
      <c r="DP251" s="225" t="s">
        <v>688</v>
      </c>
      <c r="DQ251" s="225" t="s">
        <v>689</v>
      </c>
      <c r="DR251" s="226"/>
      <c r="DS251" s="225" t="s">
        <v>688</v>
      </c>
      <c r="DT251" s="225" t="s">
        <v>689</v>
      </c>
      <c r="DU251" s="226"/>
      <c r="DV251" s="225" t="s">
        <v>688</v>
      </c>
      <c r="DW251" s="225" t="s">
        <v>689</v>
      </c>
      <c r="DX251" s="226"/>
      <c r="DY251" s="225" t="s">
        <v>688</v>
      </c>
      <c r="DZ251" s="225" t="s">
        <v>689</v>
      </c>
      <c r="EA251" s="226"/>
      <c r="EB251" s="191"/>
    </row>
    <row r="252">
      <c r="A252" s="2"/>
      <c r="B252" s="192"/>
      <c r="C252" s="192"/>
      <c r="D252" s="192"/>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c r="AA252" s="187"/>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87"/>
      <c r="AY252" s="187"/>
      <c r="AZ252" s="187"/>
      <c r="BA252" s="187"/>
      <c r="BB252" s="187"/>
      <c r="BC252" s="187"/>
      <c r="BD252" s="187"/>
      <c r="BE252" s="187"/>
      <c r="BF252" s="187"/>
      <c r="BG252" s="187"/>
      <c r="BH252" s="187"/>
      <c r="BI252" s="187"/>
      <c r="BJ252" s="187"/>
      <c r="BK252" s="187"/>
      <c r="BL252" s="187"/>
      <c r="BM252" s="187"/>
      <c r="BN252" s="187"/>
      <c r="BO252" s="187"/>
      <c r="BP252" s="187"/>
      <c r="BQ252" s="187"/>
      <c r="BR252" s="206"/>
      <c r="BS252" s="225" t="s">
        <v>442</v>
      </c>
      <c r="BU252" s="206"/>
      <c r="BV252" s="225">
        <f>IFERROR(__xludf.DUMMYFUNCTION("COUNT(ARRAYFORMULA(FILTER(BV$5:BV$229,BW$5:BW$229&lt;1,$C$5:$C$229=$BS252,BV$5:BV$229&gt;$BS$5:$BS$229+$BT$5:$BT$229*$BT$2,$E$5:$E$229)))"),2.0)</f>
        <v>2</v>
      </c>
      <c r="BW252" s="225">
        <f>IFERROR(__xludf.DUMMYFUNCTION("COUNT(ARRAYFORMULA(FILTER(BV$5:BV$229,BW$5:BW$229&lt;1,$C$5:$C$229=$BS252,BV$5:BV$229&lt;$BS$5:$BS$229-$BT$5:$BT$229*$BT$2,$E$5:$E$229)))"),5.0)</f>
        <v>5</v>
      </c>
      <c r="BX252" s="225"/>
      <c r="BY252" s="225">
        <f>IFERROR(__xludf.DUMMYFUNCTION("COUNT(ARRAYFORMULA(FILTER(BY$5:BY$229,BZ$5:BZ$229&lt;1,$C$5:$C$229=$BS252,BY$5:BY$229&gt;$BS$5:$BS$229+$BT$5:$BT$229*$BT$2,$E$5:$E$229)))"),0.0)</f>
        <v>0</v>
      </c>
      <c r="BZ252" s="225">
        <f>IFERROR(__xludf.DUMMYFUNCTION("COUNT(ARRAYFORMULA(FILTER(BY$5:BY$229,BZ$5:BZ$229&lt;1,$C$5:$C$229=$BS252,BY$5:BY$229&lt;$BS$5:$BS$229-$BT$5:$BT$229*$BT$2,$E$5:$E$229)))"),0.0)</f>
        <v>0</v>
      </c>
      <c r="CA252" s="225"/>
      <c r="CB252" s="225">
        <f>IFERROR(__xludf.DUMMYFUNCTION("COUNT(ARRAYFORMULA(FILTER(CB$5:CB$229,CC$5:CC$229&lt;1,$C$5:$C$229=$BS252,CB$5:CB$229&gt;$BS$5:$BS$229+$BT$5:$BT$229*$BT$2,$E$5:$E$229)))"),0.0)</f>
        <v>0</v>
      </c>
      <c r="CC252" s="225">
        <f>IFERROR(__xludf.DUMMYFUNCTION("COUNT(ARRAYFORMULA(FILTER(CB$5:CB$229,CC$5:CC$229&lt;1,$C$5:$C$229=$BS252,CB$5:CB$229&lt;$BS$5:$BS$229-$BT$5:$BT$229*$BT$2,$E$5:$E$229)))"),0.0)</f>
        <v>0</v>
      </c>
      <c r="CD252" s="225"/>
      <c r="CE252" s="216"/>
      <c r="CF252" s="225">
        <f>IFERROR(__xludf.DUMMYFUNCTION("COUNT(ARRAYFORMULA(FILTER(CF$5:CF$229,CG$5:CG$229&lt;1,$C$5:$C$229=$BS252,CF$5:CF$229&gt;$BS$5:$BS$229+$BT$5:$BT$229*$BT$2,$E$5:$E$229)))"),0.0)</f>
        <v>0</v>
      </c>
      <c r="CG252" s="225">
        <f>IFERROR(__xludf.DUMMYFUNCTION("COUNT(ARRAYFORMULA(FILTER(CF$5:CF$229,CG$5:CG$229&lt;1,$C$5:$C$229=$BS252,CF$5:CF$229&lt;$BS$5:$BS$229-$BT$5:$BT$229*$BT$2,$E$5:$E$229)))"),0.0)</f>
        <v>0</v>
      </c>
      <c r="CH252" s="225"/>
      <c r="CI252" s="225">
        <f>IFERROR(__xludf.DUMMYFUNCTION("COUNT(ARRAYFORMULA(FILTER(CI$5:CI$229,CJ$5:CJ$229&lt;1,$C$5:$C$229=$BS252,CI$5:CI$229&gt;$BS$5:$BS$229+$BT$5:$BT$229*$BT$2,$E$5:$E$229)))"),0.0)</f>
        <v>0</v>
      </c>
      <c r="CJ252" s="225">
        <f>IFERROR(__xludf.DUMMYFUNCTION("COUNT(ARRAYFORMULA(FILTER(CI$5:CI$229,CJ$5:CJ$229&lt;1,$C$5:$C$229=$BS252,CI$5:CI$229&lt;$BS$5:$BS$229-$BT$5:$BT$229*$BT$2,$E$5:$E$229)))"),0.0)</f>
        <v>0</v>
      </c>
      <c r="CK252" s="225"/>
      <c r="CL252" s="225">
        <f>IFERROR(__xludf.DUMMYFUNCTION("COUNT(ARRAYFORMULA(FILTER(CL$5:CL$229,CM$5:CM$229&lt;1,$C$5:$C$229=$BS252,CL$5:CL$229&gt;$BS$5:$BS$229+$BT$5:$BT$229*$BT$2,$E$5:$E$229)))"),2.0)</f>
        <v>2</v>
      </c>
      <c r="CM252" s="225">
        <f>IFERROR(__xludf.DUMMYFUNCTION("COUNT(ARRAYFORMULA(FILTER(CL$5:CL$229,CM$5:CM$229&lt;1,$C$5:$C$229=$BS252,CL$5:CL$229&lt;$BS$5:$BS$229-$BT$5:$BT$229*$BT$2,$E$5:$E$229)))"),0.0)</f>
        <v>0</v>
      </c>
      <c r="CN252" s="225"/>
      <c r="CO252" s="216"/>
      <c r="CP252" s="225">
        <f>IFERROR(__xludf.DUMMYFUNCTION("COUNT(ARRAYFORMULA(FILTER(CP$5:CP$229,CQ$5:CQ$229&lt;1,$C$5:$C$229=$BS252,CP$5:CP$229&gt;$BS$5:$BS$229+$BT$5:$BT$229*$BT$2,$E$5:$E$229)))"),2.0)</f>
        <v>2</v>
      </c>
      <c r="CQ252" s="225">
        <f>IFERROR(__xludf.DUMMYFUNCTION("COUNT(ARRAYFORMULA(FILTER(CP$5:CP$229,CQ$5:CQ$229&lt;1,$C$5:$C$229=$BS252,CP$5:CP$229&lt;$BS$5:$BS$229-$BT$5:$BT$229*$BT$2,$E$5:$E$229)))"),2.0)</f>
        <v>2</v>
      </c>
      <c r="CR252" s="225"/>
      <c r="CS252" s="225">
        <f>IFERROR(__xludf.DUMMYFUNCTION("COUNT(ARRAYFORMULA(FILTER(CS$5:CS$229,CT$5:CT$229&lt;1,$C$5:$C$229=$BS252,CS$5:CS$229&gt;$BS$5:$BS$229+$BT$5:$BT$229*$BT$2,$E$5:$E$229)))"),0.0)</f>
        <v>0</v>
      </c>
      <c r="CT252" s="225">
        <f>IFERROR(__xludf.DUMMYFUNCTION("COUNT(ARRAYFORMULA(FILTER(CS$5:CS$229,CT$5:CT$229&lt;1,$C$5:$C$229=$BS252,CS$5:CS$229&lt;$BS$5:$BS$229-$BT$5:$BT$229*$BT$2,$E$5:$E$229)))"),0.0)</f>
        <v>0</v>
      </c>
      <c r="CU252" s="225"/>
      <c r="CV252" s="225">
        <f>IFERROR(__xludf.DUMMYFUNCTION("COUNT(ARRAYFORMULA(FILTER(CV$5:CV$229,CW$5:CW$229&lt;1,$C$5:$C$229=$BS252,CV$5:CV$229&gt;$BS$5:$BS$229+$BT$5:$BT$229*$BT$2,$E$5:$E$229)))"),2.0)</f>
        <v>2</v>
      </c>
      <c r="CW252" s="225">
        <f>IFERROR(__xludf.DUMMYFUNCTION("COUNT(ARRAYFORMULA(FILTER(CV$5:CV$229,CW$5:CW$229&lt;1,$C$5:$C$229=$BS252,CV$5:CV$229&lt;$BS$5:$BS$229-$BT$5:$BT$229*$BT$2,$E$5:$E$229)))"),0.0)</f>
        <v>0</v>
      </c>
      <c r="CX252" s="225"/>
      <c r="CY252" s="216"/>
      <c r="CZ252" s="225">
        <f>IFERROR(__xludf.DUMMYFUNCTION("COUNT(ARRAYFORMULA(FILTER(CZ$5:CZ$229,DA$5:DA$229&lt;1,$C$5:$C$229=$BS252,CZ$5:CZ$229&gt;$BS$5:$BS$229+$BT$5:$BT$229*$BT$2,$E$5:$E$229)))"),0.0)</f>
        <v>0</v>
      </c>
      <c r="DA252" s="225">
        <f>IFERROR(__xludf.DUMMYFUNCTION("COUNT(ARRAYFORMULA(FILTER(CZ$5:CZ$229,DA$5:DA$229&lt;1,$C$5:$C$229=$BS252,CZ$5:CZ$229&lt;$BS$5:$BS$229-$BT$5:$BT$229*$BT$2,$E$5:$E$229)))"),1.0)</f>
        <v>1</v>
      </c>
      <c r="DB252" s="225"/>
      <c r="DC252" s="225">
        <f>IFERROR(__xludf.DUMMYFUNCTION("COUNT(ARRAYFORMULA(FILTER(DC$5:DC$229,DD$5:DD$229&lt;1,$C$5:$C$229=$BS252,DC$5:DC$229&gt;$BS$5:$BS$229+$BT$5:$BT$229*$BT$2,$E$5:$E$229)))"),0.0)</f>
        <v>0</v>
      </c>
      <c r="DD252" s="225">
        <f>IFERROR(__xludf.DUMMYFUNCTION("COUNT(ARRAYFORMULA(FILTER(DC$5:DC$229,DD$5:DD$229&lt;1,$C$5:$C$229=$BS252,DC$5:DC$229&lt;$BS$5:$BS$229-$BT$5:$BT$229*$BT$2,$E$5:$E$229)))"),0.0)</f>
        <v>0</v>
      </c>
      <c r="DE252" s="225"/>
      <c r="DF252" s="225">
        <f>IFERROR(__xludf.DUMMYFUNCTION("COUNT(ARRAYFORMULA(FILTER(DF$5:DF$229,DG$5:DG$229&lt;1,$C$5:$C$229=$BS252,DF$5:DF$229&gt;$BS$5:$BS$229+$BT$5:$BT$229*$BT$2,$E$5:$E$229)))"),2.0)</f>
        <v>2</v>
      </c>
      <c r="DG252" s="225">
        <f>IFERROR(__xludf.DUMMYFUNCTION("COUNT(ARRAYFORMULA(FILTER(DF$5:DF$229,DG$5:DG$229&lt;1,$C$5:$C$229=$BS252,DF$5:DF$229&lt;$BS$5:$BS$229-$BT$5:$BT$229*$BT$2,$E$5:$E$229)))"),1.0)</f>
        <v>1</v>
      </c>
      <c r="DH252" s="225"/>
      <c r="DI252" s="225">
        <f>IFERROR(__xludf.DUMMYFUNCTION("COUNT(ARRAYFORMULA(FILTER(DI$5:DI$229,DJ$5:DJ$229&lt;1,$C$5:$C$229=$BS252,DI$5:DI$229&gt;$BS$5:$BS$229+$BT$5:$BT$229*$BT$2,$E$5:$E$229)))"),5.0)</f>
        <v>5</v>
      </c>
      <c r="DJ252" s="225">
        <f>IFERROR(__xludf.DUMMYFUNCTION("COUNT(ARRAYFORMULA(FILTER(DI$5:DI$229,DJ$5:DJ$229&lt;1,$C$5:$C$229=$BS252,DI$5:DI$229&lt;$BS$5:$BS$229-$BT$5:$BT$229*$BT$2,$E$5:$E$229)))"),7.0)</f>
        <v>7</v>
      </c>
      <c r="DK252" s="225"/>
      <c r="DL252" s="225">
        <f>IFERROR(__xludf.DUMMYFUNCTION("COUNT(ARRAYFORMULA(FILTER(DL$5:DL$229,DM$5:DM$229&lt;1,$C$5:$C$229=$BS252,DL$5:DL$229&gt;$BS$5:$BS$229+$BT$5:$BT$229*$BT$2,$E$5:$E$229)))"),0.0)</f>
        <v>0</v>
      </c>
      <c r="DM252" s="225">
        <f>IFERROR(__xludf.DUMMYFUNCTION("COUNT(ARRAYFORMULA(FILTER(DL$5:DL$229,DM$5:DM$229&lt;1,$C$5:$C$229=$BS252,DL$5:DL$229&lt;$BS$5:$BS$229-$BT$5:$BT$229*$BT$2,$E$5:$E$229)))"),0.0)</f>
        <v>0</v>
      </c>
      <c r="DN252" s="225"/>
      <c r="DO252" s="216"/>
      <c r="DP252" s="225">
        <f>IFERROR(__xludf.DUMMYFUNCTION("COUNT(ARRAYFORMULA(FILTER(DP$5:DP$229,DQ$5:DQ$229&lt;1,$C$5:$C$229=$BS252,DP$5:DP$229&gt;$BS$5:$BS$229+$BT$5:$BT$229*$BT$2,$E$5:$E$229)))"),0.0)</f>
        <v>0</v>
      </c>
      <c r="DQ252" s="225">
        <f>IFERROR(__xludf.DUMMYFUNCTION("COUNT(ARRAYFORMULA(FILTER(DP$5:DP$229,DQ$5:DQ$229&lt;1,$C$5:$C$229=$BS252,DP$5:DP$229&lt;$BS$5:$BS$229-$BT$5:$BT$229*$BT$2,$E$5:$E$229)))"),0.0)</f>
        <v>0</v>
      </c>
      <c r="DR252" s="225"/>
      <c r="DS252" s="225">
        <f>IFERROR(__xludf.DUMMYFUNCTION("COUNT(ARRAYFORMULA(FILTER(DS$5:DS$229,DT$5:DT$229&lt;1,$C$5:$C$229=$BS252,DS$5:DS$229&gt;$BS$5:$BS$229+$BT$5:$BT$229*$BT$2,$E$5:$E$229)))"),1.0)</f>
        <v>1</v>
      </c>
      <c r="DT252" s="225">
        <f>IFERROR(__xludf.DUMMYFUNCTION("COUNT(ARRAYFORMULA(FILTER(DS$5:DS$229,DT$5:DT$229&lt;1,$C$5:$C$229=$BS252,DS$5:DS$229&lt;$BS$5:$BS$229-$BT$5:$BT$229*$BT$2,$E$5:$E$229)))"),0.0)</f>
        <v>0</v>
      </c>
      <c r="DU252" s="225"/>
      <c r="DV252" s="225">
        <f>IFERROR(__xludf.DUMMYFUNCTION("COUNT(ARRAYFORMULA(FILTER(DV$5:DV$229,DW$5:DW$229&lt;1,$C$5:$C$229=$BS252,DV$5:DV$229&gt;$BS$5:$BS$229+$BT$5:$BT$229*$BT$2,$E$5:$E$229)))"),2.0)</f>
        <v>2</v>
      </c>
      <c r="DW252" s="225">
        <f>IFERROR(__xludf.DUMMYFUNCTION("COUNT(ARRAYFORMULA(FILTER(DV$5:DV$229,DW$5:DW$229&lt;1,$C$5:$C$229=$BS252,DV$5:DV$229&lt;$BS$5:$BS$229-$BT$5:$BT$229*$BT$2,$E$5:$E$229)))"),1.0)</f>
        <v>1</v>
      </c>
      <c r="DX252" s="225"/>
      <c r="DY252" s="225">
        <f>IFERROR(__xludf.DUMMYFUNCTION("COUNT(ARRAYFORMULA(FILTER(DY$5:DY$229,DZ$5:DZ$229&lt;1,$C$5:$C$229=$BS252,DY$5:DY$229&gt;$BS$5:$BS$229+$BT$5:$BT$229*$BT$2,$E$5:$E$229)))"),0.0)</f>
        <v>0</v>
      </c>
      <c r="DZ252" s="225">
        <f>IFERROR(__xludf.DUMMYFUNCTION("COUNT(ARRAYFORMULA(FILTER(DY$5:DY$229,DZ$5:DZ$229&lt;1,$C$5:$C$229=$BS252,DY$5:DY$229&lt;$BS$5:$BS$229-$BT$5:$BT$229*$BT$2,$E$5:$E$229)))"),0.0)</f>
        <v>0</v>
      </c>
      <c r="EA252" s="225"/>
      <c r="EB252" s="191"/>
    </row>
    <row r="253">
      <c r="A253" s="2"/>
      <c r="B253" s="192"/>
      <c r="C253" s="192"/>
      <c r="D253" s="192"/>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c r="AA253" s="187"/>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87"/>
      <c r="AY253" s="187"/>
      <c r="AZ253" s="187"/>
      <c r="BA253" s="187"/>
      <c r="BB253" s="187"/>
      <c r="BC253" s="187"/>
      <c r="BD253" s="187"/>
      <c r="BE253" s="187"/>
      <c r="BF253" s="187"/>
      <c r="BG253" s="187"/>
      <c r="BH253" s="187"/>
      <c r="BI253" s="187"/>
      <c r="BJ253" s="187"/>
      <c r="BK253" s="187"/>
      <c r="BL253" s="187"/>
      <c r="BM253" s="187"/>
      <c r="BN253" s="187"/>
      <c r="BO253" s="187"/>
      <c r="BP253" s="187"/>
      <c r="BQ253" s="187"/>
      <c r="BR253" s="206"/>
      <c r="BS253" s="225" t="s">
        <v>482</v>
      </c>
      <c r="BU253" s="206"/>
      <c r="BV253" s="225">
        <f>IFERROR(__xludf.DUMMYFUNCTION("COUNT(ARRAYFORMULA(FILTER(BV$5:BV$229,BW$5:BW$229&lt;1,$C$5:$C$229=$BS253,BV$5:BV$229&gt;$BS$5:$BS$229+$BT$5:$BT$229*$BT$2,$E$5:$E$229)))"),1.0)</f>
        <v>1</v>
      </c>
      <c r="BW253" s="225">
        <f>IFERROR(__xludf.DUMMYFUNCTION("COUNT(ARRAYFORMULA(FILTER(BV$5:BV$229,BW$5:BW$229&lt;1,$C$5:$C$229=$BS253,BV$5:BV$229&lt;$BS$5:$BS$229-$BT$5:$BT$229*$BT$2,$E$5:$E$229)))"),5.0)</f>
        <v>5</v>
      </c>
      <c r="BX253" s="225"/>
      <c r="BY253" s="225">
        <f>IFERROR(__xludf.DUMMYFUNCTION("COUNT(ARRAYFORMULA(FILTER(BY$5:BY$229,BZ$5:BZ$229&lt;1,$C$5:$C$229=$BS253,BY$5:BY$229&gt;$BS$5:$BS$229+$BT$5:$BT$229*$BT$2,$E$5:$E$229)))"),0.0)</f>
        <v>0</v>
      </c>
      <c r="BZ253" s="225">
        <f>IFERROR(__xludf.DUMMYFUNCTION("COUNT(ARRAYFORMULA(FILTER(BY$5:BY$229,BZ$5:BZ$229&lt;1,$C$5:$C$229=$BS253,BY$5:BY$229&lt;$BS$5:$BS$229-$BT$5:$BT$229*$BT$2,$E$5:$E$229)))"),0.0)</f>
        <v>0</v>
      </c>
      <c r="CA253" s="225"/>
      <c r="CB253" s="225">
        <f>IFERROR(__xludf.DUMMYFUNCTION("COUNT(ARRAYFORMULA(FILTER(CB$5:CB$229,CC$5:CC$229&lt;1,$C$5:$C$229=$BS253,CB$5:CB$229&gt;$BS$5:$BS$229+$BT$5:$BT$229*$BT$2,$E$5:$E$229)))"),1.0)</f>
        <v>1</v>
      </c>
      <c r="CC253" s="225">
        <f>IFERROR(__xludf.DUMMYFUNCTION("COUNT(ARRAYFORMULA(FILTER(CB$5:CB$229,CC$5:CC$229&lt;1,$C$5:$C$229=$BS253,CB$5:CB$229&lt;$BS$5:$BS$229-$BT$5:$BT$229*$BT$2,$E$5:$E$229)))"),0.0)</f>
        <v>0</v>
      </c>
      <c r="CD253" s="225"/>
      <c r="CE253" s="216"/>
      <c r="CF253" s="225">
        <f>IFERROR(__xludf.DUMMYFUNCTION("COUNT(ARRAYFORMULA(FILTER(CF$5:CF$229,CG$5:CG$229&lt;1,$C$5:$C$229=$BS253,CF$5:CF$229&gt;$BS$5:$BS$229+$BT$5:$BT$229*$BT$2,$E$5:$E$229)))"),0.0)</f>
        <v>0</v>
      </c>
      <c r="CG253" s="225">
        <f>IFERROR(__xludf.DUMMYFUNCTION("COUNT(ARRAYFORMULA(FILTER(CF$5:CF$229,CG$5:CG$229&lt;1,$C$5:$C$229=$BS253,CF$5:CF$229&lt;$BS$5:$BS$229-$BT$5:$BT$229*$BT$2,$E$5:$E$229)))"),0.0)</f>
        <v>0</v>
      </c>
      <c r="CH253" s="225"/>
      <c r="CI253" s="225">
        <f>IFERROR(__xludf.DUMMYFUNCTION("COUNT(ARRAYFORMULA(FILTER(CI$5:CI$229,CJ$5:CJ$229&lt;1,$C$5:$C$229=$BS253,CI$5:CI$229&gt;$BS$5:$BS$229+$BT$5:$BT$229*$BT$2,$E$5:$E$229)))"),0.0)</f>
        <v>0</v>
      </c>
      <c r="CJ253" s="225">
        <f>IFERROR(__xludf.DUMMYFUNCTION("COUNT(ARRAYFORMULA(FILTER(CI$5:CI$229,CJ$5:CJ$229&lt;1,$C$5:$C$229=$BS253,CI$5:CI$229&lt;$BS$5:$BS$229-$BT$5:$BT$229*$BT$2,$E$5:$E$229)))"),0.0)</f>
        <v>0</v>
      </c>
      <c r="CK253" s="225"/>
      <c r="CL253" s="225">
        <f>IFERROR(__xludf.DUMMYFUNCTION("COUNT(ARRAYFORMULA(FILTER(CL$5:CL$229,CM$5:CM$229&lt;1,$C$5:$C$229=$BS253,CL$5:CL$229&gt;$BS$5:$BS$229+$BT$5:$BT$229*$BT$2,$E$5:$E$229)))"),2.0)</f>
        <v>2</v>
      </c>
      <c r="CM253" s="225">
        <f>IFERROR(__xludf.DUMMYFUNCTION("COUNT(ARRAYFORMULA(FILTER(CL$5:CL$229,CM$5:CM$229&lt;1,$C$5:$C$229=$BS253,CL$5:CL$229&lt;$BS$5:$BS$229-$BT$5:$BT$229*$BT$2,$E$5:$E$229)))"),0.0)</f>
        <v>0</v>
      </c>
      <c r="CN253" s="225"/>
      <c r="CO253" s="216"/>
      <c r="CP253" s="225">
        <f>IFERROR(__xludf.DUMMYFUNCTION("COUNT(ARRAYFORMULA(FILTER(CP$5:CP$229,CQ$5:CQ$229&lt;1,$C$5:$C$229=$BS253,CP$5:CP$229&gt;$BS$5:$BS$229+$BT$5:$BT$229*$BT$2,$E$5:$E$229)))"),0.0)</f>
        <v>0</v>
      </c>
      <c r="CQ253" s="225">
        <f>IFERROR(__xludf.DUMMYFUNCTION("COUNT(ARRAYFORMULA(FILTER(CP$5:CP$229,CQ$5:CQ$229&lt;1,$C$5:$C$229=$BS253,CP$5:CP$229&lt;$BS$5:$BS$229-$BT$5:$BT$229*$BT$2,$E$5:$E$229)))"),0.0)</f>
        <v>0</v>
      </c>
      <c r="CR253" s="225"/>
      <c r="CS253" s="225">
        <f>IFERROR(__xludf.DUMMYFUNCTION("COUNT(ARRAYFORMULA(FILTER(CS$5:CS$229,CT$5:CT$229&lt;1,$C$5:$C$229=$BS253,CS$5:CS$229&gt;$BS$5:$BS$229+$BT$5:$BT$229*$BT$2,$E$5:$E$229)))"),0.0)</f>
        <v>0</v>
      </c>
      <c r="CT253" s="225">
        <f>IFERROR(__xludf.DUMMYFUNCTION("COUNT(ARRAYFORMULA(FILTER(CS$5:CS$229,CT$5:CT$229&lt;1,$C$5:$C$229=$BS253,CS$5:CS$229&lt;$BS$5:$BS$229-$BT$5:$BT$229*$BT$2,$E$5:$E$229)))"),0.0)</f>
        <v>0</v>
      </c>
      <c r="CU253" s="225"/>
      <c r="CV253" s="225">
        <f>IFERROR(__xludf.DUMMYFUNCTION("COUNT(ARRAYFORMULA(FILTER(CV$5:CV$229,CW$5:CW$229&lt;1,$C$5:$C$229=$BS253,CV$5:CV$229&gt;$BS$5:$BS$229+$BT$5:$BT$229*$BT$2,$E$5:$E$229)))"),2.0)</f>
        <v>2</v>
      </c>
      <c r="CW253" s="225">
        <f>IFERROR(__xludf.DUMMYFUNCTION("COUNT(ARRAYFORMULA(FILTER(CV$5:CV$229,CW$5:CW$229&lt;1,$C$5:$C$229=$BS253,CV$5:CV$229&lt;$BS$5:$BS$229-$BT$5:$BT$229*$BT$2,$E$5:$E$229)))"),0.0)</f>
        <v>0</v>
      </c>
      <c r="CX253" s="225"/>
      <c r="CY253" s="216"/>
      <c r="CZ253" s="225">
        <f>IFERROR(__xludf.DUMMYFUNCTION("COUNT(ARRAYFORMULA(FILTER(CZ$5:CZ$229,DA$5:DA$229&lt;1,$C$5:$C$229=$BS253,CZ$5:CZ$229&gt;$BS$5:$BS$229+$BT$5:$BT$229*$BT$2,$E$5:$E$229)))"),0.0)</f>
        <v>0</v>
      </c>
      <c r="DA253" s="225">
        <f>IFERROR(__xludf.DUMMYFUNCTION("COUNT(ARRAYFORMULA(FILTER(CZ$5:CZ$229,DA$5:DA$229&lt;1,$C$5:$C$229=$BS253,CZ$5:CZ$229&lt;$BS$5:$BS$229-$BT$5:$BT$229*$BT$2,$E$5:$E$229)))"),0.0)</f>
        <v>0</v>
      </c>
      <c r="DB253" s="225"/>
      <c r="DC253" s="225">
        <f>IFERROR(__xludf.DUMMYFUNCTION("COUNT(ARRAYFORMULA(FILTER(DC$5:DC$229,DD$5:DD$229&lt;1,$C$5:$C$229=$BS253,DC$5:DC$229&gt;$BS$5:$BS$229+$BT$5:$BT$229*$BT$2,$E$5:$E$229)))"),1.0)</f>
        <v>1</v>
      </c>
      <c r="DD253" s="225">
        <f>IFERROR(__xludf.DUMMYFUNCTION("COUNT(ARRAYFORMULA(FILTER(DC$5:DC$229,DD$5:DD$229&lt;1,$C$5:$C$229=$BS253,DC$5:DC$229&lt;$BS$5:$BS$229-$BT$5:$BT$229*$BT$2,$E$5:$E$229)))"),0.0)</f>
        <v>0</v>
      </c>
      <c r="DE253" s="225"/>
      <c r="DF253" s="225">
        <f>IFERROR(__xludf.DUMMYFUNCTION("COUNT(ARRAYFORMULA(FILTER(DF$5:DF$229,DG$5:DG$229&lt;1,$C$5:$C$229=$BS253,DF$5:DF$229&gt;$BS$5:$BS$229+$BT$5:$BT$229*$BT$2,$E$5:$E$229)))"),0.0)</f>
        <v>0</v>
      </c>
      <c r="DG253" s="225">
        <f>IFERROR(__xludf.DUMMYFUNCTION("COUNT(ARRAYFORMULA(FILTER(DF$5:DF$229,DG$5:DG$229&lt;1,$C$5:$C$229=$BS253,DF$5:DF$229&lt;$BS$5:$BS$229-$BT$5:$BT$229*$BT$2,$E$5:$E$229)))"),1.0)</f>
        <v>1</v>
      </c>
      <c r="DH253" s="225"/>
      <c r="DI253" s="225">
        <f>IFERROR(__xludf.DUMMYFUNCTION("COUNT(ARRAYFORMULA(FILTER(DI$5:DI$229,DJ$5:DJ$229&lt;1,$C$5:$C$229=$BS253,DI$5:DI$229&gt;$BS$5:$BS$229+$BT$5:$BT$229*$BT$2,$E$5:$E$229)))"),1.0)</f>
        <v>1</v>
      </c>
      <c r="DJ253" s="225">
        <f>IFERROR(__xludf.DUMMYFUNCTION("COUNT(ARRAYFORMULA(FILTER(DI$5:DI$229,DJ$5:DJ$229&lt;1,$C$5:$C$229=$BS253,DI$5:DI$229&lt;$BS$5:$BS$229-$BT$5:$BT$229*$BT$2,$E$5:$E$229)))"),2.0)</f>
        <v>2</v>
      </c>
      <c r="DK253" s="225"/>
      <c r="DL253" s="225">
        <f>IFERROR(__xludf.DUMMYFUNCTION("COUNT(ARRAYFORMULA(FILTER(DL$5:DL$229,DM$5:DM$229&lt;1,$C$5:$C$229=$BS253,DL$5:DL$229&gt;$BS$5:$BS$229+$BT$5:$BT$229*$BT$2,$E$5:$E$229)))"),0.0)</f>
        <v>0</v>
      </c>
      <c r="DM253" s="225">
        <f>IFERROR(__xludf.DUMMYFUNCTION("COUNT(ARRAYFORMULA(FILTER(DL$5:DL$229,DM$5:DM$229&lt;1,$C$5:$C$229=$BS253,DL$5:DL$229&lt;$BS$5:$BS$229-$BT$5:$BT$229*$BT$2,$E$5:$E$229)))"),0.0)</f>
        <v>0</v>
      </c>
      <c r="DN253" s="225"/>
      <c r="DO253" s="216"/>
      <c r="DP253" s="225">
        <f>IFERROR(__xludf.DUMMYFUNCTION("COUNT(ARRAYFORMULA(FILTER(DP$5:DP$229,DQ$5:DQ$229&lt;1,$C$5:$C$229=$BS253,DP$5:DP$229&gt;$BS$5:$BS$229+$BT$5:$BT$229*$BT$2,$E$5:$E$229)))"),0.0)</f>
        <v>0</v>
      </c>
      <c r="DQ253" s="225">
        <f>IFERROR(__xludf.DUMMYFUNCTION("COUNT(ARRAYFORMULA(FILTER(DP$5:DP$229,DQ$5:DQ$229&lt;1,$C$5:$C$229=$BS253,DP$5:DP$229&lt;$BS$5:$BS$229-$BT$5:$BT$229*$BT$2,$E$5:$E$229)))"),0.0)</f>
        <v>0</v>
      </c>
      <c r="DR253" s="225"/>
      <c r="DS253" s="225">
        <f>IFERROR(__xludf.DUMMYFUNCTION("COUNT(ARRAYFORMULA(FILTER(DS$5:DS$229,DT$5:DT$229&lt;1,$C$5:$C$229=$BS253,DS$5:DS$229&gt;$BS$5:$BS$229+$BT$5:$BT$229*$BT$2,$E$5:$E$229)))"),0.0)</f>
        <v>0</v>
      </c>
      <c r="DT253" s="225">
        <f>IFERROR(__xludf.DUMMYFUNCTION("COUNT(ARRAYFORMULA(FILTER(DS$5:DS$229,DT$5:DT$229&lt;1,$C$5:$C$229=$BS253,DS$5:DS$229&lt;$BS$5:$BS$229-$BT$5:$BT$229*$BT$2,$E$5:$E$229)))"),0.0)</f>
        <v>0</v>
      </c>
      <c r="DU253" s="225"/>
      <c r="DV253" s="225">
        <f>IFERROR(__xludf.DUMMYFUNCTION("COUNT(ARRAYFORMULA(FILTER(DV$5:DV$229,DW$5:DW$229&lt;1,$C$5:$C$229=$BS253,DV$5:DV$229&gt;$BS$5:$BS$229+$BT$5:$BT$229*$BT$2,$E$5:$E$229)))"),0.0)</f>
        <v>0</v>
      </c>
      <c r="DW253" s="225">
        <f>IFERROR(__xludf.DUMMYFUNCTION("COUNT(ARRAYFORMULA(FILTER(DV$5:DV$229,DW$5:DW$229&lt;1,$C$5:$C$229=$BS253,DV$5:DV$229&lt;$BS$5:$BS$229-$BT$5:$BT$229*$BT$2,$E$5:$E$229)))"),0.0)</f>
        <v>0</v>
      </c>
      <c r="DX253" s="225"/>
      <c r="DY253" s="225">
        <f>IFERROR(__xludf.DUMMYFUNCTION("COUNT(ARRAYFORMULA(FILTER(DY$5:DY$229,DZ$5:DZ$229&lt;1,$C$5:$C$229=$BS253,DY$5:DY$229&gt;$BS$5:$BS$229+$BT$5:$BT$229*$BT$2,$E$5:$E$229)))"),2.0)</f>
        <v>2</v>
      </c>
      <c r="DZ253" s="225">
        <f>IFERROR(__xludf.DUMMYFUNCTION("COUNT(ARRAYFORMULA(FILTER(DY$5:DY$229,DZ$5:DZ$229&lt;1,$C$5:$C$229=$BS253,DY$5:DY$229&lt;$BS$5:$BS$229-$BT$5:$BT$229*$BT$2,$E$5:$E$229)))"),0.0)</f>
        <v>0</v>
      </c>
      <c r="EA253" s="225"/>
      <c r="EB253" s="191"/>
    </row>
    <row r="254">
      <c r="A254" s="2"/>
      <c r="B254" s="192"/>
      <c r="C254" s="192"/>
      <c r="D254" s="192"/>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c r="AA254" s="187"/>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87"/>
      <c r="AY254" s="187"/>
      <c r="AZ254" s="187"/>
      <c r="BA254" s="187"/>
      <c r="BB254" s="187"/>
      <c r="BC254" s="187"/>
      <c r="BD254" s="187"/>
      <c r="BE254" s="187"/>
      <c r="BF254" s="187"/>
      <c r="BG254" s="187"/>
      <c r="BH254" s="187"/>
      <c r="BI254" s="187"/>
      <c r="BJ254" s="187"/>
      <c r="BK254" s="187"/>
      <c r="BL254" s="187"/>
      <c r="BM254" s="187"/>
      <c r="BN254" s="187"/>
      <c r="BO254" s="187"/>
      <c r="BP254" s="187"/>
      <c r="BQ254" s="187"/>
      <c r="BR254" s="206"/>
      <c r="BS254" s="225" t="s">
        <v>507</v>
      </c>
      <c r="BU254" s="206"/>
      <c r="BV254" s="225">
        <f>IFERROR(__xludf.DUMMYFUNCTION("COUNT(ARRAYFORMULA(FILTER(BV$5:BV$229,BW$5:BW$229&lt;1,$C$5:$C$229=$BS254,BV$5:BV$229&gt;$BS$5:$BS$229+$BT$5:$BT$229*$BT$2,$E$5:$E$229)))"),1.0)</f>
        <v>1</v>
      </c>
      <c r="BW254" s="225">
        <f>IFERROR(__xludf.DUMMYFUNCTION("COUNT(ARRAYFORMULA(FILTER(BV$5:BV$229,BW$5:BW$229&lt;1,$C$5:$C$229=$BS254,BV$5:BV$229&lt;$BS$5:$BS$229-$BT$5:$BT$229*$BT$2,$E$5:$E$229)))"),7.0)</f>
        <v>7</v>
      </c>
      <c r="BX254" s="225"/>
      <c r="BY254" s="225">
        <f>IFERROR(__xludf.DUMMYFUNCTION("COUNT(ARRAYFORMULA(FILTER(BY$5:BY$229,BZ$5:BZ$229&lt;1,$C$5:$C$229=$BS254,BY$5:BY$229&gt;$BS$5:$BS$229+$BT$5:$BT$229*$BT$2,$E$5:$E$229)))"),0.0)</f>
        <v>0</v>
      </c>
      <c r="BZ254" s="225">
        <f>IFERROR(__xludf.DUMMYFUNCTION("COUNT(ARRAYFORMULA(FILTER(BY$5:BY$229,BZ$5:BZ$229&lt;1,$C$5:$C$229=$BS254,BY$5:BY$229&lt;$BS$5:$BS$229-$BT$5:$BT$229*$BT$2,$E$5:$E$229)))"),0.0)</f>
        <v>0</v>
      </c>
      <c r="CA254" s="225"/>
      <c r="CB254" s="225">
        <f>IFERROR(__xludf.DUMMYFUNCTION("COUNT(ARRAYFORMULA(FILTER(CB$5:CB$229,CC$5:CC$229&lt;1,$C$5:$C$229=$BS254,CB$5:CB$229&gt;$BS$5:$BS$229+$BT$5:$BT$229*$BT$2,$E$5:$E$229)))"),0.0)</f>
        <v>0</v>
      </c>
      <c r="CC254" s="225">
        <f>IFERROR(__xludf.DUMMYFUNCTION("COUNT(ARRAYFORMULA(FILTER(CB$5:CB$229,CC$5:CC$229&lt;1,$C$5:$C$229=$BS254,CB$5:CB$229&lt;$BS$5:$BS$229-$BT$5:$BT$229*$BT$2,$E$5:$E$229)))"),0.0)</f>
        <v>0</v>
      </c>
      <c r="CD254" s="225"/>
      <c r="CE254" s="216"/>
      <c r="CF254" s="225">
        <f>IFERROR(__xludf.DUMMYFUNCTION("COUNT(ARRAYFORMULA(FILTER(CF$5:CF$229,CG$5:CG$229&lt;1,$C$5:$C$229=$BS254,CF$5:CF$229&gt;$BS$5:$BS$229+$BT$5:$BT$229*$BT$2,$E$5:$E$229)))"),0.0)</f>
        <v>0</v>
      </c>
      <c r="CG254" s="225">
        <f>IFERROR(__xludf.DUMMYFUNCTION("COUNT(ARRAYFORMULA(FILTER(CF$5:CF$229,CG$5:CG$229&lt;1,$C$5:$C$229=$BS254,CF$5:CF$229&lt;$BS$5:$BS$229-$BT$5:$BT$229*$BT$2,$E$5:$E$229)))"),0.0)</f>
        <v>0</v>
      </c>
      <c r="CH254" s="225"/>
      <c r="CI254" s="225">
        <f>IFERROR(__xludf.DUMMYFUNCTION("COUNT(ARRAYFORMULA(FILTER(CI$5:CI$229,CJ$5:CJ$229&lt;1,$C$5:$C$229=$BS254,CI$5:CI$229&gt;$BS$5:$BS$229+$BT$5:$BT$229*$BT$2,$E$5:$E$229)))"),0.0)</f>
        <v>0</v>
      </c>
      <c r="CJ254" s="225">
        <f>IFERROR(__xludf.DUMMYFUNCTION("COUNT(ARRAYFORMULA(FILTER(CI$5:CI$229,CJ$5:CJ$229&lt;1,$C$5:$C$229=$BS254,CI$5:CI$229&lt;$BS$5:$BS$229-$BT$5:$BT$229*$BT$2,$E$5:$E$229)))"),0.0)</f>
        <v>0</v>
      </c>
      <c r="CK254" s="225"/>
      <c r="CL254" s="225">
        <f>IFERROR(__xludf.DUMMYFUNCTION("COUNT(ARRAYFORMULA(FILTER(CL$5:CL$229,CM$5:CM$229&lt;1,$C$5:$C$229=$BS254,CL$5:CL$229&gt;$BS$5:$BS$229+$BT$5:$BT$229*$BT$2,$E$5:$E$229)))"),4.0)</f>
        <v>4</v>
      </c>
      <c r="CM254" s="225">
        <f>IFERROR(__xludf.DUMMYFUNCTION("COUNT(ARRAYFORMULA(FILTER(CL$5:CL$229,CM$5:CM$229&lt;1,$C$5:$C$229=$BS254,CL$5:CL$229&lt;$BS$5:$BS$229-$BT$5:$BT$229*$BT$2,$E$5:$E$229)))"),1.0)</f>
        <v>1</v>
      </c>
      <c r="CN254" s="225"/>
      <c r="CO254" s="216"/>
      <c r="CP254" s="225">
        <f>IFERROR(__xludf.DUMMYFUNCTION("COUNT(ARRAYFORMULA(FILTER(CP$5:CP$229,CQ$5:CQ$229&lt;1,$C$5:$C$229=$BS254,CP$5:CP$229&gt;$BS$5:$BS$229+$BT$5:$BT$229*$BT$2,$E$5:$E$229)))"),2.0)</f>
        <v>2</v>
      </c>
      <c r="CQ254" s="225">
        <f>IFERROR(__xludf.DUMMYFUNCTION("COUNT(ARRAYFORMULA(FILTER(CP$5:CP$229,CQ$5:CQ$229&lt;1,$C$5:$C$229=$BS254,CP$5:CP$229&lt;$BS$5:$BS$229-$BT$5:$BT$229*$BT$2,$E$5:$E$229)))"),1.0)</f>
        <v>1</v>
      </c>
      <c r="CR254" s="225"/>
      <c r="CS254" s="225">
        <f>IFERROR(__xludf.DUMMYFUNCTION("COUNT(ARRAYFORMULA(FILTER(CS$5:CS$229,CT$5:CT$229&lt;1,$C$5:$C$229=$BS254,CS$5:CS$229&gt;$BS$5:$BS$229+$BT$5:$BT$229*$BT$2,$E$5:$E$229)))"),0.0)</f>
        <v>0</v>
      </c>
      <c r="CT254" s="225">
        <f>IFERROR(__xludf.DUMMYFUNCTION("COUNT(ARRAYFORMULA(FILTER(CS$5:CS$229,CT$5:CT$229&lt;1,$C$5:$C$229=$BS254,CS$5:CS$229&lt;$BS$5:$BS$229-$BT$5:$BT$229*$BT$2,$E$5:$E$229)))"),0.0)</f>
        <v>0</v>
      </c>
      <c r="CU254" s="225"/>
      <c r="CV254" s="225">
        <f>IFERROR(__xludf.DUMMYFUNCTION("COUNT(ARRAYFORMULA(FILTER(CV$5:CV$229,CW$5:CW$229&lt;1,$C$5:$C$229=$BS254,CV$5:CV$229&gt;$BS$5:$BS$229+$BT$5:$BT$229*$BT$2,$E$5:$E$229)))"),4.0)</f>
        <v>4</v>
      </c>
      <c r="CW254" s="225">
        <f>IFERROR(__xludf.DUMMYFUNCTION("COUNT(ARRAYFORMULA(FILTER(CV$5:CV$229,CW$5:CW$229&lt;1,$C$5:$C$229=$BS254,CV$5:CV$229&lt;$BS$5:$BS$229-$BT$5:$BT$229*$BT$2,$E$5:$E$229)))"),1.0)</f>
        <v>1</v>
      </c>
      <c r="CX254" s="225"/>
      <c r="CY254" s="216"/>
      <c r="CZ254" s="225">
        <f>IFERROR(__xludf.DUMMYFUNCTION("COUNT(ARRAYFORMULA(FILTER(CZ$5:CZ$229,DA$5:DA$229&lt;1,$C$5:$C$229=$BS254,CZ$5:CZ$229&gt;$BS$5:$BS$229+$BT$5:$BT$229*$BT$2,$E$5:$E$229)))"),1.0)</f>
        <v>1</v>
      </c>
      <c r="DA254" s="225">
        <f>IFERROR(__xludf.DUMMYFUNCTION("COUNT(ARRAYFORMULA(FILTER(CZ$5:CZ$229,DA$5:DA$229&lt;1,$C$5:$C$229=$BS254,CZ$5:CZ$229&lt;$BS$5:$BS$229-$BT$5:$BT$229*$BT$2,$E$5:$E$229)))"),0.0)</f>
        <v>0</v>
      </c>
      <c r="DB254" s="225"/>
      <c r="DC254" s="225">
        <f>IFERROR(__xludf.DUMMYFUNCTION("COUNT(ARRAYFORMULA(FILTER(DC$5:DC$229,DD$5:DD$229&lt;1,$C$5:$C$229=$BS254,DC$5:DC$229&gt;$BS$5:$BS$229+$BT$5:$BT$229*$BT$2,$E$5:$E$229)))"),0.0)</f>
        <v>0</v>
      </c>
      <c r="DD254" s="225">
        <f>IFERROR(__xludf.DUMMYFUNCTION("COUNT(ARRAYFORMULA(FILTER(DC$5:DC$229,DD$5:DD$229&lt;1,$C$5:$C$229=$BS254,DC$5:DC$229&lt;$BS$5:$BS$229-$BT$5:$BT$229*$BT$2,$E$5:$E$229)))"),0.0)</f>
        <v>0</v>
      </c>
      <c r="DE254" s="225"/>
      <c r="DF254" s="225">
        <f>IFERROR(__xludf.DUMMYFUNCTION("COUNT(ARRAYFORMULA(FILTER(DF$5:DF$229,DG$5:DG$229&lt;1,$C$5:$C$229=$BS254,DF$5:DF$229&gt;$BS$5:$BS$229+$BT$5:$BT$229*$BT$2,$E$5:$E$229)))"),0.0)</f>
        <v>0</v>
      </c>
      <c r="DG254" s="225">
        <f>IFERROR(__xludf.DUMMYFUNCTION("COUNT(ARRAYFORMULA(FILTER(DF$5:DF$229,DG$5:DG$229&lt;1,$C$5:$C$229=$BS254,DF$5:DF$229&lt;$BS$5:$BS$229-$BT$5:$BT$229*$BT$2,$E$5:$E$229)))"),0.0)</f>
        <v>0</v>
      </c>
      <c r="DH254" s="225"/>
      <c r="DI254" s="225">
        <f>IFERROR(__xludf.DUMMYFUNCTION("COUNT(ARRAYFORMULA(FILTER(DI$5:DI$229,DJ$5:DJ$229&lt;1,$C$5:$C$229=$BS254,DI$5:DI$229&gt;$BS$5:$BS$229+$BT$5:$BT$229*$BT$2,$E$5:$E$229)))"),5.0)</f>
        <v>5</v>
      </c>
      <c r="DJ254" s="225">
        <f>IFERROR(__xludf.DUMMYFUNCTION("COUNT(ARRAYFORMULA(FILTER(DI$5:DI$229,DJ$5:DJ$229&lt;1,$C$5:$C$229=$BS254,DI$5:DI$229&lt;$BS$5:$BS$229-$BT$5:$BT$229*$BT$2,$E$5:$E$229)))"),6.0)</f>
        <v>6</v>
      </c>
      <c r="DK254" s="225"/>
      <c r="DL254" s="225">
        <f>IFERROR(__xludf.DUMMYFUNCTION("COUNT(ARRAYFORMULA(FILTER(DL$5:DL$229,DM$5:DM$229&lt;1,$C$5:$C$229=$BS254,DL$5:DL$229&gt;$BS$5:$BS$229+$BT$5:$BT$229*$BT$2,$E$5:$E$229)))"),1.0)</f>
        <v>1</v>
      </c>
      <c r="DM254" s="225">
        <f>IFERROR(__xludf.DUMMYFUNCTION("COUNT(ARRAYFORMULA(FILTER(DL$5:DL$229,DM$5:DM$229&lt;1,$C$5:$C$229=$BS254,DL$5:DL$229&lt;$BS$5:$BS$229-$BT$5:$BT$229*$BT$2,$E$5:$E$229)))"),0.0)</f>
        <v>0</v>
      </c>
      <c r="DN254" s="225"/>
      <c r="DO254" s="216"/>
      <c r="DP254" s="225">
        <f>IFERROR(__xludf.DUMMYFUNCTION("COUNT(ARRAYFORMULA(FILTER(DP$5:DP$229,DQ$5:DQ$229&lt;1,$C$5:$C$229=$BS254,DP$5:DP$229&gt;$BS$5:$BS$229+$BT$5:$BT$229*$BT$2,$E$5:$E$229)))"),0.0)</f>
        <v>0</v>
      </c>
      <c r="DQ254" s="225">
        <f>IFERROR(__xludf.DUMMYFUNCTION("COUNT(ARRAYFORMULA(FILTER(DP$5:DP$229,DQ$5:DQ$229&lt;1,$C$5:$C$229=$BS254,DP$5:DP$229&lt;$BS$5:$BS$229-$BT$5:$BT$229*$BT$2,$E$5:$E$229)))"),0.0)</f>
        <v>0</v>
      </c>
      <c r="DR254" s="225"/>
      <c r="DS254" s="225">
        <f>IFERROR(__xludf.DUMMYFUNCTION("COUNT(ARRAYFORMULA(FILTER(DS$5:DS$229,DT$5:DT$229&lt;1,$C$5:$C$229=$BS254,DS$5:DS$229&gt;$BS$5:$BS$229+$BT$5:$BT$229*$BT$2,$E$5:$E$229)))"),0.0)</f>
        <v>0</v>
      </c>
      <c r="DT254" s="225">
        <f>IFERROR(__xludf.DUMMYFUNCTION("COUNT(ARRAYFORMULA(FILTER(DS$5:DS$229,DT$5:DT$229&lt;1,$C$5:$C$229=$BS254,DS$5:DS$229&lt;$BS$5:$BS$229-$BT$5:$BT$229*$BT$2,$E$5:$E$229)))"),0.0)</f>
        <v>0</v>
      </c>
      <c r="DU254" s="225"/>
      <c r="DV254" s="225">
        <f>IFERROR(__xludf.DUMMYFUNCTION("COUNT(ARRAYFORMULA(FILTER(DV$5:DV$229,DW$5:DW$229&lt;1,$C$5:$C$229=$BS254,DV$5:DV$229&gt;$BS$5:$BS$229+$BT$5:$BT$229*$BT$2,$E$5:$E$229)))"),1.0)</f>
        <v>1</v>
      </c>
      <c r="DW254" s="225">
        <f>IFERROR(__xludf.DUMMYFUNCTION("COUNT(ARRAYFORMULA(FILTER(DV$5:DV$229,DW$5:DW$229&lt;1,$C$5:$C$229=$BS254,DV$5:DV$229&lt;$BS$5:$BS$229-$BT$5:$BT$229*$BT$2,$E$5:$E$229)))"),0.0)</f>
        <v>0</v>
      </c>
      <c r="DX254" s="225"/>
      <c r="DY254" s="225">
        <f>IFERROR(__xludf.DUMMYFUNCTION("COUNT(ARRAYFORMULA(FILTER(DY$5:DY$229,DZ$5:DZ$229&lt;1,$C$5:$C$229=$BS254,DY$5:DY$229&gt;$BS$5:$BS$229+$BT$5:$BT$229*$BT$2,$E$5:$E$229)))"),1.0)</f>
        <v>1</v>
      </c>
      <c r="DZ254" s="225">
        <f>IFERROR(__xludf.DUMMYFUNCTION("COUNT(ARRAYFORMULA(FILTER(DY$5:DY$229,DZ$5:DZ$229&lt;1,$C$5:$C$229=$BS254,DY$5:DY$229&lt;$BS$5:$BS$229-$BT$5:$BT$229*$BT$2,$E$5:$E$229)))"),0.0)</f>
        <v>0</v>
      </c>
      <c r="EA254" s="225"/>
      <c r="EB254" s="191"/>
    </row>
    <row r="255">
      <c r="A255" s="2"/>
      <c r="B255" s="192"/>
      <c r="C255" s="192"/>
      <c r="D255" s="192"/>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c r="AA255" s="187"/>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87"/>
      <c r="AY255" s="187"/>
      <c r="AZ255" s="187"/>
      <c r="BA255" s="187"/>
      <c r="BB255" s="187"/>
      <c r="BC255" s="187"/>
      <c r="BD255" s="187"/>
      <c r="BE255" s="187"/>
      <c r="BF255" s="187"/>
      <c r="BG255" s="187"/>
      <c r="BH255" s="187"/>
      <c r="BI255" s="187"/>
      <c r="BJ255" s="187"/>
      <c r="BK255" s="187"/>
      <c r="BL255" s="187"/>
      <c r="BM255" s="187"/>
      <c r="BN255" s="187"/>
      <c r="BO255" s="187"/>
      <c r="BP255" s="187"/>
      <c r="BQ255" s="187"/>
      <c r="BR255" s="206"/>
      <c r="BS255" s="225" t="s">
        <v>540</v>
      </c>
      <c r="BU255" s="206"/>
      <c r="BV255" s="225">
        <f>IFERROR(__xludf.DUMMYFUNCTION("COUNT(ARRAYFORMULA(FILTER(BV$5:BV$229,BW$5:BW$229&lt;1,$C$5:$C$229=$BS255,BV$5:BV$229&gt;$BS$5:$BS$229+$BT$5:$BT$229*$BT$2,$E$5:$E$229)))"),4.0)</f>
        <v>4</v>
      </c>
      <c r="BW255" s="225">
        <f>IFERROR(__xludf.DUMMYFUNCTION("COUNT(ARRAYFORMULA(FILTER(BV$5:BV$229,BW$5:BW$229&lt;1,$C$5:$C$229=$BS255,BV$5:BV$229&lt;$BS$5:$BS$229-$BT$5:$BT$229*$BT$2,$E$5:$E$229)))"),5.0)</f>
        <v>5</v>
      </c>
      <c r="BX255" s="225"/>
      <c r="BY255" s="225">
        <f>IFERROR(__xludf.DUMMYFUNCTION("COUNT(ARRAYFORMULA(FILTER(BY$5:BY$229,BZ$5:BZ$229&lt;1,$C$5:$C$229=$BS255,BY$5:BY$229&gt;$BS$5:$BS$229+$BT$5:$BT$229*$BT$2,$E$5:$E$229)))"),0.0)</f>
        <v>0</v>
      </c>
      <c r="BZ255" s="225">
        <f>IFERROR(__xludf.DUMMYFUNCTION("COUNT(ARRAYFORMULA(FILTER(BY$5:BY$229,BZ$5:BZ$229&lt;1,$C$5:$C$229=$BS255,BY$5:BY$229&lt;$BS$5:$BS$229-$BT$5:$BT$229*$BT$2,$E$5:$E$229)))"),0.0)</f>
        <v>0</v>
      </c>
      <c r="CA255" s="225"/>
      <c r="CB255" s="225">
        <f>IFERROR(__xludf.DUMMYFUNCTION("COUNT(ARRAYFORMULA(FILTER(CB$5:CB$229,CC$5:CC$229&lt;1,$C$5:$C$229=$BS255,CB$5:CB$229&gt;$BS$5:$BS$229+$BT$5:$BT$229*$BT$2,$E$5:$E$229)))"),2.0)</f>
        <v>2</v>
      </c>
      <c r="CC255" s="225">
        <f>IFERROR(__xludf.DUMMYFUNCTION("COUNT(ARRAYFORMULA(FILTER(CB$5:CB$229,CC$5:CC$229&lt;1,$C$5:$C$229=$BS255,CB$5:CB$229&lt;$BS$5:$BS$229-$BT$5:$BT$229*$BT$2,$E$5:$E$229)))"),2.0)</f>
        <v>2</v>
      </c>
      <c r="CD255" s="225"/>
      <c r="CE255" s="216"/>
      <c r="CF255" s="225">
        <f>IFERROR(__xludf.DUMMYFUNCTION("COUNT(ARRAYFORMULA(FILTER(CF$5:CF$229,CG$5:CG$229&lt;1,$C$5:$C$229=$BS255,CF$5:CF$229&gt;$BS$5:$BS$229+$BT$5:$BT$229*$BT$2,$E$5:$E$229)))"),2.0)</f>
        <v>2</v>
      </c>
      <c r="CG255" s="225">
        <f>IFERROR(__xludf.DUMMYFUNCTION("COUNT(ARRAYFORMULA(FILTER(CF$5:CF$229,CG$5:CG$229&lt;1,$C$5:$C$229=$BS255,CF$5:CF$229&lt;$BS$5:$BS$229-$BT$5:$BT$229*$BT$2,$E$5:$E$229)))"),0.0)</f>
        <v>0</v>
      </c>
      <c r="CH255" s="225"/>
      <c r="CI255" s="225">
        <f>IFERROR(__xludf.DUMMYFUNCTION("COUNT(ARRAYFORMULA(FILTER(CI$5:CI$229,CJ$5:CJ$229&lt;1,$C$5:$C$229=$BS255,CI$5:CI$229&gt;$BS$5:$BS$229+$BT$5:$BT$229*$BT$2,$E$5:$E$229)))"),0.0)</f>
        <v>0</v>
      </c>
      <c r="CJ255" s="225">
        <f>IFERROR(__xludf.DUMMYFUNCTION("COUNT(ARRAYFORMULA(FILTER(CI$5:CI$229,CJ$5:CJ$229&lt;1,$C$5:$C$229=$BS255,CI$5:CI$229&lt;$BS$5:$BS$229-$BT$5:$BT$229*$BT$2,$E$5:$E$229)))"),0.0)</f>
        <v>0</v>
      </c>
      <c r="CK255" s="225"/>
      <c r="CL255" s="225">
        <f>IFERROR(__xludf.DUMMYFUNCTION("COUNT(ARRAYFORMULA(FILTER(CL$5:CL$229,CM$5:CM$229&lt;1,$C$5:$C$229=$BS255,CL$5:CL$229&gt;$BS$5:$BS$229+$BT$5:$BT$229*$BT$2,$E$5:$E$229)))"),3.0)</f>
        <v>3</v>
      </c>
      <c r="CM255" s="225">
        <f>IFERROR(__xludf.DUMMYFUNCTION("COUNT(ARRAYFORMULA(FILTER(CL$5:CL$229,CM$5:CM$229&lt;1,$C$5:$C$229=$BS255,CL$5:CL$229&lt;$BS$5:$BS$229-$BT$5:$BT$229*$BT$2,$E$5:$E$229)))"),7.0)</f>
        <v>7</v>
      </c>
      <c r="CN255" s="225"/>
      <c r="CO255" s="216"/>
      <c r="CP255" s="225">
        <f>IFERROR(__xludf.DUMMYFUNCTION("COUNT(ARRAYFORMULA(FILTER(CP$5:CP$229,CQ$5:CQ$229&lt;1,$C$5:$C$229=$BS255,CP$5:CP$229&gt;$BS$5:$BS$229+$BT$5:$BT$229*$BT$2,$E$5:$E$229)))"),0.0)</f>
        <v>0</v>
      </c>
      <c r="CQ255" s="225">
        <f>IFERROR(__xludf.DUMMYFUNCTION("COUNT(ARRAYFORMULA(FILTER(CP$5:CP$229,CQ$5:CQ$229&lt;1,$C$5:$C$229=$BS255,CP$5:CP$229&lt;$BS$5:$BS$229-$BT$5:$BT$229*$BT$2,$E$5:$E$229)))"),0.0)</f>
        <v>0</v>
      </c>
      <c r="CR255" s="225"/>
      <c r="CS255" s="225">
        <f>IFERROR(__xludf.DUMMYFUNCTION("COUNT(ARRAYFORMULA(FILTER(CS$5:CS$229,CT$5:CT$229&lt;1,$C$5:$C$229=$BS255,CS$5:CS$229&gt;$BS$5:$BS$229+$BT$5:$BT$229*$BT$2,$E$5:$E$229)))"),0.0)</f>
        <v>0</v>
      </c>
      <c r="CT255" s="225">
        <f>IFERROR(__xludf.DUMMYFUNCTION("COUNT(ARRAYFORMULA(FILTER(CS$5:CS$229,CT$5:CT$229&lt;1,$C$5:$C$229=$BS255,CS$5:CS$229&lt;$BS$5:$BS$229-$BT$5:$BT$229*$BT$2,$E$5:$E$229)))"),0.0)</f>
        <v>0</v>
      </c>
      <c r="CU255" s="225"/>
      <c r="CV255" s="225">
        <f>IFERROR(__xludf.DUMMYFUNCTION("COUNT(ARRAYFORMULA(FILTER(CV$5:CV$229,CW$5:CW$229&lt;1,$C$5:$C$229=$BS255,CV$5:CV$229&gt;$BS$5:$BS$229+$BT$5:$BT$229*$BT$2,$E$5:$E$229)))"),3.0)</f>
        <v>3</v>
      </c>
      <c r="CW255" s="225">
        <f>IFERROR(__xludf.DUMMYFUNCTION("COUNT(ARRAYFORMULA(FILTER(CV$5:CV$229,CW$5:CW$229&lt;1,$C$5:$C$229=$BS255,CV$5:CV$229&lt;$BS$5:$BS$229-$BT$5:$BT$229*$BT$2,$E$5:$E$229)))"),7.0)</f>
        <v>7</v>
      </c>
      <c r="CX255" s="225"/>
      <c r="CY255" s="216"/>
      <c r="CZ255" s="225">
        <f>IFERROR(__xludf.DUMMYFUNCTION("COUNT(ARRAYFORMULA(FILTER(CZ$5:CZ$229,DA$5:DA$229&lt;1,$C$5:$C$229=$BS255,CZ$5:CZ$229&gt;$BS$5:$BS$229+$BT$5:$BT$229*$BT$2,$E$5:$E$229)))"),1.0)</f>
        <v>1</v>
      </c>
      <c r="DA255" s="225">
        <f>IFERROR(__xludf.DUMMYFUNCTION("COUNT(ARRAYFORMULA(FILTER(CZ$5:CZ$229,DA$5:DA$229&lt;1,$C$5:$C$229=$BS255,CZ$5:CZ$229&lt;$BS$5:$BS$229-$BT$5:$BT$229*$BT$2,$E$5:$E$229)))"),0.0)</f>
        <v>0</v>
      </c>
      <c r="DB255" s="225"/>
      <c r="DC255" s="225">
        <f>IFERROR(__xludf.DUMMYFUNCTION("COUNT(ARRAYFORMULA(FILTER(DC$5:DC$229,DD$5:DD$229&lt;1,$C$5:$C$229=$BS255,DC$5:DC$229&gt;$BS$5:$BS$229+$BT$5:$BT$229*$BT$2,$E$5:$E$229)))"),3.0)</f>
        <v>3</v>
      </c>
      <c r="DD255" s="225">
        <f>IFERROR(__xludf.DUMMYFUNCTION("COUNT(ARRAYFORMULA(FILTER(DC$5:DC$229,DD$5:DD$229&lt;1,$C$5:$C$229=$BS255,DC$5:DC$229&lt;$BS$5:$BS$229-$BT$5:$BT$229*$BT$2,$E$5:$E$229)))"),3.0)</f>
        <v>3</v>
      </c>
      <c r="DE255" s="225"/>
      <c r="DF255" s="225">
        <f>IFERROR(__xludf.DUMMYFUNCTION("COUNT(ARRAYFORMULA(FILTER(DF$5:DF$229,DG$5:DG$229&lt;1,$C$5:$C$229=$BS255,DF$5:DF$229&gt;$BS$5:$BS$229+$BT$5:$BT$229*$BT$2,$E$5:$E$229)))"),1.0)</f>
        <v>1</v>
      </c>
      <c r="DG255" s="225">
        <f>IFERROR(__xludf.DUMMYFUNCTION("COUNT(ARRAYFORMULA(FILTER(DF$5:DF$229,DG$5:DG$229&lt;1,$C$5:$C$229=$BS255,DF$5:DF$229&lt;$BS$5:$BS$229-$BT$5:$BT$229*$BT$2,$E$5:$E$229)))"),0.0)</f>
        <v>0</v>
      </c>
      <c r="DH255" s="225"/>
      <c r="DI255" s="225">
        <f>IFERROR(__xludf.DUMMYFUNCTION("COUNT(ARRAYFORMULA(FILTER(DI$5:DI$229,DJ$5:DJ$229&lt;1,$C$5:$C$229=$BS255,DI$5:DI$229&gt;$BS$5:$BS$229+$BT$5:$BT$229*$BT$2,$E$5:$E$229)))"),14.0)</f>
        <v>14</v>
      </c>
      <c r="DJ255" s="225">
        <f>IFERROR(__xludf.DUMMYFUNCTION("COUNT(ARRAYFORMULA(FILTER(DI$5:DI$229,DJ$5:DJ$229&lt;1,$C$5:$C$229=$BS255,DI$5:DI$229&lt;$BS$5:$BS$229-$BT$5:$BT$229*$BT$2,$E$5:$E$229)))"),3.0)</f>
        <v>3</v>
      </c>
      <c r="DK255" s="225"/>
      <c r="DL255" s="225">
        <f>IFERROR(__xludf.DUMMYFUNCTION("COUNT(ARRAYFORMULA(FILTER(DL$5:DL$229,DM$5:DM$229&lt;1,$C$5:$C$229=$BS255,DL$5:DL$229&gt;$BS$5:$BS$229+$BT$5:$BT$229*$BT$2,$E$5:$E$229)))"),1.0)</f>
        <v>1</v>
      </c>
      <c r="DM255" s="225">
        <f>IFERROR(__xludf.DUMMYFUNCTION("COUNT(ARRAYFORMULA(FILTER(DL$5:DL$229,DM$5:DM$229&lt;1,$C$5:$C$229=$BS255,DL$5:DL$229&lt;$BS$5:$BS$229-$BT$5:$BT$229*$BT$2,$E$5:$E$229)))"),0.0)</f>
        <v>0</v>
      </c>
      <c r="DN255" s="225"/>
      <c r="DO255" s="216"/>
      <c r="DP255" s="225">
        <f>IFERROR(__xludf.DUMMYFUNCTION("COUNT(ARRAYFORMULA(FILTER(DP$5:DP$229,DQ$5:DQ$229&lt;1,$C$5:$C$229=$BS255,DP$5:DP$229&gt;$BS$5:$BS$229+$BT$5:$BT$229*$BT$2,$E$5:$E$229)))"),0.0)</f>
        <v>0</v>
      </c>
      <c r="DQ255" s="225">
        <f>IFERROR(__xludf.DUMMYFUNCTION("COUNT(ARRAYFORMULA(FILTER(DP$5:DP$229,DQ$5:DQ$229&lt;1,$C$5:$C$229=$BS255,DP$5:DP$229&lt;$BS$5:$BS$229-$BT$5:$BT$229*$BT$2,$E$5:$E$229)))"),0.0)</f>
        <v>0</v>
      </c>
      <c r="DR255" s="225"/>
      <c r="DS255" s="225">
        <f>IFERROR(__xludf.DUMMYFUNCTION("COUNT(ARRAYFORMULA(FILTER(DS$5:DS$229,DT$5:DT$229&lt;1,$C$5:$C$229=$BS255,DS$5:DS$229&gt;$BS$5:$BS$229+$BT$5:$BT$229*$BT$2,$E$5:$E$229)))"),0.0)</f>
        <v>0</v>
      </c>
      <c r="DT255" s="225">
        <f>IFERROR(__xludf.DUMMYFUNCTION("COUNT(ARRAYFORMULA(FILTER(DS$5:DS$229,DT$5:DT$229&lt;1,$C$5:$C$229=$BS255,DS$5:DS$229&lt;$BS$5:$BS$229-$BT$5:$BT$229*$BT$2,$E$5:$E$229)))"),0.0)</f>
        <v>0</v>
      </c>
      <c r="DU255" s="225"/>
      <c r="DV255" s="225">
        <f>IFERROR(__xludf.DUMMYFUNCTION("COUNT(ARRAYFORMULA(FILTER(DV$5:DV$229,DW$5:DW$229&lt;1,$C$5:$C$229=$BS255,DV$5:DV$229&gt;$BS$5:$BS$229+$BT$5:$BT$229*$BT$2,$E$5:$E$229)))"),4.0)</f>
        <v>4</v>
      </c>
      <c r="DW255" s="225">
        <f>IFERROR(__xludf.DUMMYFUNCTION("COUNT(ARRAYFORMULA(FILTER(DV$5:DV$229,DW$5:DW$229&lt;1,$C$5:$C$229=$BS255,DV$5:DV$229&lt;$BS$5:$BS$229-$BT$5:$BT$229*$BT$2,$E$5:$E$229)))"),4.0)</f>
        <v>4</v>
      </c>
      <c r="DX255" s="225"/>
      <c r="DY255" s="225">
        <f>IFERROR(__xludf.DUMMYFUNCTION("COUNT(ARRAYFORMULA(FILTER(DY$5:DY$229,DZ$5:DZ$229&lt;1,$C$5:$C$229=$BS255,DY$5:DY$229&gt;$BS$5:$BS$229+$BT$5:$BT$229*$BT$2,$E$5:$E$229)))"),3.0)</f>
        <v>3</v>
      </c>
      <c r="DZ255" s="225">
        <f>IFERROR(__xludf.DUMMYFUNCTION("COUNT(ARRAYFORMULA(FILTER(DY$5:DY$229,DZ$5:DZ$229&lt;1,$C$5:$C$229=$BS255,DY$5:DY$229&lt;$BS$5:$BS$229-$BT$5:$BT$229*$BT$2,$E$5:$E$229)))"),1.0)</f>
        <v>1</v>
      </c>
      <c r="EA255" s="225"/>
      <c r="EB255" s="191"/>
    </row>
    <row r="256">
      <c r="A256" s="2"/>
      <c r="B256" s="192"/>
      <c r="C256" s="192"/>
      <c r="D256" s="192"/>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c r="AA256" s="187"/>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c r="BD256" s="187"/>
      <c r="BE256" s="187"/>
      <c r="BF256" s="187"/>
      <c r="BG256" s="187"/>
      <c r="BH256" s="187"/>
      <c r="BI256" s="187"/>
      <c r="BJ256" s="187"/>
      <c r="BK256" s="187"/>
      <c r="BL256" s="187"/>
      <c r="BM256" s="187"/>
      <c r="BN256" s="187"/>
      <c r="BO256" s="187"/>
      <c r="BP256" s="187"/>
      <c r="BQ256" s="187"/>
      <c r="BR256" s="206"/>
      <c r="BS256" s="225" t="s">
        <v>601</v>
      </c>
      <c r="BU256" s="206"/>
      <c r="BV256" s="225">
        <f>IFERROR(__xludf.DUMMYFUNCTION("COUNT(ARRAYFORMULA(FILTER(BV$5:BV$229,BW$5:BW$229&lt;1,$C$5:$C$229=$BS256,BV$5:BV$229&gt;$BS$5:$BS$229+$BT$5:$BT$229*$BT$2,$E$5:$E$229)))"),1.0)</f>
        <v>1</v>
      </c>
      <c r="BW256" s="225">
        <f>IFERROR(__xludf.DUMMYFUNCTION("COUNT(ARRAYFORMULA(FILTER(BV$5:BV$229,BW$5:BW$229&lt;1,$C$5:$C$229=$BS256,BV$5:BV$229&lt;$BS$5:$BS$229-$BT$5:$BT$229*$BT$2,$E$5:$E$229)))"),3.0)</f>
        <v>3</v>
      </c>
      <c r="BX256" s="225"/>
      <c r="BY256" s="225">
        <f>IFERROR(__xludf.DUMMYFUNCTION("COUNT(ARRAYFORMULA(FILTER(BY$5:BY$229,BZ$5:BZ$229&lt;1,$C$5:$C$229=$BS256,BY$5:BY$229&gt;$BS$5:$BS$229+$BT$5:$BT$229*$BT$2,$E$5:$E$229)))"),0.0)</f>
        <v>0</v>
      </c>
      <c r="BZ256" s="225">
        <f>IFERROR(__xludf.DUMMYFUNCTION("COUNT(ARRAYFORMULA(FILTER(BY$5:BY$229,BZ$5:BZ$229&lt;1,$C$5:$C$229=$BS256,BY$5:BY$229&lt;$BS$5:$BS$229-$BT$5:$BT$229*$BT$2,$E$5:$E$229)))"),0.0)</f>
        <v>0</v>
      </c>
      <c r="CA256" s="225"/>
      <c r="CB256" s="225">
        <f>IFERROR(__xludf.DUMMYFUNCTION("COUNT(ARRAYFORMULA(FILTER(CB$5:CB$229,CC$5:CC$229&lt;1,$C$5:$C$229=$BS256,CB$5:CB$229&gt;$BS$5:$BS$229+$BT$5:$BT$229*$BT$2,$E$5:$E$229)))"),0.0)</f>
        <v>0</v>
      </c>
      <c r="CC256" s="225">
        <f>IFERROR(__xludf.DUMMYFUNCTION("COUNT(ARRAYFORMULA(FILTER(CB$5:CB$229,CC$5:CC$229&lt;1,$C$5:$C$229=$BS256,CB$5:CB$229&lt;$BS$5:$BS$229-$BT$5:$BT$229*$BT$2,$E$5:$E$229)))"),5.0)</f>
        <v>5</v>
      </c>
      <c r="CD256" s="225"/>
      <c r="CE256" s="216"/>
      <c r="CF256" s="225">
        <f>IFERROR(__xludf.DUMMYFUNCTION("COUNT(ARRAYFORMULA(FILTER(CF$5:CF$229,CG$5:CG$229&lt;1,$C$5:$C$229=$BS256,CF$5:CF$229&gt;$BS$5:$BS$229+$BT$5:$BT$229*$BT$2,$E$5:$E$229)))"),0.0)</f>
        <v>0</v>
      </c>
      <c r="CG256" s="225">
        <f>IFERROR(__xludf.DUMMYFUNCTION("COUNT(ARRAYFORMULA(FILTER(CF$5:CF$229,CG$5:CG$229&lt;1,$C$5:$C$229=$BS256,CF$5:CF$229&lt;$BS$5:$BS$229-$BT$5:$BT$229*$BT$2,$E$5:$E$229)))"),0.0)</f>
        <v>0</v>
      </c>
      <c r="CH256" s="225"/>
      <c r="CI256" s="225">
        <f>IFERROR(__xludf.DUMMYFUNCTION("COUNT(ARRAYFORMULA(FILTER(CI$5:CI$229,CJ$5:CJ$229&lt;1,$C$5:$C$229=$BS256,CI$5:CI$229&gt;$BS$5:$BS$229+$BT$5:$BT$229*$BT$2,$E$5:$E$229)))"),0.0)</f>
        <v>0</v>
      </c>
      <c r="CJ256" s="225">
        <f>IFERROR(__xludf.DUMMYFUNCTION("COUNT(ARRAYFORMULA(FILTER(CI$5:CI$229,CJ$5:CJ$229&lt;1,$C$5:$C$229=$BS256,CI$5:CI$229&lt;$BS$5:$BS$229-$BT$5:$BT$229*$BT$2,$E$5:$E$229)))"),0.0)</f>
        <v>0</v>
      </c>
      <c r="CK256" s="225"/>
      <c r="CL256" s="225">
        <f>IFERROR(__xludf.DUMMYFUNCTION("COUNT(ARRAYFORMULA(FILTER(CL$5:CL$229,CM$5:CM$229&lt;1,$C$5:$C$229=$BS256,CL$5:CL$229&gt;$BS$5:$BS$229+$BT$5:$BT$229*$BT$2,$E$5:$E$229)))"),1.0)</f>
        <v>1</v>
      </c>
      <c r="CM256" s="225">
        <f>IFERROR(__xludf.DUMMYFUNCTION("COUNT(ARRAYFORMULA(FILTER(CL$5:CL$229,CM$5:CM$229&lt;1,$C$5:$C$229=$BS256,CL$5:CL$229&lt;$BS$5:$BS$229-$BT$5:$BT$229*$BT$2,$E$5:$E$229)))"),8.0)</f>
        <v>8</v>
      </c>
      <c r="CN256" s="225"/>
      <c r="CO256" s="216"/>
      <c r="CP256" s="225">
        <f>IFERROR(__xludf.DUMMYFUNCTION("COUNT(ARRAYFORMULA(FILTER(CP$5:CP$229,CQ$5:CQ$229&lt;1,$C$5:$C$229=$BS256,CP$5:CP$229&gt;$BS$5:$BS$229+$BT$5:$BT$229*$BT$2,$E$5:$E$229)))"),0.0)</f>
        <v>0</v>
      </c>
      <c r="CQ256" s="225">
        <f>IFERROR(__xludf.DUMMYFUNCTION("COUNT(ARRAYFORMULA(FILTER(CP$5:CP$229,CQ$5:CQ$229&lt;1,$C$5:$C$229=$BS256,CP$5:CP$229&lt;$BS$5:$BS$229-$BT$5:$BT$229*$BT$2,$E$5:$E$229)))"),0.0)</f>
        <v>0</v>
      </c>
      <c r="CR256" s="225"/>
      <c r="CS256" s="225">
        <f>IFERROR(__xludf.DUMMYFUNCTION("COUNT(ARRAYFORMULA(FILTER(CS$5:CS$229,CT$5:CT$229&lt;1,$C$5:$C$229=$BS256,CS$5:CS$229&gt;$BS$5:$BS$229+$BT$5:$BT$229*$BT$2,$E$5:$E$229)))"),0.0)</f>
        <v>0</v>
      </c>
      <c r="CT256" s="225">
        <f>IFERROR(__xludf.DUMMYFUNCTION("COUNT(ARRAYFORMULA(FILTER(CS$5:CS$229,CT$5:CT$229&lt;1,$C$5:$C$229=$BS256,CS$5:CS$229&lt;$BS$5:$BS$229-$BT$5:$BT$229*$BT$2,$E$5:$E$229)))"),0.0)</f>
        <v>0</v>
      </c>
      <c r="CU256" s="225"/>
      <c r="CV256" s="225">
        <f>IFERROR(__xludf.DUMMYFUNCTION("COUNT(ARRAYFORMULA(FILTER(CV$5:CV$229,CW$5:CW$229&lt;1,$C$5:$C$229=$BS256,CV$5:CV$229&gt;$BS$5:$BS$229+$BT$5:$BT$229*$BT$2,$E$5:$E$229)))"),1.0)</f>
        <v>1</v>
      </c>
      <c r="CW256" s="225">
        <f>IFERROR(__xludf.DUMMYFUNCTION("COUNT(ARRAYFORMULA(FILTER(CV$5:CV$229,CW$5:CW$229&lt;1,$C$5:$C$229=$BS256,CV$5:CV$229&lt;$BS$5:$BS$229-$BT$5:$BT$229*$BT$2,$E$5:$E$229)))"),8.0)</f>
        <v>8</v>
      </c>
      <c r="CX256" s="225"/>
      <c r="CY256" s="216"/>
      <c r="CZ256" s="225">
        <f>IFERROR(__xludf.DUMMYFUNCTION("COUNT(ARRAYFORMULA(FILTER(CZ$5:CZ$229,DA$5:DA$229&lt;1,$C$5:$C$229=$BS256,CZ$5:CZ$229&gt;$BS$5:$BS$229+$BT$5:$BT$229*$BT$2,$E$5:$E$229)))"),0.0)</f>
        <v>0</v>
      </c>
      <c r="DA256" s="225">
        <f>IFERROR(__xludf.DUMMYFUNCTION("COUNT(ARRAYFORMULA(FILTER(CZ$5:CZ$229,DA$5:DA$229&lt;1,$C$5:$C$229=$BS256,CZ$5:CZ$229&lt;$BS$5:$BS$229-$BT$5:$BT$229*$BT$2,$E$5:$E$229)))"),0.0)</f>
        <v>0</v>
      </c>
      <c r="DB256" s="225"/>
      <c r="DC256" s="225">
        <f>IFERROR(__xludf.DUMMYFUNCTION("COUNT(ARRAYFORMULA(FILTER(DC$5:DC$229,DD$5:DD$229&lt;1,$C$5:$C$229=$BS256,DC$5:DC$229&gt;$BS$5:$BS$229+$BT$5:$BT$229*$BT$2,$E$5:$E$229)))"),1.0)</f>
        <v>1</v>
      </c>
      <c r="DD256" s="225">
        <f>IFERROR(__xludf.DUMMYFUNCTION("COUNT(ARRAYFORMULA(FILTER(DC$5:DC$229,DD$5:DD$229&lt;1,$C$5:$C$229=$BS256,DC$5:DC$229&lt;$BS$5:$BS$229-$BT$5:$BT$229*$BT$2,$E$5:$E$229)))"),6.0)</f>
        <v>6</v>
      </c>
      <c r="DE256" s="225"/>
      <c r="DF256" s="225">
        <f>IFERROR(__xludf.DUMMYFUNCTION("COUNT(ARRAYFORMULA(FILTER(DF$5:DF$229,DG$5:DG$229&lt;1,$C$5:$C$229=$BS256,DF$5:DF$229&gt;$BS$5:$BS$229+$BT$5:$BT$229*$BT$2,$E$5:$E$229)))"),0.0)</f>
        <v>0</v>
      </c>
      <c r="DG256" s="225">
        <f>IFERROR(__xludf.DUMMYFUNCTION("COUNT(ARRAYFORMULA(FILTER(DF$5:DF$229,DG$5:DG$229&lt;1,$C$5:$C$229=$BS256,DF$5:DF$229&lt;$BS$5:$BS$229-$BT$5:$BT$229*$BT$2,$E$5:$E$229)))"),0.0)</f>
        <v>0</v>
      </c>
      <c r="DH256" s="225"/>
      <c r="DI256" s="225">
        <f>IFERROR(__xludf.DUMMYFUNCTION("COUNT(ARRAYFORMULA(FILTER(DI$5:DI$229,DJ$5:DJ$229&lt;1,$C$5:$C$229=$BS256,DI$5:DI$229&gt;$BS$5:$BS$229+$BT$5:$BT$229*$BT$2,$E$5:$E$229)))"),6.0)</f>
        <v>6</v>
      </c>
      <c r="DJ256" s="225">
        <f>IFERROR(__xludf.DUMMYFUNCTION("COUNT(ARRAYFORMULA(FILTER(DI$5:DI$229,DJ$5:DJ$229&lt;1,$C$5:$C$229=$BS256,DI$5:DI$229&lt;$BS$5:$BS$229-$BT$5:$BT$229*$BT$2,$E$5:$E$229)))"),5.0)</f>
        <v>5</v>
      </c>
      <c r="DK256" s="225"/>
      <c r="DL256" s="225">
        <f>IFERROR(__xludf.DUMMYFUNCTION("COUNT(ARRAYFORMULA(FILTER(DL$5:DL$229,DM$5:DM$229&lt;1,$C$5:$C$229=$BS256,DL$5:DL$229&gt;$BS$5:$BS$229+$BT$5:$BT$229*$BT$2,$E$5:$E$229)))"),0.0)</f>
        <v>0</v>
      </c>
      <c r="DM256" s="225">
        <f>IFERROR(__xludf.DUMMYFUNCTION("COUNT(ARRAYFORMULA(FILTER(DL$5:DL$229,DM$5:DM$229&lt;1,$C$5:$C$229=$BS256,DL$5:DL$229&lt;$BS$5:$BS$229-$BT$5:$BT$229*$BT$2,$E$5:$E$229)))"),0.0)</f>
        <v>0</v>
      </c>
      <c r="DN256" s="225"/>
      <c r="DO256" s="216"/>
      <c r="DP256" s="225">
        <f>IFERROR(__xludf.DUMMYFUNCTION("COUNT(ARRAYFORMULA(FILTER(DP$5:DP$229,DQ$5:DQ$229&lt;1,$C$5:$C$229=$BS256,DP$5:DP$229&gt;$BS$5:$BS$229+$BT$5:$BT$229*$BT$2,$E$5:$E$229)))"),0.0)</f>
        <v>0</v>
      </c>
      <c r="DQ256" s="225">
        <f>IFERROR(__xludf.DUMMYFUNCTION("COUNT(ARRAYFORMULA(FILTER(DP$5:DP$229,DQ$5:DQ$229&lt;1,$C$5:$C$229=$BS256,DP$5:DP$229&lt;$BS$5:$BS$229-$BT$5:$BT$229*$BT$2,$E$5:$E$229)))"),0.0)</f>
        <v>0</v>
      </c>
      <c r="DR256" s="225"/>
      <c r="DS256" s="225">
        <f>IFERROR(__xludf.DUMMYFUNCTION("COUNT(ARRAYFORMULA(FILTER(DS$5:DS$229,DT$5:DT$229&lt;1,$C$5:$C$229=$BS256,DS$5:DS$229&gt;$BS$5:$BS$229+$BT$5:$BT$229*$BT$2,$E$5:$E$229)))"),0.0)</f>
        <v>0</v>
      </c>
      <c r="DT256" s="225">
        <f>IFERROR(__xludf.DUMMYFUNCTION("COUNT(ARRAYFORMULA(FILTER(DS$5:DS$229,DT$5:DT$229&lt;1,$C$5:$C$229=$BS256,DS$5:DS$229&lt;$BS$5:$BS$229-$BT$5:$BT$229*$BT$2,$E$5:$E$229)))"),4.0)</f>
        <v>4</v>
      </c>
      <c r="DU256" s="225"/>
      <c r="DV256" s="225">
        <f>IFERROR(__xludf.DUMMYFUNCTION("COUNT(ARRAYFORMULA(FILTER(DV$5:DV$229,DW$5:DW$229&lt;1,$C$5:$C$229=$BS256,DV$5:DV$229&gt;$BS$5:$BS$229+$BT$5:$BT$229*$BT$2,$E$5:$E$229)))"),1.0)</f>
        <v>1</v>
      </c>
      <c r="DW256" s="225">
        <f>IFERROR(__xludf.DUMMYFUNCTION("COUNT(ARRAYFORMULA(FILTER(DV$5:DV$229,DW$5:DW$229&lt;1,$C$5:$C$229=$BS256,DV$5:DV$229&lt;$BS$5:$BS$229-$BT$5:$BT$229*$BT$2,$E$5:$E$229)))"),0.0)</f>
        <v>0</v>
      </c>
      <c r="DX256" s="225"/>
      <c r="DY256" s="225">
        <f>IFERROR(__xludf.DUMMYFUNCTION("COUNT(ARRAYFORMULA(FILTER(DY$5:DY$229,DZ$5:DZ$229&lt;1,$C$5:$C$229=$BS256,DY$5:DY$229&gt;$BS$5:$BS$229+$BT$5:$BT$229*$BT$2,$E$5:$E$229)))"),1.0)</f>
        <v>1</v>
      </c>
      <c r="DZ256" s="225">
        <f>IFERROR(__xludf.DUMMYFUNCTION("COUNT(ARRAYFORMULA(FILTER(DY$5:DY$229,DZ$5:DZ$229&lt;1,$C$5:$C$229=$BS256,DY$5:DY$229&lt;$BS$5:$BS$229-$BT$5:$BT$229*$BT$2,$E$5:$E$229)))"),0.0)</f>
        <v>0</v>
      </c>
      <c r="EA256" s="225"/>
      <c r="EB256" s="191"/>
    </row>
    <row r="257">
      <c r="A257" s="2"/>
      <c r="B257" s="192"/>
      <c r="C257" s="192"/>
      <c r="D257" s="192"/>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c r="AA257" s="187"/>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87"/>
      <c r="AY257" s="187"/>
      <c r="AZ257" s="187"/>
      <c r="BA257" s="187"/>
      <c r="BB257" s="187"/>
      <c r="BC257" s="187"/>
      <c r="BD257" s="187"/>
      <c r="BE257" s="187"/>
      <c r="BF257" s="187"/>
      <c r="BG257" s="187"/>
      <c r="BH257" s="187"/>
      <c r="BI257" s="187"/>
      <c r="BJ257" s="187"/>
      <c r="BK257" s="187"/>
      <c r="BL257" s="187"/>
      <c r="BM257" s="187"/>
      <c r="BN257" s="187"/>
      <c r="BO257" s="187"/>
      <c r="BP257" s="187"/>
      <c r="BQ257" s="187"/>
      <c r="BR257" s="206"/>
      <c r="BS257" s="225" t="s">
        <v>630</v>
      </c>
      <c r="BU257" s="206"/>
      <c r="BV257" s="225">
        <f>IFERROR(__xludf.DUMMYFUNCTION("COUNT(ARRAYFORMULA(FILTER(BV$5:BV$229,BW$5:BW$229&lt;1,$C$5:$C$229=$BS257,BV$5:BV$229&gt;$BS$5:$BS$229+$BT$5:$BT$229*$BT$2,$E$5:$E$229)))"),0.0)</f>
        <v>0</v>
      </c>
      <c r="BW257" s="225">
        <f>IFERROR(__xludf.DUMMYFUNCTION("COUNT(ARRAYFORMULA(FILTER(BV$5:BV$229,BW$5:BW$229&lt;1,$C$5:$C$229=$BS257,BV$5:BV$229&lt;$BS$5:$BS$229-$BT$5:$BT$229*$BT$2,$E$5:$E$229)))"),1.0)</f>
        <v>1</v>
      </c>
      <c r="BX257" s="225"/>
      <c r="BY257" s="225">
        <f>IFERROR(__xludf.DUMMYFUNCTION("COUNT(ARRAYFORMULA(FILTER(BY$5:BY$229,BZ$5:BZ$229&lt;1,$C$5:$C$229=$BS257,BY$5:BY$229&gt;$BS$5:$BS$229+$BT$5:$BT$229*$BT$2,$E$5:$E$229)))"),0.0)</f>
        <v>0</v>
      </c>
      <c r="BZ257" s="225">
        <f>IFERROR(__xludf.DUMMYFUNCTION("COUNT(ARRAYFORMULA(FILTER(BY$5:BY$229,BZ$5:BZ$229&lt;1,$C$5:$C$229=$BS257,BY$5:BY$229&lt;$BS$5:$BS$229-$BT$5:$BT$229*$BT$2,$E$5:$E$229)))"),0.0)</f>
        <v>0</v>
      </c>
      <c r="CA257" s="225"/>
      <c r="CB257" s="225">
        <f>IFERROR(__xludf.DUMMYFUNCTION("COUNT(ARRAYFORMULA(FILTER(CB$5:CB$229,CC$5:CC$229&lt;1,$C$5:$C$229=$BS257,CB$5:CB$229&gt;$BS$5:$BS$229+$BT$5:$BT$229*$BT$2,$E$5:$E$229)))"),1.0)</f>
        <v>1</v>
      </c>
      <c r="CC257" s="225">
        <f>IFERROR(__xludf.DUMMYFUNCTION("COUNT(ARRAYFORMULA(FILTER(CB$5:CB$229,CC$5:CC$229&lt;1,$C$5:$C$229=$BS257,CB$5:CB$229&lt;$BS$5:$BS$229-$BT$5:$BT$229*$BT$2,$E$5:$E$229)))"),0.0)</f>
        <v>0</v>
      </c>
      <c r="CD257" s="225"/>
      <c r="CE257" s="216"/>
      <c r="CF257" s="225">
        <f>IFERROR(__xludf.DUMMYFUNCTION("COUNT(ARRAYFORMULA(FILTER(CF$5:CF$229,CG$5:CG$229&lt;1,$C$5:$C$229=$BS257,CF$5:CF$229&gt;$BS$5:$BS$229+$BT$5:$BT$229*$BT$2,$E$5:$E$229)))"),0.0)</f>
        <v>0</v>
      </c>
      <c r="CG257" s="225">
        <f>IFERROR(__xludf.DUMMYFUNCTION("COUNT(ARRAYFORMULA(FILTER(CF$5:CF$229,CG$5:CG$229&lt;1,$C$5:$C$229=$BS257,CF$5:CF$229&lt;$BS$5:$BS$229-$BT$5:$BT$229*$BT$2,$E$5:$E$229)))"),0.0)</f>
        <v>0</v>
      </c>
      <c r="CH257" s="225"/>
      <c r="CI257" s="225">
        <f>IFERROR(__xludf.DUMMYFUNCTION("COUNT(ARRAYFORMULA(FILTER(CI$5:CI$229,CJ$5:CJ$229&lt;1,$C$5:$C$229=$BS257,CI$5:CI$229&gt;$BS$5:$BS$229+$BT$5:$BT$229*$BT$2,$E$5:$E$229)))"),0.0)</f>
        <v>0</v>
      </c>
      <c r="CJ257" s="225">
        <f>IFERROR(__xludf.DUMMYFUNCTION("COUNT(ARRAYFORMULA(FILTER(CI$5:CI$229,CJ$5:CJ$229&lt;1,$C$5:$C$229=$BS257,CI$5:CI$229&lt;$BS$5:$BS$229-$BT$5:$BT$229*$BT$2,$E$5:$E$229)))"),0.0)</f>
        <v>0</v>
      </c>
      <c r="CK257" s="225"/>
      <c r="CL257" s="225">
        <f>IFERROR(__xludf.DUMMYFUNCTION("COUNT(ARRAYFORMULA(FILTER(CL$5:CL$229,CM$5:CM$229&lt;1,$C$5:$C$229=$BS257,CL$5:CL$229&gt;$BS$5:$BS$229+$BT$5:$BT$229*$BT$2,$E$5:$E$229)))"),0.0)</f>
        <v>0</v>
      </c>
      <c r="CM257" s="225">
        <f>IFERROR(__xludf.DUMMYFUNCTION("COUNT(ARRAYFORMULA(FILTER(CL$5:CL$229,CM$5:CM$229&lt;1,$C$5:$C$229=$BS257,CL$5:CL$229&lt;$BS$5:$BS$229-$BT$5:$BT$229*$BT$2,$E$5:$E$229)))"),0.0)</f>
        <v>0</v>
      </c>
      <c r="CN257" s="225"/>
      <c r="CO257" s="216"/>
      <c r="CP257" s="225">
        <f>IFERROR(__xludf.DUMMYFUNCTION("COUNT(ARRAYFORMULA(FILTER(CP$5:CP$229,CQ$5:CQ$229&lt;1,$C$5:$C$229=$BS257,CP$5:CP$229&gt;$BS$5:$BS$229+$BT$5:$BT$229*$BT$2,$E$5:$E$229)))"),0.0)</f>
        <v>0</v>
      </c>
      <c r="CQ257" s="225">
        <f>IFERROR(__xludf.DUMMYFUNCTION("COUNT(ARRAYFORMULA(FILTER(CP$5:CP$229,CQ$5:CQ$229&lt;1,$C$5:$C$229=$BS257,CP$5:CP$229&lt;$BS$5:$BS$229-$BT$5:$BT$229*$BT$2,$E$5:$E$229)))"),0.0)</f>
        <v>0</v>
      </c>
      <c r="CR257" s="225"/>
      <c r="CS257" s="225">
        <f>IFERROR(__xludf.DUMMYFUNCTION("COUNT(ARRAYFORMULA(FILTER(CS$5:CS$229,CT$5:CT$229&lt;1,$C$5:$C$229=$BS257,CS$5:CS$229&gt;$BS$5:$BS$229+$BT$5:$BT$229*$BT$2,$E$5:$E$229)))"),0.0)</f>
        <v>0</v>
      </c>
      <c r="CT257" s="225">
        <f>IFERROR(__xludf.DUMMYFUNCTION("COUNT(ARRAYFORMULA(FILTER(CS$5:CS$229,CT$5:CT$229&lt;1,$C$5:$C$229=$BS257,CS$5:CS$229&lt;$BS$5:$BS$229-$BT$5:$BT$229*$BT$2,$E$5:$E$229)))"),0.0)</f>
        <v>0</v>
      </c>
      <c r="CU257" s="225"/>
      <c r="CV257" s="225">
        <f>IFERROR(__xludf.DUMMYFUNCTION("COUNT(ARRAYFORMULA(FILTER(CV$5:CV$229,CW$5:CW$229&lt;1,$C$5:$C$229=$BS257,CV$5:CV$229&gt;$BS$5:$BS$229+$BT$5:$BT$229*$BT$2,$E$5:$E$229)))"),0.0)</f>
        <v>0</v>
      </c>
      <c r="CW257" s="225">
        <f>IFERROR(__xludf.DUMMYFUNCTION("COUNT(ARRAYFORMULA(FILTER(CV$5:CV$229,CW$5:CW$229&lt;1,$C$5:$C$229=$BS257,CV$5:CV$229&lt;$BS$5:$BS$229-$BT$5:$BT$229*$BT$2,$E$5:$E$229)))"),0.0)</f>
        <v>0</v>
      </c>
      <c r="CX257" s="225"/>
      <c r="CY257" s="216"/>
      <c r="CZ257" s="225">
        <f>IFERROR(__xludf.DUMMYFUNCTION("COUNT(ARRAYFORMULA(FILTER(CZ$5:CZ$229,DA$5:DA$229&lt;1,$C$5:$C$229=$BS257,CZ$5:CZ$229&gt;$BS$5:$BS$229+$BT$5:$BT$229*$BT$2,$E$5:$E$229)))"),0.0)</f>
        <v>0</v>
      </c>
      <c r="DA257" s="225">
        <f>IFERROR(__xludf.DUMMYFUNCTION("COUNT(ARRAYFORMULA(FILTER(CZ$5:CZ$229,DA$5:DA$229&lt;1,$C$5:$C$229=$BS257,CZ$5:CZ$229&lt;$BS$5:$BS$229-$BT$5:$BT$229*$BT$2,$E$5:$E$229)))"),0.0)</f>
        <v>0</v>
      </c>
      <c r="DB257" s="225"/>
      <c r="DC257" s="225">
        <f>IFERROR(__xludf.DUMMYFUNCTION("COUNT(ARRAYFORMULA(FILTER(DC$5:DC$229,DD$5:DD$229&lt;1,$C$5:$C$229=$BS257,DC$5:DC$229&gt;$BS$5:$BS$229+$BT$5:$BT$229*$BT$2,$E$5:$E$229)))"),1.0)</f>
        <v>1</v>
      </c>
      <c r="DD257" s="225">
        <f>IFERROR(__xludf.DUMMYFUNCTION("COUNT(ARRAYFORMULA(FILTER(DC$5:DC$229,DD$5:DD$229&lt;1,$C$5:$C$229=$BS257,DC$5:DC$229&lt;$BS$5:$BS$229-$BT$5:$BT$229*$BT$2,$E$5:$E$229)))"),0.0)</f>
        <v>0</v>
      </c>
      <c r="DE257" s="225"/>
      <c r="DF257" s="225">
        <f>IFERROR(__xludf.DUMMYFUNCTION("COUNT(ARRAYFORMULA(FILTER(DF$5:DF$229,DG$5:DG$229&lt;1,$C$5:$C$229=$BS257,DF$5:DF$229&gt;$BS$5:$BS$229+$BT$5:$BT$229*$BT$2,$E$5:$E$229)))"),0.0)</f>
        <v>0</v>
      </c>
      <c r="DG257" s="225">
        <f>IFERROR(__xludf.DUMMYFUNCTION("COUNT(ARRAYFORMULA(FILTER(DF$5:DF$229,DG$5:DG$229&lt;1,$C$5:$C$229=$BS257,DF$5:DF$229&lt;$BS$5:$BS$229-$BT$5:$BT$229*$BT$2,$E$5:$E$229)))"),0.0)</f>
        <v>0</v>
      </c>
      <c r="DH257" s="225"/>
      <c r="DI257" s="225">
        <f>IFERROR(__xludf.DUMMYFUNCTION("COUNT(ARRAYFORMULA(FILTER(DI$5:DI$229,DJ$5:DJ$229&lt;1,$C$5:$C$229=$BS257,DI$5:DI$229&gt;$BS$5:$BS$229+$BT$5:$BT$229*$BT$2,$E$5:$E$229)))"),1.0)</f>
        <v>1</v>
      </c>
      <c r="DJ257" s="225">
        <f>IFERROR(__xludf.DUMMYFUNCTION("COUNT(ARRAYFORMULA(FILTER(DI$5:DI$229,DJ$5:DJ$229&lt;1,$C$5:$C$229=$BS257,DI$5:DI$229&lt;$BS$5:$BS$229-$BT$5:$BT$229*$BT$2,$E$5:$E$229)))"),1.0)</f>
        <v>1</v>
      </c>
      <c r="DK257" s="225"/>
      <c r="DL257" s="225">
        <f>IFERROR(__xludf.DUMMYFUNCTION("COUNT(ARRAYFORMULA(FILTER(DL$5:DL$229,DM$5:DM$229&lt;1,$C$5:$C$229=$BS257,DL$5:DL$229&gt;$BS$5:$BS$229+$BT$5:$BT$229*$BT$2,$E$5:$E$229)))"),1.0)</f>
        <v>1</v>
      </c>
      <c r="DM257" s="225">
        <f>IFERROR(__xludf.DUMMYFUNCTION("COUNT(ARRAYFORMULA(FILTER(DL$5:DL$229,DM$5:DM$229&lt;1,$C$5:$C$229=$BS257,DL$5:DL$229&lt;$BS$5:$BS$229-$BT$5:$BT$229*$BT$2,$E$5:$E$229)))"),0.0)</f>
        <v>0</v>
      </c>
      <c r="DN257" s="225"/>
      <c r="DO257" s="216"/>
      <c r="DP257" s="225">
        <f>IFERROR(__xludf.DUMMYFUNCTION("COUNT(ARRAYFORMULA(FILTER(DP$5:DP$229,DQ$5:DQ$229&lt;1,$C$5:$C$229=$BS257,DP$5:DP$229&gt;$BS$5:$BS$229+$BT$5:$BT$229*$BT$2,$E$5:$E$229)))"),0.0)</f>
        <v>0</v>
      </c>
      <c r="DQ257" s="225">
        <f>IFERROR(__xludf.DUMMYFUNCTION("COUNT(ARRAYFORMULA(FILTER(DP$5:DP$229,DQ$5:DQ$229&lt;1,$C$5:$C$229=$BS257,DP$5:DP$229&lt;$BS$5:$BS$229-$BT$5:$BT$229*$BT$2,$E$5:$E$229)))"),0.0)</f>
        <v>0</v>
      </c>
      <c r="DR257" s="225"/>
      <c r="DS257" s="225">
        <f>IFERROR(__xludf.DUMMYFUNCTION("COUNT(ARRAYFORMULA(FILTER(DS$5:DS$229,DT$5:DT$229&lt;1,$C$5:$C$229=$BS257,DS$5:DS$229&gt;$BS$5:$BS$229+$BT$5:$BT$229*$BT$2,$E$5:$E$229)))"),1.0)</f>
        <v>1</v>
      </c>
      <c r="DT257" s="225">
        <f>IFERROR(__xludf.DUMMYFUNCTION("COUNT(ARRAYFORMULA(FILTER(DS$5:DS$229,DT$5:DT$229&lt;1,$C$5:$C$229=$BS257,DS$5:DS$229&lt;$BS$5:$BS$229-$BT$5:$BT$229*$BT$2,$E$5:$E$229)))"),0.0)</f>
        <v>0</v>
      </c>
      <c r="DU257" s="225"/>
      <c r="DV257" s="225">
        <f>IFERROR(__xludf.DUMMYFUNCTION("COUNT(ARRAYFORMULA(FILTER(DV$5:DV$229,DW$5:DW$229&lt;1,$C$5:$C$229=$BS257,DV$5:DV$229&gt;$BS$5:$BS$229+$BT$5:$BT$229*$BT$2,$E$5:$E$229)))"),2.0)</f>
        <v>2</v>
      </c>
      <c r="DW257" s="225">
        <f>IFERROR(__xludf.DUMMYFUNCTION("COUNT(ARRAYFORMULA(FILTER(DV$5:DV$229,DW$5:DW$229&lt;1,$C$5:$C$229=$BS257,DV$5:DV$229&lt;$BS$5:$BS$229-$BT$5:$BT$229*$BT$2,$E$5:$E$229)))"),0.0)</f>
        <v>0</v>
      </c>
      <c r="DX257" s="225"/>
      <c r="DY257" s="225">
        <f>IFERROR(__xludf.DUMMYFUNCTION("COUNT(ARRAYFORMULA(FILTER(DY$5:DY$229,DZ$5:DZ$229&lt;1,$C$5:$C$229=$BS257,DY$5:DY$229&gt;$BS$5:$BS$229+$BT$5:$BT$229*$BT$2,$E$5:$E$229)))"),0.0)</f>
        <v>0</v>
      </c>
      <c r="DZ257" s="225">
        <f>IFERROR(__xludf.DUMMYFUNCTION("COUNT(ARRAYFORMULA(FILTER(DY$5:DY$229,DZ$5:DZ$229&lt;1,$C$5:$C$229=$BS257,DY$5:DY$229&lt;$BS$5:$BS$229-$BT$5:$BT$229*$BT$2,$E$5:$E$229)))"),0.0)</f>
        <v>0</v>
      </c>
      <c r="EA257" s="225"/>
      <c r="EB257" s="191"/>
    </row>
    <row r="258">
      <c r="A258" s="2"/>
      <c r="B258" s="192"/>
      <c r="C258" s="192"/>
      <c r="D258" s="192"/>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c r="AA258" s="187"/>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87"/>
      <c r="AY258" s="187"/>
      <c r="AZ258" s="187"/>
      <c r="BA258" s="187"/>
      <c r="BB258" s="187"/>
      <c r="BC258" s="187"/>
      <c r="BD258" s="187"/>
      <c r="BE258" s="187"/>
      <c r="BF258" s="187"/>
      <c r="BG258" s="187"/>
      <c r="BH258" s="187"/>
      <c r="BI258" s="187"/>
      <c r="BJ258" s="187"/>
      <c r="BK258" s="187"/>
      <c r="BL258" s="187"/>
      <c r="BM258" s="187"/>
      <c r="BN258" s="187"/>
      <c r="BO258" s="187"/>
      <c r="BP258" s="187"/>
      <c r="BQ258" s="187"/>
      <c r="BR258" s="206"/>
      <c r="BS258" s="225" t="s">
        <v>646</v>
      </c>
      <c r="BU258" s="206"/>
      <c r="BV258" s="225">
        <f>IFERROR(__xludf.DUMMYFUNCTION("COUNT(ARRAYFORMULA(FILTER(BV$5:BV$229,BW$5:BW$229&lt;1,$C$5:$C$229=$BS258,BV$5:BV$229&gt;$BS$5:$BS$229+$BT$5:$BT$229*$BT$2,$E$5:$E$229)))"),1.0)</f>
        <v>1</v>
      </c>
      <c r="BW258" s="225">
        <f>IFERROR(__xludf.DUMMYFUNCTION("COUNT(ARRAYFORMULA(FILTER(BV$5:BV$229,BW$5:BW$229&lt;1,$C$5:$C$229=$BS258,BV$5:BV$229&lt;$BS$5:$BS$229-$BT$5:$BT$229*$BT$2,$E$5:$E$229)))"),4.0)</f>
        <v>4</v>
      </c>
      <c r="BX258" s="225"/>
      <c r="BY258" s="225">
        <f>IFERROR(__xludf.DUMMYFUNCTION("COUNT(ARRAYFORMULA(FILTER(BY$5:BY$229,BZ$5:BZ$229&lt;1,$C$5:$C$229=$BS258,BY$5:BY$229&gt;$BS$5:$BS$229+$BT$5:$BT$229*$BT$2,$E$5:$E$229)))"),0.0)</f>
        <v>0</v>
      </c>
      <c r="BZ258" s="225">
        <f>IFERROR(__xludf.DUMMYFUNCTION("COUNT(ARRAYFORMULA(FILTER(BY$5:BY$229,BZ$5:BZ$229&lt;1,$C$5:$C$229=$BS258,BY$5:BY$229&lt;$BS$5:$BS$229-$BT$5:$BT$229*$BT$2,$E$5:$E$229)))"),0.0)</f>
        <v>0</v>
      </c>
      <c r="CA258" s="225"/>
      <c r="CB258" s="225">
        <f>IFERROR(__xludf.DUMMYFUNCTION("COUNT(ARRAYFORMULA(FILTER(CB$5:CB$229,CC$5:CC$229&lt;1,$C$5:$C$229=$BS258,CB$5:CB$229&gt;$BS$5:$BS$229+$BT$5:$BT$229*$BT$2,$E$5:$E$229)))"),0.0)</f>
        <v>0</v>
      </c>
      <c r="CC258" s="225">
        <f>IFERROR(__xludf.DUMMYFUNCTION("COUNT(ARRAYFORMULA(FILTER(CB$5:CB$229,CC$5:CC$229&lt;1,$C$5:$C$229=$BS258,CB$5:CB$229&lt;$BS$5:$BS$229-$BT$5:$BT$229*$BT$2,$E$5:$E$229)))"),0.0)</f>
        <v>0</v>
      </c>
      <c r="CD258" s="225"/>
      <c r="CE258" s="216"/>
      <c r="CF258" s="225">
        <f>IFERROR(__xludf.DUMMYFUNCTION("COUNT(ARRAYFORMULA(FILTER(CF$5:CF$229,CG$5:CG$229&lt;1,$C$5:$C$229=$BS258,CF$5:CF$229&gt;$BS$5:$BS$229+$BT$5:$BT$229*$BT$2,$E$5:$E$229)))"),0.0)</f>
        <v>0</v>
      </c>
      <c r="CG258" s="225">
        <f>IFERROR(__xludf.DUMMYFUNCTION("COUNT(ARRAYFORMULA(FILTER(CF$5:CF$229,CG$5:CG$229&lt;1,$C$5:$C$229=$BS258,CF$5:CF$229&lt;$BS$5:$BS$229-$BT$5:$BT$229*$BT$2,$E$5:$E$229)))"),0.0)</f>
        <v>0</v>
      </c>
      <c r="CH258" s="225"/>
      <c r="CI258" s="225">
        <f>IFERROR(__xludf.DUMMYFUNCTION("COUNT(ARRAYFORMULA(FILTER(CI$5:CI$229,CJ$5:CJ$229&lt;1,$C$5:$C$229=$BS258,CI$5:CI$229&gt;$BS$5:$BS$229+$BT$5:$BT$229*$BT$2,$E$5:$E$229)))"),0.0)</f>
        <v>0</v>
      </c>
      <c r="CJ258" s="225">
        <f>IFERROR(__xludf.DUMMYFUNCTION("COUNT(ARRAYFORMULA(FILTER(CI$5:CI$229,CJ$5:CJ$229&lt;1,$C$5:$C$229=$BS258,CI$5:CI$229&lt;$BS$5:$BS$229-$BT$5:$BT$229*$BT$2,$E$5:$E$229)))"),0.0)</f>
        <v>0</v>
      </c>
      <c r="CK258" s="225"/>
      <c r="CL258" s="225">
        <f>IFERROR(__xludf.DUMMYFUNCTION("COUNT(ARRAYFORMULA(FILTER(CL$5:CL$229,CM$5:CM$229&lt;1,$C$5:$C$229=$BS258,CL$5:CL$229&gt;$BS$5:$BS$229+$BT$5:$BT$229*$BT$2,$E$5:$E$229)))"),0.0)</f>
        <v>0</v>
      </c>
      <c r="CM258" s="225">
        <f>IFERROR(__xludf.DUMMYFUNCTION("COUNT(ARRAYFORMULA(FILTER(CL$5:CL$229,CM$5:CM$229&lt;1,$C$5:$C$229=$BS258,CL$5:CL$229&lt;$BS$5:$BS$229-$BT$5:$BT$229*$BT$2,$E$5:$E$229)))"),1.0)</f>
        <v>1</v>
      </c>
      <c r="CN258" s="225"/>
      <c r="CO258" s="216"/>
      <c r="CP258" s="225">
        <f>IFERROR(__xludf.DUMMYFUNCTION("COUNT(ARRAYFORMULA(FILTER(CP$5:CP$229,CQ$5:CQ$229&lt;1,$C$5:$C$229=$BS258,CP$5:CP$229&gt;$BS$5:$BS$229+$BT$5:$BT$229*$BT$2,$E$5:$E$229)))"),0.0)</f>
        <v>0</v>
      </c>
      <c r="CQ258" s="225">
        <f>IFERROR(__xludf.DUMMYFUNCTION("COUNT(ARRAYFORMULA(FILTER(CP$5:CP$229,CQ$5:CQ$229&lt;1,$C$5:$C$229=$BS258,CP$5:CP$229&lt;$BS$5:$BS$229-$BT$5:$BT$229*$BT$2,$E$5:$E$229)))"),0.0)</f>
        <v>0</v>
      </c>
      <c r="CR258" s="225"/>
      <c r="CS258" s="225">
        <f>IFERROR(__xludf.DUMMYFUNCTION("COUNT(ARRAYFORMULA(FILTER(CS$5:CS$229,CT$5:CT$229&lt;1,$C$5:$C$229=$BS258,CS$5:CS$229&gt;$BS$5:$BS$229+$BT$5:$BT$229*$BT$2,$E$5:$E$229)))"),0.0)</f>
        <v>0</v>
      </c>
      <c r="CT258" s="225">
        <f>IFERROR(__xludf.DUMMYFUNCTION("COUNT(ARRAYFORMULA(FILTER(CS$5:CS$229,CT$5:CT$229&lt;1,$C$5:$C$229=$BS258,CS$5:CS$229&lt;$BS$5:$BS$229-$BT$5:$BT$229*$BT$2,$E$5:$E$229)))"),0.0)</f>
        <v>0</v>
      </c>
      <c r="CU258" s="225"/>
      <c r="CV258" s="225">
        <f>IFERROR(__xludf.DUMMYFUNCTION("COUNT(ARRAYFORMULA(FILTER(CV$5:CV$229,CW$5:CW$229&lt;1,$C$5:$C$229=$BS258,CV$5:CV$229&gt;$BS$5:$BS$229+$BT$5:$BT$229*$BT$2,$E$5:$E$229)))"),0.0)</f>
        <v>0</v>
      </c>
      <c r="CW258" s="225">
        <f>IFERROR(__xludf.DUMMYFUNCTION("COUNT(ARRAYFORMULA(FILTER(CV$5:CV$229,CW$5:CW$229&lt;1,$C$5:$C$229=$BS258,CV$5:CV$229&lt;$BS$5:$BS$229-$BT$5:$BT$229*$BT$2,$E$5:$E$229)))"),1.0)</f>
        <v>1</v>
      </c>
      <c r="CX258" s="225"/>
      <c r="CY258" s="216"/>
      <c r="CZ258" s="225">
        <f>IFERROR(__xludf.DUMMYFUNCTION("COUNT(ARRAYFORMULA(FILTER(CZ$5:CZ$229,DA$5:DA$229&lt;1,$C$5:$C$229=$BS258,CZ$5:CZ$229&gt;$BS$5:$BS$229+$BT$5:$BT$229*$BT$2,$E$5:$E$229)))"),0.0)</f>
        <v>0</v>
      </c>
      <c r="DA258" s="225">
        <f>IFERROR(__xludf.DUMMYFUNCTION("COUNT(ARRAYFORMULA(FILTER(CZ$5:CZ$229,DA$5:DA$229&lt;1,$C$5:$C$229=$BS258,CZ$5:CZ$229&lt;$BS$5:$BS$229-$BT$5:$BT$229*$BT$2,$E$5:$E$229)))"),0.0)</f>
        <v>0</v>
      </c>
      <c r="DB258" s="225"/>
      <c r="DC258" s="225">
        <f>IFERROR(__xludf.DUMMYFUNCTION("COUNT(ARRAYFORMULA(FILTER(DC$5:DC$229,DD$5:DD$229&lt;1,$C$5:$C$229=$BS258,DC$5:DC$229&gt;$BS$5:$BS$229+$BT$5:$BT$229*$BT$2,$E$5:$E$229)))"),0.0)</f>
        <v>0</v>
      </c>
      <c r="DD258" s="225">
        <f>IFERROR(__xludf.DUMMYFUNCTION("COUNT(ARRAYFORMULA(FILTER(DC$5:DC$229,DD$5:DD$229&lt;1,$C$5:$C$229=$BS258,DC$5:DC$229&lt;$BS$5:$BS$229-$BT$5:$BT$229*$BT$2,$E$5:$E$229)))"),0.0)</f>
        <v>0</v>
      </c>
      <c r="DE258" s="225"/>
      <c r="DF258" s="225">
        <f>IFERROR(__xludf.DUMMYFUNCTION("COUNT(ARRAYFORMULA(FILTER(DF$5:DF$229,DG$5:DG$229&lt;1,$C$5:$C$229=$BS258,DF$5:DF$229&gt;$BS$5:$BS$229+$BT$5:$BT$229*$BT$2,$E$5:$E$229)))"),0.0)</f>
        <v>0</v>
      </c>
      <c r="DG258" s="225">
        <f>IFERROR(__xludf.DUMMYFUNCTION("COUNT(ARRAYFORMULA(FILTER(DF$5:DF$229,DG$5:DG$229&lt;1,$C$5:$C$229=$BS258,DF$5:DF$229&lt;$BS$5:$BS$229-$BT$5:$BT$229*$BT$2,$E$5:$E$229)))"),0.0)</f>
        <v>0</v>
      </c>
      <c r="DH258" s="225"/>
      <c r="DI258" s="225">
        <f>IFERROR(__xludf.DUMMYFUNCTION("COUNT(ARRAYFORMULA(FILTER(DI$5:DI$229,DJ$5:DJ$229&lt;1,$C$5:$C$229=$BS258,DI$5:DI$229&gt;$BS$5:$BS$229+$BT$5:$BT$229*$BT$2,$E$5:$E$229)))"),3.0)</f>
        <v>3</v>
      </c>
      <c r="DJ258" s="225">
        <f>IFERROR(__xludf.DUMMYFUNCTION("COUNT(ARRAYFORMULA(FILTER(DI$5:DI$229,DJ$5:DJ$229&lt;1,$C$5:$C$229=$BS258,DI$5:DI$229&lt;$BS$5:$BS$229-$BT$5:$BT$229*$BT$2,$E$5:$E$229)))"),3.0)</f>
        <v>3</v>
      </c>
      <c r="DK258" s="225"/>
      <c r="DL258" s="225">
        <f>IFERROR(__xludf.DUMMYFUNCTION("COUNT(ARRAYFORMULA(FILTER(DL$5:DL$229,DM$5:DM$229&lt;1,$C$5:$C$229=$BS258,DL$5:DL$229&gt;$BS$5:$BS$229+$BT$5:$BT$229*$BT$2,$E$5:$E$229)))"),0.0)</f>
        <v>0</v>
      </c>
      <c r="DM258" s="225">
        <f>IFERROR(__xludf.DUMMYFUNCTION("COUNT(ARRAYFORMULA(FILTER(DL$5:DL$229,DM$5:DM$229&lt;1,$C$5:$C$229=$BS258,DL$5:DL$229&lt;$BS$5:$BS$229-$BT$5:$BT$229*$BT$2,$E$5:$E$229)))"),0.0)</f>
        <v>0</v>
      </c>
      <c r="DN258" s="225"/>
      <c r="DO258" s="216"/>
      <c r="DP258" s="225">
        <f>IFERROR(__xludf.DUMMYFUNCTION("COUNT(ARRAYFORMULA(FILTER(DP$5:DP$229,DQ$5:DQ$229&lt;1,$C$5:$C$229=$BS258,DP$5:DP$229&gt;$BS$5:$BS$229+$BT$5:$BT$229*$BT$2,$E$5:$E$229)))"),0.0)</f>
        <v>0</v>
      </c>
      <c r="DQ258" s="225">
        <f>IFERROR(__xludf.DUMMYFUNCTION("COUNT(ARRAYFORMULA(FILTER(DP$5:DP$229,DQ$5:DQ$229&lt;1,$C$5:$C$229=$BS258,DP$5:DP$229&lt;$BS$5:$BS$229-$BT$5:$BT$229*$BT$2,$E$5:$E$229)))"),0.0)</f>
        <v>0</v>
      </c>
      <c r="DR258" s="225"/>
      <c r="DS258" s="225">
        <f>IFERROR(__xludf.DUMMYFUNCTION("COUNT(ARRAYFORMULA(FILTER(DS$5:DS$229,DT$5:DT$229&lt;1,$C$5:$C$229=$BS258,DS$5:DS$229&gt;$BS$5:$BS$229+$BT$5:$BT$229*$BT$2,$E$5:$E$229)))"),0.0)</f>
        <v>0</v>
      </c>
      <c r="DT258" s="225">
        <f>IFERROR(__xludf.DUMMYFUNCTION("COUNT(ARRAYFORMULA(FILTER(DS$5:DS$229,DT$5:DT$229&lt;1,$C$5:$C$229=$BS258,DS$5:DS$229&lt;$BS$5:$BS$229-$BT$5:$BT$229*$BT$2,$E$5:$E$229)))"),0.0)</f>
        <v>0</v>
      </c>
      <c r="DU258" s="225"/>
      <c r="DV258" s="225">
        <f>IFERROR(__xludf.DUMMYFUNCTION("COUNT(ARRAYFORMULA(FILTER(DV$5:DV$229,DW$5:DW$229&lt;1,$C$5:$C$229=$BS258,DV$5:DV$229&gt;$BS$5:$BS$229+$BT$5:$BT$229*$BT$2,$E$5:$E$229)))"),0.0)</f>
        <v>0</v>
      </c>
      <c r="DW258" s="225">
        <f>IFERROR(__xludf.DUMMYFUNCTION("COUNT(ARRAYFORMULA(FILTER(DV$5:DV$229,DW$5:DW$229&lt;1,$C$5:$C$229=$BS258,DV$5:DV$229&lt;$BS$5:$BS$229-$BT$5:$BT$229*$BT$2,$E$5:$E$229)))"),1.0)</f>
        <v>1</v>
      </c>
      <c r="DX258" s="225"/>
      <c r="DY258" s="225">
        <f>IFERROR(__xludf.DUMMYFUNCTION("COUNT(ARRAYFORMULA(FILTER(DY$5:DY$229,DZ$5:DZ$229&lt;1,$C$5:$C$229=$BS258,DY$5:DY$229&gt;$BS$5:$BS$229+$BT$5:$BT$229*$BT$2,$E$5:$E$229)))"),1.0)</f>
        <v>1</v>
      </c>
      <c r="DZ258" s="225">
        <f>IFERROR(__xludf.DUMMYFUNCTION("COUNT(ARRAYFORMULA(FILTER(DY$5:DY$229,DZ$5:DZ$229&lt;1,$C$5:$C$229=$BS258,DY$5:DY$229&lt;$BS$5:$BS$229-$BT$5:$BT$229*$BT$2,$E$5:$E$229)))"),0.0)</f>
        <v>0</v>
      </c>
      <c r="EA258" s="225"/>
      <c r="EB258" s="191"/>
    </row>
    <row r="259">
      <c r="A259" s="2"/>
      <c r="B259" s="192"/>
      <c r="C259" s="192"/>
      <c r="D259" s="192"/>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c r="AA259" s="187"/>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87"/>
      <c r="AY259" s="187"/>
      <c r="AZ259" s="187"/>
      <c r="BA259" s="187"/>
      <c r="BB259" s="187"/>
      <c r="BC259" s="187"/>
      <c r="BD259" s="187"/>
      <c r="BE259" s="187"/>
      <c r="BF259" s="187"/>
      <c r="BG259" s="187"/>
      <c r="BH259" s="187"/>
      <c r="BI259" s="187"/>
      <c r="BJ259" s="187"/>
      <c r="BK259" s="187"/>
      <c r="BL259" s="187"/>
      <c r="BM259" s="187"/>
      <c r="BN259" s="187"/>
      <c r="BO259" s="187"/>
      <c r="BP259" s="187"/>
      <c r="BQ259" s="187"/>
      <c r="BR259" s="206"/>
      <c r="BS259" s="225" t="s">
        <v>671</v>
      </c>
      <c r="BU259" s="206"/>
      <c r="BV259" s="225">
        <f>IFERROR(__xludf.DUMMYFUNCTION("COUNT(ARRAYFORMULA(FILTER(BV$5:BV$229,BW$5:BW$229&lt;1,$C$5:$C$229=$BS259,BV$5:BV$229&gt;$BS$5:$BS$229+$BT$5:$BT$229*$BT$2,$E$5:$E$229)))"),0.0)</f>
        <v>0</v>
      </c>
      <c r="BW259" s="225">
        <f>IFERROR(__xludf.DUMMYFUNCTION("COUNT(ARRAYFORMULA(FILTER(BV$5:BV$229,BW$5:BW$229&lt;1,$C$5:$C$229=$BS259,BV$5:BV$229&lt;$BS$5:$BS$229-$BT$5:$BT$229*$BT$2,$E$5:$E$229)))"),0.0)</f>
        <v>0</v>
      </c>
      <c r="BX259" s="225"/>
      <c r="BY259" s="225">
        <f>IFERROR(__xludf.DUMMYFUNCTION("COUNT(ARRAYFORMULA(FILTER(BY$5:BY$229,BZ$5:BZ$229&lt;1,$C$5:$C$229=$BS259,BY$5:BY$229&gt;$BS$5:$BS$229+$BT$5:$BT$229*$BT$2,$E$5:$E$229)))"),0.0)</f>
        <v>0</v>
      </c>
      <c r="BZ259" s="225">
        <f>IFERROR(__xludf.DUMMYFUNCTION("COUNT(ARRAYFORMULA(FILTER(BY$5:BY$229,BZ$5:BZ$229&lt;1,$C$5:$C$229=$BS259,BY$5:BY$229&lt;$BS$5:$BS$229-$BT$5:$BT$229*$BT$2,$E$5:$E$229)))"),0.0)</f>
        <v>0</v>
      </c>
      <c r="CA259" s="225"/>
      <c r="CB259" s="225">
        <f>IFERROR(__xludf.DUMMYFUNCTION("COUNT(ARRAYFORMULA(FILTER(CB$5:CB$229,CC$5:CC$229&lt;1,$C$5:$C$229=$BS259,CB$5:CB$229&gt;$BS$5:$BS$229+$BT$5:$BT$229*$BT$2,$E$5:$E$229)))"),1.0)</f>
        <v>1</v>
      </c>
      <c r="CC259" s="225">
        <f>IFERROR(__xludf.DUMMYFUNCTION("COUNT(ARRAYFORMULA(FILTER(CB$5:CB$229,CC$5:CC$229&lt;1,$C$5:$C$229=$BS259,CB$5:CB$229&lt;$BS$5:$BS$229-$BT$5:$BT$229*$BT$2,$E$5:$E$229)))"),0.0)</f>
        <v>0</v>
      </c>
      <c r="CD259" s="225"/>
      <c r="CE259" s="216"/>
      <c r="CF259" s="225">
        <f>IFERROR(__xludf.DUMMYFUNCTION("COUNT(ARRAYFORMULA(FILTER(CF$5:CF$229,CG$5:CG$229&lt;1,$C$5:$C$229=$BS259,CF$5:CF$229&gt;$BS$5:$BS$229+$BT$5:$BT$229*$BT$2,$E$5:$E$229)))"),0.0)</f>
        <v>0</v>
      </c>
      <c r="CG259" s="225">
        <f>IFERROR(__xludf.DUMMYFUNCTION("COUNT(ARRAYFORMULA(FILTER(CF$5:CF$229,CG$5:CG$229&lt;1,$C$5:$C$229=$BS259,CF$5:CF$229&lt;$BS$5:$BS$229-$BT$5:$BT$229*$BT$2,$E$5:$E$229)))"),0.0)</f>
        <v>0</v>
      </c>
      <c r="CH259" s="225"/>
      <c r="CI259" s="225">
        <f>IFERROR(__xludf.DUMMYFUNCTION("COUNT(ARRAYFORMULA(FILTER(CI$5:CI$229,CJ$5:CJ$229&lt;1,$C$5:$C$229=$BS259,CI$5:CI$229&gt;$BS$5:$BS$229+$BT$5:$BT$229*$BT$2,$E$5:$E$229)))"),0.0)</f>
        <v>0</v>
      </c>
      <c r="CJ259" s="225">
        <f>IFERROR(__xludf.DUMMYFUNCTION("COUNT(ARRAYFORMULA(FILTER(CI$5:CI$229,CJ$5:CJ$229&lt;1,$C$5:$C$229=$BS259,CI$5:CI$229&lt;$BS$5:$BS$229-$BT$5:$BT$229*$BT$2,$E$5:$E$229)))"),0.0)</f>
        <v>0</v>
      </c>
      <c r="CK259" s="225"/>
      <c r="CL259" s="225">
        <f>IFERROR(__xludf.DUMMYFUNCTION("COUNT(ARRAYFORMULA(FILTER(CL$5:CL$229,CM$5:CM$229&lt;1,$C$5:$C$229=$BS259,CL$5:CL$229&gt;$BS$5:$BS$229+$BT$5:$BT$229*$BT$2,$E$5:$E$229)))"),0.0)</f>
        <v>0</v>
      </c>
      <c r="CM259" s="225">
        <f>IFERROR(__xludf.DUMMYFUNCTION("COUNT(ARRAYFORMULA(FILTER(CL$5:CL$229,CM$5:CM$229&lt;1,$C$5:$C$229=$BS259,CL$5:CL$229&lt;$BS$5:$BS$229-$BT$5:$BT$229*$BT$2,$E$5:$E$229)))"),0.0)</f>
        <v>0</v>
      </c>
      <c r="CN259" s="225"/>
      <c r="CO259" s="216"/>
      <c r="CP259" s="225">
        <f>IFERROR(__xludf.DUMMYFUNCTION("COUNT(ARRAYFORMULA(FILTER(CP$5:CP$229,CQ$5:CQ$229&lt;1,$C$5:$C$229=$BS259,CP$5:CP$229&gt;$BS$5:$BS$229+$BT$5:$BT$229*$BT$2,$E$5:$E$229)))"),0.0)</f>
        <v>0</v>
      </c>
      <c r="CQ259" s="225">
        <f>IFERROR(__xludf.DUMMYFUNCTION("COUNT(ARRAYFORMULA(FILTER(CP$5:CP$229,CQ$5:CQ$229&lt;1,$C$5:$C$229=$BS259,CP$5:CP$229&lt;$BS$5:$BS$229-$BT$5:$BT$229*$BT$2,$E$5:$E$229)))"),0.0)</f>
        <v>0</v>
      </c>
      <c r="CR259" s="225"/>
      <c r="CS259" s="225">
        <f>IFERROR(__xludf.DUMMYFUNCTION("COUNT(ARRAYFORMULA(FILTER(CS$5:CS$229,CT$5:CT$229&lt;1,$C$5:$C$229=$BS259,CS$5:CS$229&gt;$BS$5:$BS$229+$BT$5:$BT$229*$BT$2,$E$5:$E$229)))"),0.0)</f>
        <v>0</v>
      </c>
      <c r="CT259" s="225">
        <f>IFERROR(__xludf.DUMMYFUNCTION("COUNT(ARRAYFORMULA(FILTER(CS$5:CS$229,CT$5:CT$229&lt;1,$C$5:$C$229=$BS259,CS$5:CS$229&lt;$BS$5:$BS$229-$BT$5:$BT$229*$BT$2,$E$5:$E$229)))"),0.0)</f>
        <v>0</v>
      </c>
      <c r="CU259" s="225"/>
      <c r="CV259" s="225">
        <f>IFERROR(__xludf.DUMMYFUNCTION("COUNT(ARRAYFORMULA(FILTER(CV$5:CV$229,CW$5:CW$229&lt;1,$C$5:$C$229=$BS259,CV$5:CV$229&gt;$BS$5:$BS$229+$BT$5:$BT$229*$BT$2,$E$5:$E$229)))"),0.0)</f>
        <v>0</v>
      </c>
      <c r="CW259" s="225">
        <f>IFERROR(__xludf.DUMMYFUNCTION("COUNT(ARRAYFORMULA(FILTER(CV$5:CV$229,CW$5:CW$229&lt;1,$C$5:$C$229=$BS259,CV$5:CV$229&lt;$BS$5:$BS$229-$BT$5:$BT$229*$BT$2,$E$5:$E$229)))"),0.0)</f>
        <v>0</v>
      </c>
      <c r="CX259" s="225"/>
      <c r="CY259" s="216"/>
      <c r="CZ259" s="225">
        <f>IFERROR(__xludf.DUMMYFUNCTION("COUNT(ARRAYFORMULA(FILTER(CZ$5:CZ$229,DA$5:DA$229&lt;1,$C$5:$C$229=$BS259,CZ$5:CZ$229&gt;$BS$5:$BS$229+$BT$5:$BT$229*$BT$2,$E$5:$E$229)))"),0.0)</f>
        <v>0</v>
      </c>
      <c r="DA259" s="225">
        <f>IFERROR(__xludf.DUMMYFUNCTION("COUNT(ARRAYFORMULA(FILTER(CZ$5:CZ$229,DA$5:DA$229&lt;1,$C$5:$C$229=$BS259,CZ$5:CZ$229&lt;$BS$5:$BS$229-$BT$5:$BT$229*$BT$2,$E$5:$E$229)))"),0.0)</f>
        <v>0</v>
      </c>
      <c r="DB259" s="225"/>
      <c r="DC259" s="225">
        <f>IFERROR(__xludf.DUMMYFUNCTION("COUNT(ARRAYFORMULA(FILTER(DC$5:DC$229,DD$5:DD$229&lt;1,$C$5:$C$229=$BS259,DC$5:DC$229&gt;$BS$5:$BS$229+$BT$5:$BT$229*$BT$2,$E$5:$E$229)))"),1.0)</f>
        <v>1</v>
      </c>
      <c r="DD259" s="225">
        <f>IFERROR(__xludf.DUMMYFUNCTION("COUNT(ARRAYFORMULA(FILTER(DC$5:DC$229,DD$5:DD$229&lt;1,$C$5:$C$229=$BS259,DC$5:DC$229&lt;$BS$5:$BS$229-$BT$5:$BT$229*$BT$2,$E$5:$E$229)))"),0.0)</f>
        <v>0</v>
      </c>
      <c r="DE259" s="225"/>
      <c r="DF259" s="225">
        <f>IFERROR(__xludf.DUMMYFUNCTION("COUNT(ARRAYFORMULA(FILTER(DF$5:DF$229,DG$5:DG$229&lt;1,$C$5:$C$229=$BS259,DF$5:DF$229&gt;$BS$5:$BS$229+$BT$5:$BT$229*$BT$2,$E$5:$E$229)))"),0.0)</f>
        <v>0</v>
      </c>
      <c r="DG259" s="225">
        <f>IFERROR(__xludf.DUMMYFUNCTION("COUNT(ARRAYFORMULA(FILTER(DF$5:DF$229,DG$5:DG$229&lt;1,$C$5:$C$229=$BS259,DF$5:DF$229&lt;$BS$5:$BS$229-$BT$5:$BT$229*$BT$2,$E$5:$E$229)))"),0.0)</f>
        <v>0</v>
      </c>
      <c r="DH259" s="225"/>
      <c r="DI259" s="225">
        <f>IFERROR(__xludf.DUMMYFUNCTION("COUNT(ARRAYFORMULA(FILTER(DI$5:DI$229,DJ$5:DJ$229&lt;1,$C$5:$C$229=$BS259,DI$5:DI$229&gt;$BS$5:$BS$229+$BT$5:$BT$229*$BT$2,$E$5:$E$229)))"),0.0)</f>
        <v>0</v>
      </c>
      <c r="DJ259" s="225">
        <f>IFERROR(__xludf.DUMMYFUNCTION("COUNT(ARRAYFORMULA(FILTER(DI$5:DI$229,DJ$5:DJ$229&lt;1,$C$5:$C$229=$BS259,DI$5:DI$229&lt;$BS$5:$BS$229-$BT$5:$BT$229*$BT$2,$E$5:$E$229)))"),1.0)</f>
        <v>1</v>
      </c>
      <c r="DK259" s="225"/>
      <c r="DL259" s="225">
        <f>IFERROR(__xludf.DUMMYFUNCTION("COUNT(ARRAYFORMULA(FILTER(DL$5:DL$229,DM$5:DM$229&lt;1,$C$5:$C$229=$BS259,DL$5:DL$229&gt;$BS$5:$BS$229+$BT$5:$BT$229*$BT$2,$E$5:$E$229)))"),0.0)</f>
        <v>0</v>
      </c>
      <c r="DM259" s="225">
        <f>IFERROR(__xludf.DUMMYFUNCTION("COUNT(ARRAYFORMULA(FILTER(DL$5:DL$229,DM$5:DM$229&lt;1,$C$5:$C$229=$BS259,DL$5:DL$229&lt;$BS$5:$BS$229-$BT$5:$BT$229*$BT$2,$E$5:$E$229)))"),0.0)</f>
        <v>0</v>
      </c>
      <c r="DN259" s="225"/>
      <c r="DO259" s="216"/>
      <c r="DP259" s="225">
        <f>IFERROR(__xludf.DUMMYFUNCTION("COUNT(ARRAYFORMULA(FILTER(DP$5:DP$229,DQ$5:DQ$229&lt;1,$C$5:$C$229=$BS259,DP$5:DP$229&gt;$BS$5:$BS$229+$BT$5:$BT$229*$BT$2,$E$5:$E$229)))"),0.0)</f>
        <v>0</v>
      </c>
      <c r="DQ259" s="225">
        <f>IFERROR(__xludf.DUMMYFUNCTION("COUNT(ARRAYFORMULA(FILTER(DP$5:DP$229,DQ$5:DQ$229&lt;1,$C$5:$C$229=$BS259,DP$5:DP$229&lt;$BS$5:$BS$229-$BT$5:$BT$229*$BT$2,$E$5:$E$229)))"),0.0)</f>
        <v>0</v>
      </c>
      <c r="DR259" s="225"/>
      <c r="DS259" s="225">
        <f>IFERROR(__xludf.DUMMYFUNCTION("COUNT(ARRAYFORMULA(FILTER(DS$5:DS$229,DT$5:DT$229&lt;1,$C$5:$C$229=$BS259,DS$5:DS$229&gt;$BS$5:$BS$229+$BT$5:$BT$229*$BT$2,$E$5:$E$229)))"),0.0)</f>
        <v>0</v>
      </c>
      <c r="DT259" s="225">
        <f>IFERROR(__xludf.DUMMYFUNCTION("COUNT(ARRAYFORMULA(FILTER(DS$5:DS$229,DT$5:DT$229&lt;1,$C$5:$C$229=$BS259,DS$5:DS$229&lt;$BS$5:$BS$229-$BT$5:$BT$229*$BT$2,$E$5:$E$229)))"),0.0)</f>
        <v>0</v>
      </c>
      <c r="DU259" s="225"/>
      <c r="DV259" s="225">
        <f>IFERROR(__xludf.DUMMYFUNCTION("COUNT(ARRAYFORMULA(FILTER(DV$5:DV$229,DW$5:DW$229&lt;1,$C$5:$C$229=$BS259,DV$5:DV$229&gt;$BS$5:$BS$229+$BT$5:$BT$229*$BT$2,$E$5:$E$229)))"),0.0)</f>
        <v>0</v>
      </c>
      <c r="DW259" s="225">
        <f>IFERROR(__xludf.DUMMYFUNCTION("COUNT(ARRAYFORMULA(FILTER(DV$5:DV$229,DW$5:DW$229&lt;1,$C$5:$C$229=$BS259,DV$5:DV$229&lt;$BS$5:$BS$229-$BT$5:$BT$229*$BT$2,$E$5:$E$229)))"),0.0)</f>
        <v>0</v>
      </c>
      <c r="DX259" s="225"/>
      <c r="DY259" s="225">
        <f>IFERROR(__xludf.DUMMYFUNCTION("COUNT(ARRAYFORMULA(FILTER(DY$5:DY$229,DZ$5:DZ$229&lt;1,$C$5:$C$229=$BS259,DY$5:DY$229&gt;$BS$5:$BS$229+$BT$5:$BT$229*$BT$2,$E$5:$E$229)))"),0.0)</f>
        <v>0</v>
      </c>
      <c r="DZ259" s="225">
        <f>IFERROR(__xludf.DUMMYFUNCTION("COUNT(ARRAYFORMULA(FILTER(DY$5:DY$229,DZ$5:DZ$229&lt;1,$C$5:$C$229=$BS259,DY$5:DY$229&lt;$BS$5:$BS$229-$BT$5:$BT$229*$BT$2,$E$5:$E$229)))"),0.0)</f>
        <v>0</v>
      </c>
      <c r="EA259" s="225"/>
      <c r="EB259" s="191"/>
    </row>
    <row r="260">
      <c r="A260" s="2"/>
      <c r="B260" s="192"/>
      <c r="C260" s="192"/>
      <c r="D260" s="192"/>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c r="AA260" s="187"/>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87"/>
      <c r="AY260" s="187"/>
      <c r="AZ260" s="187"/>
      <c r="BA260" s="187"/>
      <c r="BB260" s="187"/>
      <c r="BC260" s="187"/>
      <c r="BD260" s="187"/>
      <c r="BE260" s="187"/>
      <c r="BF260" s="187"/>
      <c r="BG260" s="187"/>
      <c r="BH260" s="187"/>
      <c r="BI260" s="187"/>
      <c r="BJ260" s="187"/>
      <c r="BK260" s="187"/>
      <c r="BL260" s="187"/>
      <c r="BM260" s="187"/>
      <c r="BN260" s="187"/>
      <c r="BO260" s="187"/>
      <c r="BP260" s="187"/>
      <c r="BQ260" s="187"/>
      <c r="BR260" s="206"/>
      <c r="BS260" s="187"/>
      <c r="BT260" s="206"/>
      <c r="BU260" s="206"/>
      <c r="BV260" s="206"/>
      <c r="BW260" s="187"/>
      <c r="BX260" s="206"/>
      <c r="BY260" s="206"/>
      <c r="BZ260" s="187"/>
      <c r="CA260" s="206"/>
      <c r="CB260" s="206"/>
      <c r="CC260" s="187"/>
      <c r="CD260" s="206"/>
      <c r="CE260" s="206"/>
      <c r="CF260" s="206"/>
      <c r="CG260" s="187"/>
      <c r="CH260" s="206"/>
      <c r="CI260" s="206"/>
      <c r="CJ260" s="187"/>
      <c r="CK260" s="206"/>
      <c r="CL260" s="206"/>
      <c r="CM260" s="187"/>
      <c r="CN260" s="206"/>
      <c r="CO260" s="206"/>
      <c r="CP260" s="191"/>
      <c r="CQ260" s="187"/>
      <c r="CR260" s="206"/>
      <c r="CS260" s="191"/>
      <c r="CT260" s="187"/>
      <c r="CU260" s="206"/>
      <c r="CV260" s="191"/>
      <c r="CW260" s="187"/>
      <c r="CX260" s="206"/>
      <c r="CY260" s="206"/>
      <c r="CZ260" s="191"/>
      <c r="DA260" s="187"/>
      <c r="DB260" s="206"/>
      <c r="DC260" s="191"/>
      <c r="DD260" s="187"/>
      <c r="DE260" s="206"/>
      <c r="DF260" s="191"/>
      <c r="DG260" s="187"/>
      <c r="DH260" s="206"/>
      <c r="DI260" s="191"/>
      <c r="DJ260" s="187"/>
      <c r="DK260" s="206"/>
      <c r="DL260" s="191"/>
      <c r="DM260" s="187"/>
      <c r="DN260" s="206"/>
      <c r="DO260" s="206"/>
      <c r="DP260" s="191"/>
      <c r="DQ260" s="187"/>
      <c r="DR260" s="206"/>
      <c r="DS260" s="191"/>
      <c r="DT260" s="187"/>
      <c r="DU260" s="206"/>
      <c r="DV260" s="191"/>
      <c r="DW260" s="187"/>
      <c r="DX260" s="206"/>
      <c r="DY260" s="191"/>
      <c r="DZ260" s="187"/>
      <c r="EA260" s="206"/>
      <c r="EB260" s="191"/>
    </row>
    <row r="261">
      <c r="A261" s="2"/>
      <c r="B261" s="192"/>
      <c r="C261" s="192"/>
      <c r="D261" s="192"/>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c r="AA261" s="187"/>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87"/>
      <c r="AY261" s="187"/>
      <c r="AZ261" s="187"/>
      <c r="BA261" s="187"/>
      <c r="BB261" s="187"/>
      <c r="BC261" s="187"/>
      <c r="BD261" s="187"/>
      <c r="BE261" s="187"/>
      <c r="BF261" s="187"/>
      <c r="BG261" s="187"/>
      <c r="BH261" s="187"/>
      <c r="BI261" s="187"/>
      <c r="BJ261" s="187"/>
      <c r="BK261" s="187"/>
      <c r="BL261" s="187"/>
      <c r="BM261" s="187"/>
      <c r="BN261" s="187"/>
      <c r="BO261" s="187"/>
      <c r="BP261" s="187"/>
      <c r="BQ261" s="187"/>
      <c r="BR261" s="206"/>
      <c r="BS261" s="225" t="s">
        <v>692</v>
      </c>
      <c r="BU261" s="206"/>
      <c r="BV261" s="225" t="s">
        <v>688</v>
      </c>
      <c r="BW261" s="225" t="s">
        <v>689</v>
      </c>
      <c r="BX261" s="227"/>
      <c r="BY261" s="225" t="s">
        <v>688</v>
      </c>
      <c r="BZ261" s="225" t="s">
        <v>689</v>
      </c>
      <c r="CA261" s="227"/>
      <c r="CB261" s="225" t="s">
        <v>688</v>
      </c>
      <c r="CC261" s="225" t="s">
        <v>689</v>
      </c>
      <c r="CD261" s="227"/>
      <c r="CE261" s="206"/>
      <c r="CF261" s="225" t="s">
        <v>688</v>
      </c>
      <c r="CG261" s="225" t="s">
        <v>689</v>
      </c>
      <c r="CH261" s="227"/>
      <c r="CI261" s="225" t="s">
        <v>688</v>
      </c>
      <c r="CJ261" s="225" t="s">
        <v>689</v>
      </c>
      <c r="CK261" s="227"/>
      <c r="CL261" s="225" t="s">
        <v>688</v>
      </c>
      <c r="CM261" s="225" t="s">
        <v>689</v>
      </c>
      <c r="CN261" s="227"/>
      <c r="CO261" s="206"/>
      <c r="CP261" s="225" t="s">
        <v>688</v>
      </c>
      <c r="CQ261" s="225" t="s">
        <v>689</v>
      </c>
      <c r="CR261" s="227"/>
      <c r="CS261" s="227" t="s">
        <v>690</v>
      </c>
      <c r="CT261" s="227" t="s">
        <v>691</v>
      </c>
      <c r="CU261" s="227"/>
      <c r="CV261" s="225" t="s">
        <v>688</v>
      </c>
      <c r="CW261" s="225" t="s">
        <v>689</v>
      </c>
      <c r="CX261" s="227"/>
      <c r="CY261" s="206"/>
      <c r="CZ261" s="225" t="s">
        <v>688</v>
      </c>
      <c r="DA261" s="225" t="s">
        <v>689</v>
      </c>
      <c r="DB261" s="227"/>
      <c r="DC261" s="225" t="s">
        <v>688</v>
      </c>
      <c r="DD261" s="225" t="s">
        <v>689</v>
      </c>
      <c r="DE261" s="227"/>
      <c r="DF261" s="225" t="s">
        <v>688</v>
      </c>
      <c r="DG261" s="225" t="s">
        <v>689</v>
      </c>
      <c r="DH261" s="227"/>
      <c r="DI261" s="225" t="s">
        <v>688</v>
      </c>
      <c r="DJ261" s="225" t="s">
        <v>689</v>
      </c>
      <c r="DK261" s="227"/>
      <c r="DL261" s="225" t="s">
        <v>688</v>
      </c>
      <c r="DM261" s="225" t="s">
        <v>689</v>
      </c>
      <c r="DN261" s="227"/>
      <c r="DO261" s="206"/>
      <c r="DP261" s="225" t="s">
        <v>688</v>
      </c>
      <c r="DQ261" s="225" t="s">
        <v>689</v>
      </c>
      <c r="DR261" s="227"/>
      <c r="DS261" s="225" t="s">
        <v>688</v>
      </c>
      <c r="DT261" s="225" t="s">
        <v>689</v>
      </c>
      <c r="DU261" s="227"/>
      <c r="DV261" s="225" t="s">
        <v>688</v>
      </c>
      <c r="DW261" s="225" t="s">
        <v>689</v>
      </c>
      <c r="DX261" s="227"/>
      <c r="DY261" s="225" t="s">
        <v>688</v>
      </c>
      <c r="DZ261" s="225" t="s">
        <v>689</v>
      </c>
      <c r="EA261" s="225"/>
      <c r="EB261" s="191"/>
    </row>
    <row r="262">
      <c r="A262" s="2"/>
      <c r="B262" s="192"/>
      <c r="C262" s="192"/>
      <c r="D262" s="192"/>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c r="AA262" s="187"/>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87"/>
      <c r="AY262" s="187"/>
      <c r="AZ262" s="187"/>
      <c r="BA262" s="187"/>
      <c r="BB262" s="187"/>
      <c r="BC262" s="187"/>
      <c r="BD262" s="187"/>
      <c r="BE262" s="187"/>
      <c r="BF262" s="187"/>
      <c r="BG262" s="187"/>
      <c r="BH262" s="187"/>
      <c r="BI262" s="187"/>
      <c r="BJ262" s="187"/>
      <c r="BK262" s="187"/>
      <c r="BL262" s="187"/>
      <c r="BM262" s="187"/>
      <c r="BN262" s="187"/>
      <c r="BO262" s="187"/>
      <c r="BP262" s="187"/>
      <c r="BQ262" s="187"/>
      <c r="BR262" s="206"/>
      <c r="BS262" s="225" t="s">
        <v>442</v>
      </c>
      <c r="BU262" s="206"/>
      <c r="BV262" s="225">
        <f>IFERROR(__xludf.DUMMYFUNCTION("COUNT(ARRAYFORMULA(FILTER(BV$5:BV$229,BW$5:BW$229&lt;1,$C$5:$C$229=$BS262,BV$5:BV$229&gt;$BS$5:$BS$229+$BT$5:$BT$229*$BT$2,$F$5:$F$229)))"),2.0)</f>
        <v>2</v>
      </c>
      <c r="BW262" s="225">
        <f>IFERROR(__xludf.DUMMYFUNCTION("COUNT(ARRAYFORMULA(FILTER(BV$5:BV$229,BW$5:BW$229&lt;1,$C$5:$C$229=$BS262,BV$5:BV$229&lt;$BS$5:$BS$229-$BT$5:$BT$229*$BT$2,$F$5:$F$229)))"),3.0)</f>
        <v>3</v>
      </c>
      <c r="BX262" s="225"/>
      <c r="BY262" s="225">
        <f>IFERROR(__xludf.DUMMYFUNCTION("COUNT(ARRAYFORMULA(FILTER(BY$5:BY$229,BZ$5:BZ$229&lt;1,$C$5:$C$229=$BS262,BY$5:BY$229&gt;$BS$5:$BS$229+$BT$5:$BT$229*$BT$2,$F$5:$F$229)))"),0.0)</f>
        <v>0</v>
      </c>
      <c r="BZ262" s="225">
        <f>IFERROR(__xludf.DUMMYFUNCTION("COUNT(ARRAYFORMULA(FILTER(BY$5:BY$229,BZ$5:BZ$229&lt;1,$C$5:$C$229=$BS262,BY$5:BY$229&lt;$BS$5:$BS$229-$BT$5:$BT$229*$BT$2,$F$5:$F$229)))"),0.0)</f>
        <v>0</v>
      </c>
      <c r="CA262" s="225"/>
      <c r="CB262" s="225">
        <f>IFERROR(__xludf.DUMMYFUNCTION("COUNT(ARRAYFORMULA(FILTER(CB$5:CB$229,CC$5:CC$229&lt;1,$C$5:$C$229=$BS262,CB$5:CB$229&gt;$BS$5:$BS$229+$BT$5:$BT$229*$BT$2,$F$5:$F$229)))"),0.0)</f>
        <v>0</v>
      </c>
      <c r="CC262" s="225">
        <f>IFERROR(__xludf.DUMMYFUNCTION("COUNT(ARRAYFORMULA(FILTER(CB$5:CB$229,CC$5:CC$229&lt;1,$C$5:$C$229=$BS262,CB$5:CB$229&lt;$BS$5:$BS$229-$BT$5:$BT$229*$BT$2,$F$5:$F$229)))"),0.0)</f>
        <v>0</v>
      </c>
      <c r="CD262" s="225"/>
      <c r="CE262" s="216"/>
      <c r="CF262" s="225">
        <f>IFERROR(__xludf.DUMMYFUNCTION("COUNT(ARRAYFORMULA(FILTER(CF$5:CF$229,CG$5:CG$229&lt;1,$C$5:$C$229=$BS262,CF$5:CF$229&gt;$BS$5:$BS$229+$BT$5:$BT$229*$BT$2,$F$5:$F$229)))"),0.0)</f>
        <v>0</v>
      </c>
      <c r="CG262" s="225">
        <f>IFERROR(__xludf.DUMMYFUNCTION("COUNT(ARRAYFORMULA(FILTER(CF$5:CF$229,CG$5:CG$229&lt;1,$C$5:$C$229=$BS262,CF$5:CF$229&lt;$BS$5:$BS$229-$BT$5:$BT$229*$BT$2,$F$5:$F$229)))"),0.0)</f>
        <v>0</v>
      </c>
      <c r="CH262" s="225"/>
      <c r="CI262" s="225">
        <f>IFERROR(__xludf.DUMMYFUNCTION("COUNT(ARRAYFORMULA(FILTER(CI$5:CI$229,CJ$5:CJ$229&lt;1,$C$5:$C$229=$BS262,CI$5:CI$229&gt;$BS$5:$BS$229+$BT$5:$BT$229*$BT$2,$F$5:$F$229)))"),0.0)</f>
        <v>0</v>
      </c>
      <c r="CJ262" s="225">
        <f>IFERROR(__xludf.DUMMYFUNCTION("COUNT(ARRAYFORMULA(FILTER(CI$5:CI$229,CJ$5:CJ$229&lt;1,$C$5:$C$229=$BS262,CI$5:CI$229&lt;$BS$5:$BS$229-$BT$5:$BT$229*$BT$2,$F$5:$F$229)))"),0.0)</f>
        <v>0</v>
      </c>
      <c r="CK262" s="225"/>
      <c r="CL262" s="225">
        <f>IFERROR(__xludf.DUMMYFUNCTION("COUNT(ARRAYFORMULA(FILTER(CL$5:CL$229,CM$5:CM$229&lt;1,$C$5:$C$229=$BS262,CL$5:CL$229&gt;$BS$5:$BS$229+$BT$5:$BT$229*$BT$2,$F$5:$F$229)))"),0.0)</f>
        <v>0</v>
      </c>
      <c r="CM262" s="225">
        <f>IFERROR(__xludf.DUMMYFUNCTION("COUNT(ARRAYFORMULA(FILTER(CL$5:CL$229,CM$5:CM$229&lt;1,$C$5:$C$229=$BS262,CL$5:CL$229&lt;$BS$5:$BS$229-$BT$5:$BT$229*$BT$2,$F$5:$F$229)))"),0.0)</f>
        <v>0</v>
      </c>
      <c r="CN262" s="225"/>
      <c r="CO262" s="216"/>
      <c r="CP262" s="225">
        <f>IFERROR(__xludf.DUMMYFUNCTION("COUNT(ARRAYFORMULA(FILTER(CP$5:CP$229,CQ$5:CQ$229&lt;1,$C$5:$C$229=$BS262,CP$5:CP$229&gt;$BS$5:$BS$229+$BT$5:$BT$229*$BT$2,$F$5:$F$229)))"),2.0)</f>
        <v>2</v>
      </c>
      <c r="CQ262" s="225">
        <f>IFERROR(__xludf.DUMMYFUNCTION("COUNT(ARRAYFORMULA(FILTER(CP$5:CP$229,CQ$5:CQ$229&lt;1,$C$5:$C$229=$BS262,CP$5:CP$229&lt;$BS$5:$BS$229-$BT$5:$BT$229*$BT$2,$F$5:$F$229)))"),1.0)</f>
        <v>1</v>
      </c>
      <c r="CR262" s="225"/>
      <c r="CS262" s="225">
        <f>IFERROR(__xludf.DUMMYFUNCTION("COUNT(ARRAYFORMULA(FILTER(CS$5:CS$229,CT$5:CT$229&lt;1,$C$5:$C$229=$BS262,CS$5:CS$229&gt;$BS$5:$BS$229+$BT$5:$BT$229*$BT$2,$F$5:$F$229)))"),0.0)</f>
        <v>0</v>
      </c>
      <c r="CT262" s="225">
        <f>IFERROR(__xludf.DUMMYFUNCTION("COUNT(ARRAYFORMULA(FILTER(CS$5:CS$229,CT$5:CT$229&lt;1,$C$5:$C$229=$BS262,CS$5:CS$229&lt;$BS$5:$BS$229-$BT$5:$BT$229*$BT$2,$F$5:$F$229)))"),0.0)</f>
        <v>0</v>
      </c>
      <c r="CU262" s="225"/>
      <c r="CV262" s="225">
        <f>IFERROR(__xludf.DUMMYFUNCTION("COUNT(ARRAYFORMULA(FILTER(CV$5:CV$229,CW$5:CW$229&lt;1,$C$5:$C$229=$BS262,CV$5:CV$229&gt;$BS$5:$BS$229+$BT$5:$BT$229*$BT$2,$F$5:$F$229)))"),0.0)</f>
        <v>0</v>
      </c>
      <c r="CW262" s="225">
        <f>IFERROR(__xludf.DUMMYFUNCTION("COUNT(ARRAYFORMULA(FILTER(CV$5:CV$229,CW$5:CW$229&lt;1,$C$5:$C$229=$BS262,CV$5:CV$229&lt;$BS$5:$BS$229-$BT$5:$BT$229*$BT$2,$F$5:$F$229)))"),0.0)</f>
        <v>0</v>
      </c>
      <c r="CX262" s="225"/>
      <c r="CY262" s="216"/>
      <c r="CZ262" s="225">
        <f>IFERROR(__xludf.DUMMYFUNCTION("COUNT(ARRAYFORMULA(FILTER(CZ$5:CZ$229,DA$5:DA$229&lt;1,$C$5:$C$229=$BS262,CZ$5:CZ$229&gt;$BS$5:$BS$229+$BT$5:$BT$229*$BT$2,$F$5:$F$229)))"),0.0)</f>
        <v>0</v>
      </c>
      <c r="DA262" s="225">
        <f>IFERROR(__xludf.DUMMYFUNCTION("COUNT(ARRAYFORMULA(FILTER(CZ$5:CZ$229,DA$5:DA$229&lt;1,$C$5:$C$229=$BS262,CZ$5:CZ$229&lt;$BS$5:$BS$229-$BT$5:$BT$229*$BT$2,$F$5:$F$229)))"),1.0)</f>
        <v>1</v>
      </c>
      <c r="DB262" s="225"/>
      <c r="DC262" s="225">
        <f>IFERROR(__xludf.DUMMYFUNCTION("COUNT(ARRAYFORMULA(FILTER(DC$5:DC$229,DD$5:DD$229&lt;1,$C$5:$C$229=$BS262,DC$5:DC$229&gt;$BS$5:$BS$229+$BT$5:$BT$229*$BT$2,$F$5:$F$229)))"),0.0)</f>
        <v>0</v>
      </c>
      <c r="DD262" s="225">
        <f>IFERROR(__xludf.DUMMYFUNCTION("COUNT(ARRAYFORMULA(FILTER(DC$5:DC$229,DD$5:DD$229&lt;1,$C$5:$C$229=$BS262,DC$5:DC$229&lt;$BS$5:$BS$229-$BT$5:$BT$229*$BT$2,$F$5:$F$229)))"),0.0)</f>
        <v>0</v>
      </c>
      <c r="DE262" s="225"/>
      <c r="DF262" s="225">
        <f>IFERROR(__xludf.DUMMYFUNCTION("COUNT(ARRAYFORMULA(FILTER(DF$5:DF$229,DG$5:DG$229&lt;1,$C$5:$C$229=$BS262,DF$5:DF$229&gt;$BS$5:$BS$229+$BT$5:$BT$229*$BT$2,$F$5:$F$229)))"),1.0)</f>
        <v>1</v>
      </c>
      <c r="DG262" s="225">
        <f>IFERROR(__xludf.DUMMYFUNCTION("COUNT(ARRAYFORMULA(FILTER(DF$5:DF$229,DG$5:DG$229&lt;1,$C$5:$C$229=$BS262,DF$5:DF$229&lt;$BS$5:$BS$229-$BT$5:$BT$229*$BT$2,$F$5:$F$229)))"),0.0)</f>
        <v>0</v>
      </c>
      <c r="DH262" s="225"/>
      <c r="DI262" s="225">
        <f>IFERROR(__xludf.DUMMYFUNCTION("COUNT(ARRAYFORMULA(FILTER(DI$5:DI$229,DJ$5:DJ$229&lt;1,$C$5:$C$229=$BS262,DI$5:DI$229&gt;$BS$5:$BS$229+$BT$5:$BT$229*$BT$2,$F$5:$F$229)))"),4.0)</f>
        <v>4</v>
      </c>
      <c r="DJ262" s="225">
        <f>IFERROR(__xludf.DUMMYFUNCTION("COUNT(ARRAYFORMULA(FILTER(DI$5:DI$229,DJ$5:DJ$229&lt;1,$C$5:$C$229=$BS262,DI$5:DI$229&lt;$BS$5:$BS$229-$BT$5:$BT$229*$BT$2,$F$5:$F$229)))"),3.0)</f>
        <v>3</v>
      </c>
      <c r="DK262" s="225"/>
      <c r="DL262" s="225">
        <f>IFERROR(__xludf.DUMMYFUNCTION("COUNT(ARRAYFORMULA(FILTER(DL$5:DL$229,DM$5:DM$229&lt;1,$C$5:$C$229=$BS262,DL$5:DL$229&gt;$BS$5:$BS$229+$BT$5:$BT$229*$BT$2,$F$5:$F$229)))"),0.0)</f>
        <v>0</v>
      </c>
      <c r="DM262" s="225">
        <f>IFERROR(__xludf.DUMMYFUNCTION("COUNT(ARRAYFORMULA(FILTER(DL$5:DL$229,DM$5:DM$229&lt;1,$C$5:$C$229=$BS262,DL$5:DL$229&lt;$BS$5:$BS$229-$BT$5:$BT$229*$BT$2,$F$5:$F$229)))"),0.0)</f>
        <v>0</v>
      </c>
      <c r="DN262" s="225"/>
      <c r="DO262" s="216"/>
      <c r="DP262" s="225">
        <f>IFERROR(__xludf.DUMMYFUNCTION("COUNT(ARRAYFORMULA(FILTER(DP$5:DP$229,DQ$5:DQ$229&lt;1,$C$5:$C$229=$BS262,DP$5:DP$229&gt;$BS$5:$BS$229+$BT$5:$BT$229*$BT$2,$F$5:$F$229)))"),0.0)</f>
        <v>0</v>
      </c>
      <c r="DQ262" s="225">
        <f>IFERROR(__xludf.DUMMYFUNCTION("COUNT(ARRAYFORMULA(FILTER(DP$5:DP$229,DQ$5:DQ$229&lt;1,$C$5:$C$229=$BS262,DP$5:DP$229&lt;$BS$5:$BS$229-$BT$5:$BT$229*$BT$2,$F$5:$F$229)))"),0.0)</f>
        <v>0</v>
      </c>
      <c r="DR262" s="225"/>
      <c r="DS262" s="225">
        <f>IFERROR(__xludf.DUMMYFUNCTION("COUNT(ARRAYFORMULA(FILTER(DS$5:DS$229,DT$5:DT$229&lt;1,$C$5:$C$229=$BS262,DS$5:DS$229&gt;$BS$5:$BS$229+$BT$5:$BT$229*$BT$2,$F$5:$F$229)))"),0.0)</f>
        <v>0</v>
      </c>
      <c r="DT262" s="225">
        <f>IFERROR(__xludf.DUMMYFUNCTION("COUNT(ARRAYFORMULA(FILTER(DS$5:DS$229,DT$5:DT$229&lt;1,$C$5:$C$229=$BS262,DS$5:DS$229&lt;$BS$5:$BS$229-$BT$5:$BT$229*$BT$2,$F$5:$F$229)))"),0.0)</f>
        <v>0</v>
      </c>
      <c r="DU262" s="225"/>
      <c r="DV262" s="225">
        <f>IFERROR(__xludf.DUMMYFUNCTION("COUNT(ARRAYFORMULA(FILTER(DV$5:DV$229,DW$5:DW$229&lt;1,$C$5:$C$229=$BS262,DV$5:DV$229&gt;$BS$5:$BS$229+$BT$5:$BT$229*$BT$2,$F$5:$F$229)))"),2.0)</f>
        <v>2</v>
      </c>
      <c r="DW262" s="225">
        <f>IFERROR(__xludf.DUMMYFUNCTION("COUNT(ARRAYFORMULA(FILTER(DV$5:DV$229,DW$5:DW$229&lt;1,$C$5:$C$229=$BS262,DV$5:DV$229&lt;$BS$5:$BS$229-$BT$5:$BT$229*$BT$2,$F$5:$F$229)))"),1.0)</f>
        <v>1</v>
      </c>
      <c r="DX262" s="225"/>
      <c r="DY262" s="225">
        <f>IFERROR(__xludf.DUMMYFUNCTION("COUNT(ARRAYFORMULA(FILTER(DY$5:DY$229,DZ$5:DZ$229&lt;1,$C$5:$C$229=$BS262,DY$5:DY$229&gt;$BS$5:$BS$229+$BT$5:$BT$229*$BT$2,$F$5:$F$229)))"),0.0)</f>
        <v>0</v>
      </c>
      <c r="DZ262" s="225">
        <f>IFERROR(__xludf.DUMMYFUNCTION("COUNT(ARRAYFORMULA(FILTER(DY$5:DY$229,DZ$5:DZ$229&lt;1,$C$5:$C$229=$BS262,DY$5:DY$229&lt;$BS$5:$BS$229-$BT$5:$BT$229*$BT$2,$F$5:$F$229)))"),0.0)</f>
        <v>0</v>
      </c>
      <c r="EA262" s="225"/>
      <c r="EB262" s="191"/>
    </row>
    <row r="263">
      <c r="A263" s="2"/>
      <c r="B263" s="192"/>
      <c r="C263" s="192"/>
      <c r="D263" s="192"/>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c r="AA263" s="187"/>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87"/>
      <c r="AY263" s="187"/>
      <c r="AZ263" s="187"/>
      <c r="BA263" s="187"/>
      <c r="BB263" s="187"/>
      <c r="BC263" s="187"/>
      <c r="BD263" s="187"/>
      <c r="BE263" s="187"/>
      <c r="BF263" s="187"/>
      <c r="BG263" s="187"/>
      <c r="BH263" s="187"/>
      <c r="BI263" s="187"/>
      <c r="BJ263" s="187"/>
      <c r="BK263" s="187"/>
      <c r="BL263" s="187"/>
      <c r="BM263" s="187"/>
      <c r="BN263" s="187"/>
      <c r="BO263" s="187"/>
      <c r="BP263" s="187"/>
      <c r="BQ263" s="187"/>
      <c r="BR263" s="206"/>
      <c r="BS263" s="225" t="s">
        <v>482</v>
      </c>
      <c r="BU263" s="206"/>
      <c r="BV263" s="225">
        <f>IFERROR(__xludf.DUMMYFUNCTION("COUNT(ARRAYFORMULA(FILTER(BV$5:BV$229,BW$5:BW$229&lt;1,$C$5:$C$229=$BS263,BV$5:BV$229&gt;$BS$5:$BS$229+$BT$5:$BT$229*$BT$2,$F$5:$F$229)))"),1.0)</f>
        <v>1</v>
      </c>
      <c r="BW263" s="225">
        <f>IFERROR(__xludf.DUMMYFUNCTION("COUNT(ARRAYFORMULA(FILTER(BV$5:BV$229,BW$5:BW$229&lt;1,$C$5:$C$229=$BS263,BV$5:BV$229&lt;$BS$5:$BS$229-$BT$5:$BT$229*$BT$2,$F$5:$F$229)))"),5.0)</f>
        <v>5</v>
      </c>
      <c r="BX263" s="225"/>
      <c r="BY263" s="225">
        <f>IFERROR(__xludf.DUMMYFUNCTION("COUNT(ARRAYFORMULA(FILTER(BY$5:BY$229,BZ$5:BZ$229&lt;1,$C$5:$C$229=$BS263,BY$5:BY$229&gt;$BS$5:$BS$229+$BT$5:$BT$229*$BT$2,$F$5:$F$229)))"),0.0)</f>
        <v>0</v>
      </c>
      <c r="BZ263" s="225">
        <f>IFERROR(__xludf.DUMMYFUNCTION("COUNT(ARRAYFORMULA(FILTER(BY$5:BY$229,BZ$5:BZ$229&lt;1,$C$5:$C$229=$BS263,BY$5:BY$229&lt;$BS$5:$BS$229-$BT$5:$BT$229*$BT$2,$F$5:$F$229)))"),0.0)</f>
        <v>0</v>
      </c>
      <c r="CA263" s="225"/>
      <c r="CB263" s="225">
        <f>IFERROR(__xludf.DUMMYFUNCTION("COUNT(ARRAYFORMULA(FILTER(CB$5:CB$229,CC$5:CC$229&lt;1,$C$5:$C$229=$BS263,CB$5:CB$229&gt;$BS$5:$BS$229+$BT$5:$BT$229*$BT$2,$F$5:$F$229)))"),1.0)</f>
        <v>1</v>
      </c>
      <c r="CC263" s="225">
        <f>IFERROR(__xludf.DUMMYFUNCTION("COUNT(ARRAYFORMULA(FILTER(CB$5:CB$229,CC$5:CC$229&lt;1,$C$5:$C$229=$BS263,CB$5:CB$229&lt;$BS$5:$BS$229-$BT$5:$BT$229*$BT$2,$F$5:$F$229)))"),0.0)</f>
        <v>0</v>
      </c>
      <c r="CD263" s="225"/>
      <c r="CE263" s="216"/>
      <c r="CF263" s="225">
        <f>IFERROR(__xludf.DUMMYFUNCTION("COUNT(ARRAYFORMULA(FILTER(CF$5:CF$229,CG$5:CG$229&lt;1,$C$5:$C$229=$BS263,CF$5:CF$229&gt;$BS$5:$BS$229+$BT$5:$BT$229*$BT$2,$F$5:$F$229)))"),0.0)</f>
        <v>0</v>
      </c>
      <c r="CG263" s="225">
        <f>IFERROR(__xludf.DUMMYFUNCTION("COUNT(ARRAYFORMULA(FILTER(CF$5:CF$229,CG$5:CG$229&lt;1,$C$5:$C$229=$BS263,CF$5:CF$229&lt;$BS$5:$BS$229-$BT$5:$BT$229*$BT$2,$F$5:$F$229)))"),0.0)</f>
        <v>0</v>
      </c>
      <c r="CH263" s="225"/>
      <c r="CI263" s="225">
        <f>IFERROR(__xludf.DUMMYFUNCTION("COUNT(ARRAYFORMULA(FILTER(CI$5:CI$229,CJ$5:CJ$229&lt;1,$C$5:$C$229=$BS263,CI$5:CI$229&gt;$BS$5:$BS$229+$BT$5:$BT$229*$BT$2,$F$5:$F$229)))"),0.0)</f>
        <v>0</v>
      </c>
      <c r="CJ263" s="225">
        <f>IFERROR(__xludf.DUMMYFUNCTION("COUNT(ARRAYFORMULA(FILTER(CI$5:CI$229,CJ$5:CJ$229&lt;1,$C$5:$C$229=$BS263,CI$5:CI$229&lt;$BS$5:$BS$229-$BT$5:$BT$229*$BT$2,$F$5:$F$229)))"),0.0)</f>
        <v>0</v>
      </c>
      <c r="CK263" s="225"/>
      <c r="CL263" s="225">
        <f>IFERROR(__xludf.DUMMYFUNCTION("COUNT(ARRAYFORMULA(FILTER(CL$5:CL$229,CM$5:CM$229&lt;1,$C$5:$C$229=$BS263,CL$5:CL$229&gt;$BS$5:$BS$229+$BT$5:$BT$229*$BT$2,$F$5:$F$229)))"),2.0)</f>
        <v>2</v>
      </c>
      <c r="CM263" s="225">
        <f>IFERROR(__xludf.DUMMYFUNCTION("COUNT(ARRAYFORMULA(FILTER(CL$5:CL$229,CM$5:CM$229&lt;1,$C$5:$C$229=$BS263,CL$5:CL$229&lt;$BS$5:$BS$229-$BT$5:$BT$229*$BT$2,$F$5:$F$229)))"),0.0)</f>
        <v>0</v>
      </c>
      <c r="CN263" s="225"/>
      <c r="CO263" s="216"/>
      <c r="CP263" s="225">
        <f>IFERROR(__xludf.DUMMYFUNCTION("COUNT(ARRAYFORMULA(FILTER(CP$5:CP$229,CQ$5:CQ$229&lt;1,$C$5:$C$229=$BS263,CP$5:CP$229&gt;$BS$5:$BS$229+$BT$5:$BT$229*$BT$2,$F$5:$F$229)))"),0.0)</f>
        <v>0</v>
      </c>
      <c r="CQ263" s="225">
        <f>IFERROR(__xludf.DUMMYFUNCTION("COUNT(ARRAYFORMULA(FILTER(CP$5:CP$229,CQ$5:CQ$229&lt;1,$C$5:$C$229=$BS263,CP$5:CP$229&lt;$BS$5:$BS$229-$BT$5:$BT$229*$BT$2,$F$5:$F$229)))"),0.0)</f>
        <v>0</v>
      </c>
      <c r="CR263" s="225"/>
      <c r="CS263" s="225">
        <f>IFERROR(__xludf.DUMMYFUNCTION("COUNT(ARRAYFORMULA(FILTER(CS$5:CS$229,CT$5:CT$229&lt;1,$C$5:$C$229=$BS263,CS$5:CS$229&gt;$BS$5:$BS$229+$BT$5:$BT$229*$BT$2,$F$5:$F$229)))"),0.0)</f>
        <v>0</v>
      </c>
      <c r="CT263" s="225">
        <f>IFERROR(__xludf.DUMMYFUNCTION("COUNT(ARRAYFORMULA(FILTER(CS$5:CS$229,CT$5:CT$229&lt;1,$C$5:$C$229=$BS263,CS$5:CS$229&lt;$BS$5:$BS$229-$BT$5:$BT$229*$BT$2,$F$5:$F$229)))"),0.0)</f>
        <v>0</v>
      </c>
      <c r="CU263" s="225"/>
      <c r="CV263" s="225">
        <f>IFERROR(__xludf.DUMMYFUNCTION("COUNT(ARRAYFORMULA(FILTER(CV$5:CV$229,CW$5:CW$229&lt;1,$C$5:$C$229=$BS263,CV$5:CV$229&gt;$BS$5:$BS$229+$BT$5:$BT$229*$BT$2,$F$5:$F$229)))"),2.0)</f>
        <v>2</v>
      </c>
      <c r="CW263" s="225">
        <f>IFERROR(__xludf.DUMMYFUNCTION("COUNT(ARRAYFORMULA(FILTER(CV$5:CV$229,CW$5:CW$229&lt;1,$C$5:$C$229=$BS263,CV$5:CV$229&lt;$BS$5:$BS$229-$BT$5:$BT$229*$BT$2,$F$5:$F$229)))"),0.0)</f>
        <v>0</v>
      </c>
      <c r="CX263" s="225"/>
      <c r="CY263" s="216"/>
      <c r="CZ263" s="225">
        <f>IFERROR(__xludf.DUMMYFUNCTION("COUNT(ARRAYFORMULA(FILTER(CZ$5:CZ$229,DA$5:DA$229&lt;1,$C$5:$C$229=$BS263,CZ$5:CZ$229&gt;$BS$5:$BS$229+$BT$5:$BT$229*$BT$2,$F$5:$F$229)))"),0.0)</f>
        <v>0</v>
      </c>
      <c r="DA263" s="225">
        <f>IFERROR(__xludf.DUMMYFUNCTION("COUNT(ARRAYFORMULA(FILTER(CZ$5:CZ$229,DA$5:DA$229&lt;1,$C$5:$C$229=$BS263,CZ$5:CZ$229&lt;$BS$5:$BS$229-$BT$5:$BT$229*$BT$2,$F$5:$F$229)))"),0.0)</f>
        <v>0</v>
      </c>
      <c r="DB263" s="225"/>
      <c r="DC263" s="225">
        <f>IFERROR(__xludf.DUMMYFUNCTION("COUNT(ARRAYFORMULA(FILTER(DC$5:DC$229,DD$5:DD$229&lt;1,$C$5:$C$229=$BS263,DC$5:DC$229&gt;$BS$5:$BS$229+$BT$5:$BT$229*$BT$2,$F$5:$F$229)))"),1.0)</f>
        <v>1</v>
      </c>
      <c r="DD263" s="225">
        <f>IFERROR(__xludf.DUMMYFUNCTION("COUNT(ARRAYFORMULA(FILTER(DC$5:DC$229,DD$5:DD$229&lt;1,$C$5:$C$229=$BS263,DC$5:DC$229&lt;$BS$5:$BS$229-$BT$5:$BT$229*$BT$2,$F$5:$F$229)))"),0.0)</f>
        <v>0</v>
      </c>
      <c r="DE263" s="225"/>
      <c r="DF263" s="225">
        <f>IFERROR(__xludf.DUMMYFUNCTION("COUNT(ARRAYFORMULA(FILTER(DF$5:DF$229,DG$5:DG$229&lt;1,$C$5:$C$229=$BS263,DF$5:DF$229&gt;$BS$5:$BS$229+$BT$5:$BT$229*$BT$2,$F$5:$F$229)))"),0.0)</f>
        <v>0</v>
      </c>
      <c r="DG263" s="225">
        <f>IFERROR(__xludf.DUMMYFUNCTION("COUNT(ARRAYFORMULA(FILTER(DF$5:DF$229,DG$5:DG$229&lt;1,$C$5:$C$229=$BS263,DF$5:DF$229&lt;$BS$5:$BS$229-$BT$5:$BT$229*$BT$2,$F$5:$F$229)))"),1.0)</f>
        <v>1</v>
      </c>
      <c r="DH263" s="225"/>
      <c r="DI263" s="225">
        <f>IFERROR(__xludf.DUMMYFUNCTION("COUNT(ARRAYFORMULA(FILTER(DI$5:DI$229,DJ$5:DJ$229&lt;1,$C$5:$C$229=$BS263,DI$5:DI$229&gt;$BS$5:$BS$229+$BT$5:$BT$229*$BT$2,$F$5:$F$229)))"),1.0)</f>
        <v>1</v>
      </c>
      <c r="DJ263" s="225">
        <f>IFERROR(__xludf.DUMMYFUNCTION("COUNT(ARRAYFORMULA(FILTER(DI$5:DI$229,DJ$5:DJ$229&lt;1,$C$5:$C$229=$BS263,DI$5:DI$229&lt;$BS$5:$BS$229-$BT$5:$BT$229*$BT$2,$F$5:$F$229)))"),2.0)</f>
        <v>2</v>
      </c>
      <c r="DK263" s="225"/>
      <c r="DL263" s="225">
        <f>IFERROR(__xludf.DUMMYFUNCTION("COUNT(ARRAYFORMULA(FILTER(DL$5:DL$229,DM$5:DM$229&lt;1,$C$5:$C$229=$BS263,DL$5:DL$229&gt;$BS$5:$BS$229+$BT$5:$BT$229*$BT$2,$F$5:$F$229)))"),0.0)</f>
        <v>0</v>
      </c>
      <c r="DM263" s="225">
        <f>IFERROR(__xludf.DUMMYFUNCTION("COUNT(ARRAYFORMULA(FILTER(DL$5:DL$229,DM$5:DM$229&lt;1,$C$5:$C$229=$BS263,DL$5:DL$229&lt;$BS$5:$BS$229-$BT$5:$BT$229*$BT$2,$F$5:$F$229)))"),0.0)</f>
        <v>0</v>
      </c>
      <c r="DN263" s="225"/>
      <c r="DO263" s="216"/>
      <c r="DP263" s="225">
        <f>IFERROR(__xludf.DUMMYFUNCTION("COUNT(ARRAYFORMULA(FILTER(DP$5:DP$229,DQ$5:DQ$229&lt;1,$C$5:$C$229=$BS263,DP$5:DP$229&gt;$BS$5:$BS$229+$BT$5:$BT$229*$BT$2,$F$5:$F$229)))"),0.0)</f>
        <v>0</v>
      </c>
      <c r="DQ263" s="225">
        <f>IFERROR(__xludf.DUMMYFUNCTION("COUNT(ARRAYFORMULA(FILTER(DP$5:DP$229,DQ$5:DQ$229&lt;1,$C$5:$C$229=$BS263,DP$5:DP$229&lt;$BS$5:$BS$229-$BT$5:$BT$229*$BT$2,$F$5:$F$229)))"),0.0)</f>
        <v>0</v>
      </c>
      <c r="DR263" s="225"/>
      <c r="DS263" s="225">
        <f>IFERROR(__xludf.DUMMYFUNCTION("COUNT(ARRAYFORMULA(FILTER(DS$5:DS$229,DT$5:DT$229&lt;1,$C$5:$C$229=$BS263,DS$5:DS$229&gt;$BS$5:$BS$229+$BT$5:$BT$229*$BT$2,$F$5:$F$229)))"),0.0)</f>
        <v>0</v>
      </c>
      <c r="DT263" s="225">
        <f>IFERROR(__xludf.DUMMYFUNCTION("COUNT(ARRAYFORMULA(FILTER(DS$5:DS$229,DT$5:DT$229&lt;1,$C$5:$C$229=$BS263,DS$5:DS$229&lt;$BS$5:$BS$229-$BT$5:$BT$229*$BT$2,$F$5:$F$229)))"),0.0)</f>
        <v>0</v>
      </c>
      <c r="DU263" s="225"/>
      <c r="DV263" s="225">
        <f>IFERROR(__xludf.DUMMYFUNCTION("COUNT(ARRAYFORMULA(FILTER(DV$5:DV$229,DW$5:DW$229&lt;1,$C$5:$C$229=$BS263,DV$5:DV$229&gt;$BS$5:$BS$229+$BT$5:$BT$229*$BT$2,$F$5:$F$229)))"),0.0)</f>
        <v>0</v>
      </c>
      <c r="DW263" s="225">
        <f>IFERROR(__xludf.DUMMYFUNCTION("COUNT(ARRAYFORMULA(FILTER(DV$5:DV$229,DW$5:DW$229&lt;1,$C$5:$C$229=$BS263,DV$5:DV$229&lt;$BS$5:$BS$229-$BT$5:$BT$229*$BT$2,$F$5:$F$229)))"),0.0)</f>
        <v>0</v>
      </c>
      <c r="DX263" s="225"/>
      <c r="DY263" s="225">
        <f>IFERROR(__xludf.DUMMYFUNCTION("COUNT(ARRAYFORMULA(FILTER(DY$5:DY$229,DZ$5:DZ$229&lt;1,$C$5:$C$229=$BS263,DY$5:DY$229&gt;$BS$5:$BS$229+$BT$5:$BT$229*$BT$2,$F$5:$F$229)))"),2.0)</f>
        <v>2</v>
      </c>
      <c r="DZ263" s="225">
        <f>IFERROR(__xludf.DUMMYFUNCTION("COUNT(ARRAYFORMULA(FILTER(DY$5:DY$229,DZ$5:DZ$229&lt;1,$C$5:$C$229=$BS263,DY$5:DY$229&lt;$BS$5:$BS$229-$BT$5:$BT$229*$BT$2,$F$5:$F$229)))"),0.0)</f>
        <v>0</v>
      </c>
      <c r="EA263" s="225"/>
      <c r="EB263" s="191"/>
    </row>
    <row r="264">
      <c r="A264" s="2"/>
      <c r="B264" s="192"/>
      <c r="C264" s="192"/>
      <c r="D264" s="192"/>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c r="AA264" s="187"/>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87"/>
      <c r="AY264" s="187"/>
      <c r="AZ264" s="187"/>
      <c r="BA264" s="187"/>
      <c r="BB264" s="187"/>
      <c r="BC264" s="187"/>
      <c r="BD264" s="187"/>
      <c r="BE264" s="187"/>
      <c r="BF264" s="187"/>
      <c r="BG264" s="187"/>
      <c r="BH264" s="187"/>
      <c r="BI264" s="187"/>
      <c r="BJ264" s="187"/>
      <c r="BK264" s="187"/>
      <c r="BL264" s="187"/>
      <c r="BM264" s="187"/>
      <c r="BN264" s="187"/>
      <c r="BO264" s="187"/>
      <c r="BP264" s="187"/>
      <c r="BQ264" s="187"/>
      <c r="BR264" s="206"/>
      <c r="BS264" s="225" t="s">
        <v>507</v>
      </c>
      <c r="BU264" s="206"/>
      <c r="BV264" s="225">
        <f>IFERROR(__xludf.DUMMYFUNCTION("COUNT(ARRAYFORMULA(FILTER(BV$5:BV$229,BW$5:BW$229&lt;1,$C$5:$C$229=$BS264,BV$5:BV$229&gt;$BS$5:$BS$229+$BT$5:$BT$229*$BT$2,$F$5:$F$229)))"),1.0)</f>
        <v>1</v>
      </c>
      <c r="BW264" s="225">
        <f>IFERROR(__xludf.DUMMYFUNCTION("COUNT(ARRAYFORMULA(FILTER(BV$5:BV$229,BW$5:BW$229&lt;1,$C$5:$C$229=$BS264,BV$5:BV$229&lt;$BS$5:$BS$229-$BT$5:$BT$229*$BT$2,$F$5:$F$229)))"),7.0)</f>
        <v>7</v>
      </c>
      <c r="BX264" s="225"/>
      <c r="BY264" s="225">
        <f>IFERROR(__xludf.DUMMYFUNCTION("COUNT(ARRAYFORMULA(FILTER(BY$5:BY$229,BZ$5:BZ$229&lt;1,$C$5:$C$229=$BS264,BY$5:BY$229&gt;$BS$5:$BS$229+$BT$5:$BT$229*$BT$2,$F$5:$F$229)))"),0.0)</f>
        <v>0</v>
      </c>
      <c r="BZ264" s="225">
        <f>IFERROR(__xludf.DUMMYFUNCTION("COUNT(ARRAYFORMULA(FILTER(BY$5:BY$229,BZ$5:BZ$229&lt;1,$C$5:$C$229=$BS264,BY$5:BY$229&lt;$BS$5:$BS$229-$BT$5:$BT$229*$BT$2,$F$5:$F$229)))"),0.0)</f>
        <v>0</v>
      </c>
      <c r="CA264" s="225"/>
      <c r="CB264" s="225">
        <f>IFERROR(__xludf.DUMMYFUNCTION("COUNT(ARRAYFORMULA(FILTER(CB$5:CB$229,CC$5:CC$229&lt;1,$C$5:$C$229=$BS264,CB$5:CB$229&gt;$BS$5:$BS$229+$BT$5:$BT$229*$BT$2,$F$5:$F$229)))"),0.0)</f>
        <v>0</v>
      </c>
      <c r="CC264" s="225">
        <f>IFERROR(__xludf.DUMMYFUNCTION("COUNT(ARRAYFORMULA(FILTER(CB$5:CB$229,CC$5:CC$229&lt;1,$C$5:$C$229=$BS264,CB$5:CB$229&lt;$BS$5:$BS$229-$BT$5:$BT$229*$BT$2,$F$5:$F$229)))"),0.0)</f>
        <v>0</v>
      </c>
      <c r="CD264" s="225"/>
      <c r="CE264" s="216"/>
      <c r="CF264" s="225">
        <f>IFERROR(__xludf.DUMMYFUNCTION("COUNT(ARRAYFORMULA(FILTER(CF$5:CF$229,CG$5:CG$229&lt;1,$C$5:$C$229=$BS264,CF$5:CF$229&gt;$BS$5:$BS$229+$BT$5:$BT$229*$BT$2,$F$5:$F$229)))"),0.0)</f>
        <v>0</v>
      </c>
      <c r="CG264" s="225">
        <f>IFERROR(__xludf.DUMMYFUNCTION("COUNT(ARRAYFORMULA(FILTER(CF$5:CF$229,CG$5:CG$229&lt;1,$C$5:$C$229=$BS264,CF$5:CF$229&lt;$BS$5:$BS$229-$BT$5:$BT$229*$BT$2,$F$5:$F$229)))"),0.0)</f>
        <v>0</v>
      </c>
      <c r="CH264" s="225"/>
      <c r="CI264" s="225">
        <f>IFERROR(__xludf.DUMMYFUNCTION("COUNT(ARRAYFORMULA(FILTER(CI$5:CI$229,CJ$5:CJ$229&lt;1,$C$5:$C$229=$BS264,CI$5:CI$229&gt;$BS$5:$BS$229+$BT$5:$BT$229*$BT$2,$F$5:$F$229)))"),0.0)</f>
        <v>0</v>
      </c>
      <c r="CJ264" s="225">
        <f>IFERROR(__xludf.DUMMYFUNCTION("COUNT(ARRAYFORMULA(FILTER(CI$5:CI$229,CJ$5:CJ$229&lt;1,$C$5:$C$229=$BS264,CI$5:CI$229&lt;$BS$5:$BS$229-$BT$5:$BT$229*$BT$2,$F$5:$F$229)))"),0.0)</f>
        <v>0</v>
      </c>
      <c r="CK264" s="225"/>
      <c r="CL264" s="225">
        <f>IFERROR(__xludf.DUMMYFUNCTION("COUNT(ARRAYFORMULA(FILTER(CL$5:CL$229,CM$5:CM$229&lt;1,$C$5:$C$229=$BS264,CL$5:CL$229&gt;$BS$5:$BS$229+$BT$5:$BT$229*$BT$2,$F$5:$F$229)))"),4.0)</f>
        <v>4</v>
      </c>
      <c r="CM264" s="225">
        <f>IFERROR(__xludf.DUMMYFUNCTION("COUNT(ARRAYFORMULA(FILTER(CL$5:CL$229,CM$5:CM$229&lt;1,$C$5:$C$229=$BS264,CL$5:CL$229&lt;$BS$5:$BS$229-$BT$5:$BT$229*$BT$2,$F$5:$F$229)))"),1.0)</f>
        <v>1</v>
      </c>
      <c r="CN264" s="225"/>
      <c r="CO264" s="216"/>
      <c r="CP264" s="225">
        <f>IFERROR(__xludf.DUMMYFUNCTION("COUNT(ARRAYFORMULA(FILTER(CP$5:CP$229,CQ$5:CQ$229&lt;1,$C$5:$C$229=$BS264,CP$5:CP$229&gt;$BS$5:$BS$229+$BT$5:$BT$229*$BT$2,$F$5:$F$229)))"),2.0)</f>
        <v>2</v>
      </c>
      <c r="CQ264" s="225">
        <f>IFERROR(__xludf.DUMMYFUNCTION("COUNT(ARRAYFORMULA(FILTER(CP$5:CP$229,CQ$5:CQ$229&lt;1,$C$5:$C$229=$BS264,CP$5:CP$229&lt;$BS$5:$BS$229-$BT$5:$BT$229*$BT$2,$F$5:$F$229)))"),1.0)</f>
        <v>1</v>
      </c>
      <c r="CR264" s="225"/>
      <c r="CS264" s="225">
        <f>IFERROR(__xludf.DUMMYFUNCTION("COUNT(ARRAYFORMULA(FILTER(CS$5:CS$229,CT$5:CT$229&lt;1,$C$5:$C$229=$BS264,CS$5:CS$229&gt;$BS$5:$BS$229+$BT$5:$BT$229*$BT$2,$F$5:$F$229)))"),0.0)</f>
        <v>0</v>
      </c>
      <c r="CT264" s="225">
        <f>IFERROR(__xludf.DUMMYFUNCTION("COUNT(ARRAYFORMULA(FILTER(CS$5:CS$229,CT$5:CT$229&lt;1,$C$5:$C$229=$BS264,CS$5:CS$229&lt;$BS$5:$BS$229-$BT$5:$BT$229*$BT$2,$F$5:$F$229)))"),0.0)</f>
        <v>0</v>
      </c>
      <c r="CU264" s="225"/>
      <c r="CV264" s="225">
        <f>IFERROR(__xludf.DUMMYFUNCTION("COUNT(ARRAYFORMULA(FILTER(CV$5:CV$229,CW$5:CW$229&lt;1,$C$5:$C$229=$BS264,CV$5:CV$229&gt;$BS$5:$BS$229+$BT$5:$BT$229*$BT$2,$F$5:$F$229)))"),4.0)</f>
        <v>4</v>
      </c>
      <c r="CW264" s="225">
        <f>IFERROR(__xludf.DUMMYFUNCTION("COUNT(ARRAYFORMULA(FILTER(CV$5:CV$229,CW$5:CW$229&lt;1,$C$5:$C$229=$BS264,CV$5:CV$229&lt;$BS$5:$BS$229-$BT$5:$BT$229*$BT$2,$F$5:$F$229)))"),1.0)</f>
        <v>1</v>
      </c>
      <c r="CX264" s="225"/>
      <c r="CY264" s="216"/>
      <c r="CZ264" s="225">
        <f>IFERROR(__xludf.DUMMYFUNCTION("COUNT(ARRAYFORMULA(FILTER(CZ$5:CZ$229,DA$5:DA$229&lt;1,$C$5:$C$229=$BS264,CZ$5:CZ$229&gt;$BS$5:$BS$229+$BT$5:$BT$229*$BT$2,$F$5:$F$229)))"),1.0)</f>
        <v>1</v>
      </c>
      <c r="DA264" s="225">
        <f>IFERROR(__xludf.DUMMYFUNCTION("COUNT(ARRAYFORMULA(FILTER(CZ$5:CZ$229,DA$5:DA$229&lt;1,$C$5:$C$229=$BS264,CZ$5:CZ$229&lt;$BS$5:$BS$229-$BT$5:$BT$229*$BT$2,$F$5:$F$229)))"),0.0)</f>
        <v>0</v>
      </c>
      <c r="DB264" s="225"/>
      <c r="DC264" s="225">
        <f>IFERROR(__xludf.DUMMYFUNCTION("COUNT(ARRAYFORMULA(FILTER(DC$5:DC$229,DD$5:DD$229&lt;1,$C$5:$C$229=$BS264,DC$5:DC$229&gt;$BS$5:$BS$229+$BT$5:$BT$229*$BT$2,$F$5:$F$229)))"),0.0)</f>
        <v>0</v>
      </c>
      <c r="DD264" s="225">
        <f>IFERROR(__xludf.DUMMYFUNCTION("COUNT(ARRAYFORMULA(FILTER(DC$5:DC$229,DD$5:DD$229&lt;1,$C$5:$C$229=$BS264,DC$5:DC$229&lt;$BS$5:$BS$229-$BT$5:$BT$229*$BT$2,$F$5:$F$229)))"),0.0)</f>
        <v>0</v>
      </c>
      <c r="DE264" s="225"/>
      <c r="DF264" s="225">
        <f>IFERROR(__xludf.DUMMYFUNCTION("COUNT(ARRAYFORMULA(FILTER(DF$5:DF$229,DG$5:DG$229&lt;1,$C$5:$C$229=$BS264,DF$5:DF$229&gt;$BS$5:$BS$229+$BT$5:$BT$229*$BT$2,$F$5:$F$229)))"),0.0)</f>
        <v>0</v>
      </c>
      <c r="DG264" s="225">
        <f>IFERROR(__xludf.DUMMYFUNCTION("COUNT(ARRAYFORMULA(FILTER(DF$5:DF$229,DG$5:DG$229&lt;1,$C$5:$C$229=$BS264,DF$5:DF$229&lt;$BS$5:$BS$229-$BT$5:$BT$229*$BT$2,$F$5:$F$229)))"),0.0)</f>
        <v>0</v>
      </c>
      <c r="DH264" s="225"/>
      <c r="DI264" s="225">
        <f>IFERROR(__xludf.DUMMYFUNCTION("COUNT(ARRAYFORMULA(FILTER(DI$5:DI$229,DJ$5:DJ$229&lt;1,$C$5:$C$229=$BS264,DI$5:DI$229&gt;$BS$5:$BS$229+$BT$5:$BT$229*$BT$2,$F$5:$F$229)))"),5.0)</f>
        <v>5</v>
      </c>
      <c r="DJ264" s="225">
        <f>IFERROR(__xludf.DUMMYFUNCTION("COUNT(ARRAYFORMULA(FILTER(DI$5:DI$229,DJ$5:DJ$229&lt;1,$C$5:$C$229=$BS264,DI$5:DI$229&lt;$BS$5:$BS$229-$BT$5:$BT$229*$BT$2,$F$5:$F$229)))"),6.0)</f>
        <v>6</v>
      </c>
      <c r="DK264" s="225"/>
      <c r="DL264" s="225">
        <f>IFERROR(__xludf.DUMMYFUNCTION("COUNT(ARRAYFORMULA(FILTER(DL$5:DL$229,DM$5:DM$229&lt;1,$C$5:$C$229=$BS264,DL$5:DL$229&gt;$BS$5:$BS$229+$BT$5:$BT$229*$BT$2,$F$5:$F$229)))"),1.0)</f>
        <v>1</v>
      </c>
      <c r="DM264" s="225">
        <f>IFERROR(__xludf.DUMMYFUNCTION("COUNT(ARRAYFORMULA(FILTER(DL$5:DL$229,DM$5:DM$229&lt;1,$C$5:$C$229=$BS264,DL$5:DL$229&lt;$BS$5:$BS$229-$BT$5:$BT$229*$BT$2,$F$5:$F$229)))"),0.0)</f>
        <v>0</v>
      </c>
      <c r="DN264" s="225"/>
      <c r="DO264" s="216"/>
      <c r="DP264" s="225">
        <f>IFERROR(__xludf.DUMMYFUNCTION("COUNT(ARRAYFORMULA(FILTER(DP$5:DP$229,DQ$5:DQ$229&lt;1,$C$5:$C$229=$BS264,DP$5:DP$229&gt;$BS$5:$BS$229+$BT$5:$BT$229*$BT$2,$F$5:$F$229)))"),0.0)</f>
        <v>0</v>
      </c>
      <c r="DQ264" s="225">
        <f>IFERROR(__xludf.DUMMYFUNCTION("COUNT(ARRAYFORMULA(FILTER(DP$5:DP$229,DQ$5:DQ$229&lt;1,$C$5:$C$229=$BS264,DP$5:DP$229&lt;$BS$5:$BS$229-$BT$5:$BT$229*$BT$2,$F$5:$F$229)))"),0.0)</f>
        <v>0</v>
      </c>
      <c r="DR264" s="225"/>
      <c r="DS264" s="225">
        <f>IFERROR(__xludf.DUMMYFUNCTION("COUNT(ARRAYFORMULA(FILTER(DS$5:DS$229,DT$5:DT$229&lt;1,$C$5:$C$229=$BS264,DS$5:DS$229&gt;$BS$5:$BS$229+$BT$5:$BT$229*$BT$2,$F$5:$F$229)))"),0.0)</f>
        <v>0</v>
      </c>
      <c r="DT264" s="225">
        <f>IFERROR(__xludf.DUMMYFUNCTION("COUNT(ARRAYFORMULA(FILTER(DS$5:DS$229,DT$5:DT$229&lt;1,$C$5:$C$229=$BS264,DS$5:DS$229&lt;$BS$5:$BS$229-$BT$5:$BT$229*$BT$2,$F$5:$F$229)))"),0.0)</f>
        <v>0</v>
      </c>
      <c r="DU264" s="225"/>
      <c r="DV264" s="225">
        <f>IFERROR(__xludf.DUMMYFUNCTION("COUNT(ARRAYFORMULA(FILTER(DV$5:DV$229,DW$5:DW$229&lt;1,$C$5:$C$229=$BS264,DV$5:DV$229&gt;$BS$5:$BS$229+$BT$5:$BT$229*$BT$2,$F$5:$F$229)))"),1.0)</f>
        <v>1</v>
      </c>
      <c r="DW264" s="225">
        <f>IFERROR(__xludf.DUMMYFUNCTION("COUNT(ARRAYFORMULA(FILTER(DV$5:DV$229,DW$5:DW$229&lt;1,$C$5:$C$229=$BS264,DV$5:DV$229&lt;$BS$5:$BS$229-$BT$5:$BT$229*$BT$2,$F$5:$F$229)))"),0.0)</f>
        <v>0</v>
      </c>
      <c r="DX264" s="225"/>
      <c r="DY264" s="225">
        <f>IFERROR(__xludf.DUMMYFUNCTION("COUNT(ARRAYFORMULA(FILTER(DY$5:DY$229,DZ$5:DZ$229&lt;1,$C$5:$C$229=$BS264,DY$5:DY$229&gt;$BS$5:$BS$229+$BT$5:$BT$229*$BT$2,$F$5:$F$229)))"),1.0)</f>
        <v>1</v>
      </c>
      <c r="DZ264" s="225">
        <f>IFERROR(__xludf.DUMMYFUNCTION("COUNT(ARRAYFORMULA(FILTER(DY$5:DY$229,DZ$5:DZ$229&lt;1,$C$5:$C$229=$BS264,DY$5:DY$229&lt;$BS$5:$BS$229-$BT$5:$BT$229*$BT$2,$F$5:$F$229)))"),0.0)</f>
        <v>0</v>
      </c>
      <c r="EA264" s="225"/>
      <c r="EB264" s="191"/>
    </row>
    <row r="265">
      <c r="A265" s="2"/>
      <c r="B265" s="192"/>
      <c r="C265" s="192"/>
      <c r="D265" s="192"/>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c r="BA265" s="187"/>
      <c r="BB265" s="187"/>
      <c r="BC265" s="187"/>
      <c r="BD265" s="187"/>
      <c r="BE265" s="187"/>
      <c r="BF265" s="187"/>
      <c r="BG265" s="187"/>
      <c r="BH265" s="187"/>
      <c r="BI265" s="187"/>
      <c r="BJ265" s="187"/>
      <c r="BK265" s="187"/>
      <c r="BL265" s="187"/>
      <c r="BM265" s="187"/>
      <c r="BN265" s="187"/>
      <c r="BO265" s="187"/>
      <c r="BP265" s="187"/>
      <c r="BQ265" s="187"/>
      <c r="BR265" s="206"/>
      <c r="BS265" s="225" t="s">
        <v>540</v>
      </c>
      <c r="BU265" s="206"/>
      <c r="BV265" s="225">
        <f>IFERROR(__xludf.DUMMYFUNCTION("COUNT(ARRAYFORMULA(FILTER(BV$5:BV$229,BW$5:BW$229&lt;1,$C$5:$C$229=$BS265,BV$5:BV$229&gt;$BS$5:$BS$229+$BT$5:$BT$229*$BT$2,$F$5:$F$229)))"),4.0)</f>
        <v>4</v>
      </c>
      <c r="BW265" s="225">
        <f>IFERROR(__xludf.DUMMYFUNCTION("COUNT(ARRAYFORMULA(FILTER(BV$5:BV$229,BW$5:BW$229&lt;1,$C$5:$C$229=$BS265,BV$5:BV$229&lt;$BS$5:$BS$229-$BT$5:$BT$229*$BT$2,$F$5:$F$229)))"),4.0)</f>
        <v>4</v>
      </c>
      <c r="BX265" s="225"/>
      <c r="BY265" s="225">
        <f>IFERROR(__xludf.DUMMYFUNCTION("COUNT(ARRAYFORMULA(FILTER(BY$5:BY$229,BZ$5:BZ$229&lt;1,$C$5:$C$229=$BS265,BY$5:BY$229&gt;$BS$5:$BS$229+$BT$5:$BT$229*$BT$2,$F$5:$F$229)))"),0.0)</f>
        <v>0</v>
      </c>
      <c r="BZ265" s="225">
        <f>IFERROR(__xludf.DUMMYFUNCTION("COUNT(ARRAYFORMULA(FILTER(BY$5:BY$229,BZ$5:BZ$229&lt;1,$C$5:$C$229=$BS265,BY$5:BY$229&lt;$BS$5:$BS$229-$BT$5:$BT$229*$BT$2,$F$5:$F$229)))"),0.0)</f>
        <v>0</v>
      </c>
      <c r="CA265" s="225"/>
      <c r="CB265" s="225">
        <f>IFERROR(__xludf.DUMMYFUNCTION("COUNT(ARRAYFORMULA(FILTER(CB$5:CB$229,CC$5:CC$229&lt;1,$C$5:$C$229=$BS265,CB$5:CB$229&gt;$BS$5:$BS$229+$BT$5:$BT$229*$BT$2,$F$5:$F$229)))"),0.0)</f>
        <v>0</v>
      </c>
      <c r="CC265" s="225">
        <f>IFERROR(__xludf.DUMMYFUNCTION("COUNT(ARRAYFORMULA(FILTER(CB$5:CB$229,CC$5:CC$229&lt;1,$C$5:$C$229=$BS265,CB$5:CB$229&lt;$BS$5:$BS$229-$BT$5:$BT$229*$BT$2,$F$5:$F$229)))"),0.0)</f>
        <v>0</v>
      </c>
      <c r="CD265" s="225"/>
      <c r="CE265" s="216"/>
      <c r="CF265" s="225">
        <f>IFERROR(__xludf.DUMMYFUNCTION("COUNT(ARRAYFORMULA(FILTER(CF$5:CF$229,CG$5:CG$229&lt;1,$C$5:$C$229=$BS265,CF$5:CF$229&gt;$BS$5:$BS$229+$BT$5:$BT$229*$BT$2,$F$5:$F$229)))"),2.0)</f>
        <v>2</v>
      </c>
      <c r="CG265" s="225">
        <f>IFERROR(__xludf.DUMMYFUNCTION("COUNT(ARRAYFORMULA(FILTER(CF$5:CF$229,CG$5:CG$229&lt;1,$C$5:$C$229=$BS265,CF$5:CF$229&lt;$BS$5:$BS$229-$BT$5:$BT$229*$BT$2,$F$5:$F$229)))"),0.0)</f>
        <v>0</v>
      </c>
      <c r="CH265" s="225"/>
      <c r="CI265" s="225">
        <f>IFERROR(__xludf.DUMMYFUNCTION("COUNT(ARRAYFORMULA(FILTER(CI$5:CI$229,CJ$5:CJ$229&lt;1,$C$5:$C$229=$BS265,CI$5:CI$229&gt;$BS$5:$BS$229+$BT$5:$BT$229*$BT$2,$F$5:$F$229)))"),0.0)</f>
        <v>0</v>
      </c>
      <c r="CJ265" s="225">
        <f>IFERROR(__xludf.DUMMYFUNCTION("COUNT(ARRAYFORMULA(FILTER(CI$5:CI$229,CJ$5:CJ$229&lt;1,$C$5:$C$229=$BS265,CI$5:CI$229&lt;$BS$5:$BS$229-$BT$5:$BT$229*$BT$2,$F$5:$F$229)))"),0.0)</f>
        <v>0</v>
      </c>
      <c r="CK265" s="225"/>
      <c r="CL265" s="225">
        <f>IFERROR(__xludf.DUMMYFUNCTION("COUNT(ARRAYFORMULA(FILTER(CL$5:CL$229,CM$5:CM$229&lt;1,$C$5:$C$229=$BS265,CL$5:CL$229&gt;$BS$5:$BS$229+$BT$5:$BT$229*$BT$2,$F$5:$F$229)))"),1.0)</f>
        <v>1</v>
      </c>
      <c r="CM265" s="225">
        <f>IFERROR(__xludf.DUMMYFUNCTION("COUNT(ARRAYFORMULA(FILTER(CL$5:CL$229,CM$5:CM$229&lt;1,$C$5:$C$229=$BS265,CL$5:CL$229&lt;$BS$5:$BS$229-$BT$5:$BT$229*$BT$2,$F$5:$F$229)))"),2.0)</f>
        <v>2</v>
      </c>
      <c r="CN265" s="225"/>
      <c r="CO265" s="216"/>
      <c r="CP265" s="225">
        <f>IFERROR(__xludf.DUMMYFUNCTION("COUNT(ARRAYFORMULA(FILTER(CP$5:CP$229,CQ$5:CQ$229&lt;1,$C$5:$C$229=$BS265,CP$5:CP$229&gt;$BS$5:$BS$229+$BT$5:$BT$229*$BT$2,$F$5:$F$229)))"),0.0)</f>
        <v>0</v>
      </c>
      <c r="CQ265" s="225">
        <f>IFERROR(__xludf.DUMMYFUNCTION("COUNT(ARRAYFORMULA(FILTER(CP$5:CP$229,CQ$5:CQ$229&lt;1,$C$5:$C$229=$BS265,CP$5:CP$229&lt;$BS$5:$BS$229-$BT$5:$BT$229*$BT$2,$F$5:$F$229)))"),0.0)</f>
        <v>0</v>
      </c>
      <c r="CR265" s="225"/>
      <c r="CS265" s="225">
        <f>IFERROR(__xludf.DUMMYFUNCTION("COUNT(ARRAYFORMULA(FILTER(CS$5:CS$229,CT$5:CT$229&lt;1,$C$5:$C$229=$BS265,CS$5:CS$229&gt;$BS$5:$BS$229+$BT$5:$BT$229*$BT$2,$F$5:$F$229)))"),0.0)</f>
        <v>0</v>
      </c>
      <c r="CT265" s="225">
        <f>IFERROR(__xludf.DUMMYFUNCTION("COUNT(ARRAYFORMULA(FILTER(CS$5:CS$229,CT$5:CT$229&lt;1,$C$5:$C$229=$BS265,CS$5:CS$229&lt;$BS$5:$BS$229-$BT$5:$BT$229*$BT$2,$F$5:$F$229)))"),0.0)</f>
        <v>0</v>
      </c>
      <c r="CU265" s="225"/>
      <c r="CV265" s="225">
        <f>IFERROR(__xludf.DUMMYFUNCTION("COUNT(ARRAYFORMULA(FILTER(CV$5:CV$229,CW$5:CW$229&lt;1,$C$5:$C$229=$BS265,CV$5:CV$229&gt;$BS$5:$BS$229+$BT$5:$BT$229*$BT$2,$F$5:$F$229)))"),1.0)</f>
        <v>1</v>
      </c>
      <c r="CW265" s="225">
        <f>IFERROR(__xludf.DUMMYFUNCTION("COUNT(ARRAYFORMULA(FILTER(CV$5:CV$229,CW$5:CW$229&lt;1,$C$5:$C$229=$BS265,CV$5:CV$229&lt;$BS$5:$BS$229-$BT$5:$BT$229*$BT$2,$F$5:$F$229)))"),2.0)</f>
        <v>2</v>
      </c>
      <c r="CX265" s="225"/>
      <c r="CY265" s="216"/>
      <c r="CZ265" s="225">
        <f>IFERROR(__xludf.DUMMYFUNCTION("COUNT(ARRAYFORMULA(FILTER(CZ$5:CZ$229,DA$5:DA$229&lt;1,$C$5:$C$229=$BS265,CZ$5:CZ$229&gt;$BS$5:$BS$229+$BT$5:$BT$229*$BT$2,$F$5:$F$229)))"),1.0)</f>
        <v>1</v>
      </c>
      <c r="DA265" s="225">
        <f>IFERROR(__xludf.DUMMYFUNCTION("COUNT(ARRAYFORMULA(FILTER(CZ$5:CZ$229,DA$5:DA$229&lt;1,$C$5:$C$229=$BS265,CZ$5:CZ$229&lt;$BS$5:$BS$229-$BT$5:$BT$229*$BT$2,$F$5:$F$229)))"),0.0)</f>
        <v>0</v>
      </c>
      <c r="DB265" s="225"/>
      <c r="DC265" s="225">
        <f>IFERROR(__xludf.DUMMYFUNCTION("COUNT(ARRAYFORMULA(FILTER(DC$5:DC$229,DD$5:DD$229&lt;1,$C$5:$C$229=$BS265,DC$5:DC$229&gt;$BS$5:$BS$229+$BT$5:$BT$229*$BT$2,$F$5:$F$229)))"),0.0)</f>
        <v>0</v>
      </c>
      <c r="DD265" s="225">
        <f>IFERROR(__xludf.DUMMYFUNCTION("COUNT(ARRAYFORMULA(FILTER(DC$5:DC$229,DD$5:DD$229&lt;1,$C$5:$C$229=$BS265,DC$5:DC$229&lt;$BS$5:$BS$229-$BT$5:$BT$229*$BT$2,$F$5:$F$229)))"),0.0)</f>
        <v>0</v>
      </c>
      <c r="DE265" s="225"/>
      <c r="DF265" s="225">
        <f>IFERROR(__xludf.DUMMYFUNCTION("COUNT(ARRAYFORMULA(FILTER(DF$5:DF$229,DG$5:DG$229&lt;1,$C$5:$C$229=$BS265,DF$5:DF$229&gt;$BS$5:$BS$229+$BT$5:$BT$229*$BT$2,$F$5:$F$229)))"),1.0)</f>
        <v>1</v>
      </c>
      <c r="DG265" s="225">
        <f>IFERROR(__xludf.DUMMYFUNCTION("COUNT(ARRAYFORMULA(FILTER(DF$5:DF$229,DG$5:DG$229&lt;1,$C$5:$C$229=$BS265,DF$5:DF$229&lt;$BS$5:$BS$229-$BT$5:$BT$229*$BT$2,$F$5:$F$229)))"),0.0)</f>
        <v>0</v>
      </c>
      <c r="DH265" s="225"/>
      <c r="DI265" s="225">
        <f>IFERROR(__xludf.DUMMYFUNCTION("COUNT(ARRAYFORMULA(FILTER(DI$5:DI$229,DJ$5:DJ$229&lt;1,$C$5:$C$229=$BS265,DI$5:DI$229&gt;$BS$5:$BS$229+$BT$5:$BT$229*$BT$2,$F$5:$F$229)))"),7.0)</f>
        <v>7</v>
      </c>
      <c r="DJ265" s="225">
        <f>IFERROR(__xludf.DUMMYFUNCTION("COUNT(ARRAYFORMULA(FILTER(DI$5:DI$229,DJ$5:DJ$229&lt;1,$C$5:$C$229=$BS265,DI$5:DI$229&lt;$BS$5:$BS$229-$BT$5:$BT$229*$BT$2,$F$5:$F$229)))"),3.0)</f>
        <v>3</v>
      </c>
      <c r="DK265" s="225"/>
      <c r="DL265" s="225">
        <f>IFERROR(__xludf.DUMMYFUNCTION("COUNT(ARRAYFORMULA(FILTER(DL$5:DL$229,DM$5:DM$229&lt;1,$C$5:$C$229=$BS265,DL$5:DL$229&gt;$BS$5:$BS$229+$BT$5:$BT$229*$BT$2,$F$5:$F$229)))"),1.0)</f>
        <v>1</v>
      </c>
      <c r="DM265" s="225">
        <f>IFERROR(__xludf.DUMMYFUNCTION("COUNT(ARRAYFORMULA(FILTER(DL$5:DL$229,DM$5:DM$229&lt;1,$C$5:$C$229=$BS265,DL$5:DL$229&lt;$BS$5:$BS$229-$BT$5:$BT$229*$BT$2,$F$5:$F$229)))"),0.0)</f>
        <v>0</v>
      </c>
      <c r="DN265" s="225"/>
      <c r="DO265" s="216"/>
      <c r="DP265" s="225">
        <f>IFERROR(__xludf.DUMMYFUNCTION("COUNT(ARRAYFORMULA(FILTER(DP$5:DP$229,DQ$5:DQ$229&lt;1,$C$5:$C$229=$BS265,DP$5:DP$229&gt;$BS$5:$BS$229+$BT$5:$BT$229*$BT$2,$F$5:$F$229)))"),0.0)</f>
        <v>0</v>
      </c>
      <c r="DQ265" s="225">
        <f>IFERROR(__xludf.DUMMYFUNCTION("COUNT(ARRAYFORMULA(FILTER(DP$5:DP$229,DQ$5:DQ$229&lt;1,$C$5:$C$229=$BS265,DP$5:DP$229&lt;$BS$5:$BS$229-$BT$5:$BT$229*$BT$2,$F$5:$F$229)))"),0.0)</f>
        <v>0</v>
      </c>
      <c r="DR265" s="225"/>
      <c r="DS265" s="225">
        <f>IFERROR(__xludf.DUMMYFUNCTION("COUNT(ARRAYFORMULA(FILTER(DS$5:DS$229,DT$5:DT$229&lt;1,$C$5:$C$229=$BS265,DS$5:DS$229&gt;$BS$5:$BS$229+$BT$5:$BT$229*$BT$2,$F$5:$F$229)))"),0.0)</f>
        <v>0</v>
      </c>
      <c r="DT265" s="225">
        <f>IFERROR(__xludf.DUMMYFUNCTION("COUNT(ARRAYFORMULA(FILTER(DS$5:DS$229,DT$5:DT$229&lt;1,$C$5:$C$229=$BS265,DS$5:DS$229&lt;$BS$5:$BS$229-$BT$5:$BT$229*$BT$2,$F$5:$F$229)))"),0.0)</f>
        <v>0</v>
      </c>
      <c r="DU265" s="225"/>
      <c r="DV265" s="225">
        <f>IFERROR(__xludf.DUMMYFUNCTION("COUNT(ARRAYFORMULA(FILTER(DV$5:DV$229,DW$5:DW$229&lt;1,$C$5:$C$229=$BS265,DV$5:DV$229&gt;$BS$5:$BS$229+$BT$5:$BT$229*$BT$2,$F$5:$F$229)))"),3.0)</f>
        <v>3</v>
      </c>
      <c r="DW265" s="225">
        <f>IFERROR(__xludf.DUMMYFUNCTION("COUNT(ARRAYFORMULA(FILTER(DV$5:DV$229,DW$5:DW$229&lt;1,$C$5:$C$229=$BS265,DV$5:DV$229&lt;$BS$5:$BS$229-$BT$5:$BT$229*$BT$2,$F$5:$F$229)))"),3.0)</f>
        <v>3</v>
      </c>
      <c r="DX265" s="225"/>
      <c r="DY265" s="225">
        <f>IFERROR(__xludf.DUMMYFUNCTION("COUNT(ARRAYFORMULA(FILTER(DY$5:DY$229,DZ$5:DZ$229&lt;1,$C$5:$C$229=$BS265,DY$5:DY$229&gt;$BS$5:$BS$229+$BT$5:$BT$229*$BT$2,$F$5:$F$229)))"),1.0)</f>
        <v>1</v>
      </c>
      <c r="DZ265" s="225">
        <f>IFERROR(__xludf.DUMMYFUNCTION("COUNT(ARRAYFORMULA(FILTER(DY$5:DY$229,DZ$5:DZ$229&lt;1,$C$5:$C$229=$BS265,DY$5:DY$229&lt;$BS$5:$BS$229-$BT$5:$BT$229*$BT$2,$F$5:$F$229)))"),1.0)</f>
        <v>1</v>
      </c>
      <c r="EA265" s="225"/>
      <c r="EB265" s="191"/>
    </row>
    <row r="266">
      <c r="A266" s="2"/>
      <c r="B266" s="192"/>
      <c r="C266" s="192"/>
      <c r="D266" s="192"/>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c r="AA266" s="187"/>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87"/>
      <c r="AY266" s="187"/>
      <c r="AZ266" s="187"/>
      <c r="BA266" s="187"/>
      <c r="BB266" s="187"/>
      <c r="BC266" s="187"/>
      <c r="BD266" s="187"/>
      <c r="BE266" s="187"/>
      <c r="BF266" s="187"/>
      <c r="BG266" s="187"/>
      <c r="BH266" s="187"/>
      <c r="BI266" s="187"/>
      <c r="BJ266" s="187"/>
      <c r="BK266" s="187"/>
      <c r="BL266" s="187"/>
      <c r="BM266" s="187"/>
      <c r="BN266" s="187"/>
      <c r="BO266" s="187"/>
      <c r="BP266" s="187"/>
      <c r="BQ266" s="187"/>
      <c r="BR266" s="206"/>
      <c r="BS266" s="225" t="s">
        <v>601</v>
      </c>
      <c r="BU266" s="206"/>
      <c r="BV266" s="225">
        <f>IFERROR(__xludf.DUMMYFUNCTION("COUNT(ARRAYFORMULA(FILTER(BV$5:BV$229,BW$5:BW$229&lt;1,$C$5:$C$229=$BS266,BV$5:BV$229&gt;$BS$5:$BS$229+$BT$5:$BT$229*$BT$2,$F$5:$F$229)))"),0.0)</f>
        <v>0</v>
      </c>
      <c r="BW266" s="225">
        <f>IFERROR(__xludf.DUMMYFUNCTION("COUNT(ARRAYFORMULA(FILTER(BV$5:BV$229,BW$5:BW$229&lt;1,$C$5:$C$229=$BS266,BV$5:BV$229&lt;$BS$5:$BS$229-$BT$5:$BT$229*$BT$2,$F$5:$F$229)))"),3.0)</f>
        <v>3</v>
      </c>
      <c r="BX266" s="225"/>
      <c r="BY266" s="225">
        <f>IFERROR(__xludf.DUMMYFUNCTION("COUNT(ARRAYFORMULA(FILTER(BY$5:BY$229,BZ$5:BZ$229&lt;1,$C$5:$C$229=$BS266,BY$5:BY$229&gt;$BS$5:$BS$229+$BT$5:$BT$229*$BT$2,$F$5:$F$229)))"),0.0)</f>
        <v>0</v>
      </c>
      <c r="BZ266" s="225">
        <f>IFERROR(__xludf.DUMMYFUNCTION("COUNT(ARRAYFORMULA(FILTER(BY$5:BY$229,BZ$5:BZ$229&lt;1,$C$5:$C$229=$BS266,BY$5:BY$229&lt;$BS$5:$BS$229-$BT$5:$BT$229*$BT$2,$F$5:$F$229)))"),0.0)</f>
        <v>0</v>
      </c>
      <c r="CA266" s="225"/>
      <c r="CB266" s="225">
        <f>IFERROR(__xludf.DUMMYFUNCTION("COUNT(ARRAYFORMULA(FILTER(CB$5:CB$229,CC$5:CC$229&lt;1,$C$5:$C$229=$BS266,CB$5:CB$229&gt;$BS$5:$BS$229+$BT$5:$BT$229*$BT$2,$F$5:$F$229)))"),0.0)</f>
        <v>0</v>
      </c>
      <c r="CC266" s="225">
        <f>IFERROR(__xludf.DUMMYFUNCTION("COUNT(ARRAYFORMULA(FILTER(CB$5:CB$229,CC$5:CC$229&lt;1,$C$5:$C$229=$BS266,CB$5:CB$229&lt;$BS$5:$BS$229-$BT$5:$BT$229*$BT$2,$F$5:$F$229)))"),1.0)</f>
        <v>1</v>
      </c>
      <c r="CD266" s="225"/>
      <c r="CE266" s="216"/>
      <c r="CF266" s="225">
        <f>IFERROR(__xludf.DUMMYFUNCTION("COUNT(ARRAYFORMULA(FILTER(CF$5:CF$229,CG$5:CG$229&lt;1,$C$5:$C$229=$BS266,CF$5:CF$229&gt;$BS$5:$BS$229+$BT$5:$BT$229*$BT$2,$F$5:$F$229)))"),0.0)</f>
        <v>0</v>
      </c>
      <c r="CG266" s="225">
        <f>IFERROR(__xludf.DUMMYFUNCTION("COUNT(ARRAYFORMULA(FILTER(CF$5:CF$229,CG$5:CG$229&lt;1,$C$5:$C$229=$BS266,CF$5:CF$229&lt;$BS$5:$BS$229-$BT$5:$BT$229*$BT$2,$F$5:$F$229)))"),0.0)</f>
        <v>0</v>
      </c>
      <c r="CH266" s="225"/>
      <c r="CI266" s="225">
        <f>IFERROR(__xludf.DUMMYFUNCTION("COUNT(ARRAYFORMULA(FILTER(CI$5:CI$229,CJ$5:CJ$229&lt;1,$C$5:$C$229=$BS266,CI$5:CI$229&gt;$BS$5:$BS$229+$BT$5:$BT$229*$BT$2,$F$5:$F$229)))"),0.0)</f>
        <v>0</v>
      </c>
      <c r="CJ266" s="225">
        <f>IFERROR(__xludf.DUMMYFUNCTION("COUNT(ARRAYFORMULA(FILTER(CI$5:CI$229,CJ$5:CJ$229&lt;1,$C$5:$C$229=$BS266,CI$5:CI$229&lt;$BS$5:$BS$229-$BT$5:$BT$229*$BT$2,$F$5:$F$229)))"),0.0)</f>
        <v>0</v>
      </c>
      <c r="CK266" s="225"/>
      <c r="CL266" s="225">
        <f>IFERROR(__xludf.DUMMYFUNCTION("COUNT(ARRAYFORMULA(FILTER(CL$5:CL$229,CM$5:CM$229&lt;1,$C$5:$C$229=$BS266,CL$5:CL$229&gt;$BS$5:$BS$229+$BT$5:$BT$229*$BT$2,$F$5:$F$229)))"),1.0)</f>
        <v>1</v>
      </c>
      <c r="CM266" s="225">
        <f>IFERROR(__xludf.DUMMYFUNCTION("COUNT(ARRAYFORMULA(FILTER(CL$5:CL$229,CM$5:CM$229&lt;1,$C$5:$C$229=$BS266,CL$5:CL$229&lt;$BS$5:$BS$229-$BT$5:$BT$229*$BT$2,$F$5:$F$229)))"),2.0)</f>
        <v>2</v>
      </c>
      <c r="CN266" s="225"/>
      <c r="CO266" s="216"/>
      <c r="CP266" s="225">
        <f>IFERROR(__xludf.DUMMYFUNCTION("COUNT(ARRAYFORMULA(FILTER(CP$5:CP$229,CQ$5:CQ$229&lt;1,$C$5:$C$229=$BS266,CP$5:CP$229&gt;$BS$5:$BS$229+$BT$5:$BT$229*$BT$2,$F$5:$F$229)))"),0.0)</f>
        <v>0</v>
      </c>
      <c r="CQ266" s="225">
        <f>IFERROR(__xludf.DUMMYFUNCTION("COUNT(ARRAYFORMULA(FILTER(CP$5:CP$229,CQ$5:CQ$229&lt;1,$C$5:$C$229=$BS266,CP$5:CP$229&lt;$BS$5:$BS$229-$BT$5:$BT$229*$BT$2,$F$5:$F$229)))"),0.0)</f>
        <v>0</v>
      </c>
      <c r="CR266" s="225"/>
      <c r="CS266" s="225">
        <f>IFERROR(__xludf.DUMMYFUNCTION("COUNT(ARRAYFORMULA(FILTER(CS$5:CS$229,CT$5:CT$229&lt;1,$C$5:$C$229=$BS266,CS$5:CS$229&gt;$BS$5:$BS$229+$BT$5:$BT$229*$BT$2,$F$5:$F$229)))"),0.0)</f>
        <v>0</v>
      </c>
      <c r="CT266" s="225">
        <f>IFERROR(__xludf.DUMMYFUNCTION("COUNT(ARRAYFORMULA(FILTER(CS$5:CS$229,CT$5:CT$229&lt;1,$C$5:$C$229=$BS266,CS$5:CS$229&lt;$BS$5:$BS$229-$BT$5:$BT$229*$BT$2,$F$5:$F$229)))"),0.0)</f>
        <v>0</v>
      </c>
      <c r="CU266" s="225"/>
      <c r="CV266" s="225">
        <f>IFERROR(__xludf.DUMMYFUNCTION("COUNT(ARRAYFORMULA(FILTER(CV$5:CV$229,CW$5:CW$229&lt;1,$C$5:$C$229=$BS266,CV$5:CV$229&gt;$BS$5:$BS$229+$BT$5:$BT$229*$BT$2,$F$5:$F$229)))"),1.0)</f>
        <v>1</v>
      </c>
      <c r="CW266" s="225">
        <f>IFERROR(__xludf.DUMMYFUNCTION("COUNT(ARRAYFORMULA(FILTER(CV$5:CV$229,CW$5:CW$229&lt;1,$C$5:$C$229=$BS266,CV$5:CV$229&lt;$BS$5:$BS$229-$BT$5:$BT$229*$BT$2,$F$5:$F$229)))"),2.0)</f>
        <v>2</v>
      </c>
      <c r="CX266" s="225"/>
      <c r="CY266" s="216"/>
      <c r="CZ266" s="225">
        <f>IFERROR(__xludf.DUMMYFUNCTION("COUNT(ARRAYFORMULA(FILTER(CZ$5:CZ$229,DA$5:DA$229&lt;1,$C$5:$C$229=$BS266,CZ$5:CZ$229&gt;$BS$5:$BS$229+$BT$5:$BT$229*$BT$2,$F$5:$F$229)))"),0.0)</f>
        <v>0</v>
      </c>
      <c r="DA266" s="225">
        <f>IFERROR(__xludf.DUMMYFUNCTION("COUNT(ARRAYFORMULA(FILTER(CZ$5:CZ$229,DA$5:DA$229&lt;1,$C$5:$C$229=$BS266,CZ$5:CZ$229&lt;$BS$5:$BS$229-$BT$5:$BT$229*$BT$2,$F$5:$F$229)))"),0.0)</f>
        <v>0</v>
      </c>
      <c r="DB266" s="225"/>
      <c r="DC266" s="225">
        <f>IFERROR(__xludf.DUMMYFUNCTION("COUNT(ARRAYFORMULA(FILTER(DC$5:DC$229,DD$5:DD$229&lt;1,$C$5:$C$229=$BS266,DC$5:DC$229&gt;$BS$5:$BS$229+$BT$5:$BT$229*$BT$2,$F$5:$F$229)))"),0.0)</f>
        <v>0</v>
      </c>
      <c r="DD266" s="225">
        <f>IFERROR(__xludf.DUMMYFUNCTION("COUNT(ARRAYFORMULA(FILTER(DC$5:DC$229,DD$5:DD$229&lt;1,$C$5:$C$229=$BS266,DC$5:DC$229&lt;$BS$5:$BS$229-$BT$5:$BT$229*$BT$2,$F$5:$F$229)))"),1.0)</f>
        <v>1</v>
      </c>
      <c r="DE266" s="225"/>
      <c r="DF266" s="225">
        <f>IFERROR(__xludf.DUMMYFUNCTION("COUNT(ARRAYFORMULA(FILTER(DF$5:DF$229,DG$5:DG$229&lt;1,$C$5:$C$229=$BS266,DF$5:DF$229&gt;$BS$5:$BS$229+$BT$5:$BT$229*$BT$2,$F$5:$F$229)))"),0.0)</f>
        <v>0</v>
      </c>
      <c r="DG266" s="225">
        <f>IFERROR(__xludf.DUMMYFUNCTION("COUNT(ARRAYFORMULA(FILTER(DF$5:DF$229,DG$5:DG$229&lt;1,$C$5:$C$229=$BS266,DF$5:DF$229&lt;$BS$5:$BS$229-$BT$5:$BT$229*$BT$2,$F$5:$F$229)))"),0.0)</f>
        <v>0</v>
      </c>
      <c r="DH266" s="225"/>
      <c r="DI266" s="225">
        <f>IFERROR(__xludf.DUMMYFUNCTION("COUNT(ARRAYFORMULA(FILTER(DI$5:DI$229,DJ$5:DJ$229&lt;1,$C$5:$C$229=$BS266,DI$5:DI$229&gt;$BS$5:$BS$229+$BT$5:$BT$229*$BT$2,$F$5:$F$229)))"),2.0)</f>
        <v>2</v>
      </c>
      <c r="DJ266" s="225">
        <f>IFERROR(__xludf.DUMMYFUNCTION("COUNT(ARRAYFORMULA(FILTER(DI$5:DI$229,DJ$5:DJ$229&lt;1,$C$5:$C$229=$BS266,DI$5:DI$229&lt;$BS$5:$BS$229-$BT$5:$BT$229*$BT$2,$F$5:$F$229)))"),3.0)</f>
        <v>3</v>
      </c>
      <c r="DK266" s="225"/>
      <c r="DL266" s="225">
        <f>IFERROR(__xludf.DUMMYFUNCTION("COUNT(ARRAYFORMULA(FILTER(DL$5:DL$229,DM$5:DM$229&lt;1,$C$5:$C$229=$BS266,DL$5:DL$229&gt;$BS$5:$BS$229+$BT$5:$BT$229*$BT$2,$F$5:$F$229)))"),0.0)</f>
        <v>0</v>
      </c>
      <c r="DM266" s="225">
        <f>IFERROR(__xludf.DUMMYFUNCTION("COUNT(ARRAYFORMULA(FILTER(DL$5:DL$229,DM$5:DM$229&lt;1,$C$5:$C$229=$BS266,DL$5:DL$229&lt;$BS$5:$BS$229-$BT$5:$BT$229*$BT$2,$F$5:$F$229)))"),0.0)</f>
        <v>0</v>
      </c>
      <c r="DN266" s="225"/>
      <c r="DO266" s="216"/>
      <c r="DP266" s="225">
        <f>IFERROR(__xludf.DUMMYFUNCTION("COUNT(ARRAYFORMULA(FILTER(DP$5:DP$229,DQ$5:DQ$229&lt;1,$C$5:$C$229=$BS266,DP$5:DP$229&gt;$BS$5:$BS$229+$BT$5:$BT$229*$BT$2,$F$5:$F$229)))"),0.0)</f>
        <v>0</v>
      </c>
      <c r="DQ266" s="225">
        <f>IFERROR(__xludf.DUMMYFUNCTION("COUNT(ARRAYFORMULA(FILTER(DP$5:DP$229,DQ$5:DQ$229&lt;1,$C$5:$C$229=$BS266,DP$5:DP$229&lt;$BS$5:$BS$229-$BT$5:$BT$229*$BT$2,$F$5:$F$229)))"),0.0)</f>
        <v>0</v>
      </c>
      <c r="DR266" s="225"/>
      <c r="DS266" s="225">
        <f>IFERROR(__xludf.DUMMYFUNCTION("COUNT(ARRAYFORMULA(FILTER(DS$5:DS$229,DT$5:DT$229&lt;1,$C$5:$C$229=$BS266,DS$5:DS$229&gt;$BS$5:$BS$229+$BT$5:$BT$229*$BT$2,$F$5:$F$229)))"),0.0)</f>
        <v>0</v>
      </c>
      <c r="DT266" s="225">
        <f>IFERROR(__xludf.DUMMYFUNCTION("COUNT(ARRAYFORMULA(FILTER(DS$5:DS$229,DT$5:DT$229&lt;1,$C$5:$C$229=$BS266,DS$5:DS$229&lt;$BS$5:$BS$229-$BT$5:$BT$229*$BT$2,$F$5:$F$229)))"),1.0)</f>
        <v>1</v>
      </c>
      <c r="DU266" s="225"/>
      <c r="DV266" s="225">
        <f>IFERROR(__xludf.DUMMYFUNCTION("COUNT(ARRAYFORMULA(FILTER(DV$5:DV$229,DW$5:DW$229&lt;1,$C$5:$C$229=$BS266,DV$5:DV$229&gt;$BS$5:$BS$229+$BT$5:$BT$229*$BT$2,$F$5:$F$229)))"),1.0)</f>
        <v>1</v>
      </c>
      <c r="DW266" s="225">
        <f>IFERROR(__xludf.DUMMYFUNCTION("COUNT(ARRAYFORMULA(FILTER(DV$5:DV$229,DW$5:DW$229&lt;1,$C$5:$C$229=$BS266,DV$5:DV$229&lt;$BS$5:$BS$229-$BT$5:$BT$229*$BT$2,$F$5:$F$229)))"),0.0)</f>
        <v>0</v>
      </c>
      <c r="DX266" s="225"/>
      <c r="DY266" s="225">
        <f>IFERROR(__xludf.DUMMYFUNCTION("COUNT(ARRAYFORMULA(FILTER(DY$5:DY$229,DZ$5:DZ$229&lt;1,$C$5:$C$229=$BS266,DY$5:DY$229&gt;$BS$5:$BS$229+$BT$5:$BT$229*$BT$2,$F$5:$F$229)))"),1.0)</f>
        <v>1</v>
      </c>
      <c r="DZ266" s="225">
        <f>IFERROR(__xludf.DUMMYFUNCTION("COUNT(ARRAYFORMULA(FILTER(DY$5:DY$229,DZ$5:DZ$229&lt;1,$C$5:$C$229=$BS266,DY$5:DY$229&lt;$BS$5:$BS$229-$BT$5:$BT$229*$BT$2,$F$5:$F$229)))"),0.0)</f>
        <v>0</v>
      </c>
      <c r="EA266" s="225"/>
      <c r="EB266" s="191"/>
    </row>
    <row r="267">
      <c r="A267" s="2"/>
      <c r="B267" s="192"/>
      <c r="C267" s="192"/>
      <c r="D267" s="192"/>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c r="AA267" s="187"/>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87"/>
      <c r="AY267" s="187"/>
      <c r="AZ267" s="187"/>
      <c r="BA267" s="187"/>
      <c r="BB267" s="187"/>
      <c r="BC267" s="187"/>
      <c r="BD267" s="187"/>
      <c r="BE267" s="187"/>
      <c r="BF267" s="187"/>
      <c r="BG267" s="187"/>
      <c r="BH267" s="187"/>
      <c r="BI267" s="187"/>
      <c r="BJ267" s="187"/>
      <c r="BK267" s="187"/>
      <c r="BL267" s="187"/>
      <c r="BM267" s="187"/>
      <c r="BN267" s="187"/>
      <c r="BO267" s="187"/>
      <c r="BP267" s="187"/>
      <c r="BQ267" s="187"/>
      <c r="BR267" s="206"/>
      <c r="BS267" s="225" t="s">
        <v>630</v>
      </c>
      <c r="BU267" s="206"/>
      <c r="BV267" s="225">
        <f>IFERROR(__xludf.DUMMYFUNCTION("COUNT(ARRAYFORMULA(FILTER(BV$5:BV$229,BW$5:BW$229&lt;1,$C$5:$C$229=$BS267,BV$5:BV$229&gt;$BS$5:$BS$229+$BT$5:$BT$229*$BT$2,$F$5:$F$229)))"),0.0)</f>
        <v>0</v>
      </c>
      <c r="BW267" s="225">
        <f>IFERROR(__xludf.DUMMYFUNCTION("COUNT(ARRAYFORMULA(FILTER(BV$5:BV$229,BW$5:BW$229&lt;1,$C$5:$C$229=$BS267,BV$5:BV$229&lt;$BS$5:$BS$229-$BT$5:$BT$229*$BT$2,$F$5:$F$229)))"),1.0)</f>
        <v>1</v>
      </c>
      <c r="BX267" s="225"/>
      <c r="BY267" s="225">
        <f>IFERROR(__xludf.DUMMYFUNCTION("COUNT(ARRAYFORMULA(FILTER(BY$5:BY$229,BZ$5:BZ$229&lt;1,$C$5:$C$229=$BS267,BY$5:BY$229&gt;$BS$5:$BS$229+$BT$5:$BT$229*$BT$2,$F$5:$F$229)))"),0.0)</f>
        <v>0</v>
      </c>
      <c r="BZ267" s="225">
        <f>IFERROR(__xludf.DUMMYFUNCTION("COUNT(ARRAYFORMULA(FILTER(BY$5:BY$229,BZ$5:BZ$229&lt;1,$C$5:$C$229=$BS267,BY$5:BY$229&lt;$BS$5:$BS$229-$BT$5:$BT$229*$BT$2,$F$5:$F$229)))"),0.0)</f>
        <v>0</v>
      </c>
      <c r="CA267" s="225"/>
      <c r="CB267" s="225">
        <f>IFERROR(__xludf.DUMMYFUNCTION("COUNT(ARRAYFORMULA(FILTER(CB$5:CB$229,CC$5:CC$229&lt;1,$C$5:$C$229=$BS267,CB$5:CB$229&gt;$BS$5:$BS$229+$BT$5:$BT$229*$BT$2,$F$5:$F$229)))"),1.0)</f>
        <v>1</v>
      </c>
      <c r="CC267" s="225">
        <f>IFERROR(__xludf.DUMMYFUNCTION("COUNT(ARRAYFORMULA(FILTER(CB$5:CB$229,CC$5:CC$229&lt;1,$C$5:$C$229=$BS267,CB$5:CB$229&lt;$BS$5:$BS$229-$BT$5:$BT$229*$BT$2,$F$5:$F$229)))"),0.0)</f>
        <v>0</v>
      </c>
      <c r="CD267" s="225"/>
      <c r="CE267" s="216"/>
      <c r="CF267" s="225">
        <f>IFERROR(__xludf.DUMMYFUNCTION("COUNT(ARRAYFORMULA(FILTER(CF$5:CF$229,CG$5:CG$229&lt;1,$C$5:$C$229=$BS267,CF$5:CF$229&gt;$BS$5:$BS$229+$BT$5:$BT$229*$BT$2,$F$5:$F$229)))"),0.0)</f>
        <v>0</v>
      </c>
      <c r="CG267" s="225">
        <f>IFERROR(__xludf.DUMMYFUNCTION("COUNT(ARRAYFORMULA(FILTER(CF$5:CF$229,CG$5:CG$229&lt;1,$C$5:$C$229=$BS267,CF$5:CF$229&lt;$BS$5:$BS$229-$BT$5:$BT$229*$BT$2,$F$5:$F$229)))"),0.0)</f>
        <v>0</v>
      </c>
      <c r="CH267" s="225"/>
      <c r="CI267" s="225">
        <f>IFERROR(__xludf.DUMMYFUNCTION("COUNT(ARRAYFORMULA(FILTER(CI$5:CI$229,CJ$5:CJ$229&lt;1,$C$5:$C$229=$BS267,CI$5:CI$229&gt;$BS$5:$BS$229+$BT$5:$BT$229*$BT$2,$F$5:$F$229)))"),0.0)</f>
        <v>0</v>
      </c>
      <c r="CJ267" s="225">
        <f>IFERROR(__xludf.DUMMYFUNCTION("COUNT(ARRAYFORMULA(FILTER(CI$5:CI$229,CJ$5:CJ$229&lt;1,$C$5:$C$229=$BS267,CI$5:CI$229&lt;$BS$5:$BS$229-$BT$5:$BT$229*$BT$2,$F$5:$F$229)))"),0.0)</f>
        <v>0</v>
      </c>
      <c r="CK267" s="225"/>
      <c r="CL267" s="225">
        <f>IFERROR(__xludf.DUMMYFUNCTION("COUNT(ARRAYFORMULA(FILTER(CL$5:CL$229,CM$5:CM$229&lt;1,$C$5:$C$229=$BS267,CL$5:CL$229&gt;$BS$5:$BS$229+$BT$5:$BT$229*$BT$2,$F$5:$F$229)))"),0.0)</f>
        <v>0</v>
      </c>
      <c r="CM267" s="225">
        <f>IFERROR(__xludf.DUMMYFUNCTION("COUNT(ARRAYFORMULA(FILTER(CL$5:CL$229,CM$5:CM$229&lt;1,$C$5:$C$229=$BS267,CL$5:CL$229&lt;$BS$5:$BS$229-$BT$5:$BT$229*$BT$2,$F$5:$F$229)))"),0.0)</f>
        <v>0</v>
      </c>
      <c r="CN267" s="225"/>
      <c r="CO267" s="216"/>
      <c r="CP267" s="225">
        <f>IFERROR(__xludf.DUMMYFUNCTION("COUNT(ARRAYFORMULA(FILTER(CP$5:CP$229,CQ$5:CQ$229&lt;1,$C$5:$C$229=$BS267,CP$5:CP$229&gt;$BS$5:$BS$229+$BT$5:$BT$229*$BT$2,$F$5:$F$229)))"),0.0)</f>
        <v>0</v>
      </c>
      <c r="CQ267" s="225">
        <f>IFERROR(__xludf.DUMMYFUNCTION("COUNT(ARRAYFORMULA(FILTER(CP$5:CP$229,CQ$5:CQ$229&lt;1,$C$5:$C$229=$BS267,CP$5:CP$229&lt;$BS$5:$BS$229-$BT$5:$BT$229*$BT$2,$F$5:$F$229)))"),0.0)</f>
        <v>0</v>
      </c>
      <c r="CR267" s="225"/>
      <c r="CS267" s="225">
        <f>IFERROR(__xludf.DUMMYFUNCTION("COUNT(ARRAYFORMULA(FILTER(CS$5:CS$229,CT$5:CT$229&lt;1,$C$5:$C$229=$BS267,CS$5:CS$229&gt;$BS$5:$BS$229+$BT$5:$BT$229*$BT$2,$F$5:$F$229)))"),0.0)</f>
        <v>0</v>
      </c>
      <c r="CT267" s="225">
        <f>IFERROR(__xludf.DUMMYFUNCTION("COUNT(ARRAYFORMULA(FILTER(CS$5:CS$229,CT$5:CT$229&lt;1,$C$5:$C$229=$BS267,CS$5:CS$229&lt;$BS$5:$BS$229-$BT$5:$BT$229*$BT$2,$F$5:$F$229)))"),0.0)</f>
        <v>0</v>
      </c>
      <c r="CU267" s="225"/>
      <c r="CV267" s="225">
        <f>IFERROR(__xludf.DUMMYFUNCTION("COUNT(ARRAYFORMULA(FILTER(CV$5:CV$229,CW$5:CW$229&lt;1,$C$5:$C$229=$BS267,CV$5:CV$229&gt;$BS$5:$BS$229+$BT$5:$BT$229*$BT$2,$F$5:$F$229)))"),0.0)</f>
        <v>0</v>
      </c>
      <c r="CW267" s="225">
        <f>IFERROR(__xludf.DUMMYFUNCTION("COUNT(ARRAYFORMULA(FILTER(CV$5:CV$229,CW$5:CW$229&lt;1,$C$5:$C$229=$BS267,CV$5:CV$229&lt;$BS$5:$BS$229-$BT$5:$BT$229*$BT$2,$F$5:$F$229)))"),0.0)</f>
        <v>0</v>
      </c>
      <c r="CX267" s="225"/>
      <c r="CY267" s="216"/>
      <c r="CZ267" s="225">
        <f>IFERROR(__xludf.DUMMYFUNCTION("COUNT(ARRAYFORMULA(FILTER(CZ$5:CZ$229,DA$5:DA$229&lt;1,$C$5:$C$229=$BS267,CZ$5:CZ$229&gt;$BS$5:$BS$229+$BT$5:$BT$229*$BT$2,$F$5:$F$229)))"),0.0)</f>
        <v>0</v>
      </c>
      <c r="DA267" s="225">
        <f>IFERROR(__xludf.DUMMYFUNCTION("COUNT(ARRAYFORMULA(FILTER(CZ$5:CZ$229,DA$5:DA$229&lt;1,$C$5:$C$229=$BS267,CZ$5:CZ$229&lt;$BS$5:$BS$229-$BT$5:$BT$229*$BT$2,$F$5:$F$229)))"),0.0)</f>
        <v>0</v>
      </c>
      <c r="DB267" s="225"/>
      <c r="DC267" s="225">
        <f>IFERROR(__xludf.DUMMYFUNCTION("COUNT(ARRAYFORMULA(FILTER(DC$5:DC$229,DD$5:DD$229&lt;1,$C$5:$C$229=$BS267,DC$5:DC$229&gt;$BS$5:$BS$229+$BT$5:$BT$229*$BT$2,$F$5:$F$229)))"),1.0)</f>
        <v>1</v>
      </c>
      <c r="DD267" s="225">
        <f>IFERROR(__xludf.DUMMYFUNCTION("COUNT(ARRAYFORMULA(FILTER(DC$5:DC$229,DD$5:DD$229&lt;1,$C$5:$C$229=$BS267,DC$5:DC$229&lt;$BS$5:$BS$229-$BT$5:$BT$229*$BT$2,$F$5:$F$229)))"),0.0)</f>
        <v>0</v>
      </c>
      <c r="DE267" s="225"/>
      <c r="DF267" s="225">
        <f>IFERROR(__xludf.DUMMYFUNCTION("COUNT(ARRAYFORMULA(FILTER(DF$5:DF$229,DG$5:DG$229&lt;1,$C$5:$C$229=$BS267,DF$5:DF$229&gt;$BS$5:$BS$229+$BT$5:$BT$229*$BT$2,$F$5:$F$229)))"),0.0)</f>
        <v>0</v>
      </c>
      <c r="DG267" s="225">
        <f>IFERROR(__xludf.DUMMYFUNCTION("COUNT(ARRAYFORMULA(FILTER(DF$5:DF$229,DG$5:DG$229&lt;1,$C$5:$C$229=$BS267,DF$5:DF$229&lt;$BS$5:$BS$229-$BT$5:$BT$229*$BT$2,$F$5:$F$229)))"),0.0)</f>
        <v>0</v>
      </c>
      <c r="DH267" s="225"/>
      <c r="DI267" s="225">
        <f>IFERROR(__xludf.DUMMYFUNCTION("COUNT(ARRAYFORMULA(FILTER(DI$5:DI$229,DJ$5:DJ$229&lt;1,$C$5:$C$229=$BS267,DI$5:DI$229&gt;$BS$5:$BS$229+$BT$5:$BT$229*$BT$2,$F$5:$F$229)))"),1.0)</f>
        <v>1</v>
      </c>
      <c r="DJ267" s="225">
        <f>IFERROR(__xludf.DUMMYFUNCTION("COUNT(ARRAYFORMULA(FILTER(DI$5:DI$229,DJ$5:DJ$229&lt;1,$C$5:$C$229=$BS267,DI$5:DI$229&lt;$BS$5:$BS$229-$BT$5:$BT$229*$BT$2,$F$5:$F$229)))"),1.0)</f>
        <v>1</v>
      </c>
      <c r="DK267" s="225"/>
      <c r="DL267" s="225">
        <f>IFERROR(__xludf.DUMMYFUNCTION("COUNT(ARRAYFORMULA(FILTER(DL$5:DL$229,DM$5:DM$229&lt;1,$C$5:$C$229=$BS267,DL$5:DL$229&gt;$BS$5:$BS$229+$BT$5:$BT$229*$BT$2,$F$5:$F$229)))"),1.0)</f>
        <v>1</v>
      </c>
      <c r="DM267" s="225">
        <f>IFERROR(__xludf.DUMMYFUNCTION("COUNT(ARRAYFORMULA(FILTER(DL$5:DL$229,DM$5:DM$229&lt;1,$C$5:$C$229=$BS267,DL$5:DL$229&lt;$BS$5:$BS$229-$BT$5:$BT$229*$BT$2,$F$5:$F$229)))"),0.0)</f>
        <v>0</v>
      </c>
      <c r="DN267" s="225"/>
      <c r="DO267" s="216"/>
      <c r="DP267" s="225">
        <f>IFERROR(__xludf.DUMMYFUNCTION("COUNT(ARRAYFORMULA(FILTER(DP$5:DP$229,DQ$5:DQ$229&lt;1,$C$5:$C$229=$BS267,DP$5:DP$229&gt;$BS$5:$BS$229+$BT$5:$BT$229*$BT$2,$F$5:$F$229)))"),0.0)</f>
        <v>0</v>
      </c>
      <c r="DQ267" s="225">
        <f>IFERROR(__xludf.DUMMYFUNCTION("COUNT(ARRAYFORMULA(FILTER(DP$5:DP$229,DQ$5:DQ$229&lt;1,$C$5:$C$229=$BS267,DP$5:DP$229&lt;$BS$5:$BS$229-$BT$5:$BT$229*$BT$2,$F$5:$F$229)))"),0.0)</f>
        <v>0</v>
      </c>
      <c r="DR267" s="225"/>
      <c r="DS267" s="225">
        <f>IFERROR(__xludf.DUMMYFUNCTION("COUNT(ARRAYFORMULA(FILTER(DS$5:DS$229,DT$5:DT$229&lt;1,$C$5:$C$229=$BS267,DS$5:DS$229&gt;$BS$5:$BS$229+$BT$5:$BT$229*$BT$2,$F$5:$F$229)))"),1.0)</f>
        <v>1</v>
      </c>
      <c r="DT267" s="225">
        <f>IFERROR(__xludf.DUMMYFUNCTION("COUNT(ARRAYFORMULA(FILTER(DS$5:DS$229,DT$5:DT$229&lt;1,$C$5:$C$229=$BS267,DS$5:DS$229&lt;$BS$5:$BS$229-$BT$5:$BT$229*$BT$2,$F$5:$F$229)))"),0.0)</f>
        <v>0</v>
      </c>
      <c r="DU267" s="225"/>
      <c r="DV267" s="225">
        <f>IFERROR(__xludf.DUMMYFUNCTION("COUNT(ARRAYFORMULA(FILTER(DV$5:DV$229,DW$5:DW$229&lt;1,$C$5:$C$229=$BS267,DV$5:DV$229&gt;$BS$5:$BS$229+$BT$5:$BT$229*$BT$2,$F$5:$F$229)))"),2.0)</f>
        <v>2</v>
      </c>
      <c r="DW267" s="225">
        <f>IFERROR(__xludf.DUMMYFUNCTION("COUNT(ARRAYFORMULA(FILTER(DV$5:DV$229,DW$5:DW$229&lt;1,$C$5:$C$229=$BS267,DV$5:DV$229&lt;$BS$5:$BS$229-$BT$5:$BT$229*$BT$2,$F$5:$F$229)))"),0.0)</f>
        <v>0</v>
      </c>
      <c r="DX267" s="225"/>
      <c r="DY267" s="225">
        <f>IFERROR(__xludf.DUMMYFUNCTION("COUNT(ARRAYFORMULA(FILTER(DY$5:DY$229,DZ$5:DZ$229&lt;1,$C$5:$C$229=$BS267,DY$5:DY$229&gt;$BS$5:$BS$229+$BT$5:$BT$229*$BT$2,$F$5:$F$229)))"),0.0)</f>
        <v>0</v>
      </c>
      <c r="DZ267" s="225">
        <f>IFERROR(__xludf.DUMMYFUNCTION("COUNT(ARRAYFORMULA(FILTER(DY$5:DY$229,DZ$5:DZ$229&lt;1,$C$5:$C$229=$BS267,DY$5:DY$229&lt;$BS$5:$BS$229-$BT$5:$BT$229*$BT$2,$F$5:$F$229)))"),0.0)</f>
        <v>0</v>
      </c>
      <c r="EA267" s="225"/>
      <c r="EB267" s="191"/>
    </row>
    <row r="268">
      <c r="A268" s="2"/>
      <c r="B268" s="192"/>
      <c r="C268" s="192"/>
      <c r="D268" s="192"/>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c r="AA268" s="187"/>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87"/>
      <c r="AY268" s="187"/>
      <c r="AZ268" s="187"/>
      <c r="BA268" s="187"/>
      <c r="BB268" s="187"/>
      <c r="BC268" s="187"/>
      <c r="BD268" s="187"/>
      <c r="BE268" s="187"/>
      <c r="BF268" s="187"/>
      <c r="BG268" s="187"/>
      <c r="BH268" s="187"/>
      <c r="BI268" s="187"/>
      <c r="BJ268" s="187"/>
      <c r="BK268" s="187"/>
      <c r="BL268" s="187"/>
      <c r="BM268" s="187"/>
      <c r="BN268" s="187"/>
      <c r="BO268" s="187"/>
      <c r="BP268" s="187"/>
      <c r="BQ268" s="187"/>
      <c r="BR268" s="206"/>
      <c r="BS268" s="225" t="s">
        <v>646</v>
      </c>
      <c r="BU268" s="206"/>
      <c r="BV268" s="225">
        <f>IFERROR(__xludf.DUMMYFUNCTION("COUNT(ARRAYFORMULA(FILTER(BV$5:BV$229,BW$5:BW$229&lt;1,$C$5:$C$229=$BS268,BV$5:BV$229&gt;$BS$5:$BS$229+$BT$5:$BT$229*$BT$2,$F$5:$F$229)))"),1.0)</f>
        <v>1</v>
      </c>
      <c r="BW268" s="225">
        <f>IFERROR(__xludf.DUMMYFUNCTION("COUNT(ARRAYFORMULA(FILTER(BV$5:BV$229,BW$5:BW$229&lt;1,$C$5:$C$229=$BS268,BV$5:BV$229&lt;$BS$5:$BS$229-$BT$5:$BT$229*$BT$2,$F$5:$F$229)))"),4.0)</f>
        <v>4</v>
      </c>
      <c r="BX268" s="225"/>
      <c r="BY268" s="225">
        <f>IFERROR(__xludf.DUMMYFUNCTION("COUNT(ARRAYFORMULA(FILTER(BY$5:BY$229,BZ$5:BZ$229&lt;1,$C$5:$C$229=$BS268,BY$5:BY$229&gt;$BS$5:$BS$229+$BT$5:$BT$229*$BT$2,$F$5:$F$229)))"),0.0)</f>
        <v>0</v>
      </c>
      <c r="BZ268" s="225">
        <f>IFERROR(__xludf.DUMMYFUNCTION("COUNT(ARRAYFORMULA(FILTER(BY$5:BY$229,BZ$5:BZ$229&lt;1,$C$5:$C$229=$BS268,BY$5:BY$229&lt;$BS$5:$BS$229-$BT$5:$BT$229*$BT$2,$F$5:$F$229)))"),0.0)</f>
        <v>0</v>
      </c>
      <c r="CA268" s="225"/>
      <c r="CB268" s="225">
        <f>IFERROR(__xludf.DUMMYFUNCTION("COUNT(ARRAYFORMULA(FILTER(CB$5:CB$229,CC$5:CC$229&lt;1,$C$5:$C$229=$BS268,CB$5:CB$229&gt;$BS$5:$BS$229+$BT$5:$BT$229*$BT$2,$F$5:$F$229)))"),0.0)</f>
        <v>0</v>
      </c>
      <c r="CC268" s="225">
        <f>IFERROR(__xludf.DUMMYFUNCTION("COUNT(ARRAYFORMULA(FILTER(CB$5:CB$229,CC$5:CC$229&lt;1,$C$5:$C$229=$BS268,CB$5:CB$229&lt;$BS$5:$BS$229-$BT$5:$BT$229*$BT$2,$F$5:$F$229)))"),0.0)</f>
        <v>0</v>
      </c>
      <c r="CD268" s="225"/>
      <c r="CE268" s="216"/>
      <c r="CF268" s="225">
        <f>IFERROR(__xludf.DUMMYFUNCTION("COUNT(ARRAYFORMULA(FILTER(CF$5:CF$229,CG$5:CG$229&lt;1,$C$5:$C$229=$BS268,CF$5:CF$229&gt;$BS$5:$BS$229+$BT$5:$BT$229*$BT$2,$F$5:$F$229)))"),0.0)</f>
        <v>0</v>
      </c>
      <c r="CG268" s="225">
        <f>IFERROR(__xludf.DUMMYFUNCTION("COUNT(ARRAYFORMULA(FILTER(CF$5:CF$229,CG$5:CG$229&lt;1,$C$5:$C$229=$BS268,CF$5:CF$229&lt;$BS$5:$BS$229-$BT$5:$BT$229*$BT$2,$F$5:$F$229)))"),0.0)</f>
        <v>0</v>
      </c>
      <c r="CH268" s="225"/>
      <c r="CI268" s="225">
        <f>IFERROR(__xludf.DUMMYFUNCTION("COUNT(ARRAYFORMULA(FILTER(CI$5:CI$229,CJ$5:CJ$229&lt;1,$C$5:$C$229=$BS268,CI$5:CI$229&gt;$BS$5:$BS$229+$BT$5:$BT$229*$BT$2,$F$5:$F$229)))"),0.0)</f>
        <v>0</v>
      </c>
      <c r="CJ268" s="225">
        <f>IFERROR(__xludf.DUMMYFUNCTION("COUNT(ARRAYFORMULA(FILTER(CI$5:CI$229,CJ$5:CJ$229&lt;1,$C$5:$C$229=$BS268,CI$5:CI$229&lt;$BS$5:$BS$229-$BT$5:$BT$229*$BT$2,$F$5:$F$229)))"),0.0)</f>
        <v>0</v>
      </c>
      <c r="CK268" s="225"/>
      <c r="CL268" s="225">
        <f>IFERROR(__xludf.DUMMYFUNCTION("COUNT(ARRAYFORMULA(FILTER(CL$5:CL$229,CM$5:CM$229&lt;1,$C$5:$C$229=$BS268,CL$5:CL$229&gt;$BS$5:$BS$229+$BT$5:$BT$229*$BT$2,$F$5:$F$229)))"),0.0)</f>
        <v>0</v>
      </c>
      <c r="CM268" s="225">
        <f>IFERROR(__xludf.DUMMYFUNCTION("COUNT(ARRAYFORMULA(FILTER(CL$5:CL$229,CM$5:CM$229&lt;1,$C$5:$C$229=$BS268,CL$5:CL$229&lt;$BS$5:$BS$229-$BT$5:$BT$229*$BT$2,$F$5:$F$229)))"),1.0)</f>
        <v>1</v>
      </c>
      <c r="CN268" s="225"/>
      <c r="CO268" s="216"/>
      <c r="CP268" s="225">
        <f>IFERROR(__xludf.DUMMYFUNCTION("COUNT(ARRAYFORMULA(FILTER(CP$5:CP$229,CQ$5:CQ$229&lt;1,$C$5:$C$229=$BS268,CP$5:CP$229&gt;$BS$5:$BS$229+$BT$5:$BT$229*$BT$2,$F$5:$F$229)))"),0.0)</f>
        <v>0</v>
      </c>
      <c r="CQ268" s="225">
        <f>IFERROR(__xludf.DUMMYFUNCTION("COUNT(ARRAYFORMULA(FILTER(CP$5:CP$229,CQ$5:CQ$229&lt;1,$C$5:$C$229=$BS268,CP$5:CP$229&lt;$BS$5:$BS$229-$BT$5:$BT$229*$BT$2,$F$5:$F$229)))"),0.0)</f>
        <v>0</v>
      </c>
      <c r="CR268" s="225"/>
      <c r="CS268" s="225">
        <f>IFERROR(__xludf.DUMMYFUNCTION("COUNT(ARRAYFORMULA(FILTER(CS$5:CS$229,CT$5:CT$229&lt;1,$C$5:$C$229=$BS268,CS$5:CS$229&gt;$BS$5:$BS$229+$BT$5:$BT$229*$BT$2,$F$5:$F$229)))"),0.0)</f>
        <v>0</v>
      </c>
      <c r="CT268" s="225">
        <f>IFERROR(__xludf.DUMMYFUNCTION("COUNT(ARRAYFORMULA(FILTER(CS$5:CS$229,CT$5:CT$229&lt;1,$C$5:$C$229=$BS268,CS$5:CS$229&lt;$BS$5:$BS$229-$BT$5:$BT$229*$BT$2,$F$5:$F$229)))"),0.0)</f>
        <v>0</v>
      </c>
      <c r="CU268" s="225"/>
      <c r="CV268" s="225">
        <f>IFERROR(__xludf.DUMMYFUNCTION("COUNT(ARRAYFORMULA(FILTER(CV$5:CV$229,CW$5:CW$229&lt;1,$C$5:$C$229=$BS268,CV$5:CV$229&gt;$BS$5:$BS$229+$BT$5:$BT$229*$BT$2,$F$5:$F$229)))"),0.0)</f>
        <v>0</v>
      </c>
      <c r="CW268" s="225">
        <f>IFERROR(__xludf.DUMMYFUNCTION("COUNT(ARRAYFORMULA(FILTER(CV$5:CV$229,CW$5:CW$229&lt;1,$C$5:$C$229=$BS268,CV$5:CV$229&lt;$BS$5:$BS$229-$BT$5:$BT$229*$BT$2,$F$5:$F$229)))"),1.0)</f>
        <v>1</v>
      </c>
      <c r="CX268" s="225"/>
      <c r="CY268" s="216"/>
      <c r="CZ268" s="225">
        <f>IFERROR(__xludf.DUMMYFUNCTION("COUNT(ARRAYFORMULA(FILTER(CZ$5:CZ$229,DA$5:DA$229&lt;1,$C$5:$C$229=$BS268,CZ$5:CZ$229&gt;$BS$5:$BS$229+$BT$5:$BT$229*$BT$2,$F$5:$F$229)))"),0.0)</f>
        <v>0</v>
      </c>
      <c r="DA268" s="225">
        <f>IFERROR(__xludf.DUMMYFUNCTION("COUNT(ARRAYFORMULA(FILTER(CZ$5:CZ$229,DA$5:DA$229&lt;1,$C$5:$C$229=$BS268,CZ$5:CZ$229&lt;$BS$5:$BS$229-$BT$5:$BT$229*$BT$2,$F$5:$F$229)))"),0.0)</f>
        <v>0</v>
      </c>
      <c r="DB268" s="225"/>
      <c r="DC268" s="225">
        <f>IFERROR(__xludf.DUMMYFUNCTION("COUNT(ARRAYFORMULA(FILTER(DC$5:DC$229,DD$5:DD$229&lt;1,$C$5:$C$229=$BS268,DC$5:DC$229&gt;$BS$5:$BS$229+$BT$5:$BT$229*$BT$2,$F$5:$F$229)))"),0.0)</f>
        <v>0</v>
      </c>
      <c r="DD268" s="225">
        <f>IFERROR(__xludf.DUMMYFUNCTION("COUNT(ARRAYFORMULA(FILTER(DC$5:DC$229,DD$5:DD$229&lt;1,$C$5:$C$229=$BS268,DC$5:DC$229&lt;$BS$5:$BS$229-$BT$5:$BT$229*$BT$2,$F$5:$F$229)))"),0.0)</f>
        <v>0</v>
      </c>
      <c r="DE268" s="225"/>
      <c r="DF268" s="225">
        <f>IFERROR(__xludf.DUMMYFUNCTION("COUNT(ARRAYFORMULA(FILTER(DF$5:DF$229,DG$5:DG$229&lt;1,$C$5:$C$229=$BS268,DF$5:DF$229&gt;$BS$5:$BS$229+$BT$5:$BT$229*$BT$2,$F$5:$F$229)))"),0.0)</f>
        <v>0</v>
      </c>
      <c r="DG268" s="225">
        <f>IFERROR(__xludf.DUMMYFUNCTION("COUNT(ARRAYFORMULA(FILTER(DF$5:DF$229,DG$5:DG$229&lt;1,$C$5:$C$229=$BS268,DF$5:DF$229&lt;$BS$5:$BS$229-$BT$5:$BT$229*$BT$2,$F$5:$F$229)))"),0.0)</f>
        <v>0</v>
      </c>
      <c r="DH268" s="225"/>
      <c r="DI268" s="225">
        <f>IFERROR(__xludf.DUMMYFUNCTION("COUNT(ARRAYFORMULA(FILTER(DI$5:DI$229,DJ$5:DJ$229&lt;1,$C$5:$C$229=$BS268,DI$5:DI$229&gt;$BS$5:$BS$229+$BT$5:$BT$229*$BT$2,$F$5:$F$229)))"),3.0)</f>
        <v>3</v>
      </c>
      <c r="DJ268" s="225">
        <f>IFERROR(__xludf.DUMMYFUNCTION("COUNT(ARRAYFORMULA(FILTER(DI$5:DI$229,DJ$5:DJ$229&lt;1,$C$5:$C$229=$BS268,DI$5:DI$229&lt;$BS$5:$BS$229-$BT$5:$BT$229*$BT$2,$F$5:$F$229)))"),2.0)</f>
        <v>2</v>
      </c>
      <c r="DK268" s="225"/>
      <c r="DL268" s="225">
        <f>IFERROR(__xludf.DUMMYFUNCTION("COUNT(ARRAYFORMULA(FILTER(DL$5:DL$229,DM$5:DM$229&lt;1,$C$5:$C$229=$BS268,DL$5:DL$229&gt;$BS$5:$BS$229+$BT$5:$BT$229*$BT$2,$F$5:$F$229)))"),0.0)</f>
        <v>0</v>
      </c>
      <c r="DM268" s="225">
        <f>IFERROR(__xludf.DUMMYFUNCTION("COUNT(ARRAYFORMULA(FILTER(DL$5:DL$229,DM$5:DM$229&lt;1,$C$5:$C$229=$BS268,DL$5:DL$229&lt;$BS$5:$BS$229-$BT$5:$BT$229*$BT$2,$F$5:$F$229)))"),0.0)</f>
        <v>0</v>
      </c>
      <c r="DN268" s="225"/>
      <c r="DO268" s="216"/>
      <c r="DP268" s="225">
        <f>IFERROR(__xludf.DUMMYFUNCTION("COUNT(ARRAYFORMULA(FILTER(DP$5:DP$229,DQ$5:DQ$229&lt;1,$C$5:$C$229=$BS268,DP$5:DP$229&gt;$BS$5:$BS$229+$BT$5:$BT$229*$BT$2,$F$5:$F$229)))"),0.0)</f>
        <v>0</v>
      </c>
      <c r="DQ268" s="225">
        <f>IFERROR(__xludf.DUMMYFUNCTION("COUNT(ARRAYFORMULA(FILTER(DP$5:DP$229,DQ$5:DQ$229&lt;1,$C$5:$C$229=$BS268,DP$5:DP$229&lt;$BS$5:$BS$229-$BT$5:$BT$229*$BT$2,$F$5:$F$229)))"),0.0)</f>
        <v>0</v>
      </c>
      <c r="DR268" s="225"/>
      <c r="DS268" s="225">
        <f>IFERROR(__xludf.DUMMYFUNCTION("COUNT(ARRAYFORMULA(FILTER(DS$5:DS$229,DT$5:DT$229&lt;1,$C$5:$C$229=$BS268,DS$5:DS$229&gt;$BS$5:$BS$229+$BT$5:$BT$229*$BT$2,$F$5:$F$229)))"),0.0)</f>
        <v>0</v>
      </c>
      <c r="DT268" s="225">
        <f>IFERROR(__xludf.DUMMYFUNCTION("COUNT(ARRAYFORMULA(FILTER(DS$5:DS$229,DT$5:DT$229&lt;1,$C$5:$C$229=$BS268,DS$5:DS$229&lt;$BS$5:$BS$229-$BT$5:$BT$229*$BT$2,$F$5:$F$229)))"),0.0)</f>
        <v>0</v>
      </c>
      <c r="DU268" s="225"/>
      <c r="DV268" s="225">
        <f>IFERROR(__xludf.DUMMYFUNCTION("COUNT(ARRAYFORMULA(FILTER(DV$5:DV$229,DW$5:DW$229&lt;1,$C$5:$C$229=$BS268,DV$5:DV$229&gt;$BS$5:$BS$229+$BT$5:$BT$229*$BT$2,$F$5:$F$229)))"),0.0)</f>
        <v>0</v>
      </c>
      <c r="DW268" s="225">
        <f>IFERROR(__xludf.DUMMYFUNCTION("COUNT(ARRAYFORMULA(FILTER(DV$5:DV$229,DW$5:DW$229&lt;1,$C$5:$C$229=$BS268,DV$5:DV$229&lt;$BS$5:$BS$229-$BT$5:$BT$229*$BT$2,$F$5:$F$229)))"),1.0)</f>
        <v>1</v>
      </c>
      <c r="DX268" s="225"/>
      <c r="DY268" s="225">
        <f>IFERROR(__xludf.DUMMYFUNCTION("COUNT(ARRAYFORMULA(FILTER(DY$5:DY$229,DZ$5:DZ$229&lt;1,$C$5:$C$229=$BS268,DY$5:DY$229&gt;$BS$5:$BS$229+$BT$5:$BT$229*$BT$2,$F$5:$F$229)))"),1.0)</f>
        <v>1</v>
      </c>
      <c r="DZ268" s="225">
        <f>IFERROR(__xludf.DUMMYFUNCTION("COUNT(ARRAYFORMULA(FILTER(DY$5:DY$229,DZ$5:DZ$229&lt;1,$C$5:$C$229=$BS268,DY$5:DY$229&lt;$BS$5:$BS$229-$BT$5:$BT$229*$BT$2,$F$5:$F$229)))"),0.0)</f>
        <v>0</v>
      </c>
      <c r="EA268" s="225"/>
      <c r="EB268" s="191"/>
    </row>
    <row r="269">
      <c r="A269" s="2"/>
      <c r="B269" s="192"/>
      <c r="C269" s="192"/>
      <c r="D269" s="192"/>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c r="AA269" s="187"/>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87"/>
      <c r="AY269" s="187"/>
      <c r="AZ269" s="187"/>
      <c r="BA269" s="187"/>
      <c r="BB269" s="187"/>
      <c r="BC269" s="187"/>
      <c r="BD269" s="187"/>
      <c r="BE269" s="187"/>
      <c r="BF269" s="187"/>
      <c r="BG269" s="187"/>
      <c r="BH269" s="187"/>
      <c r="BI269" s="187"/>
      <c r="BJ269" s="187"/>
      <c r="BK269" s="187"/>
      <c r="BL269" s="187"/>
      <c r="BM269" s="187"/>
      <c r="BN269" s="187"/>
      <c r="BO269" s="187"/>
      <c r="BP269" s="187"/>
      <c r="BQ269" s="187"/>
      <c r="BR269" s="206"/>
      <c r="BS269" s="225" t="s">
        <v>671</v>
      </c>
      <c r="BU269" s="206"/>
      <c r="BV269" s="225">
        <f>IFERROR(__xludf.DUMMYFUNCTION("COUNT(ARRAYFORMULA(FILTER(BV$5:BV$229,BW$5:BW$229&lt;1,$C$5:$C$229=$BS269,BV$5:BV$229&gt;$BS$5:$BS$229+$BT$5:$BT$229*$BT$2,$F$5:$F$229)))"),0.0)</f>
        <v>0</v>
      </c>
      <c r="BW269" s="225">
        <f>IFERROR(__xludf.DUMMYFUNCTION("COUNT(ARRAYFORMULA(FILTER(BV$5:BV$229,BW$5:BW$229&lt;1,$C$5:$C$229=$BS269,BV$5:BV$229&lt;$BS$5:$BS$229-$BT$5:$BT$229*$BT$2,$F$5:$F$229)))"),0.0)</f>
        <v>0</v>
      </c>
      <c r="BX269" s="225"/>
      <c r="BY269" s="225">
        <f>IFERROR(__xludf.DUMMYFUNCTION("COUNT(ARRAYFORMULA(FILTER(BY$5:BY$229,BZ$5:BZ$229&lt;1,$C$5:$C$229=$BS269,BY$5:BY$229&gt;$BS$5:$BS$229+$BT$5:$BT$229*$BT$2,$F$5:$F$229)))"),0.0)</f>
        <v>0</v>
      </c>
      <c r="BZ269" s="225">
        <f>IFERROR(__xludf.DUMMYFUNCTION("COUNT(ARRAYFORMULA(FILTER(BY$5:BY$229,BZ$5:BZ$229&lt;1,$C$5:$C$229=$BS269,BY$5:BY$229&lt;$BS$5:$BS$229-$BT$5:$BT$229*$BT$2,$F$5:$F$229)))"),0.0)</f>
        <v>0</v>
      </c>
      <c r="CA269" s="225"/>
      <c r="CB269" s="225">
        <f>IFERROR(__xludf.DUMMYFUNCTION("COUNT(ARRAYFORMULA(FILTER(CB$5:CB$229,CC$5:CC$229&lt;1,$C$5:$C$229=$BS269,CB$5:CB$229&gt;$BS$5:$BS$229+$BT$5:$BT$229*$BT$2,$F$5:$F$229)))"),0.0)</f>
        <v>0</v>
      </c>
      <c r="CC269" s="225">
        <f>IFERROR(__xludf.DUMMYFUNCTION("COUNT(ARRAYFORMULA(FILTER(CB$5:CB$229,CC$5:CC$229&lt;1,$C$5:$C$229=$BS269,CB$5:CB$229&lt;$BS$5:$BS$229-$BT$5:$BT$229*$BT$2,$F$5:$F$229)))"),0.0)</f>
        <v>0</v>
      </c>
      <c r="CD269" s="225"/>
      <c r="CE269" s="216"/>
      <c r="CF269" s="225">
        <f>IFERROR(__xludf.DUMMYFUNCTION("COUNT(ARRAYFORMULA(FILTER(CF$5:CF$229,CG$5:CG$229&lt;1,$C$5:$C$229=$BS269,CF$5:CF$229&gt;$BS$5:$BS$229+$BT$5:$BT$229*$BT$2,$F$5:$F$229)))"),0.0)</f>
        <v>0</v>
      </c>
      <c r="CG269" s="225">
        <f>IFERROR(__xludf.DUMMYFUNCTION("COUNT(ARRAYFORMULA(FILTER(CF$5:CF$229,CG$5:CG$229&lt;1,$C$5:$C$229=$BS269,CF$5:CF$229&lt;$BS$5:$BS$229-$BT$5:$BT$229*$BT$2,$F$5:$F$229)))"),0.0)</f>
        <v>0</v>
      </c>
      <c r="CH269" s="225"/>
      <c r="CI269" s="225">
        <f>IFERROR(__xludf.DUMMYFUNCTION("COUNT(ARRAYFORMULA(FILTER(CI$5:CI$229,CJ$5:CJ$229&lt;1,$C$5:$C$229=$BS269,CI$5:CI$229&gt;$BS$5:$BS$229+$BT$5:$BT$229*$BT$2,$F$5:$F$229)))"),0.0)</f>
        <v>0</v>
      </c>
      <c r="CJ269" s="225">
        <f>IFERROR(__xludf.DUMMYFUNCTION("COUNT(ARRAYFORMULA(FILTER(CI$5:CI$229,CJ$5:CJ$229&lt;1,$C$5:$C$229=$BS269,CI$5:CI$229&lt;$BS$5:$BS$229-$BT$5:$BT$229*$BT$2,$F$5:$F$229)))"),0.0)</f>
        <v>0</v>
      </c>
      <c r="CK269" s="225"/>
      <c r="CL269" s="225">
        <f>IFERROR(__xludf.DUMMYFUNCTION("COUNT(ARRAYFORMULA(FILTER(CL$5:CL$229,CM$5:CM$229&lt;1,$C$5:$C$229=$BS269,CL$5:CL$229&gt;$BS$5:$BS$229+$BT$5:$BT$229*$BT$2,$F$5:$F$229)))"),0.0)</f>
        <v>0</v>
      </c>
      <c r="CM269" s="225">
        <f>IFERROR(__xludf.DUMMYFUNCTION("COUNT(ARRAYFORMULA(FILTER(CL$5:CL$229,CM$5:CM$229&lt;1,$C$5:$C$229=$BS269,CL$5:CL$229&lt;$BS$5:$BS$229-$BT$5:$BT$229*$BT$2,$F$5:$F$229)))"),0.0)</f>
        <v>0</v>
      </c>
      <c r="CN269" s="225"/>
      <c r="CO269" s="216"/>
      <c r="CP269" s="225">
        <f>IFERROR(__xludf.DUMMYFUNCTION("COUNT(ARRAYFORMULA(FILTER(CP$5:CP$229,CQ$5:CQ$229&lt;1,$C$5:$C$229=$BS269,CP$5:CP$229&gt;$BS$5:$BS$229+$BT$5:$BT$229*$BT$2,$F$5:$F$229)))"),0.0)</f>
        <v>0</v>
      </c>
      <c r="CQ269" s="225">
        <f>IFERROR(__xludf.DUMMYFUNCTION("COUNT(ARRAYFORMULA(FILTER(CP$5:CP$229,CQ$5:CQ$229&lt;1,$C$5:$C$229=$BS269,CP$5:CP$229&lt;$BS$5:$BS$229-$BT$5:$BT$229*$BT$2,$F$5:$F$229)))"),0.0)</f>
        <v>0</v>
      </c>
      <c r="CR269" s="225"/>
      <c r="CS269" s="225">
        <f>IFERROR(__xludf.DUMMYFUNCTION("COUNT(ARRAYFORMULA(FILTER(CS$5:CS$229,CT$5:CT$229&lt;1,$C$5:$C$229=$BS269,CS$5:CS$229&gt;$BS$5:$BS$229+$BT$5:$BT$229*$BT$2,$F$5:$F$229)))"),0.0)</f>
        <v>0</v>
      </c>
      <c r="CT269" s="225">
        <f>IFERROR(__xludf.DUMMYFUNCTION("COUNT(ARRAYFORMULA(FILTER(CS$5:CS$229,CT$5:CT$229&lt;1,$C$5:$C$229=$BS269,CS$5:CS$229&lt;$BS$5:$BS$229-$BT$5:$BT$229*$BT$2,$F$5:$F$229)))"),0.0)</f>
        <v>0</v>
      </c>
      <c r="CU269" s="225"/>
      <c r="CV269" s="225">
        <f>IFERROR(__xludf.DUMMYFUNCTION("COUNT(ARRAYFORMULA(FILTER(CV$5:CV$229,CW$5:CW$229&lt;1,$C$5:$C$229=$BS269,CV$5:CV$229&gt;$BS$5:$BS$229+$BT$5:$BT$229*$BT$2,$F$5:$F$229)))"),0.0)</f>
        <v>0</v>
      </c>
      <c r="CW269" s="225">
        <f>IFERROR(__xludf.DUMMYFUNCTION("COUNT(ARRAYFORMULA(FILTER(CV$5:CV$229,CW$5:CW$229&lt;1,$C$5:$C$229=$BS269,CV$5:CV$229&lt;$BS$5:$BS$229-$BT$5:$BT$229*$BT$2,$F$5:$F$229)))"),0.0)</f>
        <v>0</v>
      </c>
      <c r="CX269" s="225"/>
      <c r="CY269" s="216"/>
      <c r="CZ269" s="225">
        <f>IFERROR(__xludf.DUMMYFUNCTION("COUNT(ARRAYFORMULA(FILTER(CZ$5:CZ$229,DA$5:DA$229&lt;1,$C$5:$C$229=$BS269,CZ$5:CZ$229&gt;$BS$5:$BS$229+$BT$5:$BT$229*$BT$2,$F$5:$F$229)))"),0.0)</f>
        <v>0</v>
      </c>
      <c r="DA269" s="225">
        <f>IFERROR(__xludf.DUMMYFUNCTION("COUNT(ARRAYFORMULA(FILTER(CZ$5:CZ$229,DA$5:DA$229&lt;1,$C$5:$C$229=$BS269,CZ$5:CZ$229&lt;$BS$5:$BS$229-$BT$5:$BT$229*$BT$2,$F$5:$F$229)))"),0.0)</f>
        <v>0</v>
      </c>
      <c r="DB269" s="225"/>
      <c r="DC269" s="225">
        <f>IFERROR(__xludf.DUMMYFUNCTION("COUNT(ARRAYFORMULA(FILTER(DC$5:DC$229,DD$5:DD$229&lt;1,$C$5:$C$229=$BS269,DC$5:DC$229&gt;$BS$5:$BS$229+$BT$5:$BT$229*$BT$2,$F$5:$F$229)))"),0.0)</f>
        <v>0</v>
      </c>
      <c r="DD269" s="225">
        <f>IFERROR(__xludf.DUMMYFUNCTION("COUNT(ARRAYFORMULA(FILTER(DC$5:DC$229,DD$5:DD$229&lt;1,$C$5:$C$229=$BS269,DC$5:DC$229&lt;$BS$5:$BS$229-$BT$5:$BT$229*$BT$2,$F$5:$F$229)))"),0.0)</f>
        <v>0</v>
      </c>
      <c r="DE269" s="225"/>
      <c r="DF269" s="225">
        <f>IFERROR(__xludf.DUMMYFUNCTION("COUNT(ARRAYFORMULA(FILTER(DF$5:DF$229,DG$5:DG$229&lt;1,$C$5:$C$229=$BS269,DF$5:DF$229&gt;$BS$5:$BS$229+$BT$5:$BT$229*$BT$2,$F$5:$F$229)))"),0.0)</f>
        <v>0</v>
      </c>
      <c r="DG269" s="225">
        <f>IFERROR(__xludf.DUMMYFUNCTION("COUNT(ARRAYFORMULA(FILTER(DF$5:DF$229,DG$5:DG$229&lt;1,$C$5:$C$229=$BS269,DF$5:DF$229&lt;$BS$5:$BS$229-$BT$5:$BT$229*$BT$2,$F$5:$F$229)))"),0.0)</f>
        <v>0</v>
      </c>
      <c r="DH269" s="225"/>
      <c r="DI269" s="225">
        <f>IFERROR(__xludf.DUMMYFUNCTION("COUNT(ARRAYFORMULA(FILTER(DI$5:DI$229,DJ$5:DJ$229&lt;1,$C$5:$C$229=$BS269,DI$5:DI$229&gt;$BS$5:$BS$229+$BT$5:$BT$229*$BT$2,$F$5:$F$229)))"),0.0)</f>
        <v>0</v>
      </c>
      <c r="DJ269" s="225">
        <f>IFERROR(__xludf.DUMMYFUNCTION("COUNT(ARRAYFORMULA(FILTER(DI$5:DI$229,DJ$5:DJ$229&lt;1,$C$5:$C$229=$BS269,DI$5:DI$229&lt;$BS$5:$BS$229-$BT$5:$BT$229*$BT$2,$F$5:$F$229)))"),0.0)</f>
        <v>0</v>
      </c>
      <c r="DK269" s="225"/>
      <c r="DL269" s="225">
        <f>IFERROR(__xludf.DUMMYFUNCTION("COUNT(ARRAYFORMULA(FILTER(DL$5:DL$229,DM$5:DM$229&lt;1,$C$5:$C$229=$BS269,DL$5:DL$229&gt;$BS$5:$BS$229+$BT$5:$BT$229*$BT$2,$F$5:$F$229)))"),0.0)</f>
        <v>0</v>
      </c>
      <c r="DM269" s="225">
        <f>IFERROR(__xludf.DUMMYFUNCTION("COUNT(ARRAYFORMULA(FILTER(DL$5:DL$229,DM$5:DM$229&lt;1,$C$5:$C$229=$BS269,DL$5:DL$229&lt;$BS$5:$BS$229-$BT$5:$BT$229*$BT$2,$F$5:$F$229)))"),0.0)</f>
        <v>0</v>
      </c>
      <c r="DN269" s="225"/>
      <c r="DO269" s="216"/>
      <c r="DP269" s="225">
        <f>IFERROR(__xludf.DUMMYFUNCTION("COUNT(ARRAYFORMULA(FILTER(DP$5:DP$229,DQ$5:DQ$229&lt;1,$C$5:$C$229=$BS269,DP$5:DP$229&gt;$BS$5:$BS$229+$BT$5:$BT$229*$BT$2,$F$5:$F$229)))"),0.0)</f>
        <v>0</v>
      </c>
      <c r="DQ269" s="225">
        <f>IFERROR(__xludf.DUMMYFUNCTION("COUNT(ARRAYFORMULA(FILTER(DP$5:DP$229,DQ$5:DQ$229&lt;1,$C$5:$C$229=$BS269,DP$5:DP$229&lt;$BS$5:$BS$229-$BT$5:$BT$229*$BT$2,$F$5:$F$229)))"),0.0)</f>
        <v>0</v>
      </c>
      <c r="DR269" s="225"/>
      <c r="DS269" s="225">
        <f>IFERROR(__xludf.DUMMYFUNCTION("COUNT(ARRAYFORMULA(FILTER(DS$5:DS$229,DT$5:DT$229&lt;1,$C$5:$C$229=$BS269,DS$5:DS$229&gt;$BS$5:$BS$229+$BT$5:$BT$229*$BT$2,$F$5:$F$229)))"),0.0)</f>
        <v>0</v>
      </c>
      <c r="DT269" s="225">
        <f>IFERROR(__xludf.DUMMYFUNCTION("COUNT(ARRAYFORMULA(FILTER(DS$5:DS$229,DT$5:DT$229&lt;1,$C$5:$C$229=$BS269,DS$5:DS$229&lt;$BS$5:$BS$229-$BT$5:$BT$229*$BT$2,$F$5:$F$229)))"),0.0)</f>
        <v>0</v>
      </c>
      <c r="DU269" s="225"/>
      <c r="DV269" s="225">
        <f>IFERROR(__xludf.DUMMYFUNCTION("COUNT(ARRAYFORMULA(FILTER(DV$5:DV$229,DW$5:DW$229&lt;1,$C$5:$C$229=$BS269,DV$5:DV$229&gt;$BS$5:$BS$229+$BT$5:$BT$229*$BT$2,$F$5:$F$229)))"),0.0)</f>
        <v>0</v>
      </c>
      <c r="DW269" s="225">
        <f>IFERROR(__xludf.DUMMYFUNCTION("COUNT(ARRAYFORMULA(FILTER(DV$5:DV$229,DW$5:DW$229&lt;1,$C$5:$C$229=$BS269,DV$5:DV$229&lt;$BS$5:$BS$229-$BT$5:$BT$229*$BT$2,$F$5:$F$229)))"),0.0)</f>
        <v>0</v>
      </c>
      <c r="DX269" s="225"/>
      <c r="DY269" s="225">
        <f>IFERROR(__xludf.DUMMYFUNCTION("COUNT(ARRAYFORMULA(FILTER(DY$5:DY$229,DZ$5:DZ$229&lt;1,$C$5:$C$229=$BS269,DY$5:DY$229&gt;$BS$5:$BS$229+$BT$5:$BT$229*$BT$2,$F$5:$F$229)))"),0.0)</f>
        <v>0</v>
      </c>
      <c r="DZ269" s="225">
        <f>IFERROR(__xludf.DUMMYFUNCTION("COUNT(ARRAYFORMULA(FILTER(DY$5:DY$229,DZ$5:DZ$229&lt;1,$C$5:$C$229=$BS269,DY$5:DY$229&lt;$BS$5:$BS$229-$BT$5:$BT$229*$BT$2,$F$5:$F$229)))"),0.0)</f>
        <v>0</v>
      </c>
      <c r="EA269" s="225"/>
      <c r="EB269" s="191"/>
    </row>
    <row r="270">
      <c r="A270" s="2"/>
      <c r="B270" s="192"/>
      <c r="C270" s="192"/>
      <c r="D270" s="192"/>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c r="AA270" s="187"/>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87"/>
      <c r="AY270" s="187"/>
      <c r="AZ270" s="187"/>
      <c r="BA270" s="187"/>
      <c r="BB270" s="187"/>
      <c r="BC270" s="187"/>
      <c r="BD270" s="187"/>
      <c r="BE270" s="187"/>
      <c r="BF270" s="187"/>
      <c r="BG270" s="187"/>
      <c r="BH270" s="187"/>
      <c r="BI270" s="187"/>
      <c r="BJ270" s="187"/>
      <c r="BK270" s="187"/>
      <c r="BL270" s="187"/>
      <c r="BM270" s="187"/>
      <c r="BN270" s="187"/>
      <c r="BO270" s="187"/>
      <c r="BP270" s="187"/>
      <c r="BQ270" s="187"/>
      <c r="BR270" s="206"/>
      <c r="BS270" s="187"/>
      <c r="BT270" s="206"/>
      <c r="BU270" s="206"/>
      <c r="BV270" s="206"/>
      <c r="BW270" s="187"/>
      <c r="BX270" s="206"/>
      <c r="BY270" s="206"/>
      <c r="BZ270" s="187"/>
      <c r="CA270" s="206"/>
      <c r="CB270" s="206"/>
      <c r="CC270" s="187"/>
      <c r="CD270" s="206"/>
      <c r="CE270" s="206"/>
      <c r="CF270" s="206"/>
      <c r="CG270" s="187"/>
      <c r="CH270" s="206"/>
      <c r="CI270" s="206"/>
      <c r="CJ270" s="187"/>
      <c r="CK270" s="206"/>
      <c r="CL270" s="206"/>
      <c r="CM270" s="187"/>
      <c r="CN270" s="206"/>
      <c r="CO270" s="206"/>
      <c r="CP270" s="191"/>
      <c r="CQ270" s="187"/>
      <c r="CR270" s="206"/>
      <c r="CS270" s="191"/>
      <c r="CT270" s="187"/>
      <c r="CU270" s="206"/>
      <c r="CV270" s="191"/>
      <c r="CW270" s="187"/>
      <c r="CX270" s="206"/>
      <c r="CY270" s="206"/>
      <c r="CZ270" s="191"/>
      <c r="DA270" s="187"/>
      <c r="DB270" s="206"/>
      <c r="DC270" s="191"/>
      <c r="DD270" s="187"/>
      <c r="DE270" s="206"/>
      <c r="DF270" s="191"/>
      <c r="DG270" s="187"/>
      <c r="DH270" s="206"/>
      <c r="DI270" s="191"/>
      <c r="DJ270" s="187"/>
      <c r="DK270" s="206"/>
      <c r="DL270" s="191"/>
      <c r="DM270" s="187"/>
      <c r="DN270" s="206"/>
      <c r="DO270" s="206"/>
      <c r="DP270" s="191"/>
      <c r="DQ270" s="187"/>
      <c r="DR270" s="206"/>
      <c r="DS270" s="191"/>
      <c r="DT270" s="187"/>
      <c r="DU270" s="206"/>
      <c r="DV270" s="191"/>
      <c r="DW270" s="187"/>
      <c r="DX270" s="206"/>
      <c r="DY270" s="191"/>
      <c r="DZ270" s="187"/>
      <c r="EA270" s="206"/>
      <c r="EB270" s="191"/>
    </row>
  </sheetData>
  <autoFilter ref="$B$4:$EA$229">
    <sortState ref="B4:EA229">
      <sortCondition ref="B4:B229"/>
      <sortCondition ref="BW4:BW229"/>
      <sortCondition ref="BX4:BX229"/>
      <sortCondition ref="CX4:CX229"/>
      <sortCondition ref="CU4:CU229"/>
      <sortCondition ref="CR4:CR229"/>
      <sortCondition ref="CN4:CN229"/>
      <sortCondition ref="CK4:CK229"/>
      <sortCondition ref="CH4:CH229"/>
      <sortCondition ref="EA4:EA229"/>
      <sortCondition ref="DX4:DX229"/>
      <sortCondition ref="DU4:DU229"/>
      <sortCondition ref="DR4:DR229"/>
      <sortCondition ref="DN4:DN229"/>
      <sortCondition ref="DK4:DK229"/>
      <sortCondition ref="DH4:DH229"/>
      <sortCondition ref="DE4:DE229"/>
      <sortCondition ref="DB4:DB229"/>
      <sortCondition ref="CD4:CD229"/>
      <sortCondition ref="CA4:CA229"/>
      <sortCondition ref="BV4:BV229"/>
    </sortState>
  </autoFilter>
  <mergeCells count="54">
    <mergeCell ref="BS268:BT268"/>
    <mergeCell ref="BS269:BT269"/>
    <mergeCell ref="BS261:BT261"/>
    <mergeCell ref="BS262:BT262"/>
    <mergeCell ref="BS263:BT263"/>
    <mergeCell ref="BS264:BT264"/>
    <mergeCell ref="BS265:BT265"/>
    <mergeCell ref="BS266:BT266"/>
    <mergeCell ref="BS267:BT267"/>
    <mergeCell ref="DL3:DN3"/>
    <mergeCell ref="DP3:DR3"/>
    <mergeCell ref="DS3:DU3"/>
    <mergeCell ref="DV3:DX3"/>
    <mergeCell ref="DY3:EA3"/>
    <mergeCell ref="CP3:CR3"/>
    <mergeCell ref="CS3:CU3"/>
    <mergeCell ref="CV3:CX3"/>
    <mergeCell ref="CZ3:DB3"/>
    <mergeCell ref="DC3:DE3"/>
    <mergeCell ref="DF3:DH3"/>
    <mergeCell ref="DI3:DK3"/>
    <mergeCell ref="BS3:BT3"/>
    <mergeCell ref="BV3:BX3"/>
    <mergeCell ref="BY3:CA3"/>
    <mergeCell ref="CB3:CD3"/>
    <mergeCell ref="CF3:CH3"/>
    <mergeCell ref="CI3:CK3"/>
    <mergeCell ref="CL3:CN3"/>
    <mergeCell ref="D245:F245"/>
    <mergeCell ref="D246:F246"/>
    <mergeCell ref="D247:F247"/>
    <mergeCell ref="D248:F248"/>
    <mergeCell ref="D249:F249"/>
    <mergeCell ref="BS231:BT231"/>
    <mergeCell ref="BS232:BT232"/>
    <mergeCell ref="BS233:BT233"/>
    <mergeCell ref="D234:F234"/>
    <mergeCell ref="BS235:BT235"/>
    <mergeCell ref="BS236:BT236"/>
    <mergeCell ref="D238:F238"/>
    <mergeCell ref="BS237:BT237"/>
    <mergeCell ref="BS239:BT239"/>
    <mergeCell ref="BS240:BT240"/>
    <mergeCell ref="BS241:BT241"/>
    <mergeCell ref="BS243:BT243"/>
    <mergeCell ref="BS251:BT251"/>
    <mergeCell ref="BS252:BT252"/>
    <mergeCell ref="BS253:BT253"/>
    <mergeCell ref="BS254:BT254"/>
    <mergeCell ref="BS255:BT255"/>
    <mergeCell ref="BS256:BT256"/>
    <mergeCell ref="BS257:BT257"/>
    <mergeCell ref="BS258:BT258"/>
    <mergeCell ref="BS259:BT259"/>
  </mergeCells>
  <conditionalFormatting sqref="BV5:BV229 BY5:BY229 CB5:CB229 CF5:CF229 CI5:CI229 CL5:CL229 CP5:CP229 CS5:CS229 CV5:CV229 CZ5:CZ229 DC5:DC229 DF5:DF229 DI5:DI229 DL5:DL229 DP5:DP229 DS5:DS229 DV5:DV229 DY5:DY229">
    <cfRule type="expression" dxfId="22" priority="1">
      <formula>BV5&gt;$BS5+$BT5*$BT$2</formula>
    </cfRule>
  </conditionalFormatting>
  <conditionalFormatting sqref="BV5:BV229 BY5:BY229 CB5:CB229 CF5:CF229 CI5:CI229 CL5:CL229 CP5:CP229 CS5:CS229 CV5:CV229 CZ5:CZ229 DC5:DC229 DF5:DF229 DI5:DI229 DL5:DL229 DP5:DP229 DS5:DS229 DV5:DV229 DY5:DY229">
    <cfRule type="expression" dxfId="23" priority="2">
      <formula>BV5&lt;$BS5-$BT5*$BT$2</formula>
    </cfRule>
  </conditionalFormatting>
  <conditionalFormatting sqref="BV5:BV229 BY5:BY229 CB5:CB229 CF5:CF229 CI5:CI229 CL5:CL229 CP5:CP229 CS5:CS229 CV5:CV229 CZ5:CZ229 DC5:DC229 DF5:DF229 DI5:DI229 DL5:DL229 DP5:DP229 DS5:DS229 DV5:DV229 DY5:DY229">
    <cfRule type="expression" dxfId="24" priority="3">
      <formula>AND(BV5&lt;=$BS5+$BT5*$BT$2,BV5&gt;=$BS5-$BT5*$BT$2)</formula>
    </cfRule>
  </conditionalFormatting>
  <conditionalFormatting sqref="BV231:EA269">
    <cfRule type="containsBlanks" dxfId="16" priority="4">
      <formula>LEN(TRIM(BV231))=0</formula>
    </cfRule>
  </conditionalFormatting>
  <conditionalFormatting sqref="BV231:DY233 EA231:EA233 BV251:EA259">
    <cfRule type="expression" dxfId="19" priority="5">
      <formula>REGEXMATCH(BV$1,"FS2")</formula>
    </cfRule>
  </conditionalFormatting>
  <conditionalFormatting sqref="BW5:BW229 BZ5:BZ229 CC5:CC229 CG5:CG229 CJ5:CJ229 CM5:CM229 CQ5:CQ229 CT5:CT229 CW5:CW229 DA5:DA229 DD5:DD229 DG5:DG229 DJ5:DJ229 DM5:DM229 DQ5:DQ229 DT5:DT229 DW5:DW229 DZ5:DZ229">
    <cfRule type="cellIs" dxfId="22" priority="6" operator="between">
      <formula>0</formula>
      <formula>1</formula>
    </cfRule>
  </conditionalFormatting>
  <conditionalFormatting sqref="BW5:BW229 BZ5:BZ229 CC5:CC229 CG5:CG229 CJ5:CJ229 CM5:CM229 CQ5:CQ229 CT5:CT229 CW5:CW229 DA5:DA229 DD5:DD229 DG5:DG229 DJ5:DJ229 DM5:DM229 DQ5:DQ229 DT5:DT229 DW5:DW229 DZ5:DZ229">
    <cfRule type="cellIs" dxfId="25" priority="7" operator="between">
      <formula>1</formula>
      <formula>2</formula>
    </cfRule>
  </conditionalFormatting>
  <conditionalFormatting sqref="BW5:BW229 BZ5:BZ229 CC5:CC229 CG5:CG229 CJ5:CJ229 CM5:CM229 CQ5:CQ229 CT5:CT229 CW5:CW229 DA5:DA229 DD5:DD229 DG5:DG229 DJ5:DJ229 DM5:DM229 DQ5:DQ229 DT5:DT229 DW5:DW229 DZ5:DZ229">
    <cfRule type="cellIs" dxfId="26" priority="8" operator="between">
      <formula>2</formula>
      <formula>3</formula>
    </cfRule>
  </conditionalFormatting>
  <conditionalFormatting sqref="BW5:BW229 BZ5:BZ229 CC5:CC229 CG5:CG229 CJ5:CJ229 CM5:CM229 CQ5:CQ229 CT5:CT229 CW5:CW229 DA5:DA229 DD5:DD229 DG5:DG229 DJ5:DJ229 DM5:DM229 DQ5:DQ229 DT5:DT229 DW5:DW229 DZ5:DZ229">
    <cfRule type="cellIs" dxfId="23" priority="9" operator="greaterThan">
      <formula>3</formula>
    </cfRule>
  </conditionalFormatting>
  <conditionalFormatting sqref="BX5:BX229 CA5:CA229 CD5:CD229 CH5:CH229 CK5:CK229 CN5:CN229 CR5:CR229 CU5:CU229 CX5:CX229 DB5:DB229 DE5:DE229 DH5:DH229 DK5:DK229 DN5:DN229 DR5:DR229 DU5:DU229 DX5:DX229 EA5:EA229">
    <cfRule type="expression" dxfId="22" priority="10">
      <formula>ABS(BX5)&gt;0.5</formula>
    </cfRule>
  </conditionalFormatting>
  <conditionalFormatting sqref="BV5:EA229">
    <cfRule type="containsBlanks" dxfId="24" priority="11">
      <formula>LEN(TRIM(BV5))=0</formula>
    </cfRule>
  </conditionalFormatting>
  <conditionalFormatting sqref="BV235">
    <cfRule type="expression" dxfId="22" priority="12">
      <formula>REGEXMATCH(BV$1,"FS1")</formula>
    </cfRule>
  </conditionalFormatting>
  <conditionalFormatting sqref="BV235:EA237 BV261:EA269">
    <cfRule type="expression" dxfId="27" priority="13">
      <formula>REGEXMATCH(BV$1,"FS1")</formula>
    </cfRule>
  </conditionalFormatting>
  <conditionalFormatting sqref="BX5:BX229 CA5:CA229 CD5:CD229 CH5:CH229 CK5:CK229 CN5:CN229 CR5:CR229 CU5:CU229 CX5:CX229 DB5:DB229 DE5:DE229 DH5:DH229 DK5:DK229 DN5:DN229 DR5:DR229 DU5:DU229 DX5:DX229 EA5:EA229">
    <cfRule type="expression" dxfId="25" priority="14">
      <formula>AND(ABS(BX5)&lt;=0.5,ABS(BX5)&gt;0.1)</formula>
    </cfRule>
  </conditionalFormatting>
  <conditionalFormatting sqref="BX5:BX229 CA5:CA229 CD5:CD229 CH5:CH229 CK5:CK229 CN5:CN229 CR5:CR229 CU5:CU229 CX5:CX229 DB5:DB229 DE5:DE229 DH5:DH229 DK5:DK229 DN5:DN229 DR5:DR229 DU5:DU229 DX5:DX229 EA5:EA229">
    <cfRule type="expression" dxfId="26" priority="15">
      <formula>ABS(BX5)&lt;0.1</formula>
    </cfRule>
  </conditionalFormatting>
  <printOptions gridLines="1" horizontalCentered="1"/>
  <pageMargins bottom="0.0" footer="0.0" header="0.0" left="0.0" right="0.0" top="0.0"/>
  <pageSetup fitToHeight="0" orientation="portrait" pageOrder="overThenDown" paperHeight="9.69in" paperWidth="5.769999999999999in"/>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0"/>
  <cols>
    <col customWidth="1" min="1" max="1" width="2.75"/>
    <col customWidth="1" min="2" max="2" width="50.13"/>
    <col customWidth="1" min="3" max="3" width="2.75"/>
    <col customWidth="1" min="4" max="4" width="59.13"/>
    <col customWidth="1" min="5" max="5" width="32.25"/>
    <col customWidth="1" min="6" max="6" width="50.13"/>
    <col customWidth="1" min="7" max="7" width="2.75"/>
    <col customWidth="1" min="8" max="8" width="37.63"/>
    <col customWidth="1" min="9" max="9" width="31.88"/>
    <col customWidth="1" min="10" max="10" width="64.25"/>
    <col customWidth="1" min="11" max="11" width="2.75"/>
    <col customWidth="1" min="12" max="12" width="60.63"/>
    <col customWidth="1" min="13" max="13" width="35.38"/>
    <col customWidth="1" min="14" max="14" width="66.13"/>
    <col customWidth="1" min="15" max="15" width="2.75"/>
    <col customWidth="1" min="16" max="18" width="37.63"/>
    <col customWidth="1" min="19" max="19" width="52.63"/>
    <col customWidth="1" min="20" max="20" width="37.63"/>
    <col customWidth="1" min="21" max="21" width="2.75"/>
    <col customWidth="1" min="22" max="22" width="35.38"/>
    <col customWidth="1" min="23" max="23" width="37.63"/>
    <col customWidth="1" min="24" max="24" width="45.25"/>
    <col customWidth="1" min="25" max="25" width="43.0"/>
    <col customWidth="1" min="26" max="26" width="2.75"/>
  </cols>
  <sheetData>
    <row r="1">
      <c r="A1" s="228"/>
      <c r="B1" s="228"/>
      <c r="C1" s="228"/>
      <c r="D1" s="228"/>
      <c r="E1" s="228"/>
      <c r="F1" s="228"/>
      <c r="G1" s="228"/>
      <c r="H1" s="228"/>
      <c r="I1" s="228"/>
      <c r="J1" s="228"/>
      <c r="K1" s="228"/>
      <c r="L1" s="228"/>
      <c r="M1" s="228"/>
      <c r="N1" s="228"/>
      <c r="O1" s="228"/>
      <c r="P1" s="228"/>
      <c r="Q1" s="228"/>
      <c r="R1" s="228"/>
      <c r="S1" s="228"/>
      <c r="T1" s="228"/>
      <c r="U1" s="228"/>
      <c r="V1" s="228"/>
      <c r="W1" s="228"/>
      <c r="X1" s="228"/>
      <c r="Y1" s="228"/>
      <c r="Z1" s="228"/>
    </row>
    <row r="2" ht="31.5" customHeight="1">
      <c r="A2" s="229"/>
      <c r="B2" s="230"/>
      <c r="C2" s="229"/>
      <c r="D2" s="231" t="s">
        <v>693</v>
      </c>
      <c r="E2" s="231" t="s">
        <v>694</v>
      </c>
      <c r="F2" s="231" t="s">
        <v>695</v>
      </c>
      <c r="G2" s="229"/>
      <c r="H2" s="231" t="s">
        <v>696</v>
      </c>
      <c r="I2" s="231" t="s">
        <v>697</v>
      </c>
      <c r="J2" s="231" t="s">
        <v>698</v>
      </c>
      <c r="K2" s="229"/>
      <c r="L2" s="231" t="s">
        <v>699</v>
      </c>
      <c r="M2" s="231" t="s">
        <v>700</v>
      </c>
      <c r="N2" s="231" t="s">
        <v>701</v>
      </c>
      <c r="O2" s="229"/>
      <c r="P2" s="231" t="s">
        <v>702</v>
      </c>
      <c r="Q2" s="231" t="s">
        <v>703</v>
      </c>
      <c r="R2" s="231" t="s">
        <v>704</v>
      </c>
      <c r="S2" s="231" t="s">
        <v>705</v>
      </c>
      <c r="T2" s="231" t="s">
        <v>706</v>
      </c>
      <c r="U2" s="229"/>
      <c r="V2" s="231" t="s">
        <v>707</v>
      </c>
      <c r="W2" s="231" t="s">
        <v>708</v>
      </c>
      <c r="X2" s="231" t="s">
        <v>709</v>
      </c>
      <c r="Y2" s="231" t="s">
        <v>710</v>
      </c>
      <c r="Z2" s="229"/>
    </row>
    <row r="3">
      <c r="A3" s="228"/>
      <c r="B3" s="232" t="s">
        <v>711</v>
      </c>
      <c r="C3" s="228"/>
      <c r="D3" s="233" t="s">
        <v>712</v>
      </c>
      <c r="E3" s="234" t="s">
        <v>713</v>
      </c>
      <c r="F3" s="235" t="s">
        <v>608</v>
      </c>
      <c r="G3" s="236"/>
      <c r="H3" s="235" t="s">
        <v>713</v>
      </c>
      <c r="I3" s="235" t="s">
        <v>713</v>
      </c>
      <c r="J3" s="235" t="s">
        <v>713</v>
      </c>
      <c r="K3" s="236"/>
      <c r="L3" s="235" t="s">
        <v>713</v>
      </c>
      <c r="M3" s="235" t="s">
        <v>713</v>
      </c>
      <c r="N3" s="235" t="s">
        <v>713</v>
      </c>
      <c r="O3" s="236"/>
      <c r="P3" s="235" t="s">
        <v>713</v>
      </c>
      <c r="Q3" s="235" t="s">
        <v>713</v>
      </c>
      <c r="R3" s="235" t="s">
        <v>713</v>
      </c>
      <c r="S3" s="235" t="s">
        <v>714</v>
      </c>
      <c r="T3" s="235" t="s">
        <v>713</v>
      </c>
      <c r="U3" s="236"/>
      <c r="V3" s="235" t="s">
        <v>713</v>
      </c>
      <c r="W3" s="235" t="s">
        <v>713</v>
      </c>
      <c r="X3" s="235" t="s">
        <v>713</v>
      </c>
      <c r="Y3" s="235" t="s">
        <v>713</v>
      </c>
      <c r="Z3" s="228"/>
    </row>
    <row r="4">
      <c r="A4" s="228"/>
      <c r="B4" s="232" t="s">
        <v>715</v>
      </c>
      <c r="C4" s="228"/>
      <c r="D4" s="233" t="s">
        <v>716</v>
      </c>
      <c r="E4" s="234" t="s">
        <v>713</v>
      </c>
      <c r="F4" s="234" t="s">
        <v>713</v>
      </c>
      <c r="G4" s="236"/>
      <c r="H4" s="235" t="s">
        <v>713</v>
      </c>
      <c r="I4" s="235" t="s">
        <v>713</v>
      </c>
      <c r="J4" s="235" t="s">
        <v>717</v>
      </c>
      <c r="K4" s="236"/>
      <c r="L4" s="235" t="s">
        <v>718</v>
      </c>
      <c r="M4" s="235" t="s">
        <v>713</v>
      </c>
      <c r="N4" s="235" t="s">
        <v>717</v>
      </c>
      <c r="O4" s="236"/>
      <c r="P4" s="235" t="s">
        <v>713</v>
      </c>
      <c r="Q4" s="235" t="s">
        <v>713</v>
      </c>
      <c r="R4" s="235" t="s">
        <v>713</v>
      </c>
      <c r="S4" s="235" t="s">
        <v>719</v>
      </c>
      <c r="T4" s="235" t="s">
        <v>713</v>
      </c>
      <c r="U4" s="236"/>
      <c r="V4" s="235" t="s">
        <v>713</v>
      </c>
      <c r="W4" s="235" t="s">
        <v>713</v>
      </c>
      <c r="X4" s="235" t="s">
        <v>720</v>
      </c>
      <c r="Y4" s="235" t="s">
        <v>713</v>
      </c>
      <c r="Z4" s="228"/>
    </row>
    <row r="5">
      <c r="A5" s="228"/>
      <c r="B5" s="232" t="s">
        <v>721</v>
      </c>
      <c r="C5" s="228"/>
      <c r="D5" s="233" t="s">
        <v>722</v>
      </c>
      <c r="E5" s="234" t="s">
        <v>713</v>
      </c>
      <c r="F5" s="234" t="s">
        <v>713</v>
      </c>
      <c r="G5" s="236"/>
      <c r="H5" s="235" t="s">
        <v>713</v>
      </c>
      <c r="I5" s="235" t="s">
        <v>713</v>
      </c>
      <c r="J5" s="235" t="s">
        <v>723</v>
      </c>
      <c r="K5" s="236"/>
      <c r="L5" s="235" t="s">
        <v>450</v>
      </c>
      <c r="M5" s="235" t="s">
        <v>713</v>
      </c>
      <c r="N5" s="235" t="s">
        <v>723</v>
      </c>
      <c r="O5" s="236"/>
      <c r="P5" s="235" t="s">
        <v>472</v>
      </c>
      <c r="Q5" s="235" t="s">
        <v>608</v>
      </c>
      <c r="R5" s="235" t="s">
        <v>498</v>
      </c>
      <c r="S5" s="235" t="s">
        <v>724</v>
      </c>
      <c r="T5" s="235" t="s">
        <v>713</v>
      </c>
      <c r="U5" s="236"/>
      <c r="V5" s="235" t="s">
        <v>713</v>
      </c>
      <c r="W5" s="235" t="s">
        <v>608</v>
      </c>
      <c r="X5" s="235" t="s">
        <v>725</v>
      </c>
      <c r="Y5" s="235" t="s">
        <v>553</v>
      </c>
      <c r="Z5" s="228"/>
    </row>
    <row r="6">
      <c r="A6" s="228"/>
      <c r="B6" s="232" t="s">
        <v>726</v>
      </c>
      <c r="C6" s="228"/>
      <c r="D6" s="233" t="s">
        <v>727</v>
      </c>
      <c r="E6" s="234" t="s">
        <v>713</v>
      </c>
      <c r="F6" s="235" t="s">
        <v>497</v>
      </c>
      <c r="G6" s="236"/>
      <c r="H6" s="235" t="s">
        <v>728</v>
      </c>
      <c r="I6" s="235" t="s">
        <v>713</v>
      </c>
      <c r="J6" s="235" t="s">
        <v>729</v>
      </c>
      <c r="K6" s="236"/>
      <c r="L6" s="235" t="s">
        <v>730</v>
      </c>
      <c r="M6" s="235" t="s">
        <v>713</v>
      </c>
      <c r="N6" s="235" t="s">
        <v>729</v>
      </c>
      <c r="O6" s="236"/>
      <c r="P6" s="235" t="s">
        <v>731</v>
      </c>
      <c r="Q6" s="235" t="s">
        <v>497</v>
      </c>
      <c r="R6" s="235" t="s">
        <v>713</v>
      </c>
      <c r="S6" s="235" t="s">
        <v>732</v>
      </c>
      <c r="T6" s="235" t="s">
        <v>733</v>
      </c>
      <c r="U6" s="236"/>
      <c r="V6" s="235" t="s">
        <v>713</v>
      </c>
      <c r="W6" s="235" t="s">
        <v>713</v>
      </c>
      <c r="X6" s="235" t="s">
        <v>734</v>
      </c>
      <c r="Y6" s="235" t="s">
        <v>735</v>
      </c>
      <c r="Z6" s="228"/>
    </row>
    <row r="7">
      <c r="A7" s="228"/>
      <c r="B7" s="232" t="s">
        <v>736</v>
      </c>
      <c r="C7" s="228"/>
      <c r="D7" s="235" t="s">
        <v>737</v>
      </c>
      <c r="E7" s="234" t="s">
        <v>713</v>
      </c>
      <c r="F7" s="235" t="s">
        <v>738</v>
      </c>
      <c r="G7" s="236"/>
      <c r="H7" s="235" t="s">
        <v>713</v>
      </c>
      <c r="I7" s="235" t="s">
        <v>713</v>
      </c>
      <c r="J7" s="235" t="s">
        <v>739</v>
      </c>
      <c r="K7" s="236"/>
      <c r="L7" s="235" t="s">
        <v>740</v>
      </c>
      <c r="M7" s="235" t="s">
        <v>713</v>
      </c>
      <c r="N7" s="235" t="s">
        <v>741</v>
      </c>
      <c r="O7" s="236"/>
      <c r="P7" s="235" t="s">
        <v>713</v>
      </c>
      <c r="Q7" s="235" t="s">
        <v>641</v>
      </c>
      <c r="R7" s="235" t="s">
        <v>742</v>
      </c>
      <c r="S7" s="235" t="s">
        <v>743</v>
      </c>
      <c r="T7" s="235" t="s">
        <v>713</v>
      </c>
      <c r="U7" s="236"/>
      <c r="V7" s="235" t="s">
        <v>713</v>
      </c>
      <c r="W7" s="235" t="s">
        <v>744</v>
      </c>
      <c r="X7" s="235" t="s">
        <v>745</v>
      </c>
      <c r="Y7" s="235" t="s">
        <v>746</v>
      </c>
      <c r="Z7" s="228"/>
    </row>
    <row r="8">
      <c r="A8" s="228"/>
      <c r="B8" s="232" t="s">
        <v>747</v>
      </c>
      <c r="C8" s="228"/>
      <c r="D8" s="233" t="s">
        <v>748</v>
      </c>
      <c r="E8" s="234" t="s">
        <v>713</v>
      </c>
      <c r="F8" s="235" t="s">
        <v>640</v>
      </c>
      <c r="G8" s="236"/>
      <c r="H8" s="235" t="s">
        <v>713</v>
      </c>
      <c r="I8" s="235" t="s">
        <v>713</v>
      </c>
      <c r="J8" s="235" t="s">
        <v>749</v>
      </c>
      <c r="K8" s="236"/>
      <c r="L8" s="235" t="s">
        <v>713</v>
      </c>
      <c r="M8" s="235" t="s">
        <v>713</v>
      </c>
      <c r="N8" s="235" t="s">
        <v>750</v>
      </c>
      <c r="O8" s="236"/>
      <c r="P8" s="235" t="s">
        <v>713</v>
      </c>
      <c r="Q8" s="235" t="s">
        <v>640</v>
      </c>
      <c r="R8" s="235" t="s">
        <v>713</v>
      </c>
      <c r="S8" s="235" t="s">
        <v>751</v>
      </c>
      <c r="T8" s="235" t="s">
        <v>713</v>
      </c>
      <c r="U8" s="236"/>
      <c r="V8" s="235" t="s">
        <v>713</v>
      </c>
      <c r="W8" s="235" t="s">
        <v>640</v>
      </c>
      <c r="X8" s="235" t="s">
        <v>752</v>
      </c>
      <c r="Y8" s="235" t="s">
        <v>558</v>
      </c>
      <c r="Z8" s="228"/>
    </row>
    <row r="9">
      <c r="A9" s="228"/>
      <c r="B9" s="228"/>
      <c r="C9" s="228"/>
      <c r="D9" s="236"/>
      <c r="E9" s="236"/>
      <c r="F9" s="236"/>
      <c r="G9" s="228"/>
      <c r="H9" s="228"/>
      <c r="I9" s="228"/>
      <c r="J9" s="228"/>
      <c r="K9" s="228"/>
      <c r="L9" s="228"/>
      <c r="M9" s="228"/>
      <c r="N9" s="228"/>
      <c r="O9" s="228"/>
      <c r="P9" s="228"/>
      <c r="Q9" s="228"/>
      <c r="R9" s="228"/>
      <c r="S9" s="228"/>
      <c r="T9" s="228"/>
      <c r="U9" s="228"/>
      <c r="V9" s="228"/>
      <c r="W9" s="228"/>
      <c r="X9" s="228"/>
      <c r="Y9" s="228"/>
      <c r="Z9" s="228"/>
    </row>
    <row r="10">
      <c r="A10" s="236"/>
      <c r="B10" s="237"/>
      <c r="C10" s="237"/>
      <c r="D10" s="238" t="s">
        <v>753</v>
      </c>
      <c r="E10" s="239" t="s">
        <v>713</v>
      </c>
      <c r="F10" s="238" t="s">
        <v>754</v>
      </c>
      <c r="G10" s="237"/>
      <c r="H10" s="240" t="s">
        <v>755</v>
      </c>
      <c r="I10" s="239" t="s">
        <v>713</v>
      </c>
      <c r="J10" s="238" t="s">
        <v>756</v>
      </c>
      <c r="K10" s="237"/>
      <c r="L10" s="238" t="s">
        <v>757</v>
      </c>
      <c r="M10" s="239" t="s">
        <v>713</v>
      </c>
      <c r="N10" s="238" t="s">
        <v>758</v>
      </c>
      <c r="O10" s="237"/>
      <c r="P10" s="240" t="s">
        <v>759</v>
      </c>
      <c r="Q10" s="239" t="s">
        <v>760</v>
      </c>
      <c r="R10" s="238" t="s">
        <v>761</v>
      </c>
      <c r="S10" s="238" t="s">
        <v>762</v>
      </c>
      <c r="T10" s="240" t="s">
        <v>763</v>
      </c>
      <c r="U10" s="237"/>
      <c r="V10" s="239" t="s">
        <v>713</v>
      </c>
      <c r="W10" s="238" t="s">
        <v>764</v>
      </c>
      <c r="X10" s="238" t="s">
        <v>765</v>
      </c>
      <c r="Y10" s="240" t="s">
        <v>766</v>
      </c>
      <c r="Z10" s="236"/>
    </row>
    <row r="11">
      <c r="A11" s="228"/>
      <c r="B11" s="241"/>
      <c r="C11" s="241"/>
      <c r="D11" s="241"/>
      <c r="E11" s="241"/>
      <c r="F11" s="241"/>
      <c r="G11" s="241"/>
      <c r="H11" s="241"/>
      <c r="I11" s="241"/>
      <c r="J11" s="241"/>
      <c r="K11" s="241"/>
      <c r="L11" s="241"/>
      <c r="M11" s="241"/>
      <c r="N11" s="241"/>
      <c r="O11" s="241"/>
      <c r="P11" s="241"/>
      <c r="Q11" s="241"/>
      <c r="R11" s="241"/>
      <c r="S11" s="242"/>
      <c r="T11" s="241"/>
      <c r="U11" s="241"/>
      <c r="V11" s="241"/>
      <c r="W11" s="241"/>
      <c r="X11" s="241"/>
      <c r="Y11" s="241"/>
      <c r="Z11" s="228"/>
    </row>
  </sheetData>
  <conditionalFormatting sqref="D3:Y11">
    <cfRule type="cellIs" dxfId="28" priority="1" operator="equal">
      <formula>"NONE"</formula>
    </cfRule>
  </conditionalFormatting>
  <printOptions gridLines="1" horizontalCentered="1"/>
  <pageMargins bottom="0.0" footer="0.0" header="0.0" left="0.0" right="0.0" top="0.0"/>
  <pageSetup fitToWidth="0" orientation="landscape" pageOrder="overThenDown" paperHeight="5.769999999999999in" paperWidth="9.69i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0" outlineLevelCol="1" outlineLevelRow="1"/>
  <cols>
    <col customWidth="1" min="1" max="1" width="2.75"/>
    <col customWidth="1" min="2" max="2" width="3.13" outlineLevel="1"/>
    <col customWidth="1" min="3" max="3" width="13.0"/>
    <col customWidth="1" min="4" max="4" width="49.88"/>
    <col customWidth="1" min="5" max="6" width="2.75"/>
    <col customWidth="1" hidden="1" min="7" max="69" width="7.63"/>
    <col customWidth="1" min="70" max="70" width="2.75"/>
    <col customWidth="1" min="71" max="72" width="7.63"/>
    <col customWidth="1" min="73" max="73" width="2.75"/>
    <col customWidth="1" min="74" max="79" width="10.13"/>
    <col customWidth="1" min="80" max="80" width="2.75"/>
    <col customWidth="1" min="81" max="86" width="10.13"/>
    <col customWidth="1" min="87" max="87" width="2.75"/>
    <col customWidth="1" min="88" max="93" width="10.13"/>
    <col customWidth="1" min="94" max="94" width="2.75"/>
    <col customWidth="1" min="95" max="104" width="10.13"/>
    <col customWidth="1" min="105" max="105" width="2.75"/>
    <col customWidth="1" min="106" max="113" width="10.13"/>
    <col customWidth="1" min="114" max="114" width="2.75"/>
  </cols>
  <sheetData>
    <row r="1" collapsed="1">
      <c r="A1" s="2" t="s">
        <v>0</v>
      </c>
      <c r="B1" s="19"/>
      <c r="C1" s="19"/>
      <c r="D1" s="19"/>
      <c r="E1" s="184"/>
      <c r="F1" s="184"/>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c r="AK1" s="187"/>
      <c r="AL1" s="187"/>
      <c r="AM1" s="187"/>
      <c r="AN1" s="187"/>
      <c r="AO1" s="187"/>
      <c r="AP1" s="187"/>
      <c r="AQ1" s="187"/>
      <c r="AR1" s="187"/>
      <c r="AS1" s="187"/>
      <c r="AT1" s="187"/>
      <c r="AU1" s="187"/>
      <c r="AV1" s="187"/>
      <c r="AW1" s="187"/>
      <c r="AX1" s="187"/>
      <c r="AY1" s="187"/>
      <c r="AZ1" s="187"/>
      <c r="BA1" s="187"/>
      <c r="BB1" s="187"/>
      <c r="BC1" s="187"/>
      <c r="BD1" s="187"/>
      <c r="BE1" s="187"/>
      <c r="BF1" s="187"/>
      <c r="BG1" s="187"/>
      <c r="BH1" s="187"/>
      <c r="BI1" s="187"/>
      <c r="BJ1" s="187"/>
      <c r="BK1" s="187"/>
      <c r="BL1" s="187"/>
      <c r="BM1" s="187"/>
      <c r="BN1" s="187"/>
      <c r="BO1" s="187"/>
      <c r="BP1" s="187"/>
      <c r="BQ1" s="187"/>
      <c r="BR1" s="187"/>
      <c r="BS1" s="187"/>
      <c r="BT1" s="186"/>
      <c r="BU1" s="243"/>
      <c r="BV1" s="191" t="s">
        <v>427</v>
      </c>
      <c r="BW1" s="243"/>
      <c r="BX1" s="191" t="str">
        <f>BV1</f>
        <v>[KMeans] FS2 Elbow</v>
      </c>
      <c r="BY1" s="243"/>
      <c r="BZ1" s="191" t="str">
        <f>BV1</f>
        <v>[KMeans] FS2 Elbow</v>
      </c>
      <c r="CA1" s="243"/>
      <c r="CB1" s="243"/>
      <c r="CC1" s="191" t="s">
        <v>428</v>
      </c>
      <c r="CD1" s="243"/>
      <c r="CE1" s="191" t="str">
        <f>CC1</f>
        <v>[AffProg] FS1 Davies</v>
      </c>
      <c r="CF1" s="243"/>
      <c r="CG1" s="191" t="str">
        <f>CC1</f>
        <v>[AffProg] FS1 Davies</v>
      </c>
      <c r="CH1" s="243"/>
      <c r="CI1" s="243"/>
      <c r="CJ1" s="191" t="s">
        <v>429</v>
      </c>
      <c r="CK1" s="243"/>
      <c r="CL1" s="191" t="str">
        <f>CJ1</f>
        <v>[AffProg] FS1 Silhouette</v>
      </c>
      <c r="CM1" s="243"/>
      <c r="CN1" s="191" t="str">
        <f>CJ1</f>
        <v>[AffProg] FS1 Silhouette</v>
      </c>
      <c r="CO1" s="243"/>
      <c r="CP1" s="243"/>
      <c r="CQ1" s="191" t="s">
        <v>430</v>
      </c>
      <c r="CR1" s="243"/>
      <c r="CS1" s="191" t="str">
        <f>CQ1</f>
        <v>[AffProg] FS2 Davies</v>
      </c>
      <c r="CT1" s="243"/>
      <c r="CU1" s="191" t="str">
        <f>CQ1</f>
        <v>[AffProg] FS2 Davies</v>
      </c>
      <c r="CV1" s="243"/>
      <c r="CW1" s="191" t="str">
        <f>CQ1</f>
        <v>[AffProg] FS2 Davies</v>
      </c>
      <c r="CX1" s="243"/>
      <c r="CY1" s="191" t="str">
        <f>CQ1</f>
        <v>[AffProg] FS2 Davies</v>
      </c>
      <c r="CZ1" s="243"/>
      <c r="DA1" s="243"/>
      <c r="DB1" s="191" t="s">
        <v>431</v>
      </c>
      <c r="DC1" s="243"/>
      <c r="DD1" s="191" t="str">
        <f>DB1</f>
        <v>[AffProg] FS2 Silhouette</v>
      </c>
      <c r="DE1" s="243"/>
      <c r="DF1" s="191" t="str">
        <f>DB1</f>
        <v>[AffProg] FS2 Silhouette</v>
      </c>
      <c r="DG1" s="243"/>
      <c r="DH1" s="191" t="str">
        <f>DB1</f>
        <v>[AffProg] FS2 Silhouette</v>
      </c>
      <c r="DI1" s="243"/>
      <c r="DJ1" s="243"/>
    </row>
    <row r="2" hidden="1" outlineLevel="1">
      <c r="A2" s="2"/>
      <c r="B2" s="204"/>
      <c r="C2" s="192"/>
      <c r="D2" s="204" t="s">
        <v>767</v>
      </c>
      <c r="E2" s="194"/>
      <c r="F2" s="194"/>
      <c r="G2" s="195"/>
      <c r="H2" s="195"/>
      <c r="I2" s="195"/>
      <c r="J2" s="195"/>
      <c r="K2" s="195"/>
      <c r="L2" s="195"/>
      <c r="M2" s="195"/>
      <c r="N2" s="195"/>
      <c r="O2" s="195"/>
      <c r="P2" s="195"/>
      <c r="Q2" s="195"/>
      <c r="R2" s="195"/>
      <c r="S2" s="195"/>
      <c r="T2" s="195"/>
      <c r="U2" s="195"/>
      <c r="V2" s="195"/>
      <c r="W2" s="195"/>
      <c r="X2" s="195"/>
      <c r="Y2" s="195"/>
      <c r="Z2" s="195"/>
      <c r="AA2" s="195"/>
      <c r="AB2" s="195"/>
      <c r="AC2" s="195"/>
      <c r="AD2" s="195"/>
      <c r="AE2" s="195"/>
      <c r="AF2" s="195"/>
      <c r="AG2" s="195"/>
      <c r="AH2" s="195"/>
      <c r="AI2" s="195"/>
      <c r="AJ2" s="195"/>
      <c r="AK2" s="195"/>
      <c r="AL2" s="195"/>
      <c r="AM2" s="195"/>
      <c r="AN2" s="195"/>
      <c r="AO2" s="195"/>
      <c r="AP2" s="195"/>
      <c r="AQ2" s="195"/>
      <c r="AR2" s="195"/>
      <c r="AS2" s="195"/>
      <c r="AT2" s="195"/>
      <c r="AU2" s="195"/>
      <c r="AV2" s="195"/>
      <c r="AW2" s="195"/>
      <c r="AX2" s="195"/>
      <c r="AY2" s="195"/>
      <c r="AZ2" s="195"/>
      <c r="BA2" s="195"/>
      <c r="BB2" s="195"/>
      <c r="BC2" s="195"/>
      <c r="BD2" s="195"/>
      <c r="BE2" s="195"/>
      <c r="BF2" s="195"/>
      <c r="BG2" s="195"/>
      <c r="BH2" s="195"/>
      <c r="BI2" s="195"/>
      <c r="BJ2" s="195"/>
      <c r="BK2" s="195"/>
      <c r="BL2" s="195"/>
      <c r="BM2" s="195"/>
      <c r="BN2" s="195"/>
      <c r="BO2" s="195"/>
      <c r="BP2" s="195"/>
      <c r="BQ2" s="195"/>
      <c r="BR2" s="195"/>
      <c r="BS2" s="195" t="s">
        <v>432</v>
      </c>
      <c r="BT2" s="196">
        <v>1.0</v>
      </c>
      <c r="BU2" s="243"/>
      <c r="BV2" s="244">
        <v>0.0</v>
      </c>
      <c r="BW2" s="245"/>
      <c r="BX2" s="244">
        <v>4.0</v>
      </c>
      <c r="BY2" s="245"/>
      <c r="BZ2" s="244">
        <v>5.0</v>
      </c>
      <c r="CA2" s="245"/>
      <c r="CB2" s="243"/>
      <c r="CC2" s="244">
        <v>2.0</v>
      </c>
      <c r="CD2" s="245"/>
      <c r="CE2" s="244">
        <v>4.0</v>
      </c>
      <c r="CF2" s="245"/>
      <c r="CG2" s="244">
        <v>9.0</v>
      </c>
      <c r="CH2" s="245"/>
      <c r="CI2" s="243"/>
      <c r="CJ2" s="244">
        <v>1.0</v>
      </c>
      <c r="CK2" s="245"/>
      <c r="CL2" s="244">
        <v>2.0</v>
      </c>
      <c r="CM2" s="245"/>
      <c r="CN2" s="244">
        <v>4.0</v>
      </c>
      <c r="CO2" s="245"/>
      <c r="CP2" s="243"/>
      <c r="CQ2" s="244">
        <v>1.0</v>
      </c>
      <c r="CR2" s="245"/>
      <c r="CS2" s="244">
        <v>3.0</v>
      </c>
      <c r="CT2" s="245"/>
      <c r="CU2" s="244">
        <v>6.0</v>
      </c>
      <c r="CV2" s="245"/>
      <c r="CW2" s="244">
        <v>7.0</v>
      </c>
      <c r="CX2" s="245"/>
      <c r="CY2" s="244">
        <v>8.0</v>
      </c>
      <c r="CZ2" s="245"/>
      <c r="DA2" s="243"/>
      <c r="DB2" s="244">
        <v>1.0</v>
      </c>
      <c r="DC2" s="245"/>
      <c r="DD2" s="244">
        <v>2.0</v>
      </c>
      <c r="DE2" s="245"/>
      <c r="DF2" s="244">
        <v>3.0</v>
      </c>
      <c r="DG2" s="245"/>
      <c r="DH2" s="244">
        <v>5.0</v>
      </c>
      <c r="DI2" s="245"/>
      <c r="DJ2" s="243"/>
    </row>
    <row r="3" ht="31.5" customHeight="1">
      <c r="A3" s="199"/>
      <c r="B3" s="200"/>
      <c r="C3" s="200"/>
      <c r="D3" s="200"/>
      <c r="E3" s="246"/>
      <c r="F3" s="246"/>
      <c r="G3" s="200" t="s">
        <v>196</v>
      </c>
      <c r="H3" s="200" t="s">
        <v>114</v>
      </c>
      <c r="I3" s="200" t="s">
        <v>49</v>
      </c>
      <c r="J3" s="200" t="s">
        <v>62</v>
      </c>
      <c r="K3" s="200" t="s">
        <v>166</v>
      </c>
      <c r="L3" s="200" t="s">
        <v>161</v>
      </c>
      <c r="M3" s="200" t="s">
        <v>78</v>
      </c>
      <c r="N3" s="200" t="s">
        <v>19</v>
      </c>
      <c r="O3" s="200" t="s">
        <v>30</v>
      </c>
      <c r="P3" s="200" t="s">
        <v>170</v>
      </c>
      <c r="Q3" s="200" t="s">
        <v>84</v>
      </c>
      <c r="R3" s="200" t="s">
        <v>36</v>
      </c>
      <c r="S3" s="200" t="s">
        <v>297</v>
      </c>
      <c r="T3" s="200" t="s">
        <v>82</v>
      </c>
      <c r="U3" s="200" t="s">
        <v>152</v>
      </c>
      <c r="V3" s="200" t="s">
        <v>120</v>
      </c>
      <c r="W3" s="200" t="s">
        <v>325</v>
      </c>
      <c r="X3" s="200" t="s">
        <v>54</v>
      </c>
      <c r="Y3" s="200" t="s">
        <v>255</v>
      </c>
      <c r="Z3" s="200" t="s">
        <v>69</v>
      </c>
      <c r="AA3" s="200" t="s">
        <v>68</v>
      </c>
      <c r="AB3" s="200" t="s">
        <v>328</v>
      </c>
      <c r="AC3" s="200" t="s">
        <v>258</v>
      </c>
      <c r="AD3" s="200" t="s">
        <v>122</v>
      </c>
      <c r="AE3" s="200" t="s">
        <v>14</v>
      </c>
      <c r="AF3" s="200" t="s">
        <v>331</v>
      </c>
      <c r="AG3" s="200" t="s">
        <v>42</v>
      </c>
      <c r="AH3" s="200" t="s">
        <v>16</v>
      </c>
      <c r="AI3" s="200" t="s">
        <v>32</v>
      </c>
      <c r="AJ3" s="200" t="s">
        <v>280</v>
      </c>
      <c r="AK3" s="200" t="s">
        <v>214</v>
      </c>
      <c r="AL3" s="200" t="s">
        <v>261</v>
      </c>
      <c r="AM3" s="200" t="s">
        <v>70</v>
      </c>
      <c r="AN3" s="200" t="s">
        <v>85</v>
      </c>
      <c r="AO3" s="200" t="s">
        <v>162</v>
      </c>
      <c r="AP3" s="200" t="s">
        <v>117</v>
      </c>
      <c r="AQ3" s="200" t="s">
        <v>88</v>
      </c>
      <c r="AR3" s="200" t="s">
        <v>201</v>
      </c>
      <c r="AS3" s="200" t="s">
        <v>310</v>
      </c>
      <c r="AT3" s="200" t="s">
        <v>207</v>
      </c>
      <c r="AU3" s="200" t="s">
        <v>17</v>
      </c>
      <c r="AV3" s="200" t="s">
        <v>26</v>
      </c>
      <c r="AW3" s="200" t="s">
        <v>113</v>
      </c>
      <c r="AX3" s="200" t="s">
        <v>153</v>
      </c>
      <c r="AY3" s="200" t="s">
        <v>128</v>
      </c>
      <c r="AZ3" s="200" t="s">
        <v>159</v>
      </c>
      <c r="BA3" s="200" t="s">
        <v>189</v>
      </c>
      <c r="BB3" s="200" t="s">
        <v>292</v>
      </c>
      <c r="BC3" s="200" t="s">
        <v>76</v>
      </c>
      <c r="BD3" s="200" t="s">
        <v>283</v>
      </c>
      <c r="BE3" s="200" t="s">
        <v>83</v>
      </c>
      <c r="BF3" s="200" t="s">
        <v>13</v>
      </c>
      <c r="BG3" s="200" t="s">
        <v>172</v>
      </c>
      <c r="BH3" s="200" t="s">
        <v>242</v>
      </c>
      <c r="BI3" s="200" t="s">
        <v>130</v>
      </c>
      <c r="BJ3" s="200" t="s">
        <v>165</v>
      </c>
      <c r="BK3" s="200" t="s">
        <v>35</v>
      </c>
      <c r="BL3" s="200" t="s">
        <v>21</v>
      </c>
      <c r="BM3" s="200" t="s">
        <v>105</v>
      </c>
      <c r="BN3" s="200" t="s">
        <v>204</v>
      </c>
      <c r="BO3" s="200" t="s">
        <v>145</v>
      </c>
      <c r="BP3" s="200" t="s">
        <v>59</v>
      </c>
      <c r="BQ3" s="200" t="s">
        <v>74</v>
      </c>
      <c r="BR3" s="200"/>
      <c r="BS3" s="200"/>
      <c r="BT3" s="200"/>
      <c r="BU3" s="243"/>
      <c r="BV3" s="247" t="s">
        <v>768</v>
      </c>
      <c r="BX3" s="248" t="s">
        <v>769</v>
      </c>
      <c r="BZ3" s="248" t="s">
        <v>770</v>
      </c>
      <c r="CB3" s="243"/>
      <c r="CC3" s="248" t="s">
        <v>771</v>
      </c>
      <c r="CE3" s="248" t="s">
        <v>772</v>
      </c>
      <c r="CG3" s="248" t="s">
        <v>773</v>
      </c>
      <c r="CI3" s="243"/>
      <c r="CJ3" s="248" t="s">
        <v>774</v>
      </c>
      <c r="CL3" s="248" t="s">
        <v>775</v>
      </c>
      <c r="CN3" s="248" t="s">
        <v>776</v>
      </c>
      <c r="CP3" s="243"/>
      <c r="CQ3" s="248" t="s">
        <v>777</v>
      </c>
      <c r="CS3" s="248" t="s">
        <v>778</v>
      </c>
      <c r="CU3" s="248" t="s">
        <v>779</v>
      </c>
      <c r="CW3" s="248" t="s">
        <v>780</v>
      </c>
      <c r="CY3" s="248" t="s">
        <v>781</v>
      </c>
      <c r="DA3" s="243"/>
      <c r="DB3" s="248" t="s">
        <v>782</v>
      </c>
      <c r="DD3" s="248" t="s">
        <v>783</v>
      </c>
      <c r="DF3" s="248" t="s">
        <v>784</v>
      </c>
      <c r="DH3" s="248" t="s">
        <v>785</v>
      </c>
      <c r="DJ3" s="243"/>
    </row>
    <row r="4" ht="31.5" customHeight="1">
      <c r="A4" s="199"/>
      <c r="B4" s="202" t="s">
        <v>786</v>
      </c>
      <c r="C4" s="202"/>
      <c r="D4" s="202" t="s">
        <v>438</v>
      </c>
      <c r="E4" s="249" t="s">
        <v>433</v>
      </c>
      <c r="F4" s="249" t="s">
        <v>434</v>
      </c>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7"/>
      <c r="BH4" s="197"/>
      <c r="BI4" s="197"/>
      <c r="BJ4" s="197"/>
      <c r="BK4" s="197"/>
      <c r="BL4" s="197"/>
      <c r="BM4" s="197"/>
      <c r="BN4" s="197"/>
      <c r="BO4" s="197"/>
      <c r="BP4" s="197"/>
      <c r="BQ4" s="197"/>
      <c r="BR4" s="187"/>
      <c r="BS4" s="197" t="s">
        <v>787</v>
      </c>
      <c r="BT4" s="197" t="s">
        <v>788</v>
      </c>
      <c r="BU4" s="243"/>
      <c r="BV4" s="247" t="s">
        <v>439</v>
      </c>
      <c r="BW4" s="247" t="s">
        <v>440</v>
      </c>
      <c r="BX4" s="247" t="s">
        <v>439</v>
      </c>
      <c r="BY4" s="247" t="s">
        <v>440</v>
      </c>
      <c r="BZ4" s="247" t="s">
        <v>439</v>
      </c>
      <c r="CA4" s="247" t="s">
        <v>440</v>
      </c>
      <c r="CB4" s="243"/>
      <c r="CC4" s="247" t="s">
        <v>439</v>
      </c>
      <c r="CD4" s="247" t="s">
        <v>440</v>
      </c>
      <c r="CE4" s="247" t="s">
        <v>439</v>
      </c>
      <c r="CF4" s="247" t="s">
        <v>440</v>
      </c>
      <c r="CG4" s="247" t="s">
        <v>439</v>
      </c>
      <c r="CH4" s="247" t="s">
        <v>440</v>
      </c>
      <c r="CI4" s="243"/>
      <c r="CJ4" s="247" t="s">
        <v>439</v>
      </c>
      <c r="CK4" s="247" t="s">
        <v>440</v>
      </c>
      <c r="CL4" s="247" t="s">
        <v>439</v>
      </c>
      <c r="CM4" s="247" t="s">
        <v>440</v>
      </c>
      <c r="CN4" s="247" t="s">
        <v>439</v>
      </c>
      <c r="CO4" s="247" t="s">
        <v>440</v>
      </c>
      <c r="CP4" s="243"/>
      <c r="CQ4" s="247" t="s">
        <v>439</v>
      </c>
      <c r="CR4" s="247" t="s">
        <v>440</v>
      </c>
      <c r="CS4" s="247" t="s">
        <v>439</v>
      </c>
      <c r="CT4" s="247" t="s">
        <v>440</v>
      </c>
      <c r="CU4" s="247" t="s">
        <v>439</v>
      </c>
      <c r="CV4" s="247" t="s">
        <v>440</v>
      </c>
      <c r="CW4" s="247" t="s">
        <v>439</v>
      </c>
      <c r="CX4" s="247" t="s">
        <v>440</v>
      </c>
      <c r="CY4" s="247" t="s">
        <v>439</v>
      </c>
      <c r="CZ4" s="247" t="s">
        <v>440</v>
      </c>
      <c r="DA4" s="243"/>
      <c r="DB4" s="247" t="s">
        <v>439</v>
      </c>
      <c r="DC4" s="247" t="s">
        <v>440</v>
      </c>
      <c r="DD4" s="247" t="s">
        <v>439</v>
      </c>
      <c r="DE4" s="247" t="s">
        <v>440</v>
      </c>
      <c r="DF4" s="247" t="s">
        <v>439</v>
      </c>
      <c r="DG4" s="247" t="s">
        <v>440</v>
      </c>
      <c r="DH4" s="247" t="s">
        <v>439</v>
      </c>
      <c r="DI4" s="247" t="s">
        <v>440</v>
      </c>
      <c r="DJ4" s="243"/>
    </row>
    <row r="5">
      <c r="A5" s="2"/>
      <c r="B5" s="204">
        <v>1.0</v>
      </c>
      <c r="C5" s="204" t="s">
        <v>442</v>
      </c>
      <c r="D5" s="204" t="s">
        <v>443</v>
      </c>
      <c r="E5" s="205" t="b">
        <f>VLOOKUP(D5,'Feature Set List'!A2:C246,2,0)</f>
        <v>1</v>
      </c>
      <c r="F5" s="205" t="b">
        <f>VLOOKUP(D5,'Feature Set List'!A2:C246,3,0)</f>
        <v>1</v>
      </c>
      <c r="G5" s="205">
        <v>-0.4</v>
      </c>
      <c r="H5" s="205">
        <v>1.46666667</v>
      </c>
      <c r="I5" s="205">
        <v>0.86666667</v>
      </c>
      <c r="J5" s="205">
        <v>0.93333333</v>
      </c>
      <c r="K5" s="205">
        <v>1.33333333</v>
      </c>
      <c r="L5" s="205">
        <v>0.4</v>
      </c>
      <c r="M5" s="205">
        <v>-0.2</v>
      </c>
      <c r="N5" s="205">
        <v>0.8</v>
      </c>
      <c r="O5" s="205">
        <v>-0.4</v>
      </c>
      <c r="P5" s="205">
        <v>-0.2666667</v>
      </c>
      <c r="Q5" s="205">
        <v>-0.1333333</v>
      </c>
      <c r="R5" s="205">
        <v>-0.8</v>
      </c>
      <c r="S5" s="205">
        <v>0.6</v>
      </c>
      <c r="T5" s="205">
        <v>0.53333333</v>
      </c>
      <c r="U5" s="205">
        <v>-0.8666667</v>
      </c>
      <c r="V5" s="205">
        <v>-0.1333333</v>
      </c>
      <c r="W5" s="205">
        <v>0.86666667</v>
      </c>
      <c r="X5" s="205">
        <v>-0.1333333</v>
      </c>
      <c r="Y5" s="205">
        <v>0.86666667</v>
      </c>
      <c r="Z5" s="205">
        <v>0.26666667</v>
      </c>
      <c r="AA5" s="205">
        <v>0.0</v>
      </c>
      <c r="AB5" s="205">
        <v>-0.8</v>
      </c>
      <c r="AC5" s="205">
        <v>1.53333333</v>
      </c>
      <c r="AD5" s="205">
        <v>-0.5333333</v>
      </c>
      <c r="AE5" s="205">
        <v>1.0</v>
      </c>
      <c r="AF5" s="205">
        <v>0.4</v>
      </c>
      <c r="AG5" s="205">
        <v>2.06666667</v>
      </c>
      <c r="AH5" s="205">
        <v>0.66666667</v>
      </c>
      <c r="AI5" s="205">
        <v>-0.0666667</v>
      </c>
      <c r="AJ5" s="205">
        <v>-0.4</v>
      </c>
      <c r="AK5" s="205">
        <v>-0.7333333</v>
      </c>
      <c r="AL5" s="205">
        <v>0.6</v>
      </c>
      <c r="AM5" s="205">
        <v>-0.0666667</v>
      </c>
      <c r="AN5" s="205">
        <v>-0.5333333</v>
      </c>
      <c r="AO5" s="205">
        <v>0.06666667</v>
      </c>
      <c r="AP5" s="205">
        <v>-1.1333333</v>
      </c>
      <c r="AQ5" s="205">
        <v>0.8</v>
      </c>
      <c r="AR5" s="205">
        <v>-0.7333333</v>
      </c>
      <c r="AS5" s="205">
        <v>0.13333333</v>
      </c>
      <c r="AT5" s="205">
        <v>0.8</v>
      </c>
      <c r="AU5" s="205">
        <v>-0.8666667</v>
      </c>
      <c r="AV5" s="205">
        <v>-0.1333333</v>
      </c>
      <c r="AW5" s="205">
        <v>-0.6</v>
      </c>
      <c r="AX5" s="205">
        <v>-0.1333333</v>
      </c>
      <c r="AY5" s="205">
        <v>-0.3333333</v>
      </c>
      <c r="AZ5" s="205">
        <v>0.46666667</v>
      </c>
      <c r="BA5" s="205">
        <v>-0.0666667</v>
      </c>
      <c r="BB5" s="205">
        <v>0.4</v>
      </c>
      <c r="BC5" s="205">
        <v>-0.0666667</v>
      </c>
      <c r="BD5" s="205">
        <v>0.86666667</v>
      </c>
      <c r="BE5" s="205">
        <v>0.33333333</v>
      </c>
      <c r="BF5" s="205">
        <v>0.53333333</v>
      </c>
      <c r="BG5" s="205">
        <v>0.26666667</v>
      </c>
      <c r="BH5" s="205">
        <v>-0.4666667</v>
      </c>
      <c r="BI5" s="205">
        <v>0.46666667</v>
      </c>
      <c r="BJ5" s="205">
        <v>-0.6666667</v>
      </c>
      <c r="BK5" s="205">
        <v>0.0</v>
      </c>
      <c r="BL5" s="205">
        <v>-1.8</v>
      </c>
      <c r="BM5" s="205">
        <v>-1.0</v>
      </c>
      <c r="BN5" s="205">
        <v>0.6</v>
      </c>
      <c r="BO5" s="205">
        <v>-0.6666667</v>
      </c>
      <c r="BP5" s="205">
        <v>0.0</v>
      </c>
      <c r="BQ5" s="205">
        <v>-0.1333333</v>
      </c>
      <c r="BR5" s="206"/>
      <c r="BS5" s="250">
        <f t="shared" ref="BS5:BS229" si="1">AVERAGE(G5:BQ5)</f>
        <v>0.08994709127</v>
      </c>
      <c r="BT5" s="250">
        <f t="shared" ref="BT5:BT229" si="2">AVEDEV(G5:BQ5)</f>
        <v>0.5824808928</v>
      </c>
      <c r="BU5" s="206"/>
      <c r="BV5" s="207">
        <f>IFERROR(__xludf.DUMMYFUNCTION("AVERAGE(ARRAYFORMULA(XLOOKUP(FILTER(INDIRECT(""'""&amp;BV$1&amp;""'!$C$4:$C$66""),INDIRECT(""'""&amp;BV$1&amp;""'!$D$4:$D$66"")=BV$2),$G$3:$BQ$3,$G5:$BQ5)))"),-0.33333332857142856)</f>
        <v>-0.3333333286</v>
      </c>
      <c r="BW5" s="207" t="str">
        <f>IFERROR(__xludf.DUMMYFUNCTION("IF(OR(BV5&gt;$BS5+$BT5*$BT$2,BV5&lt;$BS5-$BT5*$BT$2),AVEDEV(ARRAYFORMULA(XLOOKUP(FILTER(INDIRECT(""'""&amp;BV$1&amp;""'!$C$4:$C$66""),INDIRECT(""'""&amp;BV$1&amp;""'!$D$4:$D$66"")=BV$2),$G$3:$BQ$3,$G5:$BQ5))),"""")"),"")</f>
        <v/>
      </c>
      <c r="BX5" s="207">
        <f>IFERROR(__xludf.DUMMYFUNCTION("AVERAGE(ARRAYFORMULA(XLOOKUP(FILTER(INDIRECT(""'""&amp;BX$1&amp;""'!$C$4:$C$66""),INDIRECT(""'""&amp;BX$1&amp;""'!$D$4:$D$66"")=BX$2),$G$3:$BQ$3,$G5:$BQ5)))"),0.13174603499999998)</f>
        <v>0.131746035</v>
      </c>
      <c r="BY5" s="207" t="str">
        <f>IFERROR(__xludf.DUMMYFUNCTION("IF(OR(BX5&gt;$BS5+$BT5*$BT$2,BX5&lt;$BS5-$BT5*$BT$2),AVEDEV(ARRAYFORMULA(XLOOKUP(FILTER(INDIRECT(""'""&amp;BX$1&amp;""'!$C$4:$C$66""),INDIRECT(""'""&amp;BX$1&amp;""'!$D$4:$D$66"")=BX$2),$G$3:$BQ$3,$G5:$BQ5))),"""")"),"")</f>
        <v/>
      </c>
      <c r="BZ5" s="207">
        <f>IFERROR(__xludf.DUMMYFUNCTION("AVERAGE(ARRAYFORMULA(XLOOKUP(FILTER(INDIRECT(""'""&amp;BZ$1&amp;""'!$C$4:$C$66""),INDIRECT(""'""&amp;BZ$1&amp;""'!$D$4:$D$66"")=BZ$2),$G$3:$BQ$3,$G5:$BQ5)))"),0.14545454)</f>
        <v>0.14545454</v>
      </c>
      <c r="CA5" s="207" t="str">
        <f>IFERROR(__xludf.DUMMYFUNCTION("IF(OR(BZ5&gt;$BS5+$BT5*$BT$2,BZ5&lt;$BS5-$BT5*$BT$2),AVEDEV(ARRAYFORMULA(XLOOKUP(FILTER(INDIRECT(""'""&amp;BZ$1&amp;""'!$C$4:$C$66""),INDIRECT(""'""&amp;BZ$1&amp;""'!$D$4:$D$66"")=BZ$2),$G$3:$BQ$3,$G5:$BQ5))),"""")"),"")</f>
        <v/>
      </c>
      <c r="CB5" s="209"/>
      <c r="CC5" s="207">
        <f>IFERROR(__xludf.DUMMYFUNCTION("AVERAGE(ARRAYFORMULA(XLOOKUP(FILTER(INDIRECT(""'""&amp;CC$1&amp;""'!$C$4:$C$66""),INDIRECT(""'""&amp;CC$1&amp;""'!$D$4:$D$66"")=CC$2),$G$3:$BQ$3,$G5:$BQ5)))"),0.412500001875)</f>
        <v>0.4125000019</v>
      </c>
      <c r="CD5" s="207" t="str">
        <f>IFERROR(__xludf.DUMMYFUNCTION("IF(OR(CC5&gt;$BS5+$BT5*$BT$2,CC5&lt;$BS5-$BT5*$BT$2),AVEDEV(ARRAYFORMULA(XLOOKUP(FILTER(INDIRECT(""'""&amp;CC$1&amp;""'!$C$4:$C$66""),INDIRECT(""'""&amp;CC$1&amp;""'!$D$4:$D$66"")=CC$2),$G$3:$BQ$3,$G5:$BQ5))),"""")"),"")</f>
        <v/>
      </c>
      <c r="CE5" s="207">
        <f>IFERROR(__xludf.DUMMYFUNCTION("AVERAGE(ARRAYFORMULA(XLOOKUP(FILTER(INDIRECT(""'""&amp;CE$1&amp;""'!$C$4:$C$66""),INDIRECT(""'""&amp;CE$1&amp;""'!$D$4:$D$66"")=CE$2),$G$3:$BQ$3,$G5:$BQ5)))"),0.07741935741935484)</f>
        <v>0.07741935742</v>
      </c>
      <c r="CF5" s="207" t="str">
        <f>IFERROR(__xludf.DUMMYFUNCTION("IF(OR(CE5&gt;$BS5+$BT5*$BT$2,CE5&lt;$BS5-$BT5*$BT$2),AVEDEV(ARRAYFORMULA(XLOOKUP(FILTER(INDIRECT(""'""&amp;CE$1&amp;""'!$C$4:$C$66""),INDIRECT(""'""&amp;CE$1&amp;""'!$D$4:$D$66"")=CE$2),$G$3:$BQ$3,$G5:$BQ5))),"""")"),"")</f>
        <v/>
      </c>
      <c r="CG5" s="207">
        <f>IFERROR(__xludf.DUMMYFUNCTION("AVERAGE(ARRAYFORMULA(XLOOKUP(FILTER(INDIRECT(""'""&amp;CG$1&amp;""'!$C$4:$C$66""),INDIRECT(""'""&amp;CG$1&amp;""'!$D$4:$D$66"")=CG$2),$G$3:$BQ$3,$G5:$BQ5)))"),0.11999998600000002)</f>
        <v>0.119999986</v>
      </c>
      <c r="CH5" s="207" t="str">
        <f>IFERROR(__xludf.DUMMYFUNCTION("IF(OR(CG5&gt;$BS5+$BT5*$BT$2,CG5&lt;$BS5-$BT5*$BT$2),AVEDEV(ARRAYFORMULA(XLOOKUP(FILTER(INDIRECT(""'""&amp;CG$1&amp;""'!$C$4:$C$66""),INDIRECT(""'""&amp;CG$1&amp;""'!$D$4:$D$66"")=CG$2),$G$3:$BQ$3,$G5:$BQ5))),"""")"),"")</f>
        <v/>
      </c>
      <c r="CI5" s="206"/>
      <c r="CJ5" s="251">
        <f>IFERROR(__xludf.DUMMYFUNCTION("AVERAGE(ARRAYFORMULA(XLOOKUP(FILTER(INDIRECT(""'""&amp;CJ$1&amp;""'!$C$4:$C$66""),INDIRECT(""'""&amp;CJ$1&amp;""'!$D$4:$D$66"")=CJ$2),$G$3:$BQ$3,$G5:$BQ5)))"),0.16888888666666668)</f>
        <v>0.1688888867</v>
      </c>
      <c r="CK5" s="207" t="str">
        <f>IFERROR(__xludf.DUMMYFUNCTION("IF(OR(CJ5&gt;$BS5+$BT5*$BT$2,CJ5&lt;$BS5-$BT5*$BT$2),AVEDEV(ARRAYFORMULA(XLOOKUP(FILTER(INDIRECT(""'""&amp;CJ$1&amp;""'!$C$4:$C$66""),INDIRECT(""'""&amp;CJ$1&amp;""'!$D$4:$D$66"")=CJ$2),$G$3:$BQ$3,$G5:$BQ5))),"""")"),"")</f>
        <v/>
      </c>
      <c r="CL5" s="251">
        <f>IFERROR(__xludf.DUMMYFUNCTION("AVERAGE(ARRAYFORMULA(XLOOKUP(FILTER(INDIRECT(""'""&amp;CL$1&amp;""'!$C$4:$C$66""),INDIRECT(""'""&amp;CL$1&amp;""'!$D$4:$D$66"")=CL$2),$G$3:$BQ$3,$G5:$BQ5)))"),0.08888889435897436)</f>
        <v>0.08888889436</v>
      </c>
      <c r="CM5" s="207" t="str">
        <f>IFERROR(__xludf.DUMMYFUNCTION("IF(OR(CL5&gt;$BS5+$BT5*$BT$2,CL5&lt;$BS5-$BT5*$BT$2),AVEDEV(ARRAYFORMULA(XLOOKUP(FILTER(INDIRECT(""'""&amp;CL$1&amp;""'!$C$4:$C$66""),INDIRECT(""'""&amp;CL$1&amp;""'!$D$4:$D$66"")=CL$2),$G$3:$BQ$3,$G5:$BQ5))),"""")"),"")</f>
        <v/>
      </c>
      <c r="CN5" s="251">
        <f>IFERROR(__xludf.DUMMYFUNCTION("AVERAGE(ARRAYFORMULA(XLOOKUP(FILTER(INDIRECT(""'""&amp;CN$1&amp;""'!$C$4:$C$66""),INDIRECT(""'""&amp;CN$1&amp;""'!$D$4:$D$66"")=CN$2),$G$3:$BQ$3,$G5:$BQ5)))"),0.11999998600000002)</f>
        <v>0.119999986</v>
      </c>
      <c r="CO5" s="207" t="str">
        <f>IFERROR(__xludf.DUMMYFUNCTION("IF(OR(CN5&gt;$BS5+$BT5*$BT$2,CN5&lt;$BS5-$BT5*$BT$2),AVEDEV(ARRAYFORMULA(XLOOKUP(FILTER(INDIRECT(""'""&amp;CN$1&amp;""'!$C$4:$C$66""),INDIRECT(""'""&amp;CN$1&amp;""'!$D$4:$D$66"")=CN$2),$G$3:$BQ$3,$G5:$BQ5))),"""")"),"")</f>
        <v/>
      </c>
      <c r="CP5" s="252"/>
      <c r="CQ5" s="251">
        <f>IFERROR(__xludf.DUMMYFUNCTION("AVERAGE(ARRAYFORMULA(XLOOKUP(FILTER(INDIRECT(""'""&amp;CQ$1&amp;""'!$C$4:$C$66""),INDIRECT(""'""&amp;CQ$1&amp;""'!$D$4:$D$66"")=CQ$2),$G$3:$BQ$3,$G5:$BQ5)))"),0.3952381)</f>
        <v>0.3952381</v>
      </c>
      <c r="CR5" s="207" t="str">
        <f>IFERROR(__xludf.DUMMYFUNCTION("IF(OR(CQ5&gt;$BS5+$BT5*$BT$2,CQ5&lt;$BS5-$BT5*$BT$2),AVEDEV(ARRAYFORMULA(XLOOKUP(FILTER(INDIRECT(""'""&amp;CQ$1&amp;""'!$C$4:$C$66""),INDIRECT(""'""&amp;CQ$1&amp;""'!$D$4:$D$66"")=CQ$2),$G$3:$BQ$3,$G5:$BQ5))),"""")"),"")</f>
        <v/>
      </c>
      <c r="CS5" s="251">
        <f>IFERROR(__xludf.DUMMYFUNCTION("AVERAGE(ARRAYFORMULA(XLOOKUP(FILTER(INDIRECT(""'""&amp;CS$1&amp;""'!$C$4:$C$66""),INDIRECT(""'""&amp;CS$1&amp;""'!$D$4:$D$66"")=CS$2),$G$3:$BQ$3,$G5:$BQ5)))"),0.23703703)</f>
        <v>0.23703703</v>
      </c>
      <c r="CT5" s="207" t="str">
        <f>IFERROR(__xludf.DUMMYFUNCTION("IF(OR(CS5&gt;$BS5+$BT5*$BT$2,CS5&lt;$BS5-$BT5*$BT$2),AVEDEV(ARRAYFORMULA(XLOOKUP(FILTER(INDIRECT(""'""&amp;CS$1&amp;""'!$C$4:$C$66""),INDIRECT(""'""&amp;CS$1&amp;""'!$D$4:$D$66"")=CS$2),$G$3:$BQ$3,$G5:$BQ5))),"""")"),"")</f>
        <v/>
      </c>
      <c r="CU5" s="251">
        <f>IFERROR(__xludf.DUMMYFUNCTION("AVERAGE(ARRAYFORMULA(XLOOKUP(FILTER(INDIRECT(""'""&amp;CU$1&amp;""'!$C$4:$C$66""),INDIRECT(""'""&amp;CU$1&amp;""'!$D$4:$D$66"")=CU$2),$G$3:$BQ$3,$G5:$BQ5)))"),0.24242424000000004)</f>
        <v>0.24242424</v>
      </c>
      <c r="CV5" s="207" t="str">
        <f>IFERROR(__xludf.DUMMYFUNCTION("IF(OR(CU5&gt;$BS5+$BT5*$BT$2,CU5&lt;$BS5-$BT5*$BT$2),AVEDEV(ARRAYFORMULA(XLOOKUP(FILTER(INDIRECT(""'""&amp;CU$1&amp;""'!$C$4:$C$66""),INDIRECT(""'""&amp;CU$1&amp;""'!$D$4:$D$66"")=CU$2),$G$3:$BQ$3,$G5:$BQ5))),"""")"),"")</f>
        <v/>
      </c>
      <c r="CW5" s="251">
        <f>IFERROR(__xludf.DUMMYFUNCTION("AVERAGE(ARRAYFORMULA(XLOOKUP(FILTER(INDIRECT(""'""&amp;CW$1&amp;""'!$C$4:$C$66""),INDIRECT(""'""&amp;CW$1&amp;""'!$D$4:$D$66"")=CW$2),$G$3:$BQ$3,$G5:$BQ5)))"),-0.5)</f>
        <v>-0.5</v>
      </c>
      <c r="CX5" s="207">
        <f>IFERROR(__xludf.DUMMYFUNCTION("IF(OR(CW5&gt;$BS5+$BT5*$BT$2,CW5&lt;$BS5-$BT5*$BT$2),AVEDEV(ARRAYFORMULA(XLOOKUP(FILTER(INDIRECT(""'""&amp;CW$1&amp;""'!$C$4:$C$66""),INDIRECT(""'""&amp;CW$1&amp;""'!$D$4:$D$66"")=CW$2),$G$3:$BQ$3,$G5:$BQ5))),"""")"),0.03333330000000001)</f>
        <v>0.0333333</v>
      </c>
      <c r="CY5" s="251">
        <f>IFERROR(__xludf.DUMMYFUNCTION("AVERAGE(ARRAYFORMULA(XLOOKUP(FILTER(INDIRECT(""'""&amp;CY$1&amp;""'!$C$4:$C$66""),INDIRECT(""'""&amp;CY$1&amp;""'!$D$4:$D$66"")=CY$2),$G$3:$BQ$3,$G5:$BQ5)))"),-0.19047618285714282)</f>
        <v>-0.1904761829</v>
      </c>
      <c r="CZ5" s="207" t="str">
        <f>IFERROR(__xludf.DUMMYFUNCTION("IF(OR(CY5&gt;$BS5+$BT5*$BT$2,CY5&lt;$BS5-$BT5*$BT$2),AVEDEV(ARRAYFORMULA(XLOOKUP(FILTER(INDIRECT(""'""&amp;CY$1&amp;""'!$C$4:$C$66""),INDIRECT(""'""&amp;CY$1&amp;""'!$D$4:$D$66"")=CY$2),$G$3:$BQ$3,$G5:$BQ5))),"""")"),"")</f>
        <v/>
      </c>
      <c r="DA5" s="252"/>
      <c r="DB5" s="251">
        <f>IFERROR(__xludf.DUMMYFUNCTION("AVERAGE(ARRAYFORMULA(XLOOKUP(FILTER(INDIRECT(""'""&amp;DB$1&amp;""'!$C$4:$C$66""),INDIRECT(""'""&amp;DB$1&amp;""'!$D$4:$D$66"")=DB$2),$G$3:$BQ$3,$G5:$BQ5)))"),0.32444444899999997)</f>
        <v>0.324444449</v>
      </c>
      <c r="DC5" s="207" t="str">
        <f>IFERROR(__xludf.DUMMYFUNCTION("IF(OR(DB5&gt;$BS5+$BT5*$BT$2,DB5&lt;$BS5-$BT5*$BT$2),AVEDEV(ARRAYFORMULA(XLOOKUP(FILTER(INDIRECT(""'""&amp;DB$1&amp;""'!$C$4:$C$66""),INDIRECT(""'""&amp;DB$1&amp;""'!$D$4:$D$66"")=DB$2),$G$3:$BQ$3,$G5:$BQ5))),"""")"),"")</f>
        <v/>
      </c>
      <c r="DD5" s="251">
        <f>IFERROR(__xludf.DUMMYFUNCTION("AVERAGE(ARRAYFORMULA(XLOOKUP(FILTER(INDIRECT(""'""&amp;DD$1&amp;""'!$C$4:$C$66""),INDIRECT(""'""&amp;DD$1&amp;""'!$D$4:$D$66"")=DD$2),$G$3:$BQ$3,$G5:$BQ5)))"),-0.029629633333333325)</f>
        <v>-0.02962963333</v>
      </c>
      <c r="DE5" s="207" t="str">
        <f>IFERROR(__xludf.DUMMYFUNCTION("IF(OR(DD5&gt;$BS5+$BT5*$BT$2,DD5&lt;$BS5-$BT5*$BT$2),AVEDEV(ARRAYFORMULA(XLOOKUP(FILTER(INDIRECT(""'""&amp;DD$1&amp;""'!$C$4:$C$66""),INDIRECT(""'""&amp;DD$1&amp;""'!$D$4:$D$66"")=DD$2),$G$3:$BQ$3,$G5:$BQ5))),"""")"),"")</f>
        <v/>
      </c>
      <c r="DF5" s="251">
        <f>IFERROR(__xludf.DUMMYFUNCTION("AVERAGE(ARRAYFORMULA(XLOOKUP(FILTER(INDIRECT(""'""&amp;DF$1&amp;""'!$C$4:$C$66""),INDIRECT(""'""&amp;DF$1&amp;""'!$D$4:$D$66"")=DF$2),$G$3:$BQ$3,$G5:$BQ5)))"),-0.21666666625000003)</f>
        <v>-0.2166666663</v>
      </c>
      <c r="DG5" s="207" t="str">
        <f>IFERROR(__xludf.DUMMYFUNCTION("IF(OR(DF5&gt;$BS5+$BT5*$BT$2,DF5&lt;$BS5-$BT5*$BT$2),AVEDEV(ARRAYFORMULA(XLOOKUP(FILTER(INDIRECT(""'""&amp;DF$1&amp;""'!$C$4:$C$66""),INDIRECT(""'""&amp;DF$1&amp;""'!$D$4:$D$66"")=DF$2),$G$3:$BQ$3,$G5:$BQ5))),"""")"),"")</f>
        <v/>
      </c>
      <c r="DH5" s="251">
        <f>IFERROR(__xludf.DUMMYFUNCTION("AVERAGE(ARRAYFORMULA(XLOOKUP(FILTER(INDIRECT(""'""&amp;DH$1&amp;""'!$C$4:$C$66""),INDIRECT(""'""&amp;DH$1&amp;""'!$D$4:$D$66"")=DH$2),$G$3:$BQ$3,$G5:$BQ5)))"),-0.03703704444444443)</f>
        <v>-0.03703704444</v>
      </c>
      <c r="DI5" s="207" t="str">
        <f>IFERROR(__xludf.DUMMYFUNCTION("IF(OR(DH5&gt;$BS5+$BT5*$BT$2,DH5&lt;$BS5-$BT5*$BT$2),AVEDEV(ARRAYFORMULA(XLOOKUP(FILTER(INDIRECT(""'""&amp;DH$1&amp;""'!$C$4:$C$66""),INDIRECT(""'""&amp;DH$1&amp;""'!$D$4:$D$66"")=DH$2),$G$3:$BQ$3,$G5:$BQ5))),"""")"),"")</f>
        <v/>
      </c>
      <c r="DJ5" s="243"/>
    </row>
    <row r="6">
      <c r="A6" s="2"/>
      <c r="B6" s="204">
        <v>2.0</v>
      </c>
      <c r="C6" s="204" t="s">
        <v>442</v>
      </c>
      <c r="D6" s="204" t="s">
        <v>445</v>
      </c>
      <c r="E6" s="205" t="b">
        <f>VLOOKUP(D6,'Feature Set List'!A3:C246,2,0)</f>
        <v>1</v>
      </c>
      <c r="F6" s="205" t="b">
        <f>VLOOKUP(D6,'Feature Set List'!A3:C246,3,0)</f>
        <v>1</v>
      </c>
      <c r="G6" s="205">
        <v>0.0</v>
      </c>
      <c r="H6" s="205">
        <v>0.0</v>
      </c>
      <c r="I6" s="205">
        <v>0.0</v>
      </c>
      <c r="J6" s="205">
        <v>0.0</v>
      </c>
      <c r="K6" s="205">
        <v>0.0</v>
      </c>
      <c r="L6" s="205">
        <v>0.0</v>
      </c>
      <c r="M6" s="205">
        <v>0.0</v>
      </c>
      <c r="N6" s="205">
        <v>0.0</v>
      </c>
      <c r="O6" s="205">
        <v>0.0</v>
      </c>
      <c r="P6" s="205">
        <v>0.0</v>
      </c>
      <c r="Q6" s="205">
        <v>0.0</v>
      </c>
      <c r="R6" s="205">
        <v>0.0</v>
      </c>
      <c r="S6" s="205">
        <v>0.0</v>
      </c>
      <c r="T6" s="205">
        <v>0.0</v>
      </c>
      <c r="U6" s="205">
        <v>-1.0</v>
      </c>
      <c r="V6" s="205">
        <v>0.0</v>
      </c>
      <c r="W6" s="205">
        <v>0.0</v>
      </c>
      <c r="X6" s="205">
        <v>-2.0</v>
      </c>
      <c r="Y6" s="205">
        <v>0.0</v>
      </c>
      <c r="Z6" s="205">
        <v>0.0</v>
      </c>
      <c r="AA6" s="205">
        <v>0.0</v>
      </c>
      <c r="AB6" s="205">
        <v>-3.0</v>
      </c>
      <c r="AC6" s="205">
        <v>0.0</v>
      </c>
      <c r="AD6" s="205">
        <v>-2.0</v>
      </c>
      <c r="AE6" s="205">
        <v>0.0</v>
      </c>
      <c r="AF6" s="205">
        <v>0.0</v>
      </c>
      <c r="AG6" s="205">
        <v>0.0</v>
      </c>
      <c r="AH6" s="205">
        <v>0.0</v>
      </c>
      <c r="AI6" s="205">
        <v>0.0</v>
      </c>
      <c r="AJ6" s="205">
        <v>-2.0</v>
      </c>
      <c r="AK6" s="205">
        <v>0.0</v>
      </c>
      <c r="AL6" s="205">
        <v>0.0</v>
      </c>
      <c r="AM6" s="205">
        <v>0.0</v>
      </c>
      <c r="AN6" s="205">
        <v>-2.0</v>
      </c>
      <c r="AO6" s="205">
        <v>0.0</v>
      </c>
      <c r="AP6" s="205">
        <v>-3.0</v>
      </c>
      <c r="AQ6" s="205">
        <v>0.0</v>
      </c>
      <c r="AR6" s="205">
        <v>-2.0</v>
      </c>
      <c r="AS6" s="205">
        <v>0.0</v>
      </c>
      <c r="AT6" s="205">
        <v>0.0</v>
      </c>
      <c r="AU6" s="205">
        <v>-1.0</v>
      </c>
      <c r="AV6" s="205">
        <v>-2.0</v>
      </c>
      <c r="AW6" s="205">
        <v>-2.0</v>
      </c>
      <c r="AX6" s="205">
        <v>-1.0</v>
      </c>
      <c r="AY6" s="205">
        <v>-1.0</v>
      </c>
      <c r="AZ6" s="205">
        <v>0.0</v>
      </c>
      <c r="BA6" s="205">
        <v>0.0</v>
      </c>
      <c r="BB6" s="205">
        <v>0.0</v>
      </c>
      <c r="BC6" s="205">
        <v>0.0</v>
      </c>
      <c r="BD6" s="205">
        <v>0.0</v>
      </c>
      <c r="BE6" s="205">
        <v>0.0</v>
      </c>
      <c r="BF6" s="205">
        <v>0.0</v>
      </c>
      <c r="BG6" s="205">
        <v>0.0</v>
      </c>
      <c r="BH6" s="205">
        <v>-1.0</v>
      </c>
      <c r="BI6" s="205">
        <v>-1.0</v>
      </c>
      <c r="BJ6" s="205">
        <v>-3.0</v>
      </c>
      <c r="BK6" s="205">
        <v>0.0</v>
      </c>
      <c r="BL6" s="205">
        <v>-4.0</v>
      </c>
      <c r="BM6" s="205">
        <v>-1.0</v>
      </c>
      <c r="BN6" s="205">
        <v>0.0</v>
      </c>
      <c r="BO6" s="205">
        <v>0.0</v>
      </c>
      <c r="BP6" s="205">
        <v>-1.0</v>
      </c>
      <c r="BQ6" s="205">
        <v>0.0</v>
      </c>
      <c r="BR6" s="206"/>
      <c r="BS6" s="250">
        <f t="shared" si="1"/>
        <v>-0.5555555556</v>
      </c>
      <c r="BT6" s="250">
        <f t="shared" si="2"/>
        <v>0.7760141093</v>
      </c>
      <c r="BU6" s="206"/>
      <c r="BV6" s="207">
        <f>IFERROR(__xludf.DUMMYFUNCTION("AVERAGE(ARRAYFORMULA(XLOOKUP(FILTER(INDIRECT(""'""&amp;BV$1&amp;""'!$C$4:$C$66""),INDIRECT(""'""&amp;BV$1&amp;""'!$D$4:$D$66"")=BV$2),$G$3:$BQ$3,$G6:$BQ6)))"),-1.1428571428571428)</f>
        <v>-1.142857143</v>
      </c>
      <c r="BW6" s="207" t="str">
        <f>IFERROR(__xludf.DUMMYFUNCTION("IF(OR(BV6&gt;$BS6+$BT6*$BT$2,BV6&lt;$BS6-$BT6*$BT$2),AVEDEV(ARRAYFORMULA(XLOOKUP(FILTER(INDIRECT(""'""&amp;BV$1&amp;""'!$C$4:$C$66""),INDIRECT(""'""&amp;BV$1&amp;""'!$D$4:$D$66"")=BV$2),$G$3:$BQ$3,$G6:$BQ6))),"""")"),"")</f>
        <v/>
      </c>
      <c r="BX6" s="207">
        <f>IFERROR(__xludf.DUMMYFUNCTION("AVERAGE(ARRAYFORMULA(XLOOKUP(FILTER(INDIRECT(""'""&amp;BX$1&amp;""'!$C$4:$C$66""),INDIRECT(""'""&amp;BX$1&amp;""'!$D$4:$D$66"")=BX$2),$G$3:$BQ$3,$G6:$BQ6)))"),-0.5952380952380952)</f>
        <v>-0.5952380952</v>
      </c>
      <c r="BY6" s="207" t="str">
        <f>IFERROR(__xludf.DUMMYFUNCTION("IF(OR(BX6&gt;$BS6+$BT6*$BT$2,BX6&lt;$BS6-$BT6*$BT$2),AVEDEV(ARRAYFORMULA(XLOOKUP(FILTER(INDIRECT(""'""&amp;BX$1&amp;""'!$C$4:$C$66""),INDIRECT(""'""&amp;BX$1&amp;""'!$D$4:$D$66"")=BX$2),$G$3:$BQ$3,$G6:$BQ6))),"""")"),"")</f>
        <v/>
      </c>
      <c r="BZ6" s="207">
        <f>IFERROR(__xludf.DUMMYFUNCTION("AVERAGE(ARRAYFORMULA(XLOOKUP(FILTER(INDIRECT(""'""&amp;BZ$1&amp;""'!$C$4:$C$66""),INDIRECT(""'""&amp;BZ$1&amp;""'!$D$4:$D$66"")=BZ$2),$G$3:$BQ$3,$G6:$BQ6)))"),-0.09090909090909091)</f>
        <v>-0.09090909091</v>
      </c>
      <c r="CA6" s="207" t="str">
        <f>IFERROR(__xludf.DUMMYFUNCTION("IF(OR(BZ6&gt;$BS6+$BT6*$BT$2,BZ6&lt;$BS6-$BT6*$BT$2),AVEDEV(ARRAYFORMULA(XLOOKUP(FILTER(INDIRECT(""'""&amp;BZ$1&amp;""'!$C$4:$C$66""),INDIRECT(""'""&amp;BZ$1&amp;""'!$D$4:$D$66"")=BZ$2),$G$3:$BQ$3,$G6:$BQ6))),"""")"),"")</f>
        <v/>
      </c>
      <c r="CB6" s="209"/>
      <c r="CC6" s="207">
        <f>IFERROR(__xludf.DUMMYFUNCTION("AVERAGE(ARRAYFORMULA(XLOOKUP(FILTER(INDIRECT(""'""&amp;CC$1&amp;""'!$C$4:$C$66""),INDIRECT(""'""&amp;CC$1&amp;""'!$D$4:$D$66"")=CC$2),$G$3:$BQ$3,$G6:$BQ6)))"),-0.375)</f>
        <v>-0.375</v>
      </c>
      <c r="CD6" s="207" t="str">
        <f>IFERROR(__xludf.DUMMYFUNCTION("IF(OR(CC6&gt;$BS6+$BT6*$BT$2,CC6&lt;$BS6-$BT6*$BT$2),AVEDEV(ARRAYFORMULA(XLOOKUP(FILTER(INDIRECT(""'""&amp;CC$1&amp;""'!$C$4:$C$66""),INDIRECT(""'""&amp;CC$1&amp;""'!$D$4:$D$66"")=CC$2),$G$3:$BQ$3,$G6:$BQ6))),"""")"),"")</f>
        <v/>
      </c>
      <c r="CE6" s="207">
        <f>IFERROR(__xludf.DUMMYFUNCTION("AVERAGE(ARRAYFORMULA(XLOOKUP(FILTER(INDIRECT(""'""&amp;CE$1&amp;""'!$C$4:$C$66""),INDIRECT(""'""&amp;CE$1&amp;""'!$D$4:$D$66"")=CE$2),$G$3:$BQ$3,$G6:$BQ6)))"),-0.5806451612903226)</f>
        <v>-0.5806451613</v>
      </c>
      <c r="CF6" s="207" t="str">
        <f>IFERROR(__xludf.DUMMYFUNCTION("IF(OR(CE6&gt;$BS6+$BT6*$BT$2,CE6&lt;$BS6-$BT6*$BT$2),AVEDEV(ARRAYFORMULA(XLOOKUP(FILTER(INDIRECT(""'""&amp;CE$1&amp;""'!$C$4:$C$66""),INDIRECT(""'""&amp;CE$1&amp;""'!$D$4:$D$66"")=CE$2),$G$3:$BQ$3,$G6:$BQ6))),"""")"),"")</f>
        <v/>
      </c>
      <c r="CG6" s="207">
        <f>IFERROR(__xludf.DUMMYFUNCTION("AVERAGE(ARRAYFORMULA(XLOOKUP(FILTER(INDIRECT(""'""&amp;CG$1&amp;""'!$C$4:$C$66""),INDIRECT(""'""&amp;CG$1&amp;""'!$D$4:$D$66"")=CG$2),$G$3:$BQ$3,$G6:$BQ6)))"),0.0)</f>
        <v>0</v>
      </c>
      <c r="CH6" s="207" t="str">
        <f>IFERROR(__xludf.DUMMYFUNCTION("IF(OR(CG6&gt;$BS6+$BT6*$BT$2,CG6&lt;$BS6-$BT6*$BT$2),AVEDEV(ARRAYFORMULA(XLOOKUP(FILTER(INDIRECT(""'""&amp;CG$1&amp;""'!$C$4:$C$66""),INDIRECT(""'""&amp;CG$1&amp;""'!$D$4:$D$66"")=CG$2),$G$3:$BQ$3,$G6:$BQ6))),"""")"),"")</f>
        <v/>
      </c>
      <c r="CI6" s="206"/>
      <c r="CJ6" s="251">
        <f>IFERROR(__xludf.DUMMYFUNCTION("AVERAGE(ARRAYFORMULA(XLOOKUP(FILTER(INDIRECT(""'""&amp;CJ$1&amp;""'!$C$4:$C$66""),INDIRECT(""'""&amp;CJ$1&amp;""'!$D$4:$D$66"")=CJ$2),$G$3:$BQ$3,$G6:$BQ6)))"),-0.4666666666666667)</f>
        <v>-0.4666666667</v>
      </c>
      <c r="CK6" s="207" t="str">
        <f>IFERROR(__xludf.DUMMYFUNCTION("IF(OR(CJ6&gt;$BS6+$BT6*$BT$2,CJ6&lt;$BS6-$BT6*$BT$2),AVEDEV(ARRAYFORMULA(XLOOKUP(FILTER(INDIRECT(""'""&amp;CJ$1&amp;""'!$C$4:$C$66""),INDIRECT(""'""&amp;CJ$1&amp;""'!$D$4:$D$66"")=CJ$2),$G$3:$BQ$3,$G6:$BQ6))),"""")"),"")</f>
        <v/>
      </c>
      <c r="CL6" s="251">
        <f>IFERROR(__xludf.DUMMYFUNCTION("AVERAGE(ARRAYFORMULA(XLOOKUP(FILTER(INDIRECT(""'""&amp;CL$1&amp;""'!$C$4:$C$66""),INDIRECT(""'""&amp;CL$1&amp;""'!$D$4:$D$66"")=CL$2),$G$3:$BQ$3,$G6:$BQ6)))"),-0.5897435897435898)</f>
        <v>-0.5897435897</v>
      </c>
      <c r="CM6" s="207" t="str">
        <f>IFERROR(__xludf.DUMMYFUNCTION("IF(OR(CL6&gt;$BS6+$BT6*$BT$2,CL6&lt;$BS6-$BT6*$BT$2),AVEDEV(ARRAYFORMULA(XLOOKUP(FILTER(INDIRECT(""'""&amp;CL$1&amp;""'!$C$4:$C$66""),INDIRECT(""'""&amp;CL$1&amp;""'!$D$4:$D$66"")=CL$2),$G$3:$BQ$3,$G6:$BQ6))),"""")"),"")</f>
        <v/>
      </c>
      <c r="CN6" s="251">
        <f>IFERROR(__xludf.DUMMYFUNCTION("AVERAGE(ARRAYFORMULA(XLOOKUP(FILTER(INDIRECT(""'""&amp;CN$1&amp;""'!$C$4:$C$66""),INDIRECT(""'""&amp;CN$1&amp;""'!$D$4:$D$66"")=CN$2),$G$3:$BQ$3,$G6:$BQ6)))"),0.0)</f>
        <v>0</v>
      </c>
      <c r="CO6" s="207" t="str">
        <f>IFERROR(__xludf.DUMMYFUNCTION("IF(OR(CN6&gt;$BS6+$BT6*$BT$2,CN6&lt;$BS6-$BT6*$BT$2),AVEDEV(ARRAYFORMULA(XLOOKUP(FILTER(INDIRECT(""'""&amp;CN$1&amp;""'!$C$4:$C$66""),INDIRECT(""'""&amp;CN$1&amp;""'!$D$4:$D$66"")=CN$2),$G$3:$BQ$3,$G6:$BQ6))),"""")"),"")</f>
        <v/>
      </c>
      <c r="CP6" s="252"/>
      <c r="CQ6" s="251">
        <f>IFERROR(__xludf.DUMMYFUNCTION("AVERAGE(ARRAYFORMULA(XLOOKUP(FILTER(INDIRECT(""'""&amp;CQ$1&amp;""'!$C$4:$C$66""),INDIRECT(""'""&amp;CQ$1&amp;""'!$D$4:$D$66"")=CQ$2),$G$3:$BQ$3,$G6:$BQ6)))"),-0.35714285714285715)</f>
        <v>-0.3571428571</v>
      </c>
      <c r="CR6" s="207" t="str">
        <f>IFERROR(__xludf.DUMMYFUNCTION("IF(OR(CQ6&gt;$BS6+$BT6*$BT$2,CQ6&lt;$BS6-$BT6*$BT$2),AVEDEV(ARRAYFORMULA(XLOOKUP(FILTER(INDIRECT(""'""&amp;CQ$1&amp;""'!$C$4:$C$66""),INDIRECT(""'""&amp;CQ$1&amp;""'!$D$4:$D$66"")=CQ$2),$G$3:$BQ$3,$G6:$BQ6))),"""")"),"")</f>
        <v/>
      </c>
      <c r="CS6" s="251">
        <f>IFERROR(__xludf.DUMMYFUNCTION("AVERAGE(ARRAYFORMULA(XLOOKUP(FILTER(INDIRECT(""'""&amp;CS$1&amp;""'!$C$4:$C$66""),INDIRECT(""'""&amp;CS$1&amp;""'!$D$4:$D$66"")=CS$2),$G$3:$BQ$3,$G6:$BQ6)))"),0.0)</f>
        <v>0</v>
      </c>
      <c r="CT6" s="207" t="str">
        <f>IFERROR(__xludf.DUMMYFUNCTION("IF(OR(CS6&gt;$BS6+$BT6*$BT$2,CS6&lt;$BS6-$BT6*$BT$2),AVEDEV(ARRAYFORMULA(XLOOKUP(FILTER(INDIRECT(""'""&amp;CS$1&amp;""'!$C$4:$C$66""),INDIRECT(""'""&amp;CS$1&amp;""'!$D$4:$D$66"")=CS$2),$G$3:$BQ$3,$G6:$BQ6))),"""")"),"")</f>
        <v/>
      </c>
      <c r="CU6" s="251">
        <f>IFERROR(__xludf.DUMMYFUNCTION("AVERAGE(ARRAYFORMULA(XLOOKUP(FILTER(INDIRECT(""'""&amp;CU$1&amp;""'!$C$4:$C$66""),INDIRECT(""'""&amp;CU$1&amp;""'!$D$4:$D$66"")=CU$2),$G$3:$BQ$3,$G6:$BQ6)))"),-0.45454545454545453)</f>
        <v>-0.4545454545</v>
      </c>
      <c r="CV6" s="207" t="str">
        <f>IFERROR(__xludf.DUMMYFUNCTION("IF(OR(CU6&gt;$BS6+$BT6*$BT$2,CU6&lt;$BS6-$BT6*$BT$2),AVEDEV(ARRAYFORMULA(XLOOKUP(FILTER(INDIRECT(""'""&amp;CU$1&amp;""'!$C$4:$C$66""),INDIRECT(""'""&amp;CU$1&amp;""'!$D$4:$D$66"")=CU$2),$G$3:$BQ$3,$G6:$BQ6))),"""")"),"")</f>
        <v/>
      </c>
      <c r="CW6" s="251">
        <f>IFERROR(__xludf.DUMMYFUNCTION("AVERAGE(ARRAYFORMULA(XLOOKUP(FILTER(INDIRECT(""'""&amp;CW$1&amp;""'!$C$4:$C$66""),INDIRECT(""'""&amp;CW$1&amp;""'!$D$4:$D$66"")=CW$2),$G$3:$BQ$3,$G6:$BQ6)))"),-1.5)</f>
        <v>-1.5</v>
      </c>
      <c r="CX6" s="207">
        <f>IFERROR(__xludf.DUMMYFUNCTION("IF(OR(CW6&gt;$BS6+$BT6*$BT$2,CW6&lt;$BS6-$BT6*$BT$2),AVEDEV(ARRAYFORMULA(XLOOKUP(FILTER(INDIRECT(""'""&amp;CW$1&amp;""'!$C$4:$C$66""),INDIRECT(""'""&amp;CW$1&amp;""'!$D$4:$D$66"")=CW$2),$G$3:$BQ$3,$G6:$BQ6))),"""")"),0.5)</f>
        <v>0.5</v>
      </c>
      <c r="CY6" s="251">
        <f>IFERROR(__xludf.DUMMYFUNCTION("AVERAGE(ARRAYFORMULA(XLOOKUP(FILTER(INDIRECT(""'""&amp;CY$1&amp;""'!$C$4:$C$66""),INDIRECT(""'""&amp;CY$1&amp;""'!$D$4:$D$66"")=CY$2),$G$3:$BQ$3,$G6:$BQ6)))"),-0.8571428571428571)</f>
        <v>-0.8571428571</v>
      </c>
      <c r="CZ6" s="207" t="str">
        <f>IFERROR(__xludf.DUMMYFUNCTION("IF(OR(CY6&gt;$BS6+$BT6*$BT$2,CY6&lt;$BS6-$BT6*$BT$2),AVEDEV(ARRAYFORMULA(XLOOKUP(FILTER(INDIRECT(""'""&amp;CY$1&amp;""'!$C$4:$C$66""),INDIRECT(""'""&amp;CY$1&amp;""'!$D$4:$D$66"")=CY$2),$G$3:$BQ$3,$G6:$BQ6))),"""")"),"")</f>
        <v/>
      </c>
      <c r="DA6" s="252"/>
      <c r="DB6" s="251">
        <f>IFERROR(__xludf.DUMMYFUNCTION("AVERAGE(ARRAYFORMULA(XLOOKUP(FILTER(INDIRECT(""'""&amp;DB$1&amp;""'!$C$4:$C$66""),INDIRECT(""'""&amp;DB$1&amp;""'!$D$4:$D$66"")=DB$2),$G$3:$BQ$3,$G6:$BQ6)))"),-0.4666666666666667)</f>
        <v>-0.4666666667</v>
      </c>
      <c r="DC6" s="207" t="str">
        <f>IFERROR(__xludf.DUMMYFUNCTION("IF(OR(DB6&gt;$BS6+$BT6*$BT$2,DB6&lt;$BS6-$BT6*$BT$2),AVEDEV(ARRAYFORMULA(XLOOKUP(FILTER(INDIRECT(""'""&amp;DB$1&amp;""'!$C$4:$C$66""),INDIRECT(""'""&amp;DB$1&amp;""'!$D$4:$D$66"")=DB$2),$G$3:$BQ$3,$G6:$BQ6))),"""")"),"")</f>
        <v/>
      </c>
      <c r="DD6" s="251">
        <f>IFERROR(__xludf.DUMMYFUNCTION("AVERAGE(ARRAYFORMULA(XLOOKUP(FILTER(INDIRECT(""'""&amp;DD$1&amp;""'!$C$4:$C$66""),INDIRECT(""'""&amp;DD$1&amp;""'!$D$4:$D$66"")=DD$2),$G$3:$BQ$3,$G6:$BQ6)))"),-0.3333333333333333)</f>
        <v>-0.3333333333</v>
      </c>
      <c r="DE6" s="207" t="str">
        <f>IFERROR(__xludf.DUMMYFUNCTION("IF(OR(DD6&gt;$BS6+$BT6*$BT$2,DD6&lt;$BS6-$BT6*$BT$2),AVEDEV(ARRAYFORMULA(XLOOKUP(FILTER(INDIRECT(""'""&amp;DD$1&amp;""'!$C$4:$C$66""),INDIRECT(""'""&amp;DD$1&amp;""'!$D$4:$D$66"")=DD$2),$G$3:$BQ$3,$G6:$BQ6))),"""")"),"")</f>
        <v/>
      </c>
      <c r="DF6" s="251">
        <f>IFERROR(__xludf.DUMMYFUNCTION("AVERAGE(ARRAYFORMULA(XLOOKUP(FILTER(INDIRECT(""'""&amp;DF$1&amp;""'!$C$4:$C$66""),INDIRECT(""'""&amp;DF$1&amp;""'!$D$4:$D$66"")=DF$2),$G$3:$BQ$3,$G6:$BQ6)))"),-0.5)</f>
        <v>-0.5</v>
      </c>
      <c r="DG6" s="207" t="str">
        <f>IFERROR(__xludf.DUMMYFUNCTION("IF(OR(DF6&gt;$BS6+$BT6*$BT$2,DF6&lt;$BS6-$BT6*$BT$2),AVEDEV(ARRAYFORMULA(XLOOKUP(FILTER(INDIRECT(""'""&amp;DF$1&amp;""'!$C$4:$C$66""),INDIRECT(""'""&amp;DF$1&amp;""'!$D$4:$D$66"")=DF$2),$G$3:$BQ$3,$G6:$BQ6))),"""")"),"")</f>
        <v/>
      </c>
      <c r="DH6" s="251">
        <f>IFERROR(__xludf.DUMMYFUNCTION("AVERAGE(ARRAYFORMULA(XLOOKUP(FILTER(INDIRECT(""'""&amp;DH$1&amp;""'!$C$4:$C$66""),INDIRECT(""'""&amp;DH$1&amp;""'!$D$4:$D$66"")=DH$2),$G$3:$BQ$3,$G6:$BQ6)))"),-0.5555555555555556)</f>
        <v>-0.5555555556</v>
      </c>
      <c r="DI6" s="207" t="str">
        <f>IFERROR(__xludf.DUMMYFUNCTION("IF(OR(DH6&gt;$BS6+$BT6*$BT$2,DH6&lt;$BS6-$BT6*$BT$2),AVEDEV(ARRAYFORMULA(XLOOKUP(FILTER(INDIRECT(""'""&amp;DH$1&amp;""'!$C$4:$C$66""),INDIRECT(""'""&amp;DH$1&amp;""'!$D$4:$D$66"")=DH$2),$G$3:$BQ$3,$G6:$BQ6))),"""")"),"")</f>
        <v/>
      </c>
      <c r="DJ6" s="243"/>
    </row>
    <row r="7">
      <c r="A7" s="2"/>
      <c r="B7" s="204">
        <v>3.0</v>
      </c>
      <c r="C7" s="204" t="s">
        <v>442</v>
      </c>
      <c r="D7" s="204" t="s">
        <v>446</v>
      </c>
      <c r="E7" s="205" t="b">
        <f>VLOOKUP(D7,'Feature Set List'!A4:C246,2,0)</f>
        <v>1</v>
      </c>
      <c r="F7" s="205" t="b">
        <f>VLOOKUP(D7,'Feature Set List'!A4:C246,3,0)</f>
        <v>1</v>
      </c>
      <c r="G7" s="205">
        <v>0.0</v>
      </c>
      <c r="H7" s="205">
        <v>-0.5</v>
      </c>
      <c r="I7" s="205">
        <v>0.5</v>
      </c>
      <c r="J7" s="205">
        <v>-0.5</v>
      </c>
      <c r="K7" s="205">
        <v>1.0</v>
      </c>
      <c r="L7" s="205">
        <v>-0.5</v>
      </c>
      <c r="M7" s="205">
        <v>1.0</v>
      </c>
      <c r="N7" s="205">
        <v>-0.5</v>
      </c>
      <c r="O7" s="205">
        <v>1.5</v>
      </c>
      <c r="P7" s="205">
        <v>-0.5</v>
      </c>
      <c r="Q7" s="205">
        <v>0.0</v>
      </c>
      <c r="R7" s="205">
        <v>0.5</v>
      </c>
      <c r="S7" s="205">
        <v>-0.5</v>
      </c>
      <c r="T7" s="205">
        <v>-0.5</v>
      </c>
      <c r="U7" s="205">
        <v>0.5</v>
      </c>
      <c r="V7" s="205">
        <v>0.0</v>
      </c>
      <c r="W7" s="205">
        <v>0.5</v>
      </c>
      <c r="X7" s="205">
        <v>1.5</v>
      </c>
      <c r="Y7" s="205">
        <v>0.0</v>
      </c>
      <c r="Z7" s="205">
        <v>1.0</v>
      </c>
      <c r="AA7" s="205">
        <v>0.0</v>
      </c>
      <c r="AB7" s="205">
        <v>1.0</v>
      </c>
      <c r="AC7" s="205">
        <v>-0.5</v>
      </c>
      <c r="AD7" s="205">
        <v>0.0</v>
      </c>
      <c r="AE7" s="205">
        <v>-0.5</v>
      </c>
      <c r="AF7" s="205">
        <v>0.0</v>
      </c>
      <c r="AG7" s="205">
        <v>-0.5</v>
      </c>
      <c r="AH7" s="205">
        <v>0.5</v>
      </c>
      <c r="AI7" s="205">
        <v>-0.5</v>
      </c>
      <c r="AJ7" s="205">
        <v>-0.5</v>
      </c>
      <c r="AK7" s="205">
        <v>0.5</v>
      </c>
      <c r="AL7" s="205">
        <v>-0.5</v>
      </c>
      <c r="AM7" s="205">
        <v>-0.5</v>
      </c>
      <c r="AN7" s="205">
        <v>0.0</v>
      </c>
      <c r="AO7" s="205">
        <v>0.0</v>
      </c>
      <c r="AP7" s="205">
        <v>1.5</v>
      </c>
      <c r="AQ7" s="205">
        <v>-0.5</v>
      </c>
      <c r="AR7" s="205">
        <v>0.0</v>
      </c>
      <c r="AS7" s="205">
        <v>-0.5</v>
      </c>
      <c r="AT7" s="205">
        <v>0.0</v>
      </c>
      <c r="AU7" s="205">
        <v>0.0</v>
      </c>
      <c r="AV7" s="205">
        <v>0.5</v>
      </c>
      <c r="AW7" s="205">
        <v>-0.5</v>
      </c>
      <c r="AX7" s="205">
        <v>-0.5</v>
      </c>
      <c r="AY7" s="205">
        <v>0.5</v>
      </c>
      <c r="AZ7" s="205">
        <v>1.0</v>
      </c>
      <c r="BA7" s="205">
        <v>0.5</v>
      </c>
      <c r="BB7" s="205">
        <v>0.0</v>
      </c>
      <c r="BC7" s="205">
        <v>0.0</v>
      </c>
      <c r="BD7" s="205">
        <v>-0.5</v>
      </c>
      <c r="BE7" s="205">
        <v>0.5</v>
      </c>
      <c r="BF7" s="205">
        <v>-0.5</v>
      </c>
      <c r="BG7" s="205">
        <v>0.0</v>
      </c>
      <c r="BH7" s="205">
        <v>0.0</v>
      </c>
      <c r="BI7" s="205">
        <v>0.5</v>
      </c>
      <c r="BJ7" s="205">
        <v>0.5</v>
      </c>
      <c r="BK7" s="205">
        <v>-0.5</v>
      </c>
      <c r="BL7" s="205">
        <v>1.5</v>
      </c>
      <c r="BM7" s="205">
        <v>1.0</v>
      </c>
      <c r="BN7" s="205">
        <v>-0.5</v>
      </c>
      <c r="BO7" s="205">
        <v>-0.5</v>
      </c>
      <c r="BP7" s="205">
        <v>0.0</v>
      </c>
      <c r="BQ7" s="205">
        <v>0.5</v>
      </c>
      <c r="BR7" s="206"/>
      <c r="BS7" s="250">
        <f t="shared" si="1"/>
        <v>0.1111111111</v>
      </c>
      <c r="BT7" s="250">
        <f t="shared" si="2"/>
        <v>0.5061728395</v>
      </c>
      <c r="BU7" s="206"/>
      <c r="BV7" s="207">
        <f>IFERROR(__xludf.DUMMYFUNCTION("AVERAGE(ARRAYFORMULA(XLOOKUP(FILTER(INDIRECT(""'""&amp;BV$1&amp;""'!$C$4:$C$66""),INDIRECT(""'""&amp;BV$1&amp;""'!$D$4:$D$66"")=BV$2),$G$3:$BQ$3,$G7:$BQ7)))"),0.6428571428571429)</f>
        <v>0.6428571429</v>
      </c>
      <c r="BW7" s="207">
        <f>IFERROR(__xludf.DUMMYFUNCTION("IF(OR(BV7&gt;$BS7+$BT7*$BT$2,BV7&lt;$BS7-$BT7*$BT$2),AVEDEV(ARRAYFORMULA(XLOOKUP(FILTER(INDIRECT(""'""&amp;BV$1&amp;""'!$C$4:$C$66""),INDIRECT(""'""&amp;BV$1&amp;""'!$D$4:$D$66"")=BV$2),$G$3:$BQ$3,$G7:$BQ7))),"""")"),0.4897959183673469)</f>
        <v>0.4897959184</v>
      </c>
      <c r="BX7" s="207">
        <f>IFERROR(__xludf.DUMMYFUNCTION("AVERAGE(ARRAYFORMULA(XLOOKUP(FILTER(INDIRECT(""'""&amp;BX$1&amp;""'!$C$4:$C$66""),INDIRECT(""'""&amp;BX$1&amp;""'!$D$4:$D$66"")=BX$2),$G$3:$BQ$3,$G7:$BQ7)))"),0.0)</f>
        <v>0</v>
      </c>
      <c r="BY7" s="207" t="str">
        <f>IFERROR(__xludf.DUMMYFUNCTION("IF(OR(BX7&gt;$BS7+$BT7*$BT$2,BX7&lt;$BS7-$BT7*$BT$2),AVEDEV(ARRAYFORMULA(XLOOKUP(FILTER(INDIRECT(""'""&amp;BX$1&amp;""'!$C$4:$C$66""),INDIRECT(""'""&amp;BX$1&amp;""'!$D$4:$D$66"")=BX$2),$G$3:$BQ$3,$G7:$BQ7))),"""")"),"")</f>
        <v/>
      </c>
      <c r="BZ7" s="207">
        <f>IFERROR(__xludf.DUMMYFUNCTION("AVERAGE(ARRAYFORMULA(XLOOKUP(FILTER(INDIRECT(""'""&amp;BZ$1&amp;""'!$C$4:$C$66""),INDIRECT(""'""&amp;BZ$1&amp;""'!$D$4:$D$66"")=BZ$2),$G$3:$BQ$3,$G7:$BQ7)))"),0.22727272727272727)</f>
        <v>0.2272727273</v>
      </c>
      <c r="CA7" s="207" t="str">
        <f>IFERROR(__xludf.DUMMYFUNCTION("IF(OR(BZ7&gt;$BS7+$BT7*$BT$2,BZ7&lt;$BS7-$BT7*$BT$2),AVEDEV(ARRAYFORMULA(XLOOKUP(FILTER(INDIRECT(""'""&amp;BZ$1&amp;""'!$C$4:$C$66""),INDIRECT(""'""&amp;BZ$1&amp;""'!$D$4:$D$66"")=BZ$2),$G$3:$BQ$3,$G7:$BQ7))),"""")"),"")</f>
        <v/>
      </c>
      <c r="CB7" s="209"/>
      <c r="CC7" s="207">
        <f>IFERROR(__xludf.DUMMYFUNCTION("AVERAGE(ARRAYFORMULA(XLOOKUP(FILTER(INDIRECT(""'""&amp;CC$1&amp;""'!$C$4:$C$66""),INDIRECT(""'""&amp;CC$1&amp;""'!$D$4:$D$66"")=CC$2),$G$3:$BQ$3,$G7:$BQ7)))"),-0.0625)</f>
        <v>-0.0625</v>
      </c>
      <c r="CD7" s="207" t="str">
        <f>IFERROR(__xludf.DUMMYFUNCTION("IF(OR(CC7&gt;$BS7+$BT7*$BT$2,CC7&lt;$BS7-$BT7*$BT$2),AVEDEV(ARRAYFORMULA(XLOOKUP(FILTER(INDIRECT(""'""&amp;CC$1&amp;""'!$C$4:$C$66""),INDIRECT(""'""&amp;CC$1&amp;""'!$D$4:$D$66"")=CC$2),$G$3:$BQ$3,$G7:$BQ7))),"""")"),"")</f>
        <v/>
      </c>
      <c r="CE7" s="207">
        <f>IFERROR(__xludf.DUMMYFUNCTION("AVERAGE(ARRAYFORMULA(XLOOKUP(FILTER(INDIRECT(""'""&amp;CE$1&amp;""'!$C$4:$C$66""),INDIRECT(""'""&amp;CE$1&amp;""'!$D$4:$D$66"")=CE$2),$G$3:$BQ$3,$G7:$BQ7)))"),0.1935483870967742)</f>
        <v>0.1935483871</v>
      </c>
      <c r="CF7" s="207" t="str">
        <f>IFERROR(__xludf.DUMMYFUNCTION("IF(OR(CE7&gt;$BS7+$BT7*$BT$2,CE7&lt;$BS7-$BT7*$BT$2),AVEDEV(ARRAYFORMULA(XLOOKUP(FILTER(INDIRECT(""'""&amp;CE$1&amp;""'!$C$4:$C$66""),INDIRECT(""'""&amp;CE$1&amp;""'!$D$4:$D$66"")=CE$2),$G$3:$BQ$3,$G7:$BQ7))),"""")"),"")</f>
        <v/>
      </c>
      <c r="CG7" s="207">
        <f>IFERROR(__xludf.DUMMYFUNCTION("AVERAGE(ARRAYFORMULA(XLOOKUP(FILTER(INDIRECT(""'""&amp;CG$1&amp;""'!$C$4:$C$66""),INDIRECT(""'""&amp;CG$1&amp;""'!$D$4:$D$66"")=CG$2),$G$3:$BQ$3,$G7:$BQ7)))"),-0.2)</f>
        <v>-0.2</v>
      </c>
      <c r="CH7" s="207" t="str">
        <f>IFERROR(__xludf.DUMMYFUNCTION("IF(OR(CG7&gt;$BS7+$BT7*$BT$2,CG7&lt;$BS7-$BT7*$BT$2),AVEDEV(ARRAYFORMULA(XLOOKUP(FILTER(INDIRECT(""'""&amp;CG$1&amp;""'!$C$4:$C$66""),INDIRECT(""'""&amp;CG$1&amp;""'!$D$4:$D$66"")=CG$2),$G$3:$BQ$3,$G7:$BQ7))),"""")"),"")</f>
        <v/>
      </c>
      <c r="CI7" s="206"/>
      <c r="CJ7" s="251">
        <f>IFERROR(__xludf.DUMMYFUNCTION("AVERAGE(ARRAYFORMULA(XLOOKUP(FILTER(INDIRECT(""'""&amp;CJ$1&amp;""'!$C$4:$C$66""),INDIRECT(""'""&amp;CJ$1&amp;""'!$D$4:$D$66"")=CJ$2),$G$3:$BQ$3,$G7:$BQ7)))"),0.2)</f>
        <v>0.2</v>
      </c>
      <c r="CK7" s="207" t="str">
        <f>IFERROR(__xludf.DUMMYFUNCTION("IF(OR(CJ7&gt;$BS7+$BT7*$BT$2,CJ7&lt;$BS7-$BT7*$BT$2),AVEDEV(ARRAYFORMULA(XLOOKUP(FILTER(INDIRECT(""'""&amp;CJ$1&amp;""'!$C$4:$C$66""),INDIRECT(""'""&amp;CJ$1&amp;""'!$D$4:$D$66"")=CJ$2),$G$3:$BQ$3,$G7:$BQ7))),"""")"),"")</f>
        <v/>
      </c>
      <c r="CL7" s="251">
        <f>IFERROR(__xludf.DUMMYFUNCTION("AVERAGE(ARRAYFORMULA(XLOOKUP(FILTER(INDIRECT(""'""&amp;CL$1&amp;""'!$C$4:$C$66""),INDIRECT(""'""&amp;CL$1&amp;""'!$D$4:$D$66"")=CL$2),$G$3:$BQ$3,$G7:$BQ7)))"),0.08974358974358974)</f>
        <v>0.08974358974</v>
      </c>
      <c r="CM7" s="207" t="str">
        <f>IFERROR(__xludf.DUMMYFUNCTION("IF(OR(CL7&gt;$BS7+$BT7*$BT$2,CL7&lt;$BS7-$BT7*$BT$2),AVEDEV(ARRAYFORMULA(XLOOKUP(FILTER(INDIRECT(""'""&amp;CL$1&amp;""'!$C$4:$C$66""),INDIRECT(""'""&amp;CL$1&amp;""'!$D$4:$D$66"")=CL$2),$G$3:$BQ$3,$G7:$BQ7))),"""")"),"")</f>
        <v/>
      </c>
      <c r="CN7" s="251">
        <f>IFERROR(__xludf.DUMMYFUNCTION("AVERAGE(ARRAYFORMULA(XLOOKUP(FILTER(INDIRECT(""'""&amp;CN$1&amp;""'!$C$4:$C$66""),INDIRECT(""'""&amp;CN$1&amp;""'!$D$4:$D$66"")=CN$2),$G$3:$BQ$3,$G7:$BQ7)))"),-0.2)</f>
        <v>-0.2</v>
      </c>
      <c r="CO7" s="207" t="str">
        <f>IFERROR(__xludf.DUMMYFUNCTION("IF(OR(CN7&gt;$BS7+$BT7*$BT$2,CN7&lt;$BS7-$BT7*$BT$2),AVEDEV(ARRAYFORMULA(XLOOKUP(FILTER(INDIRECT(""'""&amp;CN$1&amp;""'!$C$4:$C$66""),INDIRECT(""'""&amp;CN$1&amp;""'!$D$4:$D$66"")=CN$2),$G$3:$BQ$3,$G7:$BQ7))),"""")"),"")</f>
        <v/>
      </c>
      <c r="CP7" s="252"/>
      <c r="CQ7" s="251">
        <f>IFERROR(__xludf.DUMMYFUNCTION("AVERAGE(ARRAYFORMULA(XLOOKUP(FILTER(INDIRECT(""'""&amp;CQ$1&amp;""'!$C$4:$C$66""),INDIRECT(""'""&amp;CQ$1&amp;""'!$D$4:$D$66"")=CQ$2),$G$3:$BQ$3,$G7:$BQ7)))"),-0.25)</f>
        <v>-0.25</v>
      </c>
      <c r="CR7" s="207" t="str">
        <f>IFERROR(__xludf.DUMMYFUNCTION("IF(OR(CQ7&gt;$BS7+$BT7*$BT$2,CQ7&lt;$BS7-$BT7*$BT$2),AVEDEV(ARRAYFORMULA(XLOOKUP(FILTER(INDIRECT(""'""&amp;CQ$1&amp;""'!$C$4:$C$66""),INDIRECT(""'""&amp;CQ$1&amp;""'!$D$4:$D$66"")=CQ$2),$G$3:$BQ$3,$G7:$BQ7))),"""")"),"")</f>
        <v/>
      </c>
      <c r="CS7" s="251">
        <f>IFERROR(__xludf.DUMMYFUNCTION("AVERAGE(ARRAYFORMULA(XLOOKUP(FILTER(INDIRECT(""'""&amp;CS$1&amp;""'!$C$4:$C$66""),INDIRECT(""'""&amp;CS$1&amp;""'!$D$4:$D$66"")=CS$2),$G$3:$BQ$3,$G7:$BQ7)))"),0.05555555555555555)</f>
        <v>0.05555555556</v>
      </c>
      <c r="CT7" s="207" t="str">
        <f>IFERROR(__xludf.DUMMYFUNCTION("IF(OR(CS7&gt;$BS7+$BT7*$BT$2,CS7&lt;$BS7-$BT7*$BT$2),AVEDEV(ARRAYFORMULA(XLOOKUP(FILTER(INDIRECT(""'""&amp;CS$1&amp;""'!$C$4:$C$66""),INDIRECT(""'""&amp;CS$1&amp;""'!$D$4:$D$66"")=CS$2),$G$3:$BQ$3,$G7:$BQ7))),"""")"),"")</f>
        <v/>
      </c>
      <c r="CU7" s="251">
        <f>IFERROR(__xludf.DUMMYFUNCTION("AVERAGE(ARRAYFORMULA(XLOOKUP(FILTER(INDIRECT(""'""&amp;CU$1&amp;""'!$C$4:$C$66""),INDIRECT(""'""&amp;CU$1&amp;""'!$D$4:$D$66"")=CU$2),$G$3:$BQ$3,$G7:$BQ7)))"),0.09090909090909091)</f>
        <v>0.09090909091</v>
      </c>
      <c r="CV7" s="207" t="str">
        <f>IFERROR(__xludf.DUMMYFUNCTION("IF(OR(CU7&gt;$BS7+$BT7*$BT$2,CU7&lt;$BS7-$BT7*$BT$2),AVEDEV(ARRAYFORMULA(XLOOKUP(FILTER(INDIRECT(""'""&amp;CU$1&amp;""'!$C$4:$C$66""),INDIRECT(""'""&amp;CU$1&amp;""'!$D$4:$D$66"")=CU$2),$G$3:$BQ$3,$G7:$BQ7))),"""")"),"")</f>
        <v/>
      </c>
      <c r="CW7" s="251">
        <f>IFERROR(__xludf.DUMMYFUNCTION("AVERAGE(ARRAYFORMULA(XLOOKUP(FILTER(INDIRECT(""'""&amp;CW$1&amp;""'!$C$4:$C$66""),INDIRECT(""'""&amp;CW$1&amp;""'!$D$4:$D$66"")=CW$2),$G$3:$BQ$3,$G7:$BQ7)))"),0.0)</f>
        <v>0</v>
      </c>
      <c r="CX7" s="207" t="str">
        <f>IFERROR(__xludf.DUMMYFUNCTION("IF(OR(CW7&gt;$BS7+$BT7*$BT$2,CW7&lt;$BS7-$BT7*$BT$2),AVEDEV(ARRAYFORMULA(XLOOKUP(FILTER(INDIRECT(""'""&amp;CW$1&amp;""'!$C$4:$C$66""),INDIRECT(""'""&amp;CW$1&amp;""'!$D$4:$D$66"")=CW$2),$G$3:$BQ$3,$G7:$BQ7))),"""")"),"")</f>
        <v/>
      </c>
      <c r="CY7" s="251">
        <f>IFERROR(__xludf.DUMMYFUNCTION("AVERAGE(ARRAYFORMULA(XLOOKUP(FILTER(INDIRECT(""'""&amp;CY$1&amp;""'!$C$4:$C$66""),INDIRECT(""'""&amp;CY$1&amp;""'!$D$4:$D$66"")=CY$2),$G$3:$BQ$3,$G7:$BQ7)))"),0.21428571428571427)</f>
        <v>0.2142857143</v>
      </c>
      <c r="CZ7" s="207" t="str">
        <f>IFERROR(__xludf.DUMMYFUNCTION("IF(OR(CY7&gt;$BS7+$BT7*$BT$2,CY7&lt;$BS7-$BT7*$BT$2),AVEDEV(ARRAYFORMULA(XLOOKUP(FILTER(INDIRECT(""'""&amp;CY$1&amp;""'!$C$4:$C$66""),INDIRECT(""'""&amp;CY$1&amp;""'!$D$4:$D$66"")=CY$2),$G$3:$BQ$3,$G7:$BQ7))),"""")"),"")</f>
        <v/>
      </c>
      <c r="DA7" s="252"/>
      <c r="DB7" s="251">
        <f>IFERROR(__xludf.DUMMYFUNCTION("AVERAGE(ARRAYFORMULA(XLOOKUP(FILTER(INDIRECT(""'""&amp;DB$1&amp;""'!$C$4:$C$66""),INDIRECT(""'""&amp;DB$1&amp;""'!$D$4:$D$66"")=DB$2),$G$3:$BQ$3,$G7:$BQ7)))"),0.05)</f>
        <v>0.05</v>
      </c>
      <c r="DC7" s="207" t="str">
        <f>IFERROR(__xludf.DUMMYFUNCTION("IF(OR(DB7&gt;$BS7+$BT7*$BT$2,DB7&lt;$BS7-$BT7*$BT$2),AVEDEV(ARRAYFORMULA(XLOOKUP(FILTER(INDIRECT(""'""&amp;DB$1&amp;""'!$C$4:$C$66""),INDIRECT(""'""&amp;DB$1&amp;""'!$D$4:$D$66"")=DB$2),$G$3:$BQ$3,$G7:$BQ7))),"""")"),"")</f>
        <v/>
      </c>
      <c r="DD7" s="251">
        <f>IFERROR(__xludf.DUMMYFUNCTION("AVERAGE(ARRAYFORMULA(XLOOKUP(FILTER(INDIRECT(""'""&amp;DD$1&amp;""'!$C$4:$C$66""),INDIRECT(""'""&amp;DD$1&amp;""'!$D$4:$D$66"")=DD$2),$G$3:$BQ$3,$G7:$BQ7)))"),0.2222222222222222)</f>
        <v>0.2222222222</v>
      </c>
      <c r="DE7" s="207" t="str">
        <f>IFERROR(__xludf.DUMMYFUNCTION("IF(OR(DD7&gt;$BS7+$BT7*$BT$2,DD7&lt;$BS7-$BT7*$BT$2),AVEDEV(ARRAYFORMULA(XLOOKUP(FILTER(INDIRECT(""'""&amp;DD$1&amp;""'!$C$4:$C$66""),INDIRECT(""'""&amp;DD$1&amp;""'!$D$4:$D$66"")=DD$2),$G$3:$BQ$3,$G7:$BQ7))),"""")"),"")</f>
        <v/>
      </c>
      <c r="DF7" s="251">
        <f>IFERROR(__xludf.DUMMYFUNCTION("AVERAGE(ARRAYFORMULA(XLOOKUP(FILTER(INDIRECT(""'""&amp;DF$1&amp;""'!$C$4:$C$66""),INDIRECT(""'""&amp;DF$1&amp;""'!$D$4:$D$66"")=DF$2),$G$3:$BQ$3,$G7:$BQ7)))"),0.375)</f>
        <v>0.375</v>
      </c>
      <c r="DG7" s="207" t="str">
        <f>IFERROR(__xludf.DUMMYFUNCTION("IF(OR(DF7&gt;$BS7+$BT7*$BT$2,DF7&lt;$BS7-$BT7*$BT$2),AVEDEV(ARRAYFORMULA(XLOOKUP(FILTER(INDIRECT(""'""&amp;DF$1&amp;""'!$C$4:$C$66""),INDIRECT(""'""&amp;DF$1&amp;""'!$D$4:$D$66"")=DF$2),$G$3:$BQ$3,$G7:$BQ7))),"""")"),"")</f>
        <v/>
      </c>
      <c r="DH7" s="251">
        <f>IFERROR(__xludf.DUMMYFUNCTION("AVERAGE(ARRAYFORMULA(XLOOKUP(FILTER(INDIRECT(""'""&amp;DH$1&amp;""'!$C$4:$C$66""),INDIRECT(""'""&amp;DH$1&amp;""'!$D$4:$D$66"")=DH$2),$G$3:$BQ$3,$G7:$BQ7)))"),-0.2777777777777778)</f>
        <v>-0.2777777778</v>
      </c>
      <c r="DI7" s="207" t="str">
        <f>IFERROR(__xludf.DUMMYFUNCTION("IF(OR(DH7&gt;$BS7+$BT7*$BT$2,DH7&lt;$BS7-$BT7*$BT$2),AVEDEV(ARRAYFORMULA(XLOOKUP(FILTER(INDIRECT(""'""&amp;DH$1&amp;""'!$C$4:$C$66""),INDIRECT(""'""&amp;DH$1&amp;""'!$D$4:$D$66"")=DH$2),$G$3:$BQ$3,$G7:$BQ7))),"""")"),"")</f>
        <v/>
      </c>
      <c r="DJ7" s="243"/>
    </row>
    <row r="8">
      <c r="A8" s="2"/>
      <c r="B8" s="204">
        <v>4.0</v>
      </c>
      <c r="C8" s="204" t="s">
        <v>442</v>
      </c>
      <c r="D8" s="204" t="s">
        <v>447</v>
      </c>
      <c r="E8" s="205" t="b">
        <f>VLOOKUP(D8,'Feature Set List'!A5:C246,2,0)</f>
        <v>1</v>
      </c>
      <c r="F8" s="205" t="b">
        <f>VLOOKUP(D8,'Feature Set List'!A5:C246,3,0)</f>
        <v>1</v>
      </c>
      <c r="G8" s="205">
        <v>0.0</v>
      </c>
      <c r="H8" s="205">
        <v>-1.0</v>
      </c>
      <c r="I8" s="205">
        <v>0.0</v>
      </c>
      <c r="J8" s="205">
        <v>-1.0</v>
      </c>
      <c r="K8" s="205">
        <v>-1.0</v>
      </c>
      <c r="L8" s="205">
        <v>0.0</v>
      </c>
      <c r="M8" s="205">
        <v>0.0</v>
      </c>
      <c r="N8" s="205">
        <v>0.0</v>
      </c>
      <c r="O8" s="205">
        <v>0.0</v>
      </c>
      <c r="P8" s="205">
        <v>0.0</v>
      </c>
      <c r="Q8" s="205">
        <v>0.0</v>
      </c>
      <c r="R8" s="205">
        <v>1.0</v>
      </c>
      <c r="S8" s="205">
        <v>1.0</v>
      </c>
      <c r="T8" s="205">
        <v>-1.0</v>
      </c>
      <c r="U8" s="205">
        <v>1.0</v>
      </c>
      <c r="V8" s="205">
        <v>-1.0</v>
      </c>
      <c r="W8" s="205">
        <v>0.0</v>
      </c>
      <c r="X8" s="205">
        <v>1.0</v>
      </c>
      <c r="Y8" s="205">
        <v>-1.0</v>
      </c>
      <c r="Z8" s="205">
        <v>1.0</v>
      </c>
      <c r="AA8" s="205">
        <v>0.0</v>
      </c>
      <c r="AB8" s="205">
        <v>1.0</v>
      </c>
      <c r="AC8" s="205">
        <v>0.0</v>
      </c>
      <c r="AD8" s="205">
        <v>0.0</v>
      </c>
      <c r="AE8" s="205">
        <v>0.0</v>
      </c>
      <c r="AF8" s="205">
        <v>-1.0</v>
      </c>
      <c r="AG8" s="205">
        <v>-1.0</v>
      </c>
      <c r="AH8" s="205">
        <v>-1.0</v>
      </c>
      <c r="AI8" s="205">
        <v>-1.0</v>
      </c>
      <c r="AJ8" s="205">
        <v>-1.0</v>
      </c>
      <c r="AK8" s="205">
        <v>0.0</v>
      </c>
      <c r="AL8" s="205">
        <v>-1.0</v>
      </c>
      <c r="AM8" s="205">
        <v>0.0</v>
      </c>
      <c r="AN8" s="205">
        <v>0.0</v>
      </c>
      <c r="AO8" s="205">
        <v>-1.0</v>
      </c>
      <c r="AP8" s="205">
        <v>0.0</v>
      </c>
      <c r="AQ8" s="205">
        <v>0.0</v>
      </c>
      <c r="AR8" s="205">
        <v>-1.0</v>
      </c>
      <c r="AS8" s="205">
        <v>0.0</v>
      </c>
      <c r="AT8" s="205">
        <v>-1.0</v>
      </c>
      <c r="AU8" s="205">
        <v>1.0</v>
      </c>
      <c r="AV8" s="205">
        <v>0.0</v>
      </c>
      <c r="AW8" s="205">
        <v>0.0</v>
      </c>
      <c r="AX8" s="205">
        <v>1.0</v>
      </c>
      <c r="AY8" s="205">
        <v>1.0</v>
      </c>
      <c r="AZ8" s="205">
        <v>1.0</v>
      </c>
      <c r="BA8" s="205">
        <v>0.0</v>
      </c>
      <c r="BB8" s="205">
        <v>0.0</v>
      </c>
      <c r="BC8" s="205">
        <v>0.0</v>
      </c>
      <c r="BD8" s="205">
        <v>-1.0</v>
      </c>
      <c r="BE8" s="205">
        <v>0.0</v>
      </c>
      <c r="BF8" s="205">
        <v>-1.0</v>
      </c>
      <c r="BG8" s="205">
        <v>0.0</v>
      </c>
      <c r="BH8" s="205">
        <v>0.0</v>
      </c>
      <c r="BI8" s="205">
        <v>0.0</v>
      </c>
      <c r="BJ8" s="205">
        <v>0.0</v>
      </c>
      <c r="BK8" s="205">
        <v>-1.0</v>
      </c>
      <c r="BL8" s="205">
        <v>0.0</v>
      </c>
      <c r="BM8" s="205">
        <v>1.0</v>
      </c>
      <c r="BN8" s="205">
        <v>0.0</v>
      </c>
      <c r="BO8" s="205">
        <v>1.0</v>
      </c>
      <c r="BP8" s="205">
        <v>0.0</v>
      </c>
      <c r="BQ8" s="205">
        <v>0.0</v>
      </c>
      <c r="BR8" s="206"/>
      <c r="BS8" s="250">
        <f t="shared" si="1"/>
        <v>-0.09523809524</v>
      </c>
      <c r="BT8" s="250">
        <f t="shared" si="2"/>
        <v>0.5170068027</v>
      </c>
      <c r="BU8" s="206"/>
      <c r="BV8" s="207">
        <f>IFERROR(__xludf.DUMMYFUNCTION("AVERAGE(ARRAYFORMULA(XLOOKUP(FILTER(INDIRECT(""'""&amp;BV$1&amp;""'!$C$4:$C$66""),INDIRECT(""'""&amp;BV$1&amp;""'!$D$4:$D$66"")=BV$2),$G$3:$BQ$3,$G8:$BQ8)))"),0.2857142857142857)</f>
        <v>0.2857142857</v>
      </c>
      <c r="BW8" s="207" t="str">
        <f>IFERROR(__xludf.DUMMYFUNCTION("IF(OR(BV8&gt;$BS8+$BT8*$BT$2,BV8&lt;$BS8-$BT8*$BT$2),AVEDEV(ARRAYFORMULA(XLOOKUP(FILTER(INDIRECT(""'""&amp;BV$1&amp;""'!$C$4:$C$66""),INDIRECT(""'""&amp;BV$1&amp;""'!$D$4:$D$66"")=BV$2),$G$3:$BQ$3,$G8:$BQ8))),"""")"),"")</f>
        <v/>
      </c>
      <c r="BX8" s="207">
        <f>IFERROR(__xludf.DUMMYFUNCTION("AVERAGE(ARRAYFORMULA(XLOOKUP(FILTER(INDIRECT(""'""&amp;BX$1&amp;""'!$C$4:$C$66""),INDIRECT(""'""&amp;BX$1&amp;""'!$D$4:$D$66"")=BX$2),$G$3:$BQ$3,$G8:$BQ8)))"),-0.16666666666666666)</f>
        <v>-0.1666666667</v>
      </c>
      <c r="BY8" s="207" t="str">
        <f>IFERROR(__xludf.DUMMYFUNCTION("IF(OR(BX8&gt;$BS8+$BT8*$BT$2,BX8&lt;$BS8-$BT8*$BT$2),AVEDEV(ARRAYFORMULA(XLOOKUP(FILTER(INDIRECT(""'""&amp;BX$1&amp;""'!$C$4:$C$66""),INDIRECT(""'""&amp;BX$1&amp;""'!$D$4:$D$66"")=BX$2),$G$3:$BQ$3,$G8:$BQ8))),"""")"),"")</f>
        <v/>
      </c>
      <c r="BZ8" s="207">
        <f>IFERROR(__xludf.DUMMYFUNCTION("AVERAGE(ARRAYFORMULA(XLOOKUP(FILTER(INDIRECT(""'""&amp;BZ$1&amp;""'!$C$4:$C$66""),INDIRECT(""'""&amp;BZ$1&amp;""'!$D$4:$D$66"")=BZ$2),$G$3:$BQ$3,$G8:$BQ8)))"),-0.09090909090909091)</f>
        <v>-0.09090909091</v>
      </c>
      <c r="CA8" s="207" t="str">
        <f>IFERROR(__xludf.DUMMYFUNCTION("IF(OR(BZ8&gt;$BS8+$BT8*$BT$2,BZ8&lt;$BS8-$BT8*$BT$2),AVEDEV(ARRAYFORMULA(XLOOKUP(FILTER(INDIRECT(""'""&amp;BZ$1&amp;""'!$C$4:$C$66""),INDIRECT(""'""&amp;BZ$1&amp;""'!$D$4:$D$66"")=BZ$2),$G$3:$BQ$3,$G8:$BQ8))),"""")"),"")</f>
        <v/>
      </c>
      <c r="CB8" s="209"/>
      <c r="CC8" s="207">
        <f>IFERROR(__xludf.DUMMYFUNCTION("AVERAGE(ARRAYFORMULA(XLOOKUP(FILTER(INDIRECT(""'""&amp;CC$1&amp;""'!$C$4:$C$66""),INDIRECT(""'""&amp;CC$1&amp;""'!$D$4:$D$66"")=CC$2),$G$3:$BQ$3,$G8:$BQ8)))"),-0.4375)</f>
        <v>-0.4375</v>
      </c>
      <c r="CD8" s="207" t="str">
        <f>IFERROR(__xludf.DUMMYFUNCTION("IF(OR(CC8&gt;$BS8+$BT8*$BT$2,CC8&lt;$BS8-$BT8*$BT$2),AVEDEV(ARRAYFORMULA(XLOOKUP(FILTER(INDIRECT(""'""&amp;CC$1&amp;""'!$C$4:$C$66""),INDIRECT(""'""&amp;CC$1&amp;""'!$D$4:$D$66"")=CC$2),$G$3:$BQ$3,$G8:$BQ8))),"""")"),"")</f>
        <v/>
      </c>
      <c r="CE8" s="207">
        <f>IFERROR(__xludf.DUMMYFUNCTION("AVERAGE(ARRAYFORMULA(XLOOKUP(FILTER(INDIRECT(""'""&amp;CE$1&amp;""'!$C$4:$C$66""),INDIRECT(""'""&amp;CE$1&amp;""'!$D$4:$D$66"")=CE$2),$G$3:$BQ$3,$G8:$BQ8)))"),0.0)</f>
        <v>0</v>
      </c>
      <c r="CF8" s="207" t="str">
        <f>IFERROR(__xludf.DUMMYFUNCTION("IF(OR(CE8&gt;$BS8+$BT8*$BT$2,CE8&lt;$BS8-$BT8*$BT$2),AVEDEV(ARRAYFORMULA(XLOOKUP(FILTER(INDIRECT(""'""&amp;CE$1&amp;""'!$C$4:$C$66""),INDIRECT(""'""&amp;CE$1&amp;""'!$D$4:$D$66"")=CE$2),$G$3:$BQ$3,$G8:$BQ8))),"""")"),"")</f>
        <v/>
      </c>
      <c r="CG8" s="207">
        <f>IFERROR(__xludf.DUMMYFUNCTION("AVERAGE(ARRAYFORMULA(XLOOKUP(FILTER(INDIRECT(""'""&amp;CG$1&amp;""'!$C$4:$C$66""),INDIRECT(""'""&amp;CG$1&amp;""'!$D$4:$D$66"")=CG$2),$G$3:$BQ$3,$G8:$BQ8)))"),-0.2)</f>
        <v>-0.2</v>
      </c>
      <c r="CH8" s="207" t="str">
        <f>IFERROR(__xludf.DUMMYFUNCTION("IF(OR(CG8&gt;$BS8+$BT8*$BT$2,CG8&lt;$BS8-$BT8*$BT$2),AVEDEV(ARRAYFORMULA(XLOOKUP(FILTER(INDIRECT(""'""&amp;CG$1&amp;""'!$C$4:$C$66""),INDIRECT(""'""&amp;CG$1&amp;""'!$D$4:$D$66"")=CG$2),$G$3:$BQ$3,$G8:$BQ8))),"""")"),"")</f>
        <v/>
      </c>
      <c r="CI8" s="206"/>
      <c r="CJ8" s="251">
        <f>IFERROR(__xludf.DUMMYFUNCTION("AVERAGE(ARRAYFORMULA(XLOOKUP(FILTER(INDIRECT(""'""&amp;CJ$1&amp;""'!$C$4:$C$66""),INDIRECT(""'""&amp;CJ$1&amp;""'!$D$4:$D$66"")=CJ$2),$G$3:$BQ$3,$G8:$BQ8)))"),0.13333333333333333)</f>
        <v>0.1333333333</v>
      </c>
      <c r="CK8" s="207" t="str">
        <f>IFERROR(__xludf.DUMMYFUNCTION("IF(OR(CJ8&gt;$BS8+$BT8*$BT$2,CJ8&lt;$BS8-$BT8*$BT$2),AVEDEV(ARRAYFORMULA(XLOOKUP(FILTER(INDIRECT(""'""&amp;CJ$1&amp;""'!$C$4:$C$66""),INDIRECT(""'""&amp;CJ$1&amp;""'!$D$4:$D$66"")=CJ$2),$G$3:$BQ$3,$G8:$BQ8))),"""")"),"")</f>
        <v/>
      </c>
      <c r="CL8" s="251">
        <f>IFERROR(__xludf.DUMMYFUNCTION("AVERAGE(ARRAYFORMULA(XLOOKUP(FILTER(INDIRECT(""'""&amp;CL$1&amp;""'!$C$4:$C$66""),INDIRECT(""'""&amp;CL$1&amp;""'!$D$4:$D$66"")=CL$2),$G$3:$BQ$3,$G8:$BQ8)))"),-0.1794871794871795)</f>
        <v>-0.1794871795</v>
      </c>
      <c r="CM8" s="207" t="str">
        <f>IFERROR(__xludf.DUMMYFUNCTION("IF(OR(CL8&gt;$BS8+$BT8*$BT$2,CL8&lt;$BS8-$BT8*$BT$2),AVEDEV(ARRAYFORMULA(XLOOKUP(FILTER(INDIRECT(""'""&amp;CL$1&amp;""'!$C$4:$C$66""),INDIRECT(""'""&amp;CL$1&amp;""'!$D$4:$D$66"")=CL$2),$G$3:$BQ$3,$G8:$BQ8))),"""")"),"")</f>
        <v/>
      </c>
      <c r="CN8" s="251">
        <f>IFERROR(__xludf.DUMMYFUNCTION("AVERAGE(ARRAYFORMULA(XLOOKUP(FILTER(INDIRECT(""'""&amp;CN$1&amp;""'!$C$4:$C$66""),INDIRECT(""'""&amp;CN$1&amp;""'!$D$4:$D$66"")=CN$2),$G$3:$BQ$3,$G8:$BQ8)))"),-0.2)</f>
        <v>-0.2</v>
      </c>
      <c r="CO8" s="207" t="str">
        <f>IFERROR(__xludf.DUMMYFUNCTION("IF(OR(CN8&gt;$BS8+$BT8*$BT$2,CN8&lt;$BS8-$BT8*$BT$2),AVEDEV(ARRAYFORMULA(XLOOKUP(FILTER(INDIRECT(""'""&amp;CN$1&amp;""'!$C$4:$C$66""),INDIRECT(""'""&amp;CN$1&amp;""'!$D$4:$D$66"")=CN$2),$G$3:$BQ$3,$G8:$BQ8))),"""")"),"")</f>
        <v/>
      </c>
      <c r="CP8" s="252"/>
      <c r="CQ8" s="251">
        <f>IFERROR(__xludf.DUMMYFUNCTION("AVERAGE(ARRAYFORMULA(XLOOKUP(FILTER(INDIRECT(""'""&amp;CQ$1&amp;""'!$C$4:$C$66""),INDIRECT(""'""&amp;CQ$1&amp;""'!$D$4:$D$66"")=CQ$2),$G$3:$BQ$3,$G8:$BQ8)))"),-0.5714285714285714)</f>
        <v>-0.5714285714</v>
      </c>
      <c r="CR8" s="207" t="str">
        <f>IFERROR(__xludf.DUMMYFUNCTION("IF(OR(CQ8&gt;$BS8+$BT8*$BT$2,CQ8&lt;$BS8-$BT8*$BT$2),AVEDEV(ARRAYFORMULA(XLOOKUP(FILTER(INDIRECT(""'""&amp;CQ$1&amp;""'!$C$4:$C$66""),INDIRECT(""'""&amp;CQ$1&amp;""'!$D$4:$D$66"")=CQ$2),$G$3:$BQ$3,$G8:$BQ8))),"""")"),"")</f>
        <v/>
      </c>
      <c r="CS8" s="251">
        <f>IFERROR(__xludf.DUMMYFUNCTION("AVERAGE(ARRAYFORMULA(XLOOKUP(FILTER(INDIRECT(""'""&amp;CS$1&amp;""'!$C$4:$C$66""),INDIRECT(""'""&amp;CS$1&amp;""'!$D$4:$D$66"")=CS$2),$G$3:$BQ$3,$G8:$BQ8)))"),-0.3333333333333333)</f>
        <v>-0.3333333333</v>
      </c>
      <c r="CT8" s="207" t="str">
        <f>IFERROR(__xludf.DUMMYFUNCTION("IF(OR(CS8&gt;$BS8+$BT8*$BT$2,CS8&lt;$BS8-$BT8*$BT$2),AVEDEV(ARRAYFORMULA(XLOOKUP(FILTER(INDIRECT(""'""&amp;CS$1&amp;""'!$C$4:$C$66""),INDIRECT(""'""&amp;CS$1&amp;""'!$D$4:$D$66"")=CS$2),$G$3:$BQ$3,$G8:$BQ8))),"""")"),"")</f>
        <v/>
      </c>
      <c r="CU8" s="251">
        <f>IFERROR(__xludf.DUMMYFUNCTION("AVERAGE(ARRAYFORMULA(XLOOKUP(FILTER(INDIRECT(""'""&amp;CU$1&amp;""'!$C$4:$C$66""),INDIRECT(""'""&amp;CU$1&amp;""'!$D$4:$D$66"")=CU$2),$G$3:$BQ$3,$G8:$BQ8)))"),0.18181818181818182)</f>
        <v>0.1818181818</v>
      </c>
      <c r="CV8" s="207" t="str">
        <f>IFERROR(__xludf.DUMMYFUNCTION("IF(OR(CU8&gt;$BS8+$BT8*$BT$2,CU8&lt;$BS8-$BT8*$BT$2),AVEDEV(ARRAYFORMULA(XLOOKUP(FILTER(INDIRECT(""'""&amp;CU$1&amp;""'!$C$4:$C$66""),INDIRECT(""'""&amp;CU$1&amp;""'!$D$4:$D$66"")=CU$2),$G$3:$BQ$3,$G8:$BQ8))),"""")"),"")</f>
        <v/>
      </c>
      <c r="CW8" s="251">
        <f>IFERROR(__xludf.DUMMYFUNCTION("AVERAGE(ARRAYFORMULA(XLOOKUP(FILTER(INDIRECT(""'""&amp;CW$1&amp;""'!$C$4:$C$66""),INDIRECT(""'""&amp;CW$1&amp;""'!$D$4:$D$66"")=CW$2),$G$3:$BQ$3,$G8:$BQ8)))"),0.0)</f>
        <v>0</v>
      </c>
      <c r="CX8" s="207" t="str">
        <f>IFERROR(__xludf.DUMMYFUNCTION("IF(OR(CW8&gt;$BS8+$BT8*$BT$2,CW8&lt;$BS8-$BT8*$BT$2),AVEDEV(ARRAYFORMULA(XLOOKUP(FILTER(INDIRECT(""'""&amp;CW$1&amp;""'!$C$4:$C$66""),INDIRECT(""'""&amp;CW$1&amp;""'!$D$4:$D$66"")=CW$2),$G$3:$BQ$3,$G8:$BQ8))),"""")"),"")</f>
        <v/>
      </c>
      <c r="CY8" s="251">
        <f>IFERROR(__xludf.DUMMYFUNCTION("AVERAGE(ARRAYFORMULA(XLOOKUP(FILTER(INDIRECT(""'""&amp;CY$1&amp;""'!$C$4:$C$66""),INDIRECT(""'""&amp;CY$1&amp;""'!$D$4:$D$66"")=CY$2),$G$3:$BQ$3,$G8:$BQ8)))"),0.07142857142857142)</f>
        <v>0.07142857143</v>
      </c>
      <c r="CZ8" s="207" t="str">
        <f>IFERROR(__xludf.DUMMYFUNCTION("IF(OR(CY8&gt;$BS8+$BT8*$BT$2,CY8&lt;$BS8-$BT8*$BT$2),AVEDEV(ARRAYFORMULA(XLOOKUP(FILTER(INDIRECT(""'""&amp;CY$1&amp;""'!$C$4:$C$66""),INDIRECT(""'""&amp;CY$1&amp;""'!$D$4:$D$66"")=CY$2),$G$3:$BQ$3,$G8:$BQ8))),"""")"),"")</f>
        <v/>
      </c>
      <c r="DA8" s="252"/>
      <c r="DB8" s="251">
        <f>IFERROR(__xludf.DUMMYFUNCTION("AVERAGE(ARRAYFORMULA(XLOOKUP(FILTER(INDIRECT(""'""&amp;DB$1&amp;""'!$C$4:$C$66""),INDIRECT(""'""&amp;DB$1&amp;""'!$D$4:$D$66"")=DB$2),$G$3:$BQ$3,$G8:$BQ8)))"),-0.26666666666666666)</f>
        <v>-0.2666666667</v>
      </c>
      <c r="DC8" s="207" t="str">
        <f>IFERROR(__xludf.DUMMYFUNCTION("IF(OR(DB8&gt;$BS8+$BT8*$BT$2,DB8&lt;$BS8-$BT8*$BT$2),AVEDEV(ARRAYFORMULA(XLOOKUP(FILTER(INDIRECT(""'""&amp;DB$1&amp;""'!$C$4:$C$66""),INDIRECT(""'""&amp;DB$1&amp;""'!$D$4:$D$66"")=DB$2),$G$3:$BQ$3,$G8:$BQ8))),"""")"),"")</f>
        <v/>
      </c>
      <c r="DD8" s="251">
        <f>IFERROR(__xludf.DUMMYFUNCTION("AVERAGE(ARRAYFORMULA(XLOOKUP(FILTER(INDIRECT(""'""&amp;DD$1&amp;""'!$C$4:$C$66""),INDIRECT(""'""&amp;DD$1&amp;""'!$D$4:$D$66"")=DD$2),$G$3:$BQ$3,$G8:$BQ8)))"),0.0)</f>
        <v>0</v>
      </c>
      <c r="DE8" s="207" t="str">
        <f>IFERROR(__xludf.DUMMYFUNCTION("IF(OR(DD8&gt;$BS8+$BT8*$BT$2,DD8&lt;$BS8-$BT8*$BT$2),AVEDEV(ARRAYFORMULA(XLOOKUP(FILTER(INDIRECT(""'""&amp;DD$1&amp;""'!$C$4:$C$66""),INDIRECT(""'""&amp;DD$1&amp;""'!$D$4:$D$66"")=DD$2),$G$3:$BQ$3,$G8:$BQ8))),"""")"),"")</f>
        <v/>
      </c>
      <c r="DF8" s="251">
        <f>IFERROR(__xludf.DUMMYFUNCTION("AVERAGE(ARRAYFORMULA(XLOOKUP(FILTER(INDIRECT(""'""&amp;DF$1&amp;""'!$C$4:$C$66""),INDIRECT(""'""&amp;DF$1&amp;""'!$D$4:$D$66"")=DF$2),$G$3:$BQ$3,$G8:$BQ8)))"),0.5)</f>
        <v>0.5</v>
      </c>
      <c r="DG8" s="207">
        <f>IFERROR(__xludf.DUMMYFUNCTION("IF(OR(DF8&gt;$BS8+$BT8*$BT$2,DF8&lt;$BS8-$BT8*$BT$2),AVEDEV(ARRAYFORMULA(XLOOKUP(FILTER(INDIRECT(""'""&amp;DF$1&amp;""'!$C$4:$C$66""),INDIRECT(""'""&amp;DF$1&amp;""'!$D$4:$D$66"")=DF$2),$G$3:$BQ$3,$G8:$BQ8))),"""")"),0.625)</f>
        <v>0.625</v>
      </c>
      <c r="DH8" s="251">
        <f>IFERROR(__xludf.DUMMYFUNCTION("AVERAGE(ARRAYFORMULA(XLOOKUP(FILTER(INDIRECT(""'""&amp;DH$1&amp;""'!$C$4:$C$66""),INDIRECT(""'""&amp;DH$1&amp;""'!$D$4:$D$66"")=DH$2),$G$3:$BQ$3,$G8:$BQ8)))"),-0.1111111111111111)</f>
        <v>-0.1111111111</v>
      </c>
      <c r="DI8" s="207" t="str">
        <f>IFERROR(__xludf.DUMMYFUNCTION("IF(OR(DH8&gt;$BS8+$BT8*$BT$2,DH8&lt;$BS8-$BT8*$BT$2),AVEDEV(ARRAYFORMULA(XLOOKUP(FILTER(INDIRECT(""'""&amp;DH$1&amp;""'!$C$4:$C$66""),INDIRECT(""'""&amp;DH$1&amp;""'!$D$4:$D$66"")=DH$2),$G$3:$BQ$3,$G8:$BQ8))),"""")"),"")</f>
        <v/>
      </c>
      <c r="DJ8" s="243"/>
    </row>
    <row r="9">
      <c r="A9" s="2"/>
      <c r="B9" s="204">
        <v>5.0</v>
      </c>
      <c r="C9" s="204" t="s">
        <v>442</v>
      </c>
      <c r="D9" s="204" t="s">
        <v>448</v>
      </c>
      <c r="E9" s="205" t="b">
        <f>VLOOKUP(D9,'Feature Set List'!A6:C246,2,0)</f>
        <v>1</v>
      </c>
      <c r="F9" s="205" t="b">
        <f>VLOOKUP(D9,'Feature Set List'!A6:C246,3,0)</f>
        <v>1</v>
      </c>
      <c r="G9" s="205">
        <v>-0.4615385</v>
      </c>
      <c r="H9" s="205">
        <v>1.0</v>
      </c>
      <c r="I9" s="205">
        <v>1.07692308</v>
      </c>
      <c r="J9" s="205">
        <v>0.61538462</v>
      </c>
      <c r="K9" s="205">
        <v>3.61538462</v>
      </c>
      <c r="L9" s="205">
        <v>-0.3076923</v>
      </c>
      <c r="M9" s="205">
        <v>-0.9230769</v>
      </c>
      <c r="N9" s="205">
        <v>2.92307692</v>
      </c>
      <c r="O9" s="205">
        <v>-0.3076923</v>
      </c>
      <c r="P9" s="205">
        <v>-0.4615385</v>
      </c>
      <c r="Q9" s="205">
        <v>-0.6153846</v>
      </c>
      <c r="R9" s="205">
        <v>-1.3846154</v>
      </c>
      <c r="S9" s="205">
        <v>0.69230769</v>
      </c>
      <c r="T9" s="205">
        <v>0.30769231</v>
      </c>
      <c r="U9" s="205">
        <v>-1.0</v>
      </c>
      <c r="V9" s="205">
        <v>-0.0769231</v>
      </c>
      <c r="W9" s="205">
        <v>0.76923077</v>
      </c>
      <c r="X9" s="205">
        <v>0.30769231</v>
      </c>
      <c r="Y9" s="205">
        <v>0.61538462</v>
      </c>
      <c r="Z9" s="205">
        <v>-0.3076923</v>
      </c>
      <c r="AA9" s="205">
        <v>0.23076923</v>
      </c>
      <c r="AB9" s="205">
        <v>-0.0769231</v>
      </c>
      <c r="AC9" s="205">
        <v>1.53846154</v>
      </c>
      <c r="AD9" s="205">
        <v>-0.4615385</v>
      </c>
      <c r="AE9" s="205">
        <v>0.61538462</v>
      </c>
      <c r="AF9" s="205">
        <v>-0.0769231</v>
      </c>
      <c r="AG9" s="205">
        <v>1.76923077</v>
      </c>
      <c r="AH9" s="205">
        <v>0.15384615</v>
      </c>
      <c r="AI9" s="205">
        <v>-0.6153846</v>
      </c>
      <c r="AJ9" s="205">
        <v>0.30769231</v>
      </c>
      <c r="AK9" s="205">
        <v>-0.3076923</v>
      </c>
      <c r="AL9" s="205">
        <v>0.07692308</v>
      </c>
      <c r="AM9" s="205">
        <v>0.23076923</v>
      </c>
      <c r="AN9" s="205">
        <v>-0.7692308</v>
      </c>
      <c r="AO9" s="205">
        <v>-0.2307692</v>
      </c>
      <c r="AP9" s="205">
        <v>-0.4615385</v>
      </c>
      <c r="AQ9" s="205">
        <v>0.07692308</v>
      </c>
      <c r="AR9" s="205">
        <v>-0.2307692</v>
      </c>
      <c r="AS9" s="205">
        <v>0.15384615</v>
      </c>
      <c r="AT9" s="205">
        <v>0.53846154</v>
      </c>
      <c r="AU9" s="205">
        <v>-0.8461538</v>
      </c>
      <c r="AV9" s="205">
        <v>0.23076923</v>
      </c>
      <c r="AW9" s="205">
        <v>-0.3076923</v>
      </c>
      <c r="AX9" s="205">
        <v>0.46153846</v>
      </c>
      <c r="AY9" s="205">
        <v>-0.3076923</v>
      </c>
      <c r="AZ9" s="205">
        <v>-0.1538462</v>
      </c>
      <c r="BA9" s="205">
        <v>-0.6153846</v>
      </c>
      <c r="BB9" s="205">
        <v>0.61538462</v>
      </c>
      <c r="BC9" s="205">
        <v>0.0</v>
      </c>
      <c r="BD9" s="205">
        <v>0.84615385</v>
      </c>
      <c r="BE9" s="205">
        <v>1.92307692</v>
      </c>
      <c r="BF9" s="205">
        <v>0.0</v>
      </c>
      <c r="BG9" s="205">
        <v>1.92307692</v>
      </c>
      <c r="BH9" s="205">
        <v>-0.4615385</v>
      </c>
      <c r="BI9" s="205">
        <v>1.23076923</v>
      </c>
      <c r="BJ9" s="205">
        <v>-0.0769231</v>
      </c>
      <c r="BK9" s="205">
        <v>-0.4615385</v>
      </c>
      <c r="BL9" s="205">
        <v>-0.7692308</v>
      </c>
      <c r="BM9" s="205">
        <v>-0.3076923</v>
      </c>
      <c r="BN9" s="205">
        <v>0.84615385</v>
      </c>
      <c r="BO9" s="205">
        <v>-0.3076923</v>
      </c>
      <c r="BP9" s="205">
        <v>0.30769231</v>
      </c>
      <c r="BQ9" s="205">
        <v>-0.6923077</v>
      </c>
      <c r="BR9" s="206"/>
      <c r="BS9" s="250">
        <f t="shared" si="1"/>
        <v>0.1843711814</v>
      </c>
      <c r="BT9" s="250">
        <f t="shared" si="2"/>
        <v>0.6585654239</v>
      </c>
      <c r="BU9" s="206"/>
      <c r="BV9" s="207">
        <f>IFERROR(__xludf.DUMMYFUNCTION("AVERAGE(ARRAYFORMULA(XLOOKUP(FILTER(INDIRECT(""'""&amp;BV$1&amp;""'!$C$4:$C$66""),INDIRECT(""'""&amp;BV$1&amp;""'!$D$4:$D$66"")=BV$2),$G$3:$BQ$3,$G9:$BQ9)))"),0.07692307857142855)</f>
        <v>0.07692307857</v>
      </c>
      <c r="BW9" s="207" t="str">
        <f>IFERROR(__xludf.DUMMYFUNCTION("IF(OR(BV9&gt;$BS9+$BT9*$BT$2,BV9&lt;$BS9-$BT9*$BT$2),AVEDEV(ARRAYFORMULA(XLOOKUP(FILTER(INDIRECT(""'""&amp;BV$1&amp;""'!$C$4:$C$66""),INDIRECT(""'""&amp;BV$1&amp;""'!$D$4:$D$66"")=BV$2),$G$3:$BQ$3,$G9:$BQ9))),"""")"),"")</f>
        <v/>
      </c>
      <c r="BX9" s="207">
        <f>IFERROR(__xludf.DUMMYFUNCTION("AVERAGE(ARRAYFORMULA(XLOOKUP(FILTER(INDIRECT(""'""&amp;BX$1&amp;""'!$C$4:$C$66""),INDIRECT(""'""&amp;BX$1&amp;""'!$D$4:$D$66"")=BX$2),$G$3:$BQ$3,$G9:$BQ9)))"),0.27655677261904765)</f>
        <v>0.2765567726</v>
      </c>
      <c r="BY9" s="207" t="str">
        <f>IFERROR(__xludf.DUMMYFUNCTION("IF(OR(BX9&gt;$BS9+$BT9*$BT$2,BX9&lt;$BS9-$BT9*$BT$2),AVEDEV(ARRAYFORMULA(XLOOKUP(FILTER(INDIRECT(""'""&amp;BX$1&amp;""'!$C$4:$C$66""),INDIRECT(""'""&amp;BX$1&amp;""'!$D$4:$D$66"")=BX$2),$G$3:$BQ$3,$G9:$BQ9))),"""")"),"")</f>
        <v/>
      </c>
      <c r="BZ9" s="207">
        <f>IFERROR(__xludf.DUMMYFUNCTION("AVERAGE(ARRAYFORMULA(XLOOKUP(FILTER(INDIRECT(""'""&amp;BZ$1&amp;""'!$C$4:$C$66""),INDIRECT(""'""&amp;BZ$1&amp;""'!$D$4:$D$66"")=BZ$2),$G$3:$BQ$3,$G9:$BQ9)))"),-0.14685315454545453)</f>
        <v>-0.1468531545</v>
      </c>
      <c r="CA9" s="207" t="str">
        <f>IFERROR(__xludf.DUMMYFUNCTION("IF(OR(BZ9&gt;$BS9+$BT9*$BT$2,BZ9&lt;$BS9-$BT9*$BT$2),AVEDEV(ARRAYFORMULA(XLOOKUP(FILTER(INDIRECT(""'""&amp;BZ$1&amp;""'!$C$4:$C$66""),INDIRECT(""'""&amp;BZ$1&amp;""'!$D$4:$D$66"")=BZ$2),$G$3:$BQ$3,$G9:$BQ9))),"""")"),"")</f>
        <v/>
      </c>
      <c r="CB9" s="209"/>
      <c r="CC9" s="207">
        <f>IFERROR(__xludf.DUMMYFUNCTION("AVERAGE(ARRAYFORMULA(XLOOKUP(FILTER(INDIRECT(""'""&amp;CC$1&amp;""'!$C$4:$C$66""),INDIRECT(""'""&amp;CC$1&amp;""'!$D$4:$D$66"")=CC$2),$G$3:$BQ$3,$G9:$BQ9)))"),0.5624999993750001)</f>
        <v>0.5624999994</v>
      </c>
      <c r="CD9" s="207" t="str">
        <f>IFERROR(__xludf.DUMMYFUNCTION("IF(OR(CC9&gt;$BS9+$BT9*$BT$2,CC9&lt;$BS9-$BT9*$BT$2),AVEDEV(ARRAYFORMULA(XLOOKUP(FILTER(INDIRECT(""'""&amp;CC$1&amp;""'!$C$4:$C$66""),INDIRECT(""'""&amp;CC$1&amp;""'!$D$4:$D$66"")=CC$2),$G$3:$BQ$3,$G9:$BQ9))),"""")"),"")</f>
        <v/>
      </c>
      <c r="CE9" s="207">
        <f>IFERROR(__xludf.DUMMYFUNCTION("AVERAGE(ARRAYFORMULA(XLOOKUP(FILTER(INDIRECT(""'""&amp;CE$1&amp;""'!$C$4:$C$66""),INDIRECT(""'""&amp;CE$1&amp;""'!$D$4:$D$66"")=CE$2),$G$3:$BQ$3,$G9:$BQ9)))"),0.05707195354838709)</f>
        <v>0.05707195355</v>
      </c>
      <c r="CF9" s="207" t="str">
        <f>IFERROR(__xludf.DUMMYFUNCTION("IF(OR(CE9&gt;$BS9+$BT9*$BT$2,CE9&lt;$BS9-$BT9*$BT$2),AVEDEV(ARRAYFORMULA(XLOOKUP(FILTER(INDIRECT(""'""&amp;CE$1&amp;""'!$C$4:$C$66""),INDIRECT(""'""&amp;CE$1&amp;""'!$D$4:$D$66"")=CE$2),$G$3:$BQ$3,$G9:$BQ9))),"""")"),"")</f>
        <v/>
      </c>
      <c r="CG9" s="207">
        <f>IFERROR(__xludf.DUMMYFUNCTION("AVERAGE(ARRAYFORMULA(XLOOKUP(FILTER(INDIRECT(""'""&amp;CG$1&amp;""'!$C$4:$C$66""),INDIRECT(""'""&amp;CG$1&amp;""'!$D$4:$D$66"")=CG$2),$G$3:$BQ$3,$G9:$BQ9)))"),0.26153845600000003)</f>
        <v>0.261538456</v>
      </c>
      <c r="CH9" s="207" t="str">
        <f>IFERROR(__xludf.DUMMYFUNCTION("IF(OR(CG9&gt;$BS9+$BT9*$BT$2,CG9&lt;$BS9-$BT9*$BT$2),AVEDEV(ARRAYFORMULA(XLOOKUP(FILTER(INDIRECT(""'""&amp;CG$1&amp;""'!$C$4:$C$66""),INDIRECT(""'""&amp;CG$1&amp;""'!$D$4:$D$66"")=CG$2),$G$3:$BQ$3,$G9:$BQ9))),"""")"),"")</f>
        <v/>
      </c>
      <c r="CI9" s="206"/>
      <c r="CJ9" s="251">
        <f>IFERROR(__xludf.DUMMYFUNCTION("AVERAGE(ARRAYFORMULA(XLOOKUP(FILTER(INDIRECT(""'""&amp;CJ$1&amp;""'!$C$4:$C$66""),INDIRECT(""'""&amp;CJ$1&amp;""'!$D$4:$D$66"")=CJ$2),$G$3:$BQ$3,$G9:$BQ9)))"),0.4871794846666668)</f>
        <v>0.4871794847</v>
      </c>
      <c r="CK9" s="207" t="str">
        <f>IFERROR(__xludf.DUMMYFUNCTION("IF(OR(CJ9&gt;$BS9+$BT9*$BT$2,CJ9&lt;$BS9-$BT9*$BT$2),AVEDEV(ARRAYFORMULA(XLOOKUP(FILTER(INDIRECT(""'""&amp;CJ$1&amp;""'!$C$4:$C$66""),INDIRECT(""'""&amp;CJ$1&amp;""'!$D$4:$D$66"")=CJ$2),$G$3:$BQ$3,$G9:$BQ9))),"""")"),"")</f>
        <v/>
      </c>
      <c r="CL9" s="251">
        <f>IFERROR(__xludf.DUMMYFUNCTION("AVERAGE(ARRAYFORMULA(XLOOKUP(FILTER(INDIRECT(""'""&amp;CL$1&amp;""'!$C$4:$C$66""),INDIRECT(""'""&amp;CL$1&amp;""'!$D$4:$D$66"")=CL$2),$G$3:$BQ$3,$G9:$BQ9)))"),0.06903352692307692)</f>
        <v>0.06903352692</v>
      </c>
      <c r="CM9" s="207" t="str">
        <f>IFERROR(__xludf.DUMMYFUNCTION("IF(OR(CL9&gt;$BS9+$BT9*$BT$2,CL9&lt;$BS9-$BT9*$BT$2),AVEDEV(ARRAYFORMULA(XLOOKUP(FILTER(INDIRECT(""'""&amp;CL$1&amp;""'!$C$4:$C$66""),INDIRECT(""'""&amp;CL$1&amp;""'!$D$4:$D$66"")=CL$2),$G$3:$BQ$3,$G9:$BQ9))),"""")"),"")</f>
        <v/>
      </c>
      <c r="CN9" s="251">
        <f>IFERROR(__xludf.DUMMYFUNCTION("AVERAGE(ARRAYFORMULA(XLOOKUP(FILTER(INDIRECT(""'""&amp;CN$1&amp;""'!$C$4:$C$66""),INDIRECT(""'""&amp;CN$1&amp;""'!$D$4:$D$66"")=CN$2),$G$3:$BQ$3,$G9:$BQ9)))"),0.26153845600000003)</f>
        <v>0.261538456</v>
      </c>
      <c r="CO9" s="207" t="str">
        <f>IFERROR(__xludf.DUMMYFUNCTION("IF(OR(CN9&gt;$BS9+$BT9*$BT$2,CN9&lt;$BS9-$BT9*$BT$2),AVEDEV(ARRAYFORMULA(XLOOKUP(FILTER(INDIRECT(""'""&amp;CN$1&amp;""'!$C$4:$C$66""),INDIRECT(""'""&amp;CN$1&amp;""'!$D$4:$D$66"")=CN$2),$G$3:$BQ$3,$G9:$BQ9))),"""")"),"")</f>
        <v/>
      </c>
      <c r="CP9" s="252"/>
      <c r="CQ9" s="251">
        <f>IFERROR(__xludf.DUMMYFUNCTION("AVERAGE(ARRAYFORMULA(XLOOKUP(FILTER(INDIRECT(""'""&amp;CQ$1&amp;""'!$C$4:$C$66""),INDIRECT(""'""&amp;CQ$1&amp;""'!$D$4:$D$66"")=CQ$2),$G$3:$BQ$3,$G9:$BQ9)))"),0.3461538421428572)</f>
        <v>0.3461538421</v>
      </c>
      <c r="CR9" s="207" t="str">
        <f>IFERROR(__xludf.DUMMYFUNCTION("IF(OR(CQ9&gt;$BS9+$BT9*$BT$2,CQ9&lt;$BS9-$BT9*$BT$2),AVEDEV(ARRAYFORMULA(XLOOKUP(FILTER(INDIRECT(""'""&amp;CQ$1&amp;""'!$C$4:$C$66""),INDIRECT(""'""&amp;CQ$1&amp;""'!$D$4:$D$66"")=CQ$2),$G$3:$BQ$3,$G9:$BQ9))),"""")"),"")</f>
        <v/>
      </c>
      <c r="CS9" s="251">
        <f>IFERROR(__xludf.DUMMYFUNCTION("AVERAGE(ARRAYFORMULA(XLOOKUP(FILTER(INDIRECT(""'""&amp;CS$1&amp;""'!$C$4:$C$66""),INDIRECT(""'""&amp;CS$1&amp;""'!$D$4:$D$66"")=CS$2),$G$3:$BQ$3,$G9:$BQ9)))"),-0.12820513333333328)</f>
        <v>-0.1282051333</v>
      </c>
      <c r="CT9" s="207" t="str">
        <f>IFERROR(__xludf.DUMMYFUNCTION("IF(OR(CS9&gt;$BS9+$BT9*$BT$2,CS9&lt;$BS9-$BT9*$BT$2),AVEDEV(ARRAYFORMULA(XLOOKUP(FILTER(INDIRECT(""'""&amp;CS$1&amp;""'!$C$4:$C$66""),INDIRECT(""'""&amp;CS$1&amp;""'!$D$4:$D$66"")=CS$2),$G$3:$BQ$3,$G9:$BQ9))),"""")"),"")</f>
        <v/>
      </c>
      <c r="CU9" s="251">
        <f>IFERROR(__xludf.DUMMYFUNCTION("AVERAGE(ARRAYFORMULA(XLOOKUP(FILTER(INDIRECT(""'""&amp;CU$1&amp;""'!$C$4:$C$66""),INDIRECT(""'""&amp;CU$1&amp;""'!$D$4:$D$66"")=CU$2),$G$3:$BQ$3,$G9:$BQ9)))"),0.45454544818181813)</f>
        <v>0.4545454482</v>
      </c>
      <c r="CV9" s="207" t="str">
        <f>IFERROR(__xludf.DUMMYFUNCTION("IF(OR(CU9&gt;$BS9+$BT9*$BT$2,CU9&lt;$BS9-$BT9*$BT$2),AVEDEV(ARRAYFORMULA(XLOOKUP(FILTER(INDIRECT(""'""&amp;CU$1&amp;""'!$C$4:$C$66""),INDIRECT(""'""&amp;CU$1&amp;""'!$D$4:$D$66"")=CU$2),$G$3:$BQ$3,$G9:$BQ9))),"""")"),"")</f>
        <v/>
      </c>
      <c r="CW9" s="251">
        <f>IFERROR(__xludf.DUMMYFUNCTION("AVERAGE(ARRAYFORMULA(XLOOKUP(FILTER(INDIRECT(""'""&amp;CW$1&amp;""'!$C$4:$C$66""),INDIRECT(""'""&amp;CW$1&amp;""'!$D$4:$D$66"")=CW$2),$G$3:$BQ$3,$G9:$BQ9)))"),-0.4615385)</f>
        <v>-0.4615385</v>
      </c>
      <c r="CX9" s="207" t="str">
        <f>IFERROR(__xludf.DUMMYFUNCTION("IF(OR(CW9&gt;$BS9+$BT9*$BT$2,CW9&lt;$BS9-$BT9*$BT$2),AVEDEV(ARRAYFORMULA(XLOOKUP(FILTER(INDIRECT(""'""&amp;CW$1&amp;""'!$C$4:$C$66""),INDIRECT(""'""&amp;CW$1&amp;""'!$D$4:$D$66"")=CW$2),$G$3:$BQ$3,$G9:$BQ9))),"""")"),"")</f>
        <v/>
      </c>
      <c r="CY9" s="251">
        <f>IFERROR(__xludf.DUMMYFUNCTION("AVERAGE(ARRAYFORMULA(XLOOKUP(FILTER(INDIRECT(""'""&amp;CY$1&amp;""'!$C$4:$C$66""),INDIRECT(""'""&amp;CY$1&amp;""'!$D$4:$D$66"")=CY$2),$G$3:$BQ$3,$G9:$BQ9)))"),-0.08791208857142858)</f>
        <v>-0.08791208857</v>
      </c>
      <c r="CZ9" s="207" t="str">
        <f>IFERROR(__xludf.DUMMYFUNCTION("IF(OR(CY9&gt;$BS9+$BT9*$BT$2,CY9&lt;$BS9-$BT9*$BT$2),AVEDEV(ARRAYFORMULA(XLOOKUP(FILTER(INDIRECT(""'""&amp;CY$1&amp;""'!$C$4:$C$66""),INDIRECT(""'""&amp;CY$1&amp;""'!$D$4:$D$66"")=CY$2),$G$3:$BQ$3,$G9:$BQ9))),"""")"),"")</f>
        <v/>
      </c>
      <c r="DA9" s="252"/>
      <c r="DB9" s="251">
        <f>IFERROR(__xludf.DUMMYFUNCTION("AVERAGE(ARRAYFORMULA(XLOOKUP(FILTER(INDIRECT(""'""&amp;DB$1&amp;""'!$C$4:$C$66""),INDIRECT(""'""&amp;DB$1&amp;""'!$D$4:$D$66"")=DB$2),$G$3:$BQ$3,$G9:$BQ9)))"),0.4974358933333333)</f>
        <v>0.4974358933</v>
      </c>
      <c r="DC9" s="207" t="str">
        <f>IFERROR(__xludf.DUMMYFUNCTION("IF(OR(DB9&gt;$BS9+$BT9*$BT$2,DB9&lt;$BS9-$BT9*$BT$2),AVEDEV(ARRAYFORMULA(XLOOKUP(FILTER(INDIRECT(""'""&amp;DB$1&amp;""'!$C$4:$C$66""),INDIRECT(""'""&amp;DB$1&amp;""'!$D$4:$D$66"")=DB$2),$G$3:$BQ$3,$G9:$BQ9))),"""")"),"")</f>
        <v/>
      </c>
      <c r="DD9" s="251">
        <f>IFERROR(__xludf.DUMMYFUNCTION("AVERAGE(ARRAYFORMULA(XLOOKUP(FILTER(INDIRECT(""'""&amp;DD$1&amp;""'!$C$4:$C$66""),INDIRECT(""'""&amp;DD$1&amp;""'!$D$4:$D$66"")=DD$2),$G$3:$BQ$3,$G9:$BQ9)))"),-0.19658119888888892)</f>
        <v>-0.1965811989</v>
      </c>
      <c r="DE9" s="207" t="str">
        <f>IFERROR(__xludf.DUMMYFUNCTION("IF(OR(DD9&gt;$BS9+$BT9*$BT$2,DD9&lt;$BS9-$BT9*$BT$2),AVEDEV(ARRAYFORMULA(XLOOKUP(FILTER(INDIRECT(""'""&amp;DD$1&amp;""'!$C$4:$C$66""),INDIRECT(""'""&amp;DD$1&amp;""'!$D$4:$D$66"")=DD$2),$G$3:$BQ$3,$G9:$BQ9))),"""")"),"")</f>
        <v/>
      </c>
      <c r="DF9" s="251">
        <f>IFERROR(__xludf.DUMMYFUNCTION("AVERAGE(ARRAYFORMULA(XLOOKUP(FILTER(INDIRECT(""'""&amp;DF$1&amp;""'!$C$4:$C$66""),INDIRECT(""'""&amp;DF$1&amp;""'!$D$4:$D$66"")=DF$2),$G$3:$BQ$3,$G9:$BQ9)))"),-0.24038462124999996)</f>
        <v>-0.2403846213</v>
      </c>
      <c r="DG9" s="207" t="str">
        <f>IFERROR(__xludf.DUMMYFUNCTION("IF(OR(DF9&gt;$BS9+$BT9*$BT$2,DF9&lt;$BS9-$BT9*$BT$2),AVEDEV(ARRAYFORMULA(XLOOKUP(FILTER(INDIRECT(""'""&amp;DF$1&amp;""'!$C$4:$C$66""),INDIRECT(""'""&amp;DF$1&amp;""'!$D$4:$D$66"")=DF$2),$G$3:$BQ$3,$G9:$BQ9))),"""")"),"")</f>
        <v/>
      </c>
      <c r="DH9" s="251">
        <f>IFERROR(__xludf.DUMMYFUNCTION("AVERAGE(ARRAYFORMULA(XLOOKUP(FILTER(INDIRECT(""'""&amp;DH$1&amp;""'!$C$4:$C$66""),INDIRECT(""'""&amp;DH$1&amp;""'!$D$4:$D$66"")=DH$2),$G$3:$BQ$3,$G9:$BQ9)))"),0.02564101666666667)</f>
        <v>0.02564101667</v>
      </c>
      <c r="DI9" s="207" t="str">
        <f>IFERROR(__xludf.DUMMYFUNCTION("IF(OR(DH9&gt;$BS9+$BT9*$BT$2,DH9&lt;$BS9-$BT9*$BT$2),AVEDEV(ARRAYFORMULA(XLOOKUP(FILTER(INDIRECT(""'""&amp;DH$1&amp;""'!$C$4:$C$66""),INDIRECT(""'""&amp;DH$1&amp;""'!$D$4:$D$66"")=DH$2),$G$3:$BQ$3,$G9:$BQ9))),"""")"),"")</f>
        <v/>
      </c>
      <c r="DJ9" s="243"/>
    </row>
    <row r="10">
      <c r="A10" s="2"/>
      <c r="B10" s="204">
        <v>6.0</v>
      </c>
      <c r="C10" s="204" t="s">
        <v>442</v>
      </c>
      <c r="D10" s="204" t="s">
        <v>449</v>
      </c>
      <c r="E10" s="205" t="b">
        <f>VLOOKUP(D10,'Feature Set List'!A7:C246,2,0)</f>
        <v>1</v>
      </c>
      <c r="F10" s="205" t="b">
        <f>VLOOKUP(D10,'Feature Set List'!A7:C246,3,0)</f>
        <v>1</v>
      </c>
      <c r="G10" s="205">
        <v>0.94952251</v>
      </c>
      <c r="H10" s="205">
        <v>-0.0109141</v>
      </c>
      <c r="I10" s="205">
        <v>0.0845839</v>
      </c>
      <c r="J10" s="205">
        <v>-0.2735334</v>
      </c>
      <c r="K10" s="205">
        <v>-1.9218281</v>
      </c>
      <c r="L10" s="205">
        <v>-0.4604366</v>
      </c>
      <c r="M10" s="205">
        <v>0.1377899</v>
      </c>
      <c r="N10" s="205">
        <v>0.37858117</v>
      </c>
      <c r="O10" s="205">
        <v>0.38267394</v>
      </c>
      <c r="P10" s="205">
        <v>0.06889495</v>
      </c>
      <c r="Q10" s="205">
        <v>0.44611187</v>
      </c>
      <c r="R10" s="205">
        <v>0.3260573</v>
      </c>
      <c r="S10" s="205">
        <v>0.51841746</v>
      </c>
      <c r="T10" s="205">
        <v>-0.0497954</v>
      </c>
      <c r="U10" s="205">
        <v>2.32196453</v>
      </c>
      <c r="V10" s="205">
        <v>-0.5825375</v>
      </c>
      <c r="W10" s="205">
        <v>0.50341064</v>
      </c>
      <c r="X10" s="205">
        <v>2.7366985</v>
      </c>
      <c r="Y10" s="205">
        <v>-1.0607094</v>
      </c>
      <c r="Z10" s="205">
        <v>0.54433834</v>
      </c>
      <c r="AA10" s="205">
        <v>0.44815825</v>
      </c>
      <c r="AB10" s="205">
        <v>2.3888131</v>
      </c>
      <c r="AC10" s="205">
        <v>1.14392906</v>
      </c>
      <c r="AD10" s="205">
        <v>-0.8867667</v>
      </c>
      <c r="AE10" s="205">
        <v>-0.0552524</v>
      </c>
      <c r="AF10" s="205">
        <v>-0.3212824</v>
      </c>
      <c r="AG10" s="205">
        <v>0.23533424</v>
      </c>
      <c r="AH10" s="205">
        <v>1.70941337</v>
      </c>
      <c r="AI10" s="205">
        <v>-0.5184175</v>
      </c>
      <c r="AJ10" s="205">
        <v>0.48976808</v>
      </c>
      <c r="AK10" s="205">
        <v>-1.446794</v>
      </c>
      <c r="AL10" s="205">
        <v>-0.5218281</v>
      </c>
      <c r="AM10" s="205">
        <v>-0.8369714</v>
      </c>
      <c r="AN10" s="205">
        <v>0.0</v>
      </c>
      <c r="AO10" s="205">
        <v>-0.4461119</v>
      </c>
      <c r="AP10" s="205">
        <v>-1.542292</v>
      </c>
      <c r="AQ10" s="205">
        <v>-1.4843111</v>
      </c>
      <c r="AR10" s="205">
        <v>-1.1391542</v>
      </c>
      <c r="AS10" s="205">
        <v>-0.3069577</v>
      </c>
      <c r="AT10" s="205">
        <v>0.15484311</v>
      </c>
      <c r="AU10" s="205">
        <v>-0.9618008</v>
      </c>
      <c r="AV10" s="205">
        <v>1.73396999</v>
      </c>
      <c r="AW10" s="205">
        <v>-1.3751705</v>
      </c>
      <c r="AX10" s="205">
        <v>-0.0634379</v>
      </c>
      <c r="AY10" s="205">
        <v>2.39154161</v>
      </c>
      <c r="AZ10" s="205">
        <v>0.0</v>
      </c>
      <c r="BA10" s="205">
        <v>-0.3587995</v>
      </c>
      <c r="BB10" s="205">
        <v>1.18485675</v>
      </c>
      <c r="BC10" s="205">
        <v>0.46793997</v>
      </c>
      <c r="BD10" s="205">
        <v>-1.2114598</v>
      </c>
      <c r="BE10" s="205">
        <v>2.50682128</v>
      </c>
      <c r="BF10" s="205">
        <v>0.33697135</v>
      </c>
      <c r="BG10" s="205">
        <v>-0.3642565</v>
      </c>
      <c r="BH10" s="205">
        <v>-0.5300136</v>
      </c>
      <c r="BI10" s="205">
        <v>-1.1043656</v>
      </c>
      <c r="BJ10" s="205">
        <v>0.04365621</v>
      </c>
      <c r="BK10" s="205">
        <v>-0.5204638</v>
      </c>
      <c r="BL10" s="205">
        <v>0.4058663</v>
      </c>
      <c r="BM10" s="205">
        <v>2.25443383</v>
      </c>
      <c r="BN10" s="205">
        <v>-0.3697135</v>
      </c>
      <c r="BO10" s="205">
        <v>1.13028649</v>
      </c>
      <c r="BP10" s="205">
        <v>-0.2196453</v>
      </c>
      <c r="BQ10" s="205">
        <v>-0.659618</v>
      </c>
      <c r="BR10" s="206"/>
      <c r="BS10" s="250">
        <f t="shared" si="1"/>
        <v>0.1082699889</v>
      </c>
      <c r="BT10" s="250">
        <f t="shared" si="2"/>
        <v>0.8033404203</v>
      </c>
      <c r="BU10" s="206"/>
      <c r="BV10" s="207">
        <f>IFERROR(__xludf.DUMMYFUNCTION("AVERAGE(ARRAYFORMULA(XLOOKUP(FILTER(INDIRECT(""'""&amp;BV$1&amp;""'!$C$4:$C$66""),INDIRECT(""'""&amp;BV$1&amp;""'!$D$4:$D$66"")=BV$2),$G$3:$BQ$3,$G10:$BQ10)))"),1.5859481528571426)</f>
        <v>1.585948153</v>
      </c>
      <c r="BW10" s="207">
        <f>IFERROR(__xludf.DUMMYFUNCTION("IF(OR(BV10&gt;$BS10+$BT10*$BT$2,BV10&lt;$BS10-$BT10*$BT$2),AVEDEV(ARRAYFORMULA(XLOOKUP(FILTER(INDIRECT(""'""&amp;BV$1&amp;""'!$C$4:$C$66""),INDIRECT(""'""&amp;BV$1&amp;""'!$D$4:$D$66"")=BV$2),$G$3:$BQ$3,$G10:$BQ10))),"""")"),1.032352373877551)</f>
        <v>1.032352374</v>
      </c>
      <c r="BX10" s="207">
        <f>IFERROR(__xludf.DUMMYFUNCTION("AVERAGE(ARRAYFORMULA(XLOOKUP(FILTER(INDIRECT(""'""&amp;BX$1&amp;""'!$C$4:$C$66""),INDIRECT(""'""&amp;BX$1&amp;""'!$D$4:$D$66"")=BX$2),$G$3:$BQ$3,$G10:$BQ10)))"),-0.0917852285714286)</f>
        <v>-0.09178522857</v>
      </c>
      <c r="BY10" s="207" t="str">
        <f>IFERROR(__xludf.DUMMYFUNCTION("IF(OR(BX10&gt;$BS10+$BT10*$BT$2,BX10&lt;$BS10-$BT10*$BT$2),AVEDEV(ARRAYFORMULA(XLOOKUP(FILTER(INDIRECT(""'""&amp;BX$1&amp;""'!$C$4:$C$66""),INDIRECT(""'""&amp;BX$1&amp;""'!$D$4:$D$66"")=BX$2),$G$3:$BQ$3,$G10:$BQ10))),"""")"),"")</f>
        <v/>
      </c>
      <c r="BZ10" s="207">
        <f>IFERROR(__xludf.DUMMYFUNCTION("AVERAGE(ARRAYFORMULA(XLOOKUP(FILTER(INDIRECT(""'""&amp;BZ$1&amp;""'!$C$4:$C$66""),INDIRECT(""'""&amp;BZ$1&amp;""'!$D$4:$D$66"")=BZ$2),$G$3:$BQ$3,$G10:$BQ10)))"),0.15118441181818187)</f>
        <v>0.1511844118</v>
      </c>
      <c r="CA10" s="207" t="str">
        <f>IFERROR(__xludf.DUMMYFUNCTION("IF(OR(BZ10&gt;$BS10+$BT10*$BT$2,BZ10&lt;$BS10-$BT10*$BT$2),AVEDEV(ARRAYFORMULA(XLOOKUP(FILTER(INDIRECT(""'""&amp;BZ$1&amp;""'!$C$4:$C$66""),INDIRECT(""'""&amp;BZ$1&amp;""'!$D$4:$D$66"")=BZ$2),$G$3:$BQ$3,$G10:$BQ10))),"""")"),"")</f>
        <v/>
      </c>
      <c r="CB10" s="209"/>
      <c r="CC10" s="207">
        <f>IFERROR(__xludf.DUMMYFUNCTION("AVERAGE(ARRAYFORMULA(XLOOKUP(FILTER(INDIRECT(""'""&amp;CC$1&amp;""'!$C$4:$C$66""),INDIRECT(""'""&amp;CC$1&amp;""'!$D$4:$D$66"")=CC$2),$G$3:$BQ$3,$G10:$BQ10)))"),-0.28740621562499996)</f>
        <v>-0.2874062156</v>
      </c>
      <c r="CD10" s="207" t="str">
        <f>IFERROR(__xludf.DUMMYFUNCTION("IF(OR(CC10&gt;$BS10+$BT10*$BT$2,CC10&lt;$BS10-$BT10*$BT$2),AVEDEV(ARRAYFORMULA(XLOOKUP(FILTER(INDIRECT(""'""&amp;CC$1&amp;""'!$C$4:$C$66""),INDIRECT(""'""&amp;CC$1&amp;""'!$D$4:$D$66"")=CC$2),$G$3:$BQ$3,$G10:$BQ10))),"""")"),"")</f>
        <v/>
      </c>
      <c r="CE10" s="207">
        <f>IFERROR(__xludf.DUMMYFUNCTION("AVERAGE(ARRAYFORMULA(XLOOKUP(FILTER(INDIRECT(""'""&amp;CE$1&amp;""'!$C$4:$C$66""),INDIRECT(""'""&amp;CE$1&amp;""'!$D$4:$D$66"")=CE$2),$G$3:$BQ$3,$G10:$BQ10)))"),0.2803547087096773)</f>
        <v>0.2803547087</v>
      </c>
      <c r="CF10" s="207" t="str">
        <f>IFERROR(__xludf.DUMMYFUNCTION("IF(OR(CE10&gt;$BS10+$BT10*$BT$2,CE10&lt;$BS10-$BT10*$BT$2),AVEDEV(ARRAYFORMULA(XLOOKUP(FILTER(INDIRECT(""'""&amp;CE$1&amp;""'!$C$4:$C$66""),INDIRECT(""'""&amp;CE$1&amp;""'!$D$4:$D$66"")=CE$2),$G$3:$BQ$3,$G10:$BQ10))),"""")"),"")</f>
        <v/>
      </c>
      <c r="CG10" s="207">
        <f>IFERROR(__xludf.DUMMYFUNCTION("AVERAGE(ARRAYFORMULA(XLOOKUP(FILTER(INDIRECT(""'""&amp;CG$1&amp;""'!$C$4:$C$66""),INDIRECT(""'""&amp;CG$1&amp;""'!$D$4:$D$66"")=CG$2),$G$3:$BQ$3,$G10:$BQ10)))"),-0.20218283)</f>
        <v>-0.20218283</v>
      </c>
      <c r="CH10" s="207" t="str">
        <f>IFERROR(__xludf.DUMMYFUNCTION("IF(OR(CG10&gt;$BS10+$BT10*$BT$2,CG10&lt;$BS10-$BT10*$BT$2),AVEDEV(ARRAYFORMULA(XLOOKUP(FILTER(INDIRECT(""'""&amp;CG$1&amp;""'!$C$4:$C$66""),INDIRECT(""'""&amp;CG$1&amp;""'!$D$4:$D$66"")=CG$2),$G$3:$BQ$3,$G10:$BQ10))),"""")"),"")</f>
        <v/>
      </c>
      <c r="CI10" s="206"/>
      <c r="CJ10" s="251">
        <f>IFERROR(__xludf.DUMMYFUNCTION("AVERAGE(ARRAYFORMULA(XLOOKUP(FILTER(INDIRECT(""'""&amp;CJ$1&amp;""'!$C$4:$C$66""),INDIRECT(""'""&amp;CJ$1&amp;""'!$D$4:$D$66"")=CJ$2),$G$3:$BQ$3,$G10:$BQ10)))"),1.21282401)</f>
        <v>1.21282401</v>
      </c>
      <c r="CK10" s="207">
        <f>IFERROR(__xludf.DUMMYFUNCTION("IF(OR(CJ10&gt;$BS10+$BT10*$BT$2,CJ10&lt;$BS10-$BT10*$BT$2),AVEDEV(ARRAYFORMULA(XLOOKUP(FILTER(INDIRECT(""'""&amp;CJ$1&amp;""'!$C$4:$C$66""),INDIRECT(""'""&amp;CJ$1&amp;""'!$D$4:$D$66"")=CJ$2),$G$3:$BQ$3,$G10:$BQ10))),"""")"),0.8854934066666669)</f>
        <v>0.8854934067</v>
      </c>
      <c r="CL10" s="251">
        <f>IFERROR(__xludf.DUMMYFUNCTION("AVERAGE(ARRAYFORMULA(XLOOKUP(FILTER(INDIRECT(""'""&amp;CL$1&amp;""'!$C$4:$C$66""),INDIRECT(""'""&amp;CL$1&amp;""'!$D$4:$D$66"")=CL$2),$G$3:$BQ$3,$G10:$BQ10)))"),-0.2225032384615384)</f>
        <v>-0.2225032385</v>
      </c>
      <c r="CM10" s="207" t="str">
        <f>IFERROR(__xludf.DUMMYFUNCTION("IF(OR(CL10&gt;$BS10+$BT10*$BT$2,CL10&lt;$BS10-$BT10*$BT$2),AVEDEV(ARRAYFORMULA(XLOOKUP(FILTER(INDIRECT(""'""&amp;CL$1&amp;""'!$C$4:$C$66""),INDIRECT(""'""&amp;CL$1&amp;""'!$D$4:$D$66"")=CL$2),$G$3:$BQ$3,$G10:$BQ10))),"""")"),"")</f>
        <v/>
      </c>
      <c r="CN10" s="251">
        <f>IFERROR(__xludf.DUMMYFUNCTION("AVERAGE(ARRAYFORMULA(XLOOKUP(FILTER(INDIRECT(""'""&amp;CN$1&amp;""'!$C$4:$C$66""),INDIRECT(""'""&amp;CN$1&amp;""'!$D$4:$D$66"")=CN$2),$G$3:$BQ$3,$G10:$BQ10)))"),-0.20218283)</f>
        <v>-0.20218283</v>
      </c>
      <c r="CO10" s="207" t="str">
        <f>IFERROR(__xludf.DUMMYFUNCTION("IF(OR(CN10&gt;$BS10+$BT10*$BT$2,CN10&lt;$BS10-$BT10*$BT$2),AVEDEV(ARRAYFORMULA(XLOOKUP(FILTER(INDIRECT(""'""&amp;CN$1&amp;""'!$C$4:$C$66""),INDIRECT(""'""&amp;CN$1&amp;""'!$D$4:$D$66"")=CN$2),$G$3:$BQ$3,$G10:$BQ10))),"""")"),"")</f>
        <v/>
      </c>
      <c r="CP10" s="252"/>
      <c r="CQ10" s="251">
        <f>IFERROR(__xludf.DUMMYFUNCTION("AVERAGE(ARRAYFORMULA(XLOOKUP(FILTER(INDIRECT(""'""&amp;CQ$1&amp;""'!$C$4:$C$66""),INDIRECT(""'""&amp;CQ$1&amp;""'!$D$4:$D$66"")=CQ$2),$G$3:$BQ$3,$G10:$BQ10)))"),-0.5271876885714286)</f>
        <v>-0.5271876886</v>
      </c>
      <c r="CR10" s="207" t="str">
        <f>IFERROR(__xludf.DUMMYFUNCTION("IF(OR(CQ10&gt;$BS10+$BT10*$BT$2,CQ10&lt;$BS10-$BT10*$BT$2),AVEDEV(ARRAYFORMULA(XLOOKUP(FILTER(INDIRECT(""'""&amp;CQ$1&amp;""'!$C$4:$C$66""),INDIRECT(""'""&amp;CQ$1&amp;""'!$D$4:$D$66"")=CQ$2),$G$3:$BQ$3,$G10:$BQ10))),"""")"),"")</f>
        <v/>
      </c>
      <c r="CS10" s="251">
        <f>IFERROR(__xludf.DUMMYFUNCTION("AVERAGE(ARRAYFORMULA(XLOOKUP(FILTER(INDIRECT(""'""&amp;CS$1&amp;""'!$C$4:$C$66""),INDIRECT(""'""&amp;CS$1&amp;""'!$D$4:$D$66"")=CS$2),$G$3:$BQ$3,$G10:$BQ10)))"),-0.06571169999999998)</f>
        <v>-0.0657117</v>
      </c>
      <c r="CT10" s="207" t="str">
        <f>IFERROR(__xludf.DUMMYFUNCTION("IF(OR(CS10&gt;$BS10+$BT10*$BT$2,CS10&lt;$BS10-$BT10*$BT$2),AVEDEV(ARRAYFORMULA(XLOOKUP(FILTER(INDIRECT(""'""&amp;CS$1&amp;""'!$C$4:$C$66""),INDIRECT(""'""&amp;CS$1&amp;""'!$D$4:$D$66"")=CS$2),$G$3:$BQ$3,$G10:$BQ10))),"""")"),"")</f>
        <v/>
      </c>
      <c r="CU10" s="251">
        <f>IFERROR(__xludf.DUMMYFUNCTION("AVERAGE(ARRAYFORMULA(XLOOKUP(FILTER(INDIRECT(""'""&amp;CU$1&amp;""'!$C$4:$C$66""),INDIRECT(""'""&amp;CU$1&amp;""'!$D$4:$D$66"")=CU$2),$G$3:$BQ$3,$G10:$BQ10)))"),0.7296911754545455)</f>
        <v>0.7296911755</v>
      </c>
      <c r="CV10" s="207" t="str">
        <f>IFERROR(__xludf.DUMMYFUNCTION("IF(OR(CU10&gt;$BS10+$BT10*$BT$2,CU10&lt;$BS10-$BT10*$BT$2),AVEDEV(ARRAYFORMULA(XLOOKUP(FILTER(INDIRECT(""'""&amp;CU$1&amp;""'!$C$4:$C$66""),INDIRECT(""'""&amp;CU$1&amp;""'!$D$4:$D$66"")=CU$2),$G$3:$BQ$3,$G10:$BQ10))),"""")"),"")</f>
        <v/>
      </c>
      <c r="CW10" s="251">
        <f>IFERROR(__xludf.DUMMYFUNCTION("AVERAGE(ARRAYFORMULA(XLOOKUP(FILTER(INDIRECT(""'""&amp;CW$1&amp;""'!$C$4:$C$66""),INDIRECT(""'""&amp;CW$1&amp;""'!$D$4:$D$66"")=CW$2),$G$3:$BQ$3,$G10:$BQ10)))"),-0.70839015)</f>
        <v>-0.70839015</v>
      </c>
      <c r="CX10" s="207">
        <f>IFERROR(__xludf.DUMMYFUNCTION("IF(OR(CW10&gt;$BS10+$BT10*$BT$2,CW10&lt;$BS10-$BT10*$BT$2),AVEDEV(ARRAYFORMULA(XLOOKUP(FILTER(INDIRECT(""'""&amp;CW$1&amp;""'!$C$4:$C$66""),INDIRECT(""'""&amp;CW$1&amp;""'!$D$4:$D$66"")=CW$2),$G$3:$BQ$3,$G10:$BQ10))),"""")"),0.17837655000000002)</f>
        <v>0.17837655</v>
      </c>
      <c r="CY10" s="251">
        <f>IFERROR(__xludf.DUMMYFUNCTION("AVERAGE(ARRAYFORMULA(XLOOKUP(FILTER(INDIRECT(""'""&amp;CY$1&amp;""'!$C$4:$C$66""),INDIRECT(""'""&amp;CY$1&amp;""'!$D$4:$D$66"")=CY$2),$G$3:$BQ$3,$G10:$BQ10)))"),-0.06109919928571428)</f>
        <v>-0.06109919929</v>
      </c>
      <c r="CZ10" s="207" t="str">
        <f>IFERROR(__xludf.DUMMYFUNCTION("IF(OR(CY10&gt;$BS10+$BT10*$BT$2,CY10&lt;$BS10-$BT10*$BT$2),AVEDEV(ARRAYFORMULA(XLOOKUP(FILTER(INDIRECT(""'""&amp;CY$1&amp;""'!$C$4:$C$66""),INDIRECT(""'""&amp;CY$1&amp;""'!$D$4:$D$66"")=CY$2),$G$3:$BQ$3,$G10:$BQ10))),"""")"),"")</f>
        <v/>
      </c>
      <c r="DA10" s="252"/>
      <c r="DB10" s="251">
        <f>IFERROR(__xludf.DUMMYFUNCTION("AVERAGE(ARRAYFORMULA(XLOOKUP(FILTER(INDIRECT(""'""&amp;DB$1&amp;""'!$C$4:$C$66""),INDIRECT(""'""&amp;DB$1&amp;""'!$D$4:$D$66"")=DB$2),$G$3:$BQ$3,$G10:$BQ10)))"),0.008403817333333351)</f>
        <v>0.008403817333</v>
      </c>
      <c r="DC10" s="207" t="str">
        <f>IFERROR(__xludf.DUMMYFUNCTION("IF(OR(DB10&gt;$BS10+$BT10*$BT$2,DB10&lt;$BS10-$BT10*$BT$2),AVEDEV(ARRAYFORMULA(XLOOKUP(FILTER(INDIRECT(""'""&amp;DB$1&amp;""'!$C$4:$C$66""),INDIRECT(""'""&amp;DB$1&amp;""'!$D$4:$D$66"")=DB$2),$G$3:$BQ$3,$G10:$BQ10))),"""")"),"")</f>
        <v/>
      </c>
      <c r="DD10" s="251">
        <f>IFERROR(__xludf.DUMMYFUNCTION("AVERAGE(ARRAYFORMULA(XLOOKUP(FILTER(INDIRECT(""'""&amp;DD$1&amp;""'!$C$4:$C$66""),INDIRECT(""'""&amp;DD$1&amp;""'!$D$4:$D$66"")=DD$2),$G$3:$BQ$3,$G10:$BQ10)))"),0.5309989244444445)</f>
        <v>0.5309989244</v>
      </c>
      <c r="DE10" s="207" t="str">
        <f>IFERROR(__xludf.DUMMYFUNCTION("IF(OR(DD10&gt;$BS10+$BT10*$BT$2,DD10&lt;$BS10-$BT10*$BT$2),AVEDEV(ARRAYFORMULA(XLOOKUP(FILTER(INDIRECT(""'""&amp;DD$1&amp;""'!$C$4:$C$66""),INDIRECT(""'""&amp;DD$1&amp;""'!$D$4:$D$66"")=DD$2),$G$3:$BQ$3,$G10:$BQ10))),"""")"),"")</f>
        <v/>
      </c>
      <c r="DF10" s="251">
        <f>IFERROR(__xludf.DUMMYFUNCTION("AVERAGE(ARRAYFORMULA(XLOOKUP(FILTER(INDIRECT(""'""&amp;DF$1&amp;""'!$C$4:$C$66""),INDIRECT(""'""&amp;DF$1&amp;""'!$D$4:$D$66"")=DF$2),$G$3:$BQ$3,$G10:$BQ10)))"),0.8598226462499999)</f>
        <v>0.8598226463</v>
      </c>
      <c r="DG10" s="207" t="str">
        <f>IFERROR(__xludf.DUMMYFUNCTION("IF(OR(DF10&gt;$BS10+$BT10*$BT$2,DF10&lt;$BS10-$BT10*$BT$2),AVEDEV(ARRAYFORMULA(XLOOKUP(FILTER(INDIRECT(""'""&amp;DF$1&amp;""'!$C$4:$C$66""),INDIRECT(""'""&amp;DF$1&amp;""'!$D$4:$D$66"")=DF$2),$G$3:$BQ$3,$G10:$BQ10))),"""")"),"")</f>
        <v/>
      </c>
      <c r="DH10" s="251">
        <f>IFERROR(__xludf.DUMMYFUNCTION("AVERAGE(ARRAYFORMULA(XLOOKUP(FILTER(INDIRECT(""'""&amp;DH$1&amp;""'!$C$4:$C$66""),INDIRECT(""'""&amp;DH$1&amp;""'!$D$4:$D$66"")=DH$2),$G$3:$BQ$3,$G10:$BQ10)))"),-0.5063665233333333)</f>
        <v>-0.5063665233</v>
      </c>
      <c r="DI10" s="207" t="str">
        <f>IFERROR(__xludf.DUMMYFUNCTION("IF(OR(DH10&gt;$BS10+$BT10*$BT$2,DH10&lt;$BS10-$BT10*$BT$2),AVEDEV(ARRAYFORMULA(XLOOKUP(FILTER(INDIRECT(""'""&amp;DH$1&amp;""'!$C$4:$C$66""),INDIRECT(""'""&amp;DH$1&amp;""'!$D$4:$D$66"")=DH$2),$G$3:$BQ$3,$G10:$BQ10))),"""")"),"")</f>
        <v/>
      </c>
      <c r="DJ10" s="243"/>
    </row>
    <row r="11">
      <c r="A11" s="2"/>
      <c r="B11" s="204">
        <v>7.0</v>
      </c>
      <c r="C11" s="204" t="s">
        <v>442</v>
      </c>
      <c r="D11" s="204" t="s">
        <v>450</v>
      </c>
      <c r="E11" s="205" t="b">
        <f>VLOOKUP(D11,'Feature Set List'!A8:C246,2,0)</f>
        <v>1</v>
      </c>
      <c r="F11" s="205" t="b">
        <f>VLOOKUP(D11,'Feature Set List'!A8:C246,3,0)</f>
        <v>1</v>
      </c>
      <c r="G11" s="205">
        <v>-0.9853031</v>
      </c>
      <c r="H11" s="205">
        <v>-0.5964483</v>
      </c>
      <c r="I11" s="205">
        <v>-0.6613595</v>
      </c>
      <c r="J11" s="205">
        <v>0.08144519</v>
      </c>
      <c r="K11" s="205">
        <v>-1.6497244</v>
      </c>
      <c r="L11" s="205">
        <v>0.66319657</v>
      </c>
      <c r="M11" s="205">
        <v>0.34415187</v>
      </c>
      <c r="N11" s="205">
        <v>-0.5339865</v>
      </c>
      <c r="O11" s="205">
        <v>0.15492958</v>
      </c>
      <c r="P11" s="205">
        <v>0.4084507</v>
      </c>
      <c r="Q11" s="205">
        <v>-0.0973668</v>
      </c>
      <c r="R11" s="205">
        <v>0.29761176</v>
      </c>
      <c r="S11" s="205">
        <v>-0.5266381</v>
      </c>
      <c r="T11" s="205">
        <v>0.21126761</v>
      </c>
      <c r="U11" s="205">
        <v>-1.5119412</v>
      </c>
      <c r="V11" s="205">
        <v>0.93386405</v>
      </c>
      <c r="W11" s="205">
        <v>-0.592774</v>
      </c>
      <c r="X11" s="205">
        <v>-2.0128598</v>
      </c>
      <c r="Y11" s="205">
        <v>1.12737293</v>
      </c>
      <c r="Z11" s="205">
        <v>-0.4268218</v>
      </c>
      <c r="AA11" s="205">
        <v>-1.0875689</v>
      </c>
      <c r="AB11" s="205">
        <v>-1.6674832</v>
      </c>
      <c r="AC11" s="205">
        <v>-1.3429271</v>
      </c>
      <c r="AD11" s="205">
        <v>0.39987753</v>
      </c>
      <c r="AE11" s="205">
        <v>0.23821188</v>
      </c>
      <c r="AF11" s="205">
        <v>0.65401102</v>
      </c>
      <c r="AG11" s="205">
        <v>0.13962033</v>
      </c>
      <c r="AH11" s="205">
        <v>-1.0379669</v>
      </c>
      <c r="AI11" s="205">
        <v>0.65278628</v>
      </c>
      <c r="AJ11" s="205">
        <v>-0.6533987</v>
      </c>
      <c r="AK11" s="205">
        <v>1.53521127</v>
      </c>
      <c r="AL11" s="205">
        <v>0.86405389</v>
      </c>
      <c r="AM11" s="205">
        <v>-0.7936314</v>
      </c>
      <c r="AN11" s="205">
        <v>0.32578077</v>
      </c>
      <c r="AO11" s="205">
        <v>0.77587263</v>
      </c>
      <c r="AP11" s="205">
        <v>1.28169014</v>
      </c>
      <c r="AQ11" s="205">
        <v>-0.1873852</v>
      </c>
      <c r="AR11" s="205">
        <v>-0.2461727</v>
      </c>
      <c r="AS11" s="205">
        <v>-0.0747091</v>
      </c>
      <c r="AT11" s="205">
        <v>0.13104715</v>
      </c>
      <c r="AU11" s="205">
        <v>0.32639314</v>
      </c>
      <c r="AV11" s="205">
        <v>-1.3778322</v>
      </c>
      <c r="AW11" s="205">
        <v>0.02755664</v>
      </c>
      <c r="AX11" s="205">
        <v>0.3496632</v>
      </c>
      <c r="AY11" s="205">
        <v>-1.670545</v>
      </c>
      <c r="AZ11" s="205">
        <v>-0.5094917</v>
      </c>
      <c r="BA11" s="205">
        <v>0.5468463</v>
      </c>
      <c r="BB11" s="205">
        <v>-1.4396816</v>
      </c>
      <c r="BC11" s="205">
        <v>0.02939375</v>
      </c>
      <c r="BD11" s="205">
        <v>0.29944887</v>
      </c>
      <c r="BE11" s="205">
        <v>-1.7281078</v>
      </c>
      <c r="BF11" s="205">
        <v>-0.5358236</v>
      </c>
      <c r="BG11" s="205">
        <v>0.45499081</v>
      </c>
      <c r="BH11" s="205">
        <v>0.12002449</v>
      </c>
      <c r="BI11" s="205">
        <v>-0.1163503</v>
      </c>
      <c r="BJ11" s="205">
        <v>0.20575628</v>
      </c>
      <c r="BK11" s="205">
        <v>0.34109002</v>
      </c>
      <c r="BL11" s="205">
        <v>-0.1635028</v>
      </c>
      <c r="BM11" s="205">
        <v>-1.4537661</v>
      </c>
      <c r="BN11" s="205">
        <v>-0.2357624</v>
      </c>
      <c r="BO11" s="205">
        <v>-1.0734844</v>
      </c>
      <c r="BP11" s="205">
        <v>0.0</v>
      </c>
      <c r="BQ11" s="205">
        <v>0.83649724</v>
      </c>
      <c r="BR11" s="206"/>
      <c r="BS11" s="250">
        <f t="shared" si="1"/>
        <v>-0.1941698525</v>
      </c>
      <c r="BT11" s="250">
        <f t="shared" si="2"/>
        <v>0.6762883884</v>
      </c>
      <c r="BU11" s="206"/>
      <c r="BV11" s="207">
        <f>IFERROR(__xludf.DUMMYFUNCTION("AVERAGE(ARRAYFORMULA(XLOOKUP(FILTER(INDIRECT(""'""&amp;BV$1&amp;""'!$C$4:$C$66""),INDIRECT(""'""&amp;BV$1&amp;""'!$D$4:$D$66"")=BV$2),$G$3:$BQ$3,$G11:$BQ11)))"),-1.1072522242857143)</f>
        <v>-1.107252224</v>
      </c>
      <c r="BW11" s="207">
        <f>IFERROR(__xludf.DUMMYFUNCTION("IF(OR(BV11&gt;$BS11+$BT11*$BT$2,BV11&lt;$BS11-$BT11*$BT$2),AVEDEV(ARRAYFORMULA(XLOOKUP(FILTER(INDIRECT(""'""&amp;BV$1&amp;""'!$C$4:$C$66""),INDIRECT(""'""&amp;BV$1&amp;""'!$D$4:$D$66"")=BV$2),$G$3:$BQ$3,$G11:$BQ11))),"""")"),0.8076783653061224)</f>
        <v>0.8076783653</v>
      </c>
      <c r="BX11" s="207">
        <f>IFERROR(__xludf.DUMMYFUNCTION("AVERAGE(ARRAYFORMULA(XLOOKUP(FILTER(INDIRECT(""'""&amp;BX$1&amp;""'!$C$4:$C$66""),INDIRECT(""'""&amp;BX$1&amp;""'!$D$4:$D$66"")=BX$2),$G$3:$BQ$3,$G11:$BQ11)))"),-0.11572332738095235)</f>
        <v>-0.1157233274</v>
      </c>
      <c r="BY11" s="207" t="str">
        <f>IFERROR(__xludf.DUMMYFUNCTION("IF(OR(BX11&gt;$BS11+$BT11*$BT$2,BX11&lt;$BS11-$BT11*$BT$2),AVEDEV(ARRAYFORMULA(XLOOKUP(FILTER(INDIRECT(""'""&amp;BX$1&amp;""'!$C$4:$C$66""),INDIRECT(""'""&amp;BX$1&amp;""'!$D$4:$D$66"")=BX$2),$G$3:$BQ$3,$G11:$BQ11))),"""")"),"")</f>
        <v/>
      </c>
      <c r="BZ11" s="207">
        <f>IFERROR(__xludf.DUMMYFUNCTION("AVERAGE(ARRAYFORMULA(XLOOKUP(FILTER(INDIRECT(""'""&amp;BZ$1&amp;""'!$C$4:$C$66""),INDIRECT(""'""&amp;BZ$1&amp;""'!$D$4:$D$66"")=BZ$2),$G$3:$BQ$3,$G11:$BQ11)))"),0.03763291818181818)</f>
        <v>0.03763291818</v>
      </c>
      <c r="CA11" s="207" t="str">
        <f>IFERROR(__xludf.DUMMYFUNCTION("IF(OR(BZ11&gt;$BS11+$BT11*$BT$2,BZ11&lt;$BS11-$BT11*$BT$2),AVEDEV(ARRAYFORMULA(XLOOKUP(FILTER(INDIRECT(""'""&amp;BZ$1&amp;""'!$C$4:$C$66""),INDIRECT(""'""&amp;BZ$1&amp;""'!$D$4:$D$66"")=BZ$2),$G$3:$BQ$3,$G11:$BQ11))),"""")"),"")</f>
        <v/>
      </c>
      <c r="CB11" s="209"/>
      <c r="CC11" s="207">
        <f>IFERROR(__xludf.DUMMYFUNCTION("AVERAGE(ARRAYFORMULA(XLOOKUP(FILTER(INDIRECT(""'""&amp;CC$1&amp;""'!$C$4:$C$66""),INDIRECT(""'""&amp;CC$1&amp;""'!$D$4:$D$66"")=CC$2),$G$3:$BQ$3,$G11:$BQ11)))"),-0.08959736687499997)</f>
        <v>-0.08959736688</v>
      </c>
      <c r="CD11" s="207" t="str">
        <f>IFERROR(__xludf.DUMMYFUNCTION("IF(OR(CC11&gt;$BS11+$BT11*$BT$2,CC11&lt;$BS11-$BT11*$BT$2),AVEDEV(ARRAYFORMULA(XLOOKUP(FILTER(INDIRECT(""'""&amp;CC$1&amp;""'!$C$4:$C$66""),INDIRECT(""'""&amp;CC$1&amp;""'!$D$4:$D$66"")=CC$2),$G$3:$BQ$3,$G11:$BQ11))),"""")"),"")</f>
        <v/>
      </c>
      <c r="CE11" s="207">
        <f>IFERROR(__xludf.DUMMYFUNCTION("AVERAGE(ARRAYFORMULA(XLOOKUP(FILTER(INDIRECT(""'""&amp;CE$1&amp;""'!$C$4:$C$66""),INDIRECT(""'""&amp;CE$1&amp;""'!$D$4:$D$66"")=CE$2),$G$3:$BQ$3,$G11:$BQ11)))"),-0.24196511612903224)</f>
        <v>-0.2419651161</v>
      </c>
      <c r="CF11" s="207" t="str">
        <f>IFERROR(__xludf.DUMMYFUNCTION("IF(OR(CE11&gt;$BS11+$BT11*$BT$2,CE11&lt;$BS11-$BT11*$BT$2),AVEDEV(ARRAYFORMULA(XLOOKUP(FILTER(INDIRECT(""'""&amp;CE$1&amp;""'!$C$4:$C$66""),INDIRECT(""'""&amp;CE$1&amp;""'!$D$4:$D$66"")=CE$2),$G$3:$BQ$3,$G11:$BQ11))),"""")"),"")</f>
        <v/>
      </c>
      <c r="CG11" s="207">
        <f>IFERROR(__xludf.DUMMYFUNCTION("AVERAGE(ARRAYFORMULA(XLOOKUP(FILTER(INDIRECT(""'""&amp;CG$1&amp;""'!$C$4:$C$66""),INDIRECT(""'""&amp;CG$1&amp;""'!$D$4:$D$66"")=CG$2),$G$3:$BQ$3,$G11:$BQ11)))"),0.309369264)</f>
        <v>0.309369264</v>
      </c>
      <c r="CH11" s="207" t="str">
        <f>IFERROR(__xludf.DUMMYFUNCTION("IF(OR(CG11&gt;$BS11+$BT11*$BT$2,CG11&lt;$BS11-$BT11*$BT$2),AVEDEV(ARRAYFORMULA(XLOOKUP(FILTER(INDIRECT(""'""&amp;CG$1&amp;""'!$C$4:$C$66""),INDIRECT(""'""&amp;CG$1&amp;""'!$D$4:$D$66"")=CG$2),$G$3:$BQ$3,$G11:$BQ11))),"""")"),"")</f>
        <v/>
      </c>
      <c r="CI11" s="206"/>
      <c r="CJ11" s="251">
        <f>IFERROR(__xludf.DUMMYFUNCTION("AVERAGE(ARRAYFORMULA(XLOOKUP(FILTER(INDIRECT(""'""&amp;CJ$1&amp;""'!$C$4:$C$66""),INDIRECT(""'""&amp;CJ$1&amp;""'!$D$4:$D$66"")=CJ$2),$G$3:$BQ$3,$G11:$BQ11)))"),-0.9585629760000001)</f>
        <v>-0.958562976</v>
      </c>
      <c r="CK11" s="207">
        <f>IFERROR(__xludf.DUMMYFUNCTION("IF(OR(CJ11&gt;$BS11+$BT11*$BT$2,CJ11&lt;$BS11-$BT11*$BT$2),AVEDEV(ARRAYFORMULA(XLOOKUP(FILTER(INDIRECT(""'""&amp;CJ$1&amp;""'!$C$4:$C$66""),INDIRECT(""'""&amp;CJ$1&amp;""'!$D$4:$D$66"")=CJ$2),$G$3:$BQ$3,$G11:$BQ11))),"""")"),0.6395863152000001)</f>
        <v>0.6395863152</v>
      </c>
      <c r="CL11" s="251">
        <f>IFERROR(__xludf.DUMMYFUNCTION("AVERAGE(ARRAYFORMULA(XLOOKUP(FILTER(INDIRECT(""'""&amp;CL$1&amp;""'!$C$4:$C$66""),INDIRECT(""'""&amp;CL$1&amp;""'!$D$4:$D$66"")=CL$2),$G$3:$BQ$3,$G11:$BQ11)))"),0.020459433333333367)</f>
        <v>0.02045943333</v>
      </c>
      <c r="CM11" s="207" t="str">
        <f>IFERROR(__xludf.DUMMYFUNCTION("IF(OR(CL11&gt;$BS11+$BT11*$BT$2,CL11&lt;$BS11-$BT11*$BT$2),AVEDEV(ARRAYFORMULA(XLOOKUP(FILTER(INDIRECT(""'""&amp;CL$1&amp;""'!$C$4:$C$66""),INDIRECT(""'""&amp;CL$1&amp;""'!$D$4:$D$66"")=CL$2),$G$3:$BQ$3,$G11:$BQ11))),"""")"),"")</f>
        <v/>
      </c>
      <c r="CN11" s="251">
        <f>IFERROR(__xludf.DUMMYFUNCTION("AVERAGE(ARRAYFORMULA(XLOOKUP(FILTER(INDIRECT(""'""&amp;CN$1&amp;""'!$C$4:$C$66""),INDIRECT(""'""&amp;CN$1&amp;""'!$D$4:$D$66"")=CN$2),$G$3:$BQ$3,$G11:$BQ11)))"),0.309369264)</f>
        <v>0.309369264</v>
      </c>
      <c r="CO11" s="207" t="str">
        <f>IFERROR(__xludf.DUMMYFUNCTION("IF(OR(CN11&gt;$BS11+$BT11*$BT$2,CN11&lt;$BS11-$BT11*$BT$2),AVEDEV(ARRAYFORMULA(XLOOKUP(FILTER(INDIRECT(""'""&amp;CN$1&amp;""'!$C$4:$C$66""),INDIRECT(""'""&amp;CN$1&amp;""'!$D$4:$D$66"")=CN$2),$G$3:$BQ$3,$G11:$BQ11))),"""")"),"")</f>
        <v/>
      </c>
      <c r="CP11" s="252"/>
      <c r="CQ11" s="251">
        <f>IFERROR(__xludf.DUMMYFUNCTION("AVERAGE(ARRAYFORMULA(XLOOKUP(FILTER(INDIRECT(""'""&amp;CQ$1&amp;""'!$C$4:$C$66""),INDIRECT(""'""&amp;CQ$1&amp;""'!$D$4:$D$66"")=CQ$2),$G$3:$BQ$3,$G11:$BQ11)))"),0.3029918635714286)</f>
        <v>0.3029918636</v>
      </c>
      <c r="CR11" s="207" t="str">
        <f>IFERROR(__xludf.DUMMYFUNCTION("IF(OR(CQ11&gt;$BS11+$BT11*$BT$2,CQ11&lt;$BS11-$BT11*$BT$2),AVEDEV(ARRAYFORMULA(XLOOKUP(FILTER(INDIRECT(""'""&amp;CQ$1&amp;""'!$C$4:$C$66""),INDIRECT(""'""&amp;CQ$1&amp;""'!$D$4:$D$66"")=CQ$2),$G$3:$BQ$3,$G11:$BQ11))),"""")"),"")</f>
        <v/>
      </c>
      <c r="CS11" s="251">
        <f>IFERROR(__xludf.DUMMYFUNCTION("AVERAGE(ARRAYFORMULA(XLOOKUP(FILTER(INDIRECT(""'""&amp;CS$1&amp;""'!$C$4:$C$66""),INDIRECT(""'""&amp;CS$1&amp;""'!$D$4:$D$66"")=CS$2),$G$3:$BQ$3,$G11:$BQ11)))"),0.2641355444444444)</f>
        <v>0.2641355444</v>
      </c>
      <c r="CT11" s="207" t="str">
        <f>IFERROR(__xludf.DUMMYFUNCTION("IF(OR(CS11&gt;$BS11+$BT11*$BT$2,CS11&lt;$BS11-$BT11*$BT$2),AVEDEV(ARRAYFORMULA(XLOOKUP(FILTER(INDIRECT(""'""&amp;CS$1&amp;""'!$C$4:$C$66""),INDIRECT(""'""&amp;CS$1&amp;""'!$D$4:$D$66"")=CS$2),$G$3:$BQ$3,$G11:$BQ11))),"""")"),"")</f>
        <v/>
      </c>
      <c r="CU11" s="251">
        <f>IFERROR(__xludf.DUMMYFUNCTION("AVERAGE(ARRAYFORMULA(XLOOKUP(FILTER(INDIRECT(""'""&amp;CU$1&amp;""'!$C$4:$C$66""),INDIRECT(""'""&amp;CU$1&amp;""'!$D$4:$D$66"")=CU$2),$G$3:$BQ$3,$G11:$BQ11)))"),-0.8028169036363636)</f>
        <v>-0.8028169036</v>
      </c>
      <c r="CV11" s="207" t="str">
        <f>IFERROR(__xludf.DUMMYFUNCTION("IF(OR(CU11&gt;$BS11+$BT11*$BT$2,CU11&lt;$BS11-$BT11*$BT$2),AVEDEV(ARRAYFORMULA(XLOOKUP(FILTER(INDIRECT(""'""&amp;CU$1&amp;""'!$C$4:$C$66""),INDIRECT(""'""&amp;CU$1&amp;""'!$D$4:$D$66"")=CU$2),$G$3:$BQ$3,$G11:$BQ11))),"""")"),"")</f>
        <v/>
      </c>
      <c r="CW11" s="251">
        <f>IFERROR(__xludf.DUMMYFUNCTION("AVERAGE(ARRAYFORMULA(XLOOKUP(FILTER(INDIRECT(""'""&amp;CW$1&amp;""'!$C$4:$C$66""),INDIRECT(""'""&amp;CW$1&amp;""'!$D$4:$D$66"")=CW$2),$G$3:$BQ$3,$G11:$BQ11)))"),0.25995101)</f>
        <v>0.25995101</v>
      </c>
      <c r="CX11" s="207" t="str">
        <f>IFERROR(__xludf.DUMMYFUNCTION("IF(OR(CW11&gt;$BS11+$BT11*$BT$2,CW11&lt;$BS11-$BT11*$BT$2),AVEDEV(ARRAYFORMULA(XLOOKUP(FILTER(INDIRECT(""'""&amp;CW$1&amp;""'!$C$4:$C$66""),INDIRECT(""'""&amp;CW$1&amp;""'!$D$4:$D$66"")=CW$2),$G$3:$BQ$3,$G11:$BQ11))),"""")"),"")</f>
        <v/>
      </c>
      <c r="CY11" s="251">
        <f>IFERROR(__xludf.DUMMYFUNCTION("AVERAGE(ARRAYFORMULA(XLOOKUP(FILTER(INDIRECT(""'""&amp;CY$1&amp;""'!$C$4:$C$66""),INDIRECT(""'""&amp;CY$1&amp;""'!$D$4:$D$66"")=CY$2),$G$3:$BQ$3,$G11:$BQ11)))"),0.030268562857142862)</f>
        <v>0.03026856286</v>
      </c>
      <c r="CZ11" s="207" t="str">
        <f>IFERROR(__xludf.DUMMYFUNCTION("IF(OR(CY11&gt;$BS11+$BT11*$BT$2,CY11&lt;$BS11-$BT11*$BT$2),AVEDEV(ARRAYFORMULA(XLOOKUP(FILTER(INDIRECT(""'""&amp;CY$1&amp;""'!$C$4:$C$66""),INDIRECT(""'""&amp;CY$1&amp;""'!$D$4:$D$66"")=CY$2),$G$3:$BQ$3,$G11:$BQ11))),"""")"),"")</f>
        <v/>
      </c>
      <c r="DA11" s="252"/>
      <c r="DB11" s="251">
        <f>IFERROR(__xludf.DUMMYFUNCTION("AVERAGE(ARRAYFORMULA(XLOOKUP(FILTER(INDIRECT(""'""&amp;DB$1&amp;""'!$C$4:$C$66""),INDIRECT(""'""&amp;DB$1&amp;""'!$D$4:$D$66"")=DB$2),$G$3:$BQ$3,$G11:$BQ11)))"),-0.09863237499999998)</f>
        <v>-0.098632375</v>
      </c>
      <c r="DC11" s="207" t="str">
        <f>IFERROR(__xludf.DUMMYFUNCTION("IF(OR(DB11&gt;$BS11+$BT11*$BT$2,DB11&lt;$BS11-$BT11*$BT$2),AVEDEV(ARRAYFORMULA(XLOOKUP(FILTER(INDIRECT(""'""&amp;DB$1&amp;""'!$C$4:$C$66""),INDIRECT(""'""&amp;DB$1&amp;""'!$D$4:$D$66"")=DB$2),$G$3:$BQ$3,$G11:$BQ11))),"""")"),"")</f>
        <v/>
      </c>
      <c r="DD11" s="251">
        <f>IFERROR(__xludf.DUMMYFUNCTION("AVERAGE(ARRAYFORMULA(XLOOKUP(FILTER(INDIRECT(""'""&amp;DD$1&amp;""'!$C$4:$C$66""),INDIRECT(""'""&amp;DD$1&amp;""'!$D$4:$D$66"")=DD$2),$G$3:$BQ$3,$G11:$BQ11)))"),-0.24841803888888883)</f>
        <v>-0.2484180389</v>
      </c>
      <c r="DE11" s="207" t="str">
        <f>IFERROR(__xludf.DUMMYFUNCTION("IF(OR(DD11&gt;$BS11+$BT11*$BT$2,DD11&lt;$BS11-$BT11*$BT$2),AVEDEV(ARRAYFORMULA(XLOOKUP(FILTER(INDIRECT(""'""&amp;DD$1&amp;""'!$C$4:$C$66""),INDIRECT(""'""&amp;DD$1&amp;""'!$D$4:$D$66"")=DD$2),$G$3:$BQ$3,$G11:$BQ11))),"""")"),"")</f>
        <v/>
      </c>
      <c r="DF11" s="251">
        <f>IFERROR(__xludf.DUMMYFUNCTION("AVERAGE(ARRAYFORMULA(XLOOKUP(FILTER(INDIRECT(""'""&amp;DF$1&amp;""'!$C$4:$C$66""),INDIRECT(""'""&amp;DF$1&amp;""'!$D$4:$D$66"")=DF$2),$G$3:$BQ$3,$G11:$BQ11)))"),-0.6883802825)</f>
        <v>-0.6883802825</v>
      </c>
      <c r="DG11" s="207" t="str">
        <f>IFERROR(__xludf.DUMMYFUNCTION("IF(OR(DF11&gt;$BS11+$BT11*$BT$2,DF11&lt;$BS11-$BT11*$BT$2),AVEDEV(ARRAYFORMULA(XLOOKUP(FILTER(INDIRECT(""'""&amp;DF$1&amp;""'!$C$4:$C$66""),INDIRECT(""'""&amp;DF$1&amp;""'!$D$4:$D$66"")=DF$2),$G$3:$BQ$3,$G11:$BQ11))),"""")"),"")</f>
        <v/>
      </c>
      <c r="DH11" s="251">
        <f>IFERROR(__xludf.DUMMYFUNCTION("AVERAGE(ARRAYFORMULA(XLOOKUP(FILTER(INDIRECT(""'""&amp;DH$1&amp;""'!$C$4:$C$66""),INDIRECT(""'""&amp;DH$1&amp;""'!$D$4:$D$66"")=DH$2),$G$3:$BQ$3,$G11:$BQ11)))"),0.016806145555555558)</f>
        <v>0.01680614556</v>
      </c>
      <c r="DI11" s="207" t="str">
        <f>IFERROR(__xludf.DUMMYFUNCTION("IF(OR(DH11&gt;$BS11+$BT11*$BT$2,DH11&lt;$BS11-$BT11*$BT$2),AVEDEV(ARRAYFORMULA(XLOOKUP(FILTER(INDIRECT(""'""&amp;DH$1&amp;""'!$C$4:$C$66""),INDIRECT(""'""&amp;DH$1&amp;""'!$D$4:$D$66"")=DH$2),$G$3:$BQ$3,$G11:$BQ11))),"""")"),"")</f>
        <v/>
      </c>
      <c r="DJ11" s="243"/>
    </row>
    <row r="12">
      <c r="A12" s="2"/>
      <c r="B12" s="204">
        <v>8.0</v>
      </c>
      <c r="C12" s="204" t="s">
        <v>442</v>
      </c>
      <c r="D12" s="204" t="s">
        <v>451</v>
      </c>
      <c r="E12" s="205" t="b">
        <f>VLOOKUP(D12,'Feature Set List'!A9:C246,2,0)</f>
        <v>1</v>
      </c>
      <c r="F12" s="205" t="b">
        <f>VLOOKUP(D12,'Feature Set List'!A9:C246,3,0)</f>
        <v>1</v>
      </c>
      <c r="G12" s="205">
        <v>0.42054063</v>
      </c>
      <c r="H12" s="205">
        <v>1.08600207</v>
      </c>
      <c r="I12" s="205">
        <v>1.05673209</v>
      </c>
      <c r="J12" s="205">
        <v>0.46444559</v>
      </c>
      <c r="K12" s="205">
        <v>4.97804752</v>
      </c>
      <c r="L12" s="205">
        <v>-0.1181129</v>
      </c>
      <c r="M12" s="205">
        <v>-0.4240702</v>
      </c>
      <c r="N12" s="205">
        <v>0.50576791</v>
      </c>
      <c r="O12" s="205">
        <v>-0.4672865</v>
      </c>
      <c r="P12" s="205">
        <v>-0.4270833</v>
      </c>
      <c r="Q12" s="205">
        <v>-0.1927514</v>
      </c>
      <c r="R12" s="205">
        <v>-0.5961605</v>
      </c>
      <c r="S12" s="205">
        <v>0.31981749</v>
      </c>
      <c r="T12" s="205">
        <v>0.0</v>
      </c>
      <c r="U12" s="205">
        <v>-0.5711002</v>
      </c>
      <c r="V12" s="205">
        <v>-0.3434056</v>
      </c>
      <c r="W12" s="205">
        <v>0.43259298</v>
      </c>
      <c r="X12" s="205">
        <v>-0.3898933</v>
      </c>
      <c r="Y12" s="205">
        <v>-0.0119663</v>
      </c>
      <c r="Z12" s="205">
        <v>0.14643595</v>
      </c>
      <c r="AA12" s="205">
        <v>1.19705579</v>
      </c>
      <c r="AB12" s="205">
        <v>-0.4368974</v>
      </c>
      <c r="AC12" s="205">
        <v>0.67708333</v>
      </c>
      <c r="AD12" s="205">
        <v>0.78985882</v>
      </c>
      <c r="AE12" s="205">
        <v>-0.0315083</v>
      </c>
      <c r="AF12" s="205">
        <v>-0.2808196</v>
      </c>
      <c r="AG12" s="205">
        <v>-0.2591253</v>
      </c>
      <c r="AH12" s="205">
        <v>-0.4646178</v>
      </c>
      <c r="AI12" s="205">
        <v>-0.0290117</v>
      </c>
      <c r="AJ12" s="205">
        <v>0.534177</v>
      </c>
      <c r="AK12" s="205">
        <v>-0.0990014</v>
      </c>
      <c r="AL12" s="205">
        <v>-0.3219697</v>
      </c>
      <c r="AM12" s="205">
        <v>2.40573347</v>
      </c>
      <c r="AN12" s="205">
        <v>-0.2240014</v>
      </c>
      <c r="AO12" s="205">
        <v>-0.2938189</v>
      </c>
      <c r="AP12" s="205">
        <v>0.37921832</v>
      </c>
      <c r="AQ12" s="205">
        <v>2.37043733</v>
      </c>
      <c r="AR12" s="205">
        <v>2.01661501</v>
      </c>
      <c r="AS12" s="205">
        <v>0.72615358</v>
      </c>
      <c r="AT12" s="205">
        <v>-0.1458333</v>
      </c>
      <c r="AU12" s="205">
        <v>0.98786157</v>
      </c>
      <c r="AV12" s="205">
        <v>-0.0176481</v>
      </c>
      <c r="AW12" s="205">
        <v>1.93052686</v>
      </c>
      <c r="AX12" s="205">
        <v>-0.1779442</v>
      </c>
      <c r="AY12" s="205">
        <v>-0.4360365</v>
      </c>
      <c r="AZ12" s="205">
        <v>0.9491219</v>
      </c>
      <c r="BA12" s="205">
        <v>-0.082042</v>
      </c>
      <c r="BB12" s="205">
        <v>0.76231061</v>
      </c>
      <c r="BC12" s="205">
        <v>-0.3989325</v>
      </c>
      <c r="BD12" s="205">
        <v>1.34168388</v>
      </c>
      <c r="BE12" s="205">
        <v>-0.5003444</v>
      </c>
      <c r="BF12" s="205">
        <v>0.56172521</v>
      </c>
      <c r="BG12" s="205">
        <v>0.05320248</v>
      </c>
      <c r="BH12" s="205">
        <v>0.73390152</v>
      </c>
      <c r="BI12" s="205">
        <v>1.79020317</v>
      </c>
      <c r="BJ12" s="205">
        <v>-0.1102789</v>
      </c>
      <c r="BK12" s="205">
        <v>0.41107094</v>
      </c>
      <c r="BL12" s="205">
        <v>-0.0490702</v>
      </c>
      <c r="BM12" s="205">
        <v>-0.5672262</v>
      </c>
      <c r="BN12" s="205">
        <v>1.03176653</v>
      </c>
      <c r="BO12" s="205">
        <v>0.31551309</v>
      </c>
      <c r="BP12" s="205">
        <v>0.51179408</v>
      </c>
      <c r="BQ12" s="205">
        <v>-0.1101067</v>
      </c>
      <c r="BR12" s="206"/>
      <c r="BS12" s="250">
        <f t="shared" si="1"/>
        <v>0.3699893971</v>
      </c>
      <c r="BT12" s="250">
        <f t="shared" si="2"/>
        <v>0.6686575869</v>
      </c>
      <c r="BU12" s="206"/>
      <c r="BV12" s="207">
        <f>IFERROR(__xludf.DUMMYFUNCTION("AVERAGE(ARRAYFORMULA(XLOOKUP(FILTER(INDIRECT(""'""&amp;BV$1&amp;""'!$C$4:$C$66""),INDIRECT(""'""&amp;BV$1&amp;""'!$D$4:$D$66"")=BV$2),$G$3:$BQ$3,$G12:$BQ12)))"),-0.21113612714285712)</f>
        <v>-0.2111361271</v>
      </c>
      <c r="BW12" s="207" t="str">
        <f>IFERROR(__xludf.DUMMYFUNCTION("IF(OR(BV12&gt;$BS12+$BT12*$BT$2,BV12&lt;$BS12-$BT12*$BT$2),AVEDEV(ARRAYFORMULA(XLOOKUP(FILTER(INDIRECT(""'""&amp;BV$1&amp;""'!$C$4:$C$66""),INDIRECT(""'""&amp;BV$1&amp;""'!$D$4:$D$66"")=BV$2),$G$3:$BQ$3,$G12:$BQ12))),"""")"),"")</f>
        <v/>
      </c>
      <c r="BX12" s="207">
        <f>IFERROR(__xludf.DUMMYFUNCTION("AVERAGE(ARRAYFORMULA(XLOOKUP(FILTER(INDIRECT(""'""&amp;BX$1&amp;""'!$C$4:$C$66""),INDIRECT(""'""&amp;BX$1&amp;""'!$D$4:$D$66"")=BX$2),$G$3:$BQ$3,$G12:$BQ12)))"),0.5121445800000001)</f>
        <v>0.51214458</v>
      </c>
      <c r="BY12" s="207" t="str">
        <f>IFERROR(__xludf.DUMMYFUNCTION("IF(OR(BX12&gt;$BS12+$BT12*$BT$2,BX12&lt;$BS12-$BT12*$BT$2),AVEDEV(ARRAYFORMULA(XLOOKUP(FILTER(INDIRECT(""'""&amp;BX$1&amp;""'!$C$4:$C$66""),INDIRECT(""'""&amp;BX$1&amp;""'!$D$4:$D$66"")=BX$2),$G$3:$BQ$3,$G12:$BQ12))),"""")"),"")</f>
        <v/>
      </c>
      <c r="BZ12" s="207">
        <f>IFERROR(__xludf.DUMMYFUNCTION("AVERAGE(ARRAYFORMULA(XLOOKUP(FILTER(INDIRECT(""'""&amp;BZ$1&amp;""'!$C$4:$C$66""),INDIRECT(""'""&amp;BZ$1&amp;""'!$D$4:$D$66"")=BZ$2),$G$3:$BQ$3,$G12:$BQ12)))"),-0.00991499909090909)</f>
        <v>-0.009914999091</v>
      </c>
      <c r="CA12" s="207" t="str">
        <f>IFERROR(__xludf.DUMMYFUNCTION("IF(OR(BZ12&gt;$BS12+$BT12*$BT$2,BZ12&lt;$BS12-$BT12*$BT$2),AVEDEV(ARRAYFORMULA(XLOOKUP(FILTER(INDIRECT(""'""&amp;BZ$1&amp;""'!$C$4:$C$66""),INDIRECT(""'""&amp;BZ$1&amp;""'!$D$4:$D$66"")=BZ$2),$G$3:$BQ$3,$G12:$BQ12))),"""")"),"")</f>
        <v/>
      </c>
      <c r="CB12" s="209"/>
      <c r="CC12" s="207">
        <f>IFERROR(__xludf.DUMMYFUNCTION("AVERAGE(ARRAYFORMULA(XLOOKUP(FILTER(INDIRECT(""'""&amp;CC$1&amp;""'!$C$4:$C$66""),INDIRECT(""'""&amp;CC$1&amp;""'!$D$4:$D$66"")=CC$2),$G$3:$BQ$3,$G12:$BQ12)))"),0.72246847625)</f>
        <v>0.7224684763</v>
      </c>
      <c r="CD12" s="207" t="str">
        <f>IFERROR(__xludf.DUMMYFUNCTION("IF(OR(CC12&gt;$BS12+$BT12*$BT$2,CC12&lt;$BS12-$BT12*$BT$2),AVEDEV(ARRAYFORMULA(XLOOKUP(FILTER(INDIRECT(""'""&amp;CC$1&amp;""'!$C$4:$C$66""),INDIRECT(""'""&amp;CC$1&amp;""'!$D$4:$D$66"")=CC$2),$G$3:$BQ$3,$G12:$BQ12))),"""")"),"")</f>
        <v/>
      </c>
      <c r="CE12" s="207">
        <f>IFERROR(__xludf.DUMMYFUNCTION("AVERAGE(ARRAYFORMULA(XLOOKUP(FILTER(INDIRECT(""'""&amp;CE$1&amp;""'!$C$4:$C$66""),INDIRECT(""'""&amp;CE$1&amp;""'!$D$4:$D$66"")=CE$2),$G$3:$BQ$3,$G12:$BQ12)))"),0.21995523129032257)</f>
        <v>0.2199552313</v>
      </c>
      <c r="CF12" s="207" t="str">
        <f>IFERROR(__xludf.DUMMYFUNCTION("IF(OR(CE12&gt;$BS12+$BT12*$BT$2,CE12&lt;$BS12-$BT12*$BT$2),AVEDEV(ARRAYFORMULA(XLOOKUP(FILTER(INDIRECT(""'""&amp;CE$1&amp;""'!$C$4:$C$66""),INDIRECT(""'""&amp;CE$1&amp;""'!$D$4:$D$66"")=CE$2),$G$3:$BQ$3,$G12:$BQ12))),"""")"),"")</f>
        <v/>
      </c>
      <c r="CG12" s="207">
        <f>IFERROR(__xludf.DUMMYFUNCTION("AVERAGE(ARRAYFORMULA(XLOOKUP(FILTER(INDIRECT(""'""&amp;CG$1&amp;""'!$C$4:$C$66""),INDIRECT(""'""&amp;CG$1&amp;""'!$D$4:$D$66"")=CG$2),$G$3:$BQ$3,$G12:$BQ12)))"),0.05404615199999999)</f>
        <v>0.054046152</v>
      </c>
      <c r="CH12" s="207" t="str">
        <f>IFERROR(__xludf.DUMMYFUNCTION("IF(OR(CG12&gt;$BS12+$BT12*$BT$2,CG12&lt;$BS12-$BT12*$BT$2),AVEDEV(ARRAYFORMULA(XLOOKUP(FILTER(INDIRECT(""'""&amp;CG$1&amp;""'!$C$4:$C$66""),INDIRECT(""'""&amp;CG$1&amp;""'!$D$4:$D$66"")=CG$2),$G$3:$BQ$3,$G12:$BQ12))),"""")"),"")</f>
        <v/>
      </c>
      <c r="CI12" s="206"/>
      <c r="CJ12" s="251">
        <f>IFERROR(__xludf.DUMMYFUNCTION("AVERAGE(ARRAYFORMULA(XLOOKUP(FILTER(INDIRECT(""'""&amp;CJ$1&amp;""'!$C$4:$C$66""),INDIRECT(""'""&amp;CJ$1&amp;""'!$D$4:$D$66"")=CJ$2),$G$3:$BQ$3,$G12:$BQ12)))"),0.05059227733333334)</f>
        <v>0.05059227733</v>
      </c>
      <c r="CK12" s="207" t="str">
        <f>IFERROR(__xludf.DUMMYFUNCTION("IF(OR(CJ12&gt;$BS12+$BT12*$BT$2,CJ12&lt;$BS12-$BT12*$BT$2),AVEDEV(ARRAYFORMULA(XLOOKUP(FILTER(INDIRECT(""'""&amp;CJ$1&amp;""'!$C$4:$C$66""),INDIRECT(""'""&amp;CJ$1&amp;""'!$D$4:$D$66"")=CJ$2),$G$3:$BQ$3,$G12:$BQ12))),"""")"),"")</f>
        <v/>
      </c>
      <c r="CL12" s="251">
        <f>IFERROR(__xludf.DUMMYFUNCTION("AVERAGE(ARRAYFORMULA(XLOOKUP(FILTER(INDIRECT(""'""&amp;CL$1&amp;""'!$C$4:$C$66""),INDIRECT(""'""&amp;CL$1&amp;""'!$D$4:$D$66"")=CL$2),$G$3:$BQ$3,$G12:$BQ12)))"),0.48571819897435903)</f>
        <v>0.485718199</v>
      </c>
      <c r="CM12" s="207" t="str">
        <f>IFERROR(__xludf.DUMMYFUNCTION("IF(OR(CL12&gt;$BS12+$BT12*$BT$2,CL12&lt;$BS12-$BT12*$BT$2),AVEDEV(ARRAYFORMULA(XLOOKUP(FILTER(INDIRECT(""'""&amp;CL$1&amp;""'!$C$4:$C$66""),INDIRECT(""'""&amp;CL$1&amp;""'!$D$4:$D$66"")=CL$2),$G$3:$BQ$3,$G12:$BQ12))),"""")"),"")</f>
        <v/>
      </c>
      <c r="CN12" s="251">
        <f>IFERROR(__xludf.DUMMYFUNCTION("AVERAGE(ARRAYFORMULA(XLOOKUP(FILTER(INDIRECT(""'""&amp;CN$1&amp;""'!$C$4:$C$66""),INDIRECT(""'""&amp;CN$1&amp;""'!$D$4:$D$66"")=CN$2),$G$3:$BQ$3,$G12:$BQ12)))"),0.05404615199999999)</f>
        <v>0.054046152</v>
      </c>
      <c r="CO12" s="207" t="str">
        <f>IFERROR(__xludf.DUMMYFUNCTION("IF(OR(CN12&gt;$BS12+$BT12*$BT$2,CN12&lt;$BS12-$BT12*$BT$2),AVEDEV(ARRAYFORMULA(XLOOKUP(FILTER(INDIRECT(""'""&amp;CN$1&amp;""'!$C$4:$C$66""),INDIRECT(""'""&amp;CN$1&amp;""'!$D$4:$D$66"")=CN$2),$G$3:$BQ$3,$G12:$BQ12))),"""")"),"")</f>
        <v/>
      </c>
      <c r="CP12" s="252"/>
      <c r="CQ12" s="251">
        <f>IFERROR(__xludf.DUMMYFUNCTION("AVERAGE(ARRAYFORMULA(XLOOKUP(FILTER(INDIRECT(""'""&amp;CQ$1&amp;""'!$C$4:$C$66""),INDIRECT(""'""&amp;CQ$1&amp;""'!$D$4:$D$66"")=CQ$2),$G$3:$BQ$3,$G12:$BQ12)))"),0.4732265878571429)</f>
        <v>0.4732265879</v>
      </c>
      <c r="CR12" s="207" t="str">
        <f>IFERROR(__xludf.DUMMYFUNCTION("IF(OR(CQ12&gt;$BS12+$BT12*$BT$2,CQ12&lt;$BS12-$BT12*$BT$2),AVEDEV(ARRAYFORMULA(XLOOKUP(FILTER(INDIRECT(""'""&amp;CQ$1&amp;""'!$C$4:$C$66""),INDIRECT(""'""&amp;CQ$1&amp;""'!$D$4:$D$66"")=CQ$2),$G$3:$BQ$3,$G12:$BQ12))),"""")"),"")</f>
        <v/>
      </c>
      <c r="CS12" s="251">
        <f>IFERROR(__xludf.DUMMYFUNCTION("AVERAGE(ARRAYFORMULA(XLOOKUP(FILTER(INDIRECT(""'""&amp;CS$1&amp;""'!$C$4:$C$66""),INDIRECT(""'""&amp;CS$1&amp;""'!$D$4:$D$66"")=CS$2),$G$3:$BQ$3,$G12:$BQ12)))"),-0.05455118777777778)</f>
        <v>-0.05455118778</v>
      </c>
      <c r="CT12" s="207" t="str">
        <f>IFERROR(__xludf.DUMMYFUNCTION("IF(OR(CS12&gt;$BS12+$BT12*$BT$2,CS12&lt;$BS12-$BT12*$BT$2),AVEDEV(ARRAYFORMULA(XLOOKUP(FILTER(INDIRECT(""'""&amp;CS$1&amp;""'!$C$4:$C$66""),INDIRECT(""'""&amp;CS$1&amp;""'!$D$4:$D$66"")=CS$2),$G$3:$BQ$3,$G12:$BQ12))),"""")"),"")</f>
        <v/>
      </c>
      <c r="CU12" s="251">
        <f>IFERROR(__xludf.DUMMYFUNCTION("AVERAGE(ARRAYFORMULA(XLOOKUP(FILTER(INDIRECT(""'""&amp;CU$1&amp;""'!$C$4:$C$66""),INDIRECT(""'""&amp;CU$1&amp;""'!$D$4:$D$66"")=CU$2),$G$3:$BQ$3,$G12:$BQ12)))"),0.4411391772727272)</f>
        <v>0.4411391773</v>
      </c>
      <c r="CV12" s="207" t="str">
        <f>IFERROR(__xludf.DUMMYFUNCTION("IF(OR(CU12&gt;$BS12+$BT12*$BT$2,CU12&lt;$BS12-$BT12*$BT$2),AVEDEV(ARRAYFORMULA(XLOOKUP(FILTER(INDIRECT(""'""&amp;CU$1&amp;""'!$C$4:$C$66""),INDIRECT(""'""&amp;CU$1&amp;""'!$D$4:$D$66"")=CU$2),$G$3:$BQ$3,$G12:$BQ12))),"""")"),"")</f>
        <v/>
      </c>
      <c r="CW12" s="251">
        <f>IFERROR(__xludf.DUMMYFUNCTION("AVERAGE(ARRAYFORMULA(XLOOKUP(FILTER(INDIRECT(""'""&amp;CW$1&amp;""'!$C$4:$C$66""),INDIRECT(""'""&amp;CW$1&amp;""'!$D$4:$D$66"")=CW$2),$G$3:$BQ$3,$G12:$BQ12)))"),0.76188017)</f>
        <v>0.76188017</v>
      </c>
      <c r="CX12" s="207" t="str">
        <f>IFERROR(__xludf.DUMMYFUNCTION("IF(OR(CW12&gt;$BS12+$BT12*$BT$2,CW12&lt;$BS12-$BT12*$BT$2),AVEDEV(ARRAYFORMULA(XLOOKUP(FILTER(INDIRECT(""'""&amp;CW$1&amp;""'!$C$4:$C$66""),INDIRECT(""'""&amp;CW$1&amp;""'!$D$4:$D$66"")=CW$2),$G$3:$BQ$3,$G12:$BQ12))),"""")"),"")</f>
        <v/>
      </c>
      <c r="CY12" s="251">
        <f>IFERROR(__xludf.DUMMYFUNCTION("AVERAGE(ARRAYFORMULA(XLOOKUP(FILTER(INDIRECT(""'""&amp;CY$1&amp;""'!$C$4:$C$66""),INDIRECT(""'""&amp;CY$1&amp;""'!$D$4:$D$66"")=CY$2),$G$3:$BQ$3,$G12:$BQ12)))"),0.26810926000000007)</f>
        <v>0.26810926</v>
      </c>
      <c r="CZ12" s="207" t="str">
        <f>IFERROR(__xludf.DUMMYFUNCTION("IF(OR(CY12&gt;$BS12+$BT12*$BT$2,CY12&lt;$BS12-$BT12*$BT$2),AVEDEV(ARRAYFORMULA(XLOOKUP(FILTER(INDIRECT(""'""&amp;CY$1&amp;""'!$C$4:$C$66""),INDIRECT(""'""&amp;CY$1&amp;""'!$D$4:$D$66"")=CY$2),$G$3:$BQ$3,$G12:$BQ12))),"""")"),"")</f>
        <v/>
      </c>
      <c r="DA12" s="252"/>
      <c r="DB12" s="251">
        <f>IFERROR(__xludf.DUMMYFUNCTION("AVERAGE(ARRAYFORMULA(XLOOKUP(FILTER(INDIRECT(""'""&amp;DB$1&amp;""'!$C$4:$C$66""),INDIRECT(""'""&amp;DB$1&amp;""'!$D$4:$D$66"")=DB$2),$G$3:$BQ$3,$G12:$BQ12)))"),0.36173381699999996)</f>
        <v>0.361733817</v>
      </c>
      <c r="DC12" s="207" t="str">
        <f>IFERROR(__xludf.DUMMYFUNCTION("IF(OR(DB12&gt;$BS12+$BT12*$BT$2,DB12&lt;$BS12-$BT12*$BT$2),AVEDEV(ARRAYFORMULA(XLOOKUP(FILTER(INDIRECT(""'""&amp;DB$1&amp;""'!$C$4:$C$66""),INDIRECT(""'""&amp;DB$1&amp;""'!$D$4:$D$66"")=DB$2),$G$3:$BQ$3,$G12:$BQ12))),"""")"),"")</f>
        <v/>
      </c>
      <c r="DD12" s="251">
        <f>IFERROR(__xludf.DUMMYFUNCTION("AVERAGE(ARRAYFORMULA(XLOOKUP(FILTER(INDIRECT(""'""&amp;DD$1&amp;""'!$C$4:$C$66""),INDIRECT(""'""&amp;DD$1&amp;""'!$D$4:$D$66"")=DD$2),$G$3:$BQ$3,$G12:$BQ12)))"),-0.08700545444444442)</f>
        <v>-0.08700545444</v>
      </c>
      <c r="DE12" s="207" t="str">
        <f>IFERROR(__xludf.DUMMYFUNCTION("IF(OR(DD12&gt;$BS12+$BT12*$BT$2,DD12&lt;$BS12-$BT12*$BT$2),AVEDEV(ARRAYFORMULA(XLOOKUP(FILTER(INDIRECT(""'""&amp;DD$1&amp;""'!$C$4:$C$66""),INDIRECT(""'""&amp;DD$1&amp;""'!$D$4:$D$66"")=DD$2),$G$3:$BQ$3,$G12:$BQ12))),"""")"),"")</f>
        <v/>
      </c>
      <c r="DF12" s="251">
        <f>IFERROR(__xludf.DUMMYFUNCTION("AVERAGE(ARRAYFORMULA(XLOOKUP(FILTER(INDIRECT(""'""&amp;DF$1&amp;""'!$C$4:$C$66""),INDIRECT(""'""&amp;DF$1&amp;""'!$D$4:$D$66"")=DF$2),$G$3:$BQ$3,$G12:$BQ12)))"),0.11619856)</f>
        <v>0.11619856</v>
      </c>
      <c r="DG12" s="207" t="str">
        <f>IFERROR(__xludf.DUMMYFUNCTION("IF(OR(DF12&gt;$BS12+$BT12*$BT$2,DF12&lt;$BS12-$BT12*$BT$2),AVEDEV(ARRAYFORMULA(XLOOKUP(FILTER(INDIRECT(""'""&amp;DF$1&amp;""'!$C$4:$C$66""),INDIRECT(""'""&amp;DF$1&amp;""'!$D$4:$D$66"")=DF$2),$G$3:$BQ$3,$G12:$BQ12))),"""")"),"")</f>
        <v/>
      </c>
      <c r="DH12" s="251">
        <f>IFERROR(__xludf.DUMMYFUNCTION("AVERAGE(ARRAYFORMULA(XLOOKUP(FILTER(INDIRECT(""'""&amp;DH$1&amp;""'!$C$4:$C$66""),INDIRECT(""'""&amp;DH$1&amp;""'!$D$4:$D$66"")=DH$2),$G$3:$BQ$3,$G12:$BQ12)))"),0.8489631077777777)</f>
        <v>0.8489631078</v>
      </c>
      <c r="DI12" s="207" t="str">
        <f>IFERROR(__xludf.DUMMYFUNCTION("IF(OR(DH12&gt;$BS12+$BT12*$BT$2,DH12&lt;$BS12-$BT12*$BT$2),AVEDEV(ARRAYFORMULA(XLOOKUP(FILTER(INDIRECT(""'""&amp;DH$1&amp;""'!$C$4:$C$66""),INDIRECT(""'""&amp;DH$1&amp;""'!$D$4:$D$66"")=DH$2),$G$3:$BQ$3,$G12:$BQ12))),"""")"),"")</f>
        <v/>
      </c>
      <c r="DJ12" s="243"/>
    </row>
    <row r="13">
      <c r="A13" s="2"/>
      <c r="B13" s="204">
        <v>9.0</v>
      </c>
      <c r="C13" s="204" t="s">
        <v>442</v>
      </c>
      <c r="D13" s="204" t="s">
        <v>452</v>
      </c>
      <c r="E13" s="205" t="b">
        <f>VLOOKUP(D13,'Feature Set List'!A10:C246,2,0)</f>
        <v>1</v>
      </c>
      <c r="F13" s="205" t="b">
        <f>VLOOKUP(D13,'Feature Set List'!A10:C246,3,0)</f>
        <v>1</v>
      </c>
      <c r="G13" s="205">
        <v>0.0</v>
      </c>
      <c r="H13" s="205">
        <v>0.66666667</v>
      </c>
      <c r="I13" s="205">
        <v>0.0</v>
      </c>
      <c r="J13" s="205">
        <v>-1.0</v>
      </c>
      <c r="K13" s="205">
        <v>0.66666667</v>
      </c>
      <c r="L13" s="205">
        <v>0.33333333</v>
      </c>
      <c r="M13" s="205">
        <v>-0.6666667</v>
      </c>
      <c r="N13" s="205">
        <v>-0.6666667</v>
      </c>
      <c r="O13" s="205">
        <v>-0.6666667</v>
      </c>
      <c r="P13" s="205">
        <v>0.33333333</v>
      </c>
      <c r="Q13" s="205">
        <v>0.0</v>
      </c>
      <c r="R13" s="205">
        <v>-1.0</v>
      </c>
      <c r="S13" s="205">
        <v>0.0</v>
      </c>
      <c r="T13" s="205">
        <v>0.0</v>
      </c>
      <c r="U13" s="205">
        <v>0.0</v>
      </c>
      <c r="V13" s="205">
        <v>-0.6666667</v>
      </c>
      <c r="W13" s="205">
        <v>-1.0</v>
      </c>
      <c r="X13" s="205">
        <v>-0.6666667</v>
      </c>
      <c r="Y13" s="205">
        <v>-1.0</v>
      </c>
      <c r="Z13" s="205">
        <v>-0.6666667</v>
      </c>
      <c r="AA13" s="205">
        <v>0.0</v>
      </c>
      <c r="AB13" s="205">
        <v>-0.6666667</v>
      </c>
      <c r="AC13" s="205">
        <v>-0.3333333</v>
      </c>
      <c r="AD13" s="205">
        <v>0.33333333</v>
      </c>
      <c r="AE13" s="205">
        <v>-0.6666667</v>
      </c>
      <c r="AF13" s="205">
        <v>0.33333333</v>
      </c>
      <c r="AG13" s="205">
        <v>-1.0</v>
      </c>
      <c r="AH13" s="205">
        <v>-0.3333333</v>
      </c>
      <c r="AI13" s="205">
        <v>0.33333333</v>
      </c>
      <c r="AJ13" s="205">
        <v>0.33333333</v>
      </c>
      <c r="AK13" s="205">
        <v>0.33333333</v>
      </c>
      <c r="AL13" s="205">
        <v>-0.3333333</v>
      </c>
      <c r="AM13" s="205">
        <v>-0.3333333</v>
      </c>
      <c r="AN13" s="205">
        <v>0.0</v>
      </c>
      <c r="AO13" s="205">
        <v>-0.6666667</v>
      </c>
      <c r="AP13" s="205">
        <v>-1.0</v>
      </c>
      <c r="AQ13" s="205">
        <v>0.0</v>
      </c>
      <c r="AR13" s="205">
        <v>0.66666667</v>
      </c>
      <c r="AS13" s="205">
        <v>-0.3333333</v>
      </c>
      <c r="AT13" s="205">
        <v>0.66666667</v>
      </c>
      <c r="AU13" s="205">
        <v>-0.3333333</v>
      </c>
      <c r="AV13" s="205">
        <v>-0.3333333</v>
      </c>
      <c r="AW13" s="205">
        <v>0.66666667</v>
      </c>
      <c r="AX13" s="205">
        <v>0.33333333</v>
      </c>
      <c r="AY13" s="205">
        <v>-0.6666667</v>
      </c>
      <c r="AZ13" s="205">
        <v>-0.6666667</v>
      </c>
      <c r="BA13" s="205">
        <v>0.33333333</v>
      </c>
      <c r="BB13" s="205">
        <v>0.0</v>
      </c>
      <c r="BC13" s="205">
        <v>0.0</v>
      </c>
      <c r="BD13" s="205">
        <v>-0.6666667</v>
      </c>
      <c r="BE13" s="205">
        <v>-1.3333333</v>
      </c>
      <c r="BF13" s="205">
        <v>0.0</v>
      </c>
      <c r="BG13" s="205">
        <v>-0.3333333</v>
      </c>
      <c r="BH13" s="205">
        <v>0.33333333</v>
      </c>
      <c r="BI13" s="205">
        <v>0.33333333</v>
      </c>
      <c r="BJ13" s="205">
        <v>0.0</v>
      </c>
      <c r="BK13" s="205">
        <v>0.0</v>
      </c>
      <c r="BL13" s="205">
        <v>-1.3333333</v>
      </c>
      <c r="BM13" s="205">
        <v>0.33333333</v>
      </c>
      <c r="BN13" s="205">
        <v>0.33333333</v>
      </c>
      <c r="BO13" s="205">
        <v>0.0</v>
      </c>
      <c r="BP13" s="205">
        <v>0.33333333</v>
      </c>
      <c r="BQ13" s="205">
        <v>0.33333333</v>
      </c>
      <c r="BR13" s="206"/>
      <c r="BS13" s="250">
        <f t="shared" si="1"/>
        <v>-0.1746031762</v>
      </c>
      <c r="BT13" s="250">
        <f t="shared" si="2"/>
        <v>0.4585537926</v>
      </c>
      <c r="BU13" s="206"/>
      <c r="BV13" s="207">
        <f>IFERROR(__xludf.DUMMYFUNCTION("AVERAGE(ARRAYFORMULA(XLOOKUP(FILTER(INDIRECT(""'""&amp;BV$1&amp;""'!$C$4:$C$66""),INDIRECT(""'""&amp;BV$1&amp;""'!$D$4:$D$66"")=BV$2),$G$3:$BQ$3,$G13:$BQ13)))"),-0.6666666714285715)</f>
        <v>-0.6666666714</v>
      </c>
      <c r="BW13" s="207">
        <f>IFERROR(__xludf.DUMMYFUNCTION("IF(OR(BV13&gt;$BS13+$BT13*$BT$2,BV13&lt;$BS13-$BT13*$BT$2),AVEDEV(ARRAYFORMULA(XLOOKUP(FILTER(INDIRECT(""'""&amp;BV$1&amp;""'!$C$4:$C$66""),INDIRECT(""'""&amp;BV$1&amp;""'!$D$4:$D$66"")=BV$2),$G$3:$BQ$3,$G13:$BQ13))),"""")"),0.3809523836734693)</f>
        <v>0.3809523837</v>
      </c>
      <c r="BX13" s="207">
        <f>IFERROR(__xludf.DUMMYFUNCTION("AVERAGE(ARRAYFORMULA(XLOOKUP(FILTER(INDIRECT(""'""&amp;BX$1&amp;""'!$C$4:$C$66""),INDIRECT(""'""&amp;BX$1&amp;""'!$D$4:$D$66"")=BX$2),$G$3:$BQ$3,$G13:$BQ13)))"),-0.0873015869047619)</f>
        <v>-0.0873015869</v>
      </c>
      <c r="BY13" s="207" t="str">
        <f>IFERROR(__xludf.DUMMYFUNCTION("IF(OR(BX13&gt;$BS13+$BT13*$BT$2,BX13&lt;$BS13-$BT13*$BT$2),AVEDEV(ARRAYFORMULA(XLOOKUP(FILTER(INDIRECT(""'""&amp;BX$1&amp;""'!$C$4:$C$66""),INDIRECT(""'""&amp;BX$1&amp;""'!$D$4:$D$66"")=BX$2),$G$3:$BQ$3,$G13:$BQ13))),"""")"),"")</f>
        <v/>
      </c>
      <c r="BZ13" s="207">
        <f>IFERROR(__xludf.DUMMYFUNCTION("AVERAGE(ARRAYFORMULA(XLOOKUP(FILTER(INDIRECT(""'""&amp;BZ$1&amp;""'!$C$4:$C$66""),INDIRECT(""'""&amp;BZ$1&amp;""'!$D$4:$D$66"")=BZ$2),$G$3:$BQ$3,$G13:$BQ13)))"),-0.1515151590909091)</f>
        <v>-0.1515151591</v>
      </c>
      <c r="CA13" s="207" t="str">
        <f>IFERROR(__xludf.DUMMYFUNCTION("IF(OR(BZ13&gt;$BS13+$BT13*$BT$2,BZ13&lt;$BS13-$BT13*$BT$2),AVEDEV(ARRAYFORMULA(XLOOKUP(FILTER(INDIRECT(""'""&amp;BZ$1&amp;""'!$C$4:$C$66""),INDIRECT(""'""&amp;BZ$1&amp;""'!$D$4:$D$66"")=BZ$2),$G$3:$BQ$3,$G13:$BQ13))),"""")"),"")</f>
        <v/>
      </c>
      <c r="CB13" s="209"/>
      <c r="CC13" s="207">
        <f>IFERROR(__xludf.DUMMYFUNCTION("AVERAGE(ARRAYFORMULA(XLOOKUP(FILTER(INDIRECT(""'""&amp;CC$1&amp;""'!$C$4:$C$66""),INDIRECT(""'""&amp;CC$1&amp;""'!$D$4:$D$66"")=CC$2),$G$3:$BQ$3,$G13:$BQ13)))"),-0.10416667249999999)</f>
        <v>-0.1041666725</v>
      </c>
      <c r="CD13" s="207" t="str">
        <f>IFERROR(__xludf.DUMMYFUNCTION("IF(OR(CC13&gt;$BS13+$BT13*$BT$2,CC13&lt;$BS13-$BT13*$BT$2),AVEDEV(ARRAYFORMULA(XLOOKUP(FILTER(INDIRECT(""'""&amp;CC$1&amp;""'!$C$4:$C$66""),INDIRECT(""'""&amp;CC$1&amp;""'!$D$4:$D$66"")=CC$2),$G$3:$BQ$3,$G13:$BQ13))),"""")"),"")</f>
        <v/>
      </c>
      <c r="CE13" s="207">
        <f>IFERROR(__xludf.DUMMYFUNCTION("AVERAGE(ARRAYFORMULA(XLOOKUP(FILTER(INDIRECT(""'""&amp;CE$1&amp;""'!$C$4:$C$66""),INDIRECT(""'""&amp;CE$1&amp;""'!$D$4:$D$66"")=CE$2),$G$3:$BQ$3,$G13:$BQ13)))"),-0.22580645258064513)</f>
        <v>-0.2258064526</v>
      </c>
      <c r="CF13" s="207" t="str">
        <f>IFERROR(__xludf.DUMMYFUNCTION("IF(OR(CE13&gt;$BS13+$BT13*$BT$2,CE13&lt;$BS13-$BT13*$BT$2),AVEDEV(ARRAYFORMULA(XLOOKUP(FILTER(INDIRECT(""'""&amp;CE$1&amp;""'!$C$4:$C$66""),INDIRECT(""'""&amp;CE$1&amp;""'!$D$4:$D$66"")=CE$2),$G$3:$BQ$3,$G13:$BQ13))),"""")"),"")</f>
        <v/>
      </c>
      <c r="CG13" s="207">
        <f>IFERROR(__xludf.DUMMYFUNCTION("AVERAGE(ARRAYFORMULA(XLOOKUP(FILTER(INDIRECT(""'""&amp;CG$1&amp;""'!$C$4:$C$66""),INDIRECT(""'""&amp;CG$1&amp;""'!$D$4:$D$66"")=CG$2),$G$3:$BQ$3,$G13:$BQ13)))"),1.199999999368373E-8)</f>
        <v>0.00000001199999999</v>
      </c>
      <c r="CH13" s="207" t="str">
        <f>IFERROR(__xludf.DUMMYFUNCTION("IF(OR(CG13&gt;$BS13+$BT13*$BT$2,CG13&lt;$BS13-$BT13*$BT$2),AVEDEV(ARRAYFORMULA(XLOOKUP(FILTER(INDIRECT(""'""&amp;CG$1&amp;""'!$C$4:$C$66""),INDIRECT(""'""&amp;CG$1&amp;""'!$D$4:$D$66"")=CG$2),$G$3:$BQ$3,$G13:$BQ13))),"""")"),"")</f>
        <v/>
      </c>
      <c r="CI13" s="206"/>
      <c r="CJ13" s="251">
        <f>IFERROR(__xludf.DUMMYFUNCTION("AVERAGE(ARRAYFORMULA(XLOOKUP(FILTER(INDIRECT(""'""&amp;CJ$1&amp;""'!$C$4:$C$66""),INDIRECT(""'""&amp;CJ$1&amp;""'!$D$4:$D$66"")=CJ$2),$G$3:$BQ$3,$G13:$BQ13)))"),-0.3111111133333333)</f>
        <v>-0.3111111133</v>
      </c>
      <c r="CK13" s="207" t="str">
        <f>IFERROR(__xludf.DUMMYFUNCTION("IF(OR(CJ13&gt;$BS13+$BT13*$BT$2,CJ13&lt;$BS13-$BT13*$BT$2),AVEDEV(ARRAYFORMULA(XLOOKUP(FILTER(INDIRECT(""'""&amp;CJ$1&amp;""'!$C$4:$C$66""),INDIRECT(""'""&amp;CJ$1&amp;""'!$D$4:$D$66"")=CJ$2),$G$3:$BQ$3,$G13:$BQ13))),"""")"),"")</f>
        <v/>
      </c>
      <c r="CL13" s="251">
        <f>IFERROR(__xludf.DUMMYFUNCTION("AVERAGE(ARRAYFORMULA(XLOOKUP(FILTER(INDIRECT(""'""&amp;CL$1&amp;""'!$C$4:$C$66""),INDIRECT(""'""&amp;CL$1&amp;""'!$D$4:$D$66"")=CL$2),$G$3:$BQ$3,$G13:$BQ13)))"),-0.1025641066666666)</f>
        <v>-0.1025641067</v>
      </c>
      <c r="CM13" s="207" t="str">
        <f>IFERROR(__xludf.DUMMYFUNCTION("IF(OR(CL13&gt;$BS13+$BT13*$BT$2,CL13&lt;$BS13-$BT13*$BT$2),AVEDEV(ARRAYFORMULA(XLOOKUP(FILTER(INDIRECT(""'""&amp;CL$1&amp;""'!$C$4:$C$66""),INDIRECT(""'""&amp;CL$1&amp;""'!$D$4:$D$66"")=CL$2),$G$3:$BQ$3,$G13:$BQ13))),"""")"),"")</f>
        <v/>
      </c>
      <c r="CN13" s="251">
        <f>IFERROR(__xludf.DUMMYFUNCTION("AVERAGE(ARRAYFORMULA(XLOOKUP(FILTER(INDIRECT(""'""&amp;CN$1&amp;""'!$C$4:$C$66""),INDIRECT(""'""&amp;CN$1&amp;""'!$D$4:$D$66"")=CN$2),$G$3:$BQ$3,$G13:$BQ13)))"),1.199999999368373E-8)</f>
        <v>0.00000001199999999</v>
      </c>
      <c r="CO13" s="207" t="str">
        <f>IFERROR(__xludf.DUMMYFUNCTION("IF(OR(CN13&gt;$BS13+$BT13*$BT$2,CN13&lt;$BS13-$BT13*$BT$2),AVEDEV(ARRAYFORMULA(XLOOKUP(FILTER(INDIRECT(""'""&amp;CN$1&amp;""'!$C$4:$C$66""),INDIRECT(""'""&amp;CN$1&amp;""'!$D$4:$D$66"")=CN$2),$G$3:$BQ$3,$G13:$BQ13))),"""")"),"")</f>
        <v/>
      </c>
      <c r="CP13" s="252"/>
      <c r="CQ13" s="251">
        <f>IFERROR(__xludf.DUMMYFUNCTION("AVERAGE(ARRAYFORMULA(XLOOKUP(FILTER(INDIRECT(""'""&amp;CQ$1&amp;""'!$C$4:$C$66""),INDIRECT(""'""&amp;CQ$1&amp;""'!$D$4:$D$66"")=CQ$2),$G$3:$BQ$3,$G13:$BQ13)))"),-0.23809524285714284)</f>
        <v>-0.2380952429</v>
      </c>
      <c r="CR13" s="207" t="str">
        <f>IFERROR(__xludf.DUMMYFUNCTION("IF(OR(CQ13&gt;$BS13+$BT13*$BT$2,CQ13&lt;$BS13-$BT13*$BT$2),AVEDEV(ARRAYFORMULA(XLOOKUP(FILTER(INDIRECT(""'""&amp;CQ$1&amp;""'!$C$4:$C$66""),INDIRECT(""'""&amp;CQ$1&amp;""'!$D$4:$D$66"")=CQ$2),$G$3:$BQ$3,$G13:$BQ13))),"""")"),"")</f>
        <v/>
      </c>
      <c r="CS13" s="251">
        <f>IFERROR(__xludf.DUMMYFUNCTION("AVERAGE(ARRAYFORMULA(XLOOKUP(FILTER(INDIRECT(""'""&amp;CS$1&amp;""'!$C$4:$C$66""),INDIRECT(""'""&amp;CS$1&amp;""'!$D$4:$D$66"")=CS$2),$G$3:$BQ$3,$G13:$BQ13)))"),-0.14814815333333334)</f>
        <v>-0.1481481533</v>
      </c>
      <c r="CT13" s="207" t="str">
        <f>IFERROR(__xludf.DUMMYFUNCTION("IF(OR(CS13&gt;$BS13+$BT13*$BT$2,CS13&lt;$BS13-$BT13*$BT$2),AVEDEV(ARRAYFORMULA(XLOOKUP(FILTER(INDIRECT(""'""&amp;CS$1&amp;""'!$C$4:$C$66""),INDIRECT(""'""&amp;CS$1&amp;""'!$D$4:$D$66"")=CS$2),$G$3:$BQ$3,$G13:$BQ13))),"""")"),"")</f>
        <v/>
      </c>
      <c r="CU13" s="251">
        <f>IFERROR(__xludf.DUMMYFUNCTION("AVERAGE(ARRAYFORMULA(XLOOKUP(FILTER(INDIRECT(""'""&amp;CU$1&amp;""'!$C$4:$C$66""),INDIRECT(""'""&amp;CU$1&amp;""'!$D$4:$D$66"")=CU$2),$G$3:$BQ$3,$G13:$BQ13)))"),-0.21212120272727272)</f>
        <v>-0.2121212027</v>
      </c>
      <c r="CV13" s="207" t="str">
        <f>IFERROR(__xludf.DUMMYFUNCTION("IF(OR(CU13&gt;$BS13+$BT13*$BT$2,CU13&lt;$BS13-$BT13*$BT$2),AVEDEV(ARRAYFORMULA(XLOOKUP(FILTER(INDIRECT(""'""&amp;CU$1&amp;""'!$C$4:$C$66""),INDIRECT(""'""&amp;CU$1&amp;""'!$D$4:$D$66"")=CU$2),$G$3:$BQ$3,$G13:$BQ13))),"""")"),"")</f>
        <v/>
      </c>
      <c r="CW13" s="251">
        <f>IFERROR(__xludf.DUMMYFUNCTION("AVERAGE(ARRAYFORMULA(XLOOKUP(FILTER(INDIRECT(""'""&amp;CW$1&amp;""'!$C$4:$C$66""),INDIRECT(""'""&amp;CW$1&amp;""'!$D$4:$D$66"")=CW$2),$G$3:$BQ$3,$G13:$BQ13)))"),0.33333333)</f>
        <v>0.33333333</v>
      </c>
      <c r="CX13" s="207">
        <f>IFERROR(__xludf.DUMMYFUNCTION("IF(OR(CW13&gt;$BS13+$BT13*$BT$2,CW13&lt;$BS13-$BT13*$BT$2),AVEDEV(ARRAYFORMULA(XLOOKUP(FILTER(INDIRECT(""'""&amp;CW$1&amp;""'!$C$4:$C$66""),INDIRECT(""'""&amp;CW$1&amp;""'!$D$4:$D$66"")=CW$2),$G$3:$BQ$3,$G13:$BQ13))),"""")"),0.0)</f>
        <v>0</v>
      </c>
      <c r="CY13" s="251">
        <f>IFERROR(__xludf.DUMMYFUNCTION("AVERAGE(ARRAYFORMULA(XLOOKUP(FILTER(INDIRECT(""'""&amp;CY$1&amp;""'!$C$4:$C$66""),INDIRECT(""'""&amp;CY$1&amp;""'!$D$4:$D$66"")=CY$2),$G$3:$BQ$3,$G13:$BQ13)))"),0.02380951785714286)</f>
        <v>0.02380951786</v>
      </c>
      <c r="CZ13" s="207" t="str">
        <f>IFERROR(__xludf.DUMMYFUNCTION("IF(OR(CY13&gt;$BS13+$BT13*$BT$2,CY13&lt;$BS13-$BT13*$BT$2),AVEDEV(ARRAYFORMULA(XLOOKUP(FILTER(INDIRECT(""'""&amp;CY$1&amp;""'!$C$4:$C$66""),INDIRECT(""'""&amp;CY$1&amp;""'!$D$4:$D$66"")=CY$2),$G$3:$BQ$3,$G13:$BQ13))),"""")"),"")</f>
        <v/>
      </c>
      <c r="DA13" s="252"/>
      <c r="DB13" s="251">
        <f>IFERROR(__xludf.DUMMYFUNCTION("AVERAGE(ARRAYFORMULA(XLOOKUP(FILTER(INDIRECT(""'""&amp;DB$1&amp;""'!$C$4:$C$66""),INDIRECT(""'""&amp;DB$1&amp;""'!$D$4:$D$66"")=DB$2),$G$3:$BQ$3,$G13:$BQ13)))"),-0.16666666699999996)</f>
        <v>-0.166666667</v>
      </c>
      <c r="DC13" s="207" t="str">
        <f>IFERROR(__xludf.DUMMYFUNCTION("IF(OR(DB13&gt;$BS13+$BT13*$BT$2,DB13&lt;$BS13-$BT13*$BT$2),AVEDEV(ARRAYFORMULA(XLOOKUP(FILTER(INDIRECT(""'""&amp;DB$1&amp;""'!$C$4:$C$66""),INDIRECT(""'""&amp;DB$1&amp;""'!$D$4:$D$66"")=DB$2),$G$3:$BQ$3,$G13:$BQ13))),"""")"),"")</f>
        <v/>
      </c>
      <c r="DD13" s="251">
        <f>IFERROR(__xludf.DUMMYFUNCTION("AVERAGE(ARRAYFORMULA(XLOOKUP(FILTER(INDIRECT(""'""&amp;DD$1&amp;""'!$C$4:$C$66""),INDIRECT(""'""&amp;DD$1&amp;""'!$D$4:$D$66"")=DD$2),$G$3:$BQ$3,$G13:$BQ13)))"),-0.07407407555555556)</f>
        <v>-0.07407407556</v>
      </c>
      <c r="DE13" s="207" t="str">
        <f>IFERROR(__xludf.DUMMYFUNCTION("IF(OR(DD13&gt;$BS13+$BT13*$BT$2,DD13&lt;$BS13-$BT13*$BT$2),AVEDEV(ARRAYFORMULA(XLOOKUP(FILTER(INDIRECT(""'""&amp;DD$1&amp;""'!$C$4:$C$66""),INDIRECT(""'""&amp;DD$1&amp;""'!$D$4:$D$66"")=DD$2),$G$3:$BQ$3,$G13:$BQ13))),"""")"),"")</f>
        <v/>
      </c>
      <c r="DF13" s="251">
        <f>IFERROR(__xludf.DUMMYFUNCTION("AVERAGE(ARRAYFORMULA(XLOOKUP(FILTER(INDIRECT(""'""&amp;DF$1&amp;""'!$C$4:$C$66""),INDIRECT(""'""&amp;DF$1&amp;""'!$D$4:$D$66"")=DF$2),$G$3:$BQ$3,$G13:$BQ13)))"),-0.33333334625)</f>
        <v>-0.3333333463</v>
      </c>
      <c r="DG13" s="207" t="str">
        <f>IFERROR(__xludf.DUMMYFUNCTION("IF(OR(DF13&gt;$BS13+$BT13*$BT$2,DF13&lt;$BS13-$BT13*$BT$2),AVEDEV(ARRAYFORMULA(XLOOKUP(FILTER(INDIRECT(""'""&amp;DF$1&amp;""'!$C$4:$C$66""),INDIRECT(""'""&amp;DF$1&amp;""'!$D$4:$D$66"")=DF$2),$G$3:$BQ$3,$G13:$BQ13))),"""")"),"")</f>
        <v/>
      </c>
      <c r="DH13" s="251">
        <f>IFERROR(__xludf.DUMMYFUNCTION("AVERAGE(ARRAYFORMULA(XLOOKUP(FILTER(INDIRECT(""'""&amp;DH$1&amp;""'!$C$4:$C$66""),INDIRECT(""'""&amp;DH$1&amp;""'!$D$4:$D$66"")=DH$2),$G$3:$BQ$3,$G13:$BQ13)))"),0.03703704333333333)</f>
        <v>0.03703704333</v>
      </c>
      <c r="DI13" s="207" t="str">
        <f>IFERROR(__xludf.DUMMYFUNCTION("IF(OR(DH13&gt;$BS13+$BT13*$BT$2,DH13&lt;$BS13-$BT13*$BT$2),AVEDEV(ARRAYFORMULA(XLOOKUP(FILTER(INDIRECT(""'""&amp;DH$1&amp;""'!$C$4:$C$66""),INDIRECT(""'""&amp;DH$1&amp;""'!$D$4:$D$66"")=DH$2),$G$3:$BQ$3,$G13:$BQ13))),"""")"),"")</f>
        <v/>
      </c>
      <c r="DJ13" s="243"/>
    </row>
    <row r="14">
      <c r="A14" s="2"/>
      <c r="B14" s="204">
        <v>10.0</v>
      </c>
      <c r="C14" s="204" t="s">
        <v>442</v>
      </c>
      <c r="D14" s="204" t="s">
        <v>453</v>
      </c>
      <c r="E14" s="205" t="b">
        <f>VLOOKUP(D14,'Feature Set List'!A11:C246,2,0)</f>
        <v>1</v>
      </c>
      <c r="F14" s="205" t="b">
        <f>VLOOKUP(D14,'Feature Set List'!A11:C246,3,0)</f>
        <v>1</v>
      </c>
      <c r="G14" s="205">
        <v>0.0</v>
      </c>
      <c r="H14" s="205">
        <v>1.0</v>
      </c>
      <c r="I14" s="205">
        <v>0.0</v>
      </c>
      <c r="J14" s="205">
        <v>1.0</v>
      </c>
      <c r="K14" s="205">
        <v>1.0</v>
      </c>
      <c r="L14" s="205">
        <v>0.0</v>
      </c>
      <c r="M14" s="205">
        <v>0.0</v>
      </c>
      <c r="N14" s="205">
        <v>0.0</v>
      </c>
      <c r="O14" s="205">
        <v>-1.0</v>
      </c>
      <c r="P14" s="205">
        <v>0.0</v>
      </c>
      <c r="Q14" s="205">
        <v>-1.0</v>
      </c>
      <c r="R14" s="205">
        <v>0.0</v>
      </c>
      <c r="S14" s="205">
        <v>0.0</v>
      </c>
      <c r="T14" s="205">
        <v>0.0</v>
      </c>
      <c r="U14" s="205">
        <v>-1.0</v>
      </c>
      <c r="V14" s="205">
        <v>0.0</v>
      </c>
      <c r="W14" s="205">
        <v>0.0</v>
      </c>
      <c r="X14" s="205">
        <v>-1.0</v>
      </c>
      <c r="Y14" s="205">
        <v>1.0</v>
      </c>
      <c r="Z14" s="205">
        <v>0.0</v>
      </c>
      <c r="AA14" s="205">
        <v>1.0</v>
      </c>
      <c r="AB14" s="205">
        <v>-1.0</v>
      </c>
      <c r="AC14" s="205">
        <v>1.0</v>
      </c>
      <c r="AD14" s="205">
        <v>0.0</v>
      </c>
      <c r="AE14" s="205">
        <v>0.0</v>
      </c>
      <c r="AF14" s="205">
        <v>0.0</v>
      </c>
      <c r="AG14" s="205">
        <v>1.0</v>
      </c>
      <c r="AH14" s="205">
        <v>1.0</v>
      </c>
      <c r="AI14" s="205">
        <v>0.0</v>
      </c>
      <c r="AJ14" s="205">
        <v>0.0</v>
      </c>
      <c r="AK14" s="205">
        <v>0.0</v>
      </c>
      <c r="AL14" s="205">
        <v>1.0</v>
      </c>
      <c r="AM14" s="205">
        <v>1.0</v>
      </c>
      <c r="AN14" s="205">
        <v>0.0</v>
      </c>
      <c r="AO14" s="205">
        <v>0.0</v>
      </c>
      <c r="AP14" s="205">
        <v>0.0</v>
      </c>
      <c r="AQ14" s="205">
        <v>-1.0</v>
      </c>
      <c r="AR14" s="205">
        <v>0.0</v>
      </c>
      <c r="AS14" s="205">
        <v>0.0</v>
      </c>
      <c r="AT14" s="205">
        <v>1.0</v>
      </c>
      <c r="AU14" s="205">
        <v>-1.0</v>
      </c>
      <c r="AV14" s="205">
        <v>-1.0</v>
      </c>
      <c r="AW14" s="205">
        <v>0.0</v>
      </c>
      <c r="AX14" s="205">
        <v>-1.0</v>
      </c>
      <c r="AY14" s="205">
        <v>1.0</v>
      </c>
      <c r="AZ14" s="205">
        <v>-1.0</v>
      </c>
      <c r="BA14" s="205">
        <v>0.0</v>
      </c>
      <c r="BB14" s="205">
        <v>0.0</v>
      </c>
      <c r="BC14" s="205">
        <v>0.0</v>
      </c>
      <c r="BD14" s="205">
        <v>1.0</v>
      </c>
      <c r="BE14" s="205">
        <v>-1.0</v>
      </c>
      <c r="BF14" s="205">
        <v>1.0</v>
      </c>
      <c r="BG14" s="205">
        <v>0.0</v>
      </c>
      <c r="BH14" s="205">
        <v>0.0</v>
      </c>
      <c r="BI14" s="205">
        <v>0.0</v>
      </c>
      <c r="BJ14" s="205">
        <v>1.0</v>
      </c>
      <c r="BK14" s="205">
        <v>-1.0</v>
      </c>
      <c r="BL14" s="205">
        <v>1.0</v>
      </c>
      <c r="BM14" s="205">
        <v>0.0</v>
      </c>
      <c r="BN14" s="205">
        <v>1.0</v>
      </c>
      <c r="BO14" s="205">
        <v>0.0</v>
      </c>
      <c r="BP14" s="205">
        <v>0.0</v>
      </c>
      <c r="BQ14" s="205">
        <v>0.0</v>
      </c>
      <c r="BR14" s="206"/>
      <c r="BS14" s="250">
        <f t="shared" si="1"/>
        <v>0.07936507937</v>
      </c>
      <c r="BT14" s="250">
        <f t="shared" si="2"/>
        <v>0.4968505921</v>
      </c>
      <c r="BU14" s="206"/>
      <c r="BV14" s="207">
        <f>IFERROR(__xludf.DUMMYFUNCTION("AVERAGE(ARRAYFORMULA(XLOOKUP(FILTER(INDIRECT(""'""&amp;BV$1&amp;""'!$C$4:$C$66""),INDIRECT(""'""&amp;BV$1&amp;""'!$D$4:$D$66"")=BV$2),$G$3:$BQ$3,$G14:$BQ14)))"),-0.14285714285714285)</f>
        <v>-0.1428571429</v>
      </c>
      <c r="BW14" s="207" t="str">
        <f>IFERROR(__xludf.DUMMYFUNCTION("IF(OR(BV14&gt;$BS14+$BT14*$BT$2,BV14&lt;$BS14-$BT14*$BT$2),AVEDEV(ARRAYFORMULA(XLOOKUP(FILTER(INDIRECT(""'""&amp;BV$1&amp;""'!$C$4:$C$66""),INDIRECT(""'""&amp;BV$1&amp;""'!$D$4:$D$66"")=BV$2),$G$3:$BQ$3,$G14:$BQ14))),"""")"),"")</f>
        <v/>
      </c>
      <c r="BX14" s="207">
        <f>IFERROR(__xludf.DUMMYFUNCTION("AVERAGE(ARRAYFORMULA(XLOOKUP(FILTER(INDIRECT(""'""&amp;BX$1&amp;""'!$C$4:$C$66""),INDIRECT(""'""&amp;BX$1&amp;""'!$D$4:$D$66"")=BX$2),$G$3:$BQ$3,$G14:$BQ14)))"),0.14285714285714285)</f>
        <v>0.1428571429</v>
      </c>
      <c r="BY14" s="207" t="str">
        <f>IFERROR(__xludf.DUMMYFUNCTION("IF(OR(BX14&gt;$BS14+$BT14*$BT$2,BX14&lt;$BS14-$BT14*$BT$2),AVEDEV(ARRAYFORMULA(XLOOKUP(FILTER(INDIRECT(""'""&amp;BX$1&amp;""'!$C$4:$C$66""),INDIRECT(""'""&amp;BX$1&amp;""'!$D$4:$D$66"")=BX$2),$G$3:$BQ$3,$G14:$BQ14))),"""")"),"")</f>
        <v/>
      </c>
      <c r="BZ14" s="207">
        <f>IFERROR(__xludf.DUMMYFUNCTION("AVERAGE(ARRAYFORMULA(XLOOKUP(FILTER(INDIRECT(""'""&amp;BZ$1&amp;""'!$C$4:$C$66""),INDIRECT(""'""&amp;BZ$1&amp;""'!$D$4:$D$66"")=BZ$2),$G$3:$BQ$3,$G14:$BQ14)))"),0.0)</f>
        <v>0</v>
      </c>
      <c r="CA14" s="207" t="str">
        <f>IFERROR(__xludf.DUMMYFUNCTION("IF(OR(BZ14&gt;$BS14+$BT14*$BT$2,BZ14&lt;$BS14-$BT14*$BT$2),AVEDEV(ARRAYFORMULA(XLOOKUP(FILTER(INDIRECT(""'""&amp;BZ$1&amp;""'!$C$4:$C$66""),INDIRECT(""'""&amp;BZ$1&amp;""'!$D$4:$D$66"")=BZ$2),$G$3:$BQ$3,$G14:$BQ14))),"""")"),"")</f>
        <v/>
      </c>
      <c r="CB14" s="209"/>
      <c r="CC14" s="207">
        <f>IFERROR(__xludf.DUMMYFUNCTION("AVERAGE(ARRAYFORMULA(XLOOKUP(FILTER(INDIRECT(""'""&amp;CC$1&amp;""'!$C$4:$C$66""),INDIRECT(""'""&amp;CC$1&amp;""'!$D$4:$D$66"")=CC$2),$G$3:$BQ$3,$G14:$BQ14)))"),0.25)</f>
        <v>0.25</v>
      </c>
      <c r="CD14" s="207" t="str">
        <f>IFERROR(__xludf.DUMMYFUNCTION("IF(OR(CC14&gt;$BS14+$BT14*$BT$2,CC14&lt;$BS14-$BT14*$BT$2),AVEDEV(ARRAYFORMULA(XLOOKUP(FILTER(INDIRECT(""'""&amp;CC$1&amp;""'!$C$4:$C$66""),INDIRECT(""'""&amp;CC$1&amp;""'!$D$4:$D$66"")=CC$2),$G$3:$BQ$3,$G14:$BQ14))),"""")"),"")</f>
        <v/>
      </c>
      <c r="CE14" s="207">
        <f>IFERROR(__xludf.DUMMYFUNCTION("AVERAGE(ARRAYFORMULA(XLOOKUP(FILTER(INDIRECT(""'""&amp;CE$1&amp;""'!$C$4:$C$66""),INDIRECT(""'""&amp;CE$1&amp;""'!$D$4:$D$66"")=CE$2),$G$3:$BQ$3,$G14:$BQ14)))"),0.06451612903225806)</f>
        <v>0.06451612903</v>
      </c>
      <c r="CF14" s="207" t="str">
        <f>IFERROR(__xludf.DUMMYFUNCTION("IF(OR(CE14&gt;$BS14+$BT14*$BT$2,CE14&lt;$BS14-$BT14*$BT$2),AVEDEV(ARRAYFORMULA(XLOOKUP(FILTER(INDIRECT(""'""&amp;CE$1&amp;""'!$C$4:$C$66""),INDIRECT(""'""&amp;CE$1&amp;""'!$D$4:$D$66"")=CE$2),$G$3:$BQ$3,$G14:$BQ14))),"""")"),"")</f>
        <v/>
      </c>
      <c r="CG14" s="207">
        <f>IFERROR(__xludf.DUMMYFUNCTION("AVERAGE(ARRAYFORMULA(XLOOKUP(FILTER(INDIRECT(""'""&amp;CG$1&amp;""'!$C$4:$C$66""),INDIRECT(""'""&amp;CG$1&amp;""'!$D$4:$D$66"")=CG$2),$G$3:$BQ$3,$G14:$BQ14)))"),0.0)</f>
        <v>0</v>
      </c>
      <c r="CH14" s="207" t="str">
        <f>IFERROR(__xludf.DUMMYFUNCTION("IF(OR(CG14&gt;$BS14+$BT14*$BT$2,CG14&lt;$BS14-$BT14*$BT$2),AVEDEV(ARRAYFORMULA(XLOOKUP(FILTER(INDIRECT(""'""&amp;CG$1&amp;""'!$C$4:$C$66""),INDIRECT(""'""&amp;CG$1&amp;""'!$D$4:$D$66"")=CG$2),$G$3:$BQ$3,$G14:$BQ14))),"""")"),"")</f>
        <v/>
      </c>
      <c r="CI14" s="206"/>
      <c r="CJ14" s="251">
        <f>IFERROR(__xludf.DUMMYFUNCTION("AVERAGE(ARRAYFORMULA(XLOOKUP(FILTER(INDIRECT(""'""&amp;CJ$1&amp;""'!$C$4:$C$66""),INDIRECT(""'""&amp;CJ$1&amp;""'!$D$4:$D$66"")=CJ$2),$G$3:$BQ$3,$G14:$BQ14)))"),0.06666666666666667)</f>
        <v>0.06666666667</v>
      </c>
      <c r="CK14" s="207" t="str">
        <f>IFERROR(__xludf.DUMMYFUNCTION("IF(OR(CJ14&gt;$BS14+$BT14*$BT$2,CJ14&lt;$BS14-$BT14*$BT$2),AVEDEV(ARRAYFORMULA(XLOOKUP(FILTER(INDIRECT(""'""&amp;CJ$1&amp;""'!$C$4:$C$66""),INDIRECT(""'""&amp;CJ$1&amp;""'!$D$4:$D$66"")=CJ$2),$G$3:$BQ$3,$G14:$BQ14))),"""")"),"")</f>
        <v/>
      </c>
      <c r="CL14" s="251">
        <f>IFERROR(__xludf.DUMMYFUNCTION("AVERAGE(ARRAYFORMULA(XLOOKUP(FILTER(INDIRECT(""'""&amp;CL$1&amp;""'!$C$4:$C$66""),INDIRECT(""'""&amp;CL$1&amp;""'!$D$4:$D$66"")=CL$2),$G$3:$BQ$3,$G14:$BQ14)))"),0.07692307692307693)</f>
        <v>0.07692307692</v>
      </c>
      <c r="CM14" s="207" t="str">
        <f>IFERROR(__xludf.DUMMYFUNCTION("IF(OR(CL14&gt;$BS14+$BT14*$BT$2,CL14&lt;$BS14-$BT14*$BT$2),AVEDEV(ARRAYFORMULA(XLOOKUP(FILTER(INDIRECT(""'""&amp;CL$1&amp;""'!$C$4:$C$66""),INDIRECT(""'""&amp;CL$1&amp;""'!$D$4:$D$66"")=CL$2),$G$3:$BQ$3,$G14:$BQ14))),"""")"),"")</f>
        <v/>
      </c>
      <c r="CN14" s="251">
        <f>IFERROR(__xludf.DUMMYFUNCTION("AVERAGE(ARRAYFORMULA(XLOOKUP(FILTER(INDIRECT(""'""&amp;CN$1&amp;""'!$C$4:$C$66""),INDIRECT(""'""&amp;CN$1&amp;""'!$D$4:$D$66"")=CN$2),$G$3:$BQ$3,$G14:$BQ14)))"),0.0)</f>
        <v>0</v>
      </c>
      <c r="CO14" s="207" t="str">
        <f>IFERROR(__xludf.DUMMYFUNCTION("IF(OR(CN14&gt;$BS14+$BT14*$BT$2,CN14&lt;$BS14-$BT14*$BT$2),AVEDEV(ARRAYFORMULA(XLOOKUP(FILTER(INDIRECT(""'""&amp;CN$1&amp;""'!$C$4:$C$66""),INDIRECT(""'""&amp;CN$1&amp;""'!$D$4:$D$66"")=CN$2),$G$3:$BQ$3,$G14:$BQ14))),"""")"),"")</f>
        <v/>
      </c>
      <c r="CP14" s="252"/>
      <c r="CQ14" s="251">
        <f>IFERROR(__xludf.DUMMYFUNCTION("AVERAGE(ARRAYFORMULA(XLOOKUP(FILTER(INDIRECT(""'""&amp;CQ$1&amp;""'!$C$4:$C$66""),INDIRECT(""'""&amp;CQ$1&amp;""'!$D$4:$D$66"")=CQ$2),$G$3:$BQ$3,$G14:$BQ14)))"),0.21428571428571427)</f>
        <v>0.2142857143</v>
      </c>
      <c r="CR14" s="207" t="str">
        <f>IFERROR(__xludf.DUMMYFUNCTION("IF(OR(CQ14&gt;$BS14+$BT14*$BT$2,CQ14&lt;$BS14-$BT14*$BT$2),AVEDEV(ARRAYFORMULA(XLOOKUP(FILTER(INDIRECT(""'""&amp;CQ$1&amp;""'!$C$4:$C$66""),INDIRECT(""'""&amp;CQ$1&amp;""'!$D$4:$D$66"")=CQ$2),$G$3:$BQ$3,$G14:$BQ14))),"""")"),"")</f>
        <v/>
      </c>
      <c r="CS14" s="251">
        <f>IFERROR(__xludf.DUMMYFUNCTION("AVERAGE(ARRAYFORMULA(XLOOKUP(FILTER(INDIRECT(""'""&amp;CS$1&amp;""'!$C$4:$C$66""),INDIRECT(""'""&amp;CS$1&amp;""'!$D$4:$D$66"")=CS$2),$G$3:$BQ$3,$G14:$BQ14)))"),0.1111111111111111)</f>
        <v>0.1111111111</v>
      </c>
      <c r="CT14" s="207" t="str">
        <f>IFERROR(__xludf.DUMMYFUNCTION("IF(OR(CS14&gt;$BS14+$BT14*$BT$2,CS14&lt;$BS14-$BT14*$BT$2),AVEDEV(ARRAYFORMULA(XLOOKUP(FILTER(INDIRECT(""'""&amp;CS$1&amp;""'!$C$4:$C$66""),INDIRECT(""'""&amp;CS$1&amp;""'!$D$4:$D$66"")=CS$2),$G$3:$BQ$3,$G14:$BQ14))),"""")"),"")</f>
        <v/>
      </c>
      <c r="CU14" s="251">
        <f>IFERROR(__xludf.DUMMYFUNCTION("AVERAGE(ARRAYFORMULA(XLOOKUP(FILTER(INDIRECT(""'""&amp;CU$1&amp;""'!$C$4:$C$66""),INDIRECT(""'""&amp;CU$1&amp;""'!$D$4:$D$66"")=CU$2),$G$3:$BQ$3,$G14:$BQ14)))"),0.18181818181818182)</f>
        <v>0.1818181818</v>
      </c>
      <c r="CV14" s="207" t="str">
        <f>IFERROR(__xludf.DUMMYFUNCTION("IF(OR(CU14&gt;$BS14+$BT14*$BT$2,CU14&lt;$BS14-$BT14*$BT$2),AVEDEV(ARRAYFORMULA(XLOOKUP(FILTER(INDIRECT(""'""&amp;CU$1&amp;""'!$C$4:$C$66""),INDIRECT(""'""&amp;CU$1&amp;""'!$D$4:$D$66"")=CU$2),$G$3:$BQ$3,$G14:$BQ14))),"""")"),"")</f>
        <v/>
      </c>
      <c r="CW14" s="251">
        <f>IFERROR(__xludf.DUMMYFUNCTION("AVERAGE(ARRAYFORMULA(XLOOKUP(FILTER(INDIRECT(""'""&amp;CW$1&amp;""'!$C$4:$C$66""),INDIRECT(""'""&amp;CW$1&amp;""'!$D$4:$D$66"")=CW$2),$G$3:$BQ$3,$G14:$BQ14)))"),0.0)</f>
        <v>0</v>
      </c>
      <c r="CX14" s="207" t="str">
        <f>IFERROR(__xludf.DUMMYFUNCTION("IF(OR(CW14&gt;$BS14+$BT14*$BT$2,CW14&lt;$BS14-$BT14*$BT$2),AVEDEV(ARRAYFORMULA(XLOOKUP(FILTER(INDIRECT(""'""&amp;CW$1&amp;""'!$C$4:$C$66""),INDIRECT(""'""&amp;CW$1&amp;""'!$D$4:$D$66"")=CW$2),$G$3:$BQ$3,$G14:$BQ14))),"""")"),"")</f>
        <v/>
      </c>
      <c r="CY14" s="251">
        <f>IFERROR(__xludf.DUMMYFUNCTION("AVERAGE(ARRAYFORMULA(XLOOKUP(FILTER(INDIRECT(""'""&amp;CY$1&amp;""'!$C$4:$C$66""),INDIRECT(""'""&amp;CY$1&amp;""'!$D$4:$D$66"")=CY$2),$G$3:$BQ$3,$G14:$BQ14)))"),-0.07142857142857142)</f>
        <v>-0.07142857143</v>
      </c>
      <c r="CZ14" s="207" t="str">
        <f>IFERROR(__xludf.DUMMYFUNCTION("IF(OR(CY14&gt;$BS14+$BT14*$BT$2,CY14&lt;$BS14-$BT14*$BT$2),AVEDEV(ARRAYFORMULA(XLOOKUP(FILTER(INDIRECT(""'""&amp;CY$1&amp;""'!$C$4:$C$66""),INDIRECT(""'""&amp;CY$1&amp;""'!$D$4:$D$66"")=CY$2),$G$3:$BQ$3,$G14:$BQ14))),"""")"),"")</f>
        <v/>
      </c>
      <c r="DA14" s="252"/>
      <c r="DB14" s="251">
        <f>IFERROR(__xludf.DUMMYFUNCTION("AVERAGE(ARRAYFORMULA(XLOOKUP(FILTER(INDIRECT(""'""&amp;DB$1&amp;""'!$C$4:$C$66""),INDIRECT(""'""&amp;DB$1&amp;""'!$D$4:$D$66"")=DB$2),$G$3:$BQ$3,$G14:$BQ14)))"),0.13333333333333333)</f>
        <v>0.1333333333</v>
      </c>
      <c r="DC14" s="207" t="str">
        <f>IFERROR(__xludf.DUMMYFUNCTION("IF(OR(DB14&gt;$BS14+$BT14*$BT$2,DB14&lt;$BS14-$BT14*$BT$2),AVEDEV(ARRAYFORMULA(XLOOKUP(FILTER(INDIRECT(""'""&amp;DB$1&amp;""'!$C$4:$C$66""),INDIRECT(""'""&amp;DB$1&amp;""'!$D$4:$D$66"")=DB$2),$G$3:$BQ$3,$G14:$BQ14))),"""")"),"")</f>
        <v/>
      </c>
      <c r="DD14" s="251">
        <f>IFERROR(__xludf.DUMMYFUNCTION("AVERAGE(ARRAYFORMULA(XLOOKUP(FILTER(INDIRECT(""'""&amp;DD$1&amp;""'!$C$4:$C$66""),INDIRECT(""'""&amp;DD$1&amp;""'!$D$4:$D$66"")=DD$2),$G$3:$BQ$3,$G14:$BQ14)))"),-0.1111111111111111)</f>
        <v>-0.1111111111</v>
      </c>
      <c r="DE14" s="207" t="str">
        <f>IFERROR(__xludf.DUMMYFUNCTION("IF(OR(DD14&gt;$BS14+$BT14*$BT$2,DD14&lt;$BS14-$BT14*$BT$2),AVEDEV(ARRAYFORMULA(XLOOKUP(FILTER(INDIRECT(""'""&amp;DD$1&amp;""'!$C$4:$C$66""),INDIRECT(""'""&amp;DD$1&amp;""'!$D$4:$D$66"")=DD$2),$G$3:$BQ$3,$G14:$BQ14))),"""")"),"")</f>
        <v/>
      </c>
      <c r="DF14" s="251">
        <f>IFERROR(__xludf.DUMMYFUNCTION("AVERAGE(ARRAYFORMULA(XLOOKUP(FILTER(INDIRECT(""'""&amp;DF$1&amp;""'!$C$4:$C$66""),INDIRECT(""'""&amp;DF$1&amp;""'!$D$4:$D$66"")=DF$2),$G$3:$BQ$3,$G14:$BQ14)))"),-0.125)</f>
        <v>-0.125</v>
      </c>
      <c r="DG14" s="207" t="str">
        <f>IFERROR(__xludf.DUMMYFUNCTION("IF(OR(DF14&gt;$BS14+$BT14*$BT$2,DF14&lt;$BS14-$BT14*$BT$2),AVEDEV(ARRAYFORMULA(XLOOKUP(FILTER(INDIRECT(""'""&amp;DF$1&amp;""'!$C$4:$C$66""),INDIRECT(""'""&amp;DF$1&amp;""'!$D$4:$D$66"")=DF$2),$G$3:$BQ$3,$G14:$BQ14))),"""")"),"")</f>
        <v/>
      </c>
      <c r="DH14" s="251">
        <f>IFERROR(__xludf.DUMMYFUNCTION("AVERAGE(ARRAYFORMULA(XLOOKUP(FILTER(INDIRECT(""'""&amp;DH$1&amp;""'!$C$4:$C$66""),INDIRECT(""'""&amp;DH$1&amp;""'!$D$4:$D$66"")=DH$2),$G$3:$BQ$3,$G14:$BQ14)))"),0.3333333333333333)</f>
        <v>0.3333333333</v>
      </c>
      <c r="DI14" s="207" t="str">
        <f>IFERROR(__xludf.DUMMYFUNCTION("IF(OR(DH14&gt;$BS14+$BT14*$BT$2,DH14&lt;$BS14-$BT14*$BT$2),AVEDEV(ARRAYFORMULA(XLOOKUP(FILTER(INDIRECT(""'""&amp;DH$1&amp;""'!$C$4:$C$66""),INDIRECT(""'""&amp;DH$1&amp;""'!$D$4:$D$66"")=DH$2),$G$3:$BQ$3,$G14:$BQ14))),"""")"),"")</f>
        <v/>
      </c>
      <c r="DJ14" s="243"/>
    </row>
    <row r="15">
      <c r="A15" s="2"/>
      <c r="B15" s="204">
        <v>11.0</v>
      </c>
      <c r="C15" s="204" t="s">
        <v>442</v>
      </c>
      <c r="D15" s="204" t="s">
        <v>454</v>
      </c>
      <c r="E15" s="205" t="b">
        <f>VLOOKUP(D15,'Feature Set List'!A12:C246,2,0)</f>
        <v>1</v>
      </c>
      <c r="F15" s="205" t="b">
        <f>VLOOKUP(D15,'Feature Set List'!A12:C246,3,0)</f>
        <v>0</v>
      </c>
      <c r="G15" s="205">
        <v>-1.2133028</v>
      </c>
      <c r="H15" s="205">
        <v>0.31651376</v>
      </c>
      <c r="I15" s="205">
        <v>-0.0917431</v>
      </c>
      <c r="J15" s="205">
        <v>0.60779817</v>
      </c>
      <c r="K15" s="205">
        <v>3.58027523</v>
      </c>
      <c r="L15" s="205">
        <v>0.27293578</v>
      </c>
      <c r="M15" s="205">
        <v>-0.2018349</v>
      </c>
      <c r="N15" s="205">
        <v>0.2706422</v>
      </c>
      <c r="O15" s="205">
        <v>-0.2545872</v>
      </c>
      <c r="P15" s="205">
        <v>-0.5665138</v>
      </c>
      <c r="Q15" s="205">
        <v>-0.4013761</v>
      </c>
      <c r="R15" s="205">
        <v>-0.940367</v>
      </c>
      <c r="S15" s="205">
        <v>-0.1376147</v>
      </c>
      <c r="T15" s="205">
        <v>0.08715596</v>
      </c>
      <c r="U15" s="205">
        <v>-1.8807339</v>
      </c>
      <c r="V15" s="205">
        <v>0.18119266</v>
      </c>
      <c r="W15" s="205">
        <v>0.05275229</v>
      </c>
      <c r="X15" s="205">
        <v>-2.8669725</v>
      </c>
      <c r="Y15" s="205">
        <v>0.61009174</v>
      </c>
      <c r="Z15" s="205">
        <v>-0.3256881</v>
      </c>
      <c r="AA15" s="205">
        <v>-0.1146789</v>
      </c>
      <c r="AB15" s="205">
        <v>-1.8188073</v>
      </c>
      <c r="AC15" s="205">
        <v>-0.6238532</v>
      </c>
      <c r="AD15" s="205">
        <v>0.83715596</v>
      </c>
      <c r="AE15" s="205">
        <v>0.0</v>
      </c>
      <c r="AF15" s="205">
        <v>0.0206422</v>
      </c>
      <c r="AG15" s="205">
        <v>-0.7431193</v>
      </c>
      <c r="AH15" s="205">
        <v>-1.5137615</v>
      </c>
      <c r="AI15" s="205">
        <v>0.11926606</v>
      </c>
      <c r="AJ15" s="205">
        <v>-0.043578</v>
      </c>
      <c r="AK15" s="205">
        <v>1.22477064</v>
      </c>
      <c r="AL15" s="205">
        <v>-0.0894495</v>
      </c>
      <c r="AM15" s="205">
        <v>1.76605505</v>
      </c>
      <c r="AN15" s="205">
        <v>-0.3119266</v>
      </c>
      <c r="AO15" s="205">
        <v>0.03669725</v>
      </c>
      <c r="AP15" s="205">
        <v>1.66284404</v>
      </c>
      <c r="AQ15" s="205">
        <v>2.04587156</v>
      </c>
      <c r="AR15" s="205">
        <v>1.73623853</v>
      </c>
      <c r="AS15" s="205">
        <v>0.20183486</v>
      </c>
      <c r="AT15" s="205">
        <v>0.08256881</v>
      </c>
      <c r="AU15" s="205">
        <v>1.28669725</v>
      </c>
      <c r="AV15" s="205">
        <v>-1.8899083</v>
      </c>
      <c r="AW15" s="205">
        <v>1.95183486</v>
      </c>
      <c r="AX15" s="205">
        <v>-0.0848624</v>
      </c>
      <c r="AY15" s="205">
        <v>-2.9334862</v>
      </c>
      <c r="AZ15" s="205">
        <v>0.42431193</v>
      </c>
      <c r="BA15" s="205">
        <v>0.05504587</v>
      </c>
      <c r="BB15" s="205">
        <v>-0.8692661</v>
      </c>
      <c r="BC15" s="205">
        <v>-0.2568807</v>
      </c>
      <c r="BD15" s="205">
        <v>1.28211009</v>
      </c>
      <c r="BE15" s="205">
        <v>-3.2133028</v>
      </c>
      <c r="BF15" s="205">
        <v>-0.0688073</v>
      </c>
      <c r="BG15" s="205">
        <v>-0.0481651</v>
      </c>
      <c r="BH15" s="205">
        <v>0.52981651</v>
      </c>
      <c r="BI15" s="205">
        <v>1.77522936</v>
      </c>
      <c r="BJ15" s="205">
        <v>-0.2110092</v>
      </c>
      <c r="BK15" s="205">
        <v>0.50229358</v>
      </c>
      <c r="BL15" s="205">
        <v>-0.6811927</v>
      </c>
      <c r="BM15" s="205">
        <v>-1.9266055</v>
      </c>
      <c r="BN15" s="205">
        <v>0.91055046</v>
      </c>
      <c r="BO15" s="205">
        <v>-0.8233945</v>
      </c>
      <c r="BP15" s="205">
        <v>0.50229358</v>
      </c>
      <c r="BQ15" s="205">
        <v>0.6353211</v>
      </c>
      <c r="BR15" s="206"/>
      <c r="BS15" s="250">
        <f t="shared" si="1"/>
        <v>-0.02504733111</v>
      </c>
      <c r="BT15" s="250">
        <f t="shared" si="2"/>
        <v>0.8371530773</v>
      </c>
      <c r="BU15" s="206"/>
      <c r="BV15" s="207">
        <f>IFERROR(__xludf.DUMMYFUNCTION("AVERAGE(ARRAYFORMULA(XLOOKUP(FILTER(INDIRECT(""'""&amp;BV$1&amp;""'!$C$4:$C$66""),INDIRECT(""'""&amp;BV$1&amp;""'!$D$4:$D$66"")=BV$2),$G$3:$BQ$3,$G15:$BQ15)))"),-1.7726081357142855)</f>
        <v>-1.772608136</v>
      </c>
      <c r="BW15" s="207">
        <f>IFERROR(__xludf.DUMMYFUNCTION("IF(OR(BV15&gt;$BS15+$BT15*$BT$2,BV15&lt;$BS15-$BT15*$BT$2),AVEDEV(ARRAYFORMULA(XLOOKUP(FILTER(INDIRECT(""'""&amp;BV$1&amp;""'!$C$4:$C$66""),INDIRECT(""'""&amp;BV$1&amp;""'!$D$4:$D$66"")=BV$2),$G$3:$BQ$3,$G15:$BQ15))),"""")"),1.0868751020408165)</f>
        <v>1.086875102</v>
      </c>
      <c r="BX15" s="207">
        <f>IFERROR(__xludf.DUMMYFUNCTION("AVERAGE(ARRAYFORMULA(XLOOKUP(FILTER(INDIRECT(""'""&amp;BX$1&amp;""'!$C$4:$C$66""),INDIRECT(""'""&amp;BX$1&amp;""'!$D$4:$D$66"")=BX$2),$G$3:$BQ$3,$G15:$BQ15)))"),0.2556793352380952)</f>
        <v>0.2556793352</v>
      </c>
      <c r="BY15" s="207" t="str">
        <f>IFERROR(__xludf.DUMMYFUNCTION("IF(OR(BX15&gt;$BS15+$BT15*$BT$2,BX15&lt;$BS15-$BT15*$BT$2),AVEDEV(ARRAYFORMULA(XLOOKUP(FILTER(INDIRECT(""'""&amp;BX$1&amp;""'!$C$4:$C$66""),INDIRECT(""'""&amp;BX$1&amp;""'!$D$4:$D$66"")=BX$2),$G$3:$BQ$3,$G15:$BQ15))),"""")"),"")</f>
        <v/>
      </c>
      <c r="BZ15" s="207">
        <f>IFERROR(__xludf.DUMMYFUNCTION("AVERAGE(ARRAYFORMULA(XLOOKUP(FILTER(INDIRECT(""'""&amp;BZ$1&amp;""'!$C$4:$C$66""),INDIRECT(""'""&amp;BZ$1&amp;""'!$D$4:$D$66"")=BZ$2),$G$3:$BQ$3,$G15:$BQ15)))"),-0.21684738454545452)</f>
        <v>-0.2168473845</v>
      </c>
      <c r="CA15" s="207" t="str">
        <f>IFERROR(__xludf.DUMMYFUNCTION("IF(OR(BZ15&gt;$BS15+$BT15*$BT$2,BZ15&lt;$BS15-$BT15*$BT$2),AVEDEV(ARRAYFORMULA(XLOOKUP(FILTER(INDIRECT(""'""&amp;BZ$1&amp;""'!$C$4:$C$66""),INDIRECT(""'""&amp;BZ$1&amp;""'!$D$4:$D$66"")=BZ$2),$G$3:$BQ$3,$G15:$BQ15))),"""")"),"")</f>
        <v/>
      </c>
      <c r="CB15" s="209"/>
      <c r="CC15" s="207">
        <f>IFERROR(__xludf.DUMMYFUNCTION("AVERAGE(ARRAYFORMULA(XLOOKUP(FILTER(INDIRECT(""'""&amp;CC$1&amp;""'!$C$4:$C$66""),INDIRECT(""'""&amp;CC$1&amp;""'!$D$4:$D$66"")=CC$2),$G$3:$BQ$3,$G15:$BQ15)))"),0.530103211875)</f>
        <v>0.5301032119</v>
      </c>
      <c r="CD15" s="207" t="str">
        <f>IFERROR(__xludf.DUMMYFUNCTION("IF(OR(CC15&gt;$BS15+$BT15*$BT$2,CC15&lt;$BS15-$BT15*$BT$2),AVEDEV(ARRAYFORMULA(XLOOKUP(FILTER(INDIRECT(""'""&amp;CC$1&amp;""'!$C$4:$C$66""),INDIRECT(""'""&amp;CC$1&amp;""'!$D$4:$D$66"")=CC$2),$G$3:$BQ$3,$G15:$BQ15))),"""")"),"")</f>
        <v/>
      </c>
      <c r="CE15" s="207">
        <f>IFERROR(__xludf.DUMMYFUNCTION("AVERAGE(ARRAYFORMULA(XLOOKUP(FILTER(INDIRECT(""'""&amp;CE$1&amp;""'!$C$4:$C$66""),INDIRECT(""'""&amp;CE$1&amp;""'!$D$4:$D$66"")=CE$2),$G$3:$BQ$3,$G15:$BQ15)))"),-0.20782776322580646)</f>
        <v>-0.2078277632</v>
      </c>
      <c r="CF15" s="207" t="str">
        <f>IFERROR(__xludf.DUMMYFUNCTION("IF(OR(CE15&gt;$BS15+$BT15*$BT$2,CE15&lt;$BS15-$BT15*$BT$2),AVEDEV(ARRAYFORMULA(XLOOKUP(FILTER(INDIRECT(""'""&amp;CE$1&amp;""'!$C$4:$C$66""),INDIRECT(""'""&amp;CE$1&amp;""'!$D$4:$D$66"")=CE$2),$G$3:$BQ$3,$G15:$BQ15))),"""")"),"")</f>
        <v/>
      </c>
      <c r="CG15" s="207">
        <f>IFERROR(__xludf.DUMMYFUNCTION("AVERAGE(ARRAYFORMULA(XLOOKUP(FILTER(INDIRECT(""'""&amp;CG$1&amp;""'!$C$4:$C$66""),INDIRECT(""'""&amp;CG$1&amp;""'!$D$4:$D$66"")=CG$2),$G$3:$BQ$3,$G15:$BQ15)))"),-0.054128442)</f>
        <v>-0.054128442</v>
      </c>
      <c r="CH15" s="207" t="str">
        <f>IFERROR(__xludf.DUMMYFUNCTION("IF(OR(CG15&gt;$BS15+$BT15*$BT$2,CG15&lt;$BS15-$BT15*$BT$2),AVEDEV(ARRAYFORMULA(XLOOKUP(FILTER(INDIRECT(""'""&amp;CG$1&amp;""'!$C$4:$C$66""),INDIRECT(""'""&amp;CG$1&amp;""'!$D$4:$D$66"")=CG$2),$G$3:$BQ$3,$G15:$BQ15))),"""")"),"")</f>
        <v/>
      </c>
      <c r="CI15" s="206"/>
      <c r="CJ15" s="251">
        <f>IFERROR(__xludf.DUMMYFUNCTION("AVERAGE(ARRAYFORMULA(XLOOKUP(FILTER(INDIRECT(""'""&amp;CJ$1&amp;""'!$C$4:$C$66""),INDIRECT(""'""&amp;CJ$1&amp;""'!$D$4:$D$66"")=CJ$2),$G$3:$BQ$3,$G15:$BQ15)))"),-1.06009175)</f>
        <v>-1.06009175</v>
      </c>
      <c r="CK15" s="207">
        <f>IFERROR(__xludf.DUMMYFUNCTION("IF(OR(CJ15&gt;$BS15+$BT15*$BT$2,CJ15&lt;$BS15-$BT15*$BT$2),AVEDEV(ARRAYFORMULA(XLOOKUP(FILTER(INDIRECT(""'""&amp;CJ$1&amp;""'!$C$4:$C$66""),INDIRECT(""'""&amp;CJ$1&amp;""'!$D$4:$D$66"")=CJ$2),$G$3:$BQ$3,$G15:$BQ15))),"""")"),0.9350458733333333)</f>
        <v>0.9350458733</v>
      </c>
      <c r="CL15" s="251">
        <f>IFERROR(__xludf.DUMMYFUNCTION("AVERAGE(ARRAYFORMULA(XLOOKUP(FILTER(INDIRECT(""'""&amp;CL$1&amp;""'!$C$4:$C$66""),INDIRECT(""'""&amp;CL$1&amp;""'!$D$4:$D$66"")=CL$2),$G$3:$BQ$3,$G15:$BQ15)))"),0.32815807846153844)</f>
        <v>0.3281580785</v>
      </c>
      <c r="CM15" s="207" t="str">
        <f>IFERROR(__xludf.DUMMYFUNCTION("IF(OR(CL15&gt;$BS15+$BT15*$BT$2,CL15&lt;$BS15-$BT15*$BT$2),AVEDEV(ARRAYFORMULA(XLOOKUP(FILTER(INDIRECT(""'""&amp;CL$1&amp;""'!$C$4:$C$66""),INDIRECT(""'""&amp;CL$1&amp;""'!$D$4:$D$66"")=CL$2),$G$3:$BQ$3,$G15:$BQ15))),"""")"),"")</f>
        <v/>
      </c>
      <c r="CN15" s="251">
        <f>IFERROR(__xludf.DUMMYFUNCTION("AVERAGE(ARRAYFORMULA(XLOOKUP(FILTER(INDIRECT(""'""&amp;CN$1&amp;""'!$C$4:$C$66""),INDIRECT(""'""&amp;CN$1&amp;""'!$D$4:$D$66"")=CN$2),$G$3:$BQ$3,$G15:$BQ15)))"),-0.054128442)</f>
        <v>-0.054128442</v>
      </c>
      <c r="CO15" s="207" t="str">
        <f>IFERROR(__xludf.DUMMYFUNCTION("IF(OR(CN15&gt;$BS15+$BT15*$BT$2,CN15&lt;$BS15-$BT15*$BT$2),AVEDEV(ARRAYFORMULA(XLOOKUP(FILTER(INDIRECT(""'""&amp;CN$1&amp;""'!$C$4:$C$66""),INDIRECT(""'""&amp;CN$1&amp;""'!$D$4:$D$66"")=CN$2),$G$3:$BQ$3,$G15:$BQ15))),"""")"),"")</f>
        <v/>
      </c>
      <c r="CP15" s="252"/>
      <c r="CQ15" s="251">
        <f>IFERROR(__xludf.DUMMYFUNCTION("AVERAGE(ARRAYFORMULA(XLOOKUP(FILTER(INDIRECT(""'""&amp;CQ$1&amp;""'!$C$4:$C$66""),INDIRECT(""'""&amp;CQ$1&amp;""'!$D$4:$D$66"")=CQ$2),$G$3:$BQ$3,$G15:$BQ15)))"),0.5701179592857143)</f>
        <v>0.5701179593</v>
      </c>
      <c r="CR15" s="207" t="str">
        <f>IFERROR(__xludf.DUMMYFUNCTION("IF(OR(CQ15&gt;$BS15+$BT15*$BT$2,CQ15&lt;$BS15-$BT15*$BT$2),AVEDEV(ARRAYFORMULA(XLOOKUP(FILTER(INDIRECT(""'""&amp;CQ$1&amp;""'!$C$4:$C$66""),INDIRECT(""'""&amp;CQ$1&amp;""'!$D$4:$D$66"")=CQ$2),$G$3:$BQ$3,$G15:$BQ15))),"""")"),"")</f>
        <v/>
      </c>
      <c r="CS15" s="251">
        <f>IFERROR(__xludf.DUMMYFUNCTION("AVERAGE(ARRAYFORMULA(XLOOKUP(FILTER(INDIRECT(""'""&amp;CS$1&amp;""'!$C$4:$C$66""),INDIRECT(""'""&amp;CS$1&amp;""'!$D$4:$D$66"")=CS$2),$G$3:$BQ$3,$G15:$BQ15)))"),-0.09811418444444443)</f>
        <v>-0.09811418444</v>
      </c>
      <c r="CT15" s="207" t="str">
        <f>IFERROR(__xludf.DUMMYFUNCTION("IF(OR(CS15&gt;$BS15+$BT15*$BT$2,CS15&lt;$BS15-$BT15*$BT$2),AVEDEV(ARRAYFORMULA(XLOOKUP(FILTER(INDIRECT(""'""&amp;CS$1&amp;""'!$C$4:$C$66""),INDIRECT(""'""&amp;CS$1&amp;""'!$D$4:$D$66"")=CS$2),$G$3:$BQ$3,$G15:$BQ15))),"""")"),"")</f>
        <v/>
      </c>
      <c r="CU15" s="251">
        <f>IFERROR(__xludf.DUMMYFUNCTION("AVERAGE(ARRAYFORMULA(XLOOKUP(FILTER(INDIRECT(""'""&amp;CU$1&amp;""'!$C$4:$C$66""),INDIRECT(""'""&amp;CU$1&amp;""'!$D$4:$D$66"")=CU$2),$G$3:$BQ$3,$G15:$BQ15)))"),-0.42702251909090916)</f>
        <v>-0.4270225191</v>
      </c>
      <c r="CV15" s="207" t="str">
        <f>IFERROR(__xludf.DUMMYFUNCTION("IF(OR(CU15&gt;$BS15+$BT15*$BT$2,CU15&lt;$BS15-$BT15*$BT$2),AVEDEV(ARRAYFORMULA(XLOOKUP(FILTER(INDIRECT(""'""&amp;CU$1&amp;""'!$C$4:$C$66""),INDIRECT(""'""&amp;CU$1&amp;""'!$D$4:$D$66"")=CU$2),$G$3:$BQ$3,$G15:$BQ15))),"""")"),"")</f>
        <v/>
      </c>
      <c r="CW15" s="251">
        <f>IFERROR(__xludf.DUMMYFUNCTION("AVERAGE(ARRAYFORMULA(XLOOKUP(FILTER(INDIRECT(""'""&amp;CW$1&amp;""'!$C$4:$C$66""),INDIRECT(""'""&amp;CW$1&amp;""'!$D$4:$D$66"")=CW$2),$G$3:$BQ$3,$G15:$BQ15)))"),0.6834862349999999)</f>
        <v>0.683486235</v>
      </c>
      <c r="CX15" s="207" t="str">
        <f>IFERROR(__xludf.DUMMYFUNCTION("IF(OR(CW15&gt;$BS15+$BT15*$BT$2,CW15&lt;$BS15-$BT15*$BT$2),AVEDEV(ARRAYFORMULA(XLOOKUP(FILTER(INDIRECT(""'""&amp;CW$1&amp;""'!$C$4:$C$66""),INDIRECT(""'""&amp;CW$1&amp;""'!$D$4:$D$66"")=CW$2),$G$3:$BQ$3,$G15:$BQ15))),"""")"),"")</f>
        <v/>
      </c>
      <c r="CY15" s="251">
        <f>IFERROR(__xludf.DUMMYFUNCTION("AVERAGE(ARRAYFORMULA(XLOOKUP(FILTER(INDIRECT(""'""&amp;CY$1&amp;""'!$C$4:$C$66""),INDIRECT(""'""&amp;CY$1&amp;""'!$D$4:$D$66"")=CY$2),$G$3:$BQ$3,$G15:$BQ15)))"),0.19495412357142855)</f>
        <v>0.1949541236</v>
      </c>
      <c r="CZ15" s="207" t="str">
        <f>IFERROR(__xludf.DUMMYFUNCTION("IF(OR(CY15&gt;$BS15+$BT15*$BT$2,CY15&lt;$BS15-$BT15*$BT$2),AVEDEV(ARRAYFORMULA(XLOOKUP(FILTER(INDIRECT(""'""&amp;CY$1&amp;""'!$C$4:$C$66""),INDIRECT(""'""&amp;CY$1&amp;""'!$D$4:$D$66"")=CY$2),$G$3:$BQ$3,$G15:$BQ15))),"""")"),"")</f>
        <v/>
      </c>
      <c r="DA15" s="252"/>
      <c r="DB15" s="251">
        <f>IFERROR(__xludf.DUMMYFUNCTION("AVERAGE(ARRAYFORMULA(XLOOKUP(FILTER(INDIRECT(""'""&amp;DB$1&amp;""'!$C$4:$C$66""),INDIRECT(""'""&amp;DB$1&amp;""'!$D$4:$D$66"")=DB$2),$G$3:$BQ$3,$G15:$BQ15)))"),0.09755351833333327)</f>
        <v>0.09755351833</v>
      </c>
      <c r="DC15" s="207" t="str">
        <f>IFERROR(__xludf.DUMMYFUNCTION("IF(OR(DB15&gt;$BS15+$BT15*$BT$2,DB15&lt;$BS15-$BT15*$BT$2),AVEDEV(ARRAYFORMULA(XLOOKUP(FILTER(INDIRECT(""'""&amp;DB$1&amp;""'!$C$4:$C$66""),INDIRECT(""'""&amp;DB$1&amp;""'!$D$4:$D$66"")=DB$2),$G$3:$BQ$3,$G15:$BQ15))),"""")"),"")</f>
        <v/>
      </c>
      <c r="DD15" s="251">
        <f>IFERROR(__xludf.DUMMYFUNCTION("AVERAGE(ARRAYFORMULA(XLOOKUP(FILTER(INDIRECT(""'""&amp;DD$1&amp;""'!$C$4:$C$66""),INDIRECT(""'""&amp;DD$1&amp;""'!$D$4:$D$66"")=DD$2),$G$3:$BQ$3,$G15:$BQ15)))"),-0.5922528222222224)</f>
        <v>-0.5922528222</v>
      </c>
      <c r="DE15" s="207" t="str">
        <f>IFERROR(__xludf.DUMMYFUNCTION("IF(OR(DD15&gt;$BS15+$BT15*$BT$2,DD15&lt;$BS15-$BT15*$BT$2),AVEDEV(ARRAYFORMULA(XLOOKUP(FILTER(INDIRECT(""'""&amp;DD$1&amp;""'!$C$4:$C$66""),INDIRECT(""'""&amp;DD$1&amp;""'!$D$4:$D$66"")=DD$2),$G$3:$BQ$3,$G15:$BQ15))),"""")"),"")</f>
        <v/>
      </c>
      <c r="DF15" s="251">
        <f>IFERROR(__xludf.DUMMYFUNCTION("AVERAGE(ARRAYFORMULA(XLOOKUP(FILTER(INDIRECT(""'""&amp;DF$1&amp;""'!$C$4:$C$66""),INDIRECT(""'""&amp;DF$1&amp;""'!$D$4:$D$66"")=DF$2),$G$3:$BQ$3,$G15:$BQ15)))"),-0.73509174625)</f>
        <v>-0.7350917463</v>
      </c>
      <c r="DG15" s="207" t="str">
        <f>IFERROR(__xludf.DUMMYFUNCTION("IF(OR(DF15&gt;$BS15+$BT15*$BT$2,DF15&lt;$BS15-$BT15*$BT$2),AVEDEV(ARRAYFORMULA(XLOOKUP(FILTER(INDIRECT(""'""&amp;DF$1&amp;""'!$C$4:$C$66""),INDIRECT(""'""&amp;DF$1&amp;""'!$D$4:$D$66"")=DF$2),$G$3:$BQ$3,$G15:$BQ15))),"""")"),"")</f>
        <v/>
      </c>
      <c r="DH15" s="251">
        <f>IFERROR(__xludf.DUMMYFUNCTION("AVERAGE(ARRAYFORMULA(XLOOKUP(FILTER(INDIRECT(""'""&amp;DH$1&amp;""'!$C$4:$C$66""),INDIRECT(""'""&amp;DH$1&amp;""'!$D$4:$D$66"")=DH$2),$G$3:$BQ$3,$G15:$BQ15)))"),0.6671763488888889)</f>
        <v>0.6671763489</v>
      </c>
      <c r="DI15" s="207" t="str">
        <f>IFERROR(__xludf.DUMMYFUNCTION("IF(OR(DH15&gt;$BS15+$BT15*$BT$2,DH15&lt;$BS15-$BT15*$BT$2),AVEDEV(ARRAYFORMULA(XLOOKUP(FILTER(INDIRECT(""'""&amp;DH$1&amp;""'!$C$4:$C$66""),INDIRECT(""'""&amp;DH$1&amp;""'!$D$4:$D$66"")=DH$2),$G$3:$BQ$3,$G15:$BQ15))),"""")"),"")</f>
        <v/>
      </c>
      <c r="DJ15" s="243"/>
    </row>
    <row r="16">
      <c r="A16" s="2"/>
      <c r="B16" s="204">
        <v>12.0</v>
      </c>
      <c r="C16" s="204" t="s">
        <v>442</v>
      </c>
      <c r="D16" s="204" t="s">
        <v>455</v>
      </c>
      <c r="E16" s="205" t="b">
        <f>VLOOKUP(D16,'Feature Set List'!A13:C246,2,0)</f>
        <v>1</v>
      </c>
      <c r="F16" s="205" t="b">
        <f>VLOOKUP(D16,'Feature Set List'!A13:C246,3,0)</f>
        <v>0</v>
      </c>
      <c r="G16" s="205">
        <v>0.85935085</v>
      </c>
      <c r="H16" s="205">
        <v>-0.0432767</v>
      </c>
      <c r="I16" s="205">
        <v>0.14219474</v>
      </c>
      <c r="J16" s="205">
        <v>0.25965997</v>
      </c>
      <c r="K16" s="205">
        <v>0.0</v>
      </c>
      <c r="L16" s="205">
        <v>0.24420402</v>
      </c>
      <c r="M16" s="205">
        <v>-0.0540958</v>
      </c>
      <c r="N16" s="205">
        <v>0.71561051</v>
      </c>
      <c r="O16" s="205">
        <v>0.82380216</v>
      </c>
      <c r="P16" s="205">
        <v>-0.2380216</v>
      </c>
      <c r="Q16" s="205">
        <v>0.31684699</v>
      </c>
      <c r="R16" s="205">
        <v>-0.5579598</v>
      </c>
      <c r="S16" s="205">
        <v>-0.0695518</v>
      </c>
      <c r="T16" s="205">
        <v>-0.7078825</v>
      </c>
      <c r="U16" s="205">
        <v>0.90417311</v>
      </c>
      <c r="V16" s="205">
        <v>-0.0432767</v>
      </c>
      <c r="W16" s="205">
        <v>1.25656878</v>
      </c>
      <c r="X16" s="205">
        <v>-1.3554869</v>
      </c>
      <c r="Y16" s="205">
        <v>-0.6414219</v>
      </c>
      <c r="Z16" s="205">
        <v>1.3431221</v>
      </c>
      <c r="AA16" s="205">
        <v>2.25193199</v>
      </c>
      <c r="AB16" s="205">
        <v>1.86089645</v>
      </c>
      <c r="AC16" s="205">
        <v>-0.2380216</v>
      </c>
      <c r="AD16" s="205">
        <v>-0.7573416</v>
      </c>
      <c r="AE16" s="205">
        <v>0.56723338</v>
      </c>
      <c r="AF16" s="205">
        <v>0.01391036</v>
      </c>
      <c r="AG16" s="205">
        <v>0.20092736</v>
      </c>
      <c r="AH16" s="205">
        <v>1.17156105</v>
      </c>
      <c r="AI16" s="205">
        <v>-0.0479134</v>
      </c>
      <c r="AJ16" s="205">
        <v>0.72797527</v>
      </c>
      <c r="AK16" s="205">
        <v>-0.4281298</v>
      </c>
      <c r="AL16" s="205">
        <v>-0.0139104</v>
      </c>
      <c r="AM16" s="205">
        <v>0.7511592</v>
      </c>
      <c r="AN16" s="205">
        <v>0.18083462</v>
      </c>
      <c r="AO16" s="205">
        <v>-0.1576507</v>
      </c>
      <c r="AP16" s="205">
        <v>-0.4621329</v>
      </c>
      <c r="AQ16" s="205">
        <v>1.91035549</v>
      </c>
      <c r="AR16" s="205">
        <v>1.30293663</v>
      </c>
      <c r="AS16" s="205">
        <v>-0.2689335</v>
      </c>
      <c r="AT16" s="205">
        <v>0.00772798</v>
      </c>
      <c r="AU16" s="205">
        <v>-0.2071097</v>
      </c>
      <c r="AV16" s="205">
        <v>0.32921175</v>
      </c>
      <c r="AW16" s="205">
        <v>0.14992272</v>
      </c>
      <c r="AX16" s="205">
        <v>-0.324575</v>
      </c>
      <c r="AY16" s="205">
        <v>-1.7496136</v>
      </c>
      <c r="AZ16" s="205">
        <v>0.0</v>
      </c>
      <c r="BA16" s="205">
        <v>-0.2673879</v>
      </c>
      <c r="BB16" s="205">
        <v>0.2812983</v>
      </c>
      <c r="BC16" s="205">
        <v>1.01236476</v>
      </c>
      <c r="BD16" s="205">
        <v>-0.1561051</v>
      </c>
      <c r="BE16" s="205">
        <v>-4.6414219</v>
      </c>
      <c r="BF16" s="205">
        <v>-0.3879444</v>
      </c>
      <c r="BG16" s="205">
        <v>1.19783617</v>
      </c>
      <c r="BH16" s="205">
        <v>-0.7341577</v>
      </c>
      <c r="BI16" s="205">
        <v>0.27511592</v>
      </c>
      <c r="BJ16" s="205">
        <v>0.01081917</v>
      </c>
      <c r="BK16" s="205">
        <v>-0.2472952</v>
      </c>
      <c r="BL16" s="205">
        <v>-1.8516229</v>
      </c>
      <c r="BM16" s="205">
        <v>-1.2102009</v>
      </c>
      <c r="BN16" s="205">
        <v>0.69088099</v>
      </c>
      <c r="BO16" s="205">
        <v>0.71561051</v>
      </c>
      <c r="BP16" s="205">
        <v>-1.9629057</v>
      </c>
      <c r="BQ16" s="205">
        <v>-0.4513138</v>
      </c>
      <c r="BR16" s="206"/>
      <c r="BS16" s="250">
        <f t="shared" si="1"/>
        <v>0.03491082381</v>
      </c>
      <c r="BT16" s="250">
        <f t="shared" si="2"/>
        <v>0.6814629436</v>
      </c>
      <c r="BU16" s="206"/>
      <c r="BV16" s="207">
        <f>IFERROR(__xludf.DUMMYFUNCTION("AVERAGE(ARRAYFORMULA(XLOOKUP(FILTER(INDIRECT(""'""&amp;BV$1&amp;""'!$C$4:$C$66""),INDIRECT(""'""&amp;BV$1&amp;""'!$D$4:$D$66"")=BV$2),$G$3:$BQ$3,$G16:$BQ16)))"),-1.2243320842857144)</f>
        <v>-1.224332084</v>
      </c>
      <c r="BW16" s="207">
        <f>IFERROR(__xludf.DUMMYFUNCTION("IF(OR(BV16&gt;$BS16+$BT16*$BT$2,BV16&lt;$BS16-$BT16*$BT$2),AVEDEV(ARRAYFORMULA(XLOOKUP(FILTER(INDIRECT(""'""&amp;BV$1&amp;""'!$C$4:$C$66""),INDIRECT(""'""&amp;BV$1&amp;""'!$D$4:$D$66"")=BV$2),$G$3:$BQ$3,$G16:$BQ16))),"""")"),1.3430905608163266)</f>
        <v>1.343090561</v>
      </c>
      <c r="BX16" s="207">
        <f>IFERROR(__xludf.DUMMYFUNCTION("AVERAGE(ARRAYFORMULA(XLOOKUP(FILTER(INDIRECT(""'""&amp;BX$1&amp;""'!$C$4:$C$66""),INDIRECT(""'""&amp;BX$1&amp;""'!$D$4:$D$66"")=BX$2),$G$3:$BQ$3,$G16:$BQ16)))"),0.27942150333333327)</f>
        <v>0.2794215033</v>
      </c>
      <c r="BY16" s="207" t="str">
        <f>IFERROR(__xludf.DUMMYFUNCTION("IF(OR(BX16&gt;$BS16+$BT16*$BT$2,BX16&lt;$BS16-$BT16*$BT$2),AVEDEV(ARRAYFORMULA(XLOOKUP(FILTER(INDIRECT(""'""&amp;BX$1&amp;""'!$C$4:$C$66""),INDIRECT(""'""&amp;BX$1&amp;""'!$D$4:$D$66"")=BX$2),$G$3:$BQ$3,$G16:$BQ16))),"""")"),"")</f>
        <v/>
      </c>
      <c r="BZ16" s="207">
        <f>IFERROR(__xludf.DUMMYFUNCTION("AVERAGE(ARRAYFORMULA(XLOOKUP(FILTER(INDIRECT(""'""&amp;BZ$1&amp;""'!$C$4:$C$66""),INDIRECT(""'""&amp;BZ$1&amp;""'!$D$4:$D$66"")=BZ$2),$G$3:$BQ$3,$G16:$BQ16)))"),-0.06772514454545453)</f>
        <v>-0.06772514455</v>
      </c>
      <c r="CA16" s="207" t="str">
        <f>IFERROR(__xludf.DUMMYFUNCTION("IF(OR(BZ16&gt;$BS16+$BT16*$BT$2,BZ16&lt;$BS16-$BT16*$BT$2),AVEDEV(ARRAYFORMULA(XLOOKUP(FILTER(INDIRECT(""'""&amp;BZ$1&amp;""'!$C$4:$C$66""),INDIRECT(""'""&amp;BZ$1&amp;""'!$D$4:$D$66"")=BZ$2),$G$3:$BQ$3,$G16:$BQ16))),"""")"),"")</f>
        <v/>
      </c>
      <c r="CB16" s="209"/>
      <c r="CC16" s="207">
        <f>IFERROR(__xludf.DUMMYFUNCTION("AVERAGE(ARRAYFORMULA(XLOOKUP(FILTER(INDIRECT(""'""&amp;CC$1&amp;""'!$C$4:$C$66""),INDIRECT(""'""&amp;CC$1&amp;""'!$D$4:$D$66"")=CC$2),$G$3:$BQ$3,$G16:$BQ16)))"),0.22401468250000003)</f>
        <v>0.2240146825</v>
      </c>
      <c r="CD16" s="207" t="str">
        <f>IFERROR(__xludf.DUMMYFUNCTION("IF(OR(CC16&gt;$BS16+$BT16*$BT$2,CC16&lt;$BS16-$BT16*$BT$2),AVEDEV(ARRAYFORMULA(XLOOKUP(FILTER(INDIRECT(""'""&amp;CC$1&amp;""'!$C$4:$C$66""),INDIRECT(""'""&amp;CC$1&amp;""'!$D$4:$D$66"")=CC$2),$G$3:$BQ$3,$G16:$BQ16))),"""")"),"")</f>
        <v/>
      </c>
      <c r="CE16" s="207">
        <f>IFERROR(__xludf.DUMMYFUNCTION("AVERAGE(ARRAYFORMULA(XLOOKUP(FILTER(INDIRECT(""'""&amp;CE$1&amp;""'!$C$4:$C$66""),INDIRECT(""'""&amp;CE$1&amp;""'!$D$4:$D$66"")=CE$2),$G$3:$BQ$3,$G16:$BQ16)))"),0.03684499290322581)</f>
        <v>0.0368449929</v>
      </c>
      <c r="CF16" s="207" t="str">
        <f>IFERROR(__xludf.DUMMYFUNCTION("IF(OR(CE16&gt;$BS16+$BT16*$BT$2,CE16&lt;$BS16-$BT16*$BT$2),AVEDEV(ARRAYFORMULA(XLOOKUP(FILTER(INDIRECT(""'""&amp;CE$1&amp;""'!$C$4:$C$66""),INDIRECT(""'""&amp;CE$1&amp;""'!$D$4:$D$66"")=CE$2),$G$3:$BQ$3,$G16:$BQ16))),"""")"),"")</f>
        <v/>
      </c>
      <c r="CG16" s="207">
        <f>IFERROR(__xludf.DUMMYFUNCTION("AVERAGE(ARRAYFORMULA(XLOOKUP(FILTER(INDIRECT(""'""&amp;CG$1&amp;""'!$C$4:$C$66""),INDIRECT(""'""&amp;CG$1&amp;""'!$D$4:$D$66"")=CG$2),$G$3:$BQ$3,$G16:$BQ16)))"),-0.056877866)</f>
        <v>-0.056877866</v>
      </c>
      <c r="CH16" s="207" t="str">
        <f>IFERROR(__xludf.DUMMYFUNCTION("IF(OR(CG16&gt;$BS16+$BT16*$BT$2,CG16&lt;$BS16-$BT16*$BT$2),AVEDEV(ARRAYFORMULA(XLOOKUP(FILTER(INDIRECT(""'""&amp;CG$1&amp;""'!$C$4:$C$66""),INDIRECT(""'""&amp;CG$1&amp;""'!$D$4:$D$66"")=CG$2),$G$3:$BQ$3,$G16:$BQ16))),"""")"),"")</f>
        <v/>
      </c>
      <c r="CI16" s="206"/>
      <c r="CJ16" s="251">
        <f>IFERROR(__xludf.DUMMYFUNCTION("AVERAGE(ARRAYFORMULA(XLOOKUP(FILTER(INDIRECT(""'""&amp;CJ$1&amp;""'!$C$4:$C$66""),INDIRECT(""'""&amp;CJ$1&amp;""'!$D$4:$D$66"")=CJ$2),$G$3:$BQ$3,$G16:$BQ16)))"),0.08325606200000006)</f>
        <v>0.083256062</v>
      </c>
      <c r="CK16" s="207" t="str">
        <f>IFERROR(__xludf.DUMMYFUNCTION("IF(OR(CJ16&gt;$BS16+$BT16*$BT$2,CJ16&lt;$BS16-$BT16*$BT$2),AVEDEV(ARRAYFORMULA(XLOOKUP(FILTER(INDIRECT(""'""&amp;CJ$1&amp;""'!$C$4:$C$66""),INDIRECT(""'""&amp;CJ$1&amp;""'!$D$4:$D$66"")=CJ$2),$G$3:$BQ$3,$G16:$BQ16))),"""")"),"")</f>
        <v/>
      </c>
      <c r="CL16" s="251">
        <f>IFERROR(__xludf.DUMMYFUNCTION("AVERAGE(ARRAYFORMULA(XLOOKUP(FILTER(INDIRECT(""'""&amp;CL$1&amp;""'!$C$4:$C$66""),INDIRECT(""'""&amp;CL$1&amp;""'!$D$4:$D$66"")=CL$2),$G$3:$BQ$3,$G16:$BQ16)))"),0.0848095707692308)</f>
        <v>0.08480957077</v>
      </c>
      <c r="CM16" s="207" t="str">
        <f>IFERROR(__xludf.DUMMYFUNCTION("IF(OR(CL16&gt;$BS16+$BT16*$BT$2,CL16&lt;$BS16-$BT16*$BT$2),AVEDEV(ARRAYFORMULA(XLOOKUP(FILTER(INDIRECT(""'""&amp;CL$1&amp;""'!$C$4:$C$66""),INDIRECT(""'""&amp;CL$1&amp;""'!$D$4:$D$66"")=CL$2),$G$3:$BQ$3,$G16:$BQ16))),"""")"),"")</f>
        <v/>
      </c>
      <c r="CN16" s="251">
        <f>IFERROR(__xludf.DUMMYFUNCTION("AVERAGE(ARRAYFORMULA(XLOOKUP(FILTER(INDIRECT(""'""&amp;CN$1&amp;""'!$C$4:$C$66""),INDIRECT(""'""&amp;CN$1&amp;""'!$D$4:$D$66"")=CN$2),$G$3:$BQ$3,$G16:$BQ16)))"),-0.056877866)</f>
        <v>-0.056877866</v>
      </c>
      <c r="CO16" s="207" t="str">
        <f>IFERROR(__xludf.DUMMYFUNCTION("IF(OR(CN16&gt;$BS16+$BT16*$BT$2,CN16&lt;$BS16-$BT16*$BT$2),AVEDEV(ARRAYFORMULA(XLOOKUP(FILTER(INDIRECT(""'""&amp;CN$1&amp;""'!$C$4:$C$66""),INDIRECT(""'""&amp;CN$1&amp;""'!$D$4:$D$66"")=CN$2),$G$3:$BQ$3,$G16:$BQ16))),"""")"),"")</f>
        <v/>
      </c>
      <c r="CP16" s="252"/>
      <c r="CQ16" s="251">
        <f>IFERROR(__xludf.DUMMYFUNCTION("AVERAGE(ARRAYFORMULA(XLOOKUP(FILTER(INDIRECT(""'""&amp;CQ$1&amp;""'!$C$4:$C$66""),INDIRECT(""'""&amp;CQ$1&amp;""'!$D$4:$D$66"")=CQ$2),$G$3:$BQ$3,$G16:$BQ16)))"),0.15213070928571426)</f>
        <v>0.1521307093</v>
      </c>
      <c r="CR16" s="207" t="str">
        <f>IFERROR(__xludf.DUMMYFUNCTION("IF(OR(CQ16&gt;$BS16+$BT16*$BT$2,CQ16&lt;$BS16-$BT16*$BT$2),AVEDEV(ARRAYFORMULA(XLOOKUP(FILTER(INDIRECT(""'""&amp;CQ$1&amp;""'!$C$4:$C$66""),INDIRECT(""'""&amp;CQ$1&amp;""'!$D$4:$D$66"")=CQ$2),$G$3:$BQ$3,$G16:$BQ16))),"""")"),"")</f>
        <v/>
      </c>
      <c r="CS16" s="251">
        <f>IFERROR(__xludf.DUMMYFUNCTION("AVERAGE(ARRAYFORMULA(XLOOKUP(FILTER(INDIRECT(""'""&amp;CS$1&amp;""'!$C$4:$C$66""),INDIRECT(""'""&amp;CS$1&amp;""'!$D$4:$D$66"")=CS$2),$G$3:$BQ$3,$G16:$BQ16)))"),0.05169159000000001)</f>
        <v>0.05169159</v>
      </c>
      <c r="CT16" s="207" t="str">
        <f>IFERROR(__xludf.DUMMYFUNCTION("IF(OR(CS16&gt;$BS16+$BT16*$BT$2,CS16&lt;$BS16-$BT16*$BT$2),AVEDEV(ARRAYFORMULA(XLOOKUP(FILTER(INDIRECT(""'""&amp;CS$1&amp;""'!$C$4:$C$66""),INDIRECT(""'""&amp;CS$1&amp;""'!$D$4:$D$66"")=CS$2),$G$3:$BQ$3,$G16:$BQ16))),"""")"),"")</f>
        <v/>
      </c>
      <c r="CU16" s="251">
        <f>IFERROR(__xludf.DUMMYFUNCTION("AVERAGE(ARRAYFORMULA(XLOOKUP(FILTER(INDIRECT(""'""&amp;CU$1&amp;""'!$C$4:$C$66""),INDIRECT(""'""&amp;CU$1&amp;""'!$D$4:$D$66"")=CU$2),$G$3:$BQ$3,$G16:$BQ16)))"),0.7253056090909092)</f>
        <v>0.7253056091</v>
      </c>
      <c r="CV16" s="207">
        <f>IFERROR(__xludf.DUMMYFUNCTION("IF(OR(CU16&gt;$BS16+$BT16*$BT$2,CU16&lt;$BS16-$BT16*$BT$2),AVEDEV(ARRAYFORMULA(XLOOKUP(FILTER(INDIRECT(""'""&amp;CU$1&amp;""'!$C$4:$C$66""),INDIRECT(""'""&amp;CU$1&amp;""'!$D$4:$D$66"")=CU$2),$G$3:$BQ$3,$G16:$BQ16))),"""")"),0.6557921480991736)</f>
        <v>0.6557921481</v>
      </c>
      <c r="CW16" s="251">
        <f>IFERROR(__xludf.DUMMYFUNCTION("AVERAGE(ARRAYFORMULA(XLOOKUP(FILTER(INDIRECT(""'""&amp;CW$1&amp;""'!$C$4:$C$66""),INDIRECT(""'""&amp;CW$1&amp;""'!$D$4:$D$66"")=CW$2),$G$3:$BQ$3,$G16:$BQ16)))"),-0.74574965)</f>
        <v>-0.74574965</v>
      </c>
      <c r="CX16" s="207">
        <f>IFERROR(__xludf.DUMMYFUNCTION("IF(OR(CW16&gt;$BS16+$BT16*$BT$2,CW16&lt;$BS16-$BT16*$BT$2),AVEDEV(ARRAYFORMULA(XLOOKUP(FILTER(INDIRECT(""'""&amp;CW$1&amp;""'!$C$4:$C$66""),INDIRECT(""'""&amp;CW$1&amp;""'!$D$4:$D$66"")=CW$2),$G$3:$BQ$3,$G16:$BQ16))),"""")"),0.011591949999999962)</f>
        <v>0.01159195</v>
      </c>
      <c r="CY16" s="251">
        <f>IFERROR(__xludf.DUMMYFUNCTION("AVERAGE(ARRAYFORMULA(XLOOKUP(FILTER(INDIRECT(""'""&amp;CY$1&amp;""'!$C$4:$C$66""),INDIRECT(""'""&amp;CY$1&amp;""'!$D$4:$D$66"")=CY$2),$G$3:$BQ$3,$G16:$BQ16)))"),0.24199602214285718)</f>
        <v>0.2419960221</v>
      </c>
      <c r="CZ16" s="207" t="str">
        <f>IFERROR(__xludf.DUMMYFUNCTION("IF(OR(CY16&gt;$BS16+$BT16*$BT$2,CY16&lt;$BS16-$BT16*$BT$2),AVEDEV(ARRAYFORMULA(XLOOKUP(FILTER(INDIRECT(""'""&amp;CY$1&amp;""'!$C$4:$C$66""),INDIRECT(""'""&amp;CY$1&amp;""'!$D$4:$D$66"")=CY$2),$G$3:$BQ$3,$G16:$BQ16))),"""")"),"")</f>
        <v/>
      </c>
      <c r="DA16" s="252"/>
      <c r="DB16" s="251">
        <f>IFERROR(__xludf.DUMMYFUNCTION("AVERAGE(ARRAYFORMULA(XLOOKUP(FILTER(INDIRECT(""'""&amp;DB$1&amp;""'!$C$4:$C$66""),INDIRECT(""'""&amp;DB$1&amp;""'!$D$4:$D$66"")=DB$2),$G$3:$BQ$3,$G16:$BQ16)))"),0.06733642399999999)</f>
        <v>0.067336424</v>
      </c>
      <c r="DC16" s="207" t="str">
        <f>IFERROR(__xludf.DUMMYFUNCTION("IF(OR(DB16&gt;$BS16+$BT16*$BT$2,DB16&lt;$BS16-$BT16*$BT$2),AVEDEV(ARRAYFORMULA(XLOOKUP(FILTER(INDIRECT(""'""&amp;DB$1&amp;""'!$C$4:$C$66""),INDIRECT(""'""&amp;DB$1&amp;""'!$D$4:$D$66"")=DB$2),$G$3:$BQ$3,$G16:$BQ16))),"""")"),"")</f>
        <v/>
      </c>
      <c r="DD16" s="251">
        <f>IFERROR(__xludf.DUMMYFUNCTION("AVERAGE(ARRAYFORMULA(XLOOKUP(FILTER(INDIRECT(""'""&amp;DD$1&amp;""'!$C$4:$C$66""),INDIRECT(""'""&amp;DD$1&amp;""'!$D$4:$D$66"")=DD$2),$G$3:$BQ$3,$G16:$BQ16)))"),0.023527411111111132)</f>
        <v>0.02352741111</v>
      </c>
      <c r="DE16" s="207" t="str">
        <f>IFERROR(__xludf.DUMMYFUNCTION("IF(OR(DD16&gt;$BS16+$BT16*$BT$2,DD16&lt;$BS16-$BT16*$BT$2),AVEDEV(ARRAYFORMULA(XLOOKUP(FILTER(INDIRECT(""'""&amp;DD$1&amp;""'!$C$4:$C$66""),INDIRECT(""'""&amp;DD$1&amp;""'!$D$4:$D$66"")=DD$2),$G$3:$BQ$3,$G16:$BQ16))),"""")"),"")</f>
        <v/>
      </c>
      <c r="DF16" s="251">
        <f>IFERROR(__xludf.DUMMYFUNCTION("AVERAGE(ARRAYFORMULA(XLOOKUP(FILTER(INDIRECT(""'""&amp;DF$1&amp;""'!$C$4:$C$66""),INDIRECT(""'""&amp;DF$1&amp;""'!$D$4:$D$66"")=DF$2),$G$3:$BQ$3,$G16:$BQ16)))"),0.29134466625)</f>
        <v>0.2913446663</v>
      </c>
      <c r="DG16" s="207" t="str">
        <f>IFERROR(__xludf.DUMMYFUNCTION("IF(OR(DF16&gt;$BS16+$BT16*$BT$2,DF16&lt;$BS16-$BT16*$BT$2),AVEDEV(ARRAYFORMULA(XLOOKUP(FILTER(INDIRECT(""'""&amp;DF$1&amp;""'!$C$4:$C$66""),INDIRECT(""'""&amp;DF$1&amp;""'!$D$4:$D$66"")=DF$2),$G$3:$BQ$3,$G16:$BQ16))),"""")"),"")</f>
        <v/>
      </c>
      <c r="DH16" s="251">
        <f>IFERROR(__xludf.DUMMYFUNCTION("AVERAGE(ARRAYFORMULA(XLOOKUP(FILTER(INDIRECT(""'""&amp;DH$1&amp;""'!$C$4:$C$66""),INDIRECT(""'""&amp;DH$1&amp;""'!$D$4:$D$66"")=DH$2),$G$3:$BQ$3,$G16:$BQ16)))"),-0.008930102222222212)</f>
        <v>-0.008930102222</v>
      </c>
      <c r="DI16" s="207" t="str">
        <f>IFERROR(__xludf.DUMMYFUNCTION("IF(OR(DH16&gt;$BS16+$BT16*$BT$2,DH16&lt;$BS16-$BT16*$BT$2),AVEDEV(ARRAYFORMULA(XLOOKUP(FILTER(INDIRECT(""'""&amp;DH$1&amp;""'!$C$4:$C$66""),INDIRECT(""'""&amp;DH$1&amp;""'!$D$4:$D$66"")=DH$2),$G$3:$BQ$3,$G16:$BQ16))),"""")"),"")</f>
        <v/>
      </c>
      <c r="DJ16" s="243"/>
    </row>
    <row r="17">
      <c r="A17" s="2"/>
      <c r="B17" s="204">
        <v>13.0</v>
      </c>
      <c r="C17" s="204" t="s">
        <v>442</v>
      </c>
      <c r="D17" s="204" t="s">
        <v>456</v>
      </c>
      <c r="E17" s="205" t="b">
        <f>VLOOKUP(D17,'Feature Set List'!A14:C246,2,0)</f>
        <v>1</v>
      </c>
      <c r="F17" s="205" t="b">
        <f>VLOOKUP(D17,'Feature Set List'!A14:C246,3,0)</f>
        <v>0</v>
      </c>
      <c r="G17" s="205">
        <v>-1.8125</v>
      </c>
      <c r="H17" s="205">
        <v>0.1875</v>
      </c>
      <c r="I17" s="205">
        <v>0.125</v>
      </c>
      <c r="J17" s="205">
        <v>-0.25</v>
      </c>
      <c r="K17" s="205">
        <v>1.0625</v>
      </c>
      <c r="L17" s="205">
        <v>-0.25</v>
      </c>
      <c r="M17" s="205">
        <v>0.0</v>
      </c>
      <c r="N17" s="205">
        <v>0.25</v>
      </c>
      <c r="O17" s="205">
        <v>-0.625</v>
      </c>
      <c r="P17" s="205">
        <v>-0.125</v>
      </c>
      <c r="Q17" s="205">
        <v>0.125</v>
      </c>
      <c r="R17" s="205">
        <v>0.0</v>
      </c>
      <c r="S17" s="205">
        <v>0.0</v>
      </c>
      <c r="T17" s="205">
        <v>0.125</v>
      </c>
      <c r="U17" s="205">
        <v>-1.375</v>
      </c>
      <c r="V17" s="205">
        <v>0.0625</v>
      </c>
      <c r="W17" s="205">
        <v>-1.0625</v>
      </c>
      <c r="X17" s="205">
        <v>-1.5</v>
      </c>
      <c r="Y17" s="205">
        <v>-0.0625</v>
      </c>
      <c r="Z17" s="205">
        <v>-0.1875</v>
      </c>
      <c r="AA17" s="205">
        <v>-1.9375</v>
      </c>
      <c r="AB17" s="205">
        <v>-1.375</v>
      </c>
      <c r="AC17" s="205">
        <v>-1.0</v>
      </c>
      <c r="AD17" s="205">
        <v>0.3125</v>
      </c>
      <c r="AE17" s="205">
        <v>0.125</v>
      </c>
      <c r="AF17" s="205">
        <v>0.1875</v>
      </c>
      <c r="AG17" s="205">
        <v>-0.25</v>
      </c>
      <c r="AH17" s="205">
        <v>-1.6875</v>
      </c>
      <c r="AI17" s="205">
        <v>0.0</v>
      </c>
      <c r="AJ17" s="205">
        <v>0.125</v>
      </c>
      <c r="AK17" s="205">
        <v>0.1875</v>
      </c>
      <c r="AL17" s="205">
        <v>0.0625</v>
      </c>
      <c r="AM17" s="205">
        <v>-1.9375</v>
      </c>
      <c r="AN17" s="205">
        <v>-1.1875</v>
      </c>
      <c r="AO17" s="205">
        <v>0.0625</v>
      </c>
      <c r="AP17" s="205">
        <v>0.4375</v>
      </c>
      <c r="AQ17" s="205">
        <v>0.5625</v>
      </c>
      <c r="AR17" s="205">
        <v>0.5625</v>
      </c>
      <c r="AS17" s="205">
        <v>-0.125</v>
      </c>
      <c r="AT17" s="205">
        <v>-0.75</v>
      </c>
      <c r="AU17" s="205">
        <v>0.0</v>
      </c>
      <c r="AV17" s="205">
        <v>-2.0625</v>
      </c>
      <c r="AW17" s="205">
        <v>0.5</v>
      </c>
      <c r="AX17" s="205">
        <v>-0.4375</v>
      </c>
      <c r="AY17" s="205">
        <v>-1.375</v>
      </c>
      <c r="AZ17" s="205">
        <v>-0.75</v>
      </c>
      <c r="BA17" s="205">
        <v>0.0625</v>
      </c>
      <c r="BB17" s="205">
        <v>0.125</v>
      </c>
      <c r="BC17" s="205">
        <v>0.0</v>
      </c>
      <c r="BD17" s="205">
        <v>0.375</v>
      </c>
      <c r="BE17" s="205">
        <v>-1.625</v>
      </c>
      <c r="BF17" s="205">
        <v>0.375</v>
      </c>
      <c r="BG17" s="205">
        <v>-0.1875</v>
      </c>
      <c r="BH17" s="205">
        <v>0.3125</v>
      </c>
      <c r="BI17" s="205">
        <v>1.0625</v>
      </c>
      <c r="BJ17" s="205">
        <v>0.0</v>
      </c>
      <c r="BK17" s="205">
        <v>-0.25</v>
      </c>
      <c r="BL17" s="205">
        <v>-2.125</v>
      </c>
      <c r="BM17" s="205">
        <v>-0.75</v>
      </c>
      <c r="BN17" s="205">
        <v>-0.4375</v>
      </c>
      <c r="BO17" s="205">
        <v>-1.375</v>
      </c>
      <c r="BP17" s="205">
        <v>-1.625</v>
      </c>
      <c r="BQ17" s="205">
        <v>0.0625</v>
      </c>
      <c r="BR17" s="206"/>
      <c r="BS17" s="250">
        <f t="shared" si="1"/>
        <v>-0.3660714286</v>
      </c>
      <c r="BT17" s="250">
        <f t="shared" si="2"/>
        <v>0.6590136054</v>
      </c>
      <c r="BU17" s="206"/>
      <c r="BV17" s="207">
        <f>IFERROR(__xludf.DUMMYFUNCTION("AVERAGE(ARRAYFORMULA(XLOOKUP(FILTER(INDIRECT(""'""&amp;BV$1&amp;""'!$C$4:$C$66""),INDIRECT(""'""&amp;BV$1&amp;""'!$D$4:$D$66"")=BV$2),$G$3:$BQ$3,$G17:$BQ17)))"),-1.1160714285714286)</f>
        <v>-1.116071429</v>
      </c>
      <c r="BW17" s="207">
        <f>IFERROR(__xludf.DUMMYFUNCTION("IF(OR(BV17&gt;$BS17+$BT17*$BT$2,BV17&lt;$BS17-$BT17*$BT$2),AVEDEV(ARRAYFORMULA(XLOOKUP(FILTER(INDIRECT(""'""&amp;BV$1&amp;""'!$C$4:$C$66""),INDIRECT(""'""&amp;BV$1&amp;""'!$D$4:$D$66"")=BV$2),$G$3:$BQ$3,$G17:$BQ17))),"""")"),0.6913265306122448)</f>
        <v>0.6913265306</v>
      </c>
      <c r="BX17" s="207">
        <f>IFERROR(__xludf.DUMMYFUNCTION("AVERAGE(ARRAYFORMULA(XLOOKUP(FILTER(INDIRECT(""'""&amp;BX$1&amp;""'!$C$4:$C$66""),INDIRECT(""'""&amp;BX$1&amp;""'!$D$4:$D$66"")=BX$2),$G$3:$BQ$3,$G17:$BQ17)))"),-0.2693452380952381)</f>
        <v>-0.2693452381</v>
      </c>
      <c r="BY17" s="207" t="str">
        <f>IFERROR(__xludf.DUMMYFUNCTION("IF(OR(BX17&gt;$BS17+$BT17*$BT$2,BX17&lt;$BS17-$BT17*$BT$2),AVEDEV(ARRAYFORMULA(XLOOKUP(FILTER(INDIRECT(""'""&amp;BX$1&amp;""'!$C$4:$C$66""),INDIRECT(""'""&amp;BX$1&amp;""'!$D$4:$D$66"")=BX$2),$G$3:$BQ$3,$G17:$BQ17))),"""")"),"")</f>
        <v/>
      </c>
      <c r="BZ17" s="207">
        <f>IFERROR(__xludf.DUMMYFUNCTION("AVERAGE(ARRAYFORMULA(XLOOKUP(FILTER(INDIRECT(""'""&amp;BZ$1&amp;""'!$C$4:$C$66""),INDIRECT(""'""&amp;BZ$1&amp;""'!$D$4:$D$66"")=BZ$2),$G$3:$BQ$3,$G17:$BQ17)))"),-0.4034090909090909)</f>
        <v>-0.4034090909</v>
      </c>
      <c r="CA17" s="207" t="str">
        <f>IFERROR(__xludf.DUMMYFUNCTION("IF(OR(BZ17&gt;$BS17+$BT17*$BT$2,BZ17&lt;$BS17-$BT17*$BT$2),AVEDEV(ARRAYFORMULA(XLOOKUP(FILTER(INDIRECT(""'""&amp;BZ$1&amp;""'!$C$4:$C$66""),INDIRECT(""'""&amp;BZ$1&amp;""'!$D$4:$D$66"")=BZ$2),$G$3:$BQ$3,$G17:$BQ17))),"""")"),"")</f>
        <v/>
      </c>
      <c r="CB17" s="209"/>
      <c r="CC17" s="207">
        <f>IFERROR(__xludf.DUMMYFUNCTION("AVERAGE(ARRAYFORMULA(XLOOKUP(FILTER(INDIRECT(""'""&amp;CC$1&amp;""'!$C$4:$C$66""),INDIRECT(""'""&amp;CC$1&amp;""'!$D$4:$D$66"")=CC$2),$G$3:$BQ$3,$G17:$BQ17)))"),0.078125)</f>
        <v>0.078125</v>
      </c>
      <c r="CD17" s="207" t="str">
        <f>IFERROR(__xludf.DUMMYFUNCTION("IF(OR(CC17&gt;$BS17+$BT17*$BT$2,CC17&lt;$BS17-$BT17*$BT$2),AVEDEV(ARRAYFORMULA(XLOOKUP(FILTER(INDIRECT(""'""&amp;CC$1&amp;""'!$C$4:$C$66""),INDIRECT(""'""&amp;CC$1&amp;""'!$D$4:$D$66"")=CC$2),$G$3:$BQ$3,$G17:$BQ17))),"""")"),"")</f>
        <v/>
      </c>
      <c r="CE17" s="207">
        <f>IFERROR(__xludf.DUMMYFUNCTION("AVERAGE(ARRAYFORMULA(XLOOKUP(FILTER(INDIRECT(""'""&amp;CE$1&amp;""'!$C$4:$C$66""),INDIRECT(""'""&amp;CE$1&amp;""'!$D$4:$D$66"")=CE$2),$G$3:$BQ$3,$G17:$BQ17)))"),-0.5544354838709677)</f>
        <v>-0.5544354839</v>
      </c>
      <c r="CF17" s="207" t="str">
        <f>IFERROR(__xludf.DUMMYFUNCTION("IF(OR(CE17&gt;$BS17+$BT17*$BT$2,CE17&lt;$BS17-$BT17*$BT$2),AVEDEV(ARRAYFORMULA(XLOOKUP(FILTER(INDIRECT(""'""&amp;CE$1&amp;""'!$C$4:$C$66""),INDIRECT(""'""&amp;CE$1&amp;""'!$D$4:$D$66"")=CE$2),$G$3:$BQ$3,$G17:$BQ17))),"""")"),"")</f>
        <v/>
      </c>
      <c r="CG17" s="207">
        <f>IFERROR(__xludf.DUMMYFUNCTION("AVERAGE(ARRAYFORMULA(XLOOKUP(FILTER(INDIRECT(""'""&amp;CG$1&amp;""'!$C$4:$C$66""),INDIRECT(""'""&amp;CG$1&amp;""'!$D$4:$D$66"")=CG$2),$G$3:$BQ$3,$G17:$BQ17)))"),-0.05)</f>
        <v>-0.05</v>
      </c>
      <c r="CH17" s="207" t="str">
        <f>IFERROR(__xludf.DUMMYFUNCTION("IF(OR(CG17&gt;$BS17+$BT17*$BT$2,CG17&lt;$BS17-$BT17*$BT$2),AVEDEV(ARRAYFORMULA(XLOOKUP(FILTER(INDIRECT(""'""&amp;CG$1&amp;""'!$C$4:$C$66""),INDIRECT(""'""&amp;CG$1&amp;""'!$D$4:$D$66"")=CG$2),$G$3:$BQ$3,$G17:$BQ17))),"""")"),"")</f>
        <v/>
      </c>
      <c r="CI17" s="206"/>
      <c r="CJ17" s="251">
        <f>IFERROR(__xludf.DUMMYFUNCTION("AVERAGE(ARRAYFORMULA(XLOOKUP(FILTER(INDIRECT(""'""&amp;CJ$1&amp;""'!$C$4:$C$66""),INDIRECT(""'""&amp;CJ$1&amp;""'!$D$4:$D$66"")=CJ$2),$G$3:$BQ$3,$G17:$BQ17)))"),-0.9833333333333333)</f>
        <v>-0.9833333333</v>
      </c>
      <c r="CK17" s="207" t="str">
        <f>IFERROR(__xludf.DUMMYFUNCTION("IF(OR(CJ17&gt;$BS17+$BT17*$BT$2,CJ17&lt;$BS17-$BT17*$BT$2),AVEDEV(ARRAYFORMULA(XLOOKUP(FILTER(INDIRECT(""'""&amp;CJ$1&amp;""'!$C$4:$C$66""),INDIRECT(""'""&amp;CJ$1&amp;""'!$D$4:$D$66"")=CJ$2),$G$3:$BQ$3,$G17:$BQ17))),"""")"),"")</f>
        <v/>
      </c>
      <c r="CL17" s="251">
        <f>IFERROR(__xludf.DUMMYFUNCTION("AVERAGE(ARRAYFORMULA(XLOOKUP(FILTER(INDIRECT(""'""&amp;CL$1&amp;""'!$C$4:$C$66""),INDIRECT(""'""&amp;CL$1&amp;""'!$D$4:$D$66"")=CL$2),$G$3:$BQ$3,$G17:$BQ17)))"),-0.16506410256410256)</f>
        <v>-0.1650641026</v>
      </c>
      <c r="CM17" s="207" t="str">
        <f>IFERROR(__xludf.DUMMYFUNCTION("IF(OR(CL17&gt;$BS17+$BT17*$BT$2,CL17&lt;$BS17-$BT17*$BT$2),AVEDEV(ARRAYFORMULA(XLOOKUP(FILTER(INDIRECT(""'""&amp;CL$1&amp;""'!$C$4:$C$66""),INDIRECT(""'""&amp;CL$1&amp;""'!$D$4:$D$66"")=CL$2),$G$3:$BQ$3,$G17:$BQ17))),"""")"),"")</f>
        <v/>
      </c>
      <c r="CN17" s="251">
        <f>IFERROR(__xludf.DUMMYFUNCTION("AVERAGE(ARRAYFORMULA(XLOOKUP(FILTER(INDIRECT(""'""&amp;CN$1&amp;""'!$C$4:$C$66""),INDIRECT(""'""&amp;CN$1&amp;""'!$D$4:$D$66"")=CN$2),$G$3:$BQ$3,$G17:$BQ17)))"),-0.05)</f>
        <v>-0.05</v>
      </c>
      <c r="CO17" s="207" t="str">
        <f>IFERROR(__xludf.DUMMYFUNCTION("IF(OR(CN17&gt;$BS17+$BT17*$BT$2,CN17&lt;$BS17-$BT17*$BT$2),AVEDEV(ARRAYFORMULA(XLOOKUP(FILTER(INDIRECT(""'""&amp;CN$1&amp;""'!$C$4:$C$66""),INDIRECT(""'""&amp;CN$1&amp;""'!$D$4:$D$66"")=CN$2),$G$3:$BQ$3,$G17:$BQ17))),"""")"),"")</f>
        <v/>
      </c>
      <c r="CP17" s="252"/>
      <c r="CQ17" s="251">
        <f>IFERROR(__xludf.DUMMYFUNCTION("AVERAGE(ARRAYFORMULA(XLOOKUP(FILTER(INDIRECT(""'""&amp;CQ$1&amp;""'!$C$4:$C$66""),INDIRECT(""'""&amp;CQ$1&amp;""'!$D$4:$D$66"")=CQ$2),$G$3:$BQ$3,$G17:$BQ17)))"),0.14285714285714285)</f>
        <v>0.1428571429</v>
      </c>
      <c r="CR17" s="207" t="str">
        <f>IFERROR(__xludf.DUMMYFUNCTION("IF(OR(CQ17&gt;$BS17+$BT17*$BT$2,CQ17&lt;$BS17-$BT17*$BT$2),AVEDEV(ARRAYFORMULA(XLOOKUP(FILTER(INDIRECT(""'""&amp;CQ$1&amp;""'!$C$4:$C$66""),INDIRECT(""'""&amp;CQ$1&amp;""'!$D$4:$D$66"")=CQ$2),$G$3:$BQ$3,$G17:$BQ17))),"""")"),"")</f>
        <v/>
      </c>
      <c r="CS17" s="251">
        <f>IFERROR(__xludf.DUMMYFUNCTION("AVERAGE(ARRAYFORMULA(XLOOKUP(FILTER(INDIRECT(""'""&amp;CS$1&amp;""'!$C$4:$C$66""),INDIRECT(""'""&amp;CS$1&amp;""'!$D$4:$D$66"")=CS$2),$G$3:$BQ$3,$G17:$BQ17)))"),-0.3263888888888889)</f>
        <v>-0.3263888889</v>
      </c>
      <c r="CT17" s="207" t="str">
        <f>IFERROR(__xludf.DUMMYFUNCTION("IF(OR(CS17&gt;$BS17+$BT17*$BT$2,CS17&lt;$BS17-$BT17*$BT$2),AVEDEV(ARRAYFORMULA(XLOOKUP(FILTER(INDIRECT(""'""&amp;CS$1&amp;""'!$C$4:$C$66""),INDIRECT(""'""&amp;CS$1&amp;""'!$D$4:$D$66"")=CS$2),$G$3:$BQ$3,$G17:$BQ17))),"""")"),"")</f>
        <v/>
      </c>
      <c r="CU17" s="251">
        <f>IFERROR(__xludf.DUMMYFUNCTION("AVERAGE(ARRAYFORMULA(XLOOKUP(FILTER(INDIRECT(""'""&amp;CU$1&amp;""'!$C$4:$C$66""),INDIRECT(""'""&amp;CU$1&amp;""'!$D$4:$D$66"")=CU$2),$G$3:$BQ$3,$G17:$BQ17)))"),-1.1875)</f>
        <v>-1.1875</v>
      </c>
      <c r="CV17" s="207">
        <f>IFERROR(__xludf.DUMMYFUNCTION("IF(OR(CU17&gt;$BS17+$BT17*$BT$2,CU17&lt;$BS17-$BT17*$BT$2),AVEDEV(ARRAYFORMULA(XLOOKUP(FILTER(INDIRECT(""'""&amp;CU$1&amp;""'!$C$4:$C$66""),INDIRECT(""'""&amp;CU$1&amp;""'!$D$4:$D$66"")=CU$2),$G$3:$BQ$3,$G17:$BQ17))),"""")"),0.5909090909090909)</f>
        <v>0.5909090909</v>
      </c>
      <c r="CW17" s="251">
        <f>IFERROR(__xludf.DUMMYFUNCTION("AVERAGE(ARRAYFORMULA(XLOOKUP(FILTER(INDIRECT(""'""&amp;CW$1&amp;""'!$C$4:$C$66""),INDIRECT(""'""&amp;CW$1&amp;""'!$D$4:$D$66"")=CW$2),$G$3:$BQ$3,$G17:$BQ17)))"),0.3125)</f>
        <v>0.3125</v>
      </c>
      <c r="CX17" s="207">
        <f>IFERROR(__xludf.DUMMYFUNCTION("IF(OR(CW17&gt;$BS17+$BT17*$BT$2,CW17&lt;$BS17-$BT17*$BT$2),AVEDEV(ARRAYFORMULA(XLOOKUP(FILTER(INDIRECT(""'""&amp;CW$1&amp;""'!$C$4:$C$66""),INDIRECT(""'""&amp;CW$1&amp;""'!$D$4:$D$66"")=CW$2),$G$3:$BQ$3,$G17:$BQ17))),"""")"),0.0)</f>
        <v>0</v>
      </c>
      <c r="CY17" s="251">
        <f>IFERROR(__xludf.DUMMYFUNCTION("AVERAGE(ARRAYFORMULA(XLOOKUP(FILTER(INDIRECT(""'""&amp;CY$1&amp;""'!$C$4:$C$66""),INDIRECT(""'""&amp;CY$1&amp;""'!$D$4:$D$66"")=CY$2),$G$3:$BQ$3,$G17:$BQ17)))"),-0.18303571428571427)</f>
        <v>-0.1830357143</v>
      </c>
      <c r="CZ17" s="207" t="str">
        <f>IFERROR(__xludf.DUMMYFUNCTION("IF(OR(CY17&gt;$BS17+$BT17*$BT$2,CY17&lt;$BS17-$BT17*$BT$2),AVEDEV(ARRAYFORMULA(XLOOKUP(FILTER(INDIRECT(""'""&amp;CY$1&amp;""'!$C$4:$C$66""),INDIRECT(""'""&amp;CY$1&amp;""'!$D$4:$D$66"")=CY$2),$G$3:$BQ$3,$G17:$BQ17))),"""")"),"")</f>
        <v/>
      </c>
      <c r="DA17" s="252"/>
      <c r="DB17" s="251">
        <f>IFERROR(__xludf.DUMMYFUNCTION("AVERAGE(ARRAYFORMULA(XLOOKUP(FILTER(INDIRECT(""'""&amp;DB$1&amp;""'!$C$4:$C$66""),INDIRECT(""'""&amp;DB$1&amp;""'!$D$4:$D$66"")=DB$2),$G$3:$BQ$3,$G17:$BQ17)))"),-0.20416666666666666)</f>
        <v>-0.2041666667</v>
      </c>
      <c r="DC17" s="207" t="str">
        <f>IFERROR(__xludf.DUMMYFUNCTION("IF(OR(DB17&gt;$BS17+$BT17*$BT$2,DB17&lt;$BS17-$BT17*$BT$2),AVEDEV(ARRAYFORMULA(XLOOKUP(FILTER(INDIRECT(""'""&amp;DB$1&amp;""'!$C$4:$C$66""),INDIRECT(""'""&amp;DB$1&amp;""'!$D$4:$D$66"")=DB$2),$G$3:$BQ$3,$G17:$BQ17))),"""")"),"")</f>
        <v/>
      </c>
      <c r="DD17" s="251">
        <f>IFERROR(__xludf.DUMMYFUNCTION("AVERAGE(ARRAYFORMULA(XLOOKUP(FILTER(INDIRECT(""'""&amp;DD$1&amp;""'!$C$4:$C$66""),INDIRECT(""'""&amp;DD$1&amp;""'!$D$4:$D$66"")=DD$2),$G$3:$BQ$3,$G17:$BQ17)))"),-0.6527777777777778)</f>
        <v>-0.6527777778</v>
      </c>
      <c r="DE17" s="207" t="str">
        <f>IFERROR(__xludf.DUMMYFUNCTION("IF(OR(DD17&gt;$BS17+$BT17*$BT$2,DD17&lt;$BS17-$BT17*$BT$2),AVEDEV(ARRAYFORMULA(XLOOKUP(FILTER(INDIRECT(""'""&amp;DD$1&amp;""'!$C$4:$C$66""),INDIRECT(""'""&amp;DD$1&amp;""'!$D$4:$D$66"")=DD$2),$G$3:$BQ$3,$G17:$BQ17))),"""")"),"")</f>
        <v/>
      </c>
      <c r="DF17" s="251">
        <f>IFERROR(__xludf.DUMMYFUNCTION("AVERAGE(ARRAYFORMULA(XLOOKUP(FILTER(INDIRECT(""'""&amp;DF$1&amp;""'!$C$4:$C$66""),INDIRECT(""'""&amp;DF$1&amp;""'!$D$4:$D$66"")=DF$2),$G$3:$BQ$3,$G17:$BQ17)))"),-0.7421875)</f>
        <v>-0.7421875</v>
      </c>
      <c r="DG17" s="207" t="str">
        <f>IFERROR(__xludf.DUMMYFUNCTION("IF(OR(DF17&gt;$BS17+$BT17*$BT$2,DF17&lt;$BS17-$BT17*$BT$2),AVEDEV(ARRAYFORMULA(XLOOKUP(FILTER(INDIRECT(""'""&amp;DF$1&amp;""'!$C$4:$C$66""),INDIRECT(""'""&amp;DF$1&amp;""'!$D$4:$D$66"")=DF$2),$G$3:$BQ$3,$G17:$BQ17))),"""")"),"")</f>
        <v/>
      </c>
      <c r="DH17" s="251">
        <f>IFERROR(__xludf.DUMMYFUNCTION("AVERAGE(ARRAYFORMULA(XLOOKUP(FILTER(INDIRECT(""'""&amp;DH$1&amp;""'!$C$4:$C$66""),INDIRECT(""'""&amp;DH$1&amp;""'!$D$4:$D$66"")=DH$2),$G$3:$BQ$3,$G17:$BQ17)))"),-0.2916666666666667)</f>
        <v>-0.2916666667</v>
      </c>
      <c r="DI17" s="207" t="str">
        <f>IFERROR(__xludf.DUMMYFUNCTION("IF(OR(DH17&gt;$BS17+$BT17*$BT$2,DH17&lt;$BS17-$BT17*$BT$2),AVEDEV(ARRAYFORMULA(XLOOKUP(FILTER(INDIRECT(""'""&amp;DH$1&amp;""'!$C$4:$C$66""),INDIRECT(""'""&amp;DH$1&amp;""'!$D$4:$D$66"")=DH$2),$G$3:$BQ$3,$G17:$BQ17))),"""")"),"")</f>
        <v/>
      </c>
      <c r="DJ17" s="243"/>
    </row>
    <row r="18">
      <c r="A18" s="2"/>
      <c r="B18" s="204">
        <v>14.0</v>
      </c>
      <c r="C18" s="204" t="s">
        <v>442</v>
      </c>
      <c r="D18" s="204" t="s">
        <v>457</v>
      </c>
      <c r="E18" s="205" t="b">
        <f>VLOOKUP(D18,'Feature Set List'!A15:C246,2,0)</f>
        <v>1</v>
      </c>
      <c r="F18" s="205" t="b">
        <f>VLOOKUP(D18,'Feature Set List'!A15:C246,3,0)</f>
        <v>0</v>
      </c>
      <c r="G18" s="205">
        <v>0.8</v>
      </c>
      <c r="H18" s="205">
        <v>0.8</v>
      </c>
      <c r="I18" s="205">
        <v>-0.2</v>
      </c>
      <c r="J18" s="205">
        <v>1.0</v>
      </c>
      <c r="K18" s="205">
        <v>0.8</v>
      </c>
      <c r="L18" s="205">
        <v>1.0</v>
      </c>
      <c r="M18" s="205">
        <v>-0.6</v>
      </c>
      <c r="N18" s="205">
        <v>0.2</v>
      </c>
      <c r="O18" s="205">
        <v>-0.2</v>
      </c>
      <c r="P18" s="205">
        <v>0.4</v>
      </c>
      <c r="Q18" s="205">
        <v>-0.2</v>
      </c>
      <c r="R18" s="205">
        <v>-0.6</v>
      </c>
      <c r="S18" s="205">
        <v>-0.6</v>
      </c>
      <c r="T18" s="205">
        <v>-0.6</v>
      </c>
      <c r="U18" s="205">
        <v>-0.2</v>
      </c>
      <c r="V18" s="205">
        <v>-0.4</v>
      </c>
      <c r="W18" s="205">
        <v>0.8</v>
      </c>
      <c r="X18" s="205">
        <v>-0.6</v>
      </c>
      <c r="Y18" s="205">
        <v>-0.8</v>
      </c>
      <c r="Z18" s="205">
        <v>-0.2</v>
      </c>
      <c r="AA18" s="205">
        <v>1.2</v>
      </c>
      <c r="AB18" s="205">
        <v>-0.2</v>
      </c>
      <c r="AC18" s="205">
        <v>0.6</v>
      </c>
      <c r="AD18" s="205">
        <v>0.4</v>
      </c>
      <c r="AE18" s="205">
        <v>-0.2</v>
      </c>
      <c r="AF18" s="205">
        <v>0.0</v>
      </c>
      <c r="AG18" s="205">
        <v>-0.6</v>
      </c>
      <c r="AH18" s="205">
        <v>0.8</v>
      </c>
      <c r="AI18" s="205">
        <v>0.0</v>
      </c>
      <c r="AJ18" s="205">
        <v>0.4</v>
      </c>
      <c r="AK18" s="205">
        <v>0.0</v>
      </c>
      <c r="AL18" s="205">
        <v>0.6</v>
      </c>
      <c r="AM18" s="205">
        <v>0.4</v>
      </c>
      <c r="AN18" s="205">
        <v>0.4</v>
      </c>
      <c r="AO18" s="205">
        <v>-0.4</v>
      </c>
      <c r="AP18" s="205">
        <v>0.0</v>
      </c>
      <c r="AQ18" s="205">
        <v>1.2</v>
      </c>
      <c r="AR18" s="205">
        <v>1.2</v>
      </c>
      <c r="AS18" s="205">
        <v>-1.0</v>
      </c>
      <c r="AT18" s="205">
        <v>-0.6</v>
      </c>
      <c r="AU18" s="205">
        <v>-0.6</v>
      </c>
      <c r="AV18" s="205">
        <v>0.0</v>
      </c>
      <c r="AW18" s="205">
        <v>0.4</v>
      </c>
      <c r="AX18" s="205">
        <v>0.4</v>
      </c>
      <c r="AY18" s="205">
        <v>-0.2</v>
      </c>
      <c r="AZ18" s="205">
        <v>-0.6</v>
      </c>
      <c r="BA18" s="205">
        <v>0.6</v>
      </c>
      <c r="BB18" s="205">
        <v>-0.2</v>
      </c>
      <c r="BC18" s="205">
        <v>-0.6</v>
      </c>
      <c r="BD18" s="205">
        <v>0.4</v>
      </c>
      <c r="BE18" s="205">
        <v>-1.0</v>
      </c>
      <c r="BF18" s="205">
        <v>0.6</v>
      </c>
      <c r="BG18" s="205">
        <v>1.2</v>
      </c>
      <c r="BH18" s="205">
        <v>0.4</v>
      </c>
      <c r="BI18" s="205">
        <v>0.4</v>
      </c>
      <c r="BJ18" s="205">
        <v>-0.6</v>
      </c>
      <c r="BK18" s="205">
        <v>0.0</v>
      </c>
      <c r="BL18" s="205">
        <v>-0.2</v>
      </c>
      <c r="BM18" s="205">
        <v>-0.6</v>
      </c>
      <c r="BN18" s="205">
        <v>0.4</v>
      </c>
      <c r="BO18" s="205">
        <v>-0.2</v>
      </c>
      <c r="BP18" s="205">
        <v>-1.0</v>
      </c>
      <c r="BQ18" s="205">
        <v>0.6</v>
      </c>
      <c r="BR18" s="206"/>
      <c r="BS18" s="250">
        <f t="shared" si="1"/>
        <v>0.06984126984</v>
      </c>
      <c r="BT18" s="250">
        <f t="shared" si="2"/>
        <v>0.5220458554</v>
      </c>
      <c r="BU18" s="206"/>
      <c r="BV18" s="207">
        <f>IFERROR(__xludf.DUMMYFUNCTION("AVERAGE(ARRAYFORMULA(XLOOKUP(FILTER(INDIRECT(""'""&amp;BV$1&amp;""'!$C$4:$C$66""),INDIRECT(""'""&amp;BV$1&amp;""'!$D$4:$D$66"")=BV$2),$G$3:$BQ$3,$G18:$BQ18)))"),-0.4)</f>
        <v>-0.4</v>
      </c>
      <c r="BW18" s="207" t="str">
        <f>IFERROR(__xludf.DUMMYFUNCTION("IF(OR(BV18&gt;$BS18+$BT18*$BT$2,BV18&lt;$BS18-$BT18*$BT$2),AVEDEV(ARRAYFORMULA(XLOOKUP(FILTER(INDIRECT(""'""&amp;BV$1&amp;""'!$C$4:$C$66""),INDIRECT(""'""&amp;BV$1&amp;""'!$D$4:$D$66"")=BV$2),$G$3:$BQ$3,$G18:$BQ18))),"""")"),"")</f>
        <v/>
      </c>
      <c r="BX18" s="207">
        <f>IFERROR(__xludf.DUMMYFUNCTION("AVERAGE(ARRAYFORMULA(XLOOKUP(FILTER(INDIRECT(""'""&amp;BX$1&amp;""'!$C$4:$C$66""),INDIRECT(""'""&amp;BX$1&amp;""'!$D$4:$D$66"")=BX$2),$G$3:$BQ$3,$G18:$BQ18)))"),0.17142857142857143)</f>
        <v>0.1714285714</v>
      </c>
      <c r="BY18" s="207" t="str">
        <f>IFERROR(__xludf.DUMMYFUNCTION("IF(OR(BX18&gt;$BS18+$BT18*$BT$2,BX18&lt;$BS18-$BT18*$BT$2),AVEDEV(ARRAYFORMULA(XLOOKUP(FILTER(INDIRECT(""'""&amp;BX$1&amp;""'!$C$4:$C$66""),INDIRECT(""'""&amp;BX$1&amp;""'!$D$4:$D$66"")=BX$2),$G$3:$BQ$3,$G18:$BQ18))),"""")"),"")</f>
        <v/>
      </c>
      <c r="BZ18" s="207">
        <f>IFERROR(__xludf.DUMMYFUNCTION("AVERAGE(ARRAYFORMULA(XLOOKUP(FILTER(INDIRECT(""'""&amp;BZ$1&amp;""'!$C$4:$C$66""),INDIRECT(""'""&amp;BZ$1&amp;""'!$D$4:$D$66"")=BZ$2),$G$3:$BQ$3,$G18:$BQ18)))"),0.036363636363636376)</f>
        <v>0.03636363636</v>
      </c>
      <c r="CA18" s="207" t="str">
        <f>IFERROR(__xludf.DUMMYFUNCTION("IF(OR(BZ18&gt;$BS18+$BT18*$BT$2,BZ18&lt;$BS18-$BT18*$BT$2),AVEDEV(ARRAYFORMULA(XLOOKUP(FILTER(INDIRECT(""'""&amp;BZ$1&amp;""'!$C$4:$C$66""),INDIRECT(""'""&amp;BZ$1&amp;""'!$D$4:$D$66"")=BZ$2),$G$3:$BQ$3,$G18:$BQ18))),"""")"),"")</f>
        <v/>
      </c>
      <c r="CB18" s="209"/>
      <c r="CC18" s="207">
        <f>IFERROR(__xludf.DUMMYFUNCTION("AVERAGE(ARRAYFORMULA(XLOOKUP(FILTER(INDIRECT(""'""&amp;CC$1&amp;""'!$C$4:$C$66""),INDIRECT(""'""&amp;CC$1&amp;""'!$D$4:$D$66"")=CC$2),$G$3:$BQ$3,$G18:$BQ18)))"),0.17499999999999996)</f>
        <v>0.175</v>
      </c>
      <c r="CD18" s="207" t="str">
        <f>IFERROR(__xludf.DUMMYFUNCTION("IF(OR(CC18&gt;$BS18+$BT18*$BT$2,CC18&lt;$BS18-$BT18*$BT$2),AVEDEV(ARRAYFORMULA(XLOOKUP(FILTER(INDIRECT(""'""&amp;CC$1&amp;""'!$C$4:$C$66""),INDIRECT(""'""&amp;CC$1&amp;""'!$D$4:$D$66"")=CC$2),$G$3:$BQ$3,$G18:$BQ18))),"""")"),"")</f>
        <v/>
      </c>
      <c r="CE18" s="207">
        <f>IFERROR(__xludf.DUMMYFUNCTION("AVERAGE(ARRAYFORMULA(XLOOKUP(FILTER(INDIRECT(""'""&amp;CE$1&amp;""'!$C$4:$C$66""),INDIRECT(""'""&amp;CE$1&amp;""'!$D$4:$D$66"")=CE$2),$G$3:$BQ$3,$G18:$BQ18)))"),0.03225806451612906)</f>
        <v>0.03225806452</v>
      </c>
      <c r="CF18" s="207" t="str">
        <f>IFERROR(__xludf.DUMMYFUNCTION("IF(OR(CE18&gt;$BS18+$BT18*$BT$2,CE18&lt;$BS18-$BT18*$BT$2),AVEDEV(ARRAYFORMULA(XLOOKUP(FILTER(INDIRECT(""'""&amp;CE$1&amp;""'!$C$4:$C$66""),INDIRECT(""'""&amp;CE$1&amp;""'!$D$4:$D$66"")=CE$2),$G$3:$BQ$3,$G18:$BQ18))),"""")"),"")</f>
        <v/>
      </c>
      <c r="CG18" s="207">
        <f>IFERROR(__xludf.DUMMYFUNCTION("AVERAGE(ARRAYFORMULA(XLOOKUP(FILTER(INDIRECT(""'""&amp;CG$1&amp;""'!$C$4:$C$66""),INDIRECT(""'""&amp;CG$1&amp;""'!$D$4:$D$66"")=CG$2),$G$3:$BQ$3,$G18:$BQ18)))"),0.12)</f>
        <v>0.12</v>
      </c>
      <c r="CH18" s="207" t="str">
        <f>IFERROR(__xludf.DUMMYFUNCTION("IF(OR(CG18&gt;$BS18+$BT18*$BT$2,CG18&lt;$BS18-$BT18*$BT$2),AVEDEV(ARRAYFORMULA(XLOOKUP(FILTER(INDIRECT(""'""&amp;CG$1&amp;""'!$C$4:$C$66""),INDIRECT(""'""&amp;CG$1&amp;""'!$D$4:$D$66"")=CG$2),$G$3:$BQ$3,$G18:$BQ18))),"""")"),"")</f>
        <v/>
      </c>
      <c r="CI18" s="206"/>
      <c r="CJ18" s="251">
        <f>IFERROR(__xludf.DUMMYFUNCTION("AVERAGE(ARRAYFORMULA(XLOOKUP(FILTER(INDIRECT(""'""&amp;CJ$1&amp;""'!$C$4:$C$66""),INDIRECT(""'""&amp;CJ$1&amp;""'!$D$4:$D$66"")=CJ$2),$G$3:$BQ$3,$G18:$BQ18)))"),-0.06666666666666667)</f>
        <v>-0.06666666667</v>
      </c>
      <c r="CK18" s="207" t="str">
        <f>IFERROR(__xludf.DUMMYFUNCTION("IF(OR(CJ18&gt;$BS18+$BT18*$BT$2,CJ18&lt;$BS18-$BT18*$BT$2),AVEDEV(ARRAYFORMULA(XLOOKUP(FILTER(INDIRECT(""'""&amp;CJ$1&amp;""'!$C$4:$C$66""),INDIRECT(""'""&amp;CJ$1&amp;""'!$D$4:$D$66"")=CJ$2),$G$3:$BQ$3,$G18:$BQ18))),"""")"),"")</f>
        <v/>
      </c>
      <c r="CL18" s="251">
        <f>IFERROR(__xludf.DUMMYFUNCTION("AVERAGE(ARRAYFORMULA(XLOOKUP(FILTER(INDIRECT(""'""&amp;CL$1&amp;""'!$C$4:$C$66""),INDIRECT(""'""&amp;CL$1&amp;""'!$D$4:$D$66"")=CL$2),$G$3:$BQ$3,$G18:$BQ18)))"),0.13846153846153847)</f>
        <v>0.1384615385</v>
      </c>
      <c r="CM18" s="207" t="str">
        <f>IFERROR(__xludf.DUMMYFUNCTION("IF(OR(CL18&gt;$BS18+$BT18*$BT$2,CL18&lt;$BS18-$BT18*$BT$2),AVEDEV(ARRAYFORMULA(XLOOKUP(FILTER(INDIRECT(""'""&amp;CL$1&amp;""'!$C$4:$C$66""),INDIRECT(""'""&amp;CL$1&amp;""'!$D$4:$D$66"")=CL$2),$G$3:$BQ$3,$G18:$BQ18))),"""")"),"")</f>
        <v/>
      </c>
      <c r="CN18" s="251">
        <f>IFERROR(__xludf.DUMMYFUNCTION("AVERAGE(ARRAYFORMULA(XLOOKUP(FILTER(INDIRECT(""'""&amp;CN$1&amp;""'!$C$4:$C$66""),INDIRECT(""'""&amp;CN$1&amp;""'!$D$4:$D$66"")=CN$2),$G$3:$BQ$3,$G18:$BQ18)))"),0.12)</f>
        <v>0.12</v>
      </c>
      <c r="CO18" s="207" t="str">
        <f>IFERROR(__xludf.DUMMYFUNCTION("IF(OR(CN18&gt;$BS18+$BT18*$BT$2,CN18&lt;$BS18-$BT18*$BT$2),AVEDEV(ARRAYFORMULA(XLOOKUP(FILTER(INDIRECT(""'""&amp;CN$1&amp;""'!$C$4:$C$66""),INDIRECT(""'""&amp;CN$1&amp;""'!$D$4:$D$66"")=CN$2),$G$3:$BQ$3,$G18:$BQ18))),"""")"),"")</f>
        <v/>
      </c>
      <c r="CP18" s="252"/>
      <c r="CQ18" s="251">
        <f>IFERROR(__xludf.DUMMYFUNCTION("AVERAGE(ARRAYFORMULA(XLOOKUP(FILTER(INDIRECT(""'""&amp;CQ$1&amp;""'!$C$4:$C$66""),INDIRECT(""'""&amp;CQ$1&amp;""'!$D$4:$D$66"")=CQ$2),$G$3:$BQ$3,$G18:$BQ18)))"),0.2571428571428571)</f>
        <v>0.2571428571</v>
      </c>
      <c r="CR18" s="207" t="str">
        <f>IFERROR(__xludf.DUMMYFUNCTION("IF(OR(CQ18&gt;$BS18+$BT18*$BT$2,CQ18&lt;$BS18-$BT18*$BT$2),AVEDEV(ARRAYFORMULA(XLOOKUP(FILTER(INDIRECT(""'""&amp;CQ$1&amp;""'!$C$4:$C$66""),INDIRECT(""'""&amp;CQ$1&amp;""'!$D$4:$D$66"")=CQ$2),$G$3:$BQ$3,$G18:$BQ18))),"""")"),"")</f>
        <v/>
      </c>
      <c r="CS18" s="251">
        <f>IFERROR(__xludf.DUMMYFUNCTION("AVERAGE(ARRAYFORMULA(XLOOKUP(FILTER(INDIRECT(""'""&amp;CS$1&amp;""'!$C$4:$C$66""),INDIRECT(""'""&amp;CS$1&amp;""'!$D$4:$D$66"")=CS$2),$G$3:$BQ$3,$G18:$BQ18)))"),0.17777777777777776)</f>
        <v>0.1777777778</v>
      </c>
      <c r="CT18" s="207" t="str">
        <f>IFERROR(__xludf.DUMMYFUNCTION("IF(OR(CS18&gt;$BS18+$BT18*$BT$2,CS18&lt;$BS18-$BT18*$BT$2),AVEDEV(ARRAYFORMULA(XLOOKUP(FILTER(INDIRECT(""'""&amp;CS$1&amp;""'!$C$4:$C$66""),INDIRECT(""'""&amp;CS$1&amp;""'!$D$4:$D$66"")=CS$2),$G$3:$BQ$3,$G18:$BQ18))),"""")"),"")</f>
        <v/>
      </c>
      <c r="CU18" s="251">
        <f>IFERROR(__xludf.DUMMYFUNCTION("AVERAGE(ARRAYFORMULA(XLOOKUP(FILTER(INDIRECT(""'""&amp;CU$1&amp;""'!$C$4:$C$66""),INDIRECT(""'""&amp;CU$1&amp;""'!$D$4:$D$66"")=CU$2),$G$3:$BQ$3,$G18:$BQ18)))"),0.18181818181818182)</f>
        <v>0.1818181818</v>
      </c>
      <c r="CV18" s="207" t="str">
        <f>IFERROR(__xludf.DUMMYFUNCTION("IF(OR(CU18&gt;$BS18+$BT18*$BT$2,CU18&lt;$BS18-$BT18*$BT$2),AVEDEV(ARRAYFORMULA(XLOOKUP(FILTER(INDIRECT(""'""&amp;CU$1&amp;""'!$C$4:$C$66""),INDIRECT(""'""&amp;CU$1&amp;""'!$D$4:$D$66"")=CU$2),$G$3:$BQ$3,$G18:$BQ18))),"""")"),"")</f>
        <v/>
      </c>
      <c r="CW18" s="251">
        <f>IFERROR(__xludf.DUMMYFUNCTION("AVERAGE(ARRAYFORMULA(XLOOKUP(FILTER(INDIRECT(""'""&amp;CW$1&amp;""'!$C$4:$C$66""),INDIRECT(""'""&amp;CW$1&amp;""'!$D$4:$D$66"")=CW$2),$G$3:$BQ$3,$G18:$BQ18)))"),0.4)</f>
        <v>0.4</v>
      </c>
      <c r="CX18" s="207" t="str">
        <f>IFERROR(__xludf.DUMMYFUNCTION("IF(OR(CW18&gt;$BS18+$BT18*$BT$2,CW18&lt;$BS18-$BT18*$BT$2),AVEDEV(ARRAYFORMULA(XLOOKUP(FILTER(INDIRECT(""'""&amp;CW$1&amp;""'!$C$4:$C$66""),INDIRECT(""'""&amp;CW$1&amp;""'!$D$4:$D$66"")=CW$2),$G$3:$BQ$3,$G18:$BQ18))),"""")"),"")</f>
        <v/>
      </c>
      <c r="CY18" s="251">
        <f>IFERROR(__xludf.DUMMYFUNCTION("AVERAGE(ARRAYFORMULA(XLOOKUP(FILTER(INDIRECT(""'""&amp;CY$1&amp;""'!$C$4:$C$66""),INDIRECT(""'""&amp;CY$1&amp;""'!$D$4:$D$66"")=CY$2),$G$3:$BQ$3,$G18:$BQ18)))"),0.028571428571428574)</f>
        <v>0.02857142857</v>
      </c>
      <c r="CZ18" s="207" t="str">
        <f>IFERROR(__xludf.DUMMYFUNCTION("IF(OR(CY18&gt;$BS18+$BT18*$BT$2,CY18&lt;$BS18-$BT18*$BT$2),AVEDEV(ARRAYFORMULA(XLOOKUP(FILTER(INDIRECT(""'""&amp;CY$1&amp;""'!$C$4:$C$66""),INDIRECT(""'""&amp;CY$1&amp;""'!$D$4:$D$66"")=CY$2),$G$3:$BQ$3,$G18:$BQ18))),"""")"),"")</f>
        <v/>
      </c>
      <c r="DA18" s="252"/>
      <c r="DB18" s="251">
        <f>IFERROR(__xludf.DUMMYFUNCTION("AVERAGE(ARRAYFORMULA(XLOOKUP(FILTER(INDIRECT(""'""&amp;DB$1&amp;""'!$C$4:$C$66""),INDIRECT(""'""&amp;DB$1&amp;""'!$D$4:$D$66"")=DB$2),$G$3:$BQ$3,$G18:$BQ18)))"),0.12666666666666668)</f>
        <v>0.1266666667</v>
      </c>
      <c r="DC18" s="207" t="str">
        <f>IFERROR(__xludf.DUMMYFUNCTION("IF(OR(DB18&gt;$BS18+$BT18*$BT$2,DB18&lt;$BS18-$BT18*$BT$2),AVEDEV(ARRAYFORMULA(XLOOKUP(FILTER(INDIRECT(""'""&amp;DB$1&amp;""'!$C$4:$C$66""),INDIRECT(""'""&amp;DB$1&amp;""'!$D$4:$D$66"")=DB$2),$G$3:$BQ$3,$G18:$BQ18))),"""")"),"")</f>
        <v/>
      </c>
      <c r="DD18" s="251">
        <f>IFERROR(__xludf.DUMMYFUNCTION("AVERAGE(ARRAYFORMULA(XLOOKUP(FILTER(INDIRECT(""'""&amp;DD$1&amp;""'!$C$4:$C$66""),INDIRECT(""'""&amp;DD$1&amp;""'!$D$4:$D$66"")=DD$2),$G$3:$BQ$3,$G18:$BQ18)))"),0.20000000000000004)</f>
        <v>0.2</v>
      </c>
      <c r="DE18" s="207" t="str">
        <f>IFERROR(__xludf.DUMMYFUNCTION("IF(OR(DD18&gt;$BS18+$BT18*$BT$2,DD18&lt;$BS18-$BT18*$BT$2),AVEDEV(ARRAYFORMULA(XLOOKUP(FILTER(INDIRECT(""'""&amp;DD$1&amp;""'!$C$4:$C$66""),INDIRECT(""'""&amp;DD$1&amp;""'!$D$4:$D$66"")=DD$2),$G$3:$BQ$3,$G18:$BQ18))),"""")"),"")</f>
        <v/>
      </c>
      <c r="DF18" s="251">
        <f>IFERROR(__xludf.DUMMYFUNCTION("AVERAGE(ARRAYFORMULA(XLOOKUP(FILTER(INDIRECT(""'""&amp;DF$1&amp;""'!$C$4:$C$66""),INDIRECT(""'""&amp;DF$1&amp;""'!$D$4:$D$66"")=DF$2),$G$3:$BQ$3,$G18:$BQ18)))"),-0.10000000000000002)</f>
        <v>-0.1</v>
      </c>
      <c r="DG18" s="207" t="str">
        <f>IFERROR(__xludf.DUMMYFUNCTION("IF(OR(DF18&gt;$BS18+$BT18*$BT$2,DF18&lt;$BS18-$BT18*$BT$2),AVEDEV(ARRAYFORMULA(XLOOKUP(FILTER(INDIRECT(""'""&amp;DF$1&amp;""'!$C$4:$C$66""),INDIRECT(""'""&amp;DF$1&amp;""'!$D$4:$D$66"")=DF$2),$G$3:$BQ$3,$G18:$BQ18))),"""")"),"")</f>
        <v/>
      </c>
      <c r="DH18" s="251">
        <f>IFERROR(__xludf.DUMMYFUNCTION("AVERAGE(ARRAYFORMULA(XLOOKUP(FILTER(INDIRECT(""'""&amp;DH$1&amp;""'!$C$4:$C$66""),INDIRECT(""'""&amp;DH$1&amp;""'!$D$4:$D$66"")=DH$2),$G$3:$BQ$3,$G18:$BQ18)))"),6.1679056923619804E-18)</f>
        <v>0</v>
      </c>
      <c r="DI18" s="207" t="str">
        <f>IFERROR(__xludf.DUMMYFUNCTION("IF(OR(DH18&gt;$BS18+$BT18*$BT$2,DH18&lt;$BS18-$BT18*$BT$2),AVEDEV(ARRAYFORMULA(XLOOKUP(FILTER(INDIRECT(""'""&amp;DH$1&amp;""'!$C$4:$C$66""),INDIRECT(""'""&amp;DH$1&amp;""'!$D$4:$D$66"")=DH$2),$G$3:$BQ$3,$G18:$BQ18))),"""")"),"")</f>
        <v/>
      </c>
      <c r="DJ18" s="243"/>
    </row>
    <row r="19">
      <c r="A19" s="2"/>
      <c r="B19" s="204">
        <v>15.0</v>
      </c>
      <c r="C19" s="204" t="s">
        <v>442</v>
      </c>
      <c r="D19" s="204" t="s">
        <v>458</v>
      </c>
      <c r="E19" s="205" t="b">
        <f>VLOOKUP(D19,'Feature Set List'!A16:C246,2,0)</f>
        <v>1</v>
      </c>
      <c r="F19" s="205" t="b">
        <f>VLOOKUP(D19,'Feature Set List'!A16:C246,3,0)</f>
        <v>0</v>
      </c>
      <c r="G19" s="205">
        <v>0.72684587</v>
      </c>
      <c r="H19" s="205">
        <v>-0.5660289</v>
      </c>
      <c r="I19" s="205">
        <v>0.2925226</v>
      </c>
      <c r="J19" s="205">
        <v>-0.7108816</v>
      </c>
      <c r="K19" s="205">
        <v>0.27843644</v>
      </c>
      <c r="L19" s="205">
        <v>-0.3495715</v>
      </c>
      <c r="M19" s="205">
        <v>0.99917831</v>
      </c>
      <c r="N19" s="205">
        <v>-0.6514849</v>
      </c>
      <c r="O19" s="205">
        <v>1.2151661</v>
      </c>
      <c r="P19" s="205">
        <v>-0.2507337</v>
      </c>
      <c r="Q19" s="205">
        <v>0.0</v>
      </c>
      <c r="R19" s="205">
        <v>1.75044019</v>
      </c>
      <c r="S19" s="205">
        <v>-0.5486559</v>
      </c>
      <c r="T19" s="205">
        <v>-0.2969832</v>
      </c>
      <c r="U19" s="205">
        <v>0.11879329</v>
      </c>
      <c r="V19" s="205">
        <v>0.69867355</v>
      </c>
      <c r="W19" s="205">
        <v>1.63540322</v>
      </c>
      <c r="X19" s="205">
        <v>2.69186524</v>
      </c>
      <c r="Y19" s="205">
        <v>-0.0584576</v>
      </c>
      <c r="Z19" s="205">
        <v>0.35356262</v>
      </c>
      <c r="AA19" s="205">
        <v>-0.2082404</v>
      </c>
      <c r="AB19" s="205">
        <v>3.666158</v>
      </c>
      <c r="AC19" s="205">
        <v>-0.6604062</v>
      </c>
      <c r="AD19" s="205">
        <v>0.00140862</v>
      </c>
      <c r="AE19" s="205">
        <v>-0.4322104</v>
      </c>
      <c r="AF19" s="205">
        <v>-0.1094025</v>
      </c>
      <c r="AG19" s="205">
        <v>-0.3868999</v>
      </c>
      <c r="AH19" s="205">
        <v>0.47094729</v>
      </c>
      <c r="AI19" s="205">
        <v>-0.4073248</v>
      </c>
      <c r="AJ19" s="205">
        <v>-0.3908909</v>
      </c>
      <c r="AK19" s="205">
        <v>0.61415659</v>
      </c>
      <c r="AL19" s="205">
        <v>-0.2267872</v>
      </c>
      <c r="AM19" s="205">
        <v>-0.5033455</v>
      </c>
      <c r="AN19" s="205">
        <v>-0.1070548</v>
      </c>
      <c r="AO19" s="205">
        <v>0.30895645</v>
      </c>
      <c r="AP19" s="205">
        <v>0.95691983</v>
      </c>
      <c r="AQ19" s="205">
        <v>-0.2434558</v>
      </c>
      <c r="AR19" s="205">
        <v>-0.1457918</v>
      </c>
      <c r="AS19" s="205">
        <v>-0.3946473</v>
      </c>
      <c r="AT19" s="205">
        <v>-0.1946238</v>
      </c>
      <c r="AU19" s="205">
        <v>0.74797511</v>
      </c>
      <c r="AV19" s="205">
        <v>1.09778143</v>
      </c>
      <c r="AW19" s="205">
        <v>-0.5885667</v>
      </c>
      <c r="AX19" s="205">
        <v>-0.2253786</v>
      </c>
      <c r="AY19" s="205">
        <v>0.94048597</v>
      </c>
      <c r="AZ19" s="205">
        <v>1.19403686</v>
      </c>
      <c r="BA19" s="205">
        <v>0.18218101</v>
      </c>
      <c r="BB19" s="205">
        <v>0.12114098</v>
      </c>
      <c r="BC19" s="205">
        <v>0.26435028</v>
      </c>
      <c r="BD19" s="205">
        <v>-0.5986618</v>
      </c>
      <c r="BE19" s="205">
        <v>5.92933443</v>
      </c>
      <c r="BF19" s="205">
        <v>-1.0132645</v>
      </c>
      <c r="BG19" s="205">
        <v>0.64937199</v>
      </c>
      <c r="BH19" s="205">
        <v>-0.2082404</v>
      </c>
      <c r="BI19" s="205">
        <v>0.00211292</v>
      </c>
      <c r="BJ19" s="205">
        <v>0.13053175</v>
      </c>
      <c r="BK19" s="205">
        <v>-0.4721211</v>
      </c>
      <c r="BL19" s="205">
        <v>2.66838831</v>
      </c>
      <c r="BM19" s="205">
        <v>0.33243338</v>
      </c>
      <c r="BN19" s="205">
        <v>-0.6136871</v>
      </c>
      <c r="BO19" s="205">
        <v>-0.3359549</v>
      </c>
      <c r="BP19" s="205">
        <v>-0.1354619</v>
      </c>
      <c r="BQ19" s="205">
        <v>0.25261181</v>
      </c>
      <c r="BR19" s="206"/>
      <c r="BS19" s="250">
        <f t="shared" si="1"/>
        <v>0.3056659498</v>
      </c>
      <c r="BT19" s="250">
        <f t="shared" si="2"/>
        <v>0.7374316125</v>
      </c>
      <c r="BU19" s="206"/>
      <c r="BV19" s="207">
        <f>IFERROR(__xludf.DUMMYFUNCTION("AVERAGE(ARRAYFORMULA(XLOOKUP(FILTER(INDIRECT(""'""&amp;BV$1&amp;""'!$C$4:$C$66""),INDIRECT(""'""&amp;BV$1&amp;""'!$D$4:$D$66"")=BV$2),$G$3:$BQ$3,$G19:$BQ19)))"),1.8255663814285714)</f>
        <v>1.825566381</v>
      </c>
      <c r="BW19" s="207">
        <f>IFERROR(__xludf.DUMMYFUNCTION("IF(OR(BV19&gt;$BS19+$BT19*$BT$2,BV19&lt;$BS19-$BT19*$BT$2),AVEDEV(ARRAYFORMULA(XLOOKUP(FILTER(INDIRECT(""'""&amp;BV$1&amp;""'!$C$4:$C$66""),INDIRECT(""'""&amp;BV$1&amp;""'!$D$4:$D$66"")=BV$2),$G$3:$BQ$3,$G19:$BQ19))),"""")"),1.660825381632653)</f>
        <v>1.660825382</v>
      </c>
      <c r="BX19" s="207">
        <f>IFERROR(__xludf.DUMMYFUNCTION("AVERAGE(ARRAYFORMULA(XLOOKUP(FILTER(INDIRECT(""'""&amp;BX$1&amp;""'!$C$4:$C$66""),INDIRECT(""'""&amp;BX$1&amp;""'!$D$4:$D$66"")=BX$2),$G$3:$BQ$3,$G19:$BQ19)))"),0.04836247880952378)</f>
        <v>0.04836247881</v>
      </c>
      <c r="BY19" s="207" t="str">
        <f>IFERROR(__xludf.DUMMYFUNCTION("IF(OR(BX19&gt;$BS19+$BT19*$BT$2,BX19&lt;$BS19-$BT19*$BT$2),AVEDEV(ARRAYFORMULA(XLOOKUP(FILTER(INDIRECT(""'""&amp;BX$1&amp;""'!$C$4:$C$66""),INDIRECT(""'""&amp;BX$1&amp;""'!$D$4:$D$66"")=BX$2),$G$3:$BQ$3,$G19:$BQ19))),"""")"),"")</f>
        <v/>
      </c>
      <c r="BZ19" s="207">
        <f>IFERROR(__xludf.DUMMYFUNCTION("AVERAGE(ARRAYFORMULA(XLOOKUP(FILTER(INDIRECT(""'""&amp;BZ$1&amp;""'!$C$4:$C$66""),INDIRECT(""'""&amp;BZ$1&amp;""'!$D$4:$D$66"")=BZ$2),$G$3:$BQ$3,$G19:$BQ19)))"),0.36408455909090914)</f>
        <v>0.3640845591</v>
      </c>
      <c r="CA19" s="207" t="str">
        <f>IFERROR(__xludf.DUMMYFUNCTION("IF(OR(BZ19&gt;$BS19+$BT19*$BT$2,BZ19&lt;$BS19-$BT19*$BT$2),AVEDEV(ARRAYFORMULA(XLOOKUP(FILTER(INDIRECT(""'""&amp;BZ$1&amp;""'!$C$4:$C$66""),INDIRECT(""'""&amp;BZ$1&amp;""'!$D$4:$D$66"")=BZ$2),$G$3:$BQ$3,$G19:$BQ19))),"""")"),"")</f>
        <v/>
      </c>
      <c r="CB19" s="209"/>
      <c r="CC19" s="207">
        <f>IFERROR(__xludf.DUMMYFUNCTION("AVERAGE(ARRAYFORMULA(XLOOKUP(FILTER(INDIRECT(""'""&amp;CC$1&amp;""'!$C$4:$C$66""),INDIRECT(""'""&amp;CC$1&amp;""'!$D$4:$D$66"")=CC$2),$G$3:$BQ$3,$G19:$BQ19)))"),-0.15041378874999997)</f>
        <v>-0.1504137888</v>
      </c>
      <c r="CD19" s="207" t="str">
        <f>IFERROR(__xludf.DUMMYFUNCTION("IF(OR(CC19&gt;$BS19+$BT19*$BT$2,CC19&lt;$BS19-$BT19*$BT$2),AVEDEV(ARRAYFORMULA(XLOOKUP(FILTER(INDIRECT(""'""&amp;CC$1&amp;""'!$C$4:$C$66""),INDIRECT(""'""&amp;CC$1&amp;""'!$D$4:$D$66"")=CC$2),$G$3:$BQ$3,$G19:$BQ19))),"""")"),"")</f>
        <v/>
      </c>
      <c r="CE19" s="207">
        <f>IFERROR(__xludf.DUMMYFUNCTION("AVERAGE(ARRAYFORMULA(XLOOKUP(FILTER(INDIRECT(""'""&amp;CE$1&amp;""'!$C$4:$C$66""),INDIRECT(""'""&amp;CE$1&amp;""'!$D$4:$D$66"")=CE$2),$G$3:$BQ$3,$G19:$BQ19)))"),0.4939092516129031)</f>
        <v>0.4939092516</v>
      </c>
      <c r="CF19" s="207" t="str">
        <f>IFERROR(__xludf.DUMMYFUNCTION("IF(OR(CE19&gt;$BS19+$BT19*$BT$2,CE19&lt;$BS19-$BT19*$BT$2),AVEDEV(ARRAYFORMULA(XLOOKUP(FILTER(INDIRECT(""'""&amp;CE$1&amp;""'!$C$4:$C$66""),INDIRECT(""'""&amp;CE$1&amp;""'!$D$4:$D$66"")=CE$2),$G$3:$BQ$3,$G19:$BQ19))),"""")"),"")</f>
        <v/>
      </c>
      <c r="CG19" s="207">
        <f>IFERROR(__xludf.DUMMYFUNCTION("AVERAGE(ARRAYFORMULA(XLOOKUP(FILTER(INDIRECT(""'""&amp;CG$1&amp;""'!$C$4:$C$66""),INDIRECT(""'""&amp;CG$1&amp;""'!$D$4:$D$66"")=CG$2),$G$3:$BQ$3,$G19:$BQ19)))"),-0.02216224)</f>
        <v>-0.02216224</v>
      </c>
      <c r="CH19" s="207" t="str">
        <f>IFERROR(__xludf.DUMMYFUNCTION("IF(OR(CG19&gt;$BS19+$BT19*$BT$2,CG19&lt;$BS19-$BT19*$BT$2),AVEDEV(ARRAYFORMULA(XLOOKUP(FILTER(INDIRECT(""'""&amp;CG$1&amp;""'!$C$4:$C$66""),INDIRECT(""'""&amp;CG$1&amp;""'!$D$4:$D$66"")=CG$2),$G$3:$BQ$3,$G19:$BQ19))),"""")"),"")</f>
        <v/>
      </c>
      <c r="CI19" s="206"/>
      <c r="CJ19" s="251">
        <f>IFERROR(__xludf.DUMMYFUNCTION("AVERAGE(ARRAYFORMULA(XLOOKUP(FILTER(INDIRECT(""'""&amp;CJ$1&amp;""'!$C$4:$C$66""),INDIRECT(""'""&amp;CJ$1&amp;""'!$D$4:$D$66"")=CJ$2),$G$3:$BQ$3,$G19:$BQ19)))"),0.7677426853333331)</f>
        <v>0.7677426853</v>
      </c>
      <c r="CK19" s="207" t="str">
        <f>IFERROR(__xludf.DUMMYFUNCTION("IF(OR(CJ19&gt;$BS19+$BT19*$BT$2,CJ19&lt;$BS19-$BT19*$BT$2),AVEDEV(ARRAYFORMULA(XLOOKUP(FILTER(INDIRECT(""'""&amp;CJ$1&amp;""'!$C$4:$C$66""),INDIRECT(""'""&amp;CJ$1&amp;""'!$D$4:$D$66"")=CJ$2),$G$3:$BQ$3,$G19:$BQ19))),"""")"),"")</f>
        <v/>
      </c>
      <c r="CL19" s="251">
        <f>IFERROR(__xludf.DUMMYFUNCTION("AVERAGE(ARRAYFORMULA(XLOOKUP(FILTER(INDIRECT(""'""&amp;CL$1&amp;""'!$C$4:$C$66""),INDIRECT(""'""&amp;CL$1&amp;""'!$D$4:$D$66"")=CL$2),$G$3:$BQ$3,$G19:$BQ19)))"),0.12157439846153846)</f>
        <v>0.1215743985</v>
      </c>
      <c r="CM19" s="207" t="str">
        <f>IFERROR(__xludf.DUMMYFUNCTION("IF(OR(CL19&gt;$BS19+$BT19*$BT$2,CL19&lt;$BS19-$BT19*$BT$2),AVEDEV(ARRAYFORMULA(XLOOKUP(FILTER(INDIRECT(""'""&amp;CL$1&amp;""'!$C$4:$C$66""),INDIRECT(""'""&amp;CL$1&amp;""'!$D$4:$D$66"")=CL$2),$G$3:$BQ$3,$G19:$BQ19))),"""")"),"")</f>
        <v/>
      </c>
      <c r="CN19" s="251">
        <f>IFERROR(__xludf.DUMMYFUNCTION("AVERAGE(ARRAYFORMULA(XLOOKUP(FILTER(INDIRECT(""'""&amp;CN$1&amp;""'!$C$4:$C$66""),INDIRECT(""'""&amp;CN$1&amp;""'!$D$4:$D$66"")=CN$2),$G$3:$BQ$3,$G19:$BQ19)))"),-0.02216224)</f>
        <v>-0.02216224</v>
      </c>
      <c r="CO19" s="207" t="str">
        <f>IFERROR(__xludf.DUMMYFUNCTION("IF(OR(CN19&gt;$BS19+$BT19*$BT$2,CN19&lt;$BS19-$BT19*$BT$2),AVEDEV(ARRAYFORMULA(XLOOKUP(FILTER(INDIRECT(""'""&amp;CN$1&amp;""'!$C$4:$C$66""),INDIRECT(""'""&amp;CN$1&amp;""'!$D$4:$D$66"")=CN$2),$G$3:$BQ$3,$G19:$BQ19))),"""")"),"")</f>
        <v/>
      </c>
      <c r="CP19" s="252"/>
      <c r="CQ19" s="251">
        <f>IFERROR(__xludf.DUMMYFUNCTION("AVERAGE(ARRAYFORMULA(XLOOKUP(FILTER(INDIRECT(""'""&amp;CQ$1&amp;""'!$C$4:$C$66""),INDIRECT(""'""&amp;CQ$1&amp;""'!$D$4:$D$66"")=CQ$2),$G$3:$BQ$3,$G19:$BQ19)))"),-0.24494827357142857)</f>
        <v>-0.2449482736</v>
      </c>
      <c r="CR19" s="207" t="str">
        <f>IFERROR(__xludf.DUMMYFUNCTION("IF(OR(CQ19&gt;$BS19+$BT19*$BT$2,CQ19&lt;$BS19-$BT19*$BT$2),AVEDEV(ARRAYFORMULA(XLOOKUP(FILTER(INDIRECT(""'""&amp;CQ$1&amp;""'!$C$4:$C$66""),INDIRECT(""'""&amp;CQ$1&amp;""'!$D$4:$D$66"")=CQ$2),$G$3:$BQ$3,$G19:$BQ19))),"""")"),"")</f>
        <v/>
      </c>
      <c r="CS19" s="251">
        <f>IFERROR(__xludf.DUMMYFUNCTION("AVERAGE(ARRAYFORMULA(XLOOKUP(FILTER(INDIRECT(""'""&amp;CS$1&amp;""'!$C$4:$C$66""),INDIRECT(""'""&amp;CS$1&amp;""'!$D$4:$D$66"")=CS$2),$G$3:$BQ$3,$G19:$BQ19)))"),0.27538443444444444)</f>
        <v>0.2753844344</v>
      </c>
      <c r="CT19" s="207" t="str">
        <f>IFERROR(__xludf.DUMMYFUNCTION("IF(OR(CS19&gt;$BS19+$BT19*$BT$2,CS19&lt;$BS19-$BT19*$BT$2),AVEDEV(ARRAYFORMULA(XLOOKUP(FILTER(INDIRECT(""'""&amp;CS$1&amp;""'!$C$4:$C$66""),INDIRECT(""'""&amp;CS$1&amp;""'!$D$4:$D$66"")=CS$2),$G$3:$BQ$3,$G19:$BQ19))),"""")"),"")</f>
        <v/>
      </c>
      <c r="CU19" s="251">
        <f>IFERROR(__xludf.DUMMYFUNCTION("AVERAGE(ARRAYFORMULA(XLOOKUP(FILTER(INDIRECT(""'""&amp;CU$1&amp;""'!$C$4:$C$66""),INDIRECT(""'""&amp;CU$1&amp;""'!$D$4:$D$66"")=CU$2),$G$3:$BQ$3,$G19:$BQ19)))"),0.4206426245454544)</f>
        <v>0.4206426245</v>
      </c>
      <c r="CV19" s="207" t="str">
        <f>IFERROR(__xludf.DUMMYFUNCTION("IF(OR(CU19&gt;$BS19+$BT19*$BT$2,CU19&lt;$BS19-$BT19*$BT$2),AVEDEV(ARRAYFORMULA(XLOOKUP(FILTER(INDIRECT(""'""&amp;CU$1&amp;""'!$C$4:$C$66""),INDIRECT(""'""&amp;CU$1&amp;""'!$D$4:$D$66"")=CU$2),$G$3:$BQ$3,$G19:$BQ19))),"""")"),"")</f>
        <v/>
      </c>
      <c r="CW19" s="251">
        <f>IFERROR(__xludf.DUMMYFUNCTION("AVERAGE(ARRAYFORMULA(XLOOKUP(FILTER(INDIRECT(""'""&amp;CW$1&amp;""'!$C$4:$C$66""),INDIRECT(""'""&amp;CW$1&amp;""'!$D$4:$D$66"")=CW$2),$G$3:$BQ$3,$G19:$BQ19)))"),-0.10341589)</f>
        <v>-0.10341589</v>
      </c>
      <c r="CX19" s="207" t="str">
        <f>IFERROR(__xludf.DUMMYFUNCTION("IF(OR(CW19&gt;$BS19+$BT19*$BT$2,CW19&lt;$BS19-$BT19*$BT$2),AVEDEV(ARRAYFORMULA(XLOOKUP(FILTER(INDIRECT(""'""&amp;CW$1&amp;""'!$C$4:$C$66""),INDIRECT(""'""&amp;CW$1&amp;""'!$D$4:$D$66"")=CW$2),$G$3:$BQ$3,$G19:$BQ19))),"""")"),"")</f>
        <v/>
      </c>
      <c r="CY19" s="251">
        <f>IFERROR(__xludf.DUMMYFUNCTION("AVERAGE(ARRAYFORMULA(XLOOKUP(FILTER(INDIRECT(""'""&amp;CY$1&amp;""'!$C$4:$C$66""),INDIRECT(""'""&amp;CY$1&amp;""'!$D$4:$D$66"")=CY$2),$G$3:$BQ$3,$G19:$BQ19)))"),0.1678936121428571)</f>
        <v>0.1678936121</v>
      </c>
      <c r="CZ19" s="207" t="str">
        <f>IFERROR(__xludf.DUMMYFUNCTION("IF(OR(CY19&gt;$BS19+$BT19*$BT$2,CY19&lt;$BS19-$BT19*$BT$2),AVEDEV(ARRAYFORMULA(XLOOKUP(FILTER(INDIRECT(""'""&amp;CY$1&amp;""'!$C$4:$C$66""),INDIRECT(""'""&amp;CY$1&amp;""'!$D$4:$D$66"")=CY$2),$G$3:$BQ$3,$G19:$BQ19))),"""")"),"")</f>
        <v/>
      </c>
      <c r="DA19" s="252"/>
      <c r="DB19" s="251">
        <f>IFERROR(__xludf.DUMMYFUNCTION("AVERAGE(ARRAYFORMULA(XLOOKUP(FILTER(INDIRECT(""'""&amp;DB$1&amp;""'!$C$4:$C$66""),INDIRECT(""'""&amp;DB$1&amp;""'!$D$4:$D$66"")=DB$2),$G$3:$BQ$3,$G19:$BQ19)))"),0.265164136)</f>
        <v>0.265164136</v>
      </c>
      <c r="DC19" s="207" t="str">
        <f>IFERROR(__xludf.DUMMYFUNCTION("IF(OR(DB19&gt;$BS19+$BT19*$BT$2,DB19&lt;$BS19-$BT19*$BT$2),AVEDEV(ARRAYFORMULA(XLOOKUP(FILTER(INDIRECT(""'""&amp;DB$1&amp;""'!$C$4:$C$66""),INDIRECT(""'""&amp;DB$1&amp;""'!$D$4:$D$66"")=DB$2),$G$3:$BQ$3,$G19:$BQ19))),"""")"),"")</f>
        <v/>
      </c>
      <c r="DD19" s="251">
        <f>IFERROR(__xludf.DUMMYFUNCTION("AVERAGE(ARRAYFORMULA(XLOOKUP(FILTER(INDIRECT(""'""&amp;DD$1&amp;""'!$C$4:$C$66""),INDIRECT(""'""&amp;DD$1&amp;""'!$D$4:$D$66"")=DD$2),$G$3:$BQ$3,$G19:$BQ19)))"),0.4529483133333334)</f>
        <v>0.4529483133</v>
      </c>
      <c r="DE19" s="207" t="str">
        <f>IFERROR(__xludf.DUMMYFUNCTION("IF(OR(DD19&gt;$BS19+$BT19*$BT$2,DD19&lt;$BS19-$BT19*$BT$2),AVEDEV(ARRAYFORMULA(XLOOKUP(FILTER(INDIRECT(""'""&amp;DD$1&amp;""'!$C$4:$C$66""),INDIRECT(""'""&amp;DD$1&amp;""'!$D$4:$D$66"")=DD$2),$G$3:$BQ$3,$G19:$BQ19))),"""")"),"")</f>
        <v/>
      </c>
      <c r="DF19" s="251">
        <f>IFERROR(__xludf.DUMMYFUNCTION("AVERAGE(ARRAYFORMULA(XLOOKUP(FILTER(INDIRECT(""'""&amp;DF$1&amp;""'!$C$4:$C$66""),INDIRECT(""'""&amp;DF$1&amp;""'!$D$4:$D$66"")=DF$2),$G$3:$BQ$3,$G19:$BQ19)))"),0.5088919012500001)</f>
        <v>0.5088919013</v>
      </c>
      <c r="DG19" s="207" t="str">
        <f>IFERROR(__xludf.DUMMYFUNCTION("IF(OR(DF19&gt;$BS19+$BT19*$BT$2,DF19&lt;$BS19-$BT19*$BT$2),AVEDEV(ARRAYFORMULA(XLOOKUP(FILTER(INDIRECT(""'""&amp;DF$1&amp;""'!$C$4:$C$66""),INDIRECT(""'""&amp;DF$1&amp;""'!$D$4:$D$66"")=DF$2),$G$3:$BQ$3,$G19:$BQ19))),"""")"),"")</f>
        <v/>
      </c>
      <c r="DH19" s="251">
        <f>IFERROR(__xludf.DUMMYFUNCTION("AVERAGE(ARRAYFORMULA(XLOOKUP(FILTER(INDIRECT(""'""&amp;DH$1&amp;""'!$C$4:$C$66""),INDIRECT(""'""&amp;DH$1&amp;""'!$D$4:$D$66"")=DH$2),$G$3:$BQ$3,$G19:$BQ19)))"),-0.3123214866666666)</f>
        <v>-0.3123214867</v>
      </c>
      <c r="DI19" s="207" t="str">
        <f>IFERROR(__xludf.DUMMYFUNCTION("IF(OR(DH19&gt;$BS19+$BT19*$BT$2,DH19&lt;$BS19-$BT19*$BT$2),AVEDEV(ARRAYFORMULA(XLOOKUP(FILTER(INDIRECT(""'""&amp;DH$1&amp;""'!$C$4:$C$66""),INDIRECT(""'""&amp;DH$1&amp;""'!$D$4:$D$66"")=DH$2),$G$3:$BQ$3,$G19:$BQ19))),"""")"),"")</f>
        <v/>
      </c>
      <c r="DJ19" s="243"/>
    </row>
    <row r="20">
      <c r="A20" s="2"/>
      <c r="B20" s="204">
        <v>16.0</v>
      </c>
      <c r="C20" s="204" t="s">
        <v>442</v>
      </c>
      <c r="D20" s="204" t="s">
        <v>459</v>
      </c>
      <c r="E20" s="205" t="b">
        <f>VLOOKUP(D20,'Feature Set List'!A17:C246,2,0)</f>
        <v>1</v>
      </c>
      <c r="F20" s="205" t="b">
        <f>VLOOKUP(D20,'Feature Set List'!A17:C246,3,0)</f>
        <v>0</v>
      </c>
      <c r="G20" s="205">
        <v>0.77419355</v>
      </c>
      <c r="H20" s="205">
        <v>-0.6116129</v>
      </c>
      <c r="I20" s="205">
        <v>0.86709677</v>
      </c>
      <c r="J20" s="205">
        <v>-0.9367742</v>
      </c>
      <c r="K20" s="205">
        <v>-0.643871</v>
      </c>
      <c r="L20" s="205">
        <v>-0.0774194</v>
      </c>
      <c r="M20" s="205">
        <v>1.00387097</v>
      </c>
      <c r="N20" s="205">
        <v>0.12645161</v>
      </c>
      <c r="O20" s="205">
        <v>2.08903226</v>
      </c>
      <c r="P20" s="205">
        <v>-0.2645161</v>
      </c>
      <c r="Q20" s="205">
        <v>0.08774194</v>
      </c>
      <c r="R20" s="205">
        <v>1.53935484</v>
      </c>
      <c r="S20" s="205">
        <v>-0.0967742</v>
      </c>
      <c r="T20" s="205">
        <v>-0.3587097</v>
      </c>
      <c r="U20" s="205">
        <v>0.53806452</v>
      </c>
      <c r="V20" s="205">
        <v>-0.323871</v>
      </c>
      <c r="W20" s="205">
        <v>2.26451613</v>
      </c>
      <c r="X20" s="205">
        <v>2.86322581</v>
      </c>
      <c r="Y20" s="205">
        <v>-0.8541935</v>
      </c>
      <c r="Z20" s="205">
        <v>1.15354839</v>
      </c>
      <c r="AA20" s="205">
        <v>0.02193548</v>
      </c>
      <c r="AB20" s="205">
        <v>2.6516129</v>
      </c>
      <c r="AC20" s="205">
        <v>-0.1058065</v>
      </c>
      <c r="AD20" s="205">
        <v>-0.1187097</v>
      </c>
      <c r="AE20" s="205">
        <v>-0.0529032</v>
      </c>
      <c r="AF20" s="205">
        <v>-0.32</v>
      </c>
      <c r="AG20" s="205">
        <v>-0.3496774</v>
      </c>
      <c r="AH20" s="205">
        <v>-0.4593548</v>
      </c>
      <c r="AI20" s="205">
        <v>-0.7677419</v>
      </c>
      <c r="AJ20" s="205">
        <v>-0.3793548</v>
      </c>
      <c r="AK20" s="205">
        <v>-0.276129</v>
      </c>
      <c r="AL20" s="205">
        <v>-0.8167742</v>
      </c>
      <c r="AM20" s="205">
        <v>0.48516129</v>
      </c>
      <c r="AN20" s="205">
        <v>0.03870968</v>
      </c>
      <c r="AO20" s="205">
        <v>-0.5509677</v>
      </c>
      <c r="AP20" s="205">
        <v>0.49290323</v>
      </c>
      <c r="AQ20" s="205">
        <v>0.10580645</v>
      </c>
      <c r="AR20" s="205">
        <v>-0.396129</v>
      </c>
      <c r="AS20" s="205">
        <v>-0.2606452</v>
      </c>
      <c r="AT20" s="205">
        <v>-0.5612903</v>
      </c>
      <c r="AU20" s="205">
        <v>0.20774194</v>
      </c>
      <c r="AV20" s="205">
        <v>1.84774194</v>
      </c>
      <c r="AW20" s="205">
        <v>-0.2309677</v>
      </c>
      <c r="AX20" s="205">
        <v>-0.0967742</v>
      </c>
      <c r="AY20" s="205">
        <v>0.54064516</v>
      </c>
      <c r="AZ20" s="205">
        <v>1.67612903</v>
      </c>
      <c r="BA20" s="205">
        <v>0.91612903</v>
      </c>
      <c r="BB20" s="205">
        <v>1.79096774</v>
      </c>
      <c r="BC20" s="205">
        <v>-0.2645161</v>
      </c>
      <c r="BD20" s="205">
        <v>-0.8812903</v>
      </c>
      <c r="BE20" s="205">
        <v>4.91870968</v>
      </c>
      <c r="BF20" s="205">
        <v>-0.6541935</v>
      </c>
      <c r="BG20" s="205">
        <v>0.0</v>
      </c>
      <c r="BH20" s="205">
        <v>-0.1909677</v>
      </c>
      <c r="BI20" s="205">
        <v>0.55225806</v>
      </c>
      <c r="BJ20" s="205">
        <v>0.36903226</v>
      </c>
      <c r="BK20" s="205">
        <v>-0.6890323</v>
      </c>
      <c r="BL20" s="205">
        <v>3.88129032</v>
      </c>
      <c r="BM20" s="205">
        <v>0.17032258</v>
      </c>
      <c r="BN20" s="205">
        <v>0.33032258</v>
      </c>
      <c r="BO20" s="205">
        <v>0.5483871</v>
      </c>
      <c r="BP20" s="205">
        <v>0.94322581</v>
      </c>
      <c r="BQ20" s="205">
        <v>-0.2219355</v>
      </c>
      <c r="BR20" s="206"/>
      <c r="BS20" s="250">
        <f t="shared" si="1"/>
        <v>0.3648131119</v>
      </c>
      <c r="BT20" s="250">
        <f t="shared" si="2"/>
        <v>0.835441118</v>
      </c>
      <c r="BU20" s="206"/>
      <c r="BV20" s="207">
        <f>IFERROR(__xludf.DUMMYFUNCTION("AVERAGE(ARRAYFORMULA(XLOOKUP(FILTER(INDIRECT(""'""&amp;BV$1&amp;""'!$C$4:$C$66""),INDIRECT(""'""&amp;BV$1&amp;""'!$D$4:$D$66"")=BV$2),$G$3:$BQ$3,$G20:$BQ20)))"),1.9974193614285711)</f>
        <v>1.997419361</v>
      </c>
      <c r="BW20" s="207">
        <f>IFERROR(__xludf.DUMMYFUNCTION("IF(OR(BV20&gt;$BS20+$BT20*$BT$2,BV20&lt;$BS20-$BT20*$BT$2),AVEDEV(ARRAYFORMULA(XLOOKUP(FILTER(INDIRECT(""'""&amp;BV$1&amp;""'!$C$4:$C$66""),INDIRECT(""'""&amp;BV$1&amp;""'!$D$4:$D$66"")=BV$2),$G$3:$BQ$3,$G20:$BQ20))),"""")"),1.6202764930612243)</f>
        <v>1.620276493</v>
      </c>
      <c r="BX20" s="207">
        <f>IFERROR(__xludf.DUMMYFUNCTION("AVERAGE(ARRAYFORMULA(XLOOKUP(FILTER(INDIRECT(""'""&amp;BX$1&amp;""'!$C$4:$C$66""),INDIRECT(""'""&amp;BX$1&amp;""'!$D$4:$D$66"")=BX$2),$G$3:$BQ$3,$G20:$BQ20)))"),0.09231951238095239)</f>
        <v>0.09231951238</v>
      </c>
      <c r="BY20" s="207" t="str">
        <f>IFERROR(__xludf.DUMMYFUNCTION("IF(OR(BX20&gt;$BS20+$BT20*$BT$2,BX20&lt;$BS20-$BT20*$BT$2),AVEDEV(ARRAYFORMULA(XLOOKUP(FILTER(INDIRECT(""'""&amp;BX$1&amp;""'!$C$4:$C$66""),INDIRECT(""'""&amp;BX$1&amp;""'!$D$4:$D$66"")=BX$2),$G$3:$BQ$3,$G20:$BQ20))),"""")"),"")</f>
        <v/>
      </c>
      <c r="BZ20" s="207">
        <f>IFERROR(__xludf.DUMMYFUNCTION("AVERAGE(ARRAYFORMULA(XLOOKUP(FILTER(INDIRECT(""'""&amp;BZ$1&amp;""'!$C$4:$C$66""),INDIRECT(""'""&amp;BZ$1&amp;""'!$D$4:$D$66"")=BZ$2),$G$3:$BQ$3,$G20:$BQ20)))"),0.44821114454545447)</f>
        <v>0.4482111445</v>
      </c>
      <c r="CA20" s="207" t="str">
        <f>IFERROR(__xludf.DUMMYFUNCTION("IF(OR(BZ20&gt;$BS20+$BT20*$BT$2,BZ20&lt;$BS20-$BT20*$BT$2),AVEDEV(ARRAYFORMULA(XLOOKUP(FILTER(INDIRECT(""'""&amp;BZ$1&amp;""'!$C$4:$C$66""),INDIRECT(""'""&amp;BZ$1&amp;""'!$D$4:$D$66"")=BZ$2),$G$3:$BQ$3,$G20:$BQ20))),"""")"),"")</f>
        <v/>
      </c>
      <c r="CB20" s="209"/>
      <c r="CC20" s="207">
        <f>IFERROR(__xludf.DUMMYFUNCTION("AVERAGE(ARRAYFORMULA(XLOOKUP(FILTER(INDIRECT(""'""&amp;CC$1&amp;""'!$C$4:$C$66""),INDIRECT(""'""&amp;CC$1&amp;""'!$D$4:$D$66"")=CC$2),$G$3:$BQ$3,$G20:$BQ20)))"),-0.147177409375)</f>
        <v>-0.1471774094</v>
      </c>
      <c r="CD20" s="207" t="str">
        <f>IFERROR(__xludf.DUMMYFUNCTION("IF(OR(CC20&gt;$BS20+$BT20*$BT$2,CC20&lt;$BS20-$BT20*$BT$2),AVEDEV(ARRAYFORMULA(XLOOKUP(FILTER(INDIRECT(""'""&amp;CC$1&amp;""'!$C$4:$C$66""),INDIRECT(""'""&amp;CC$1&amp;""'!$D$4:$D$66"")=CC$2),$G$3:$BQ$3,$G20:$BQ20))),"""")"),"")</f>
        <v/>
      </c>
      <c r="CE20" s="207">
        <f>IFERROR(__xludf.DUMMYFUNCTION("AVERAGE(ARRAYFORMULA(XLOOKUP(FILTER(INDIRECT(""'""&amp;CE$1&amp;""'!$C$4:$C$66""),INDIRECT(""'""&amp;CE$1&amp;""'!$D$4:$D$66"")=CE$2),$G$3:$BQ$3,$G20:$BQ20)))"),0.578022893548387)</f>
        <v>0.5780228935</v>
      </c>
      <c r="CF20" s="207" t="str">
        <f>IFERROR(__xludf.DUMMYFUNCTION("IF(OR(CE20&gt;$BS20+$BT20*$BT$2,CE20&lt;$BS20-$BT20*$BT$2),AVEDEV(ARRAYFORMULA(XLOOKUP(FILTER(INDIRECT(""'""&amp;CE$1&amp;""'!$C$4:$C$66""),INDIRECT(""'""&amp;CE$1&amp;""'!$D$4:$D$66"")=CE$2),$G$3:$BQ$3,$G20:$BQ20))),"""")"),"")</f>
        <v/>
      </c>
      <c r="CG20" s="207">
        <f>IFERROR(__xludf.DUMMYFUNCTION("AVERAGE(ARRAYFORMULA(XLOOKUP(FILTER(INDIRECT(""'""&amp;CG$1&amp;""'!$C$4:$C$66""),INDIRECT(""'""&amp;CG$1&amp;""'!$D$4:$D$66"")=CG$2),$G$3:$BQ$3,$G20:$BQ20)))"),0.006451605999999987)</f>
        <v>0.006451606</v>
      </c>
      <c r="CH20" s="207" t="str">
        <f>IFERROR(__xludf.DUMMYFUNCTION("IF(OR(CG20&gt;$BS20+$BT20*$BT$2,CG20&lt;$BS20-$BT20*$BT$2),AVEDEV(ARRAYFORMULA(XLOOKUP(FILTER(INDIRECT(""'""&amp;CG$1&amp;""'!$C$4:$C$66""),INDIRECT(""'""&amp;CG$1&amp;""'!$D$4:$D$66"")=CG$2),$G$3:$BQ$3,$G20:$BQ20))),"""")"),"")</f>
        <v/>
      </c>
      <c r="CI20" s="206"/>
      <c r="CJ20" s="251">
        <f>IFERROR(__xludf.DUMMYFUNCTION("AVERAGE(ARRAYFORMULA(XLOOKUP(FILTER(INDIRECT(""'""&amp;CJ$1&amp;""'!$C$4:$C$66""),INDIRECT(""'""&amp;CJ$1&amp;""'!$D$4:$D$66"")=CJ$2),$G$3:$BQ$3,$G20:$BQ20)))"),0.8246881779999998)</f>
        <v>0.824688178</v>
      </c>
      <c r="CK20" s="207" t="str">
        <f>IFERROR(__xludf.DUMMYFUNCTION("IF(OR(CJ20&gt;$BS20+$BT20*$BT$2,CJ20&lt;$BS20-$BT20*$BT$2),AVEDEV(ARRAYFORMULA(XLOOKUP(FILTER(INDIRECT(""'""&amp;CJ$1&amp;""'!$C$4:$C$66""),INDIRECT(""'""&amp;CJ$1&amp;""'!$D$4:$D$66"")=CJ$2),$G$3:$BQ$3,$G20:$BQ20))),"""")"),"")</f>
        <v/>
      </c>
      <c r="CL20" s="251">
        <f>IFERROR(__xludf.DUMMYFUNCTION("AVERAGE(ARRAYFORMULA(XLOOKUP(FILTER(INDIRECT(""'""&amp;CL$1&amp;""'!$C$4:$C$66""),INDIRECT(""'""&amp;CL$1&amp;""'!$D$4:$D$66"")=CL$2),$G$3:$BQ$3,$G20:$BQ20)))"),0.16681555435897438)</f>
        <v>0.1668155544</v>
      </c>
      <c r="CM20" s="207" t="str">
        <f>IFERROR(__xludf.DUMMYFUNCTION("IF(OR(CL20&gt;$BS20+$BT20*$BT$2,CL20&lt;$BS20-$BT20*$BT$2),AVEDEV(ARRAYFORMULA(XLOOKUP(FILTER(INDIRECT(""'""&amp;CL$1&amp;""'!$C$4:$C$66""),INDIRECT(""'""&amp;CL$1&amp;""'!$D$4:$D$66"")=CL$2),$G$3:$BQ$3,$G20:$BQ20))),"""")"),"")</f>
        <v/>
      </c>
      <c r="CN20" s="251">
        <f>IFERROR(__xludf.DUMMYFUNCTION("AVERAGE(ARRAYFORMULA(XLOOKUP(FILTER(INDIRECT(""'""&amp;CN$1&amp;""'!$C$4:$C$66""),INDIRECT(""'""&amp;CN$1&amp;""'!$D$4:$D$66"")=CN$2),$G$3:$BQ$3,$G20:$BQ20)))"),0.006451605999999987)</f>
        <v>0.006451606</v>
      </c>
      <c r="CO20" s="207" t="str">
        <f>IFERROR(__xludf.DUMMYFUNCTION("IF(OR(CN20&gt;$BS20+$BT20*$BT$2,CN20&lt;$BS20-$BT20*$BT$2),AVEDEV(ARRAYFORMULA(XLOOKUP(FILTER(INDIRECT(""'""&amp;CN$1&amp;""'!$C$4:$C$66""),INDIRECT(""'""&amp;CN$1&amp;""'!$D$4:$D$66"")=CN$2),$G$3:$BQ$3,$G20:$BQ20))),"""")"),"")</f>
        <v/>
      </c>
      <c r="CP20" s="252"/>
      <c r="CQ20" s="251">
        <f>IFERROR(__xludf.DUMMYFUNCTION("AVERAGE(ARRAYFORMULA(XLOOKUP(FILTER(INDIRECT(""'""&amp;CQ$1&amp;""'!$C$4:$C$66""),INDIRECT(""'""&amp;CQ$1&amp;""'!$D$4:$D$66"")=CQ$2),$G$3:$BQ$3,$G20:$BQ20)))"),-0.3560368578571428)</f>
        <v>-0.3560368579</v>
      </c>
      <c r="CR20" s="207" t="str">
        <f>IFERROR(__xludf.DUMMYFUNCTION("IF(OR(CQ20&gt;$BS20+$BT20*$BT$2,CQ20&lt;$BS20-$BT20*$BT$2),AVEDEV(ARRAYFORMULA(XLOOKUP(FILTER(INDIRECT(""'""&amp;CQ$1&amp;""'!$C$4:$C$66""),INDIRECT(""'""&amp;CQ$1&amp;""'!$D$4:$D$66"")=CQ$2),$G$3:$BQ$3,$G20:$BQ20))),"""")"),"")</f>
        <v/>
      </c>
      <c r="CS20" s="251">
        <f>IFERROR(__xludf.DUMMYFUNCTION("AVERAGE(ARRAYFORMULA(XLOOKUP(FILTER(INDIRECT(""'""&amp;CS$1&amp;""'!$C$4:$C$66""),INDIRECT(""'""&amp;CS$1&amp;""'!$D$4:$D$66"")=CS$2),$G$3:$BQ$3,$G20:$BQ20)))"),0.3426523311111111)</f>
        <v>0.3426523311</v>
      </c>
      <c r="CT20" s="207" t="str">
        <f>IFERROR(__xludf.DUMMYFUNCTION("IF(OR(CS20&gt;$BS20+$BT20*$BT$2,CS20&lt;$BS20-$BT20*$BT$2),AVEDEV(ARRAYFORMULA(XLOOKUP(FILTER(INDIRECT(""'""&amp;CS$1&amp;""'!$C$4:$C$66""),INDIRECT(""'""&amp;CS$1&amp;""'!$D$4:$D$66"")=CS$2),$G$3:$BQ$3,$G20:$BQ20))),"""")"),"")</f>
        <v/>
      </c>
      <c r="CU20" s="251">
        <f>IFERROR(__xludf.DUMMYFUNCTION("AVERAGE(ARRAYFORMULA(XLOOKUP(FILTER(INDIRECT(""'""&amp;CU$1&amp;""'!$C$4:$C$66""),INDIRECT(""'""&amp;CU$1&amp;""'!$D$4:$D$66"")=CU$2),$G$3:$BQ$3,$G20:$BQ20)))"),0.5461583581818181)</f>
        <v>0.5461583582</v>
      </c>
      <c r="CV20" s="207" t="str">
        <f>IFERROR(__xludf.DUMMYFUNCTION("IF(OR(CU20&gt;$BS20+$BT20*$BT$2,CU20&lt;$BS20-$BT20*$BT$2),AVEDEV(ARRAYFORMULA(XLOOKUP(FILTER(INDIRECT(""'""&amp;CU$1&amp;""'!$C$4:$C$66""),INDIRECT(""'""&amp;CU$1&amp;""'!$D$4:$D$66"")=CU$2),$G$3:$BQ$3,$G20:$BQ20))),"""")"),"")</f>
        <v/>
      </c>
      <c r="CW20" s="251">
        <f>IFERROR(__xludf.DUMMYFUNCTION("AVERAGE(ARRAYFORMULA(XLOOKUP(FILTER(INDIRECT(""'""&amp;CW$1&amp;""'!$C$4:$C$66""),INDIRECT(""'""&amp;CW$1&amp;""'!$D$4:$D$66"")=CW$2),$G$3:$BQ$3,$G20:$BQ20)))"),-0.1548387)</f>
        <v>-0.1548387</v>
      </c>
      <c r="CX20" s="207" t="str">
        <f>IFERROR(__xludf.DUMMYFUNCTION("IF(OR(CW20&gt;$BS20+$BT20*$BT$2,CW20&lt;$BS20-$BT20*$BT$2),AVEDEV(ARRAYFORMULA(XLOOKUP(FILTER(INDIRECT(""'""&amp;CW$1&amp;""'!$C$4:$C$66""),INDIRECT(""'""&amp;CW$1&amp;""'!$D$4:$D$66"")=CW$2),$G$3:$BQ$3,$G20:$BQ20))),"""")"),"")</f>
        <v/>
      </c>
      <c r="CY20" s="251">
        <f>IFERROR(__xludf.DUMMYFUNCTION("AVERAGE(ARRAYFORMULA(XLOOKUP(FILTER(INDIRECT(""'""&amp;CY$1&amp;""'!$C$4:$C$66""),INDIRECT(""'""&amp;CY$1&amp;""'!$D$4:$D$66"")=CY$2),$G$3:$BQ$3,$G20:$BQ20)))"),0.4103225871428572)</f>
        <v>0.4103225871</v>
      </c>
      <c r="CZ20" s="207" t="str">
        <f>IFERROR(__xludf.DUMMYFUNCTION("IF(OR(CY20&gt;$BS20+$BT20*$BT$2,CY20&lt;$BS20-$BT20*$BT$2),AVEDEV(ARRAYFORMULA(XLOOKUP(FILTER(INDIRECT(""'""&amp;CY$1&amp;""'!$C$4:$C$66""),INDIRECT(""'""&amp;CY$1&amp;""'!$D$4:$D$66"")=CY$2),$G$3:$BQ$3,$G20:$BQ20))),"""")"),"")</f>
        <v/>
      </c>
      <c r="DA20" s="252"/>
      <c r="DB20" s="251">
        <f>IFERROR(__xludf.DUMMYFUNCTION("AVERAGE(ARRAYFORMULA(XLOOKUP(FILTER(INDIRECT(""'""&amp;DB$1&amp;""'!$C$4:$C$66""),INDIRECT(""'""&amp;DB$1&amp;""'!$D$4:$D$66"")=DB$2),$G$3:$BQ$3,$G20:$BQ20)))"),0.17995699166666665)</f>
        <v>0.1799569917</v>
      </c>
      <c r="DC20" s="207" t="str">
        <f>IFERROR(__xludf.DUMMYFUNCTION("IF(OR(DB20&gt;$BS20+$BT20*$BT$2,DB20&lt;$BS20-$BT20*$BT$2),AVEDEV(ARRAYFORMULA(XLOOKUP(FILTER(INDIRECT(""'""&amp;DB$1&amp;""'!$C$4:$C$66""),INDIRECT(""'""&amp;DB$1&amp;""'!$D$4:$D$66"")=DB$2),$G$3:$BQ$3,$G20:$BQ20))),"""")"),"")</f>
        <v/>
      </c>
      <c r="DD20" s="251">
        <f>IFERROR(__xludf.DUMMYFUNCTION("AVERAGE(ARRAYFORMULA(XLOOKUP(FILTER(INDIRECT(""'""&amp;DD$1&amp;""'!$C$4:$C$66""),INDIRECT(""'""&amp;DD$1&amp;""'!$D$4:$D$66"")=DD$2),$G$3:$BQ$3,$G20:$BQ20)))"),0.6973476666666666)</f>
        <v>0.6973476667</v>
      </c>
      <c r="DE20" s="207" t="str">
        <f>IFERROR(__xludf.DUMMYFUNCTION("IF(OR(DD20&gt;$BS20+$BT20*$BT$2,DD20&lt;$BS20-$BT20*$BT$2),AVEDEV(ARRAYFORMULA(XLOOKUP(FILTER(INDIRECT(""'""&amp;DD$1&amp;""'!$C$4:$C$66""),INDIRECT(""'""&amp;DD$1&amp;""'!$D$4:$D$66"")=DD$2),$G$3:$BQ$3,$G20:$BQ20))),"""")"),"")</f>
        <v/>
      </c>
      <c r="DF20" s="251">
        <f>IFERROR(__xludf.DUMMYFUNCTION("AVERAGE(ARRAYFORMULA(XLOOKUP(FILTER(INDIRECT(""'""&amp;DF$1&amp;""'!$C$4:$C$66""),INDIRECT(""'""&amp;DF$1&amp;""'!$D$4:$D$66"")=DF$2),$G$3:$BQ$3,$G20:$BQ20)))"),0.74112903625)</f>
        <v>0.7411290363</v>
      </c>
      <c r="DG20" s="207" t="str">
        <f>IFERROR(__xludf.DUMMYFUNCTION("IF(OR(DF20&gt;$BS20+$BT20*$BT$2,DF20&lt;$BS20-$BT20*$BT$2),AVEDEV(ARRAYFORMULA(XLOOKUP(FILTER(INDIRECT(""'""&amp;DF$1&amp;""'!$C$4:$C$66""),INDIRECT(""'""&amp;DF$1&amp;""'!$D$4:$D$66"")=DF$2),$G$3:$BQ$3,$G20:$BQ20))),"""")"),"")</f>
        <v/>
      </c>
      <c r="DH20" s="251">
        <f>IFERROR(__xludf.DUMMYFUNCTION("AVERAGE(ARRAYFORMULA(XLOOKUP(FILTER(INDIRECT(""'""&amp;DH$1&amp;""'!$C$4:$C$66""),INDIRECT(""'""&amp;DH$1&amp;""'!$D$4:$D$66"")=DH$2),$G$3:$BQ$3,$G20:$BQ20)))"),-0.06795698111111115)</f>
        <v>-0.06795698111</v>
      </c>
      <c r="DI20" s="207" t="str">
        <f>IFERROR(__xludf.DUMMYFUNCTION("IF(OR(DH20&gt;$BS20+$BT20*$BT$2,DH20&lt;$BS20-$BT20*$BT$2),AVEDEV(ARRAYFORMULA(XLOOKUP(FILTER(INDIRECT(""'""&amp;DH$1&amp;""'!$C$4:$C$66""),INDIRECT(""'""&amp;DH$1&amp;""'!$D$4:$D$66"")=DH$2),$G$3:$BQ$3,$G20:$BQ20))),"""")"),"")</f>
        <v/>
      </c>
      <c r="DJ20" s="243"/>
    </row>
    <row r="21">
      <c r="A21" s="2"/>
      <c r="B21" s="204">
        <v>17.0</v>
      </c>
      <c r="C21" s="204" t="s">
        <v>442</v>
      </c>
      <c r="D21" s="204" t="s">
        <v>460</v>
      </c>
      <c r="E21" s="205" t="b">
        <f>VLOOKUP(D21,'Feature Set List'!A18:C246,2,0)</f>
        <v>1</v>
      </c>
      <c r="F21" s="205" t="b">
        <f>VLOOKUP(D21,'Feature Set List'!A18:C246,3,0)</f>
        <v>1</v>
      </c>
      <c r="G21" s="205">
        <v>-1.1639451</v>
      </c>
      <c r="H21" s="205">
        <v>-0.0241672</v>
      </c>
      <c r="I21" s="205">
        <v>0.60744611</v>
      </c>
      <c r="J21" s="205">
        <v>-0.7302417</v>
      </c>
      <c r="K21" s="205">
        <v>0.57674722</v>
      </c>
      <c r="L21" s="205">
        <v>0.45460483</v>
      </c>
      <c r="M21" s="205">
        <v>0.62181581</v>
      </c>
      <c r="N21" s="205">
        <v>0.07642064</v>
      </c>
      <c r="O21" s="205">
        <v>-0.5702155</v>
      </c>
      <c r="P21" s="205">
        <v>0.31743958</v>
      </c>
      <c r="Q21" s="205">
        <v>-1.2044415</v>
      </c>
      <c r="R21" s="205">
        <v>0.14043109</v>
      </c>
      <c r="S21" s="205">
        <v>-0.0137165</v>
      </c>
      <c r="T21" s="205">
        <v>0.29131287</v>
      </c>
      <c r="U21" s="205">
        <v>0.90137165</v>
      </c>
      <c r="V21" s="205">
        <v>-1.0006532</v>
      </c>
      <c r="W21" s="205">
        <v>-0.556499</v>
      </c>
      <c r="X21" s="205">
        <v>-2.3050294</v>
      </c>
      <c r="Y21" s="205">
        <v>-0.4382756</v>
      </c>
      <c r="Z21" s="205">
        <v>0.83670803</v>
      </c>
      <c r="AA21" s="205">
        <v>-1.1802743</v>
      </c>
      <c r="AB21" s="205">
        <v>-1.9451339</v>
      </c>
      <c r="AC21" s="205">
        <v>0.10711953</v>
      </c>
      <c r="AD21" s="205">
        <v>0.41214892</v>
      </c>
      <c r="AE21" s="205">
        <v>-0.747224</v>
      </c>
      <c r="AF21" s="205">
        <v>0.09797518</v>
      </c>
      <c r="AG21" s="205">
        <v>-0.0548661</v>
      </c>
      <c r="AH21" s="205">
        <v>0.37949053</v>
      </c>
      <c r="AI21" s="205">
        <v>0.46374918</v>
      </c>
      <c r="AJ21" s="205">
        <v>-0.2070542</v>
      </c>
      <c r="AK21" s="205">
        <v>0.18680601</v>
      </c>
      <c r="AL21" s="205">
        <v>0.91770085</v>
      </c>
      <c r="AM21" s="205">
        <v>-0.4644024</v>
      </c>
      <c r="AN21" s="205">
        <v>0.4898759</v>
      </c>
      <c r="AO21" s="205">
        <v>-0.5473547</v>
      </c>
      <c r="AP21" s="205">
        <v>0.3109079</v>
      </c>
      <c r="AQ21" s="205">
        <v>-0.1887655</v>
      </c>
      <c r="AR21" s="205">
        <v>0.52449379</v>
      </c>
      <c r="AS21" s="205">
        <v>-0.5179621</v>
      </c>
      <c r="AT21" s="205">
        <v>-0.9294579</v>
      </c>
      <c r="AU21" s="205">
        <v>-0.9980405</v>
      </c>
      <c r="AV21" s="205">
        <v>-1.019595</v>
      </c>
      <c r="AW21" s="205">
        <v>0.90137165</v>
      </c>
      <c r="AX21" s="205">
        <v>1.04310908</v>
      </c>
      <c r="AY21" s="205">
        <v>0.0</v>
      </c>
      <c r="AZ21" s="205">
        <v>-0.4689745</v>
      </c>
      <c r="BA21" s="205">
        <v>0.53886349</v>
      </c>
      <c r="BB21" s="205">
        <v>-0.0999347</v>
      </c>
      <c r="BC21" s="205">
        <v>-1.178968</v>
      </c>
      <c r="BD21" s="205">
        <v>-0.3919007</v>
      </c>
      <c r="BE21" s="205">
        <v>-2.9013717</v>
      </c>
      <c r="BF21" s="205">
        <v>0.07576747</v>
      </c>
      <c r="BG21" s="205">
        <v>-1.3011104</v>
      </c>
      <c r="BH21" s="205">
        <v>-0.0809928</v>
      </c>
      <c r="BI21" s="205">
        <v>0.56825604</v>
      </c>
      <c r="BJ21" s="205">
        <v>0.15937296</v>
      </c>
      <c r="BK21" s="205">
        <v>0.43239713</v>
      </c>
      <c r="BL21" s="205">
        <v>-0.4702809</v>
      </c>
      <c r="BM21" s="205">
        <v>0.00849118</v>
      </c>
      <c r="BN21" s="205">
        <v>0.90137165</v>
      </c>
      <c r="BO21" s="205">
        <v>0.49902025</v>
      </c>
      <c r="BP21" s="205">
        <v>-0.1796212</v>
      </c>
      <c r="BQ21" s="205">
        <v>0.44154148</v>
      </c>
      <c r="BR21" s="206"/>
      <c r="BS21" s="250">
        <f t="shared" si="1"/>
        <v>-0.1523228921</v>
      </c>
      <c r="BT21" s="250">
        <f t="shared" si="2"/>
        <v>0.6236951653</v>
      </c>
      <c r="BU21" s="206"/>
      <c r="BV21" s="207">
        <f>IFERROR(__xludf.DUMMYFUNCTION("AVERAGE(ARRAYFORMULA(XLOOKUP(FILTER(INDIRECT(""'""&amp;BV$1&amp;""'!$C$4:$C$66""),INDIRECT(""'""&amp;BV$1&amp;""'!$D$4:$D$66"")=BV$2),$G$3:$BQ$3,$G21:$BQ21)))"),-0.7746571071428571)</f>
        <v>-0.7746571071</v>
      </c>
      <c r="BW21" s="207" t="str">
        <f>IFERROR(__xludf.DUMMYFUNCTION("IF(OR(BV21&gt;$BS21+$BT21*$BT$2,BV21&lt;$BS21-$BT21*$BT$2),AVEDEV(ARRAYFORMULA(XLOOKUP(FILTER(INDIRECT(""'""&amp;BV$1&amp;""'!$C$4:$C$66""),INDIRECT(""'""&amp;BV$1&amp;""'!$D$4:$D$66"")=BV$2),$G$3:$BQ$3,$G21:$BQ21))),"""")"),"")</f>
        <v/>
      </c>
      <c r="BX21" s="207">
        <f>IFERROR(__xludf.DUMMYFUNCTION("AVERAGE(ARRAYFORMULA(XLOOKUP(FILTER(INDIRECT(""'""&amp;BX$1&amp;""'!$C$4:$C$66""),INDIRECT(""'""&amp;BX$1&amp;""'!$D$4:$D$66"")=BX$2),$G$3:$BQ$3,$G21:$BQ21)))"),-0.07366800238095235)</f>
        <v>-0.07366800238</v>
      </c>
      <c r="BY21" s="207" t="str">
        <f>IFERROR(__xludf.DUMMYFUNCTION("IF(OR(BX21&gt;$BS21+$BT21*$BT$2,BX21&lt;$BS21-$BT21*$BT$2),AVEDEV(ARRAYFORMULA(XLOOKUP(FILTER(INDIRECT(""'""&amp;BX$1&amp;""'!$C$4:$C$66""),INDIRECT(""'""&amp;BX$1&amp;""'!$D$4:$D$66"")=BX$2),$G$3:$BQ$3,$G21:$BQ21))),"""")"),"")</f>
        <v/>
      </c>
      <c r="BZ21" s="207">
        <f>IFERROR(__xludf.DUMMYFUNCTION("AVERAGE(ARRAYFORMULA(XLOOKUP(FILTER(INDIRECT(""'""&amp;BZ$1&amp;""'!$C$4:$C$66""),INDIRECT(""'""&amp;BZ$1&amp;""'!$D$4:$D$66"")=BZ$2),$G$3:$BQ$3,$G21:$BQ21)))"),-0.027017387272727265)</f>
        <v>-0.02701738727</v>
      </c>
      <c r="CA21" s="207" t="str">
        <f>IFERROR(__xludf.DUMMYFUNCTION("IF(OR(BZ21&gt;$BS21+$BT21*$BT$2,BZ21&lt;$BS21-$BT21*$BT$2),AVEDEV(ARRAYFORMULA(XLOOKUP(FILTER(INDIRECT(""'""&amp;BZ$1&amp;""'!$C$4:$C$66""),INDIRECT(""'""&amp;BZ$1&amp;""'!$D$4:$D$66"")=BZ$2),$G$3:$BQ$3,$G21:$BQ21))),"""")"),"")</f>
        <v/>
      </c>
      <c r="CB21" s="209"/>
      <c r="CC21" s="207">
        <f>IFERROR(__xludf.DUMMYFUNCTION("AVERAGE(ARRAYFORMULA(XLOOKUP(FILTER(INDIRECT(""'""&amp;CC$1&amp;""'!$C$4:$C$66""),INDIRECT(""'""&amp;CC$1&amp;""'!$D$4:$D$66"")=CC$2),$G$3:$BQ$3,$G21:$BQ21)))"),-0.017635536250000007)</f>
        <v>-0.01763553625</v>
      </c>
      <c r="CD21" s="207" t="str">
        <f>IFERROR(__xludf.DUMMYFUNCTION("IF(OR(CC21&gt;$BS21+$BT21*$BT$2,CC21&lt;$BS21-$BT21*$BT$2),AVEDEV(ARRAYFORMULA(XLOOKUP(FILTER(INDIRECT(""'""&amp;CC$1&amp;""'!$C$4:$C$66""),INDIRECT(""'""&amp;CC$1&amp;""'!$D$4:$D$66"")=CC$2),$G$3:$BQ$3,$G21:$BQ21))),"""")"),"")</f>
        <v/>
      </c>
      <c r="CE21" s="207">
        <f>IFERROR(__xludf.DUMMYFUNCTION("AVERAGE(ARRAYFORMULA(XLOOKUP(FILTER(INDIRECT(""'""&amp;CE$1&amp;""'!$C$4:$C$66""),INDIRECT(""'""&amp;CE$1&amp;""'!$D$4:$D$66"")=CE$2),$G$3:$BQ$3,$G21:$BQ21)))"),-0.17576536032258064)</f>
        <v>-0.1757653603</v>
      </c>
      <c r="CF21" s="207" t="str">
        <f>IFERROR(__xludf.DUMMYFUNCTION("IF(OR(CE21&gt;$BS21+$BT21*$BT$2,CE21&lt;$BS21-$BT21*$BT$2),AVEDEV(ARRAYFORMULA(XLOOKUP(FILTER(INDIRECT(""'""&amp;CE$1&amp;""'!$C$4:$C$66""),INDIRECT(""'""&amp;CE$1&amp;""'!$D$4:$D$66"")=CE$2),$G$3:$BQ$3,$G21:$BQ21))),"""")"),"")</f>
        <v/>
      </c>
      <c r="CG21" s="207">
        <f>IFERROR(__xludf.DUMMYFUNCTION("AVERAGE(ARRAYFORMULA(XLOOKUP(FILTER(INDIRECT(""'""&amp;CG$1&amp;""'!$C$4:$C$66""),INDIRECT(""'""&amp;CG$1&amp;""'!$D$4:$D$66"")=CG$2),$G$3:$BQ$3,$G21:$BQ21)))"),-0.134291312)</f>
        <v>-0.134291312</v>
      </c>
      <c r="CH21" s="207" t="str">
        <f>IFERROR(__xludf.DUMMYFUNCTION("IF(OR(CG21&gt;$BS21+$BT21*$BT$2,CG21&lt;$BS21-$BT21*$BT$2),AVEDEV(ARRAYFORMULA(XLOOKUP(FILTER(INDIRECT(""'""&amp;CG$1&amp;""'!$C$4:$C$66""),INDIRECT(""'""&amp;CG$1&amp;""'!$D$4:$D$66"")=CG$2),$G$3:$BQ$3,$G21:$BQ21))),"""")"),"")</f>
        <v/>
      </c>
      <c r="CI21" s="206"/>
      <c r="CJ21" s="251">
        <f>IFERROR(__xludf.DUMMYFUNCTION("AVERAGE(ARRAYFORMULA(XLOOKUP(FILTER(INDIRECT(""'""&amp;CJ$1&amp;""'!$C$4:$C$66""),INDIRECT(""'""&amp;CJ$1&amp;""'!$D$4:$D$66"")=CJ$2),$G$3:$BQ$3,$G21:$BQ21)))"),-0.6492488546666667)</f>
        <v>-0.6492488547</v>
      </c>
      <c r="CK21" s="207" t="str">
        <f>IFERROR(__xludf.DUMMYFUNCTION("IF(OR(CJ21&gt;$BS21+$BT21*$BT$2,CJ21&lt;$BS21-$BT21*$BT$2),AVEDEV(ARRAYFORMULA(XLOOKUP(FILTER(INDIRECT(""'""&amp;CJ$1&amp;""'!$C$4:$C$66""),INDIRECT(""'""&amp;CJ$1&amp;""'!$D$4:$D$66"")=CJ$2),$G$3:$BQ$3,$G21:$BQ21))),"""")"),"")</f>
        <v/>
      </c>
      <c r="CL21" s="251">
        <f>IFERROR(__xludf.DUMMYFUNCTION("AVERAGE(ARRAYFORMULA(XLOOKUP(FILTER(INDIRECT(""'""&amp;CL$1&amp;""'!$C$4:$C$66""),INDIRECT(""'""&amp;CL$1&amp;""'!$D$4:$D$66"")=CL$2),$G$3:$BQ$3,$G21:$BQ21)))"),0.05299033769230769)</f>
        <v>0.05299033769</v>
      </c>
      <c r="CM21" s="207" t="str">
        <f>IFERROR(__xludf.DUMMYFUNCTION("IF(OR(CL21&gt;$BS21+$BT21*$BT$2,CL21&lt;$BS21-$BT21*$BT$2),AVEDEV(ARRAYFORMULA(XLOOKUP(FILTER(INDIRECT(""'""&amp;CL$1&amp;""'!$C$4:$C$66""),INDIRECT(""'""&amp;CL$1&amp;""'!$D$4:$D$66"")=CL$2),$G$3:$BQ$3,$G21:$BQ21))),"""")"),"")</f>
        <v/>
      </c>
      <c r="CN21" s="251">
        <f>IFERROR(__xludf.DUMMYFUNCTION("AVERAGE(ARRAYFORMULA(XLOOKUP(FILTER(INDIRECT(""'""&amp;CN$1&amp;""'!$C$4:$C$66""),INDIRECT(""'""&amp;CN$1&amp;""'!$D$4:$D$66"")=CN$2),$G$3:$BQ$3,$G21:$BQ21)))"),-0.134291312)</f>
        <v>-0.134291312</v>
      </c>
      <c r="CO21" s="207" t="str">
        <f>IFERROR(__xludf.DUMMYFUNCTION("IF(OR(CN21&gt;$BS21+$BT21*$BT$2,CN21&lt;$BS21-$BT21*$BT$2),AVEDEV(ARRAYFORMULA(XLOOKUP(FILTER(INDIRECT(""'""&amp;CN$1&amp;""'!$C$4:$C$66""),INDIRECT(""'""&amp;CN$1&amp;""'!$D$4:$D$66"")=CN$2),$G$3:$BQ$3,$G21:$BQ21))),"""")"),"")</f>
        <v/>
      </c>
      <c r="CP21" s="252"/>
      <c r="CQ21" s="251">
        <f>IFERROR(__xludf.DUMMYFUNCTION("AVERAGE(ARRAYFORMULA(XLOOKUP(FILTER(INDIRECT(""'""&amp;CQ$1&amp;""'!$C$4:$C$66""),INDIRECT(""'""&amp;CQ$1&amp;""'!$D$4:$D$66"")=CQ$2),$G$3:$BQ$3,$G21:$BQ21)))"),0.04422879500000001)</f>
        <v>0.044228795</v>
      </c>
      <c r="CR21" s="207" t="str">
        <f>IFERROR(__xludf.DUMMYFUNCTION("IF(OR(CQ21&gt;$BS21+$BT21*$BT$2,CQ21&lt;$BS21-$BT21*$BT$2),AVEDEV(ARRAYFORMULA(XLOOKUP(FILTER(INDIRECT(""'""&amp;CQ$1&amp;""'!$C$4:$C$66""),INDIRECT(""'""&amp;CQ$1&amp;""'!$D$4:$D$66"")=CQ$2),$G$3:$BQ$3,$G21:$BQ21))),"""")"),"")</f>
        <v/>
      </c>
      <c r="CS21" s="251">
        <f>IFERROR(__xludf.DUMMYFUNCTION("AVERAGE(ARRAYFORMULA(XLOOKUP(FILTER(INDIRECT(""'""&amp;CS$1&amp;""'!$C$4:$C$66""),INDIRECT(""'""&amp;CS$1&amp;""'!$D$4:$D$66"")=CS$2),$G$3:$BQ$3,$G21:$BQ21)))"),0.018143562222222243)</f>
        <v>0.01814356222</v>
      </c>
      <c r="CT21" s="207" t="str">
        <f>IFERROR(__xludf.DUMMYFUNCTION("IF(OR(CS21&gt;$BS21+$BT21*$BT$2,CS21&lt;$BS21-$BT21*$BT$2),AVEDEV(ARRAYFORMULA(XLOOKUP(FILTER(INDIRECT(""'""&amp;CS$1&amp;""'!$C$4:$C$66""),INDIRECT(""'""&amp;CS$1&amp;""'!$D$4:$D$66"")=CS$2),$G$3:$BQ$3,$G21:$BQ21))),"""")"),"")</f>
        <v/>
      </c>
      <c r="CU21" s="251">
        <f>IFERROR(__xludf.DUMMYFUNCTION("AVERAGE(ARRAYFORMULA(XLOOKUP(FILTER(INDIRECT(""'""&amp;CU$1&amp;""'!$C$4:$C$66""),INDIRECT(""'""&amp;CU$1&amp;""'!$D$4:$D$66"")=CU$2),$G$3:$BQ$3,$G21:$BQ21)))"),-0.5760940536363636)</f>
        <v>-0.5760940536</v>
      </c>
      <c r="CV21" s="207" t="str">
        <f>IFERROR(__xludf.DUMMYFUNCTION("IF(OR(CU21&gt;$BS21+$BT21*$BT$2,CU21&lt;$BS21-$BT21*$BT$2),AVEDEV(ARRAYFORMULA(XLOOKUP(FILTER(INDIRECT(""'""&amp;CU$1&amp;""'!$C$4:$C$66""),INDIRECT(""'""&amp;CU$1&amp;""'!$D$4:$D$66"")=CU$2),$G$3:$BQ$3,$G21:$BQ21))),"""")"),"")</f>
        <v/>
      </c>
      <c r="CW21" s="251">
        <f>IFERROR(__xludf.DUMMYFUNCTION("AVERAGE(ARRAYFORMULA(XLOOKUP(FILTER(INDIRECT(""'""&amp;CW$1&amp;""'!$C$4:$C$66""),INDIRECT(""'""&amp;CW$1&amp;""'!$D$4:$D$66"")=CW$2),$G$3:$BQ$3,$G21:$BQ21)))"),0.16557805999999997)</f>
        <v>0.16557806</v>
      </c>
      <c r="CX21" s="207" t="str">
        <f>IFERROR(__xludf.DUMMYFUNCTION("IF(OR(CW21&gt;$BS21+$BT21*$BT$2,CW21&lt;$BS21-$BT21*$BT$2),AVEDEV(ARRAYFORMULA(XLOOKUP(FILTER(INDIRECT(""'""&amp;CW$1&amp;""'!$C$4:$C$66""),INDIRECT(""'""&amp;CW$1&amp;""'!$D$4:$D$66"")=CW$2),$G$3:$BQ$3,$G21:$BQ21))),"""")"),"")</f>
        <v/>
      </c>
      <c r="CY21" s="251">
        <f>IFERROR(__xludf.DUMMYFUNCTION("AVERAGE(ARRAYFORMULA(XLOOKUP(FILTER(INDIRECT(""'""&amp;CY$1&amp;""'!$C$4:$C$66""),INDIRECT(""'""&amp;CY$1&amp;""'!$D$4:$D$66"")=CY$2),$G$3:$BQ$3,$G21:$BQ21)))"),0.12606140142857145)</f>
        <v>0.1260614014</v>
      </c>
      <c r="CZ21" s="207" t="str">
        <f>IFERROR(__xludf.DUMMYFUNCTION("IF(OR(CY21&gt;$BS21+$BT21*$BT$2,CY21&lt;$BS21-$BT21*$BT$2),AVEDEV(ARRAYFORMULA(XLOOKUP(FILTER(INDIRECT(""'""&amp;CY$1&amp;""'!$C$4:$C$66""),INDIRECT(""'""&amp;CY$1&amp;""'!$D$4:$D$66"")=CY$2),$G$3:$BQ$3,$G21:$BQ21))),"""")"),"")</f>
        <v/>
      </c>
      <c r="DA21" s="252"/>
      <c r="DB21" s="251">
        <f>IFERROR(__xludf.DUMMYFUNCTION("AVERAGE(ARRAYFORMULA(XLOOKUP(FILTER(INDIRECT(""'""&amp;DB$1&amp;""'!$C$4:$C$66""),INDIRECT(""'""&amp;DB$1&amp;""'!$D$4:$D$66"")=DB$2),$G$3:$BQ$3,$G21:$BQ21)))"),-0.18066623499999998)</f>
        <v>-0.180666235</v>
      </c>
      <c r="DC21" s="207" t="str">
        <f>IFERROR(__xludf.DUMMYFUNCTION("IF(OR(DB21&gt;$BS21+$BT21*$BT$2,DB21&lt;$BS21-$BT21*$BT$2),AVEDEV(ARRAYFORMULA(XLOOKUP(FILTER(INDIRECT(""'""&amp;DB$1&amp;""'!$C$4:$C$66""),INDIRECT(""'""&amp;DB$1&amp;""'!$D$4:$D$66"")=DB$2),$G$3:$BQ$3,$G21:$BQ21))),"""")"),"")</f>
        <v/>
      </c>
      <c r="DD21" s="251">
        <f>IFERROR(__xludf.DUMMYFUNCTION("AVERAGE(ARRAYFORMULA(XLOOKUP(FILTER(INDIRECT(""'""&amp;DD$1&amp;""'!$C$4:$C$66""),INDIRECT(""'""&amp;DD$1&amp;""'!$D$4:$D$66"")=DD$2),$G$3:$BQ$3,$G21:$BQ21)))"),-0.05639014888888886)</f>
        <v>-0.05639014889</v>
      </c>
      <c r="DE21" s="207" t="str">
        <f>IFERROR(__xludf.DUMMYFUNCTION("IF(OR(DD21&gt;$BS21+$BT21*$BT$2,DD21&lt;$BS21-$BT21*$BT$2),AVEDEV(ARRAYFORMULA(XLOOKUP(FILTER(INDIRECT(""'""&amp;DD$1&amp;""'!$C$4:$C$66""),INDIRECT(""'""&amp;DD$1&amp;""'!$D$4:$D$66"")=DD$2),$G$3:$BQ$3,$G21:$BQ21))),"""")"),"")</f>
        <v/>
      </c>
      <c r="DF21" s="251">
        <f>IFERROR(__xludf.DUMMYFUNCTION("AVERAGE(ARRAYFORMULA(XLOOKUP(FILTER(INDIRECT(""'""&amp;DF$1&amp;""'!$C$4:$C$66""),INDIRECT(""'""&amp;DF$1&amp;""'!$D$4:$D$66"")=DF$2),$G$3:$BQ$3,$G21:$BQ21)))"),-0.17480403249999998)</f>
        <v>-0.1748040325</v>
      </c>
      <c r="DG21" s="207" t="str">
        <f>IFERROR(__xludf.DUMMYFUNCTION("IF(OR(DF21&gt;$BS21+$BT21*$BT$2,DF21&lt;$BS21-$BT21*$BT$2),AVEDEV(ARRAYFORMULA(XLOOKUP(FILTER(INDIRECT(""'""&amp;DF$1&amp;""'!$C$4:$C$66""),INDIRECT(""'""&amp;DF$1&amp;""'!$D$4:$D$66"")=DF$2),$G$3:$BQ$3,$G21:$BQ21))),"""")"),"")</f>
        <v/>
      </c>
      <c r="DH21" s="251">
        <f>IFERROR(__xludf.DUMMYFUNCTION("AVERAGE(ARRAYFORMULA(XLOOKUP(FILTER(INDIRECT(""'""&amp;DH$1&amp;""'!$C$4:$C$66""),INDIRECT(""'""&amp;DH$1&amp;""'!$D$4:$D$66"")=DH$2),$G$3:$BQ$3,$G21:$BQ21)))"),0.1455838611111111)</f>
        <v>0.1455838611</v>
      </c>
      <c r="DI21" s="207" t="str">
        <f>IFERROR(__xludf.DUMMYFUNCTION("IF(OR(DH21&gt;$BS21+$BT21*$BT$2,DH21&lt;$BS21-$BT21*$BT$2),AVEDEV(ARRAYFORMULA(XLOOKUP(FILTER(INDIRECT(""'""&amp;DH$1&amp;""'!$C$4:$C$66""),INDIRECT(""'""&amp;DH$1&amp;""'!$D$4:$D$66"")=DH$2),$G$3:$BQ$3,$G21:$BQ21))),"""")"),"")</f>
        <v/>
      </c>
      <c r="DJ21" s="243"/>
    </row>
    <row r="22">
      <c r="A22" s="2"/>
      <c r="B22" s="204">
        <v>18.0</v>
      </c>
      <c r="C22" s="204" t="s">
        <v>442</v>
      </c>
      <c r="D22" s="204" t="s">
        <v>461</v>
      </c>
      <c r="E22" s="205" t="b">
        <f>VLOOKUP(D22,'Feature Set List'!A19:C246,2,0)</f>
        <v>1</v>
      </c>
      <c r="F22" s="205" t="b">
        <f>VLOOKUP(D22,'Feature Set List'!A19:C246,3,0)</f>
        <v>1</v>
      </c>
      <c r="G22" s="205">
        <v>-0.5688393</v>
      </c>
      <c r="H22" s="205">
        <v>0.28163123</v>
      </c>
      <c r="I22" s="205">
        <v>-0.6883932</v>
      </c>
      <c r="J22" s="205">
        <v>-0.238062</v>
      </c>
      <c r="K22" s="205">
        <v>0.19762984</v>
      </c>
      <c r="L22" s="205">
        <v>-0.3189265</v>
      </c>
      <c r="M22" s="205">
        <v>-1.0529801</v>
      </c>
      <c r="N22" s="205">
        <v>0.24224468</v>
      </c>
      <c r="O22" s="205">
        <v>-1.1906588</v>
      </c>
      <c r="P22" s="205">
        <v>0.24921575</v>
      </c>
      <c r="Q22" s="205">
        <v>-0.0362496</v>
      </c>
      <c r="R22" s="205">
        <v>-0.5426978</v>
      </c>
      <c r="S22" s="205">
        <v>0.66294876</v>
      </c>
      <c r="T22" s="205">
        <v>0.21157198</v>
      </c>
      <c r="U22" s="205">
        <v>0.06064831</v>
      </c>
      <c r="V22" s="205">
        <v>-0.0285814</v>
      </c>
      <c r="W22" s="205">
        <v>-1.0456605</v>
      </c>
      <c r="X22" s="205">
        <v>-1.0013942</v>
      </c>
      <c r="Y22" s="205">
        <v>-0.2126176</v>
      </c>
      <c r="Z22" s="205">
        <v>-0.30603</v>
      </c>
      <c r="AA22" s="205">
        <v>0.24573022</v>
      </c>
      <c r="AB22" s="205">
        <v>-0.8299059</v>
      </c>
      <c r="AC22" s="205">
        <v>0.52387591</v>
      </c>
      <c r="AD22" s="205">
        <v>0.50505403</v>
      </c>
      <c r="AE22" s="205">
        <v>-0.1596375</v>
      </c>
      <c r="AF22" s="205">
        <v>0.56256535</v>
      </c>
      <c r="AG22" s="205">
        <v>-0.2844197</v>
      </c>
      <c r="AH22" s="205">
        <v>0.66155455</v>
      </c>
      <c r="AI22" s="205">
        <v>0.72987104</v>
      </c>
      <c r="AJ22" s="205">
        <v>0.60369467</v>
      </c>
      <c r="AK22" s="205">
        <v>0.4677588</v>
      </c>
      <c r="AL22" s="205">
        <v>0.78285117</v>
      </c>
      <c r="AM22" s="205">
        <v>-0.2819798</v>
      </c>
      <c r="AN22" s="205">
        <v>-0.1456954</v>
      </c>
      <c r="AO22" s="205">
        <v>0.25095852</v>
      </c>
      <c r="AP22" s="205">
        <v>-0.0484489</v>
      </c>
      <c r="AQ22" s="205">
        <v>-0.491809</v>
      </c>
      <c r="AR22" s="205">
        <v>0.55942837</v>
      </c>
      <c r="AS22" s="205">
        <v>0.1394214</v>
      </c>
      <c r="AT22" s="205">
        <v>0.0</v>
      </c>
      <c r="AU22" s="205">
        <v>0.68630185</v>
      </c>
      <c r="AV22" s="205">
        <v>-1.2687348</v>
      </c>
      <c r="AW22" s="205">
        <v>0.5622168</v>
      </c>
      <c r="AX22" s="205">
        <v>0.63889857</v>
      </c>
      <c r="AY22" s="205">
        <v>0.16730568</v>
      </c>
      <c r="AZ22" s="205">
        <v>-0.5946323</v>
      </c>
      <c r="BA22" s="205">
        <v>-0.5109794</v>
      </c>
      <c r="BB22" s="205">
        <v>-1.1707912</v>
      </c>
      <c r="BC22" s="205">
        <v>0.27222029</v>
      </c>
      <c r="BD22" s="205">
        <v>0.20808644</v>
      </c>
      <c r="BE22" s="205">
        <v>-2.2415476</v>
      </c>
      <c r="BF22" s="205">
        <v>0.82816312</v>
      </c>
      <c r="BG22" s="205">
        <v>-0.2732659</v>
      </c>
      <c r="BH22" s="205">
        <v>0.51376786</v>
      </c>
      <c r="BI22" s="205">
        <v>-0.4872778</v>
      </c>
      <c r="BJ22" s="205">
        <v>-0.0097595</v>
      </c>
      <c r="BK22" s="205">
        <v>0.81178111</v>
      </c>
      <c r="BL22" s="205">
        <v>-1.5890554</v>
      </c>
      <c r="BM22" s="205">
        <v>0.80202161</v>
      </c>
      <c r="BN22" s="205">
        <v>-0.4893691</v>
      </c>
      <c r="BO22" s="205">
        <v>0.12164517</v>
      </c>
      <c r="BP22" s="205">
        <v>-1.1307076</v>
      </c>
      <c r="BQ22" s="205">
        <v>0.57267341</v>
      </c>
      <c r="BR22" s="206"/>
      <c r="BS22" s="250">
        <f t="shared" si="1"/>
        <v>-0.08119637</v>
      </c>
      <c r="BT22" s="250">
        <f t="shared" si="2"/>
        <v>0.5372624257</v>
      </c>
      <c r="BU22" s="206"/>
      <c r="BV22" s="207">
        <f>IFERROR(__xludf.DUMMYFUNCTION("AVERAGE(ARRAYFORMULA(XLOOKUP(FILTER(INDIRECT(""'""&amp;BV$1&amp;""'!$C$4:$C$66""),INDIRECT(""'""&amp;BV$1&amp;""'!$D$4:$D$66"")=BV$2),$G$3:$BQ$3,$G22:$BQ22)))"),-0.7891251271428572)</f>
        <v>-0.7891251271</v>
      </c>
      <c r="BW22" s="207">
        <f>IFERROR(__xludf.DUMMYFUNCTION("IF(OR(BV22&gt;$BS22+$BT22*$BT$2,BV22&lt;$BS22-$BT22*$BT$2),AVEDEV(ARRAYFORMULA(XLOOKUP(FILTER(INDIRECT(""'""&amp;BV$1&amp;""'!$C$4:$C$66""),INDIRECT(""'""&amp;BV$1&amp;""'!$D$4:$D$66"")=BV$2),$G$3:$BQ$3,$G22:$BQ22))),"""")"),0.8132251118367347)</f>
        <v>0.8132251118</v>
      </c>
      <c r="BX22" s="207">
        <f>IFERROR(__xludf.DUMMYFUNCTION("AVERAGE(ARRAYFORMULA(XLOOKUP(FILTER(INDIRECT(""'""&amp;BX$1&amp;""'!$C$4:$C$66""),INDIRECT(""'""&amp;BX$1&amp;""'!$D$4:$D$66"")=BX$2),$G$3:$BQ$3,$G22:$BQ22)))"),0.06385167857142857)</f>
        <v>0.06385167857</v>
      </c>
      <c r="BY22" s="207" t="str">
        <f>IFERROR(__xludf.DUMMYFUNCTION("IF(OR(BX22&gt;$BS22+$BT22*$BT$2,BX22&lt;$BS22-$BT22*$BT$2),AVEDEV(ARRAYFORMULA(XLOOKUP(FILTER(INDIRECT(""'""&amp;BX$1&amp;""'!$C$4:$C$66""),INDIRECT(""'""&amp;BX$1&amp;""'!$D$4:$D$66"")=BX$2),$G$3:$BQ$3,$G22:$BQ22))),"""")"),"")</f>
        <v/>
      </c>
      <c r="BZ22" s="207">
        <f>IFERROR(__xludf.DUMMYFUNCTION("AVERAGE(ARRAYFORMULA(XLOOKUP(FILTER(INDIRECT(""'""&amp;BZ$1&amp;""'!$C$4:$C$66""),INDIRECT(""'""&amp;BZ$1&amp;""'!$D$4:$D$66"")=BZ$2),$G$3:$BQ$3,$G22:$BQ22)))"),-0.2253873645454546)</f>
        <v>-0.2253873645</v>
      </c>
      <c r="CA22" s="207" t="str">
        <f>IFERROR(__xludf.DUMMYFUNCTION("IF(OR(BZ22&gt;$BS22+$BT22*$BT$2,BZ22&lt;$BS22-$BT22*$BT$2),AVEDEV(ARRAYFORMULA(XLOOKUP(FILTER(INDIRECT(""'""&amp;BZ$1&amp;""'!$C$4:$C$66""),INDIRECT(""'""&amp;BZ$1&amp;""'!$D$4:$D$66"")=BZ$2),$G$3:$BQ$3,$G22:$BQ22))),"""")"),"")</f>
        <v/>
      </c>
      <c r="CB22" s="209"/>
      <c r="CC22" s="207">
        <f>IFERROR(__xludf.DUMMYFUNCTION("AVERAGE(ARRAYFORMULA(XLOOKUP(FILTER(INDIRECT(""'""&amp;CC$1&amp;""'!$C$4:$C$66""),INDIRECT(""'""&amp;CC$1&amp;""'!$D$4:$D$66"")=CC$2),$G$3:$BQ$3,$G22:$BQ22)))"),0.059275882500000016)</f>
        <v>0.0592758825</v>
      </c>
      <c r="CD22" s="207" t="str">
        <f>IFERROR(__xludf.DUMMYFUNCTION("IF(OR(CC22&gt;$BS22+$BT22*$BT$2,CC22&lt;$BS22-$BT22*$BT$2),AVEDEV(ARRAYFORMULA(XLOOKUP(FILTER(INDIRECT(""'""&amp;CC$1&amp;""'!$C$4:$C$66""),INDIRECT(""'""&amp;CC$1&amp;""'!$D$4:$D$66"")=CC$2),$G$3:$BQ$3,$G22:$BQ22))),"""")"),"")</f>
        <v/>
      </c>
      <c r="CE22" s="207">
        <f>IFERROR(__xludf.DUMMYFUNCTION("AVERAGE(ARRAYFORMULA(XLOOKUP(FILTER(INDIRECT(""'""&amp;CE$1&amp;""'!$C$4:$C$66""),INDIRECT(""'""&amp;CE$1&amp;""'!$D$4:$D$66"")=CE$2),$G$3:$BQ$3,$G22:$BQ22)))"),-0.17094863516129039)</f>
        <v>-0.1709486352</v>
      </c>
      <c r="CF22" s="207" t="str">
        <f>IFERROR(__xludf.DUMMYFUNCTION("IF(OR(CE22&gt;$BS22+$BT22*$BT$2,CE22&lt;$BS22-$BT22*$BT$2),AVEDEV(ARRAYFORMULA(XLOOKUP(FILTER(INDIRECT(""'""&amp;CE$1&amp;""'!$C$4:$C$66""),INDIRECT(""'""&amp;CE$1&amp;""'!$D$4:$D$66"")=CE$2),$G$3:$BQ$3,$G22:$BQ22))),"""")"),"")</f>
        <v/>
      </c>
      <c r="CG22" s="207">
        <f>IFERROR(__xludf.DUMMYFUNCTION("AVERAGE(ARRAYFORMULA(XLOOKUP(FILTER(INDIRECT(""'""&amp;CG$1&amp;""'!$C$4:$C$66""),INDIRECT(""'""&amp;CG$1&amp;""'!$D$4:$D$66"")=CG$2),$G$3:$BQ$3,$G22:$BQ22)))"),-0.036807233999999994)</f>
        <v>-0.036807234</v>
      </c>
      <c r="CH22" s="207" t="str">
        <f>IFERROR(__xludf.DUMMYFUNCTION("IF(OR(CG22&gt;$BS22+$BT22*$BT$2,CG22&lt;$BS22-$BT22*$BT$2),AVEDEV(ARRAYFORMULA(XLOOKUP(FILTER(INDIRECT(""'""&amp;CG$1&amp;""'!$C$4:$C$66""),INDIRECT(""'""&amp;CG$1&amp;""'!$D$4:$D$66"")=CG$2),$G$3:$BQ$3,$G22:$BQ22))),"""")"),"")</f>
        <v/>
      </c>
      <c r="CI22" s="206"/>
      <c r="CJ22" s="251">
        <f>IFERROR(__xludf.DUMMYFUNCTION("AVERAGE(ARRAYFORMULA(XLOOKUP(FILTER(INDIRECT(""'""&amp;CJ$1&amp;""'!$C$4:$C$66""),INDIRECT(""'""&amp;CJ$1&amp;""'!$D$4:$D$66"")=CJ$2),$G$3:$BQ$3,$G22:$BQ22)))"),-0.23513419000000002)</f>
        <v>-0.23513419</v>
      </c>
      <c r="CK22" s="207" t="str">
        <f>IFERROR(__xludf.DUMMYFUNCTION("IF(OR(CJ22&gt;$BS22+$BT22*$BT$2,CJ22&lt;$BS22-$BT22*$BT$2),AVEDEV(ARRAYFORMULA(XLOOKUP(FILTER(INDIRECT(""'""&amp;CJ$1&amp;""'!$C$4:$C$66""),INDIRECT(""'""&amp;CJ$1&amp;""'!$D$4:$D$66"")=CJ$2),$G$3:$BQ$3,$G22:$BQ22))),"""")"),"")</f>
        <v/>
      </c>
      <c r="CL22" s="251">
        <f>IFERROR(__xludf.DUMMYFUNCTION("AVERAGE(ARRAYFORMULA(XLOOKUP(FILTER(INDIRECT(""'""&amp;CL$1&amp;""'!$C$4:$C$66""),INDIRECT(""'""&amp;CL$1&amp;""'!$D$4:$D$66"")=CL$2),$G$3:$BQ$3,$G22:$BQ22)))"),-5.451789743589747E-4)</f>
        <v>-0.0005451789744</v>
      </c>
      <c r="CM22" s="207" t="str">
        <f>IFERROR(__xludf.DUMMYFUNCTION("IF(OR(CL22&gt;$BS22+$BT22*$BT$2,CL22&lt;$BS22-$BT22*$BT$2),AVEDEV(ARRAYFORMULA(XLOOKUP(FILTER(INDIRECT(""'""&amp;CL$1&amp;""'!$C$4:$C$66""),INDIRECT(""'""&amp;CL$1&amp;""'!$D$4:$D$66"")=CL$2),$G$3:$BQ$3,$G22:$BQ22))),"""")"),"")</f>
        <v/>
      </c>
      <c r="CN22" s="251">
        <f>IFERROR(__xludf.DUMMYFUNCTION("AVERAGE(ARRAYFORMULA(XLOOKUP(FILTER(INDIRECT(""'""&amp;CN$1&amp;""'!$C$4:$C$66""),INDIRECT(""'""&amp;CN$1&amp;""'!$D$4:$D$66"")=CN$2),$G$3:$BQ$3,$G22:$BQ22)))"),-0.036807233999999994)</f>
        <v>-0.036807234</v>
      </c>
      <c r="CO22" s="207" t="str">
        <f>IFERROR(__xludf.DUMMYFUNCTION("IF(OR(CN22&gt;$BS22+$BT22*$BT$2,CN22&lt;$BS22-$BT22*$BT$2),AVEDEV(ARRAYFORMULA(XLOOKUP(FILTER(INDIRECT(""'""&amp;CN$1&amp;""'!$C$4:$C$66""),INDIRECT(""'""&amp;CN$1&amp;""'!$D$4:$D$66"")=CN$2),$G$3:$BQ$3,$G22:$BQ22))),"""")"),"")</f>
        <v/>
      </c>
      <c r="CP22" s="252"/>
      <c r="CQ22" s="251">
        <f>IFERROR(__xludf.DUMMYFUNCTION("AVERAGE(ARRAYFORMULA(XLOOKUP(FILTER(INDIRECT(""'""&amp;CQ$1&amp;""'!$C$4:$C$66""),INDIRECT(""'""&amp;CQ$1&amp;""'!$D$4:$D$66"")=CQ$2),$G$3:$BQ$3,$G22:$BQ22)))"),0.246825675)</f>
        <v>0.246825675</v>
      </c>
      <c r="CR22" s="207" t="str">
        <f>IFERROR(__xludf.DUMMYFUNCTION("IF(OR(CQ22&gt;$BS22+$BT22*$BT$2,CQ22&lt;$BS22-$BT22*$BT$2),AVEDEV(ARRAYFORMULA(XLOOKUP(FILTER(INDIRECT(""'""&amp;CQ$1&amp;""'!$C$4:$C$66""),INDIRECT(""'""&amp;CQ$1&amp;""'!$D$4:$D$66"")=CQ$2),$G$3:$BQ$3,$G22:$BQ22))),"""")"),"")</f>
        <v/>
      </c>
      <c r="CS22" s="251">
        <f>IFERROR(__xludf.DUMMYFUNCTION("AVERAGE(ARRAYFORMULA(XLOOKUP(FILTER(INDIRECT(""'""&amp;CS$1&amp;""'!$C$4:$C$66""),INDIRECT(""'""&amp;CS$1&amp;""'!$D$4:$D$66"")=CS$2),$G$3:$BQ$3,$G22:$BQ22)))"),-0.29851670222222226)</f>
        <v>-0.2985167022</v>
      </c>
      <c r="CT22" s="207" t="str">
        <f>IFERROR(__xludf.DUMMYFUNCTION("IF(OR(CS22&gt;$BS22+$BT22*$BT$2,CS22&lt;$BS22-$BT22*$BT$2),AVEDEV(ARRAYFORMULA(XLOOKUP(FILTER(INDIRECT(""'""&amp;CS$1&amp;""'!$C$4:$C$66""),INDIRECT(""'""&amp;CS$1&amp;""'!$D$4:$D$66"")=CS$2),$G$3:$BQ$3,$G22:$BQ22))),"""")"),"")</f>
        <v/>
      </c>
      <c r="CU22" s="251">
        <f>IFERROR(__xludf.DUMMYFUNCTION("AVERAGE(ARRAYFORMULA(XLOOKUP(FILTER(INDIRECT(""'""&amp;CU$1&amp;""'!$C$4:$C$66""),INDIRECT(""'""&amp;CU$1&amp;""'!$D$4:$D$66"")=CU$2),$G$3:$BQ$3,$G22:$BQ22)))"),-0.09388764454545453)</f>
        <v>-0.09388764455</v>
      </c>
      <c r="CV22" s="207" t="str">
        <f>IFERROR(__xludf.DUMMYFUNCTION("IF(OR(CU22&gt;$BS22+$BT22*$BT$2,CU22&lt;$BS22-$BT22*$BT$2),AVEDEV(ARRAYFORMULA(XLOOKUP(FILTER(INDIRECT(""'""&amp;CU$1&amp;""'!$C$4:$C$66""),INDIRECT(""'""&amp;CU$1&amp;""'!$D$4:$D$66"")=CU$2),$G$3:$BQ$3,$G22:$BQ22))),"""")"),"")</f>
        <v/>
      </c>
      <c r="CW22" s="251">
        <f>IFERROR(__xludf.DUMMYFUNCTION("AVERAGE(ARRAYFORMULA(XLOOKUP(FILTER(INDIRECT(""'""&amp;CW$1&amp;""'!$C$4:$C$66""),INDIRECT(""'""&amp;CW$1&amp;""'!$D$4:$D$66"")=CW$2),$G$3:$BQ$3,$G22:$BQ22)))"),0.509410945)</f>
        <v>0.509410945</v>
      </c>
      <c r="CX22" s="207">
        <f>IFERROR(__xludf.DUMMYFUNCTION("IF(OR(CW22&gt;$BS22+$BT22*$BT$2,CW22&lt;$BS22-$BT22*$BT$2),AVEDEV(ARRAYFORMULA(XLOOKUP(FILTER(INDIRECT(""'""&amp;CW$1&amp;""'!$C$4:$C$66""),INDIRECT(""'""&amp;CW$1&amp;""'!$D$4:$D$66"")=CW$2),$G$3:$BQ$3,$G22:$BQ22))),"""")"),0.004356914999999961)</f>
        <v>0.004356915</v>
      </c>
      <c r="CY22" s="251">
        <f>IFERROR(__xludf.DUMMYFUNCTION("AVERAGE(ARRAYFORMULA(XLOOKUP(FILTER(INDIRECT(""'""&amp;CY$1&amp;""'!$C$4:$C$66""),INDIRECT(""'""&amp;CY$1&amp;""'!$D$4:$D$66"")=CY$2),$G$3:$BQ$3,$G22:$BQ22)))"),-0.12082359214285712)</f>
        <v>-0.1208235921</v>
      </c>
      <c r="CZ22" s="207" t="str">
        <f>IFERROR(__xludf.DUMMYFUNCTION("IF(OR(CY22&gt;$BS22+$BT22*$BT$2,CY22&lt;$BS22-$BT22*$BT$2),AVEDEV(ARRAYFORMULA(XLOOKUP(FILTER(INDIRECT(""'""&amp;CY$1&amp;""'!$C$4:$C$66""),INDIRECT(""'""&amp;CY$1&amp;""'!$D$4:$D$66"")=CY$2),$G$3:$BQ$3,$G22:$BQ22))),"""")"),"")</f>
        <v/>
      </c>
      <c r="DA22" s="252"/>
      <c r="DB22" s="251">
        <f>IFERROR(__xludf.DUMMYFUNCTION("AVERAGE(ARRAYFORMULA(XLOOKUP(FILTER(INDIRECT(""'""&amp;DB$1&amp;""'!$C$4:$C$66""),INDIRECT(""'""&amp;DB$1&amp;""'!$D$4:$D$66"")=DB$2),$G$3:$BQ$3,$G22:$BQ22)))"),-0.029034509333333333)</f>
        <v>-0.02903450933</v>
      </c>
      <c r="DC22" s="207" t="str">
        <f>IFERROR(__xludf.DUMMYFUNCTION("IF(OR(DB22&gt;$BS22+$BT22*$BT$2,DB22&lt;$BS22-$BT22*$BT$2),AVEDEV(ARRAYFORMULA(XLOOKUP(FILTER(INDIRECT(""'""&amp;DB$1&amp;""'!$C$4:$C$66""),INDIRECT(""'""&amp;DB$1&amp;""'!$D$4:$D$66"")=DB$2),$G$3:$BQ$3,$G22:$BQ22))),"""")"),"")</f>
        <v/>
      </c>
      <c r="DD22" s="251">
        <f>IFERROR(__xludf.DUMMYFUNCTION("AVERAGE(ARRAYFORMULA(XLOOKUP(FILTER(INDIRECT(""'""&amp;DD$1&amp;""'!$C$4:$C$66""),INDIRECT(""'""&amp;DD$1&amp;""'!$D$4:$D$66"")=DD$2),$G$3:$BQ$3,$G22:$BQ22)))"),-0.3892568066666667)</f>
        <v>-0.3892568067</v>
      </c>
      <c r="DE22" s="207" t="str">
        <f>IFERROR(__xludf.DUMMYFUNCTION("IF(OR(DD22&gt;$BS22+$BT22*$BT$2,DD22&lt;$BS22-$BT22*$BT$2),AVEDEV(ARRAYFORMULA(XLOOKUP(FILTER(INDIRECT(""'""&amp;DD$1&amp;""'!$C$4:$C$66""),INDIRECT(""'""&amp;DD$1&amp;""'!$D$4:$D$66"")=DD$2),$G$3:$BQ$3,$G22:$BQ22))),"""")"),"")</f>
        <v/>
      </c>
      <c r="DF22" s="251">
        <f>IFERROR(__xludf.DUMMYFUNCTION("AVERAGE(ARRAYFORMULA(XLOOKUP(FILTER(INDIRECT(""'""&amp;DF$1&amp;""'!$C$4:$C$66""),INDIRECT(""'""&amp;DF$1&amp;""'!$D$4:$D$66"")=DF$2),$G$3:$BQ$3,$G22:$BQ22)))"),-0.07345765749999998)</f>
        <v>-0.0734576575</v>
      </c>
      <c r="DG22" s="207" t="str">
        <f>IFERROR(__xludf.DUMMYFUNCTION("IF(OR(DF22&gt;$BS22+$BT22*$BT$2,DF22&lt;$BS22-$BT22*$BT$2),AVEDEV(ARRAYFORMULA(XLOOKUP(FILTER(INDIRECT(""'""&amp;DF$1&amp;""'!$C$4:$C$66""),INDIRECT(""'""&amp;DF$1&amp;""'!$D$4:$D$66"")=DF$2),$G$3:$BQ$3,$G22:$BQ22))),"""")"),"")</f>
        <v/>
      </c>
      <c r="DH22" s="251">
        <f>IFERROR(__xludf.DUMMYFUNCTION("AVERAGE(ARRAYFORMULA(XLOOKUP(FILTER(INDIRECT(""'""&amp;DH$1&amp;""'!$C$4:$C$66""),INDIRECT(""'""&amp;DH$1&amp;""'!$D$4:$D$66"")=DH$2),$G$3:$BQ$3,$G22:$BQ22)))"),0.15785601222222223)</f>
        <v>0.1578560122</v>
      </c>
      <c r="DI22" s="207" t="str">
        <f>IFERROR(__xludf.DUMMYFUNCTION("IF(OR(DH22&gt;$BS22+$BT22*$BT$2,DH22&lt;$BS22-$BT22*$BT$2),AVEDEV(ARRAYFORMULA(XLOOKUP(FILTER(INDIRECT(""'""&amp;DH$1&amp;""'!$C$4:$C$66""),INDIRECT(""'""&amp;DH$1&amp;""'!$D$4:$D$66"")=DH$2),$G$3:$BQ$3,$G22:$BQ22))),"""")"),"")</f>
        <v/>
      </c>
      <c r="DJ22" s="243"/>
    </row>
    <row r="23">
      <c r="A23" s="2"/>
      <c r="B23" s="204">
        <v>19.0</v>
      </c>
      <c r="C23" s="204" t="s">
        <v>442</v>
      </c>
      <c r="D23" s="204" t="s">
        <v>462</v>
      </c>
      <c r="E23" s="205" t="b">
        <f>VLOOKUP(D23,'Feature Set List'!A20:C246,2,0)</f>
        <v>1</v>
      </c>
      <c r="F23" s="205" t="b">
        <f>VLOOKUP(D23,'Feature Set List'!A20:C246,3,0)</f>
        <v>1</v>
      </c>
      <c r="G23" s="205">
        <v>-0.25</v>
      </c>
      <c r="H23" s="205">
        <v>-0.375</v>
      </c>
      <c r="I23" s="205">
        <v>3.625</v>
      </c>
      <c r="J23" s="205">
        <v>-0.5</v>
      </c>
      <c r="K23" s="205">
        <v>-0.625</v>
      </c>
      <c r="L23" s="205">
        <v>0.0</v>
      </c>
      <c r="M23" s="205">
        <v>0.625</v>
      </c>
      <c r="N23" s="205">
        <v>2.125</v>
      </c>
      <c r="O23" s="205">
        <v>0.625</v>
      </c>
      <c r="P23" s="205">
        <v>-0.625</v>
      </c>
      <c r="Q23" s="205">
        <v>0.625</v>
      </c>
      <c r="R23" s="205">
        <v>-0.25</v>
      </c>
      <c r="S23" s="205">
        <v>0.375</v>
      </c>
      <c r="T23" s="205">
        <v>-0.625</v>
      </c>
      <c r="U23" s="205">
        <v>-0.25</v>
      </c>
      <c r="V23" s="205">
        <v>-0.375</v>
      </c>
      <c r="W23" s="205">
        <v>0.625</v>
      </c>
      <c r="X23" s="205">
        <v>0.625</v>
      </c>
      <c r="Y23" s="205">
        <v>-0.25</v>
      </c>
      <c r="Z23" s="205">
        <v>0.0</v>
      </c>
      <c r="AA23" s="205">
        <v>4.125</v>
      </c>
      <c r="AB23" s="205">
        <v>0.0</v>
      </c>
      <c r="AC23" s="205">
        <v>0.875</v>
      </c>
      <c r="AD23" s="205">
        <v>0.0</v>
      </c>
      <c r="AE23" s="205">
        <v>-0.25</v>
      </c>
      <c r="AF23" s="205">
        <v>-0.625</v>
      </c>
      <c r="AG23" s="205">
        <v>-0.75</v>
      </c>
      <c r="AH23" s="205">
        <v>0.375</v>
      </c>
      <c r="AI23" s="205">
        <v>-0.75</v>
      </c>
      <c r="AJ23" s="205">
        <v>1.75</v>
      </c>
      <c r="AK23" s="205">
        <v>-0.25</v>
      </c>
      <c r="AL23" s="205">
        <v>0.375</v>
      </c>
      <c r="AM23" s="205">
        <v>2.5</v>
      </c>
      <c r="AN23" s="205">
        <v>1.5</v>
      </c>
      <c r="AO23" s="205">
        <v>0.0</v>
      </c>
      <c r="AP23" s="205">
        <v>-0.375</v>
      </c>
      <c r="AQ23" s="205">
        <v>-0.25</v>
      </c>
      <c r="AR23" s="205">
        <v>-0.5</v>
      </c>
      <c r="AS23" s="205">
        <v>0.0</v>
      </c>
      <c r="AT23" s="205">
        <v>0.625</v>
      </c>
      <c r="AU23" s="205">
        <v>-0.25</v>
      </c>
      <c r="AV23" s="205">
        <v>0.625</v>
      </c>
      <c r="AW23" s="205">
        <v>-0.5</v>
      </c>
      <c r="AX23" s="205">
        <v>0.0</v>
      </c>
      <c r="AY23" s="205">
        <v>-0.375</v>
      </c>
      <c r="AZ23" s="205">
        <v>0.0</v>
      </c>
      <c r="BA23" s="205">
        <v>-0.25</v>
      </c>
      <c r="BB23" s="205">
        <v>0.625</v>
      </c>
      <c r="BC23" s="205">
        <v>1.0</v>
      </c>
      <c r="BD23" s="205">
        <v>-0.75</v>
      </c>
      <c r="BE23" s="205">
        <v>0.625</v>
      </c>
      <c r="BF23" s="205">
        <v>0.0</v>
      </c>
      <c r="BG23" s="205">
        <v>-0.625</v>
      </c>
      <c r="BH23" s="205">
        <v>0.0</v>
      </c>
      <c r="BI23" s="205">
        <v>0.625</v>
      </c>
      <c r="BJ23" s="205">
        <v>0.625</v>
      </c>
      <c r="BK23" s="205">
        <v>0.0</v>
      </c>
      <c r="BL23" s="205">
        <v>3.625</v>
      </c>
      <c r="BM23" s="205">
        <v>-0.5</v>
      </c>
      <c r="BN23" s="205">
        <v>0.625</v>
      </c>
      <c r="BO23" s="205">
        <v>-0.5</v>
      </c>
      <c r="BP23" s="205">
        <v>2.125</v>
      </c>
      <c r="BQ23" s="205">
        <v>-0.25</v>
      </c>
      <c r="BR23" s="206"/>
      <c r="BS23" s="250">
        <f t="shared" si="1"/>
        <v>0.3174603175</v>
      </c>
      <c r="BT23" s="250">
        <f t="shared" si="2"/>
        <v>0.759952129</v>
      </c>
      <c r="BU23" s="206"/>
      <c r="BV23" s="207">
        <f>IFERROR(__xludf.DUMMYFUNCTION("AVERAGE(ARRAYFORMULA(XLOOKUP(FILTER(INDIRECT(""'""&amp;BV$1&amp;""'!$C$4:$C$66""),INDIRECT(""'""&amp;BV$1&amp;""'!$D$4:$D$66"")=BV$2),$G$3:$BQ$3,$G23:$BQ23)))"),0.6964285714285714)</f>
        <v>0.6964285714</v>
      </c>
      <c r="BW23" s="207" t="str">
        <f>IFERROR(__xludf.DUMMYFUNCTION("IF(OR(BV23&gt;$BS23+$BT23*$BT$2,BV23&lt;$BS23-$BT23*$BT$2),AVEDEV(ARRAYFORMULA(XLOOKUP(FILTER(INDIRECT(""'""&amp;BV$1&amp;""'!$C$4:$C$66""),INDIRECT(""'""&amp;BV$1&amp;""'!$D$4:$D$66"")=BV$2),$G$3:$BQ$3,$G23:$BQ23))),"""")"),"")</f>
        <v/>
      </c>
      <c r="BX23" s="207">
        <f>IFERROR(__xludf.DUMMYFUNCTION("AVERAGE(ARRAYFORMULA(XLOOKUP(FILTER(INDIRECT(""'""&amp;BX$1&amp;""'!$C$4:$C$66""),INDIRECT(""'""&amp;BX$1&amp;""'!$D$4:$D$66"")=BX$2),$G$3:$BQ$3,$G23:$BQ23)))"),0.34226190476190477)</f>
        <v>0.3422619048</v>
      </c>
      <c r="BY23" s="207" t="str">
        <f>IFERROR(__xludf.DUMMYFUNCTION("IF(OR(BX23&gt;$BS23+$BT23*$BT$2,BX23&lt;$BS23-$BT23*$BT$2),AVEDEV(ARRAYFORMULA(XLOOKUP(FILTER(INDIRECT(""'""&amp;BX$1&amp;""'!$C$4:$C$66""),INDIRECT(""'""&amp;BX$1&amp;""'!$D$4:$D$66"")=BX$2),$G$3:$BQ$3,$G23:$BQ23))),"""")"),"")</f>
        <v/>
      </c>
      <c r="BZ23" s="207">
        <f>IFERROR(__xludf.DUMMYFUNCTION("AVERAGE(ARRAYFORMULA(XLOOKUP(FILTER(INDIRECT(""'""&amp;BZ$1&amp;""'!$C$4:$C$66""),INDIRECT(""'""&amp;BZ$1&amp;""'!$D$4:$D$66"")=BZ$2),$G$3:$BQ$3,$G23:$BQ23)))"),-0.17045454545454544)</f>
        <v>-0.1704545455</v>
      </c>
      <c r="CA23" s="207" t="str">
        <f>IFERROR(__xludf.DUMMYFUNCTION("IF(OR(BZ23&gt;$BS23+$BT23*$BT$2,BZ23&lt;$BS23-$BT23*$BT$2),AVEDEV(ARRAYFORMULA(XLOOKUP(FILTER(INDIRECT(""'""&amp;BZ$1&amp;""'!$C$4:$C$66""),INDIRECT(""'""&amp;BZ$1&amp;""'!$D$4:$D$66"")=BZ$2),$G$3:$BQ$3,$G23:$BQ23))),"""")"),"")</f>
        <v/>
      </c>
      <c r="CB23" s="209"/>
      <c r="CC23" s="207">
        <f>IFERROR(__xludf.DUMMYFUNCTION("AVERAGE(ARRAYFORMULA(XLOOKUP(FILTER(INDIRECT(""'""&amp;CC$1&amp;""'!$C$4:$C$66""),INDIRECT(""'""&amp;CC$1&amp;""'!$D$4:$D$66"")=CC$2),$G$3:$BQ$3,$G23:$BQ23)))"),-0.1171875)</f>
        <v>-0.1171875</v>
      </c>
      <c r="CD23" s="207" t="str">
        <f>IFERROR(__xludf.DUMMYFUNCTION("IF(OR(CC23&gt;$BS23+$BT23*$BT$2,CC23&lt;$BS23-$BT23*$BT$2),AVEDEV(ARRAYFORMULA(XLOOKUP(FILTER(INDIRECT(""'""&amp;CC$1&amp;""'!$C$4:$C$66""),INDIRECT(""'""&amp;CC$1&amp;""'!$D$4:$D$66"")=CC$2),$G$3:$BQ$3,$G23:$BQ23))),"""")"),"")</f>
        <v/>
      </c>
      <c r="CE23" s="207">
        <f>IFERROR(__xludf.DUMMYFUNCTION("AVERAGE(ARRAYFORMULA(XLOOKUP(FILTER(INDIRECT(""'""&amp;CE$1&amp;""'!$C$4:$C$66""),INDIRECT(""'""&amp;CE$1&amp;""'!$D$4:$D$66"")=CE$2),$G$3:$BQ$3,$G23:$BQ23)))"),0.6088709677419355)</f>
        <v>0.6088709677</v>
      </c>
      <c r="CF23" s="207" t="str">
        <f>IFERROR(__xludf.DUMMYFUNCTION("IF(OR(CE23&gt;$BS23+$BT23*$BT$2,CE23&lt;$BS23-$BT23*$BT$2),AVEDEV(ARRAYFORMULA(XLOOKUP(FILTER(INDIRECT(""'""&amp;CE$1&amp;""'!$C$4:$C$66""),INDIRECT(""'""&amp;CE$1&amp;""'!$D$4:$D$66"")=CE$2),$G$3:$BQ$3,$G23:$BQ23))),"""")"),"")</f>
        <v/>
      </c>
      <c r="CG23" s="207">
        <f>IFERROR(__xludf.DUMMYFUNCTION("AVERAGE(ARRAYFORMULA(XLOOKUP(FILTER(INDIRECT(""'""&amp;CG$1&amp;""'!$C$4:$C$66""),INDIRECT(""'""&amp;CG$1&amp;""'!$D$4:$D$66"")=CG$2),$G$3:$BQ$3,$G23:$BQ23)))"),-0.425)</f>
        <v>-0.425</v>
      </c>
      <c r="CH23" s="207" t="str">
        <f>IFERROR(__xludf.DUMMYFUNCTION("IF(OR(CG23&gt;$BS23+$BT23*$BT$2,CG23&lt;$BS23-$BT23*$BT$2),AVEDEV(ARRAYFORMULA(XLOOKUP(FILTER(INDIRECT(""'""&amp;CG$1&amp;""'!$C$4:$C$66""),INDIRECT(""'""&amp;CG$1&amp;""'!$D$4:$D$66"")=CG$2),$G$3:$BQ$3,$G23:$BQ23))),"""")"),"")</f>
        <v/>
      </c>
      <c r="CI23" s="206"/>
      <c r="CJ23" s="251">
        <f>IFERROR(__xludf.DUMMYFUNCTION("AVERAGE(ARRAYFORMULA(XLOOKUP(FILTER(INDIRECT(""'""&amp;CJ$1&amp;""'!$C$4:$C$66""),INDIRECT(""'""&amp;CJ$1&amp;""'!$D$4:$D$66"")=CJ$2),$G$3:$BQ$3,$G23:$BQ23)))"),0.5333333333333333)</f>
        <v>0.5333333333</v>
      </c>
      <c r="CK23" s="207" t="str">
        <f>IFERROR(__xludf.DUMMYFUNCTION("IF(OR(CJ23&gt;$BS23+$BT23*$BT$2,CJ23&lt;$BS23-$BT23*$BT$2),AVEDEV(ARRAYFORMULA(XLOOKUP(FILTER(INDIRECT(""'""&amp;CJ$1&amp;""'!$C$4:$C$66""),INDIRECT(""'""&amp;CJ$1&amp;""'!$D$4:$D$66"")=CJ$2),$G$3:$BQ$3,$G23:$BQ23))),"""")"),"")</f>
        <v/>
      </c>
      <c r="CL23" s="251">
        <f>IFERROR(__xludf.DUMMYFUNCTION("AVERAGE(ARRAYFORMULA(XLOOKUP(FILTER(INDIRECT(""'""&amp;CL$1&amp;""'!$C$4:$C$66""),INDIRECT(""'""&amp;CL$1&amp;""'!$D$4:$D$66"")=CL$2),$G$3:$BQ$3,$G23:$BQ23)))"),0.20192307692307693)</f>
        <v>0.2019230769</v>
      </c>
      <c r="CM23" s="207" t="str">
        <f>IFERROR(__xludf.DUMMYFUNCTION("IF(OR(CL23&gt;$BS23+$BT23*$BT$2,CL23&lt;$BS23-$BT23*$BT$2),AVEDEV(ARRAYFORMULA(XLOOKUP(FILTER(INDIRECT(""'""&amp;CL$1&amp;""'!$C$4:$C$66""),INDIRECT(""'""&amp;CL$1&amp;""'!$D$4:$D$66"")=CL$2),$G$3:$BQ$3,$G23:$BQ23))),"""")"),"")</f>
        <v/>
      </c>
      <c r="CN23" s="251">
        <f>IFERROR(__xludf.DUMMYFUNCTION("AVERAGE(ARRAYFORMULA(XLOOKUP(FILTER(INDIRECT(""'""&amp;CN$1&amp;""'!$C$4:$C$66""),INDIRECT(""'""&amp;CN$1&amp;""'!$D$4:$D$66"")=CN$2),$G$3:$BQ$3,$G23:$BQ23)))"),-0.425)</f>
        <v>-0.425</v>
      </c>
      <c r="CO23" s="207" t="str">
        <f>IFERROR(__xludf.DUMMYFUNCTION("IF(OR(CN23&gt;$BS23+$BT23*$BT$2,CN23&lt;$BS23-$BT23*$BT$2),AVEDEV(ARRAYFORMULA(XLOOKUP(FILTER(INDIRECT(""'""&amp;CN$1&amp;""'!$C$4:$C$66""),INDIRECT(""'""&amp;CN$1&amp;""'!$D$4:$D$66"")=CN$2),$G$3:$BQ$3,$G23:$BQ23))),"""")"),"")</f>
        <v/>
      </c>
      <c r="CP23" s="252"/>
      <c r="CQ23" s="251">
        <f>IFERROR(__xludf.DUMMYFUNCTION("AVERAGE(ARRAYFORMULA(XLOOKUP(FILTER(INDIRECT(""'""&amp;CQ$1&amp;""'!$C$4:$C$66""),INDIRECT(""'""&amp;CQ$1&amp;""'!$D$4:$D$66"")=CQ$2),$G$3:$BQ$3,$G23:$BQ23)))"),-0.13392857142857142)</f>
        <v>-0.1339285714</v>
      </c>
      <c r="CR23" s="207" t="str">
        <f>IFERROR(__xludf.DUMMYFUNCTION("IF(OR(CQ23&gt;$BS23+$BT23*$BT$2,CQ23&lt;$BS23-$BT23*$BT$2),AVEDEV(ARRAYFORMULA(XLOOKUP(FILTER(INDIRECT(""'""&amp;CQ$1&amp;""'!$C$4:$C$66""),INDIRECT(""'""&amp;CQ$1&amp;""'!$D$4:$D$66"")=CQ$2),$G$3:$BQ$3,$G23:$BQ23))),"""")"),"")</f>
        <v/>
      </c>
      <c r="CS23" s="251">
        <f>IFERROR(__xludf.DUMMYFUNCTION("AVERAGE(ARRAYFORMULA(XLOOKUP(FILTER(INDIRECT(""'""&amp;CS$1&amp;""'!$C$4:$C$66""),INDIRECT(""'""&amp;CS$1&amp;""'!$D$4:$D$66"")=CS$2),$G$3:$BQ$3,$G23:$BQ23)))"),-0.1527777777777778)</f>
        <v>-0.1527777778</v>
      </c>
      <c r="CT23" s="207" t="str">
        <f>IFERROR(__xludf.DUMMYFUNCTION("IF(OR(CS23&gt;$BS23+$BT23*$BT$2,CS23&lt;$BS23-$BT23*$BT$2),AVEDEV(ARRAYFORMULA(XLOOKUP(FILTER(INDIRECT(""'""&amp;CS$1&amp;""'!$C$4:$C$66""),INDIRECT(""'""&amp;CS$1&amp;""'!$D$4:$D$66"")=CS$2),$G$3:$BQ$3,$G23:$BQ23))),"""")"),"")</f>
        <v/>
      </c>
      <c r="CU23" s="251">
        <f>IFERROR(__xludf.DUMMYFUNCTION("AVERAGE(ARRAYFORMULA(XLOOKUP(FILTER(INDIRECT(""'""&amp;CU$1&amp;""'!$C$4:$C$66""),INDIRECT(""'""&amp;CU$1&amp;""'!$D$4:$D$66"")=CU$2),$G$3:$BQ$3,$G23:$BQ23)))"),0.7613636363636364)</f>
        <v>0.7613636364</v>
      </c>
      <c r="CV23" s="207" t="str">
        <f>IFERROR(__xludf.DUMMYFUNCTION("IF(OR(CU23&gt;$BS23+$BT23*$BT$2,CU23&lt;$BS23-$BT23*$BT$2),AVEDEV(ARRAYFORMULA(XLOOKUP(FILTER(INDIRECT(""'""&amp;CU$1&amp;""'!$C$4:$C$66""),INDIRECT(""'""&amp;CU$1&amp;""'!$D$4:$D$66"")=CU$2),$G$3:$BQ$3,$G23:$BQ23))),"""")"),"")</f>
        <v/>
      </c>
      <c r="CW23" s="251">
        <f>IFERROR(__xludf.DUMMYFUNCTION("AVERAGE(ARRAYFORMULA(XLOOKUP(FILTER(INDIRECT(""'""&amp;CW$1&amp;""'!$C$4:$C$66""),INDIRECT(""'""&amp;CW$1&amp;""'!$D$4:$D$66"")=CW$2),$G$3:$BQ$3,$G23:$BQ23)))"),0.0)</f>
        <v>0</v>
      </c>
      <c r="CX23" s="207" t="str">
        <f>IFERROR(__xludf.DUMMYFUNCTION("IF(OR(CW23&gt;$BS23+$BT23*$BT$2,CW23&lt;$BS23-$BT23*$BT$2),AVEDEV(ARRAYFORMULA(XLOOKUP(FILTER(INDIRECT(""'""&amp;CW$1&amp;""'!$C$4:$C$66""),INDIRECT(""'""&amp;CW$1&amp;""'!$D$4:$D$66"")=CW$2),$G$3:$BQ$3,$G23:$BQ23))),"""")"),"")</f>
        <v/>
      </c>
      <c r="CY23" s="251">
        <f>IFERROR(__xludf.DUMMYFUNCTION("AVERAGE(ARRAYFORMULA(XLOOKUP(FILTER(INDIRECT(""'""&amp;CY$1&amp;""'!$C$4:$C$66""),INDIRECT(""'""&amp;CY$1&amp;""'!$D$4:$D$66"")=CY$2),$G$3:$BQ$3,$G23:$BQ23)))"),0.6071428571428571)</f>
        <v>0.6071428571</v>
      </c>
      <c r="CZ23" s="207" t="str">
        <f>IFERROR(__xludf.DUMMYFUNCTION("IF(OR(CY23&gt;$BS23+$BT23*$BT$2,CY23&lt;$BS23-$BT23*$BT$2),AVEDEV(ARRAYFORMULA(XLOOKUP(FILTER(INDIRECT(""'""&amp;CY$1&amp;""'!$C$4:$C$66""),INDIRECT(""'""&amp;CY$1&amp;""'!$D$4:$D$66"")=CY$2),$G$3:$BQ$3,$G23:$BQ23))),"""")"),"")</f>
        <v/>
      </c>
      <c r="DA23" s="252"/>
      <c r="DB23" s="251">
        <f>IFERROR(__xludf.DUMMYFUNCTION("AVERAGE(ARRAYFORMULA(XLOOKUP(FILTER(INDIRECT(""'""&amp;DB$1&amp;""'!$C$4:$C$66""),INDIRECT(""'""&amp;DB$1&amp;""'!$D$4:$D$66"")=DB$2),$G$3:$BQ$3,$G23:$BQ23)))"),0.225)</f>
        <v>0.225</v>
      </c>
      <c r="DC23" s="207" t="str">
        <f>IFERROR(__xludf.DUMMYFUNCTION("IF(OR(DB23&gt;$BS23+$BT23*$BT$2,DB23&lt;$BS23-$BT23*$BT$2),AVEDEV(ARRAYFORMULA(XLOOKUP(FILTER(INDIRECT(""'""&amp;DB$1&amp;""'!$C$4:$C$66""),INDIRECT(""'""&amp;DB$1&amp;""'!$D$4:$D$66"")=DB$2),$G$3:$BQ$3,$G23:$BQ23))),"""")"),"")</f>
        <v/>
      </c>
      <c r="DD23" s="251">
        <f>IFERROR(__xludf.DUMMYFUNCTION("AVERAGE(ARRAYFORMULA(XLOOKUP(FILTER(INDIRECT(""'""&amp;DD$1&amp;""'!$C$4:$C$66""),INDIRECT(""'""&amp;DD$1&amp;""'!$D$4:$D$66"")=DD$2),$G$3:$BQ$3,$G23:$BQ23)))"),-0.041666666666666664)</f>
        <v>-0.04166666667</v>
      </c>
      <c r="DE23" s="207" t="str">
        <f>IFERROR(__xludf.DUMMYFUNCTION("IF(OR(DD23&gt;$BS23+$BT23*$BT$2,DD23&lt;$BS23-$BT23*$BT$2),AVEDEV(ARRAYFORMULA(XLOOKUP(FILTER(INDIRECT(""'""&amp;DD$1&amp;""'!$C$4:$C$66""),INDIRECT(""'""&amp;DD$1&amp;""'!$D$4:$D$66"")=DD$2),$G$3:$BQ$3,$G23:$BQ23))),"""")"),"")</f>
        <v/>
      </c>
      <c r="DF23" s="251">
        <f>IFERROR(__xludf.DUMMYFUNCTION("AVERAGE(ARRAYFORMULA(XLOOKUP(FILTER(INDIRECT(""'""&amp;DF$1&amp;""'!$C$4:$C$66""),INDIRECT(""'""&amp;DF$1&amp;""'!$D$4:$D$66"")=DF$2),$G$3:$BQ$3,$G23:$BQ23)))"),0.75)</f>
        <v>0.75</v>
      </c>
      <c r="DG23" s="207" t="str">
        <f>IFERROR(__xludf.DUMMYFUNCTION("IF(OR(DF23&gt;$BS23+$BT23*$BT$2,DF23&lt;$BS23-$BT23*$BT$2),AVEDEV(ARRAYFORMULA(XLOOKUP(FILTER(INDIRECT(""'""&amp;DF$1&amp;""'!$C$4:$C$66""),INDIRECT(""'""&amp;DF$1&amp;""'!$D$4:$D$66"")=DF$2),$G$3:$BQ$3,$G23:$BQ23))),"""")"),"")</f>
        <v/>
      </c>
      <c r="DH23" s="251">
        <f>IFERROR(__xludf.DUMMYFUNCTION("AVERAGE(ARRAYFORMULA(XLOOKUP(FILTER(INDIRECT(""'""&amp;DH$1&amp;""'!$C$4:$C$66""),INDIRECT(""'""&amp;DH$1&amp;""'!$D$4:$D$66"")=DH$2),$G$3:$BQ$3,$G23:$BQ23)))"),0.1388888888888889)</f>
        <v>0.1388888889</v>
      </c>
      <c r="DI23" s="207" t="str">
        <f>IFERROR(__xludf.DUMMYFUNCTION("IF(OR(DH23&gt;$BS23+$BT23*$BT$2,DH23&lt;$BS23-$BT23*$BT$2),AVEDEV(ARRAYFORMULA(XLOOKUP(FILTER(INDIRECT(""'""&amp;DH$1&amp;""'!$C$4:$C$66""),INDIRECT(""'""&amp;DH$1&amp;""'!$D$4:$D$66"")=DH$2),$G$3:$BQ$3,$G23:$BQ23))),"""")"),"")</f>
        <v/>
      </c>
      <c r="DJ23" s="243"/>
    </row>
    <row r="24">
      <c r="A24" s="2"/>
      <c r="B24" s="204">
        <v>20.0</v>
      </c>
      <c r="C24" s="204" t="s">
        <v>442</v>
      </c>
      <c r="D24" s="204" t="s">
        <v>463</v>
      </c>
      <c r="E24" s="205" t="b">
        <f>VLOOKUP(D24,'Feature Set List'!A21:C246,2,0)</f>
        <v>1</v>
      </c>
      <c r="F24" s="205" t="b">
        <f>VLOOKUP(D24,'Feature Set List'!A21:C246,3,0)</f>
        <v>1</v>
      </c>
      <c r="G24" s="205">
        <v>0.5</v>
      </c>
      <c r="H24" s="205">
        <v>-0.25</v>
      </c>
      <c r="I24" s="205">
        <v>-0.5</v>
      </c>
      <c r="J24" s="205">
        <v>-0.75</v>
      </c>
      <c r="K24" s="205">
        <v>-0.25</v>
      </c>
      <c r="L24" s="205">
        <v>0.5</v>
      </c>
      <c r="M24" s="205">
        <v>0.5</v>
      </c>
      <c r="N24" s="205">
        <v>-0.25</v>
      </c>
      <c r="O24" s="205">
        <v>0.5</v>
      </c>
      <c r="P24" s="205">
        <v>-0.75</v>
      </c>
      <c r="Q24" s="205">
        <v>0.0</v>
      </c>
      <c r="R24" s="205">
        <v>0.5</v>
      </c>
      <c r="S24" s="205">
        <v>-0.75</v>
      </c>
      <c r="T24" s="205">
        <v>0.0</v>
      </c>
      <c r="U24" s="205">
        <v>0.0</v>
      </c>
      <c r="V24" s="205">
        <v>-0.25</v>
      </c>
      <c r="W24" s="205">
        <v>0.0</v>
      </c>
      <c r="X24" s="205">
        <v>0.5</v>
      </c>
      <c r="Y24" s="205">
        <v>-0.25</v>
      </c>
      <c r="Z24" s="205">
        <v>0.5</v>
      </c>
      <c r="AA24" s="205">
        <v>-0.75</v>
      </c>
      <c r="AB24" s="205">
        <v>0.5</v>
      </c>
      <c r="AC24" s="205">
        <v>-0.75</v>
      </c>
      <c r="AD24" s="205">
        <v>0.5</v>
      </c>
      <c r="AE24" s="205">
        <v>-0.25</v>
      </c>
      <c r="AF24" s="205">
        <v>0.0</v>
      </c>
      <c r="AG24" s="205">
        <v>0.0</v>
      </c>
      <c r="AH24" s="205">
        <v>-0.75</v>
      </c>
      <c r="AI24" s="205">
        <v>0.0</v>
      </c>
      <c r="AJ24" s="205">
        <v>-0.25</v>
      </c>
      <c r="AK24" s="205">
        <v>0.0</v>
      </c>
      <c r="AL24" s="205">
        <v>-0.5</v>
      </c>
      <c r="AM24" s="205">
        <v>-0.5</v>
      </c>
      <c r="AN24" s="205">
        <v>0.0</v>
      </c>
      <c r="AO24" s="205">
        <v>0.0</v>
      </c>
      <c r="AP24" s="205">
        <v>-0.25</v>
      </c>
      <c r="AQ24" s="205">
        <v>0.0</v>
      </c>
      <c r="AR24" s="205">
        <v>-0.75</v>
      </c>
      <c r="AS24" s="205">
        <v>0.5</v>
      </c>
      <c r="AT24" s="205">
        <v>1.0</v>
      </c>
      <c r="AU24" s="205">
        <v>0.0</v>
      </c>
      <c r="AV24" s="205">
        <v>0.0</v>
      </c>
      <c r="AW24" s="205">
        <v>-0.5</v>
      </c>
      <c r="AX24" s="205">
        <v>0.0</v>
      </c>
      <c r="AY24" s="205">
        <v>-0.25</v>
      </c>
      <c r="AZ24" s="205">
        <v>0.5</v>
      </c>
      <c r="BA24" s="205">
        <v>0.0</v>
      </c>
      <c r="BB24" s="205">
        <v>0.5</v>
      </c>
      <c r="BC24" s="205">
        <v>1.0</v>
      </c>
      <c r="BD24" s="205">
        <v>-1.0</v>
      </c>
      <c r="BE24" s="205">
        <v>-0.25</v>
      </c>
      <c r="BF24" s="205">
        <v>0.5</v>
      </c>
      <c r="BG24" s="205">
        <v>0.0</v>
      </c>
      <c r="BH24" s="205">
        <v>0.5</v>
      </c>
      <c r="BI24" s="205">
        <v>0.0</v>
      </c>
      <c r="BJ24" s="205">
        <v>0.5</v>
      </c>
      <c r="BK24" s="205">
        <v>0.0</v>
      </c>
      <c r="BL24" s="205">
        <v>-0.75</v>
      </c>
      <c r="BM24" s="205">
        <v>-0.5</v>
      </c>
      <c r="BN24" s="205">
        <v>-0.5</v>
      </c>
      <c r="BO24" s="205">
        <v>-0.5</v>
      </c>
      <c r="BP24" s="205">
        <v>-0.75</v>
      </c>
      <c r="BQ24" s="205">
        <v>0.0</v>
      </c>
      <c r="BR24" s="206"/>
      <c r="BS24" s="250">
        <f t="shared" si="1"/>
        <v>-0.06746031746</v>
      </c>
      <c r="BT24" s="250">
        <f t="shared" si="2"/>
        <v>0.3786848073</v>
      </c>
      <c r="BU24" s="206"/>
      <c r="BV24" s="207">
        <f>IFERROR(__xludf.DUMMYFUNCTION("AVERAGE(ARRAYFORMULA(XLOOKUP(FILTER(INDIRECT(""'""&amp;BV$1&amp;""'!$C$4:$C$66""),INDIRECT(""'""&amp;BV$1&amp;""'!$D$4:$D$66"")=BV$2),$G$3:$BQ$3,$G24:$BQ24)))"),-0.03571428571428571)</f>
        <v>-0.03571428571</v>
      </c>
      <c r="BW24" s="207" t="str">
        <f>IFERROR(__xludf.DUMMYFUNCTION("IF(OR(BV24&gt;$BS24+$BT24*$BT$2,BV24&lt;$BS24-$BT24*$BT$2),AVEDEV(ARRAYFORMULA(XLOOKUP(FILTER(INDIRECT(""'""&amp;BV$1&amp;""'!$C$4:$C$66""),INDIRECT(""'""&amp;BV$1&amp;""'!$D$4:$D$66"")=BV$2),$G$3:$BQ$3,$G24:$BQ24))),"""")"),"")</f>
        <v/>
      </c>
      <c r="BX24" s="207">
        <f>IFERROR(__xludf.DUMMYFUNCTION("AVERAGE(ARRAYFORMULA(XLOOKUP(FILTER(INDIRECT(""'""&amp;BX$1&amp;""'!$C$4:$C$66""),INDIRECT(""'""&amp;BX$1&amp;""'!$D$4:$D$66"")=BX$2),$G$3:$BQ$3,$G24:$BQ24)))"),-0.07142857142857142)</f>
        <v>-0.07142857143</v>
      </c>
      <c r="BY24" s="207" t="str">
        <f>IFERROR(__xludf.DUMMYFUNCTION("IF(OR(BX24&gt;$BS24+$BT24*$BT$2,BX24&lt;$BS24-$BT24*$BT$2),AVEDEV(ARRAYFORMULA(XLOOKUP(FILTER(INDIRECT(""'""&amp;BX$1&amp;""'!$C$4:$C$66""),INDIRECT(""'""&amp;BX$1&amp;""'!$D$4:$D$66"")=BX$2),$G$3:$BQ$3,$G24:$BQ24))),"""")"),"")</f>
        <v/>
      </c>
      <c r="BZ24" s="207">
        <f>IFERROR(__xludf.DUMMYFUNCTION("AVERAGE(ARRAYFORMULA(XLOOKUP(FILTER(INDIRECT(""'""&amp;BZ$1&amp;""'!$C$4:$C$66""),INDIRECT(""'""&amp;BZ$1&amp;""'!$D$4:$D$66"")=BZ$2),$G$3:$BQ$3,$G24:$BQ24)))"),0.045454545454545456)</f>
        <v>0.04545454545</v>
      </c>
      <c r="CA24" s="207" t="str">
        <f>IFERROR(__xludf.DUMMYFUNCTION("IF(OR(BZ24&gt;$BS24+$BT24*$BT$2,BZ24&lt;$BS24-$BT24*$BT$2),AVEDEV(ARRAYFORMULA(XLOOKUP(FILTER(INDIRECT(""'""&amp;BZ$1&amp;""'!$C$4:$C$66""),INDIRECT(""'""&amp;BZ$1&amp;""'!$D$4:$D$66"")=BZ$2),$G$3:$BQ$3,$G24:$BQ24))),"""")"),"")</f>
        <v/>
      </c>
      <c r="CB24" s="209"/>
      <c r="CC24" s="207">
        <f>IFERROR(__xludf.DUMMYFUNCTION("AVERAGE(ARRAYFORMULA(XLOOKUP(FILTER(INDIRECT(""'""&amp;CC$1&amp;""'!$C$4:$C$66""),INDIRECT(""'""&amp;CC$1&amp;""'!$D$4:$D$66"")=CC$2),$G$3:$BQ$3,$G24:$BQ24)))"),-0.046875)</f>
        <v>-0.046875</v>
      </c>
      <c r="CD24" s="207" t="str">
        <f>IFERROR(__xludf.DUMMYFUNCTION("IF(OR(CC24&gt;$BS24+$BT24*$BT$2,CC24&lt;$BS24-$BT24*$BT$2),AVEDEV(ARRAYFORMULA(XLOOKUP(FILTER(INDIRECT(""'""&amp;CC$1&amp;""'!$C$4:$C$66""),INDIRECT(""'""&amp;CC$1&amp;""'!$D$4:$D$66"")=CC$2),$G$3:$BQ$3,$G24:$BQ24))),"""")"),"")</f>
        <v/>
      </c>
      <c r="CE24" s="207">
        <f>IFERROR(__xludf.DUMMYFUNCTION("AVERAGE(ARRAYFORMULA(XLOOKUP(FILTER(INDIRECT(""'""&amp;CE$1&amp;""'!$C$4:$C$66""),INDIRECT(""'""&amp;CE$1&amp;""'!$D$4:$D$66"")=CE$2),$G$3:$BQ$3,$G24:$BQ24)))"),-0.008064516129032258)</f>
        <v>-0.008064516129</v>
      </c>
      <c r="CF24" s="207" t="str">
        <f>IFERROR(__xludf.DUMMYFUNCTION("IF(OR(CE24&gt;$BS24+$BT24*$BT$2,CE24&lt;$BS24-$BT24*$BT$2),AVEDEV(ARRAYFORMULA(XLOOKUP(FILTER(INDIRECT(""'""&amp;CE$1&amp;""'!$C$4:$C$66""),INDIRECT(""'""&amp;CE$1&amp;""'!$D$4:$D$66"")=CE$2),$G$3:$BQ$3,$G24:$BQ24))),"""")"),"")</f>
        <v/>
      </c>
      <c r="CG24" s="207">
        <f>IFERROR(__xludf.DUMMYFUNCTION("AVERAGE(ARRAYFORMULA(XLOOKUP(FILTER(INDIRECT(""'""&amp;CG$1&amp;""'!$C$4:$C$66""),INDIRECT(""'""&amp;CG$1&amp;""'!$D$4:$D$66"")=CG$2),$G$3:$BQ$3,$G24:$BQ24)))"),-0.05)</f>
        <v>-0.05</v>
      </c>
      <c r="CH24" s="207" t="str">
        <f>IFERROR(__xludf.DUMMYFUNCTION("IF(OR(CG24&gt;$BS24+$BT24*$BT$2,CG24&lt;$BS24-$BT24*$BT$2),AVEDEV(ARRAYFORMULA(XLOOKUP(FILTER(INDIRECT(""'""&amp;CG$1&amp;""'!$C$4:$C$66""),INDIRECT(""'""&amp;CG$1&amp;""'!$D$4:$D$66"")=CG$2),$G$3:$BQ$3,$G24:$BQ24))),"""")"),"")</f>
        <v/>
      </c>
      <c r="CI24" s="206"/>
      <c r="CJ24" s="251">
        <f>IFERROR(__xludf.DUMMYFUNCTION("AVERAGE(ARRAYFORMULA(XLOOKUP(FILTER(INDIRECT(""'""&amp;CJ$1&amp;""'!$C$4:$C$66""),INDIRECT(""'""&amp;CJ$1&amp;""'!$D$4:$D$66"")=CJ$2),$G$3:$BQ$3,$G24:$BQ24)))"),-0.08333333333333333)</f>
        <v>-0.08333333333</v>
      </c>
      <c r="CK24" s="207" t="str">
        <f>IFERROR(__xludf.DUMMYFUNCTION("IF(OR(CJ24&gt;$BS24+$BT24*$BT$2,CJ24&lt;$BS24-$BT24*$BT$2),AVEDEV(ARRAYFORMULA(XLOOKUP(FILTER(INDIRECT(""'""&amp;CJ$1&amp;""'!$C$4:$C$66""),INDIRECT(""'""&amp;CJ$1&amp;""'!$D$4:$D$66"")=CJ$2),$G$3:$BQ$3,$G24:$BQ24))),"""")"),"")</f>
        <v/>
      </c>
      <c r="CL24" s="251">
        <f>IFERROR(__xludf.DUMMYFUNCTION("AVERAGE(ARRAYFORMULA(XLOOKUP(FILTER(INDIRECT(""'""&amp;CL$1&amp;""'!$C$4:$C$66""),INDIRECT(""'""&amp;CL$1&amp;""'!$D$4:$D$66"")=CL$2),$G$3:$BQ$3,$G24:$BQ24)))"),-0.01282051282051282)</f>
        <v>-0.01282051282</v>
      </c>
      <c r="CM24" s="207" t="str">
        <f>IFERROR(__xludf.DUMMYFUNCTION("IF(OR(CL24&gt;$BS24+$BT24*$BT$2,CL24&lt;$BS24-$BT24*$BT$2),AVEDEV(ARRAYFORMULA(XLOOKUP(FILTER(INDIRECT(""'""&amp;CL$1&amp;""'!$C$4:$C$66""),INDIRECT(""'""&amp;CL$1&amp;""'!$D$4:$D$66"")=CL$2),$G$3:$BQ$3,$G24:$BQ24))),"""")"),"")</f>
        <v/>
      </c>
      <c r="CN24" s="251">
        <f>IFERROR(__xludf.DUMMYFUNCTION("AVERAGE(ARRAYFORMULA(XLOOKUP(FILTER(INDIRECT(""'""&amp;CN$1&amp;""'!$C$4:$C$66""),INDIRECT(""'""&amp;CN$1&amp;""'!$D$4:$D$66"")=CN$2),$G$3:$BQ$3,$G24:$BQ24)))"),-0.05)</f>
        <v>-0.05</v>
      </c>
      <c r="CO24" s="207" t="str">
        <f>IFERROR(__xludf.DUMMYFUNCTION("IF(OR(CN24&gt;$BS24+$BT24*$BT$2,CN24&lt;$BS24-$BT24*$BT$2),AVEDEV(ARRAYFORMULA(XLOOKUP(FILTER(INDIRECT(""'""&amp;CN$1&amp;""'!$C$4:$C$66""),INDIRECT(""'""&amp;CN$1&amp;""'!$D$4:$D$66"")=CN$2),$G$3:$BQ$3,$G24:$BQ24))),"""")"),"")</f>
        <v/>
      </c>
      <c r="CP24" s="252"/>
      <c r="CQ24" s="251">
        <f>IFERROR(__xludf.DUMMYFUNCTION("AVERAGE(ARRAYFORMULA(XLOOKUP(FILTER(INDIRECT(""'""&amp;CQ$1&amp;""'!$C$4:$C$66""),INDIRECT(""'""&amp;CQ$1&amp;""'!$D$4:$D$66"")=CQ$2),$G$3:$BQ$3,$G24:$BQ24)))"),-0.17857142857142858)</f>
        <v>-0.1785714286</v>
      </c>
      <c r="CR24" s="207" t="str">
        <f>IFERROR(__xludf.DUMMYFUNCTION("IF(OR(CQ24&gt;$BS24+$BT24*$BT$2,CQ24&lt;$BS24-$BT24*$BT$2),AVEDEV(ARRAYFORMULA(XLOOKUP(FILTER(INDIRECT(""'""&amp;CQ$1&amp;""'!$C$4:$C$66""),INDIRECT(""'""&amp;CQ$1&amp;""'!$D$4:$D$66"")=CQ$2),$G$3:$BQ$3,$G24:$BQ24))),"""")"),"")</f>
        <v/>
      </c>
      <c r="CS24" s="251">
        <f>IFERROR(__xludf.DUMMYFUNCTION("AVERAGE(ARRAYFORMULA(XLOOKUP(FILTER(INDIRECT(""'""&amp;CS$1&amp;""'!$C$4:$C$66""),INDIRECT(""'""&amp;CS$1&amp;""'!$D$4:$D$66"")=CS$2),$G$3:$BQ$3,$G24:$BQ24)))"),0.05555555555555555)</f>
        <v>0.05555555556</v>
      </c>
      <c r="CT24" s="207" t="str">
        <f>IFERROR(__xludf.DUMMYFUNCTION("IF(OR(CS24&gt;$BS24+$BT24*$BT$2,CS24&lt;$BS24-$BT24*$BT$2),AVEDEV(ARRAYFORMULA(XLOOKUP(FILTER(INDIRECT(""'""&amp;CS$1&amp;""'!$C$4:$C$66""),INDIRECT(""'""&amp;CS$1&amp;""'!$D$4:$D$66"")=CS$2),$G$3:$BQ$3,$G24:$BQ24))),"""")"),"")</f>
        <v/>
      </c>
      <c r="CU24" s="251">
        <f>IFERROR(__xludf.DUMMYFUNCTION("AVERAGE(ARRAYFORMULA(XLOOKUP(FILTER(INDIRECT(""'""&amp;CU$1&amp;""'!$C$4:$C$66""),INDIRECT(""'""&amp;CU$1&amp;""'!$D$4:$D$66"")=CU$2),$G$3:$BQ$3,$G24:$BQ24)))"),-0.18181818181818182)</f>
        <v>-0.1818181818</v>
      </c>
      <c r="CV24" s="207" t="str">
        <f>IFERROR(__xludf.DUMMYFUNCTION("IF(OR(CU24&gt;$BS24+$BT24*$BT$2,CU24&lt;$BS24-$BT24*$BT$2),AVEDEV(ARRAYFORMULA(XLOOKUP(FILTER(INDIRECT(""'""&amp;CU$1&amp;""'!$C$4:$C$66""),INDIRECT(""'""&amp;CU$1&amp;""'!$D$4:$D$66"")=CU$2),$G$3:$BQ$3,$G24:$BQ24))),"""")"),"")</f>
        <v/>
      </c>
      <c r="CW24" s="251">
        <f>IFERROR(__xludf.DUMMYFUNCTION("AVERAGE(ARRAYFORMULA(XLOOKUP(FILTER(INDIRECT(""'""&amp;CW$1&amp;""'!$C$4:$C$66""),INDIRECT(""'""&amp;CW$1&amp;""'!$D$4:$D$66"")=CW$2),$G$3:$BQ$3,$G24:$BQ24)))"),0.5)</f>
        <v>0.5</v>
      </c>
      <c r="CX24" s="207">
        <f>IFERROR(__xludf.DUMMYFUNCTION("IF(OR(CW24&gt;$BS24+$BT24*$BT$2,CW24&lt;$BS24-$BT24*$BT$2),AVEDEV(ARRAYFORMULA(XLOOKUP(FILTER(INDIRECT(""'""&amp;CW$1&amp;""'!$C$4:$C$66""),INDIRECT(""'""&amp;CW$1&amp;""'!$D$4:$D$66"")=CW$2),$G$3:$BQ$3,$G24:$BQ24))),"""")"),0.0)</f>
        <v>0</v>
      </c>
      <c r="CY24" s="251">
        <f>IFERROR(__xludf.DUMMYFUNCTION("AVERAGE(ARRAYFORMULA(XLOOKUP(FILTER(INDIRECT(""'""&amp;CY$1&amp;""'!$C$4:$C$66""),INDIRECT(""'""&amp;CY$1&amp;""'!$D$4:$D$66"")=CY$2),$G$3:$BQ$3,$G24:$BQ24)))"),0.05357142857142857)</f>
        <v>0.05357142857</v>
      </c>
      <c r="CZ24" s="207" t="str">
        <f>IFERROR(__xludf.DUMMYFUNCTION("IF(OR(CY24&gt;$BS24+$BT24*$BT$2,CY24&lt;$BS24-$BT24*$BT$2),AVEDEV(ARRAYFORMULA(XLOOKUP(FILTER(INDIRECT(""'""&amp;CY$1&amp;""'!$C$4:$C$66""),INDIRECT(""'""&amp;CY$1&amp;""'!$D$4:$D$66"")=CY$2),$G$3:$BQ$3,$G24:$BQ24))),"""")"),"")</f>
        <v/>
      </c>
      <c r="DA24" s="252"/>
      <c r="DB24" s="251">
        <f>IFERROR(__xludf.DUMMYFUNCTION("AVERAGE(ARRAYFORMULA(XLOOKUP(FILTER(INDIRECT(""'""&amp;DB$1&amp;""'!$C$4:$C$66""),INDIRECT(""'""&amp;DB$1&amp;""'!$D$4:$D$66"")=DB$2),$G$3:$BQ$3,$G24:$BQ24)))"),-0.025)</f>
        <v>-0.025</v>
      </c>
      <c r="DC24" s="207" t="str">
        <f>IFERROR(__xludf.DUMMYFUNCTION("IF(OR(DB24&gt;$BS24+$BT24*$BT$2,DB24&lt;$BS24-$BT24*$BT$2),AVEDEV(ARRAYFORMULA(XLOOKUP(FILTER(INDIRECT(""'""&amp;DB$1&amp;""'!$C$4:$C$66""),INDIRECT(""'""&amp;DB$1&amp;""'!$D$4:$D$66"")=DB$2),$G$3:$BQ$3,$G24:$BQ24))),"""")"),"")</f>
        <v/>
      </c>
      <c r="DD24" s="251">
        <f>IFERROR(__xludf.DUMMYFUNCTION("AVERAGE(ARRAYFORMULA(XLOOKUP(FILTER(INDIRECT(""'""&amp;DD$1&amp;""'!$C$4:$C$66""),INDIRECT(""'""&amp;DD$1&amp;""'!$D$4:$D$66"")=DD$2),$G$3:$BQ$3,$G24:$BQ24)))"),0.027777777777777776)</f>
        <v>0.02777777778</v>
      </c>
      <c r="DE24" s="207" t="str">
        <f>IFERROR(__xludf.DUMMYFUNCTION("IF(OR(DD24&gt;$BS24+$BT24*$BT$2,DD24&lt;$BS24-$BT24*$BT$2),AVEDEV(ARRAYFORMULA(XLOOKUP(FILTER(INDIRECT(""'""&amp;DD$1&amp;""'!$C$4:$C$66""),INDIRECT(""'""&amp;DD$1&amp;""'!$D$4:$D$66"")=DD$2),$G$3:$BQ$3,$G24:$BQ24))),"""")"),"")</f>
        <v/>
      </c>
      <c r="DF24" s="251">
        <f>IFERROR(__xludf.DUMMYFUNCTION("AVERAGE(ARRAYFORMULA(XLOOKUP(FILTER(INDIRECT(""'""&amp;DF$1&amp;""'!$C$4:$C$66""),INDIRECT(""'""&amp;DF$1&amp;""'!$D$4:$D$66"")=DF$2),$G$3:$BQ$3,$G24:$BQ24)))"),-0.0625)</f>
        <v>-0.0625</v>
      </c>
      <c r="DG24" s="207" t="str">
        <f>IFERROR(__xludf.DUMMYFUNCTION("IF(OR(DF24&gt;$BS24+$BT24*$BT$2,DF24&lt;$BS24-$BT24*$BT$2),AVEDEV(ARRAYFORMULA(XLOOKUP(FILTER(INDIRECT(""'""&amp;DF$1&amp;""'!$C$4:$C$66""),INDIRECT(""'""&amp;DF$1&amp;""'!$D$4:$D$66"")=DF$2),$G$3:$BQ$3,$G24:$BQ24))),"""")"),"")</f>
        <v/>
      </c>
      <c r="DH24" s="251">
        <f>IFERROR(__xludf.DUMMYFUNCTION("AVERAGE(ARRAYFORMULA(XLOOKUP(FILTER(INDIRECT(""'""&amp;DH$1&amp;""'!$C$4:$C$66""),INDIRECT(""'""&amp;DH$1&amp;""'!$D$4:$D$66"")=DH$2),$G$3:$BQ$3,$G24:$BQ24)))"),-0.08333333333333333)</f>
        <v>-0.08333333333</v>
      </c>
      <c r="DI24" s="207" t="str">
        <f>IFERROR(__xludf.DUMMYFUNCTION("IF(OR(DH24&gt;$BS24+$BT24*$BT$2,DH24&lt;$BS24-$BT24*$BT$2),AVEDEV(ARRAYFORMULA(XLOOKUP(FILTER(INDIRECT(""'""&amp;DH$1&amp;""'!$C$4:$C$66""),INDIRECT(""'""&amp;DH$1&amp;""'!$D$4:$D$66"")=DH$2),$G$3:$BQ$3,$G24:$BQ24))),"""")"),"")</f>
        <v/>
      </c>
      <c r="DJ24" s="243"/>
    </row>
    <row r="25">
      <c r="A25" s="2"/>
      <c r="B25" s="204">
        <v>21.0</v>
      </c>
      <c r="C25" s="204" t="s">
        <v>442</v>
      </c>
      <c r="D25" s="204" t="s">
        <v>464</v>
      </c>
      <c r="E25" s="205" t="b">
        <f>VLOOKUP(D25,'Feature Set List'!A22:C246,2,0)</f>
        <v>1</v>
      </c>
      <c r="F25" s="205" t="b">
        <f>VLOOKUP(D25,'Feature Set List'!A22:C246,3,0)</f>
        <v>1</v>
      </c>
      <c r="G25" s="205">
        <v>1.18823529</v>
      </c>
      <c r="H25" s="205">
        <v>1.16764706</v>
      </c>
      <c r="I25" s="205">
        <v>1.78823529</v>
      </c>
      <c r="J25" s="205">
        <v>0.72647059</v>
      </c>
      <c r="K25" s="205">
        <v>0.54705882</v>
      </c>
      <c r="L25" s="205">
        <v>-0.4647059</v>
      </c>
      <c r="M25" s="205">
        <v>-1.125</v>
      </c>
      <c r="N25" s="205">
        <v>0.99411765</v>
      </c>
      <c r="O25" s="205">
        <v>-0.9873529</v>
      </c>
      <c r="P25" s="205">
        <v>-0.05</v>
      </c>
      <c r="Q25" s="205">
        <v>-0.3588235</v>
      </c>
      <c r="R25" s="205">
        <v>-0.3823529</v>
      </c>
      <c r="S25" s="205">
        <v>0.34705882</v>
      </c>
      <c r="T25" s="205">
        <v>-0.1411765</v>
      </c>
      <c r="U25" s="205">
        <v>-0.4794118</v>
      </c>
      <c r="V25" s="205">
        <v>-0.4058824</v>
      </c>
      <c r="W25" s="205">
        <v>0.68529412</v>
      </c>
      <c r="X25" s="205">
        <v>-0.1470588</v>
      </c>
      <c r="Y25" s="205">
        <v>-0.5647059</v>
      </c>
      <c r="Z25" s="205">
        <v>0.09705882</v>
      </c>
      <c r="AA25" s="205">
        <v>1.23529412</v>
      </c>
      <c r="AB25" s="205">
        <v>-0.4852941</v>
      </c>
      <c r="AC25" s="205">
        <v>0.97352941</v>
      </c>
      <c r="AD25" s="205">
        <v>0.08235294</v>
      </c>
      <c r="AE25" s="205">
        <v>0.0</v>
      </c>
      <c r="AF25" s="205">
        <v>-0.2264706</v>
      </c>
      <c r="AG25" s="205">
        <v>0.52352941</v>
      </c>
      <c r="AH25" s="205">
        <v>-0.4529412</v>
      </c>
      <c r="AI25" s="205">
        <v>-0.1117647</v>
      </c>
      <c r="AJ25" s="205">
        <v>0.50882353</v>
      </c>
      <c r="AK25" s="205">
        <v>-1.4273529</v>
      </c>
      <c r="AL25" s="205">
        <v>-0.4294118</v>
      </c>
      <c r="AM25" s="205">
        <v>1.45882353</v>
      </c>
      <c r="AN25" s="205">
        <v>-0.2088235</v>
      </c>
      <c r="AO25" s="205">
        <v>-0.4794118</v>
      </c>
      <c r="AP25" s="205">
        <v>-1.0941176</v>
      </c>
      <c r="AQ25" s="205">
        <v>0.08529412</v>
      </c>
      <c r="AR25" s="205">
        <v>-0.0764706</v>
      </c>
      <c r="AS25" s="205">
        <v>0.49117647</v>
      </c>
      <c r="AT25" s="205">
        <v>-0.3529412</v>
      </c>
      <c r="AU25" s="205">
        <v>-0.2882353</v>
      </c>
      <c r="AV25" s="205">
        <v>0.86764706</v>
      </c>
      <c r="AW25" s="205">
        <v>-0.2970588</v>
      </c>
      <c r="AX25" s="205">
        <v>-0.6</v>
      </c>
      <c r="AY25" s="205">
        <v>0.37647059</v>
      </c>
      <c r="AZ25" s="205">
        <v>0.21176471</v>
      </c>
      <c r="BA25" s="205">
        <v>0.11176471</v>
      </c>
      <c r="BB25" s="205">
        <v>0.91176471</v>
      </c>
      <c r="BC25" s="205">
        <v>-0.7702941</v>
      </c>
      <c r="BD25" s="205">
        <v>0.71176471</v>
      </c>
      <c r="BE25" s="205">
        <v>0.74411765</v>
      </c>
      <c r="BF25" s="205">
        <v>0.72058824</v>
      </c>
      <c r="BG25" s="205">
        <v>-0.1823529</v>
      </c>
      <c r="BH25" s="205">
        <v>0.34705882</v>
      </c>
      <c r="BI25" s="205">
        <v>0.24411765</v>
      </c>
      <c r="BJ25" s="205">
        <v>-0.2323529</v>
      </c>
      <c r="BK25" s="205">
        <v>-0.2235294</v>
      </c>
      <c r="BL25" s="205">
        <v>0.66470588</v>
      </c>
      <c r="BM25" s="205">
        <v>-0.6264706</v>
      </c>
      <c r="BN25" s="205">
        <v>0.36176471</v>
      </c>
      <c r="BO25" s="205">
        <v>0.96176471</v>
      </c>
      <c r="BP25" s="205">
        <v>0.11764706</v>
      </c>
      <c r="BQ25" s="205">
        <v>-1.0105882</v>
      </c>
      <c r="BR25" s="206"/>
      <c r="BS25" s="250">
        <f t="shared" si="1"/>
        <v>0.0884220381</v>
      </c>
      <c r="BT25" s="250">
        <f t="shared" si="2"/>
        <v>0.5562239694</v>
      </c>
      <c r="BU25" s="206"/>
      <c r="BV25" s="207">
        <f>IFERROR(__xludf.DUMMYFUNCTION("AVERAGE(ARRAYFORMULA(XLOOKUP(FILTER(INDIRECT(""'""&amp;BV$1&amp;""'!$C$4:$C$66""),INDIRECT(""'""&amp;BV$1&amp;""'!$D$4:$D$66"")=BV$2),$G$3:$BQ$3,$G25:$BQ25)))"),0.22731091857142857)</f>
        <v>0.2273109186</v>
      </c>
      <c r="BW25" s="207" t="str">
        <f>IFERROR(__xludf.DUMMYFUNCTION("IF(OR(BV25&gt;$BS25+$BT25*$BT$2,BV25&lt;$BS25-$BT25*$BT$2),AVEDEV(ARRAYFORMULA(XLOOKUP(FILTER(INDIRECT(""'""&amp;BV$1&amp;""'!$C$4:$C$66""),INDIRECT(""'""&amp;BV$1&amp;""'!$D$4:$D$66"")=BV$2),$G$3:$BQ$3,$G25:$BQ25))),"""")"),"")</f>
        <v/>
      </c>
      <c r="BX25" s="207">
        <f>IFERROR(__xludf.DUMMYFUNCTION("AVERAGE(ARRAYFORMULA(XLOOKUP(FILTER(INDIRECT(""'""&amp;BX$1&amp;""'!$C$4:$C$66""),INDIRECT(""'""&amp;BX$1&amp;""'!$D$4:$D$66"")=BX$2),$G$3:$BQ$3,$G25:$BQ25)))"),0.06593137952380952)</f>
        <v>0.06593137952</v>
      </c>
      <c r="BY25" s="207" t="str">
        <f>IFERROR(__xludf.DUMMYFUNCTION("IF(OR(BX25&gt;$BS25+$BT25*$BT$2,BX25&lt;$BS25-$BT25*$BT$2),AVEDEV(ARRAYFORMULA(XLOOKUP(FILTER(INDIRECT(""'""&amp;BX$1&amp;""'!$C$4:$C$66""),INDIRECT(""'""&amp;BX$1&amp;""'!$D$4:$D$66"")=BX$2),$G$3:$BQ$3,$G25:$BQ25))),"""")"),"")</f>
        <v/>
      </c>
      <c r="BZ25" s="207">
        <f>IFERROR(__xludf.DUMMYFUNCTION("AVERAGE(ARRAYFORMULA(XLOOKUP(FILTER(INDIRECT(""'""&amp;BZ$1&amp;""'!$C$4:$C$66""),INDIRECT(""'""&amp;BZ$1&amp;""'!$D$4:$D$66"")=BZ$2),$G$3:$BQ$3,$G25:$BQ25)))"),-0.0910427881818182)</f>
        <v>-0.09104278818</v>
      </c>
      <c r="CA25" s="207" t="str">
        <f>IFERROR(__xludf.DUMMYFUNCTION("IF(OR(BZ25&gt;$BS25+$BT25*$BT$2,BZ25&lt;$BS25-$BT25*$BT$2),AVEDEV(ARRAYFORMULA(XLOOKUP(FILTER(INDIRECT(""'""&amp;BZ$1&amp;""'!$C$4:$C$66""),INDIRECT(""'""&amp;BZ$1&amp;""'!$D$4:$D$66"")=BZ$2),$G$3:$BQ$3,$G25:$BQ25))),"""")"),"")</f>
        <v/>
      </c>
      <c r="CB25" s="209"/>
      <c r="CC25" s="207">
        <f>IFERROR(__xludf.DUMMYFUNCTION("AVERAGE(ARRAYFORMULA(XLOOKUP(FILTER(INDIRECT(""'""&amp;CC$1&amp;""'!$C$4:$C$66""),INDIRECT(""'""&amp;CC$1&amp;""'!$D$4:$D$66"")=CC$2),$G$3:$BQ$3,$G25:$BQ25)))"),0.09424632499999999)</f>
        <v>0.094246325</v>
      </c>
      <c r="CD25" s="207" t="str">
        <f>IFERROR(__xludf.DUMMYFUNCTION("IF(OR(CC25&gt;$BS25+$BT25*$BT$2,CC25&lt;$BS25-$BT25*$BT$2),AVEDEV(ARRAYFORMULA(XLOOKUP(FILTER(INDIRECT(""'""&amp;CC$1&amp;""'!$C$4:$C$66""),INDIRECT(""'""&amp;CC$1&amp;""'!$D$4:$D$66"")=CC$2),$G$3:$BQ$3,$G25:$BQ25))),"""")"),"")</f>
        <v/>
      </c>
      <c r="CE25" s="207">
        <f>IFERROR(__xludf.DUMMYFUNCTION("AVERAGE(ARRAYFORMULA(XLOOKUP(FILTER(INDIRECT(""'""&amp;CE$1&amp;""'!$C$4:$C$66""),INDIRECT(""'""&amp;CE$1&amp;""'!$D$4:$D$66"")=CE$2),$G$3:$BQ$3,$G25:$BQ25)))"),0.023747633548387114)</f>
        <v>0.02374763355</v>
      </c>
      <c r="CF25" s="207" t="str">
        <f>IFERROR(__xludf.DUMMYFUNCTION("IF(OR(CE25&gt;$BS25+$BT25*$BT$2,CE25&lt;$BS25-$BT25*$BT$2),AVEDEV(ARRAYFORMULA(XLOOKUP(FILTER(INDIRECT(""'""&amp;CE$1&amp;""'!$C$4:$C$66""),INDIRECT(""'""&amp;CE$1&amp;""'!$D$4:$D$66"")=CE$2),$G$3:$BQ$3,$G25:$BQ25))),"""")"),"")</f>
        <v/>
      </c>
      <c r="CG25" s="207">
        <f>IFERROR(__xludf.DUMMYFUNCTION("AVERAGE(ARRAYFORMULA(XLOOKUP(FILTER(INDIRECT(""'""&amp;CG$1&amp;""'!$C$4:$C$66""),INDIRECT(""'""&amp;CG$1&amp;""'!$D$4:$D$66"")=CG$2),$G$3:$BQ$3,$G25:$BQ25)))"),0.04588235599999997)</f>
        <v>0.045882356</v>
      </c>
      <c r="CH25" s="207" t="str">
        <f>IFERROR(__xludf.DUMMYFUNCTION("IF(OR(CG25&gt;$BS25+$BT25*$BT$2,CG25&lt;$BS25-$BT25*$BT$2),AVEDEV(ARRAYFORMULA(XLOOKUP(FILTER(INDIRECT(""'""&amp;CG$1&amp;""'!$C$4:$C$66""),INDIRECT(""'""&amp;CG$1&amp;""'!$D$4:$D$66"")=CG$2),$G$3:$BQ$3,$G25:$BQ25))),"""")"),"")</f>
        <v/>
      </c>
      <c r="CI25" s="206"/>
      <c r="CJ25" s="251">
        <f>IFERROR(__xludf.DUMMYFUNCTION("AVERAGE(ARRAYFORMULA(XLOOKUP(FILTER(INDIRECT(""'""&amp;CJ$1&amp;""'!$C$4:$C$66""),INDIRECT(""'""&amp;CJ$1&amp;""'!$D$4:$D$66"")=CJ$2),$G$3:$BQ$3,$G25:$BQ25)))"),0.259999996)</f>
        <v>0.259999996</v>
      </c>
      <c r="CK25" s="207" t="str">
        <f>IFERROR(__xludf.DUMMYFUNCTION("IF(OR(CJ25&gt;$BS25+$BT25*$BT$2,CJ25&lt;$BS25-$BT25*$BT$2),AVEDEV(ARRAYFORMULA(XLOOKUP(FILTER(INDIRECT(""'""&amp;CJ$1&amp;""'!$C$4:$C$66""),INDIRECT(""'""&amp;CJ$1&amp;""'!$D$4:$D$66"")=CJ$2),$G$3:$BQ$3,$G25:$BQ25))),"""")"),"")</f>
        <v/>
      </c>
      <c r="CL25" s="251">
        <f>IFERROR(__xludf.DUMMYFUNCTION("AVERAGE(ARRAYFORMULA(XLOOKUP(FILTER(INDIRECT(""'""&amp;CL$1&amp;""'!$C$4:$C$66""),INDIRECT(""'""&amp;CL$1&amp;""'!$D$4:$D$66"")=CL$2),$G$3:$BQ$3,$G25:$BQ25)))"),-0.03680240769230773)</f>
        <v>-0.03680240769</v>
      </c>
      <c r="CM25" s="207" t="str">
        <f>IFERROR(__xludf.DUMMYFUNCTION("IF(OR(CL25&gt;$BS25+$BT25*$BT$2,CL25&lt;$BS25-$BT25*$BT$2),AVEDEV(ARRAYFORMULA(XLOOKUP(FILTER(INDIRECT(""'""&amp;CL$1&amp;""'!$C$4:$C$66""),INDIRECT(""'""&amp;CL$1&amp;""'!$D$4:$D$66"")=CL$2),$G$3:$BQ$3,$G25:$BQ25))),"""")"),"")</f>
        <v/>
      </c>
      <c r="CN25" s="251">
        <f>IFERROR(__xludf.DUMMYFUNCTION("AVERAGE(ARRAYFORMULA(XLOOKUP(FILTER(INDIRECT(""'""&amp;CN$1&amp;""'!$C$4:$C$66""),INDIRECT(""'""&amp;CN$1&amp;""'!$D$4:$D$66"")=CN$2),$G$3:$BQ$3,$G25:$BQ25)))"),0.04588235599999997)</f>
        <v>0.045882356</v>
      </c>
      <c r="CO25" s="207" t="str">
        <f>IFERROR(__xludf.DUMMYFUNCTION("IF(OR(CN25&gt;$BS25+$BT25*$BT$2,CN25&lt;$BS25-$BT25*$BT$2),AVEDEV(ARRAYFORMULA(XLOOKUP(FILTER(INDIRECT(""'""&amp;CN$1&amp;""'!$C$4:$C$66""),INDIRECT(""'""&amp;CN$1&amp;""'!$D$4:$D$66"")=CN$2),$G$3:$BQ$3,$G25:$BQ25))),"""")"),"")</f>
        <v/>
      </c>
      <c r="CP25" s="252"/>
      <c r="CQ25" s="251">
        <f>IFERROR(__xludf.DUMMYFUNCTION("AVERAGE(ARRAYFORMULA(XLOOKUP(FILTER(INDIRECT(""'""&amp;CQ$1&amp;""'!$C$4:$C$66""),INDIRECT(""'""&amp;CQ$1&amp;""'!$D$4:$D$66"")=CQ$2),$G$3:$BQ$3,$G25:$BQ25)))"),0.016323533571428565)</f>
        <v>0.01632353357</v>
      </c>
      <c r="CR25" s="207" t="str">
        <f>IFERROR(__xludf.DUMMYFUNCTION("IF(OR(CQ25&gt;$BS25+$BT25*$BT$2,CQ25&lt;$BS25-$BT25*$BT$2),AVEDEV(ARRAYFORMULA(XLOOKUP(FILTER(INDIRECT(""'""&amp;CQ$1&amp;""'!$C$4:$C$66""),INDIRECT(""'""&amp;CQ$1&amp;""'!$D$4:$D$66"")=CQ$2),$G$3:$BQ$3,$G25:$BQ25))),"""")"),"")</f>
        <v/>
      </c>
      <c r="CS25" s="251">
        <f>IFERROR(__xludf.DUMMYFUNCTION("AVERAGE(ARRAYFORMULA(XLOOKUP(FILTER(INDIRECT(""'""&amp;CS$1&amp;""'!$C$4:$C$66""),INDIRECT(""'""&amp;CS$1&amp;""'!$D$4:$D$66"")=CS$2),$G$3:$BQ$3,$G25:$BQ25)))"),-0.06519608666666668)</f>
        <v>-0.06519608667</v>
      </c>
      <c r="CT25" s="207" t="str">
        <f>IFERROR(__xludf.DUMMYFUNCTION("IF(OR(CS25&gt;$BS25+$BT25*$BT$2,CS25&lt;$BS25-$BT25*$BT$2),AVEDEV(ARRAYFORMULA(XLOOKUP(FILTER(INDIRECT(""'""&amp;CS$1&amp;""'!$C$4:$C$66""),INDIRECT(""'""&amp;CS$1&amp;""'!$D$4:$D$66"")=CS$2),$G$3:$BQ$3,$G25:$BQ25))),"""")"),"")</f>
        <v/>
      </c>
      <c r="CU25" s="251">
        <f>IFERROR(__xludf.DUMMYFUNCTION("AVERAGE(ARRAYFORMULA(XLOOKUP(FILTER(INDIRECT(""'""&amp;CU$1&amp;""'!$C$4:$C$66""),INDIRECT(""'""&amp;CU$1&amp;""'!$D$4:$D$66"")=CU$2),$G$3:$BQ$3,$G25:$BQ25)))"),0.4165775418181818)</f>
        <v>0.4165775418</v>
      </c>
      <c r="CV25" s="207" t="str">
        <f>IFERROR(__xludf.DUMMYFUNCTION("IF(OR(CU25&gt;$BS25+$BT25*$BT$2,CU25&lt;$BS25-$BT25*$BT$2),AVEDEV(ARRAYFORMULA(XLOOKUP(FILTER(INDIRECT(""'""&amp;CU$1&amp;""'!$C$4:$C$66""),INDIRECT(""'""&amp;CU$1&amp;""'!$D$4:$D$66"")=CU$2),$G$3:$BQ$3,$G25:$BQ25))),"""")"),"")</f>
        <v/>
      </c>
      <c r="CW25" s="251">
        <f>IFERROR(__xludf.DUMMYFUNCTION("AVERAGE(ARRAYFORMULA(XLOOKUP(FILTER(INDIRECT(""'""&amp;CW$1&amp;""'!$C$4:$C$66""),INDIRECT(""'""&amp;CW$1&amp;""'!$D$4:$D$66"")=CW$2),$G$3:$BQ$3,$G25:$BQ25)))"),0.21470588)</f>
        <v>0.21470588</v>
      </c>
      <c r="CX25" s="207" t="str">
        <f>IFERROR(__xludf.DUMMYFUNCTION("IF(OR(CW25&gt;$BS25+$BT25*$BT$2,CW25&lt;$BS25-$BT25*$BT$2),AVEDEV(ARRAYFORMULA(XLOOKUP(FILTER(INDIRECT(""'""&amp;CW$1&amp;""'!$C$4:$C$66""),INDIRECT(""'""&amp;CW$1&amp;""'!$D$4:$D$66"")=CW$2),$G$3:$BQ$3,$G25:$BQ25))),"""")"),"")</f>
        <v/>
      </c>
      <c r="CY25" s="251">
        <f>IFERROR(__xludf.DUMMYFUNCTION("AVERAGE(ARRAYFORMULA(XLOOKUP(FILTER(INDIRECT(""'""&amp;CY$1&amp;""'!$C$4:$C$66""),INDIRECT(""'""&amp;CY$1&amp;""'!$D$4:$D$66"")=CY$2),$G$3:$BQ$3,$G25:$BQ25)))"),-0.23554620214285715)</f>
        <v>-0.2355462021</v>
      </c>
      <c r="CZ25" s="207" t="str">
        <f>IFERROR(__xludf.DUMMYFUNCTION("IF(OR(CY25&gt;$BS25+$BT25*$BT$2,CY25&lt;$BS25-$BT25*$BT$2),AVEDEV(ARRAYFORMULA(XLOOKUP(FILTER(INDIRECT(""'""&amp;CY$1&amp;""'!$C$4:$C$66""),INDIRECT(""'""&amp;CY$1&amp;""'!$D$4:$D$66"")=CY$2),$G$3:$BQ$3,$G25:$BQ25))),"""")"),"")</f>
        <v/>
      </c>
      <c r="DA25" s="252"/>
      <c r="DB25" s="251">
        <f>IFERROR(__xludf.DUMMYFUNCTION("AVERAGE(ARRAYFORMULA(XLOOKUP(FILTER(INDIRECT(""'""&amp;DB$1&amp;""'!$C$4:$C$66""),INDIRECT(""'""&amp;DB$1&amp;""'!$D$4:$D$66"")=DB$2),$G$3:$BQ$3,$G25:$BQ25)))"),-0.01645097366666667)</f>
        <v>-0.01645097367</v>
      </c>
      <c r="DC25" s="207" t="str">
        <f>IFERROR(__xludf.DUMMYFUNCTION("IF(OR(DB25&gt;$BS25+$BT25*$BT$2,DB25&lt;$BS25-$BT25*$BT$2),AVEDEV(ARRAYFORMULA(XLOOKUP(FILTER(INDIRECT(""'""&amp;DB$1&amp;""'!$C$4:$C$66""),INDIRECT(""'""&amp;DB$1&amp;""'!$D$4:$D$66"")=DB$2),$G$3:$BQ$3,$G25:$BQ25))),"""")"),"")</f>
        <v/>
      </c>
      <c r="DD25" s="251">
        <f>IFERROR(__xludf.DUMMYFUNCTION("AVERAGE(ARRAYFORMULA(XLOOKUP(FILTER(INDIRECT(""'""&amp;DD$1&amp;""'!$C$4:$C$66""),INDIRECT(""'""&amp;DD$1&amp;""'!$D$4:$D$66"")=DD$2),$G$3:$BQ$3,$G25:$BQ25)))"),0.04950979777777775)</f>
        <v>0.04950979778</v>
      </c>
      <c r="DE25" s="207" t="str">
        <f>IFERROR(__xludf.DUMMYFUNCTION("IF(OR(DD25&gt;$BS25+$BT25*$BT$2,DD25&lt;$BS25-$BT25*$BT$2),AVEDEV(ARRAYFORMULA(XLOOKUP(FILTER(INDIRECT(""'""&amp;DD$1&amp;""'!$C$4:$C$66""),INDIRECT(""'""&amp;DD$1&amp;""'!$D$4:$D$66"")=DD$2),$G$3:$BQ$3,$G25:$BQ25))),"""")"),"")</f>
        <v/>
      </c>
      <c r="DF25" s="251">
        <f>IFERROR(__xludf.DUMMYFUNCTION("AVERAGE(ARRAYFORMULA(XLOOKUP(FILTER(INDIRECT(""'""&amp;DF$1&amp;""'!$C$4:$C$66""),INDIRECT(""'""&amp;DF$1&amp;""'!$D$4:$D$66"")=DF$2),$G$3:$BQ$3,$G25:$BQ25)))"),0.10378677124999999)</f>
        <v>0.1037867713</v>
      </c>
      <c r="DG25" s="207" t="str">
        <f>IFERROR(__xludf.DUMMYFUNCTION("IF(OR(DF25&gt;$BS25+$BT25*$BT$2,DF25&lt;$BS25-$BT25*$BT$2),AVEDEV(ARRAYFORMULA(XLOOKUP(FILTER(INDIRECT(""'""&amp;DF$1&amp;""'!$C$4:$C$66""),INDIRECT(""'""&amp;DF$1&amp;""'!$D$4:$D$66"")=DF$2),$G$3:$BQ$3,$G25:$BQ25))),"""")"),"")</f>
        <v/>
      </c>
      <c r="DH25" s="251">
        <f>IFERROR(__xludf.DUMMYFUNCTION("AVERAGE(ARRAYFORMULA(XLOOKUP(FILTER(INDIRECT(""'""&amp;DH$1&amp;""'!$C$4:$C$66""),INDIRECT(""'""&amp;DH$1&amp;""'!$D$4:$D$66"")=DH$2),$G$3:$BQ$3,$G25:$BQ25)))"),0.29052287555555556)</f>
        <v>0.2905228756</v>
      </c>
      <c r="DI25" s="207" t="str">
        <f>IFERROR(__xludf.DUMMYFUNCTION("IF(OR(DH25&gt;$BS25+$BT25*$BT$2,DH25&lt;$BS25-$BT25*$BT$2),AVEDEV(ARRAYFORMULA(XLOOKUP(FILTER(INDIRECT(""'""&amp;DH$1&amp;""'!$C$4:$C$66""),INDIRECT(""'""&amp;DH$1&amp;""'!$D$4:$D$66"")=DH$2),$G$3:$BQ$3,$G25:$BQ25))),"""")"),"")</f>
        <v/>
      </c>
      <c r="DJ25" s="243"/>
    </row>
    <row r="26">
      <c r="A26" s="2"/>
      <c r="B26" s="204">
        <v>22.0</v>
      </c>
      <c r="C26" s="204" t="s">
        <v>442</v>
      </c>
      <c r="D26" s="204" t="s">
        <v>465</v>
      </c>
      <c r="E26" s="205" t="b">
        <f>VLOOKUP(D26,'Feature Set List'!A23:C246,2,0)</f>
        <v>1</v>
      </c>
      <c r="F26" s="205" t="b">
        <f>VLOOKUP(D26,'Feature Set List'!A23:C246,3,0)</f>
        <v>1</v>
      </c>
      <c r="G26" s="205">
        <v>-0.4300341</v>
      </c>
      <c r="H26" s="205">
        <v>0.18430034</v>
      </c>
      <c r="I26" s="205">
        <v>0.0</v>
      </c>
      <c r="J26" s="205">
        <v>0.39590444</v>
      </c>
      <c r="K26" s="205">
        <v>-0.4778157</v>
      </c>
      <c r="L26" s="205">
        <v>0.53924915</v>
      </c>
      <c r="M26" s="205">
        <v>0.69624573</v>
      </c>
      <c r="N26" s="205">
        <v>-0.0546075</v>
      </c>
      <c r="O26" s="205">
        <v>-1.447099</v>
      </c>
      <c r="P26" s="205">
        <v>-0.3276451</v>
      </c>
      <c r="Q26" s="205">
        <v>0.27303754</v>
      </c>
      <c r="R26" s="205">
        <v>-0.7167235</v>
      </c>
      <c r="S26" s="205">
        <v>-0.0614334</v>
      </c>
      <c r="T26" s="205">
        <v>-0.3959044</v>
      </c>
      <c r="U26" s="205">
        <v>0.02047782</v>
      </c>
      <c r="V26" s="205">
        <v>0.43003413</v>
      </c>
      <c r="W26" s="205">
        <v>-0.3822526</v>
      </c>
      <c r="X26" s="205">
        <v>-0.8805461</v>
      </c>
      <c r="Y26" s="205">
        <v>0.24573379</v>
      </c>
      <c r="Z26" s="205">
        <v>0.10921502</v>
      </c>
      <c r="AA26" s="205">
        <v>-0.4846416</v>
      </c>
      <c r="AB26" s="205">
        <v>-1.337884</v>
      </c>
      <c r="AC26" s="205">
        <v>1.74744027</v>
      </c>
      <c r="AD26" s="205">
        <v>0.59385666</v>
      </c>
      <c r="AE26" s="205">
        <v>-0.0750853</v>
      </c>
      <c r="AF26" s="205">
        <v>0.07508532</v>
      </c>
      <c r="AG26" s="205">
        <v>-0.7508532</v>
      </c>
      <c r="AH26" s="205">
        <v>1.66552901</v>
      </c>
      <c r="AI26" s="205">
        <v>-0.4027304</v>
      </c>
      <c r="AJ26" s="205">
        <v>1.7337884</v>
      </c>
      <c r="AK26" s="205">
        <v>0.89419795</v>
      </c>
      <c r="AL26" s="205">
        <v>-1.1194539</v>
      </c>
      <c r="AM26" s="205">
        <v>0.4778157</v>
      </c>
      <c r="AN26" s="205">
        <v>-0.6075085</v>
      </c>
      <c r="AO26" s="205">
        <v>-0.9010239</v>
      </c>
      <c r="AP26" s="205">
        <v>-0.0341297</v>
      </c>
      <c r="AQ26" s="205">
        <v>0.05460751</v>
      </c>
      <c r="AR26" s="205">
        <v>0.6894198</v>
      </c>
      <c r="AS26" s="205">
        <v>1.67918089</v>
      </c>
      <c r="AT26" s="205">
        <v>2.02730375</v>
      </c>
      <c r="AU26" s="205">
        <v>-0.4095563</v>
      </c>
      <c r="AV26" s="205">
        <v>-0.7645051</v>
      </c>
      <c r="AW26" s="205">
        <v>0.27986348</v>
      </c>
      <c r="AX26" s="205">
        <v>0.73720137</v>
      </c>
      <c r="AY26" s="205">
        <v>0.36860068</v>
      </c>
      <c r="AZ26" s="205">
        <v>-0.0750853</v>
      </c>
      <c r="BA26" s="205">
        <v>-0.3071672</v>
      </c>
      <c r="BB26" s="205">
        <v>-1.1808874</v>
      </c>
      <c r="BC26" s="205">
        <v>-0.1706485</v>
      </c>
      <c r="BD26" s="205">
        <v>-0.3822526</v>
      </c>
      <c r="BE26" s="205">
        <v>0.64163823</v>
      </c>
      <c r="BF26" s="205">
        <v>1.26279863</v>
      </c>
      <c r="BG26" s="205">
        <v>1.09215017</v>
      </c>
      <c r="BH26" s="205">
        <v>0.5665529</v>
      </c>
      <c r="BI26" s="205">
        <v>0.92150171</v>
      </c>
      <c r="BJ26" s="205">
        <v>0.07508532</v>
      </c>
      <c r="BK26" s="205">
        <v>0.68259386</v>
      </c>
      <c r="BL26" s="205">
        <v>-8.4573379</v>
      </c>
      <c r="BM26" s="205">
        <v>-0.1638225</v>
      </c>
      <c r="BN26" s="205">
        <v>-0.9692833</v>
      </c>
      <c r="BO26" s="205">
        <v>-1.0648464</v>
      </c>
      <c r="BP26" s="205">
        <v>1.23549488</v>
      </c>
      <c r="BQ26" s="205">
        <v>-0.3549488</v>
      </c>
      <c r="BR26" s="206"/>
      <c r="BS26" s="250">
        <f t="shared" si="1"/>
        <v>-0.0443144246</v>
      </c>
      <c r="BT26" s="250">
        <f t="shared" si="2"/>
        <v>0.7563222464</v>
      </c>
      <c r="BU26" s="206"/>
      <c r="BV26" s="207">
        <f>IFERROR(__xludf.DUMMYFUNCTION("AVERAGE(ARRAYFORMULA(XLOOKUP(FILTER(INDIRECT(""'""&amp;BV$1&amp;""'!$C$4:$C$66""),INDIRECT(""'""&amp;BV$1&amp;""'!$D$4:$D$66"")=BV$2),$G$3:$BQ$3,$G26:$BQ26)))"),-1.4841540814285714)</f>
        <v>-1.484154081</v>
      </c>
      <c r="BW26" s="207">
        <f>IFERROR(__xludf.DUMMYFUNCTION("IF(OR(BV26&gt;$BS26+$BT26*$BT$2,BV26&lt;$BS26-$BT26*$BT$2),AVEDEV(ARRAYFORMULA(XLOOKUP(FILTER(INDIRECT(""'""&amp;BV$1&amp;""'!$C$4:$C$66""),INDIRECT(""'""&amp;BV$1&amp;""'!$D$4:$D$66"")=BV$2),$G$3:$BQ$3,$G26:$BQ26))),"""")"),1.9923382338775508)</f>
        <v>1.992338234</v>
      </c>
      <c r="BX26" s="207">
        <f>IFERROR(__xludf.DUMMYFUNCTION("AVERAGE(ARRAYFORMULA(XLOOKUP(FILTER(INDIRECT(""'""&amp;BX$1&amp;""'!$C$4:$C$66""),INDIRECT(""'""&amp;BX$1&amp;""'!$D$4:$D$66"")=BX$2),$G$3:$BQ$3,$G26:$BQ26)))"),0.21225418880952385)</f>
        <v>0.2122541888</v>
      </c>
      <c r="BY26" s="207" t="str">
        <f>IFERROR(__xludf.DUMMYFUNCTION("IF(OR(BX26&gt;$BS26+$BT26*$BT$2,BX26&lt;$BS26-$BT26*$BT$2),AVEDEV(ARRAYFORMULA(XLOOKUP(FILTER(INDIRECT(""'""&amp;BX$1&amp;""'!$C$4:$C$66""),INDIRECT(""'""&amp;BX$1&amp;""'!$D$4:$D$66"")=BX$2),$G$3:$BQ$3,$G26:$BQ26))),"""")"),"")</f>
        <v/>
      </c>
      <c r="BZ26" s="207">
        <f>IFERROR(__xludf.DUMMYFUNCTION("AVERAGE(ARRAYFORMULA(XLOOKUP(FILTER(INDIRECT(""'""&amp;BZ$1&amp;""'!$C$4:$C$66""),INDIRECT(""'""&amp;BZ$1&amp;""'!$D$4:$D$66"")=BZ$2),$G$3:$BQ$3,$G26:$BQ26)))"),-0.04778156454545454)</f>
        <v>-0.04778156455</v>
      </c>
      <c r="CA26" s="207" t="str">
        <f>IFERROR(__xludf.DUMMYFUNCTION("IF(OR(BZ26&gt;$BS26+$BT26*$BT$2,BZ26&lt;$BS26-$BT26*$BT$2),AVEDEV(ARRAYFORMULA(XLOOKUP(FILTER(INDIRECT(""'""&amp;BZ$1&amp;""'!$C$4:$C$66""),INDIRECT(""'""&amp;BZ$1&amp;""'!$D$4:$D$66"")=BZ$2),$G$3:$BQ$3,$G26:$BQ26))),"""")"),"")</f>
        <v/>
      </c>
      <c r="CB26" s="209"/>
      <c r="CC26" s="207">
        <f>IFERROR(__xludf.DUMMYFUNCTION("AVERAGE(ARRAYFORMULA(XLOOKUP(FILTER(INDIRECT(""'""&amp;CC$1&amp;""'!$C$4:$C$66""),INDIRECT(""'""&amp;CC$1&amp;""'!$D$4:$D$66"")=CC$2),$G$3:$BQ$3,$G26:$BQ26)))"),0.16083617812500003)</f>
        <v>0.1608361781</v>
      </c>
      <c r="CD26" s="207" t="str">
        <f>IFERROR(__xludf.DUMMYFUNCTION("IF(OR(CC26&gt;$BS26+$BT26*$BT$2,CC26&lt;$BS26-$BT26*$BT$2),AVEDEV(ARRAYFORMULA(XLOOKUP(FILTER(INDIRECT(""'""&amp;CC$1&amp;""'!$C$4:$C$66""),INDIRECT(""'""&amp;CC$1&amp;""'!$D$4:$D$66"")=CC$2),$G$3:$BQ$3,$G26:$BQ26))),"""")"),"")</f>
        <v/>
      </c>
      <c r="CE26" s="207">
        <f>IFERROR(__xludf.DUMMYFUNCTION("AVERAGE(ARRAYFORMULA(XLOOKUP(FILTER(INDIRECT(""'""&amp;CE$1&amp;""'!$C$4:$C$66""),INDIRECT(""'""&amp;CE$1&amp;""'!$D$4:$D$66"")=CE$2),$G$3:$BQ$3,$G26:$BQ26)))"),0.13409666677419355)</f>
        <v>0.1340966668</v>
      </c>
      <c r="CF26" s="207" t="str">
        <f>IFERROR(__xludf.DUMMYFUNCTION("IF(OR(CE26&gt;$BS26+$BT26*$BT$2,CE26&lt;$BS26-$BT26*$BT$2),AVEDEV(ARRAYFORMULA(XLOOKUP(FILTER(INDIRECT(""'""&amp;CE$1&amp;""'!$C$4:$C$66""),INDIRECT(""'""&amp;CE$1&amp;""'!$D$4:$D$66"")=CE$2),$G$3:$BQ$3,$G26:$BQ26))),"""")"),"")</f>
        <v/>
      </c>
      <c r="CG26" s="207">
        <f>IFERROR(__xludf.DUMMYFUNCTION("AVERAGE(ARRAYFORMULA(XLOOKUP(FILTER(INDIRECT(""'""&amp;CG$1&amp;""'!$C$4:$C$66""),INDIRECT(""'""&amp;CG$1&amp;""'!$D$4:$D$66"")=CG$2),$G$3:$BQ$3,$G26:$BQ26)))"),0.34812287199999997)</f>
        <v>0.348122872</v>
      </c>
      <c r="CH26" s="207" t="str">
        <f>IFERROR(__xludf.DUMMYFUNCTION("IF(OR(CG26&gt;$BS26+$BT26*$BT$2,CG26&lt;$BS26-$BT26*$BT$2),AVEDEV(ARRAYFORMULA(XLOOKUP(FILTER(INDIRECT(""'""&amp;CG$1&amp;""'!$C$4:$C$66""),INDIRECT(""'""&amp;CG$1&amp;""'!$D$4:$D$66"")=CG$2),$G$3:$BQ$3,$G26:$BQ26))),"""")"),"")</f>
        <v/>
      </c>
      <c r="CI26" s="206"/>
      <c r="CJ26" s="251">
        <f>IFERROR(__xludf.DUMMYFUNCTION("AVERAGE(ARRAYFORMULA(XLOOKUP(FILTER(INDIRECT(""'""&amp;CJ$1&amp;""'!$C$4:$C$66""),INDIRECT(""'""&amp;CJ$1&amp;""'!$D$4:$D$66"")=CJ$2),$G$3:$BQ$3,$G26:$BQ26)))"),0.04505119800000001)</f>
        <v>0.045051198</v>
      </c>
      <c r="CK26" s="207" t="str">
        <f>IFERROR(__xludf.DUMMYFUNCTION("IF(OR(CJ26&gt;$BS26+$BT26*$BT$2,CJ26&lt;$BS26-$BT26*$BT$2),AVEDEV(ARRAYFORMULA(XLOOKUP(FILTER(INDIRECT(""'""&amp;CJ$1&amp;""'!$C$4:$C$66""),INDIRECT(""'""&amp;CJ$1&amp;""'!$D$4:$D$66"")=CJ$2),$G$3:$BQ$3,$G26:$BQ26))),"""")"),"")</f>
        <v/>
      </c>
      <c r="CL26" s="251">
        <f>IFERROR(__xludf.DUMMYFUNCTION("AVERAGE(ARRAYFORMULA(XLOOKUP(FILTER(INDIRECT(""'""&amp;CL$1&amp;""'!$C$4:$C$66""),INDIRECT(""'""&amp;CL$1&amp;""'!$D$4:$D$66"")=CL$2),$G$3:$BQ$3,$G26:$BQ26)))"),0.10361424923076924)</f>
        <v>0.1036142492</v>
      </c>
      <c r="CM26" s="207" t="str">
        <f>IFERROR(__xludf.DUMMYFUNCTION("IF(OR(CL26&gt;$BS26+$BT26*$BT$2,CL26&lt;$BS26-$BT26*$BT$2),AVEDEV(ARRAYFORMULA(XLOOKUP(FILTER(INDIRECT(""'""&amp;CL$1&amp;""'!$C$4:$C$66""),INDIRECT(""'""&amp;CL$1&amp;""'!$D$4:$D$66"")=CL$2),$G$3:$BQ$3,$G26:$BQ26))),"""")"),"")</f>
        <v/>
      </c>
      <c r="CN26" s="251">
        <f>IFERROR(__xludf.DUMMYFUNCTION("AVERAGE(ARRAYFORMULA(XLOOKUP(FILTER(INDIRECT(""'""&amp;CN$1&amp;""'!$C$4:$C$66""),INDIRECT(""'""&amp;CN$1&amp;""'!$D$4:$D$66"")=CN$2),$G$3:$BQ$3,$G26:$BQ26)))"),0.34812287199999997)</f>
        <v>0.348122872</v>
      </c>
      <c r="CO26" s="207" t="str">
        <f>IFERROR(__xludf.DUMMYFUNCTION("IF(OR(CN26&gt;$BS26+$BT26*$BT$2,CN26&lt;$BS26-$BT26*$BT$2),AVEDEV(ARRAYFORMULA(XLOOKUP(FILTER(INDIRECT(""'""&amp;CN$1&amp;""'!$C$4:$C$66""),INDIRECT(""'""&amp;CN$1&amp;""'!$D$4:$D$66"")=CN$2),$G$3:$BQ$3,$G26:$BQ26))),"""")"),"")</f>
        <v/>
      </c>
      <c r="CP26" s="252"/>
      <c r="CQ26" s="251">
        <f>IFERROR(__xludf.DUMMYFUNCTION("AVERAGE(ARRAYFORMULA(XLOOKUP(FILTER(INDIRECT(""'""&amp;CQ$1&amp;""'!$C$4:$C$66""),INDIRECT(""'""&amp;CQ$1&amp;""'!$D$4:$D$66"")=CQ$2),$G$3:$BQ$3,$G26:$BQ26)))"),0.12481716714285716)</f>
        <v>0.1248171671</v>
      </c>
      <c r="CR26" s="207" t="str">
        <f>IFERROR(__xludf.DUMMYFUNCTION("IF(OR(CQ26&gt;$BS26+$BT26*$BT$2,CQ26&lt;$BS26-$BT26*$BT$2),AVEDEV(ARRAYFORMULA(XLOOKUP(FILTER(INDIRECT(""'""&amp;CQ$1&amp;""'!$C$4:$C$66""),INDIRECT(""'""&amp;CQ$1&amp;""'!$D$4:$D$66"")=CQ$2),$G$3:$BQ$3,$G26:$BQ26))),"""")"),"")</f>
        <v/>
      </c>
      <c r="CS26" s="251">
        <f>IFERROR(__xludf.DUMMYFUNCTION("AVERAGE(ARRAYFORMULA(XLOOKUP(FILTER(INDIRECT(""'""&amp;CS$1&amp;""'!$C$4:$C$66""),INDIRECT(""'""&amp;CS$1&amp;""'!$D$4:$D$66"")=CS$2),$G$3:$BQ$3,$G26:$BQ26)))"),-0.03185437888888889)</f>
        <v>-0.03185437889</v>
      </c>
      <c r="CT26" s="207" t="str">
        <f>IFERROR(__xludf.DUMMYFUNCTION("IF(OR(CS26&gt;$BS26+$BT26*$BT$2,CS26&lt;$BS26-$BT26*$BT$2),AVEDEV(ARRAYFORMULA(XLOOKUP(FILTER(INDIRECT(""'""&amp;CS$1&amp;""'!$C$4:$C$66""),INDIRECT(""'""&amp;CS$1&amp;""'!$D$4:$D$66"")=CS$2),$G$3:$BQ$3,$G26:$BQ26))),"""")"),"")</f>
        <v/>
      </c>
      <c r="CU26" s="251">
        <f>IFERROR(__xludf.DUMMYFUNCTION("AVERAGE(ARRAYFORMULA(XLOOKUP(FILTER(INDIRECT(""'""&amp;CU$1&amp;""'!$C$4:$C$66""),INDIRECT(""'""&amp;CU$1&amp;""'!$D$4:$D$66"")=CU$2),$G$3:$BQ$3,$G26:$BQ26)))"),0.29289482727272725)</f>
        <v>0.2928948273</v>
      </c>
      <c r="CV26" s="207" t="str">
        <f>IFERROR(__xludf.DUMMYFUNCTION("IF(OR(CU26&gt;$BS26+$BT26*$BT$2,CU26&lt;$BS26-$BT26*$BT$2),AVEDEV(ARRAYFORMULA(XLOOKUP(FILTER(INDIRECT(""'""&amp;CU$1&amp;""'!$C$4:$C$66""),INDIRECT(""'""&amp;CU$1&amp;""'!$D$4:$D$66"")=CU$2),$G$3:$BQ$3,$G26:$BQ26))),"""")"),"")</f>
        <v/>
      </c>
      <c r="CW26" s="251">
        <f>IFERROR(__xludf.DUMMYFUNCTION("AVERAGE(ARRAYFORMULA(XLOOKUP(FILTER(INDIRECT(""'""&amp;CW$1&amp;""'!$C$4:$C$66""),INDIRECT(""'""&amp;CW$1&amp;""'!$D$4:$D$66"")=CW$2),$G$3:$BQ$3,$G26:$BQ26)))"),0.5802047800000001)</f>
        <v>0.58020478</v>
      </c>
      <c r="CX26" s="207" t="str">
        <f>IFERROR(__xludf.DUMMYFUNCTION("IF(OR(CW26&gt;$BS26+$BT26*$BT$2,CW26&lt;$BS26-$BT26*$BT$2),AVEDEV(ARRAYFORMULA(XLOOKUP(FILTER(INDIRECT(""'""&amp;CW$1&amp;""'!$C$4:$C$66""),INDIRECT(""'""&amp;CW$1&amp;""'!$D$4:$D$66"")=CW$2),$G$3:$BQ$3,$G26:$BQ26))),"""")"),"")</f>
        <v/>
      </c>
      <c r="CY26" s="251">
        <f>IFERROR(__xludf.DUMMYFUNCTION("AVERAGE(ARRAYFORMULA(XLOOKUP(FILTER(INDIRECT(""'""&amp;CY$1&amp;""'!$C$4:$C$66""),INDIRECT(""'""&amp;CY$1&amp;""'!$D$4:$D$66"")=CY$2),$G$3:$BQ$3,$G26:$BQ26)))"),0.10775231714285714)</f>
        <v>0.1077523171</v>
      </c>
      <c r="CZ26" s="207" t="str">
        <f>IFERROR(__xludf.DUMMYFUNCTION("IF(OR(CY26&gt;$BS26+$BT26*$BT$2,CY26&lt;$BS26-$BT26*$BT$2),AVEDEV(ARRAYFORMULA(XLOOKUP(FILTER(INDIRECT(""'""&amp;CY$1&amp;""'!$C$4:$C$66""),INDIRECT(""'""&amp;CY$1&amp;""'!$D$4:$D$66"")=CY$2),$G$3:$BQ$3,$G26:$BQ26))),"""")"),"")</f>
        <v/>
      </c>
      <c r="DA26" s="252"/>
      <c r="DB26" s="251">
        <f>IFERROR(__xludf.DUMMYFUNCTION("AVERAGE(ARRAYFORMULA(XLOOKUP(FILTER(INDIRECT(""'""&amp;DB$1&amp;""'!$C$4:$C$66""),INDIRECT(""'""&amp;DB$1&amp;""'!$D$4:$D$66"")=DB$2),$G$3:$BQ$3,$G26:$BQ26)))"),0.262116041)</f>
        <v>0.262116041</v>
      </c>
      <c r="DC26" s="207" t="str">
        <f>IFERROR(__xludf.DUMMYFUNCTION("IF(OR(DB26&gt;$BS26+$BT26*$BT$2,DB26&lt;$BS26-$BT26*$BT$2),AVEDEV(ARRAYFORMULA(XLOOKUP(FILTER(INDIRECT(""'""&amp;DB$1&amp;""'!$C$4:$C$66""),INDIRECT(""'""&amp;DB$1&amp;""'!$D$4:$D$66"")=DB$2),$G$3:$BQ$3,$G26:$BQ26))),"""")"),"")</f>
        <v/>
      </c>
      <c r="DD26" s="251">
        <f>IFERROR(__xludf.DUMMYFUNCTION("AVERAGE(ARRAYFORMULA(XLOOKUP(FILTER(INDIRECT(""'""&amp;DD$1&amp;""'!$C$4:$C$66""),INDIRECT(""'""&amp;DD$1&amp;""'!$D$4:$D$66"")=DD$2),$G$3:$BQ$3,$G26:$BQ26)))"),-0.17064845777777776)</f>
        <v>-0.1706484578</v>
      </c>
      <c r="DE26" s="207" t="str">
        <f>IFERROR(__xludf.DUMMYFUNCTION("IF(OR(DD26&gt;$BS26+$BT26*$BT$2,DD26&lt;$BS26-$BT26*$BT$2),AVEDEV(ARRAYFORMULA(XLOOKUP(FILTER(INDIRECT(""'""&amp;DD$1&amp;""'!$C$4:$C$66""),INDIRECT(""'""&amp;DD$1&amp;""'!$D$4:$D$66"")=DD$2),$G$3:$BQ$3,$G26:$BQ26))),"""")"),"")</f>
        <v/>
      </c>
      <c r="DF26" s="251">
        <f>IFERROR(__xludf.DUMMYFUNCTION("AVERAGE(ARRAYFORMULA(XLOOKUP(FILTER(INDIRECT(""'""&amp;DF$1&amp;""'!$C$4:$C$66""),INDIRECT(""'""&amp;DF$1&amp;""'!$D$4:$D$66"")=DF$2),$G$3:$BQ$3,$G26:$BQ26)))"),-0.08276448749999998)</f>
        <v>-0.0827644875</v>
      </c>
      <c r="DG26" s="207" t="str">
        <f>IFERROR(__xludf.DUMMYFUNCTION("IF(OR(DF26&gt;$BS26+$BT26*$BT$2,DF26&lt;$BS26-$BT26*$BT$2),AVEDEV(ARRAYFORMULA(XLOOKUP(FILTER(INDIRECT(""'""&amp;DF$1&amp;""'!$C$4:$C$66""),INDIRECT(""'""&amp;DF$1&amp;""'!$D$4:$D$66"")=DF$2),$G$3:$BQ$3,$G26:$BQ26))),"""")"),"")</f>
        <v/>
      </c>
      <c r="DH26" s="251">
        <f>IFERROR(__xludf.DUMMYFUNCTION("AVERAGE(ARRAYFORMULA(XLOOKUP(FILTER(INDIRECT(""'""&amp;DH$1&amp;""'!$C$4:$C$66""),INDIRECT(""'""&amp;DH$1&amp;""'!$D$4:$D$66"")=DH$2),$G$3:$BQ$3,$G26:$BQ26)))"),0.20932878222222223)</f>
        <v>0.2093287822</v>
      </c>
      <c r="DI26" s="207" t="str">
        <f>IFERROR(__xludf.DUMMYFUNCTION("IF(OR(DH26&gt;$BS26+$BT26*$BT$2,DH26&lt;$BS26-$BT26*$BT$2),AVEDEV(ARRAYFORMULA(XLOOKUP(FILTER(INDIRECT(""'""&amp;DH$1&amp;""'!$C$4:$C$66""),INDIRECT(""'""&amp;DH$1&amp;""'!$D$4:$D$66"")=DH$2),$G$3:$BQ$3,$G26:$BQ26))),"""")"),"")</f>
        <v/>
      </c>
      <c r="DJ26" s="243"/>
    </row>
    <row r="27">
      <c r="A27" s="2"/>
      <c r="B27" s="204">
        <v>23.0</v>
      </c>
      <c r="C27" s="204" t="s">
        <v>442</v>
      </c>
      <c r="D27" s="204" t="s">
        <v>466</v>
      </c>
      <c r="E27" s="205" t="b">
        <f>VLOOKUP(D27,'Feature Set List'!A24:C246,2,0)</f>
        <v>1</v>
      </c>
      <c r="F27" s="205" t="b">
        <f>VLOOKUP(D27,'Feature Set List'!A24:C246,3,0)</f>
        <v>1</v>
      </c>
      <c r="G27" s="205">
        <v>-0.7752668</v>
      </c>
      <c r="H27" s="205">
        <v>0.51663528</v>
      </c>
      <c r="I27" s="205">
        <v>-0.5505336</v>
      </c>
      <c r="J27" s="205">
        <v>0.39548023</v>
      </c>
      <c r="K27" s="205">
        <v>0.54613936</v>
      </c>
      <c r="L27" s="205">
        <v>0.66792216</v>
      </c>
      <c r="M27" s="205">
        <v>-0.0188324</v>
      </c>
      <c r="N27" s="205">
        <v>-0.3220339</v>
      </c>
      <c r="O27" s="205">
        <v>-0.6403013</v>
      </c>
      <c r="P27" s="205">
        <v>0.70119272</v>
      </c>
      <c r="Q27" s="205">
        <v>-0.5103578</v>
      </c>
      <c r="R27" s="205">
        <v>-0.2881356</v>
      </c>
      <c r="S27" s="205">
        <v>-0.5605775</v>
      </c>
      <c r="T27" s="205">
        <v>-0.2046453</v>
      </c>
      <c r="U27" s="205">
        <v>-0.7106089</v>
      </c>
      <c r="V27" s="205">
        <v>0.61895794</v>
      </c>
      <c r="W27" s="205">
        <v>-0.6566227</v>
      </c>
      <c r="X27" s="205">
        <v>-0.2366604</v>
      </c>
      <c r="Y27" s="205">
        <v>0.28499686</v>
      </c>
      <c r="Z27" s="205">
        <v>-0.5944758</v>
      </c>
      <c r="AA27" s="205">
        <v>-0.6277464</v>
      </c>
      <c r="AB27" s="205">
        <v>-1.0219711</v>
      </c>
      <c r="AC27" s="205">
        <v>0.40489642</v>
      </c>
      <c r="AD27" s="205">
        <v>0.36346516</v>
      </c>
      <c r="AE27" s="205">
        <v>0.07281858</v>
      </c>
      <c r="AF27" s="205">
        <v>0.79409918</v>
      </c>
      <c r="AG27" s="205">
        <v>0.24984306</v>
      </c>
      <c r="AH27" s="205">
        <v>0.06967985</v>
      </c>
      <c r="AI27" s="205">
        <v>0.75517891</v>
      </c>
      <c r="AJ27" s="205">
        <v>-0.428123</v>
      </c>
      <c r="AK27" s="205">
        <v>0.76522285</v>
      </c>
      <c r="AL27" s="205">
        <v>0.45951036</v>
      </c>
      <c r="AM27" s="205">
        <v>0.64908977</v>
      </c>
      <c r="AN27" s="205">
        <v>-0.2222222</v>
      </c>
      <c r="AO27" s="205">
        <v>0.53735091</v>
      </c>
      <c r="AP27" s="205">
        <v>0.82925298</v>
      </c>
      <c r="AQ27" s="205">
        <v>-0.4030132</v>
      </c>
      <c r="AR27" s="205">
        <v>-0.7055869</v>
      </c>
      <c r="AS27" s="205">
        <v>0.5737602</v>
      </c>
      <c r="AT27" s="205">
        <v>-0.1029504</v>
      </c>
      <c r="AU27" s="205">
        <v>0.0</v>
      </c>
      <c r="AV27" s="205">
        <v>1.01318267</v>
      </c>
      <c r="AW27" s="205">
        <v>0.77087257</v>
      </c>
      <c r="AX27" s="205">
        <v>-0.6076585</v>
      </c>
      <c r="AY27" s="205">
        <v>-0.440678</v>
      </c>
      <c r="AZ27" s="205">
        <v>-0.4187068</v>
      </c>
      <c r="BA27" s="205">
        <v>0.24670433</v>
      </c>
      <c r="BB27" s="205">
        <v>-0.6553672</v>
      </c>
      <c r="BC27" s="205">
        <v>-0.3283114</v>
      </c>
      <c r="BD27" s="205">
        <v>0.31889517</v>
      </c>
      <c r="BE27" s="205">
        <v>0.38166981</v>
      </c>
      <c r="BF27" s="205">
        <v>0.10169492</v>
      </c>
      <c r="BG27" s="205">
        <v>-0.4507219</v>
      </c>
      <c r="BH27" s="205">
        <v>0.38041431</v>
      </c>
      <c r="BI27" s="205">
        <v>-0.6352793</v>
      </c>
      <c r="BJ27" s="205">
        <v>-0.4532329</v>
      </c>
      <c r="BK27" s="205">
        <v>0.88135593</v>
      </c>
      <c r="BL27" s="205">
        <v>-0.9196485</v>
      </c>
      <c r="BM27" s="205">
        <v>0.89704959</v>
      </c>
      <c r="BN27" s="205">
        <v>-0.5134965</v>
      </c>
      <c r="BO27" s="205">
        <v>-0.7903327</v>
      </c>
      <c r="BP27" s="205">
        <v>0.23226616</v>
      </c>
      <c r="BQ27" s="205">
        <v>0.32705587</v>
      </c>
      <c r="BR27" s="206"/>
      <c r="BS27" s="250">
        <f t="shared" si="1"/>
        <v>0.0001992890476</v>
      </c>
      <c r="BT27" s="250">
        <f t="shared" si="2"/>
        <v>0.5016024174</v>
      </c>
      <c r="BU27" s="206"/>
      <c r="BV27" s="207">
        <f>IFERROR(__xludf.DUMMYFUNCTION("AVERAGE(ARRAYFORMULA(XLOOKUP(FILTER(INDIRECT(""'""&amp;BV$1&amp;""'!$C$4:$C$66""),INDIRECT(""'""&amp;BV$1&amp;""'!$D$4:$D$66"")=BV$2),$G$3:$BQ$3,$G27:$BQ27)))"),-0.2919917542857143)</f>
        <v>-0.2919917543</v>
      </c>
      <c r="BW27" s="207" t="str">
        <f>IFERROR(__xludf.DUMMYFUNCTION("IF(OR(BV27&gt;$BS27+$BT27*$BT$2,BV27&lt;$BS27-$BT27*$BT$2),AVEDEV(ARRAYFORMULA(XLOOKUP(FILTER(INDIRECT(""'""&amp;BV$1&amp;""'!$C$4:$C$66""),INDIRECT(""'""&amp;BV$1&amp;""'!$D$4:$D$66"")=BV$2),$G$3:$BQ$3,$G27:$BQ27))),"""")"),"")</f>
        <v/>
      </c>
      <c r="BX27" s="207">
        <f>IFERROR(__xludf.DUMMYFUNCTION("AVERAGE(ARRAYFORMULA(XLOOKUP(FILTER(INDIRECT(""'""&amp;BX$1&amp;""'!$C$4:$C$66""),INDIRECT(""'""&amp;BX$1&amp;""'!$D$4:$D$66"")=BX$2),$G$3:$BQ$3,$G27:$BQ27)))"),0.018339168571428567)</f>
        <v>0.01833916857</v>
      </c>
      <c r="BY27" s="207" t="str">
        <f>IFERROR(__xludf.DUMMYFUNCTION("IF(OR(BX27&gt;$BS27+$BT27*$BT$2,BX27&lt;$BS27-$BT27*$BT$2),AVEDEV(ARRAYFORMULA(XLOOKUP(FILTER(INDIRECT(""'""&amp;BX$1&amp;""'!$C$4:$C$66""),INDIRECT(""'""&amp;BX$1&amp;""'!$D$4:$D$66"")=BX$2),$G$3:$BQ$3,$G27:$BQ27))),"""")"),"")</f>
        <v/>
      </c>
      <c r="BZ27" s="207">
        <f>IFERROR(__xludf.DUMMYFUNCTION("AVERAGE(ARRAYFORMULA(XLOOKUP(FILTER(INDIRECT(""'""&amp;BZ$1&amp;""'!$C$4:$C$66""),INDIRECT(""'""&amp;BZ$1&amp;""'!$D$4:$D$66"")=BZ$2),$G$3:$BQ$3,$G27:$BQ27)))"),0.1379900763636364)</f>
        <v>0.1379900764</v>
      </c>
      <c r="CA27" s="207" t="str">
        <f>IFERROR(__xludf.DUMMYFUNCTION("IF(OR(BZ27&gt;$BS27+$BT27*$BT$2,BZ27&lt;$BS27-$BT27*$BT$2),AVEDEV(ARRAYFORMULA(XLOOKUP(FILTER(INDIRECT(""'""&amp;BZ$1&amp;""'!$C$4:$C$66""),INDIRECT(""'""&amp;BZ$1&amp;""'!$D$4:$D$66"")=BZ$2),$G$3:$BQ$3,$G27:$BQ27))),"""")"),"")</f>
        <v/>
      </c>
      <c r="CB27" s="209"/>
      <c r="CC27" s="207">
        <f>IFERROR(__xludf.DUMMYFUNCTION("AVERAGE(ARRAYFORMULA(XLOOKUP(FILTER(INDIRECT(""'""&amp;CC$1&amp;""'!$C$4:$C$66""),INDIRECT(""'""&amp;CC$1&amp;""'!$D$4:$D$66"")=CC$2),$G$3:$BQ$3,$G27:$BQ27)))"),0.21425769249999999)</f>
        <v>0.2142576925</v>
      </c>
      <c r="CD27" s="207" t="str">
        <f>IFERROR(__xludf.DUMMYFUNCTION("IF(OR(CC27&gt;$BS27+$BT27*$BT$2,CC27&lt;$BS27-$BT27*$BT$2),AVEDEV(ARRAYFORMULA(XLOOKUP(FILTER(INDIRECT(""'""&amp;CC$1&amp;""'!$C$4:$C$66""),INDIRECT(""'""&amp;CC$1&amp;""'!$D$4:$D$66"")=CC$2),$G$3:$BQ$3,$G27:$BQ27))),"""")"),"")</f>
        <v/>
      </c>
      <c r="CE27" s="207">
        <f>IFERROR(__xludf.DUMMYFUNCTION("AVERAGE(ARRAYFORMULA(XLOOKUP(FILTER(INDIRECT(""'""&amp;CE$1&amp;""'!$C$4:$C$66""),INDIRECT(""'""&amp;CE$1&amp;""'!$D$4:$D$66"")=CE$2),$G$3:$BQ$3,$G27:$BQ27)))"),-0.04675697387096774)</f>
        <v>-0.04675697387</v>
      </c>
      <c r="CF27" s="207" t="str">
        <f>IFERROR(__xludf.DUMMYFUNCTION("IF(OR(CE27&gt;$BS27+$BT27*$BT$2,CE27&lt;$BS27-$BT27*$BT$2),AVEDEV(ARRAYFORMULA(XLOOKUP(FILTER(INDIRECT(""'""&amp;CE$1&amp;""'!$C$4:$C$66""),INDIRECT(""'""&amp;CE$1&amp;""'!$D$4:$D$66"")=CE$2),$G$3:$BQ$3,$G27:$BQ27))),"""")"),"")</f>
        <v/>
      </c>
      <c r="CG27" s="207">
        <f>IFERROR(__xludf.DUMMYFUNCTION("AVERAGE(ARRAYFORMULA(XLOOKUP(FILTER(INDIRECT(""'""&amp;CG$1&amp;""'!$C$4:$C$66""),INDIRECT(""'""&amp;CG$1&amp;""'!$D$4:$D$66"")=CG$2),$G$3:$BQ$3,$G27:$BQ27)))"),0.17325801000000002)</f>
        <v>0.17325801</v>
      </c>
      <c r="CH27" s="207" t="str">
        <f>IFERROR(__xludf.DUMMYFUNCTION("IF(OR(CG27&gt;$BS27+$BT27*$BT$2,CG27&lt;$BS27-$BT27*$BT$2),AVEDEV(ARRAYFORMULA(XLOOKUP(FILTER(INDIRECT(""'""&amp;CG$1&amp;""'!$C$4:$C$66""),INDIRECT(""'""&amp;CG$1&amp;""'!$D$4:$D$66"")=CG$2),$G$3:$BQ$3,$G27:$BQ27))),"""")"),"")</f>
        <v/>
      </c>
      <c r="CI27" s="206"/>
      <c r="CJ27" s="251">
        <f>IFERROR(__xludf.DUMMYFUNCTION("AVERAGE(ARRAYFORMULA(XLOOKUP(FILTER(INDIRECT(""'""&amp;CJ$1&amp;""'!$C$4:$C$66""),INDIRECT(""'""&amp;CJ$1&amp;""'!$D$4:$D$66"")=CJ$2),$G$3:$BQ$3,$G27:$BQ27)))"),-0.208788446)</f>
        <v>-0.208788446</v>
      </c>
      <c r="CK27" s="207" t="str">
        <f>IFERROR(__xludf.DUMMYFUNCTION("IF(OR(CJ27&gt;$BS27+$BT27*$BT$2,CJ27&lt;$BS27-$BT27*$BT$2),AVEDEV(ARRAYFORMULA(XLOOKUP(FILTER(INDIRECT(""'""&amp;CJ$1&amp;""'!$C$4:$C$66""),INDIRECT(""'""&amp;CJ$1&amp;""'!$D$4:$D$66"")=CJ$2),$G$3:$BQ$3,$G27:$BQ27))),"""")"),"")</f>
        <v/>
      </c>
      <c r="CL27" s="251">
        <f>IFERROR(__xludf.DUMMYFUNCTION("AVERAGE(ARRAYFORMULA(XLOOKUP(FILTER(INDIRECT(""'""&amp;CL$1&amp;""'!$C$4:$C$66""),INDIRECT(""'""&amp;CL$1&amp;""'!$D$4:$D$66"")=CL$2),$G$3:$BQ$3,$G27:$BQ27)))"),0.08793278923076922)</f>
        <v>0.08793278923</v>
      </c>
      <c r="CM27" s="207" t="str">
        <f>IFERROR(__xludf.DUMMYFUNCTION("IF(OR(CL27&gt;$BS27+$BT27*$BT$2,CL27&lt;$BS27-$BT27*$BT$2),AVEDEV(ARRAYFORMULA(XLOOKUP(FILTER(INDIRECT(""'""&amp;CL$1&amp;""'!$C$4:$C$66""),INDIRECT(""'""&amp;CL$1&amp;""'!$D$4:$D$66"")=CL$2),$G$3:$BQ$3,$G27:$BQ27))),"""")"),"")</f>
        <v/>
      </c>
      <c r="CN27" s="251">
        <f>IFERROR(__xludf.DUMMYFUNCTION("AVERAGE(ARRAYFORMULA(XLOOKUP(FILTER(INDIRECT(""'""&amp;CN$1&amp;""'!$C$4:$C$66""),INDIRECT(""'""&amp;CN$1&amp;""'!$D$4:$D$66"")=CN$2),$G$3:$BQ$3,$G27:$BQ27)))"),0.17325801000000002)</f>
        <v>0.17325801</v>
      </c>
      <c r="CO27" s="207" t="str">
        <f>IFERROR(__xludf.DUMMYFUNCTION("IF(OR(CN27&gt;$BS27+$BT27*$BT$2,CN27&lt;$BS27-$BT27*$BT$2),AVEDEV(ARRAYFORMULA(XLOOKUP(FILTER(INDIRECT(""'""&amp;CN$1&amp;""'!$C$4:$C$66""),INDIRECT(""'""&amp;CN$1&amp;""'!$D$4:$D$66"")=CN$2),$G$3:$BQ$3,$G27:$BQ27))),"""")"),"")</f>
        <v/>
      </c>
      <c r="CP27" s="252"/>
      <c r="CQ27" s="251">
        <f>IFERROR(__xludf.DUMMYFUNCTION("AVERAGE(ARRAYFORMULA(XLOOKUP(FILTER(INDIRECT(""'""&amp;CQ$1&amp;""'!$C$4:$C$66""),INDIRECT(""'""&amp;CQ$1&amp;""'!$D$4:$D$66"")=CQ$2),$G$3:$BQ$3,$G27:$BQ27)))"),0.406555465)</f>
        <v>0.406555465</v>
      </c>
      <c r="CR27" s="207" t="str">
        <f>IFERROR(__xludf.DUMMYFUNCTION("IF(OR(CQ27&gt;$BS27+$BT27*$BT$2,CQ27&lt;$BS27-$BT27*$BT$2),AVEDEV(ARRAYFORMULA(XLOOKUP(FILTER(INDIRECT(""'""&amp;CQ$1&amp;""'!$C$4:$C$66""),INDIRECT(""'""&amp;CQ$1&amp;""'!$D$4:$D$66"")=CQ$2),$G$3:$BQ$3,$G27:$BQ27))),"""")"),"")</f>
        <v/>
      </c>
      <c r="CS27" s="251">
        <f>IFERROR(__xludf.DUMMYFUNCTION("AVERAGE(ARRAYFORMULA(XLOOKUP(FILTER(INDIRECT(""'""&amp;CS$1&amp;""'!$C$4:$C$66""),INDIRECT(""'""&amp;CS$1&amp;""'!$D$4:$D$66"")=CS$2),$G$3:$BQ$3,$G27:$BQ27)))"),0.11550533888888892)</f>
        <v>0.1155053389</v>
      </c>
      <c r="CT27" s="207" t="str">
        <f>IFERROR(__xludf.DUMMYFUNCTION("IF(OR(CS27&gt;$BS27+$BT27*$BT$2,CS27&lt;$BS27-$BT27*$BT$2),AVEDEV(ARRAYFORMULA(XLOOKUP(FILTER(INDIRECT(""'""&amp;CS$1&amp;""'!$C$4:$C$66""),INDIRECT(""'""&amp;CS$1&amp;""'!$D$4:$D$66"")=CS$2),$G$3:$BQ$3,$G27:$BQ27))),"""")"),"")</f>
        <v/>
      </c>
      <c r="CU27" s="251">
        <f>IFERROR(__xludf.DUMMYFUNCTION("AVERAGE(ARRAYFORMULA(XLOOKUP(FILTER(INDIRECT(""'""&amp;CU$1&amp;""'!$C$4:$C$66""),INDIRECT(""'""&amp;CU$1&amp;""'!$D$4:$D$66"")=CU$2),$G$3:$BQ$3,$G27:$BQ27)))"),-0.1669234627272727)</f>
        <v>-0.1669234627</v>
      </c>
      <c r="CV27" s="207" t="str">
        <f>IFERROR(__xludf.DUMMYFUNCTION("IF(OR(CU27&gt;$BS27+$BT27*$BT$2,CU27&lt;$BS27-$BT27*$BT$2),AVEDEV(ARRAYFORMULA(XLOOKUP(FILTER(INDIRECT(""'""&amp;CU$1&amp;""'!$C$4:$C$66""),INDIRECT(""'""&amp;CU$1&amp;""'!$D$4:$D$66"")=CU$2),$G$3:$BQ$3,$G27:$BQ27))),"""")"),"")</f>
        <v/>
      </c>
      <c r="CW27" s="251">
        <f>IFERROR(__xludf.DUMMYFUNCTION("AVERAGE(ARRAYFORMULA(XLOOKUP(FILTER(INDIRECT(""'""&amp;CW$1&amp;""'!$C$4:$C$66""),INDIRECT(""'""&amp;CW$1&amp;""'!$D$4:$D$66"")=CW$2),$G$3:$BQ$3,$G27:$BQ27)))"),0.371939735)</f>
        <v>0.371939735</v>
      </c>
      <c r="CX27" s="207" t="str">
        <f>IFERROR(__xludf.DUMMYFUNCTION("IF(OR(CW27&gt;$BS27+$BT27*$BT$2,CW27&lt;$BS27-$BT27*$BT$2),AVEDEV(ARRAYFORMULA(XLOOKUP(FILTER(INDIRECT(""'""&amp;CW$1&amp;""'!$C$4:$C$66""),INDIRECT(""'""&amp;CW$1&amp;""'!$D$4:$D$66"")=CW$2),$G$3:$BQ$3,$G27:$BQ27))),"""")"),"")</f>
        <v/>
      </c>
      <c r="CY27" s="251">
        <f>IFERROR(__xludf.DUMMYFUNCTION("AVERAGE(ARRAYFORMULA(XLOOKUP(FILTER(INDIRECT(""'""&amp;CY$1&amp;""'!$C$4:$C$66""),INDIRECT(""'""&amp;CY$1&amp;""'!$D$4:$D$66"")=CY$2),$G$3:$BQ$3,$G27:$BQ27)))"),-0.38341851214285716)</f>
        <v>-0.3834185121</v>
      </c>
      <c r="CZ27" s="207" t="str">
        <f>IFERROR(__xludf.DUMMYFUNCTION("IF(OR(CY27&gt;$BS27+$BT27*$BT$2,CY27&lt;$BS27-$BT27*$BT$2),AVEDEV(ARRAYFORMULA(XLOOKUP(FILTER(INDIRECT(""'""&amp;CY$1&amp;""'!$C$4:$C$66""),INDIRECT(""'""&amp;CY$1&amp;""'!$D$4:$D$66"")=CY$2),$G$3:$BQ$3,$G27:$BQ27))),"""")"),"")</f>
        <v/>
      </c>
      <c r="DA27" s="252"/>
      <c r="DB27" s="251">
        <f>IFERROR(__xludf.DUMMYFUNCTION("AVERAGE(ARRAYFORMULA(XLOOKUP(FILTER(INDIRECT(""'""&amp;DB$1&amp;""'!$C$4:$C$66""),INDIRECT(""'""&amp;DB$1&amp;""'!$D$4:$D$66"")=DB$2),$G$3:$BQ$3,$G27:$BQ27)))"),0.04333543033333334)</f>
        <v>0.04333543033</v>
      </c>
      <c r="DC27" s="207" t="str">
        <f>IFERROR(__xludf.DUMMYFUNCTION("IF(OR(DB27&gt;$BS27+$BT27*$BT$2,DB27&lt;$BS27-$BT27*$BT$2),AVEDEV(ARRAYFORMULA(XLOOKUP(FILTER(INDIRECT(""'""&amp;DB$1&amp;""'!$C$4:$C$66""),INDIRECT(""'""&amp;DB$1&amp;""'!$D$4:$D$66"")=DB$2),$G$3:$BQ$3,$G27:$BQ27))),"""")"),"")</f>
        <v/>
      </c>
      <c r="DD27" s="251">
        <f>IFERROR(__xludf.DUMMYFUNCTION("AVERAGE(ARRAYFORMULA(XLOOKUP(FILTER(INDIRECT(""'""&amp;DD$1&amp;""'!$C$4:$C$66""),INDIRECT(""'""&amp;DD$1&amp;""'!$D$4:$D$66"")=DD$2),$G$3:$BQ$3,$G27:$BQ27)))"),0.2078538077777778)</f>
        <v>0.2078538078</v>
      </c>
      <c r="DE27" s="207" t="str">
        <f>IFERROR(__xludf.DUMMYFUNCTION("IF(OR(DD27&gt;$BS27+$BT27*$BT$2,DD27&lt;$BS27-$BT27*$BT$2),AVEDEV(ARRAYFORMULA(XLOOKUP(FILTER(INDIRECT(""'""&amp;DD$1&amp;""'!$C$4:$C$66""),INDIRECT(""'""&amp;DD$1&amp;""'!$D$4:$D$66"")=DD$2),$G$3:$BQ$3,$G27:$BQ27))),"""")"),"")</f>
        <v/>
      </c>
      <c r="DF27" s="251">
        <f>IFERROR(__xludf.DUMMYFUNCTION("AVERAGE(ARRAYFORMULA(XLOOKUP(FILTER(INDIRECT(""'""&amp;DF$1&amp;""'!$C$4:$C$66""),INDIRECT(""'""&amp;DF$1&amp;""'!$D$4:$D$66"")=DF$2),$G$3:$BQ$3,$G27:$BQ27)))"),-0.5143596874999999)</f>
        <v>-0.5143596875</v>
      </c>
      <c r="DG27" s="207">
        <f>IFERROR(__xludf.DUMMYFUNCTION("IF(OR(DF27&gt;$BS27+$BT27*$BT$2,DF27&lt;$BS27-$BT27*$BT$2),AVEDEV(ARRAYFORMULA(XLOOKUP(FILTER(INDIRECT(""'""&amp;DF$1&amp;""'!$C$4:$C$66""),INDIRECT(""'""&amp;DF$1&amp;""'!$D$4:$D$66"")=DF$2),$G$3:$BQ$3,$G27:$BQ27))),"""")"),0.12044883749999999)</f>
        <v>0.1204488375</v>
      </c>
      <c r="DH27" s="251">
        <f>IFERROR(__xludf.DUMMYFUNCTION("AVERAGE(ARRAYFORMULA(XLOOKUP(FILTER(INDIRECT(""'""&amp;DH$1&amp;""'!$C$4:$C$66""),INDIRECT(""'""&amp;DH$1&amp;""'!$D$4:$D$66"")=DH$2),$G$3:$BQ$3,$G27:$BQ27)))"),0.27920765)</f>
        <v>0.27920765</v>
      </c>
      <c r="DI27" s="207" t="str">
        <f>IFERROR(__xludf.DUMMYFUNCTION("IF(OR(DH27&gt;$BS27+$BT27*$BT$2,DH27&lt;$BS27-$BT27*$BT$2),AVEDEV(ARRAYFORMULA(XLOOKUP(FILTER(INDIRECT(""'""&amp;DH$1&amp;""'!$C$4:$C$66""),INDIRECT(""'""&amp;DH$1&amp;""'!$D$4:$D$66"")=DH$2),$G$3:$BQ$3,$G27:$BQ27))),"""")"),"")</f>
        <v/>
      </c>
      <c r="DJ27" s="243"/>
    </row>
    <row r="28">
      <c r="A28" s="2"/>
      <c r="B28" s="204">
        <v>24.0</v>
      </c>
      <c r="C28" s="204" t="s">
        <v>442</v>
      </c>
      <c r="D28" s="204" t="s">
        <v>467</v>
      </c>
      <c r="E28" s="205" t="b">
        <f>VLOOKUP(D28,'Feature Set List'!A25:C246,2,0)</f>
        <v>1</v>
      </c>
      <c r="F28" s="205" t="b">
        <f>VLOOKUP(D28,'Feature Set List'!A25:C246,3,0)</f>
        <v>1</v>
      </c>
      <c r="G28" s="205">
        <v>-0.0328172</v>
      </c>
      <c r="H28" s="205">
        <v>-0.442208</v>
      </c>
      <c r="I28" s="205">
        <v>-0.7116387</v>
      </c>
      <c r="J28" s="205">
        <v>0.53385641</v>
      </c>
      <c r="K28" s="205">
        <v>-0.6960543</v>
      </c>
      <c r="L28" s="205">
        <v>-0.1429571</v>
      </c>
      <c r="M28" s="205">
        <v>0.18296712</v>
      </c>
      <c r="N28" s="205">
        <v>0.63432499</v>
      </c>
      <c r="O28" s="205">
        <v>0.05304698</v>
      </c>
      <c r="P28" s="205">
        <v>-0.714336</v>
      </c>
      <c r="Q28" s="205">
        <v>-0.1789212</v>
      </c>
      <c r="R28" s="205">
        <v>-1.117583</v>
      </c>
      <c r="S28" s="205">
        <v>0.78281757</v>
      </c>
      <c r="T28" s="205">
        <v>-0.4425077</v>
      </c>
      <c r="U28" s="205">
        <v>1.21783278</v>
      </c>
      <c r="V28" s="205">
        <v>-0.7005498</v>
      </c>
      <c r="W28" s="205">
        <v>0.65866666</v>
      </c>
      <c r="X28" s="205">
        <v>1.469731</v>
      </c>
      <c r="Y28" s="205">
        <v>0.02037963</v>
      </c>
      <c r="Z28" s="205">
        <v>0.17682327</v>
      </c>
      <c r="AA28" s="205">
        <v>0.47112911</v>
      </c>
      <c r="AB28" s="205">
        <v>1.43766306</v>
      </c>
      <c r="AC28" s="205">
        <v>1.53521555</v>
      </c>
      <c r="AD28" s="205">
        <v>-0.4951051</v>
      </c>
      <c r="AE28" s="205">
        <v>-0.1008492</v>
      </c>
      <c r="AF28" s="205">
        <v>-0.557293</v>
      </c>
      <c r="AG28" s="205">
        <v>-0.5094908</v>
      </c>
      <c r="AH28" s="205">
        <v>1.55919159</v>
      </c>
      <c r="AI28" s="205">
        <v>-0.3746256</v>
      </c>
      <c r="AJ28" s="205">
        <v>-0.0681819</v>
      </c>
      <c r="AK28" s="205">
        <v>0.64771261</v>
      </c>
      <c r="AL28" s="205">
        <v>0.09290714</v>
      </c>
      <c r="AM28" s="205">
        <v>0.49592932</v>
      </c>
      <c r="AN28" s="205">
        <v>-0.6968035</v>
      </c>
      <c r="AO28" s="205">
        <v>-0.0687813</v>
      </c>
      <c r="AP28" s="205">
        <v>0.19135874</v>
      </c>
      <c r="AQ28" s="205">
        <v>-0.1296204</v>
      </c>
      <c r="AR28" s="205">
        <v>-0.4188314</v>
      </c>
      <c r="AS28" s="205">
        <v>0.0</v>
      </c>
      <c r="AT28" s="205">
        <v>-0.028022</v>
      </c>
      <c r="AU28" s="205">
        <v>-0.1129871</v>
      </c>
      <c r="AV28" s="205">
        <v>1.39255814</v>
      </c>
      <c r="AW28" s="205">
        <v>0.07612391</v>
      </c>
      <c r="AX28" s="205">
        <v>0.34600417</v>
      </c>
      <c r="AY28" s="205">
        <v>2.07422681</v>
      </c>
      <c r="AZ28" s="205">
        <v>1.18966093</v>
      </c>
      <c r="BA28" s="205">
        <v>-0.7240763</v>
      </c>
      <c r="BB28" s="205">
        <v>0.99725325</v>
      </c>
      <c r="BC28" s="205">
        <v>0.10879126</v>
      </c>
      <c r="BD28" s="205">
        <v>-0.4210791</v>
      </c>
      <c r="BE28" s="205">
        <v>2.74855282</v>
      </c>
      <c r="BF28" s="205">
        <v>-0.4129872</v>
      </c>
      <c r="BG28" s="205">
        <v>-0.1895605</v>
      </c>
      <c r="BH28" s="205">
        <v>-0.2265735</v>
      </c>
      <c r="BI28" s="205">
        <v>-0.1873128</v>
      </c>
      <c r="BJ28" s="205">
        <v>-0.4327674</v>
      </c>
      <c r="BK28" s="205">
        <v>0.25864149</v>
      </c>
      <c r="BL28" s="205">
        <v>-1.5476531</v>
      </c>
      <c r="BM28" s="205">
        <v>-0.0116883</v>
      </c>
      <c r="BN28" s="205">
        <v>0.92652394</v>
      </c>
      <c r="BO28" s="205">
        <v>1.49820255</v>
      </c>
      <c r="BP28" s="205">
        <v>0.27557456</v>
      </c>
      <c r="BQ28" s="205">
        <v>0.09560444</v>
      </c>
      <c r="BR28" s="206"/>
      <c r="BS28" s="250">
        <f t="shared" si="1"/>
        <v>0.1786572905</v>
      </c>
      <c r="BT28" s="250">
        <f t="shared" si="2"/>
        <v>0.6107244507</v>
      </c>
      <c r="BU28" s="206"/>
      <c r="BV28" s="207">
        <f>IFERROR(__xludf.DUMMYFUNCTION("AVERAGE(ARRAYFORMULA(XLOOKUP(FILTER(INDIRECT(""'""&amp;BV$1&amp;""'!$C$4:$C$66""),INDIRECT(""'""&amp;BV$1&amp;""'!$D$4:$D$66"")=BV$2),$G$3:$BQ$3,$G28:$BQ28)))"),0.9844517514285714)</f>
        <v>0.9844517514</v>
      </c>
      <c r="BW28" s="207">
        <f>IFERROR(__xludf.DUMMYFUNCTION("IF(OR(BV28&gt;$BS28+$BT28*$BT$2,BV28&lt;$BS28-$BT28*$BT$2),AVEDEV(ARRAYFORMULA(XLOOKUP(FILTER(INDIRECT(""'""&amp;BV$1&amp;""'!$C$4:$C$66""),INDIRECT(""'""&amp;BV$1&amp;""'!$D$4:$D$66"")=BV$2),$G$3:$BQ$3,$G28:$BQ28))),"""")"),1.0243822579591837)</f>
        <v>1.024382258</v>
      </c>
      <c r="BX28" s="207">
        <f>IFERROR(__xludf.DUMMYFUNCTION("AVERAGE(ARRAYFORMULA(XLOOKUP(FILTER(INDIRECT(""'""&amp;BX$1&amp;""'!$C$4:$C$66""),INDIRECT(""'""&amp;BX$1&amp;""'!$D$4:$D$66"")=BX$2),$G$3:$BQ$3,$G28:$BQ28)))"),0.14723698095238097)</f>
        <v>0.147236981</v>
      </c>
      <c r="BY28" s="207" t="str">
        <f>IFERROR(__xludf.DUMMYFUNCTION("IF(OR(BX28&gt;$BS28+$BT28*$BT$2,BX28&lt;$BS28-$BT28*$BT$2),AVEDEV(ARRAYFORMULA(XLOOKUP(FILTER(INDIRECT(""'""&amp;BX$1&amp;""'!$C$4:$C$66""),INDIRECT(""'""&amp;BX$1&amp;""'!$D$4:$D$66"")=BX$2),$G$3:$BQ$3,$G28:$BQ28))),"""")"),"")</f>
        <v/>
      </c>
      <c r="BZ28" s="207">
        <f>IFERROR(__xludf.DUMMYFUNCTION("AVERAGE(ARRAYFORMULA(XLOOKUP(FILTER(INDIRECT(""'""&amp;BZ$1&amp;""'!$C$4:$C$66""),INDIRECT(""'""&amp;BZ$1&amp;""'!$D$4:$D$66"")=BZ$2),$G$3:$BQ$3,$G28:$BQ28)))"),-0.052181932727272735)</f>
        <v>-0.05218193273</v>
      </c>
      <c r="CA28" s="207" t="str">
        <f>IFERROR(__xludf.DUMMYFUNCTION("IF(OR(BZ28&gt;$BS28+$BT28*$BT$2,BZ28&lt;$BS28-$BT28*$BT$2),AVEDEV(ARRAYFORMULA(XLOOKUP(FILTER(INDIRECT(""'""&amp;BZ$1&amp;""'!$C$4:$C$66""),INDIRECT(""'""&amp;BZ$1&amp;""'!$D$4:$D$66"")=BZ$2),$G$3:$BQ$3,$G28:$BQ28))),"""")"),"")</f>
        <v/>
      </c>
      <c r="CB28" s="209"/>
      <c r="CC28" s="207">
        <f>IFERROR(__xludf.DUMMYFUNCTION("AVERAGE(ARRAYFORMULA(XLOOKUP(FILTER(INDIRECT(""'""&amp;CC$1&amp;""'!$C$4:$C$66""),INDIRECT(""'""&amp;CC$1&amp;""'!$D$4:$D$66"")=CC$2),$G$3:$BQ$3,$G28:$BQ28)))"),0.05650346187500001)</f>
        <v>0.05650346188</v>
      </c>
      <c r="CD28" s="207" t="str">
        <f>IFERROR(__xludf.DUMMYFUNCTION("IF(OR(CC28&gt;$BS28+$BT28*$BT$2,CC28&lt;$BS28-$BT28*$BT$2),AVEDEV(ARRAYFORMULA(XLOOKUP(FILTER(INDIRECT(""'""&amp;CC$1&amp;""'!$C$4:$C$66""),INDIRECT(""'""&amp;CC$1&amp;""'!$D$4:$D$66"")=CC$2),$G$3:$BQ$3,$G28:$BQ28))),"""")"),"")</f>
        <v/>
      </c>
      <c r="CE28" s="207">
        <f>IFERROR(__xludf.DUMMYFUNCTION("AVERAGE(ARRAYFORMULA(XLOOKUP(FILTER(INDIRECT(""'""&amp;CE$1&amp;""'!$C$4:$C$66""),INDIRECT(""'""&amp;CE$1&amp;""'!$D$4:$D$66"")=CE$2),$G$3:$BQ$3,$G28:$BQ28)))"),0.40107654483870964)</f>
        <v>0.4010765448</v>
      </c>
      <c r="CF28" s="207" t="str">
        <f>IFERROR(__xludf.DUMMYFUNCTION("IF(OR(CE28&gt;$BS28+$BT28*$BT$2,CE28&lt;$BS28-$BT28*$BT$2),AVEDEV(ARRAYFORMULA(XLOOKUP(FILTER(INDIRECT(""'""&amp;CE$1&amp;""'!$C$4:$C$66""),INDIRECT(""'""&amp;CE$1&amp;""'!$D$4:$D$66"")=CE$2),$G$3:$BQ$3,$G28:$BQ28))),"""")"),"")</f>
        <v/>
      </c>
      <c r="CG28" s="207">
        <f>IFERROR(__xludf.DUMMYFUNCTION("AVERAGE(ARRAYFORMULA(XLOOKUP(FILTER(INDIRECT(""'""&amp;CG$1&amp;""'!$C$4:$C$66""),INDIRECT(""'""&amp;CG$1&amp;""'!$D$4:$D$66"")=CG$2),$G$3:$BQ$3,$G28:$BQ28)))"),-0.41409609999999997)</f>
        <v>-0.4140961</v>
      </c>
      <c r="CH28" s="207" t="str">
        <f>IFERROR(__xludf.DUMMYFUNCTION("IF(OR(CG28&gt;$BS28+$BT28*$BT$2,CG28&lt;$BS28-$BT28*$BT$2),AVEDEV(ARRAYFORMULA(XLOOKUP(FILTER(INDIRECT(""'""&amp;CG$1&amp;""'!$C$4:$C$66""),INDIRECT(""'""&amp;CG$1&amp;""'!$D$4:$D$66"")=CG$2),$G$3:$BQ$3,$G28:$BQ28))),"""")"),"")</f>
        <v/>
      </c>
      <c r="CI28" s="206"/>
      <c r="CJ28" s="251">
        <f>IFERROR(__xludf.DUMMYFUNCTION("AVERAGE(ARRAYFORMULA(XLOOKUP(FILTER(INDIRECT(""'""&amp;CJ$1&amp;""'!$C$4:$C$66""),INDIRECT(""'""&amp;CJ$1&amp;""'!$D$4:$D$66"")=CJ$2),$G$3:$BQ$3,$G28:$BQ28)))"),0.894406642)</f>
        <v>0.894406642</v>
      </c>
      <c r="CK28" s="207">
        <f>IFERROR(__xludf.DUMMYFUNCTION("IF(OR(CJ28&gt;$BS28+$BT28*$BT$2,CJ28&lt;$BS28-$BT28*$BT$2),AVEDEV(ARRAYFORMULA(XLOOKUP(FILTER(INDIRECT(""'""&amp;CJ$1&amp;""'!$C$4:$C$66""),INDIRECT(""'""&amp;CJ$1&amp;""'!$D$4:$D$66"")=CJ$2),$G$3:$BQ$3,$G28:$BQ28))),"""")"),0.7077852618666667)</f>
        <v>0.7077852619</v>
      </c>
      <c r="CL28" s="251">
        <f>IFERROR(__xludf.DUMMYFUNCTION("AVERAGE(ARRAYFORMULA(XLOOKUP(FILTER(INDIRECT(""'""&amp;CL$1&amp;""'!$C$4:$C$66""),INDIRECT(""'""&amp;CL$1&amp;""'!$D$4:$D$66"")=CL$2),$G$3:$BQ$3,$G28:$BQ28)))"),0.06931149153846153)</f>
        <v>0.06931149154</v>
      </c>
      <c r="CM28" s="207" t="str">
        <f>IFERROR(__xludf.DUMMYFUNCTION("IF(OR(CL28&gt;$BS28+$BT28*$BT$2,CL28&lt;$BS28-$BT28*$BT$2),AVEDEV(ARRAYFORMULA(XLOOKUP(FILTER(INDIRECT(""'""&amp;CL$1&amp;""'!$C$4:$C$66""),INDIRECT(""'""&amp;CL$1&amp;""'!$D$4:$D$66"")=CL$2),$G$3:$BQ$3,$G28:$BQ28))),"""")"),"")</f>
        <v/>
      </c>
      <c r="CN28" s="251">
        <f>IFERROR(__xludf.DUMMYFUNCTION("AVERAGE(ARRAYFORMULA(XLOOKUP(FILTER(INDIRECT(""'""&amp;CN$1&amp;""'!$C$4:$C$66""),INDIRECT(""'""&amp;CN$1&amp;""'!$D$4:$D$66"")=CN$2),$G$3:$BQ$3,$G28:$BQ28)))"),-0.41409609999999997)</f>
        <v>-0.4140961</v>
      </c>
      <c r="CO28" s="207" t="str">
        <f>IFERROR(__xludf.DUMMYFUNCTION("IF(OR(CN28&gt;$BS28+$BT28*$BT$2,CN28&lt;$BS28-$BT28*$BT$2),AVEDEV(ARRAYFORMULA(XLOOKUP(FILTER(INDIRECT(""'""&amp;CN$1&amp;""'!$C$4:$C$66""),INDIRECT(""'""&amp;CN$1&amp;""'!$D$4:$D$66"")=CN$2),$G$3:$BQ$3,$G28:$BQ28))),"""")"),"")</f>
        <v/>
      </c>
      <c r="CP28" s="252"/>
      <c r="CQ28" s="251">
        <f>IFERROR(__xludf.DUMMYFUNCTION("AVERAGE(ARRAYFORMULA(XLOOKUP(FILTER(INDIRECT(""'""&amp;CQ$1&amp;""'!$C$4:$C$66""),INDIRECT(""'""&amp;CQ$1&amp;""'!$D$4:$D$66"")=CQ$2),$G$3:$BQ$3,$G28:$BQ28)))"),-0.016814693571428587)</f>
        <v>-0.01681469357</v>
      </c>
      <c r="CR28" s="207" t="str">
        <f>IFERROR(__xludf.DUMMYFUNCTION("IF(OR(CQ28&gt;$BS28+$BT28*$BT$2,CQ28&lt;$BS28-$BT28*$BT$2),AVEDEV(ARRAYFORMULA(XLOOKUP(FILTER(INDIRECT(""'""&amp;CQ$1&amp;""'!$C$4:$C$66""),INDIRECT(""'""&amp;CQ$1&amp;""'!$D$4:$D$66"")=CQ$2),$G$3:$BQ$3,$G28:$BQ28))),"""")"),"")</f>
        <v/>
      </c>
      <c r="CS28" s="251">
        <f>IFERROR(__xludf.DUMMYFUNCTION("AVERAGE(ARRAYFORMULA(XLOOKUP(FILTER(INDIRECT(""'""&amp;CS$1&amp;""'!$C$4:$C$66""),INDIRECT(""'""&amp;CS$1&amp;""'!$D$4:$D$66"")=CS$2),$G$3:$BQ$3,$G28:$BQ28)))"),-0.19466376555555553)</f>
        <v>-0.1946637656</v>
      </c>
      <c r="CT28" s="207" t="str">
        <f>IFERROR(__xludf.DUMMYFUNCTION("IF(OR(CS28&gt;$BS28+$BT28*$BT$2,CS28&lt;$BS28-$BT28*$BT$2),AVEDEV(ARRAYFORMULA(XLOOKUP(FILTER(INDIRECT(""'""&amp;CS$1&amp;""'!$C$4:$C$66""),INDIRECT(""'""&amp;CS$1&amp;""'!$D$4:$D$66"")=CS$2),$G$3:$BQ$3,$G28:$BQ28))),"""")"),"")</f>
        <v/>
      </c>
      <c r="CU28" s="251">
        <f>IFERROR(__xludf.DUMMYFUNCTION("AVERAGE(ARRAYFORMULA(XLOOKUP(FILTER(INDIRECT(""'""&amp;CU$1&amp;""'!$C$4:$C$66""),INDIRECT(""'""&amp;CU$1&amp;""'!$D$4:$D$66"")=CU$2),$G$3:$BQ$3,$G28:$BQ28)))"),0.922253210909091)</f>
        <v>0.9222532109</v>
      </c>
      <c r="CV28" s="207">
        <f>IFERROR(__xludf.DUMMYFUNCTION("IF(OR(CU28&gt;$BS28+$BT28*$BT$2,CU28&lt;$BS28-$BT28*$BT$2),AVEDEV(ARRAYFORMULA(XLOOKUP(FILTER(INDIRECT(""'""&amp;CU$1&amp;""'!$C$4:$C$66""),INDIRECT(""'""&amp;CU$1&amp;""'!$D$4:$D$66"")=CU$2),$G$3:$BQ$3,$G28:$BQ28))),"""")"),0.5598131917355372)</f>
        <v>0.5598131917</v>
      </c>
      <c r="CW28" s="251">
        <f>IFERROR(__xludf.DUMMYFUNCTION("AVERAGE(ARRAYFORMULA(XLOOKUP(FILTER(INDIRECT(""'""&amp;CW$1&amp;""'!$C$4:$C$66""),INDIRECT(""'""&amp;CW$1&amp;""'!$D$4:$D$66"")=CW$2),$G$3:$BQ$3,$G28:$BQ28)))"),-0.36083930000000003)</f>
        <v>-0.3608393</v>
      </c>
      <c r="CX28" s="207" t="str">
        <f>IFERROR(__xludf.DUMMYFUNCTION("IF(OR(CW28&gt;$BS28+$BT28*$BT$2,CW28&lt;$BS28-$BT28*$BT$2),AVEDEV(ARRAYFORMULA(XLOOKUP(FILTER(INDIRECT(""'""&amp;CW$1&amp;""'!$C$4:$C$66""),INDIRECT(""'""&amp;CW$1&amp;""'!$D$4:$D$66"")=CW$2),$G$3:$BQ$3,$G28:$BQ28))),"""")"),"")</f>
        <v/>
      </c>
      <c r="CY28" s="251">
        <f>IFERROR(__xludf.DUMMYFUNCTION("AVERAGE(ARRAYFORMULA(XLOOKUP(FILTER(INDIRECT(""'""&amp;CY$1&amp;""'!$C$4:$C$66""),INDIRECT(""'""&amp;CY$1&amp;""'!$D$4:$D$66"")=CY$2),$G$3:$BQ$3,$G28:$BQ28)))"),-0.07985946999999997)</f>
        <v>-0.07985947</v>
      </c>
      <c r="CZ28" s="207" t="str">
        <f>IFERROR(__xludf.DUMMYFUNCTION("IF(OR(CY28&gt;$BS28+$BT28*$BT$2,CY28&lt;$BS28-$BT28*$BT$2),AVEDEV(ARRAYFORMULA(XLOOKUP(FILTER(INDIRECT(""'""&amp;CY$1&amp;""'!$C$4:$C$66""),INDIRECT(""'""&amp;CY$1&amp;""'!$D$4:$D$66"")=CY$2),$G$3:$BQ$3,$G28:$BQ28))),"""")"),"")</f>
        <v/>
      </c>
      <c r="DA28" s="252"/>
      <c r="DB28" s="251">
        <f>IFERROR(__xludf.DUMMYFUNCTION("AVERAGE(ARRAYFORMULA(XLOOKUP(FILTER(INDIRECT(""'""&amp;DB$1&amp;""'!$C$4:$C$66""),INDIRECT(""'""&amp;DB$1&amp;""'!$D$4:$D$66"")=DB$2),$G$3:$BQ$3,$G28:$BQ28)))"),0.218656755)</f>
        <v>0.218656755</v>
      </c>
      <c r="DC28" s="207" t="str">
        <f>IFERROR(__xludf.DUMMYFUNCTION("IF(OR(DB28&gt;$BS28+$BT28*$BT$2,DB28&lt;$BS28-$BT28*$BT$2),AVEDEV(ARRAYFORMULA(XLOOKUP(FILTER(INDIRECT(""'""&amp;DB$1&amp;""'!$C$4:$C$66""),INDIRECT(""'""&amp;DB$1&amp;""'!$D$4:$D$66"")=DB$2),$G$3:$BQ$3,$G28:$BQ28))),"""")"),"")</f>
        <v/>
      </c>
      <c r="DD28" s="251">
        <f>IFERROR(__xludf.DUMMYFUNCTION("AVERAGE(ARRAYFORMULA(XLOOKUP(FILTER(INDIRECT(""'""&amp;DD$1&amp;""'!$C$4:$C$66""),INDIRECT(""'""&amp;DD$1&amp;""'!$D$4:$D$66"")=DD$2),$G$3:$BQ$3,$G28:$BQ28)))"),0.01842325777777779)</f>
        <v>0.01842325778</v>
      </c>
      <c r="DE28" s="207" t="str">
        <f>IFERROR(__xludf.DUMMYFUNCTION("IF(OR(DD28&gt;$BS28+$BT28*$BT$2,DD28&lt;$BS28-$BT28*$BT$2),AVEDEV(ARRAYFORMULA(XLOOKUP(FILTER(INDIRECT(""'""&amp;DD$1&amp;""'!$C$4:$C$66""),INDIRECT(""'""&amp;DD$1&amp;""'!$D$4:$D$66"")=DD$2),$G$3:$BQ$3,$G28:$BQ28))),"""")"),"")</f>
        <v/>
      </c>
      <c r="DF28" s="251">
        <f>IFERROR(__xludf.DUMMYFUNCTION("AVERAGE(ARRAYFORMULA(XLOOKUP(FILTER(INDIRECT(""'""&amp;DF$1&amp;""'!$C$4:$C$66""),INDIRECT(""'""&amp;DF$1&amp;""'!$D$4:$D$66"")=DF$2),$G$3:$BQ$3,$G28:$BQ28)))"),0.57536866)</f>
        <v>0.57536866</v>
      </c>
      <c r="DG28" s="207" t="str">
        <f>IFERROR(__xludf.DUMMYFUNCTION("IF(OR(DF28&gt;$BS28+$BT28*$BT$2,DF28&lt;$BS28-$BT28*$BT$2),AVEDEV(ARRAYFORMULA(XLOOKUP(FILTER(INDIRECT(""'""&amp;DF$1&amp;""'!$C$4:$C$66""),INDIRECT(""'""&amp;DF$1&amp;""'!$D$4:$D$66"")=DF$2),$G$3:$BQ$3,$G28:$BQ28))),"""")"),"")</f>
        <v/>
      </c>
      <c r="DH28" s="251">
        <f>IFERROR(__xludf.DUMMYFUNCTION("AVERAGE(ARRAYFORMULA(XLOOKUP(FILTER(INDIRECT(""'""&amp;DH$1&amp;""'!$C$4:$C$66""),INDIRECT(""'""&amp;DH$1&amp;""'!$D$4:$D$66"")=DH$2),$G$3:$BQ$3,$G28:$BQ28)))"),0.19313197222222223)</f>
        <v>0.1931319722</v>
      </c>
      <c r="DI28" s="207" t="str">
        <f>IFERROR(__xludf.DUMMYFUNCTION("IF(OR(DH28&gt;$BS28+$BT28*$BT$2,DH28&lt;$BS28-$BT28*$BT$2),AVEDEV(ARRAYFORMULA(XLOOKUP(FILTER(INDIRECT(""'""&amp;DH$1&amp;""'!$C$4:$C$66""),INDIRECT(""'""&amp;DH$1&amp;""'!$D$4:$D$66"")=DH$2),$G$3:$BQ$3,$G28:$BQ28))),"""")"),"")</f>
        <v/>
      </c>
      <c r="DJ28" s="243"/>
    </row>
    <row r="29">
      <c r="A29" s="2"/>
      <c r="B29" s="204">
        <v>25.0</v>
      </c>
      <c r="C29" s="204" t="s">
        <v>442</v>
      </c>
      <c r="D29" s="204" t="s">
        <v>468</v>
      </c>
      <c r="E29" s="205" t="b">
        <f>VLOOKUP(D29,'Feature Set List'!A26:C246,2,0)</f>
        <v>1</v>
      </c>
      <c r="F29" s="205" t="b">
        <f>VLOOKUP(D29,'Feature Set List'!A26:C246,3,0)</f>
        <v>1</v>
      </c>
      <c r="G29" s="205">
        <v>-0.4952603</v>
      </c>
      <c r="H29" s="205">
        <v>0.25555668</v>
      </c>
      <c r="I29" s="205">
        <v>2.29452958</v>
      </c>
      <c r="J29" s="205">
        <v>-1.1856287</v>
      </c>
      <c r="K29" s="205">
        <v>0.32720999</v>
      </c>
      <c r="L29" s="205">
        <v>0.57566223</v>
      </c>
      <c r="M29" s="205">
        <v>-1.5331371</v>
      </c>
      <c r="N29" s="205">
        <v>-0.6645692</v>
      </c>
      <c r="O29" s="205">
        <v>3.33177712</v>
      </c>
      <c r="P29" s="205">
        <v>0.03876992</v>
      </c>
      <c r="Q29" s="205">
        <v>0.67126763</v>
      </c>
      <c r="R29" s="205">
        <v>-0.3410332</v>
      </c>
      <c r="S29" s="205">
        <v>2.05297879</v>
      </c>
      <c r="T29" s="205">
        <v>1.32528164</v>
      </c>
      <c r="U29" s="205">
        <v>-0.4424663</v>
      </c>
      <c r="V29" s="205">
        <v>0.24845225</v>
      </c>
      <c r="W29" s="205">
        <v>-1.8680605</v>
      </c>
      <c r="X29" s="205">
        <v>4.34872628</v>
      </c>
      <c r="Y29" s="205">
        <v>-0.4420786</v>
      </c>
      <c r="Z29" s="205">
        <v>0.07185629</v>
      </c>
      <c r="AA29" s="205">
        <v>-0.679793</v>
      </c>
      <c r="AB29" s="205">
        <v>0.74982239</v>
      </c>
      <c r="AC29" s="205">
        <v>0.0</v>
      </c>
      <c r="AD29" s="205">
        <v>-0.5749315</v>
      </c>
      <c r="AE29" s="205">
        <v>0.98223891</v>
      </c>
      <c r="AF29" s="205">
        <v>0.32518015</v>
      </c>
      <c r="AG29" s="205">
        <v>0.58012788</v>
      </c>
      <c r="AH29" s="205">
        <v>-0.1481782</v>
      </c>
      <c r="AI29" s="205">
        <v>0.2667208</v>
      </c>
      <c r="AJ29" s="205">
        <v>-2.3201056</v>
      </c>
      <c r="AK29" s="205">
        <v>-0.1991272</v>
      </c>
      <c r="AL29" s="205">
        <v>0.33289353</v>
      </c>
      <c r="AM29" s="205">
        <v>-2.3966305</v>
      </c>
      <c r="AN29" s="205">
        <v>-1.3147265</v>
      </c>
      <c r="AO29" s="205">
        <v>0.14980209</v>
      </c>
      <c r="AP29" s="205">
        <v>-0.2304882</v>
      </c>
      <c r="AQ29" s="205">
        <v>0.73662844</v>
      </c>
      <c r="AR29" s="205">
        <v>0.01339693</v>
      </c>
      <c r="AS29" s="205">
        <v>-0.0332894</v>
      </c>
      <c r="AT29" s="205">
        <v>-1.4076931</v>
      </c>
      <c r="AU29" s="205">
        <v>0.07733685</v>
      </c>
      <c r="AV29" s="205">
        <v>0.73784634</v>
      </c>
      <c r="AW29" s="205">
        <v>0.47721506</v>
      </c>
      <c r="AX29" s="205">
        <v>-1.8400487</v>
      </c>
      <c r="AY29" s="205">
        <v>0.0641429</v>
      </c>
      <c r="AZ29" s="205">
        <v>-1.5079671</v>
      </c>
      <c r="BA29" s="205">
        <v>0.00385669</v>
      </c>
      <c r="BB29" s="205">
        <v>2.61524409</v>
      </c>
      <c r="BC29" s="205">
        <v>-0.3135492</v>
      </c>
      <c r="BD29" s="205">
        <v>0.13721709</v>
      </c>
      <c r="BE29" s="205">
        <v>3.81690856</v>
      </c>
      <c r="BF29" s="205">
        <v>-1.8804425</v>
      </c>
      <c r="BG29" s="205">
        <v>-0.1122501</v>
      </c>
      <c r="BH29" s="205">
        <v>-0.5472242</v>
      </c>
      <c r="BI29" s="205">
        <v>-2.8957678</v>
      </c>
      <c r="BJ29" s="205">
        <v>-1.4878717</v>
      </c>
      <c r="BK29" s="205">
        <v>0.00913427</v>
      </c>
      <c r="BL29" s="205">
        <v>0.17273927</v>
      </c>
      <c r="BM29" s="205">
        <v>-1.1149904</v>
      </c>
      <c r="BN29" s="205">
        <v>-0.704963</v>
      </c>
      <c r="BO29" s="205">
        <v>-0.6753273</v>
      </c>
      <c r="BP29" s="205">
        <v>-0.1918198</v>
      </c>
      <c r="BQ29" s="205">
        <v>-0.2157718</v>
      </c>
      <c r="BR29" s="206"/>
      <c r="BS29" s="250">
        <f t="shared" si="1"/>
        <v>-0.03134396921</v>
      </c>
      <c r="BT29" s="250">
        <f t="shared" si="2"/>
        <v>0.914080243</v>
      </c>
      <c r="BU29" s="206"/>
      <c r="BV29" s="207">
        <f>IFERROR(__xludf.DUMMYFUNCTION("AVERAGE(ARRAYFORMULA(XLOOKUP(FILTER(INDIRECT(""'""&amp;BV$1&amp;""'!$C$4:$C$66""),INDIRECT(""'""&amp;BV$1&amp;""'!$D$4:$D$66"")=BV$2),$G$3:$BQ$3,$G29:$BQ29)))"),1.5321566985714286)</f>
        <v>1.532156699</v>
      </c>
      <c r="BW29" s="207">
        <f>IFERROR(__xludf.DUMMYFUNCTION("IF(OR(BV29&gt;$BS29+$BT29*$BT$2,BV29&lt;$BS29-$BT29*$BT$2),AVEDEV(ARRAYFORMULA(XLOOKUP(FILTER(INDIRECT(""'""&amp;BV$1&amp;""'!$C$4:$C$66""),INDIRECT(""'""&amp;BV$1&amp;""'!$D$4:$D$66"")=BV$2),$G$3:$BQ$3,$G29:$BQ29))),"""")"),1.766973952653061)</f>
        <v>1.766973953</v>
      </c>
      <c r="BX29" s="207">
        <f>IFERROR(__xludf.DUMMYFUNCTION("AVERAGE(ARRAYFORMULA(XLOOKUP(FILTER(INDIRECT(""'""&amp;BX$1&amp;""'!$C$4:$C$66""),INDIRECT(""'""&amp;BX$1&amp;""'!$D$4:$D$66"")=BX$2),$G$3:$BQ$3,$G29:$BQ29)))"),-0.25038350238095236)</f>
        <v>-0.2503835024</v>
      </c>
      <c r="BY29" s="207" t="str">
        <f>IFERROR(__xludf.DUMMYFUNCTION("IF(OR(BX29&gt;$BS29+$BT29*$BT$2,BX29&lt;$BS29-$BT29*$BT$2),AVEDEV(ARRAYFORMULA(XLOOKUP(FILTER(INDIRECT(""'""&amp;BX$1&amp;""'!$C$4:$C$66""),INDIRECT(""'""&amp;BX$1&amp;""'!$D$4:$D$66"")=BX$2),$G$3:$BQ$3,$G29:$BQ29))),"""")"),"")</f>
        <v/>
      </c>
      <c r="BZ29" s="207">
        <f>IFERROR(__xludf.DUMMYFUNCTION("AVERAGE(ARRAYFORMULA(XLOOKUP(FILTER(INDIRECT(""'""&amp;BZ$1&amp;""'!$C$4:$C$66""),INDIRECT(""'""&amp;BZ$1&amp;""'!$D$4:$D$66"")=BZ$2),$G$3:$BQ$3,$G29:$BQ29)))"),-0.42661303363636366)</f>
        <v>-0.4266130336</v>
      </c>
      <c r="CA29" s="207" t="str">
        <f>IFERROR(__xludf.DUMMYFUNCTION("IF(OR(BZ29&gt;$BS29+$BT29*$BT$2,BZ29&lt;$BS29-$BT29*$BT$2),AVEDEV(ARRAYFORMULA(XLOOKUP(FILTER(INDIRECT(""'""&amp;BZ$1&amp;""'!$C$4:$C$66""),INDIRECT(""'""&amp;BZ$1&amp;""'!$D$4:$D$66"")=BZ$2),$G$3:$BQ$3,$G29:$BQ29))),"""")"),"")</f>
        <v/>
      </c>
      <c r="CB29" s="209"/>
      <c r="CC29" s="207">
        <f>IFERROR(__xludf.DUMMYFUNCTION("AVERAGE(ARRAYFORMULA(XLOOKUP(FILTER(INDIRECT(""'""&amp;CC$1&amp;""'!$C$4:$C$66""),INDIRECT(""'""&amp;CC$1&amp;""'!$D$4:$D$66"")=CC$2),$G$3:$BQ$3,$G29:$BQ29)))"),0.029936181250000027)</f>
        <v>0.02993618125</v>
      </c>
      <c r="CD29" s="207" t="str">
        <f>IFERROR(__xludf.DUMMYFUNCTION("IF(OR(CC29&gt;$BS29+$BT29*$BT$2,CC29&lt;$BS29-$BT29*$BT$2),AVEDEV(ARRAYFORMULA(XLOOKUP(FILTER(INDIRECT(""'""&amp;CC$1&amp;""'!$C$4:$C$66""),INDIRECT(""'""&amp;CC$1&amp;""'!$D$4:$D$66"")=CC$2),$G$3:$BQ$3,$G29:$BQ29))),"""")"),"")</f>
        <v/>
      </c>
      <c r="CE29" s="207">
        <f>IFERROR(__xludf.DUMMYFUNCTION("AVERAGE(ARRAYFORMULA(XLOOKUP(FILTER(INDIRECT(""'""&amp;CE$1&amp;""'!$C$4:$C$66""),INDIRECT(""'""&amp;CE$1&amp;""'!$D$4:$D$66"")=CE$2),$G$3:$BQ$3,$G29:$BQ29)))"),-0.21755287419354838)</f>
        <v>-0.2175528742</v>
      </c>
      <c r="CF29" s="207" t="str">
        <f>IFERROR(__xludf.DUMMYFUNCTION("IF(OR(CE29&gt;$BS29+$BT29*$BT$2,CE29&lt;$BS29-$BT29*$BT$2),AVEDEV(ARRAYFORMULA(XLOOKUP(FILTER(INDIRECT(""'""&amp;CE$1&amp;""'!$C$4:$C$66""),INDIRECT(""'""&amp;CE$1&amp;""'!$D$4:$D$66"")=CE$2),$G$3:$BQ$3,$G29:$BQ29))),"""")"),"")</f>
        <v/>
      </c>
      <c r="CG29" s="207">
        <f>IFERROR(__xludf.DUMMYFUNCTION("AVERAGE(ARRAYFORMULA(XLOOKUP(FILTER(INDIRECT(""'""&amp;CG$1&amp;""'!$C$4:$C$66""),INDIRECT(""'""&amp;CG$1&amp;""'!$D$4:$D$66"")=CG$2),$G$3:$BQ$3,$G29:$BQ29)))"),0.24447375)</f>
        <v>0.24447375</v>
      </c>
      <c r="CH29" s="207" t="str">
        <f>IFERROR(__xludf.DUMMYFUNCTION("IF(OR(CG29&gt;$BS29+$BT29*$BT$2,CG29&lt;$BS29-$BT29*$BT$2),AVEDEV(ARRAYFORMULA(XLOOKUP(FILTER(INDIRECT(""'""&amp;CG$1&amp;""'!$C$4:$C$66""),INDIRECT(""'""&amp;CG$1&amp;""'!$D$4:$D$66"")=CG$2),$G$3:$BQ$3,$G29:$BQ29))),"""")"),"")</f>
        <v/>
      </c>
      <c r="CI29" s="206"/>
      <c r="CJ29" s="251">
        <f>IFERROR(__xludf.DUMMYFUNCTION("AVERAGE(ARRAYFORMULA(XLOOKUP(FILTER(INDIRECT(""'""&amp;CJ$1&amp;""'!$C$4:$C$66""),INDIRECT(""'""&amp;CJ$1&amp;""'!$D$4:$D$66"")=CJ$2),$G$3:$BQ$3,$G29:$BQ29)))"),0.4295055886666666)</f>
        <v>0.4295055887</v>
      </c>
      <c r="CK29" s="207" t="str">
        <f>IFERROR(__xludf.DUMMYFUNCTION("IF(OR(CJ29&gt;$BS29+$BT29*$BT$2,CJ29&lt;$BS29-$BT29*$BT$2),AVEDEV(ARRAYFORMULA(XLOOKUP(FILTER(INDIRECT(""'""&amp;CJ$1&amp;""'!$C$4:$C$66""),INDIRECT(""'""&amp;CJ$1&amp;""'!$D$4:$D$66"")=CJ$2),$G$3:$BQ$3,$G29:$BQ29))),"""")"),"")</f>
        <v/>
      </c>
      <c r="CL29" s="251">
        <f>IFERROR(__xludf.DUMMYFUNCTION("AVERAGE(ARRAYFORMULA(XLOOKUP(FILTER(INDIRECT(""'""&amp;CL$1&amp;""'!$C$4:$C$66""),INDIRECT(""'""&amp;CL$1&amp;""'!$D$4:$D$66"")=CL$2),$G$3:$BQ$3,$G29:$BQ29)))"),-0.31593449820512826)</f>
        <v>-0.3159344982</v>
      </c>
      <c r="CM29" s="207" t="str">
        <f>IFERROR(__xludf.DUMMYFUNCTION("IF(OR(CL29&gt;$BS29+$BT29*$BT$2,CL29&lt;$BS29-$BT29*$BT$2),AVEDEV(ARRAYFORMULA(XLOOKUP(FILTER(INDIRECT(""'""&amp;CL$1&amp;""'!$C$4:$C$66""),INDIRECT(""'""&amp;CL$1&amp;""'!$D$4:$D$66"")=CL$2),$G$3:$BQ$3,$G29:$BQ29))),"""")"),"")</f>
        <v/>
      </c>
      <c r="CN29" s="251">
        <f>IFERROR(__xludf.DUMMYFUNCTION("AVERAGE(ARRAYFORMULA(XLOOKUP(FILTER(INDIRECT(""'""&amp;CN$1&amp;""'!$C$4:$C$66""),INDIRECT(""'""&amp;CN$1&amp;""'!$D$4:$D$66"")=CN$2),$G$3:$BQ$3,$G29:$BQ29)))"),0.24447375)</f>
        <v>0.24447375</v>
      </c>
      <c r="CO29" s="207" t="str">
        <f>IFERROR(__xludf.DUMMYFUNCTION("IF(OR(CN29&gt;$BS29+$BT29*$BT$2,CN29&lt;$BS29-$BT29*$BT$2),AVEDEV(ARRAYFORMULA(XLOOKUP(FILTER(INDIRECT(""'""&amp;CN$1&amp;""'!$C$4:$C$66""),INDIRECT(""'""&amp;CN$1&amp;""'!$D$4:$D$66"")=CN$2),$G$3:$BQ$3,$G29:$BQ29))),"""")"),"")</f>
        <v/>
      </c>
      <c r="CP29" s="252"/>
      <c r="CQ29" s="251">
        <f>IFERROR(__xludf.DUMMYFUNCTION("AVERAGE(ARRAYFORMULA(XLOOKUP(FILTER(INDIRECT(""'""&amp;CQ$1&amp;""'!$C$4:$C$66""),INDIRECT(""'""&amp;CQ$1&amp;""'!$D$4:$D$66"")=CQ$2),$G$3:$BQ$3,$G29:$BQ29)))"),-0.019377712857142897)</f>
        <v>-0.01937771286</v>
      </c>
      <c r="CR29" s="207" t="str">
        <f>IFERROR(__xludf.DUMMYFUNCTION("IF(OR(CQ29&gt;$BS29+$BT29*$BT$2,CQ29&lt;$BS29-$BT29*$BT$2),AVEDEV(ARRAYFORMULA(XLOOKUP(FILTER(INDIRECT(""'""&amp;CQ$1&amp;""'!$C$4:$C$66""),INDIRECT(""'""&amp;CQ$1&amp;""'!$D$4:$D$66"")=CQ$2),$G$3:$BQ$3,$G29:$BQ29))),"""")"),"")</f>
        <v/>
      </c>
      <c r="CS29" s="251">
        <f>IFERROR(__xludf.DUMMYFUNCTION("AVERAGE(ARRAYFORMULA(XLOOKUP(FILTER(INDIRECT(""'""&amp;CS$1&amp;""'!$C$4:$C$66""),INDIRECT(""'""&amp;CS$1&amp;""'!$D$4:$D$66"")=CS$2),$G$3:$BQ$3,$G29:$BQ29)))"),-0.22997620777777772)</f>
        <v>-0.2299762078</v>
      </c>
      <c r="CT29" s="207" t="str">
        <f>IFERROR(__xludf.DUMMYFUNCTION("IF(OR(CS29&gt;$BS29+$BT29*$BT$2,CS29&lt;$BS29-$BT29*$BT$2),AVEDEV(ARRAYFORMULA(XLOOKUP(FILTER(INDIRECT(""'""&amp;CS$1&amp;""'!$C$4:$C$66""),INDIRECT(""'""&amp;CS$1&amp;""'!$D$4:$D$66"")=CS$2),$G$3:$BQ$3,$G29:$BQ29))),"""")"),"")</f>
        <v/>
      </c>
      <c r="CU29" s="251">
        <f>IFERROR(__xludf.DUMMYFUNCTION("AVERAGE(ARRAYFORMULA(XLOOKUP(FILTER(INDIRECT(""'""&amp;CU$1&amp;""'!$C$4:$C$66""),INDIRECT(""'""&amp;CU$1&amp;""'!$D$4:$D$66"")=CU$2),$G$3:$BQ$3,$G29:$BQ29)))"),-0.30792652545454546)</f>
        <v>-0.3079265255</v>
      </c>
      <c r="CV29" s="207" t="str">
        <f>IFERROR(__xludf.DUMMYFUNCTION("IF(OR(CU29&gt;$BS29+$BT29*$BT$2,CU29&lt;$BS29-$BT29*$BT$2),AVEDEV(ARRAYFORMULA(XLOOKUP(FILTER(INDIRECT(""'""&amp;CU$1&amp;""'!$C$4:$C$66""),INDIRECT(""'""&amp;CU$1&amp;""'!$D$4:$D$66"")=CU$2),$G$3:$BQ$3,$G29:$BQ29))),"""")"),"")</f>
        <v/>
      </c>
      <c r="CW29" s="251">
        <f>IFERROR(__xludf.DUMMYFUNCTION("AVERAGE(ARRAYFORMULA(XLOOKUP(FILTER(INDIRECT(""'""&amp;CW$1&amp;""'!$C$4:$C$66""),INDIRECT(""'""&amp;CW$1&amp;""'!$D$4:$D$66"")=CW$2),$G$3:$BQ$3,$G29:$BQ29)))"),-0.56107785)</f>
        <v>-0.56107785</v>
      </c>
      <c r="CX29" s="207" t="str">
        <f>IFERROR(__xludf.DUMMYFUNCTION("IF(OR(CW29&gt;$BS29+$BT29*$BT$2,CW29&lt;$BS29-$BT29*$BT$2),AVEDEV(ARRAYFORMULA(XLOOKUP(FILTER(INDIRECT(""'""&amp;CW$1&amp;""'!$C$4:$C$66""),INDIRECT(""'""&amp;CW$1&amp;""'!$D$4:$D$66"")=CW$2),$G$3:$BQ$3,$G29:$BQ29))),"""")"),"")</f>
        <v/>
      </c>
      <c r="CY29" s="251">
        <f>IFERROR(__xludf.DUMMYFUNCTION("AVERAGE(ARRAYFORMULA(XLOOKUP(FILTER(INDIRECT(""'""&amp;CY$1&amp;""'!$C$4:$C$66""),INDIRECT(""'""&amp;CY$1&amp;""'!$D$4:$D$66"")=CY$2),$G$3:$BQ$3,$G29:$BQ29)))"),-0.5383828092857144)</f>
        <v>-0.5383828093</v>
      </c>
      <c r="CZ29" s="207" t="str">
        <f>IFERROR(__xludf.DUMMYFUNCTION("IF(OR(CY29&gt;$BS29+$BT29*$BT$2,CY29&lt;$BS29-$BT29*$BT$2),AVEDEV(ARRAYFORMULA(XLOOKUP(FILTER(INDIRECT(""'""&amp;CY$1&amp;""'!$C$4:$C$66""),INDIRECT(""'""&amp;CY$1&amp;""'!$D$4:$D$66"")=CY$2),$G$3:$BQ$3,$G29:$BQ29))),"""")"),"")</f>
        <v/>
      </c>
      <c r="DA29" s="252"/>
      <c r="DB29" s="251">
        <f>IFERROR(__xludf.DUMMYFUNCTION("AVERAGE(ARRAYFORMULA(XLOOKUP(FILTER(INDIRECT(""'""&amp;DB$1&amp;""'!$C$4:$C$66""),INDIRECT(""'""&amp;DB$1&amp;""'!$D$4:$D$66"")=DB$2),$G$3:$BQ$3,$G29:$BQ29)))"),-0.08079569966666665)</f>
        <v>-0.08079569967</v>
      </c>
      <c r="DC29" s="207" t="str">
        <f>IFERROR(__xludf.DUMMYFUNCTION("IF(OR(DB29&gt;$BS29+$BT29*$BT$2,DB29&lt;$BS29-$BT29*$BT$2),AVEDEV(ARRAYFORMULA(XLOOKUP(FILTER(INDIRECT(""'""&amp;DB$1&amp;""'!$C$4:$C$66""),INDIRECT(""'""&amp;DB$1&amp;""'!$D$4:$D$66"")=DB$2),$G$3:$BQ$3,$G29:$BQ29))),"""")"),"")</f>
        <v/>
      </c>
      <c r="DD29" s="251">
        <f>IFERROR(__xludf.DUMMYFUNCTION("AVERAGE(ARRAYFORMULA(XLOOKUP(FILTER(INDIRECT(""'""&amp;DD$1&amp;""'!$C$4:$C$66""),INDIRECT(""'""&amp;DD$1&amp;""'!$D$4:$D$66"")=DD$2),$G$3:$BQ$3,$G29:$BQ29)))"),-0.25889238666666664)</f>
        <v>-0.2588923867</v>
      </c>
      <c r="DE29" s="207" t="str">
        <f>IFERROR(__xludf.DUMMYFUNCTION("IF(OR(DD29&gt;$BS29+$BT29*$BT$2,DD29&lt;$BS29-$BT29*$BT$2),AVEDEV(ARRAYFORMULA(XLOOKUP(FILTER(INDIRECT(""'""&amp;DD$1&amp;""'!$C$4:$C$66""),INDIRECT(""'""&amp;DD$1&amp;""'!$D$4:$D$66"")=DD$2),$G$3:$BQ$3,$G29:$BQ29))),"""")"),"")</f>
        <v/>
      </c>
      <c r="DF29" s="251">
        <f>IFERROR(__xludf.DUMMYFUNCTION("AVERAGE(ARRAYFORMULA(XLOOKUP(FILTER(INDIRECT(""'""&amp;DF$1&amp;""'!$C$4:$C$66""),INDIRECT(""'""&amp;DF$1&amp;""'!$D$4:$D$66"")=DF$2),$G$3:$BQ$3,$G29:$BQ29)))"),0.019691701249999916)</f>
        <v>0.01969170125</v>
      </c>
      <c r="DG29" s="207" t="str">
        <f>IFERROR(__xludf.DUMMYFUNCTION("IF(OR(DF29&gt;$BS29+$BT29*$BT$2,DF29&lt;$BS29-$BT29*$BT$2),AVEDEV(ARRAYFORMULA(XLOOKUP(FILTER(INDIRECT(""'""&amp;DF$1&amp;""'!$C$4:$C$66""),INDIRECT(""'""&amp;DF$1&amp;""'!$D$4:$D$66"")=DF$2),$G$3:$BQ$3,$G29:$BQ29))),"""")"),"")</f>
        <v/>
      </c>
      <c r="DH29" s="251">
        <f>IFERROR(__xludf.DUMMYFUNCTION("AVERAGE(ARRAYFORMULA(XLOOKUP(FILTER(INDIRECT(""'""&amp;DH$1&amp;""'!$C$4:$C$66""),INDIRECT(""'""&amp;DH$1&amp;""'!$D$4:$D$66"")=DH$2),$G$3:$BQ$3,$G29:$BQ29)))"),-0.5080054766666666)</f>
        <v>-0.5080054767</v>
      </c>
      <c r="DI29" s="207" t="str">
        <f>IFERROR(__xludf.DUMMYFUNCTION("IF(OR(DH29&gt;$BS29+$BT29*$BT$2,DH29&lt;$BS29-$BT29*$BT$2),AVEDEV(ARRAYFORMULA(XLOOKUP(FILTER(INDIRECT(""'""&amp;DH$1&amp;""'!$C$4:$C$66""),INDIRECT(""'""&amp;DH$1&amp;""'!$D$4:$D$66"")=DH$2),$G$3:$BQ$3,$G29:$BQ29))),"""")"),"")</f>
        <v/>
      </c>
      <c r="DJ29" s="243"/>
    </row>
    <row r="30">
      <c r="A30" s="2"/>
      <c r="B30" s="204">
        <v>26.0</v>
      </c>
      <c r="C30" s="204" t="s">
        <v>442</v>
      </c>
      <c r="D30" s="204" t="s">
        <v>469</v>
      </c>
      <c r="E30" s="205" t="b">
        <f>VLOOKUP(D30,'Feature Set List'!A27:C246,2,0)</f>
        <v>1</v>
      </c>
      <c r="F30" s="205" t="b">
        <f>VLOOKUP(D30,'Feature Set List'!A27:C246,3,0)</f>
        <v>1</v>
      </c>
      <c r="G30" s="205">
        <v>-0.2914848</v>
      </c>
      <c r="H30" s="205">
        <v>0.56329245</v>
      </c>
      <c r="I30" s="205">
        <v>-0.1387792</v>
      </c>
      <c r="J30" s="205">
        <v>-0.4216587</v>
      </c>
      <c r="K30" s="205">
        <v>0.51202106</v>
      </c>
      <c r="L30" s="205">
        <v>-1.6767131</v>
      </c>
      <c r="M30" s="205">
        <v>0.17806416</v>
      </c>
      <c r="N30" s="205">
        <v>-0.9149865</v>
      </c>
      <c r="O30" s="205">
        <v>0.55567103</v>
      </c>
      <c r="P30" s="205">
        <v>0.76768517</v>
      </c>
      <c r="Q30" s="205">
        <v>-0.759648</v>
      </c>
      <c r="R30" s="205">
        <v>-0.0721264</v>
      </c>
      <c r="S30" s="205">
        <v>-0.333271</v>
      </c>
      <c r="T30" s="205">
        <v>0.0</v>
      </c>
      <c r="U30" s="205">
        <v>0.01170928</v>
      </c>
      <c r="V30" s="205">
        <v>-1.4349061</v>
      </c>
      <c r="W30" s="205">
        <v>0.63812097</v>
      </c>
      <c r="X30" s="205">
        <v>0.44550682</v>
      </c>
      <c r="Y30" s="205">
        <v>-0.5725074</v>
      </c>
      <c r="Z30" s="205">
        <v>0.27617266</v>
      </c>
      <c r="AA30" s="205">
        <v>-0.5829696</v>
      </c>
      <c r="AB30" s="205">
        <v>0.49469965</v>
      </c>
      <c r="AC30" s="205">
        <v>-0.9055636</v>
      </c>
      <c r="AD30" s="205">
        <v>0.46421395</v>
      </c>
      <c r="AE30" s="205">
        <v>0.36652117</v>
      </c>
      <c r="AF30" s="205">
        <v>-1.6372203</v>
      </c>
      <c r="AG30" s="205">
        <v>0.13877919</v>
      </c>
      <c r="AH30" s="205">
        <v>0.09748493</v>
      </c>
      <c r="AI30" s="205">
        <v>-1.3586919</v>
      </c>
      <c r="AJ30" s="205">
        <v>-0.2510912</v>
      </c>
      <c r="AK30" s="205">
        <v>0.46906395</v>
      </c>
      <c r="AL30" s="205">
        <v>-1.1251992</v>
      </c>
      <c r="AM30" s="205">
        <v>0.80579228</v>
      </c>
      <c r="AN30" s="205">
        <v>-0.0797478</v>
      </c>
      <c r="AO30" s="205">
        <v>-1.2658491</v>
      </c>
      <c r="AP30" s="205">
        <v>0.58269244</v>
      </c>
      <c r="AQ30" s="205">
        <v>-0.4013857</v>
      </c>
      <c r="AR30" s="205">
        <v>-0.4484168</v>
      </c>
      <c r="AS30" s="205">
        <v>0.26841267</v>
      </c>
      <c r="AT30" s="205">
        <v>-0.4056537</v>
      </c>
      <c r="AU30" s="205">
        <v>0.50578535</v>
      </c>
      <c r="AV30" s="205">
        <v>-1.9233701</v>
      </c>
      <c r="AW30" s="205">
        <v>0.6824638</v>
      </c>
      <c r="AX30" s="205">
        <v>0.40809257</v>
      </c>
      <c r="AY30" s="205">
        <v>0.33811404</v>
      </c>
      <c r="AZ30" s="205">
        <v>0.69216379</v>
      </c>
      <c r="BA30" s="205">
        <v>-0.9146401</v>
      </c>
      <c r="BB30" s="205">
        <v>-0.3878196</v>
      </c>
      <c r="BC30" s="205">
        <v>-9.7E-4</v>
      </c>
      <c r="BD30" s="205">
        <v>0.10545278</v>
      </c>
      <c r="BE30" s="205">
        <v>0.9332779</v>
      </c>
      <c r="BF30" s="205">
        <v>-0.5836624</v>
      </c>
      <c r="BG30" s="205">
        <v>-0.8055151</v>
      </c>
      <c r="BH30" s="205">
        <v>0.50578535</v>
      </c>
      <c r="BI30" s="205">
        <v>0.31483406</v>
      </c>
      <c r="BJ30" s="205">
        <v>0.05397353</v>
      </c>
      <c r="BK30" s="205">
        <v>0.33949976</v>
      </c>
      <c r="BL30" s="205">
        <v>-0.5177718</v>
      </c>
      <c r="BM30" s="205">
        <v>0.85152082</v>
      </c>
      <c r="BN30" s="205">
        <v>-0.2843484</v>
      </c>
      <c r="BO30" s="205">
        <v>-0.3619719</v>
      </c>
      <c r="BP30" s="205">
        <v>0.25919767</v>
      </c>
      <c r="BQ30" s="205">
        <v>-0.9005751</v>
      </c>
      <c r="BR30" s="206"/>
      <c r="BS30" s="250">
        <f t="shared" si="1"/>
        <v>-0.1290864976</v>
      </c>
      <c r="BT30" s="250">
        <f t="shared" si="2"/>
        <v>0.571150745</v>
      </c>
      <c r="BU30" s="206"/>
      <c r="BV30" s="207">
        <f>IFERROR(__xludf.DUMMYFUNCTION("AVERAGE(ARRAYFORMULA(XLOOKUP(FILTER(INDIRECT(""'""&amp;BV$1&amp;""'!$C$4:$C$66""),INDIRECT(""'""&amp;BV$1&amp;""'!$D$4:$D$66"")=BV$2),$G$3:$BQ$3,$G30:$BQ30)))"),-0.06326178000000003)</f>
        <v>-0.06326178</v>
      </c>
      <c r="BW30" s="207" t="str">
        <f>IFERROR(__xludf.DUMMYFUNCTION("IF(OR(BV30&gt;$BS30+$BT30*$BT$2,BV30&lt;$BS30-$BT30*$BT$2),AVEDEV(ARRAYFORMULA(XLOOKUP(FILTER(INDIRECT(""'""&amp;BV$1&amp;""'!$C$4:$C$66""),INDIRECT(""'""&amp;BV$1&amp;""'!$D$4:$D$66"")=BV$2),$G$3:$BQ$3,$G30:$BQ30))),"""")"),"")</f>
        <v/>
      </c>
      <c r="BX30" s="207">
        <f>IFERROR(__xludf.DUMMYFUNCTION("AVERAGE(ARRAYFORMULA(XLOOKUP(FILTER(INDIRECT(""'""&amp;BX$1&amp;""'!$C$4:$C$66""),INDIRECT(""'""&amp;BX$1&amp;""'!$D$4:$D$66"")=BX$2),$G$3:$BQ$3,$G30:$BQ30)))"),-0.1475491673809524)</f>
        <v>-0.1475491674</v>
      </c>
      <c r="BY30" s="207" t="str">
        <f>IFERROR(__xludf.DUMMYFUNCTION("IF(OR(BX30&gt;$BS30+$BT30*$BT$2,BX30&lt;$BS30-$BT30*$BT$2),AVEDEV(ARRAYFORMULA(XLOOKUP(FILTER(INDIRECT(""'""&amp;BX$1&amp;""'!$C$4:$C$66""),INDIRECT(""'""&amp;BX$1&amp;""'!$D$4:$D$66"")=BX$2),$G$3:$BQ$3,$G30:$BQ30))),"""")"),"")</f>
        <v/>
      </c>
      <c r="BZ30" s="207">
        <f>IFERROR(__xludf.DUMMYFUNCTION("AVERAGE(ARRAYFORMULA(XLOOKUP(FILTER(INDIRECT(""'""&amp;BZ$1&amp;""'!$C$4:$C$66""),INDIRECT(""'""&amp;BZ$1&amp;""'!$D$4:$D$66"")=BZ$2),$G$3:$BQ$3,$G30:$BQ30)))"),-0.17863734454545455)</f>
        <v>-0.1786373445</v>
      </c>
      <c r="CA30" s="207" t="str">
        <f>IFERROR(__xludf.DUMMYFUNCTION("IF(OR(BZ30&gt;$BS30+$BT30*$BT$2,BZ30&lt;$BS30-$BT30*$BT$2),AVEDEV(ARRAYFORMULA(XLOOKUP(FILTER(INDIRECT(""'""&amp;BZ$1&amp;""'!$C$4:$C$66""),INDIRECT(""'""&amp;BZ$1&amp;""'!$D$4:$D$66"")=BZ$2),$G$3:$BQ$3,$G30:$BQ30))),"""")"),"")</f>
        <v/>
      </c>
      <c r="CB30" s="209"/>
      <c r="CC30" s="207">
        <f>IFERROR(__xludf.DUMMYFUNCTION("AVERAGE(ARRAYFORMULA(XLOOKUP(FILTER(INDIRECT(""'""&amp;CC$1&amp;""'!$C$4:$C$66""),INDIRECT(""'""&amp;CC$1&amp;""'!$D$4:$D$66"")=CC$2),$G$3:$BQ$3,$G30:$BQ30)))"),-0.16138882875000002)</f>
        <v>-0.1613888288</v>
      </c>
      <c r="CD30" s="207" t="str">
        <f>IFERROR(__xludf.DUMMYFUNCTION("IF(OR(CC30&gt;$BS30+$BT30*$BT$2,CC30&lt;$BS30-$BT30*$BT$2),AVEDEV(ARRAYFORMULA(XLOOKUP(FILTER(INDIRECT(""'""&amp;CC$1&amp;""'!$C$4:$C$66""),INDIRECT(""'""&amp;CC$1&amp;""'!$D$4:$D$66"")=CC$2),$G$3:$BQ$3,$G30:$BQ30))),"""")"),"")</f>
        <v/>
      </c>
      <c r="CE30" s="207">
        <f>IFERROR(__xludf.DUMMYFUNCTION("AVERAGE(ARRAYFORMULA(XLOOKUP(FILTER(INDIRECT(""'""&amp;CE$1&amp;""'!$C$4:$C$66""),INDIRECT(""'""&amp;CE$1&amp;""'!$D$4:$D$66"")=CE$2),$G$3:$BQ$3,$G30:$BQ30)))"),-0.13413727322580643)</f>
        <v>-0.1341372732</v>
      </c>
      <c r="CF30" s="207" t="str">
        <f>IFERROR(__xludf.DUMMYFUNCTION("IF(OR(CE30&gt;$BS30+$BT30*$BT$2,CE30&lt;$BS30-$BT30*$BT$2),AVEDEV(ARRAYFORMULA(XLOOKUP(FILTER(INDIRECT(""'""&amp;CE$1&amp;""'!$C$4:$C$66""),INDIRECT(""'""&amp;CE$1&amp;""'!$D$4:$D$66"")=CE$2),$G$3:$BQ$3,$G30:$BQ30))),"""")"),"")</f>
        <v/>
      </c>
      <c r="CG30" s="207">
        <f>IFERROR(__xludf.DUMMYFUNCTION("AVERAGE(ARRAYFORMULA(XLOOKUP(FILTER(INDIRECT(""'""&amp;CG$1&amp;""'!$C$4:$C$66""),INDIRECT(""'""&amp;CG$1&amp;""'!$D$4:$D$66"")=CG$2),$G$3:$BQ$3,$G30:$BQ30)))"),-0.136811472)</f>
        <v>-0.136811472</v>
      </c>
      <c r="CH30" s="207" t="str">
        <f>IFERROR(__xludf.DUMMYFUNCTION("IF(OR(CG30&gt;$BS30+$BT30*$BT$2,CG30&lt;$BS30-$BT30*$BT$2),AVEDEV(ARRAYFORMULA(XLOOKUP(FILTER(INDIRECT(""'""&amp;CG$1&amp;""'!$C$4:$C$66""),INDIRECT(""'""&amp;CG$1&amp;""'!$D$4:$D$66"")=CG$2),$G$3:$BQ$3,$G30:$BQ30))),"""")"),"")</f>
        <v/>
      </c>
      <c r="CI30" s="206"/>
      <c r="CJ30" s="251">
        <f>IFERROR(__xludf.DUMMYFUNCTION("AVERAGE(ARRAYFORMULA(XLOOKUP(FILTER(INDIRECT(""'""&amp;CJ$1&amp;""'!$C$4:$C$66""),INDIRECT(""'""&amp;CJ$1&amp;""'!$D$4:$D$66"")=CJ$2),$G$3:$BQ$3,$G30:$BQ30)))"),-0.08148243533333334)</f>
        <v>-0.08148243533</v>
      </c>
      <c r="CK30" s="207" t="str">
        <f>IFERROR(__xludf.DUMMYFUNCTION("IF(OR(CJ30&gt;$BS30+$BT30*$BT$2,CJ30&lt;$BS30-$BT30*$BT$2),AVEDEV(ARRAYFORMULA(XLOOKUP(FILTER(INDIRECT(""'""&amp;CJ$1&amp;""'!$C$4:$C$66""),INDIRECT(""'""&amp;CJ$1&amp;""'!$D$4:$D$66"")=CJ$2),$G$3:$BQ$3,$G30:$BQ30))),"""")"),"")</f>
        <v/>
      </c>
      <c r="CL30" s="251">
        <f>IFERROR(__xludf.DUMMYFUNCTION("AVERAGE(ARRAYFORMULA(XLOOKUP(FILTER(INDIRECT(""'""&amp;CL$1&amp;""'!$C$4:$C$66""),INDIRECT(""'""&amp;CL$1&amp;""'!$D$4:$D$66"")=CL$2),$G$3:$BQ$3,$G30:$BQ30)))"),-0.15848314333333335)</f>
        <v>-0.1584831433</v>
      </c>
      <c r="CM30" s="207" t="str">
        <f>IFERROR(__xludf.DUMMYFUNCTION("IF(OR(CL30&gt;$BS30+$BT30*$BT$2,CL30&lt;$BS30-$BT30*$BT$2),AVEDEV(ARRAYFORMULA(XLOOKUP(FILTER(INDIRECT(""'""&amp;CL$1&amp;""'!$C$4:$C$66""),INDIRECT(""'""&amp;CL$1&amp;""'!$D$4:$D$66"")=CL$2),$G$3:$BQ$3,$G30:$BQ30))),"""")"),"")</f>
        <v/>
      </c>
      <c r="CN30" s="253">
        <f>IFERROR(__xludf.DUMMYFUNCTION("AVERAGE(ARRAYFORMULA(XLOOKUP(FILTER(INDIRECT(""'""&amp;CN$1&amp;""'!$C$4:$C$66""),INDIRECT(""'""&amp;CN$1&amp;""'!$D$4:$D$66"")=CN$2),$G$3:$BQ$3,$G30:$BQ30)))"),-0.136811472)</f>
        <v>-0.136811472</v>
      </c>
      <c r="CO30" s="207" t="str">
        <f>IFERROR(__xludf.DUMMYFUNCTION("IF(OR(CN30&gt;$BS30+$BT30*$BT$2,CN30&lt;$BS30-$BT30*$BT$2),AVEDEV(ARRAYFORMULA(XLOOKUP(FILTER(INDIRECT(""'""&amp;CN$1&amp;""'!$C$4:$C$66""),INDIRECT(""'""&amp;CN$1&amp;""'!$D$4:$D$66"")=CN$2),$G$3:$BQ$3,$G30:$BQ30))),"""")"),"")</f>
        <v/>
      </c>
      <c r="CP30" s="252"/>
      <c r="CQ30" s="251">
        <f>IFERROR(__xludf.DUMMYFUNCTION("AVERAGE(ARRAYFORMULA(XLOOKUP(FILTER(INDIRECT(""'""&amp;CQ$1&amp;""'!$C$4:$C$66""),INDIRECT(""'""&amp;CQ$1&amp;""'!$D$4:$D$66"")=CQ$2),$G$3:$BQ$3,$G30:$BQ30)))"),-0.22129841000000003)</f>
        <v>-0.22129841</v>
      </c>
      <c r="CR30" s="207" t="str">
        <f>IFERROR(__xludf.DUMMYFUNCTION("IF(OR(CQ30&gt;$BS30+$BT30*$BT$2,CQ30&lt;$BS30-$BT30*$BT$2),AVEDEV(ARRAYFORMULA(XLOOKUP(FILTER(INDIRECT(""'""&amp;CQ$1&amp;""'!$C$4:$C$66""),INDIRECT(""'""&amp;CQ$1&amp;""'!$D$4:$D$66"")=CQ$2),$G$3:$BQ$3,$G30:$BQ30))),"""")"),"")</f>
        <v/>
      </c>
      <c r="CS30" s="251">
        <f>IFERROR(__xludf.DUMMYFUNCTION("AVERAGE(ARRAYFORMULA(XLOOKUP(FILTER(INDIRECT(""'""&amp;CS$1&amp;""'!$C$4:$C$66""),INDIRECT(""'""&amp;CS$1&amp;""'!$D$4:$D$66"")=CS$2),$G$3:$BQ$3,$G30:$BQ30)))"),-0.38985504444444447)</f>
        <v>-0.3898550444</v>
      </c>
      <c r="CT30" s="207" t="str">
        <f>IFERROR(__xludf.DUMMYFUNCTION("IF(OR(CS30&gt;$BS30+$BT30*$BT$2,CS30&lt;$BS30-$BT30*$BT$2),AVEDEV(ARRAYFORMULA(XLOOKUP(FILTER(INDIRECT(""'""&amp;CS$1&amp;""'!$C$4:$C$66""),INDIRECT(""'""&amp;CS$1&amp;""'!$D$4:$D$66"")=CS$2),$G$3:$BQ$3,$G30:$BQ30))),"""")"),"")</f>
        <v/>
      </c>
      <c r="CU30" s="251">
        <f>IFERROR(__xludf.DUMMYFUNCTION("AVERAGE(ARRAYFORMULA(XLOOKUP(FILTER(INDIRECT(""'""&amp;CU$1&amp;""'!$C$4:$C$66""),INDIRECT(""'""&amp;CU$1&amp;""'!$D$4:$D$66"")=CU$2),$G$3:$BQ$3,$G30:$BQ30)))"),-0.29347039545454545)</f>
        <v>-0.2934703955</v>
      </c>
      <c r="CV30" s="207" t="str">
        <f>IFERROR(__xludf.DUMMYFUNCTION("IF(OR(CU30&gt;$BS30+$BT30*$BT$2,CU30&lt;$BS30-$BT30*$BT$2),AVEDEV(ARRAYFORMULA(XLOOKUP(FILTER(INDIRECT(""'""&amp;CU$1&amp;""'!$C$4:$C$66""),INDIRECT(""'""&amp;CU$1&amp;""'!$D$4:$D$66"")=CU$2),$G$3:$BQ$3,$G30:$BQ30))),"""")"),"")</f>
        <v/>
      </c>
      <c r="CW30" s="251">
        <f>IFERROR(__xludf.DUMMYFUNCTION("AVERAGE(ARRAYFORMULA(XLOOKUP(FILTER(INDIRECT(""'""&amp;CW$1&amp;""'!$C$4:$C$66""),INDIRECT(""'""&amp;CW$1&amp;""'!$D$4:$D$66"")=CW$2),$G$3:$BQ$3,$G30:$BQ30)))"),0.48499965)</f>
        <v>0.48499965</v>
      </c>
      <c r="CX30" s="207">
        <f>IFERROR(__xludf.DUMMYFUNCTION("IF(OR(CW30&gt;$BS30+$BT30*$BT$2,CW30&lt;$BS30-$BT30*$BT$2),AVEDEV(ARRAYFORMULA(XLOOKUP(FILTER(INDIRECT(""'""&amp;CW$1&amp;""'!$C$4:$C$66""),INDIRECT(""'""&amp;CW$1&amp;""'!$D$4:$D$66"")=CW$2),$G$3:$BQ$3,$G30:$BQ30))),"""")"),0.020785700000000018)</f>
        <v>0.0207857</v>
      </c>
      <c r="CY30" s="253">
        <f>IFERROR(__xludf.DUMMYFUNCTION("AVERAGE(ARRAYFORMULA(XLOOKUP(FILTER(INDIRECT(""'""&amp;CY$1&amp;""'!$C$4:$C$66""),INDIRECT(""'""&amp;CY$1&amp;""'!$D$4:$D$66"")=CY$2),$G$3:$BQ$3,$G30:$BQ30)))"),-0.06635587)</f>
        <v>-0.06635587</v>
      </c>
      <c r="CZ30" s="207" t="str">
        <f>IFERROR(__xludf.DUMMYFUNCTION("IF(OR(CY30&gt;$BS30+$BT30*$BT$2,CY30&lt;$BS30-$BT30*$BT$2),AVEDEV(ARRAYFORMULA(XLOOKUP(FILTER(INDIRECT(""'""&amp;CY$1&amp;""'!$C$4:$C$66""),INDIRECT(""'""&amp;CY$1&amp;""'!$D$4:$D$66"")=CY$2),$G$3:$BQ$3,$G30:$BQ30))),"""")"),"")</f>
        <v/>
      </c>
      <c r="DA30" s="252"/>
      <c r="DB30" s="251">
        <f>IFERROR(__xludf.DUMMYFUNCTION("AVERAGE(ARRAYFORMULA(XLOOKUP(FILTER(INDIRECT(""'""&amp;DB$1&amp;""'!$C$4:$C$66""),INDIRECT(""'""&amp;DB$1&amp;""'!$D$4:$D$66"")=DB$2),$G$3:$BQ$3,$G30:$BQ30)))"),-0.155879347)</f>
        <v>-0.155879347</v>
      </c>
      <c r="DC30" s="207" t="str">
        <f>IFERROR(__xludf.DUMMYFUNCTION("IF(OR(DB30&gt;$BS30+$BT30*$BT$2,DB30&lt;$BS30-$BT30*$BT$2),AVEDEV(ARRAYFORMULA(XLOOKUP(FILTER(INDIRECT(""'""&amp;DB$1&amp;""'!$C$4:$C$66""),INDIRECT(""'""&amp;DB$1&amp;""'!$D$4:$D$66"")=DB$2),$G$3:$BQ$3,$G30:$BQ30))),"""")"),"")</f>
        <v/>
      </c>
      <c r="DD30" s="251">
        <f>IFERROR(__xludf.DUMMYFUNCTION("AVERAGE(ARRAYFORMULA(XLOOKUP(FILTER(INDIRECT(""'""&amp;DD$1&amp;""'!$C$4:$C$66""),INDIRECT(""'""&amp;DD$1&amp;""'!$D$4:$D$66"")=DD$2),$G$3:$BQ$3,$G30:$BQ30)))"),-0.2634241088888889)</f>
        <v>-0.2634241089</v>
      </c>
      <c r="DE30" s="207" t="str">
        <f>IFERROR(__xludf.DUMMYFUNCTION("IF(OR(DD30&gt;$BS30+$BT30*$BT$2,DD30&lt;$BS30-$BT30*$BT$2),AVEDEV(ARRAYFORMULA(XLOOKUP(FILTER(INDIRECT(""'""&amp;DD$1&amp;""'!$C$4:$C$66""),INDIRECT(""'""&amp;DD$1&amp;""'!$D$4:$D$66"")=DD$2),$G$3:$BQ$3,$G30:$BQ30))),"""")"),"")</f>
        <v/>
      </c>
      <c r="DF30" s="251">
        <f>IFERROR(__xludf.DUMMYFUNCTION("AVERAGE(ARRAYFORMULA(XLOOKUP(FILTER(INDIRECT(""'""&amp;DF$1&amp;""'!$C$4:$C$66""),INDIRECT(""'""&amp;DF$1&amp;""'!$D$4:$D$66"")=DF$2),$G$3:$BQ$3,$G30:$BQ30)))"),0.044774992500000006)</f>
        <v>0.0447749925</v>
      </c>
      <c r="DG30" s="207" t="str">
        <f>IFERROR(__xludf.DUMMYFUNCTION("IF(OR(DF30&gt;$BS30+$BT30*$BT$2,DF30&lt;$BS30-$BT30*$BT$2),AVEDEV(ARRAYFORMULA(XLOOKUP(FILTER(INDIRECT(""'""&amp;DF$1&amp;""'!$C$4:$C$66""),INDIRECT(""'""&amp;DF$1&amp;""'!$D$4:$D$66"")=DF$2),$G$3:$BQ$3,$G30:$BQ30))),"""")"),"")</f>
        <v/>
      </c>
      <c r="DH30" s="251">
        <f>IFERROR(__xludf.DUMMYFUNCTION("AVERAGE(ARRAYFORMULA(XLOOKUP(FILTER(INDIRECT(""'""&amp;DH$1&amp;""'!$C$4:$C$66""),INDIRECT(""'""&amp;DH$1&amp;""'!$D$4:$D$66"")=DH$2),$G$3:$BQ$3,$G30:$BQ30)))"),-0.014375550000000015)</f>
        <v>-0.01437555</v>
      </c>
      <c r="DI30" s="207" t="str">
        <f>IFERROR(__xludf.DUMMYFUNCTION("IF(OR(DH30&gt;$BS30+$BT30*$BT$2,DH30&lt;$BS30-$BT30*$BT$2),AVEDEV(ARRAYFORMULA(XLOOKUP(FILTER(INDIRECT(""'""&amp;DH$1&amp;""'!$C$4:$C$66""),INDIRECT(""'""&amp;DH$1&amp;""'!$D$4:$D$66"")=DH$2),$G$3:$BQ$3,$G30:$BQ30))),"""")"),"")</f>
        <v/>
      </c>
      <c r="DJ30" s="243"/>
    </row>
    <row r="31">
      <c r="A31" s="2"/>
      <c r="B31" s="204">
        <v>27.0</v>
      </c>
      <c r="C31" s="204" t="s">
        <v>442</v>
      </c>
      <c r="D31" s="204" t="s">
        <v>470</v>
      </c>
      <c r="E31" s="205" t="b">
        <f>VLOOKUP(D31,'Feature Set List'!A28:C246,2,0)</f>
        <v>1</v>
      </c>
      <c r="F31" s="205" t="b">
        <f>VLOOKUP(D31,'Feature Set List'!A28:C246,3,0)</f>
        <v>1</v>
      </c>
      <c r="G31" s="205">
        <v>-1.4276923</v>
      </c>
      <c r="H31" s="205">
        <v>-0.8516923</v>
      </c>
      <c r="I31" s="205">
        <v>-0.8676923</v>
      </c>
      <c r="J31" s="205">
        <v>1.01292308</v>
      </c>
      <c r="K31" s="205">
        <v>4.98953846</v>
      </c>
      <c r="L31" s="205">
        <v>0.36307692</v>
      </c>
      <c r="M31" s="205">
        <v>0.0</v>
      </c>
      <c r="N31" s="205">
        <v>5.744</v>
      </c>
      <c r="O31" s="205">
        <v>0.16984615</v>
      </c>
      <c r="P31" s="205">
        <v>-0.5329231</v>
      </c>
      <c r="Q31" s="205">
        <v>-0.2387692</v>
      </c>
      <c r="R31" s="205">
        <v>0.14276923</v>
      </c>
      <c r="S31" s="205">
        <v>0.82338462</v>
      </c>
      <c r="T31" s="205">
        <v>-0.3089231</v>
      </c>
      <c r="U31" s="205">
        <v>-0.3778462</v>
      </c>
      <c r="V31" s="205">
        <v>0.40369231</v>
      </c>
      <c r="W31" s="205">
        <v>1.24061538</v>
      </c>
      <c r="X31" s="205">
        <v>0.71876923</v>
      </c>
      <c r="Y31" s="205">
        <v>1.75507692</v>
      </c>
      <c r="Z31" s="205">
        <v>-0.3175385</v>
      </c>
      <c r="AA31" s="205">
        <v>-0.8726154</v>
      </c>
      <c r="AB31" s="205">
        <v>0.00615385</v>
      </c>
      <c r="AC31" s="205">
        <v>-0.1070769</v>
      </c>
      <c r="AD31" s="205">
        <v>0.52061538</v>
      </c>
      <c r="AE31" s="205">
        <v>0.22769231</v>
      </c>
      <c r="AF31" s="205">
        <v>0.13538462</v>
      </c>
      <c r="AG31" s="205">
        <v>1.90153846</v>
      </c>
      <c r="AH31" s="205">
        <v>-0.5132308</v>
      </c>
      <c r="AI31" s="205">
        <v>0.11815385</v>
      </c>
      <c r="AJ31" s="205">
        <v>-0.192</v>
      </c>
      <c r="AK31" s="205">
        <v>0.93169231</v>
      </c>
      <c r="AL31" s="205">
        <v>1.29476923</v>
      </c>
      <c r="AM31" s="205">
        <v>-0.3938462</v>
      </c>
      <c r="AN31" s="205">
        <v>-0.3790769</v>
      </c>
      <c r="AO31" s="205">
        <v>1.02523077</v>
      </c>
      <c r="AP31" s="205">
        <v>1.50030769</v>
      </c>
      <c r="AQ31" s="205">
        <v>1.08184615</v>
      </c>
      <c r="AR31" s="205">
        <v>0.32</v>
      </c>
      <c r="AS31" s="205">
        <v>-0.3889231</v>
      </c>
      <c r="AT31" s="205">
        <v>0.33476923</v>
      </c>
      <c r="AU31" s="205">
        <v>-0.1956923</v>
      </c>
      <c r="AV31" s="205">
        <v>-0.4467692</v>
      </c>
      <c r="AW31" s="205">
        <v>-0.2683077</v>
      </c>
      <c r="AX31" s="205">
        <v>0.72615385</v>
      </c>
      <c r="AY31" s="205">
        <v>-0.4972308</v>
      </c>
      <c r="AZ31" s="205">
        <v>-0.4763077</v>
      </c>
      <c r="BA31" s="205">
        <v>-0.2424615</v>
      </c>
      <c r="BB31" s="205">
        <v>-0.7175385</v>
      </c>
      <c r="BC31" s="205">
        <v>-0.2301538</v>
      </c>
      <c r="BD31" s="205">
        <v>0.89230769</v>
      </c>
      <c r="BE31" s="205">
        <v>0.58584615</v>
      </c>
      <c r="BF31" s="205">
        <v>-0.7101538</v>
      </c>
      <c r="BG31" s="205">
        <v>0.95507692</v>
      </c>
      <c r="BH31" s="205">
        <v>-0.0873846</v>
      </c>
      <c r="BI31" s="205">
        <v>0.21292308</v>
      </c>
      <c r="BJ31" s="205">
        <v>-0.2769231</v>
      </c>
      <c r="BK31" s="205">
        <v>0.15630769</v>
      </c>
      <c r="BL31" s="205">
        <v>-0.1895385</v>
      </c>
      <c r="BM31" s="205">
        <v>-0.2769231</v>
      </c>
      <c r="BN31" s="205">
        <v>-0.1132308</v>
      </c>
      <c r="BO31" s="205">
        <v>-1.2073846</v>
      </c>
      <c r="BP31" s="205">
        <v>-0.176</v>
      </c>
      <c r="BQ31" s="205">
        <v>0.33723077</v>
      </c>
      <c r="BR31" s="206"/>
      <c r="BS31" s="250">
        <f t="shared" si="1"/>
        <v>0.2658070794</v>
      </c>
      <c r="BT31" s="250">
        <f t="shared" si="2"/>
        <v>0.7411078951</v>
      </c>
      <c r="BU31" s="206"/>
      <c r="BV31" s="207">
        <f>IFERROR(__xludf.DUMMYFUNCTION("AVERAGE(ARRAYFORMULA(XLOOKUP(FILTER(INDIRECT(""'""&amp;BV$1&amp;""'!$C$4:$C$66""),INDIRECT(""'""&amp;BV$1&amp;""'!$D$4:$D$66"")=BV$2),$G$3:$BQ$3,$G31:$BQ31)))"),0.07824173571428572)</f>
        <v>0.07824173571</v>
      </c>
      <c r="BW31" s="207" t="str">
        <f>IFERROR(__xludf.DUMMYFUNCTION("IF(OR(BV31&gt;$BS31+$BT31*$BT$2,BV31&lt;$BS31-$BT31*$BT$2),AVEDEV(ARRAYFORMULA(XLOOKUP(FILTER(INDIRECT(""'""&amp;BV$1&amp;""'!$C$4:$C$66""),INDIRECT(""'""&amp;BV$1&amp;""'!$D$4:$D$66"")=BV$2),$G$3:$BQ$3,$G31:$BQ31))),"""")"),"")</f>
        <v/>
      </c>
      <c r="BX31" s="207">
        <f>IFERROR(__xludf.DUMMYFUNCTION("AVERAGE(ARRAYFORMULA(XLOOKUP(FILTER(INDIRECT(""'""&amp;BX$1&amp;""'!$C$4:$C$66""),INDIRECT(""'""&amp;BX$1&amp;""'!$D$4:$D$66"")=BX$2),$G$3:$BQ$3,$G31:$BQ31)))"),0.38429304095238104)</f>
        <v>0.384293041</v>
      </c>
      <c r="BY31" s="207" t="str">
        <f>IFERROR(__xludf.DUMMYFUNCTION("IF(OR(BX31&gt;$BS31+$BT31*$BT$2,BX31&lt;$BS31-$BT31*$BT$2),AVEDEV(ARRAYFORMULA(XLOOKUP(FILTER(INDIRECT(""'""&amp;BX$1&amp;""'!$C$4:$C$66""),INDIRECT(""'""&amp;BX$1&amp;""'!$D$4:$D$66"")=BX$2),$G$3:$BQ$3,$G31:$BQ31))),"""")"),"")</f>
        <v/>
      </c>
      <c r="BZ31" s="207">
        <f>IFERROR(__xludf.DUMMYFUNCTION("AVERAGE(ARRAYFORMULA(XLOOKUP(FILTER(INDIRECT(""'""&amp;BZ$1&amp;""'!$C$4:$C$66""),INDIRECT(""'""&amp;BZ$1&amp;""'!$D$4:$D$66"")=BZ$2),$G$3:$BQ$3,$G31:$BQ31)))"),0.02081118545454547)</f>
        <v>0.02081118545</v>
      </c>
      <c r="CA31" s="207" t="str">
        <f>IFERROR(__xludf.DUMMYFUNCTION("IF(OR(BZ31&gt;$BS31+$BT31*$BT$2,BZ31&lt;$BS31-$BT31*$BT$2),AVEDEV(ARRAYFORMULA(XLOOKUP(FILTER(INDIRECT(""'""&amp;BZ$1&amp;""'!$C$4:$C$66""),INDIRECT(""'""&amp;BZ$1&amp;""'!$D$4:$D$66"")=BZ$2),$G$3:$BQ$3,$G31:$BQ31))),"""")"),"")</f>
        <v/>
      </c>
      <c r="CB31" s="209"/>
      <c r="CC31" s="207">
        <f>IFERROR(__xludf.DUMMYFUNCTION("AVERAGE(ARRAYFORMULA(XLOOKUP(FILTER(INDIRECT(""'""&amp;CC$1&amp;""'!$C$4:$C$66""),INDIRECT(""'""&amp;CC$1&amp;""'!$D$4:$D$66"")=CC$2),$G$3:$BQ$3,$G31:$BQ31)))"),0.9575384593749999)</f>
        <v>0.9575384594</v>
      </c>
      <c r="CD31" s="207" t="str">
        <f>IFERROR(__xludf.DUMMYFUNCTION("IF(OR(CC31&gt;$BS31+$BT31*$BT$2,CC31&lt;$BS31-$BT31*$BT$2),AVEDEV(ARRAYFORMULA(XLOOKUP(FILTER(INDIRECT(""'""&amp;CC$1&amp;""'!$C$4:$C$66""),INDIRECT(""'""&amp;CC$1&amp;""'!$D$4:$D$66"")=CC$2),$G$3:$BQ$3,$G31:$BQ31))),"""")"),"")</f>
        <v/>
      </c>
      <c r="CE31" s="207">
        <f>IFERROR(__xludf.DUMMYFUNCTION("AVERAGE(ARRAYFORMULA(XLOOKUP(FILTER(INDIRECT(""'""&amp;CE$1&amp;""'!$C$4:$C$66""),INDIRECT(""'""&amp;CE$1&amp;""'!$D$4:$D$66"")=CE$2),$G$3:$BQ$3,$G31:$BQ31)))"),0.07825309967741935)</f>
        <v>0.07825309968</v>
      </c>
      <c r="CF31" s="207" t="str">
        <f>IFERROR(__xludf.DUMMYFUNCTION("IF(OR(CE31&gt;$BS31+$BT31*$BT$2,CE31&lt;$BS31-$BT31*$BT$2),AVEDEV(ARRAYFORMULA(XLOOKUP(FILTER(INDIRECT(""'""&amp;CE$1&amp;""'!$C$4:$C$66""),INDIRECT(""'""&amp;CE$1&amp;""'!$D$4:$D$66"")=CE$2),$G$3:$BQ$3,$G31:$BQ31))),"""")"),"")</f>
        <v/>
      </c>
      <c r="CG31" s="207">
        <f>IFERROR(__xludf.DUMMYFUNCTION("AVERAGE(ARRAYFORMULA(XLOOKUP(FILTER(INDIRECT(""'""&amp;CG$1&amp;""'!$C$4:$C$66""),INDIRECT(""'""&amp;CG$1&amp;""'!$D$4:$D$66"")=CG$2),$G$3:$BQ$3,$G31:$BQ31)))"),-0.10363077600000001)</f>
        <v>-0.103630776</v>
      </c>
      <c r="CH31" s="207" t="str">
        <f>IFERROR(__xludf.DUMMYFUNCTION("IF(OR(CG31&gt;$BS31+$BT31*$BT$2,CG31&lt;$BS31-$BT31*$BT$2),AVEDEV(ARRAYFORMULA(XLOOKUP(FILTER(INDIRECT(""'""&amp;CG$1&amp;""'!$C$4:$C$66""),INDIRECT(""'""&amp;CG$1&amp;""'!$D$4:$D$66"")=CG$2),$G$3:$BQ$3,$G31:$BQ31))),"""")"),"")</f>
        <v/>
      </c>
      <c r="CI31" s="206"/>
      <c r="CJ31" s="251">
        <f>IFERROR(__xludf.DUMMYFUNCTION("AVERAGE(ARRAYFORMULA(XLOOKUP(FILTER(INDIRECT(""'""&amp;CJ$1&amp;""'!$C$4:$C$66""),INDIRECT(""'""&amp;CJ$1&amp;""'!$D$4:$D$66"")=CJ$2),$G$3:$BQ$3,$G31:$BQ31)))"),0.258133326)</f>
        <v>0.258133326</v>
      </c>
      <c r="CK31" s="207" t="str">
        <f>IFERROR(__xludf.DUMMYFUNCTION("IF(OR(CJ31&gt;$BS31+$BT31*$BT$2,CJ31&lt;$BS31-$BT31*$BT$2),AVEDEV(ARRAYFORMULA(XLOOKUP(FILTER(INDIRECT(""'""&amp;CJ$1&amp;""'!$C$4:$C$66""),INDIRECT(""'""&amp;CJ$1&amp;""'!$D$4:$D$66"")=CJ$2),$G$3:$BQ$3,$G31:$BQ31))),"""")"),"")</f>
        <v/>
      </c>
      <c r="CL31" s="251">
        <f>IFERROR(__xludf.DUMMYFUNCTION("AVERAGE(ARRAYFORMULA(XLOOKUP(FILTER(INDIRECT(""'""&amp;CL$1&amp;""'!$C$4:$C$66""),INDIRECT(""'""&amp;CL$1&amp;""'!$D$4:$D$66"")=CL$2),$G$3:$BQ$3,$G31:$BQ31)))"),0.3526311641025641)</f>
        <v>0.3526311641</v>
      </c>
      <c r="CM31" s="207" t="str">
        <f>IFERROR(__xludf.DUMMYFUNCTION("IF(OR(CL31&gt;$BS31+$BT31*$BT$2,CL31&lt;$BS31-$BT31*$BT$2),AVEDEV(ARRAYFORMULA(XLOOKUP(FILTER(INDIRECT(""'""&amp;CL$1&amp;""'!$C$4:$C$66""),INDIRECT(""'""&amp;CL$1&amp;""'!$D$4:$D$66"")=CL$2),$G$3:$BQ$3,$G31:$BQ31))),"""")"),"")</f>
        <v/>
      </c>
      <c r="CN31" s="251">
        <f>IFERROR(__xludf.DUMMYFUNCTION("AVERAGE(ARRAYFORMULA(XLOOKUP(FILTER(INDIRECT(""'""&amp;CN$1&amp;""'!$C$4:$C$66""),INDIRECT(""'""&amp;CN$1&amp;""'!$D$4:$D$66"")=CN$2),$G$3:$BQ$3,$G31:$BQ31)))"),-0.10363077600000001)</f>
        <v>-0.103630776</v>
      </c>
      <c r="CO31" s="207" t="str">
        <f>IFERROR(__xludf.DUMMYFUNCTION("IF(OR(CN31&gt;$BS31+$BT31*$BT$2,CN31&lt;$BS31-$BT31*$BT$2),AVEDEV(ARRAYFORMULA(XLOOKUP(FILTER(INDIRECT(""'""&amp;CN$1&amp;""'!$C$4:$C$66""),INDIRECT(""'""&amp;CN$1&amp;""'!$D$4:$D$66"")=CN$2),$G$3:$BQ$3,$G31:$BQ31))),"""")"),"")</f>
        <v/>
      </c>
      <c r="CP31" s="252"/>
      <c r="CQ31" s="251">
        <f>IFERROR(__xludf.DUMMYFUNCTION("AVERAGE(ARRAYFORMULA(XLOOKUP(FILTER(INDIRECT(""'""&amp;CQ$1&amp;""'!$C$4:$C$66""),INDIRECT(""'""&amp;CQ$1&amp;""'!$D$4:$D$66"")=CQ$2),$G$3:$BQ$3,$G31:$BQ31)))"),0.8959120914285715)</f>
        <v>0.8959120914</v>
      </c>
      <c r="CR31" s="207" t="str">
        <f>IFERROR(__xludf.DUMMYFUNCTION("IF(OR(CQ31&gt;$BS31+$BT31*$BT$2,CQ31&lt;$BS31-$BT31*$BT$2),AVEDEV(ARRAYFORMULA(XLOOKUP(FILTER(INDIRECT(""'""&amp;CQ$1&amp;""'!$C$4:$C$66""),INDIRECT(""'""&amp;CQ$1&amp;""'!$D$4:$D$66"")=CQ$2),$G$3:$BQ$3,$G31:$BQ31))),"""")"),"")</f>
        <v/>
      </c>
      <c r="CS31" s="251">
        <f>IFERROR(__xludf.DUMMYFUNCTION("AVERAGE(ARRAYFORMULA(XLOOKUP(FILTER(INDIRECT(""'""&amp;CS$1&amp;""'!$C$4:$C$66""),INDIRECT(""'""&amp;CS$1&amp;""'!$D$4:$D$66"")=CS$2),$G$3:$BQ$3,$G31:$BQ31)))"),0.10912820444444446)</f>
        <v>0.1091282044</v>
      </c>
      <c r="CT31" s="207" t="str">
        <f>IFERROR(__xludf.DUMMYFUNCTION("IF(OR(CS31&gt;$BS31+$BT31*$BT$2,CS31&lt;$BS31-$BT31*$BT$2),AVEDEV(ARRAYFORMULA(XLOOKUP(FILTER(INDIRECT(""'""&amp;CS$1&amp;""'!$C$4:$C$66""),INDIRECT(""'""&amp;CS$1&amp;""'!$D$4:$D$66"")=CS$2),$G$3:$BQ$3,$G31:$BQ31))),"""")"),"")</f>
        <v/>
      </c>
      <c r="CU31" s="251">
        <f>IFERROR(__xludf.DUMMYFUNCTION("AVERAGE(ARRAYFORMULA(XLOOKUP(FILTER(INDIRECT(""'""&amp;CU$1&amp;""'!$C$4:$C$66""),INDIRECT(""'""&amp;CU$1&amp;""'!$D$4:$D$66"")=CU$2),$G$3:$BQ$3,$G31:$BQ31)))"),-0.1725314709090909)</f>
        <v>-0.1725314709</v>
      </c>
      <c r="CV31" s="207" t="str">
        <f>IFERROR(__xludf.DUMMYFUNCTION("IF(OR(CU31&gt;$BS31+$BT31*$BT$2,CU31&lt;$BS31-$BT31*$BT$2),AVEDEV(ARRAYFORMULA(XLOOKUP(FILTER(INDIRECT(""'""&amp;CU$1&amp;""'!$C$4:$C$66""),INDIRECT(""'""&amp;CU$1&amp;""'!$D$4:$D$66"")=CU$2),$G$3:$BQ$3,$G31:$BQ31))),"""")"),"")</f>
        <v/>
      </c>
      <c r="CW31" s="251">
        <f>IFERROR(__xludf.DUMMYFUNCTION("AVERAGE(ARRAYFORMULA(XLOOKUP(FILTER(INDIRECT(""'""&amp;CW$1&amp;""'!$C$4:$C$66""),INDIRECT(""'""&amp;CW$1&amp;""'!$D$4:$D$66"")=CW$2),$G$3:$BQ$3,$G31:$BQ31)))"),0.21661538999999996)</f>
        <v>0.21661539</v>
      </c>
      <c r="CX31" s="207" t="str">
        <f>IFERROR(__xludf.DUMMYFUNCTION("IF(OR(CW31&gt;$BS31+$BT31*$BT$2,CW31&lt;$BS31-$BT31*$BT$2),AVEDEV(ARRAYFORMULA(XLOOKUP(FILTER(INDIRECT(""'""&amp;CW$1&amp;""'!$C$4:$C$66""),INDIRECT(""'""&amp;CW$1&amp;""'!$D$4:$D$66"")=CW$2),$G$3:$BQ$3,$G31:$BQ31))),"""")"),"")</f>
        <v/>
      </c>
      <c r="CY31" s="251">
        <f>IFERROR(__xludf.DUMMYFUNCTION("AVERAGE(ARRAYFORMULA(XLOOKUP(FILTER(INDIRECT(""'""&amp;CY$1&amp;""'!$C$4:$C$66""),INDIRECT(""'""&amp;CY$1&amp;""'!$D$4:$D$66"")=CY$2),$G$3:$BQ$3,$G31:$BQ31)))"),-0.0010549442857142796)</f>
        <v>-0.001054944286</v>
      </c>
      <c r="CZ31" s="207" t="str">
        <f>IFERROR(__xludf.DUMMYFUNCTION("IF(OR(CY31&gt;$BS31+$BT31*$BT$2,CY31&lt;$BS31-$BT31*$BT$2),AVEDEV(ARRAYFORMULA(XLOOKUP(FILTER(INDIRECT(""'""&amp;CY$1&amp;""'!$C$4:$C$66""),INDIRECT(""'""&amp;CY$1&amp;""'!$D$4:$D$66"")=CY$2),$G$3:$BQ$3,$G31:$BQ31))),"""")"),"")</f>
        <v/>
      </c>
      <c r="DA31" s="252"/>
      <c r="DB31" s="251">
        <f>IFERROR(__xludf.DUMMYFUNCTION("AVERAGE(ARRAYFORMULA(XLOOKUP(FILTER(INDIRECT(""'""&amp;DB$1&amp;""'!$C$4:$C$66""),INDIRECT(""'""&amp;DB$1&amp;""'!$D$4:$D$66"")=DB$2),$G$3:$BQ$3,$G31:$BQ31)))"),0.600082053)</f>
        <v>0.600082053</v>
      </c>
      <c r="DC31" s="207" t="str">
        <f>IFERROR(__xludf.DUMMYFUNCTION("IF(OR(DB31&gt;$BS31+$BT31*$BT$2,DB31&lt;$BS31-$BT31*$BT$2),AVEDEV(ARRAYFORMULA(XLOOKUP(FILTER(INDIRECT(""'""&amp;DB$1&amp;""'!$C$4:$C$66""),INDIRECT(""'""&amp;DB$1&amp;""'!$D$4:$D$66"")=DB$2),$G$3:$BQ$3,$G31:$BQ31))),"""")"),"")</f>
        <v/>
      </c>
      <c r="DD31" s="251">
        <f>IFERROR(__xludf.DUMMYFUNCTION("AVERAGE(ARRAYFORMULA(XLOOKUP(FILTER(INDIRECT(""'""&amp;DD$1&amp;""'!$C$4:$C$66""),INDIRECT(""'""&amp;DD$1&amp;""'!$D$4:$D$66"")=DD$2),$G$3:$BQ$3,$G31:$BQ31)))"),-0.1813333333333333)</f>
        <v>-0.1813333333</v>
      </c>
      <c r="DE31" s="207" t="str">
        <f>IFERROR(__xludf.DUMMYFUNCTION("IF(OR(DD31&gt;$BS31+$BT31*$BT$2,DD31&lt;$BS31-$BT31*$BT$2),AVEDEV(ARRAYFORMULA(XLOOKUP(FILTER(INDIRECT(""'""&amp;DD$1&amp;""'!$C$4:$C$66""),INDIRECT(""'""&amp;DD$1&amp;""'!$D$4:$D$66"")=DD$2),$G$3:$BQ$3,$G31:$BQ31))),"""")"),"")</f>
        <v/>
      </c>
      <c r="DF31" s="251">
        <f>IFERROR(__xludf.DUMMYFUNCTION("AVERAGE(ARRAYFORMULA(XLOOKUP(FILTER(INDIRECT(""'""&amp;DF$1&amp;""'!$C$4:$C$66""),INDIRECT(""'""&amp;DF$1&amp;""'!$D$4:$D$66"")=DF$2),$G$3:$BQ$3,$G31:$BQ31)))"),-0.16000001249999998)</f>
        <v>-0.1600000125</v>
      </c>
      <c r="DG31" s="207" t="str">
        <f>IFERROR(__xludf.DUMMYFUNCTION("IF(OR(DF31&gt;$BS31+$BT31*$BT$2,DF31&lt;$BS31-$BT31*$BT$2),AVEDEV(ARRAYFORMULA(XLOOKUP(FILTER(INDIRECT(""'""&amp;DF$1&amp;""'!$C$4:$C$66""),INDIRECT(""'""&amp;DF$1&amp;""'!$D$4:$D$66"")=DF$2),$G$3:$BQ$3,$G31:$BQ31))),"""")"),"")</f>
        <v/>
      </c>
      <c r="DH31" s="251">
        <f>IFERROR(__xludf.DUMMYFUNCTION("AVERAGE(ARRAYFORMULA(XLOOKUP(FILTER(INDIRECT(""'""&amp;DH$1&amp;""'!$C$4:$C$66""),INDIRECT(""'""&amp;DH$1&amp;""'!$D$4:$D$66"")=DH$2),$G$3:$BQ$3,$G31:$BQ31)))"),-0.005333342222222222)</f>
        <v>-0.005333342222</v>
      </c>
      <c r="DI31" s="207" t="str">
        <f>IFERROR(__xludf.DUMMYFUNCTION("IF(OR(DH31&gt;$BS31+$BT31*$BT$2,DH31&lt;$BS31-$BT31*$BT$2),AVEDEV(ARRAYFORMULA(XLOOKUP(FILTER(INDIRECT(""'""&amp;DH$1&amp;""'!$C$4:$C$66""),INDIRECT(""'""&amp;DH$1&amp;""'!$D$4:$D$66"")=DH$2),$G$3:$BQ$3,$G31:$BQ31))),"""")"),"")</f>
        <v/>
      </c>
      <c r="DJ31" s="243"/>
    </row>
    <row r="32">
      <c r="A32" s="2"/>
      <c r="B32" s="204">
        <v>28.0</v>
      </c>
      <c r="C32" s="204" t="s">
        <v>442</v>
      </c>
      <c r="D32" s="204" t="s">
        <v>471</v>
      </c>
      <c r="E32" s="205" t="b">
        <f>VLOOKUP(D32,'Feature Set List'!A29:C246,2,0)</f>
        <v>1</v>
      </c>
      <c r="F32" s="205" t="b">
        <f>VLOOKUP(D32,'Feature Set List'!A29:C246,3,0)</f>
        <v>1</v>
      </c>
      <c r="G32" s="205">
        <v>-1.0</v>
      </c>
      <c r="H32" s="205">
        <v>-0.2865169</v>
      </c>
      <c r="I32" s="205">
        <v>0.76966292</v>
      </c>
      <c r="J32" s="205">
        <v>-0.3370787</v>
      </c>
      <c r="K32" s="205">
        <v>0.19662921</v>
      </c>
      <c r="L32" s="205">
        <v>-0.6460674</v>
      </c>
      <c r="M32" s="205">
        <v>-0.7359551</v>
      </c>
      <c r="N32" s="205">
        <v>0.06741573</v>
      </c>
      <c r="O32" s="205">
        <v>0.20224719</v>
      </c>
      <c r="P32" s="205">
        <v>0.1011236</v>
      </c>
      <c r="Q32" s="205">
        <v>0.29213483</v>
      </c>
      <c r="R32" s="205">
        <v>-0.6460674</v>
      </c>
      <c r="S32" s="205">
        <v>0.48876404</v>
      </c>
      <c r="T32" s="205">
        <v>0.90449438</v>
      </c>
      <c r="U32" s="205">
        <v>-0.6910112</v>
      </c>
      <c r="V32" s="205">
        <v>-0.1011236</v>
      </c>
      <c r="W32" s="205">
        <v>-0.3258427</v>
      </c>
      <c r="X32" s="205">
        <v>-0.4606742</v>
      </c>
      <c r="Y32" s="205">
        <v>-0.2078652</v>
      </c>
      <c r="Z32" s="205">
        <v>-0.3651685</v>
      </c>
      <c r="AA32" s="205">
        <v>0.04494382</v>
      </c>
      <c r="AB32" s="205">
        <v>-1.3707865</v>
      </c>
      <c r="AC32" s="205">
        <v>-1.5337079</v>
      </c>
      <c r="AD32" s="205">
        <v>0.70786517</v>
      </c>
      <c r="AE32" s="205">
        <v>0.8988764</v>
      </c>
      <c r="AF32" s="205">
        <v>-0.1516854</v>
      </c>
      <c r="AG32" s="205">
        <v>0.21348315</v>
      </c>
      <c r="AH32" s="205">
        <v>-0.3539326</v>
      </c>
      <c r="AI32" s="205">
        <v>0.03932584</v>
      </c>
      <c r="AJ32" s="205">
        <v>0.16853933</v>
      </c>
      <c r="AK32" s="205">
        <v>-0.2865169</v>
      </c>
      <c r="AL32" s="205">
        <v>0.53370787</v>
      </c>
      <c r="AM32" s="205">
        <v>0.0</v>
      </c>
      <c r="AN32" s="205">
        <v>0.95505618</v>
      </c>
      <c r="AO32" s="205">
        <v>1.01685393</v>
      </c>
      <c r="AP32" s="205">
        <v>0.12921348</v>
      </c>
      <c r="AQ32" s="205">
        <v>-0.505618</v>
      </c>
      <c r="AR32" s="205">
        <v>-0.7865169</v>
      </c>
      <c r="AS32" s="205">
        <v>-0.1966292</v>
      </c>
      <c r="AT32" s="205">
        <v>-0.505618</v>
      </c>
      <c r="AU32" s="205">
        <v>0.46067416</v>
      </c>
      <c r="AV32" s="205">
        <v>2.48314607</v>
      </c>
      <c r="AW32" s="205">
        <v>-0.9382022</v>
      </c>
      <c r="AX32" s="205">
        <v>-0.1011236</v>
      </c>
      <c r="AY32" s="205">
        <v>2.57865169</v>
      </c>
      <c r="AZ32" s="205">
        <v>-1.5168539</v>
      </c>
      <c r="BA32" s="205">
        <v>-0.9157303</v>
      </c>
      <c r="BB32" s="205">
        <v>0.96067416</v>
      </c>
      <c r="BC32" s="205">
        <v>-0.6516854</v>
      </c>
      <c r="BD32" s="205">
        <v>0.5</v>
      </c>
      <c r="BE32" s="205">
        <v>6.21348315</v>
      </c>
      <c r="BF32" s="205">
        <v>-0.8651685</v>
      </c>
      <c r="BG32" s="205">
        <v>-0.3483146</v>
      </c>
      <c r="BH32" s="205">
        <v>0.6741573</v>
      </c>
      <c r="BI32" s="205">
        <v>0.57865169</v>
      </c>
      <c r="BJ32" s="205">
        <v>-1.011236</v>
      </c>
      <c r="BK32" s="205">
        <v>-0.3089888</v>
      </c>
      <c r="BL32" s="205">
        <v>13.4213483</v>
      </c>
      <c r="BM32" s="205">
        <v>0.03932584</v>
      </c>
      <c r="BN32" s="205">
        <v>2.15168539</v>
      </c>
      <c r="BO32" s="205">
        <v>0.64044944</v>
      </c>
      <c r="BP32" s="205">
        <v>-0.0842697</v>
      </c>
      <c r="BQ32" s="205">
        <v>0.01685393</v>
      </c>
      <c r="BR32" s="206"/>
      <c r="BS32" s="250">
        <f t="shared" si="1"/>
        <v>0.3208489348</v>
      </c>
      <c r="BT32" s="250">
        <f t="shared" si="2"/>
        <v>0.979113412</v>
      </c>
      <c r="BU32" s="206"/>
      <c r="BV32" s="207">
        <f>IFERROR(__xludf.DUMMYFUNCTION("AVERAGE(ARRAYFORMULA(XLOOKUP(FILTER(INDIRECT(""'""&amp;BV$1&amp;""'!$C$4:$C$66""),INDIRECT(""'""&amp;BV$1&amp;""'!$D$4:$D$66"")=BV$2),$G$3:$BQ$3,$G32:$BQ32)))"),3.291332261428572)</f>
        <v>3.291332261</v>
      </c>
      <c r="BW32" s="207">
        <f>IFERROR(__xludf.DUMMYFUNCTION("IF(OR(BV32&gt;$BS32+$BT32*$BT$2,BV32&lt;$BS32-$BT32*$BT$2),AVEDEV(ARRAYFORMULA(XLOOKUP(FILTER(INDIRECT(""'""&amp;BV$1&amp;""'!$C$4:$C$66""),INDIRECT(""'""&amp;BV$1&amp;""'!$D$4:$D$66"")=BV$2),$G$3:$BQ$3,$G32:$BQ32))),"""")"),3.7291905506122447)</f>
        <v>3.729190551</v>
      </c>
      <c r="BX32" s="207">
        <f>IFERROR(__xludf.DUMMYFUNCTION("AVERAGE(ARRAYFORMULA(XLOOKUP(FILTER(INDIRECT(""'""&amp;BX$1&amp;""'!$C$4:$C$66""),INDIRECT(""'""&amp;BX$1&amp;""'!$D$4:$D$66"")=BX$2),$G$3:$BQ$3,$G32:$BQ32)))"),-0.002407710476190478)</f>
        <v>-0.002407710476</v>
      </c>
      <c r="BY32" s="207" t="str">
        <f>IFERROR(__xludf.DUMMYFUNCTION("IF(OR(BX32&gt;$BS32+$BT32*$BT$2,BX32&lt;$BS32-$BT32*$BT$2),AVEDEV(ARRAYFORMULA(XLOOKUP(FILTER(INDIRECT(""'""&amp;BX$1&amp;""'!$C$4:$C$66""),INDIRECT(""'""&amp;BX$1&amp;""'!$D$4:$D$66"")=BX$2),$G$3:$BQ$3,$G32:$BQ32))),"""")"),"")</f>
        <v/>
      </c>
      <c r="BZ32" s="207">
        <f>IFERROR(__xludf.DUMMYFUNCTION("AVERAGE(ARRAYFORMULA(XLOOKUP(FILTER(INDIRECT(""'""&amp;BZ$1&amp;""'!$C$4:$C$66""),INDIRECT(""'""&amp;BZ$1&amp;""'!$D$4:$D$66"")=BZ$2),$G$3:$BQ$3,$G32:$BQ32)))"),-0.40500510727272715)</f>
        <v>-0.4050051073</v>
      </c>
      <c r="CA32" s="207" t="str">
        <f>IFERROR(__xludf.DUMMYFUNCTION("IF(OR(BZ32&gt;$BS32+$BT32*$BT$2,BZ32&lt;$BS32-$BT32*$BT$2),AVEDEV(ARRAYFORMULA(XLOOKUP(FILTER(INDIRECT(""'""&amp;BZ$1&amp;""'!$C$4:$C$66""),INDIRECT(""'""&amp;BZ$1&amp;""'!$D$4:$D$66"")=BZ$2),$G$3:$BQ$3,$G32:$BQ32))),"""")"),"")</f>
        <v/>
      </c>
      <c r="CB32" s="209"/>
      <c r="CC32" s="207">
        <f>IFERROR(__xludf.DUMMYFUNCTION("AVERAGE(ARRAYFORMULA(XLOOKUP(FILTER(INDIRECT(""'""&amp;CC$1&amp;""'!$C$4:$C$66""),INDIRECT(""'""&amp;CC$1&amp;""'!$D$4:$D$66"")=CC$2),$G$3:$BQ$3,$G32:$BQ32)))"),-0.125702251875)</f>
        <v>-0.1257022519</v>
      </c>
      <c r="CD32" s="207" t="str">
        <f>IFERROR(__xludf.DUMMYFUNCTION("IF(OR(CC32&gt;$BS32+$BT32*$BT$2,CC32&lt;$BS32-$BT32*$BT$2),AVEDEV(ARRAYFORMULA(XLOOKUP(FILTER(INDIRECT(""'""&amp;CC$1&amp;""'!$C$4:$C$66""),INDIRECT(""'""&amp;CC$1&amp;""'!$D$4:$D$66"")=CC$2),$G$3:$BQ$3,$G32:$BQ32))),"""")"),"")</f>
        <v/>
      </c>
      <c r="CE32" s="207">
        <f>IFERROR(__xludf.DUMMYFUNCTION("AVERAGE(ARRAYFORMULA(XLOOKUP(FILTER(INDIRECT(""'""&amp;CE$1&amp;""'!$C$4:$C$66""),INDIRECT(""'""&amp;CE$1&amp;""'!$D$4:$D$66"")=CE$2),$G$3:$BQ$3,$G32:$BQ32)))"),0.263863714516129)</f>
        <v>0.2638637145</v>
      </c>
      <c r="CF32" s="207" t="str">
        <f>IFERROR(__xludf.DUMMYFUNCTION("IF(OR(CE32&gt;$BS32+$BT32*$BT$2,CE32&lt;$BS32-$BT32*$BT$2),AVEDEV(ARRAYFORMULA(XLOOKUP(FILTER(INDIRECT(""'""&amp;CE$1&amp;""'!$C$4:$C$66""),INDIRECT(""'""&amp;CE$1&amp;""'!$D$4:$D$66"")=CE$2),$G$3:$BQ$3,$G32:$BQ32))),"""")"),"")</f>
        <v/>
      </c>
      <c r="CG32" s="207">
        <f>IFERROR(__xludf.DUMMYFUNCTION("AVERAGE(ARRAYFORMULA(XLOOKUP(FILTER(INDIRECT(""'""&amp;CG$1&amp;""'!$C$4:$C$66""),INDIRECT(""'""&amp;CG$1&amp;""'!$D$4:$D$66"")=CG$2),$G$3:$BQ$3,$G32:$BQ32)))"),-0.09101122399999997)</f>
        <v>-0.091011224</v>
      </c>
      <c r="CH32" s="207" t="str">
        <f>IFERROR(__xludf.DUMMYFUNCTION("IF(OR(CG32&gt;$BS32+$BT32*$BT$2,CG32&lt;$BS32-$BT32*$BT$2),AVEDEV(ARRAYFORMULA(XLOOKUP(FILTER(INDIRECT(""'""&amp;CG$1&amp;""'!$C$4:$C$66""),INDIRECT(""'""&amp;CG$1&amp;""'!$D$4:$D$66"")=CG$2),$G$3:$BQ$3,$G32:$BQ32))),"""")"),"")</f>
        <v/>
      </c>
      <c r="CI32" s="206"/>
      <c r="CJ32" s="251">
        <f>IFERROR(__xludf.DUMMYFUNCTION("AVERAGE(ARRAYFORMULA(XLOOKUP(FILTER(INDIRECT(""'""&amp;CJ$1&amp;""'!$C$4:$C$66""),INDIRECT(""'""&amp;CJ$1&amp;""'!$D$4:$D$66"")=CJ$2),$G$3:$BQ$3,$G32:$BQ32)))"),0.18277152933333335)</f>
        <v>0.1827715293</v>
      </c>
      <c r="CK32" s="207" t="str">
        <f>IFERROR(__xludf.DUMMYFUNCTION("IF(OR(CJ32&gt;$BS32+$BT32*$BT$2,CJ32&lt;$BS32-$BT32*$BT$2),AVEDEV(ARRAYFORMULA(XLOOKUP(FILTER(INDIRECT(""'""&amp;CJ$1&amp;""'!$C$4:$C$66""),INDIRECT(""'""&amp;CJ$1&amp;""'!$D$4:$D$66"")=CJ$2),$G$3:$BQ$3,$G32:$BQ32))),"""")"),"")</f>
        <v/>
      </c>
      <c r="CL32" s="251">
        <f>IFERROR(__xludf.DUMMYFUNCTION("AVERAGE(ARRAYFORMULA(XLOOKUP(FILTER(INDIRECT(""'""&amp;CL$1&amp;""'!$C$4:$C$66""),INDIRECT(""'""&amp;CL$1&amp;""'!$D$4:$D$66"")=CL$2),$G$3:$BQ$3,$G32:$BQ32)))"),0.07116104333333333)</f>
        <v>0.07116104333</v>
      </c>
      <c r="CM32" s="207" t="str">
        <f>IFERROR(__xludf.DUMMYFUNCTION("IF(OR(CL32&gt;$BS32+$BT32*$BT$2,CL32&lt;$BS32-$BT32*$BT$2),AVEDEV(ARRAYFORMULA(XLOOKUP(FILTER(INDIRECT(""'""&amp;CL$1&amp;""'!$C$4:$C$66""),INDIRECT(""'""&amp;CL$1&amp;""'!$D$4:$D$66"")=CL$2),$G$3:$BQ$3,$G32:$BQ32))),"""")"),"")</f>
        <v/>
      </c>
      <c r="CN32" s="251">
        <f>IFERROR(__xludf.DUMMYFUNCTION("AVERAGE(ARRAYFORMULA(XLOOKUP(FILTER(INDIRECT(""'""&amp;CN$1&amp;""'!$C$4:$C$66""),INDIRECT(""'""&amp;CN$1&amp;""'!$D$4:$D$66"")=CN$2),$G$3:$BQ$3,$G32:$BQ32)))"),-0.09101122399999997)</f>
        <v>-0.091011224</v>
      </c>
      <c r="CO32" s="207" t="str">
        <f>IFERROR(__xludf.DUMMYFUNCTION("IF(OR(CN32&gt;$BS32+$BT32*$BT$2,CN32&lt;$BS32-$BT32*$BT$2),AVEDEV(ARRAYFORMULA(XLOOKUP(FILTER(INDIRECT(""'""&amp;CN$1&amp;""'!$C$4:$C$66""),INDIRECT(""'""&amp;CN$1&amp;""'!$D$4:$D$66"")=CN$2),$G$3:$BQ$3,$G32:$BQ32))),"""")"),"")</f>
        <v/>
      </c>
      <c r="CP32" s="252"/>
      <c r="CQ32" s="251">
        <f>IFERROR(__xludf.DUMMYFUNCTION("AVERAGE(ARRAYFORMULA(XLOOKUP(FILTER(INDIRECT(""'""&amp;CQ$1&amp;""'!$C$4:$C$66""),INDIRECT(""'""&amp;CQ$1&amp;""'!$D$4:$D$66"")=CQ$2),$G$3:$BQ$3,$G32:$BQ32)))"),-0.12479936642857141)</f>
        <v>-0.1247993664</v>
      </c>
      <c r="CR32" s="207" t="str">
        <f>IFERROR(__xludf.DUMMYFUNCTION("IF(OR(CQ32&gt;$BS32+$BT32*$BT$2,CQ32&lt;$BS32-$BT32*$BT$2),AVEDEV(ARRAYFORMULA(XLOOKUP(FILTER(INDIRECT(""'""&amp;CQ$1&amp;""'!$C$4:$C$66""),INDIRECT(""'""&amp;CQ$1&amp;""'!$D$4:$D$66"")=CQ$2),$G$3:$BQ$3,$G32:$BQ32))),"""")"),"")</f>
        <v/>
      </c>
      <c r="CS32" s="251">
        <f>IFERROR(__xludf.DUMMYFUNCTION("AVERAGE(ARRAYFORMULA(XLOOKUP(FILTER(INDIRECT(""'""&amp;CS$1&amp;""'!$C$4:$C$66""),INDIRECT(""'""&amp;CS$1&amp;""'!$D$4:$D$66"")=CS$2),$G$3:$BQ$3,$G32:$BQ32)))"),-0.3308364577777778)</f>
        <v>-0.3308364578</v>
      </c>
      <c r="CT32" s="207" t="str">
        <f>IFERROR(__xludf.DUMMYFUNCTION("IF(OR(CS32&gt;$BS32+$BT32*$BT$2,CS32&lt;$BS32-$BT32*$BT$2),AVEDEV(ARRAYFORMULA(XLOOKUP(FILTER(INDIRECT(""'""&amp;CS$1&amp;""'!$C$4:$C$66""),INDIRECT(""'""&amp;CS$1&amp;""'!$D$4:$D$66"")=CS$2),$G$3:$BQ$3,$G32:$BQ32))),"""")"),"")</f>
        <v/>
      </c>
      <c r="CU32" s="251">
        <f>IFERROR(__xludf.DUMMYFUNCTION("AVERAGE(ARRAYFORMULA(XLOOKUP(FILTER(INDIRECT(""'""&amp;CU$1&amp;""'!$C$4:$C$66""),INDIRECT(""'""&amp;CU$1&amp;""'!$D$4:$D$66"")=CU$2),$G$3:$BQ$3,$G32:$BQ32)))"),-0.17926455727272728)</f>
        <v>-0.1792645573</v>
      </c>
      <c r="CV32" s="207" t="str">
        <f>IFERROR(__xludf.DUMMYFUNCTION("IF(OR(CU32&gt;$BS32+$BT32*$BT$2,CU32&lt;$BS32-$BT32*$BT$2),AVEDEV(ARRAYFORMULA(XLOOKUP(FILTER(INDIRECT(""'""&amp;CU$1&amp;""'!$C$4:$C$66""),INDIRECT(""'""&amp;CU$1&amp;""'!$D$4:$D$66"")=CU$2),$G$3:$BQ$3,$G32:$BQ32))),"""")"),"")</f>
        <v/>
      </c>
      <c r="CW32" s="251">
        <f>IFERROR(__xludf.DUMMYFUNCTION("AVERAGE(ARRAYFORMULA(XLOOKUP(FILTER(INDIRECT(""'""&amp;CW$1&amp;""'!$C$4:$C$66""),INDIRECT(""'""&amp;CW$1&amp;""'!$D$4:$D$66"")=CW$2),$G$3:$BQ$3,$G32:$BQ32)))"),0.691011235)</f>
        <v>0.691011235</v>
      </c>
      <c r="CX32" s="207" t="str">
        <f>IFERROR(__xludf.DUMMYFUNCTION("IF(OR(CW32&gt;$BS32+$BT32*$BT$2,CW32&lt;$BS32-$BT32*$BT$2),AVEDEV(ARRAYFORMULA(XLOOKUP(FILTER(INDIRECT(""'""&amp;CW$1&amp;""'!$C$4:$C$66""),INDIRECT(""'""&amp;CW$1&amp;""'!$D$4:$D$66"")=CW$2),$G$3:$BQ$3,$G32:$BQ32))),"""")"),"")</f>
        <v/>
      </c>
      <c r="CY32" s="251">
        <f>IFERROR(__xludf.DUMMYFUNCTION("AVERAGE(ARRAYFORMULA(XLOOKUP(FILTER(INDIRECT(""'""&amp;CY$1&amp;""'!$C$4:$C$66""),INDIRECT(""'""&amp;CY$1&amp;""'!$D$4:$D$66"")=CY$2),$G$3:$BQ$3,$G32:$BQ32)))"),0.051364360000000005)</f>
        <v>0.05136436</v>
      </c>
      <c r="CZ32" s="207" t="str">
        <f>IFERROR(__xludf.DUMMYFUNCTION("IF(OR(CY32&gt;$BS32+$BT32*$BT$2,CY32&lt;$BS32-$BT32*$BT$2),AVEDEV(ARRAYFORMULA(XLOOKUP(FILTER(INDIRECT(""'""&amp;CY$1&amp;""'!$C$4:$C$66""),INDIRECT(""'""&amp;CY$1&amp;""'!$D$4:$D$66"")=CY$2),$G$3:$BQ$3,$G32:$BQ32))),"""")"),"")</f>
        <v/>
      </c>
      <c r="DA32" s="252"/>
      <c r="DB32" s="251">
        <f>IFERROR(__xludf.DUMMYFUNCTION("AVERAGE(ARRAYFORMULA(XLOOKUP(FILTER(INDIRECT(""'""&amp;DB$1&amp;""'!$C$4:$C$66""),INDIRECT(""'""&amp;DB$1&amp;""'!$D$4:$D$66"")=DB$2),$G$3:$BQ$3,$G32:$BQ32)))"),0.06928838066666669)</f>
        <v>0.06928838067</v>
      </c>
      <c r="DC32" s="207" t="str">
        <f>IFERROR(__xludf.DUMMYFUNCTION("IF(OR(DB32&gt;$BS32+$BT32*$BT$2,DB32&lt;$BS32-$BT32*$BT$2),AVEDEV(ARRAYFORMULA(XLOOKUP(FILTER(INDIRECT(""'""&amp;DB$1&amp;""'!$C$4:$C$66""),INDIRECT(""'""&amp;DB$1&amp;""'!$D$4:$D$66"")=DB$2),$G$3:$BQ$3,$G32:$BQ32))),"""")"),"")</f>
        <v/>
      </c>
      <c r="DD32" s="251">
        <f>IFERROR(__xludf.DUMMYFUNCTION("AVERAGE(ARRAYFORMULA(XLOOKUP(FILTER(INDIRECT(""'""&amp;DD$1&amp;""'!$C$4:$C$66""),INDIRECT(""'""&amp;DD$1&amp;""'!$D$4:$D$66"")=DD$2),$G$3:$BQ$3,$G32:$BQ32)))"),-0.010611734444444446)</f>
        <v>-0.01061173444</v>
      </c>
      <c r="DE32" s="207" t="str">
        <f>IFERROR(__xludf.DUMMYFUNCTION("IF(OR(DD32&gt;$BS32+$BT32*$BT$2,DD32&lt;$BS32-$BT32*$BT$2),AVEDEV(ARRAYFORMULA(XLOOKUP(FILTER(INDIRECT(""'""&amp;DD$1&amp;""'!$C$4:$C$66""),INDIRECT(""'""&amp;DD$1&amp;""'!$D$4:$D$66"")=DD$2),$G$3:$BQ$3,$G32:$BQ32))),"""")"),"")</f>
        <v/>
      </c>
      <c r="DF32" s="251">
        <f>IFERROR(__xludf.DUMMYFUNCTION("AVERAGE(ARRAYFORMULA(XLOOKUP(FILTER(INDIRECT(""'""&amp;DF$1&amp;""'!$C$4:$C$66""),INDIRECT(""'""&amp;DF$1&amp;""'!$D$4:$D$66"")=DF$2),$G$3:$BQ$3,$G32:$BQ32)))"),0.07865169624999999)</f>
        <v>0.07865169625</v>
      </c>
      <c r="DG32" s="207" t="str">
        <f>IFERROR(__xludf.DUMMYFUNCTION("IF(OR(DF32&gt;$BS32+$BT32*$BT$2,DF32&lt;$BS32-$BT32*$BT$2),AVEDEV(ARRAYFORMULA(XLOOKUP(FILTER(INDIRECT(""'""&amp;DF$1&amp;""'!$C$4:$C$66""),INDIRECT(""'""&amp;DF$1&amp;""'!$D$4:$D$66"")=DF$2),$G$3:$BQ$3,$G32:$BQ32))),"""")"),"")</f>
        <v/>
      </c>
      <c r="DH32" s="251">
        <f>IFERROR(__xludf.DUMMYFUNCTION("AVERAGE(ARRAYFORMULA(XLOOKUP(FILTER(INDIRECT(""'""&amp;DH$1&amp;""'!$C$4:$C$66""),INDIRECT(""'""&amp;DH$1&amp;""'!$D$4:$D$66"")=DH$2),$G$3:$BQ$3,$G32:$BQ32)))"),0.2977528111111111)</f>
        <v>0.2977528111</v>
      </c>
      <c r="DI32" s="207" t="str">
        <f>IFERROR(__xludf.DUMMYFUNCTION("IF(OR(DH32&gt;$BS32+$BT32*$BT$2,DH32&lt;$BS32-$BT32*$BT$2),AVEDEV(ARRAYFORMULA(XLOOKUP(FILTER(INDIRECT(""'""&amp;DH$1&amp;""'!$C$4:$C$66""),INDIRECT(""'""&amp;DH$1&amp;""'!$D$4:$D$66"")=DH$2),$G$3:$BQ$3,$G32:$BQ32))),"""")"),"")</f>
        <v/>
      </c>
      <c r="DJ32" s="243"/>
    </row>
    <row r="33">
      <c r="A33" s="2"/>
      <c r="B33" s="204">
        <v>29.0</v>
      </c>
      <c r="C33" s="204" t="s">
        <v>442</v>
      </c>
      <c r="D33" s="204" t="s">
        <v>472</v>
      </c>
      <c r="E33" s="205" t="b">
        <f>VLOOKUP(D33,'Feature Set List'!A30:C246,2,0)</f>
        <v>1</v>
      </c>
      <c r="F33" s="205" t="b">
        <f>VLOOKUP(D33,'Feature Set List'!A30:C246,3,0)</f>
        <v>1</v>
      </c>
      <c r="G33" s="205">
        <v>-0.1065472</v>
      </c>
      <c r="H33" s="205">
        <v>-0.5143142</v>
      </c>
      <c r="I33" s="205">
        <v>0.80308688</v>
      </c>
      <c r="J33" s="205">
        <v>-0.6069206</v>
      </c>
      <c r="K33" s="205">
        <v>-0.5187951</v>
      </c>
      <c r="L33" s="205">
        <v>-0.6950461</v>
      </c>
      <c r="M33" s="205">
        <v>0.23251182</v>
      </c>
      <c r="N33" s="205">
        <v>-0.1025641</v>
      </c>
      <c r="O33" s="205">
        <v>0.49290515</v>
      </c>
      <c r="P33" s="205">
        <v>-0.5078417</v>
      </c>
      <c r="Q33" s="205">
        <v>0.48195171</v>
      </c>
      <c r="R33" s="205">
        <v>1.18894698</v>
      </c>
      <c r="S33" s="205">
        <v>1.05850137</v>
      </c>
      <c r="T33" s="205">
        <v>0.35349764</v>
      </c>
      <c r="U33" s="205">
        <v>1.2442121</v>
      </c>
      <c r="V33" s="205">
        <v>-0.7084889</v>
      </c>
      <c r="W33" s="205">
        <v>0.42021409</v>
      </c>
      <c r="X33" s="205">
        <v>1.93079412</v>
      </c>
      <c r="Y33" s="205">
        <v>-0.5073438</v>
      </c>
      <c r="Z33" s="205">
        <v>0.26885736</v>
      </c>
      <c r="AA33" s="205">
        <v>0.09708738</v>
      </c>
      <c r="AB33" s="205">
        <v>0.7776948</v>
      </c>
      <c r="AC33" s="205">
        <v>-0.1259647</v>
      </c>
      <c r="AD33" s="205">
        <v>0.13144137</v>
      </c>
      <c r="AE33" s="205">
        <v>-0.3181479</v>
      </c>
      <c r="AF33" s="205">
        <v>-0.7443366</v>
      </c>
      <c r="AG33" s="205">
        <v>-0.3813791</v>
      </c>
      <c r="AH33" s="205">
        <v>-0.0881255</v>
      </c>
      <c r="AI33" s="205">
        <v>-0.7851631</v>
      </c>
      <c r="AJ33" s="205">
        <v>0.73039582</v>
      </c>
      <c r="AK33" s="205">
        <v>-0.6163804</v>
      </c>
      <c r="AL33" s="205">
        <v>-0.510829</v>
      </c>
      <c r="AM33" s="205">
        <v>-0.6099079</v>
      </c>
      <c r="AN33" s="205">
        <v>0.69156087</v>
      </c>
      <c r="AO33" s="205">
        <v>-0.5715708</v>
      </c>
      <c r="AP33" s="205">
        <v>-0.6716455</v>
      </c>
      <c r="AQ33" s="205">
        <v>-0.042818</v>
      </c>
      <c r="AR33" s="205">
        <v>-0.2384864</v>
      </c>
      <c r="AS33" s="205">
        <v>-0.4809559</v>
      </c>
      <c r="AT33" s="205">
        <v>-0.0702016</v>
      </c>
      <c r="AU33" s="205">
        <v>0.68160319</v>
      </c>
      <c r="AV33" s="205">
        <v>-0.7876525</v>
      </c>
      <c r="AW33" s="205">
        <v>-0.8145382</v>
      </c>
      <c r="AX33" s="205">
        <v>0.14986308</v>
      </c>
      <c r="AY33" s="205">
        <v>0.54468509</v>
      </c>
      <c r="AZ33" s="205">
        <v>1.1789893</v>
      </c>
      <c r="BA33" s="205">
        <v>0.0527757</v>
      </c>
      <c r="BB33" s="205">
        <v>1.15658452</v>
      </c>
      <c r="BC33" s="205">
        <v>0.57804332</v>
      </c>
      <c r="BD33" s="205">
        <v>-0.5735624</v>
      </c>
      <c r="BE33" s="205">
        <v>0.33706746</v>
      </c>
      <c r="BF33" s="205">
        <v>0.03286034</v>
      </c>
      <c r="BG33" s="205">
        <v>-0.1175006</v>
      </c>
      <c r="BH33" s="205">
        <v>0.06572069</v>
      </c>
      <c r="BI33" s="205">
        <v>0.0592482</v>
      </c>
      <c r="BJ33" s="205">
        <v>0.75529002</v>
      </c>
      <c r="BK33" s="205">
        <v>-0.8090615</v>
      </c>
      <c r="BL33" s="205">
        <v>0.0</v>
      </c>
      <c r="BM33" s="205">
        <v>-0.6681603</v>
      </c>
      <c r="BN33" s="205">
        <v>0.36196166</v>
      </c>
      <c r="BO33" s="205">
        <v>1.107294</v>
      </c>
      <c r="BP33" s="205">
        <v>0.41075429</v>
      </c>
      <c r="BQ33" s="205">
        <v>-0.1105302</v>
      </c>
      <c r="BR33" s="206"/>
      <c r="BS33" s="250">
        <f t="shared" si="1"/>
        <v>0.06304159556</v>
      </c>
      <c r="BT33" s="250">
        <f t="shared" si="2"/>
        <v>0.5227413144</v>
      </c>
      <c r="BU33" s="206"/>
      <c r="BV33" s="207">
        <f>IFERROR(__xludf.DUMMYFUNCTION("AVERAGE(ARRAYFORMULA(XLOOKUP(FILTER(INDIRECT(""'""&amp;BV$1&amp;""'!$C$4:$C$66""),INDIRECT(""'""&amp;BV$1&amp;""'!$D$4:$D$66"")=BV$2),$G$3:$BQ$3,$G33:$BQ33)))"),0.6631103557142858)</f>
        <v>0.6631103557</v>
      </c>
      <c r="BW33" s="207">
        <f>IFERROR(__xludf.DUMMYFUNCTION("IF(OR(BV33&gt;$BS33+$BT33*$BT$2,BV33&lt;$BS33-$BT33*$BT$2),AVEDEV(ARRAYFORMULA(XLOOKUP(FILTER(INDIRECT(""'""&amp;BV$1&amp;""'!$C$4:$C$66""),INDIRECT(""'""&amp;BV$1&amp;""'!$D$4:$D$66"")=BV$2),$G$3:$BQ$3,$G33:$BQ33))),"""")"),0.6692170493877551)</f>
        <v>0.6692170494</v>
      </c>
      <c r="BX33" s="207">
        <f>IFERROR(__xludf.DUMMYFUNCTION("AVERAGE(ARRAYFORMULA(XLOOKUP(FILTER(INDIRECT(""'""&amp;BX$1&amp;""'!$C$4:$C$66""),INDIRECT(""'""&amp;BX$1&amp;""'!$D$4:$D$66"")=BX$2),$G$3:$BQ$3,$G33:$BQ33)))"),-0.014047440238095243)</f>
        <v>-0.01404744024</v>
      </c>
      <c r="BY33" s="207" t="str">
        <f>IFERROR(__xludf.DUMMYFUNCTION("IF(OR(BX33&gt;$BS33+$BT33*$BT$2,BX33&lt;$BS33-$BT33*$BT$2),AVEDEV(ARRAYFORMULA(XLOOKUP(FILTER(INDIRECT(""'""&amp;BX$1&amp;""'!$C$4:$C$66""),INDIRECT(""'""&amp;BX$1&amp;""'!$D$4:$D$66"")=BX$2),$G$3:$BQ$3,$G33:$BQ33))),"""")"),"")</f>
        <v/>
      </c>
      <c r="BZ33" s="207">
        <f>IFERROR(__xludf.DUMMYFUNCTION("AVERAGE(ARRAYFORMULA(XLOOKUP(FILTER(INDIRECT(""'""&amp;BZ$1&amp;""'!$C$4:$C$66""),INDIRECT(""'""&amp;BZ$1&amp;""'!$D$4:$D$66"")=BZ$2),$G$3:$BQ$3,$G33:$BQ33)))"),-0.09011701363636364)</f>
        <v>-0.09011701364</v>
      </c>
      <c r="CA33" s="207" t="str">
        <f>IFERROR(__xludf.DUMMYFUNCTION("IF(OR(BZ33&gt;$BS33+$BT33*$BT$2,BZ33&lt;$BS33-$BT33*$BT$2),AVEDEV(ARRAYFORMULA(XLOOKUP(FILTER(INDIRECT(""'""&amp;BZ$1&amp;""'!$C$4:$C$66""),INDIRECT(""'""&amp;BZ$1&amp;""'!$D$4:$D$66"")=BZ$2),$G$3:$BQ$3,$G33:$BQ33))),"""")"),"")</f>
        <v/>
      </c>
      <c r="CB33" s="209"/>
      <c r="CC33" s="207">
        <f>IFERROR(__xludf.DUMMYFUNCTION("AVERAGE(ARRAYFORMULA(XLOOKUP(FILTER(INDIRECT(""'""&amp;CC$1&amp;""'!$C$4:$C$66""),INDIRECT(""'""&amp;CC$1&amp;""'!$D$4:$D$66"")=CC$2),$G$3:$BQ$3,$G33:$BQ33)))"),-0.23235623375000006)</f>
        <v>-0.2323562338</v>
      </c>
      <c r="CD33" s="207" t="str">
        <f>IFERROR(__xludf.DUMMYFUNCTION("IF(OR(CC33&gt;$BS33+$BT33*$BT$2,CC33&lt;$BS33-$BT33*$BT$2),AVEDEV(ARRAYFORMULA(XLOOKUP(FILTER(INDIRECT(""'""&amp;CC$1&amp;""'!$C$4:$C$66""),INDIRECT(""'""&amp;CC$1&amp;""'!$D$4:$D$66"")=CC$2),$G$3:$BQ$3,$G33:$BQ33))),"""")"),"")</f>
        <v/>
      </c>
      <c r="CE33" s="207">
        <f>IFERROR(__xludf.DUMMYFUNCTION("AVERAGE(ARRAYFORMULA(XLOOKUP(FILTER(INDIRECT(""'""&amp;CE$1&amp;""'!$C$4:$C$66""),INDIRECT(""'""&amp;CE$1&amp;""'!$D$4:$D$66"")=CE$2),$G$3:$BQ$3,$G33:$BQ33)))"),0.18951712741935486)</f>
        <v>0.1895171274</v>
      </c>
      <c r="CF33" s="207" t="str">
        <f>IFERROR(__xludf.DUMMYFUNCTION("IF(OR(CE33&gt;$BS33+$BT33*$BT$2,CE33&lt;$BS33-$BT33*$BT$2),AVEDEV(ARRAYFORMULA(XLOOKUP(FILTER(INDIRECT(""'""&amp;CE$1&amp;""'!$C$4:$C$66""),INDIRECT(""'""&amp;CE$1&amp;""'!$D$4:$D$66"")=CE$2),$G$3:$BQ$3,$G33:$BQ33))),"""")"),"")</f>
        <v/>
      </c>
      <c r="CG33" s="207">
        <f>IFERROR(__xludf.DUMMYFUNCTION("AVERAGE(ARRAYFORMULA(XLOOKUP(FILTER(INDIRECT(""'""&amp;CG$1&amp;""'!$C$4:$C$66""),INDIRECT(""'""&amp;CG$1&amp;""'!$D$4:$D$66"")=CG$2),$G$3:$BQ$3,$G33:$BQ33)))"),-0.140004972)</f>
        <v>-0.140004972</v>
      </c>
      <c r="CH33" s="207" t="str">
        <f>IFERROR(__xludf.DUMMYFUNCTION("IF(OR(CG33&gt;$BS33+$BT33*$BT$2,CG33&lt;$BS33-$BT33*$BT$2),AVEDEV(ARRAYFORMULA(XLOOKUP(FILTER(INDIRECT(""'""&amp;CG$1&amp;""'!$C$4:$C$66""),INDIRECT(""'""&amp;CG$1&amp;""'!$D$4:$D$66"")=CG$2),$G$3:$BQ$3,$G33:$BQ33))),"""")"),"")</f>
        <v/>
      </c>
      <c r="CI33" s="206"/>
      <c r="CJ33" s="251">
        <f>IFERROR(__xludf.DUMMYFUNCTION("AVERAGE(ARRAYFORMULA(XLOOKUP(FILTER(INDIRECT(""'""&amp;CJ$1&amp;""'!$C$4:$C$66""),INDIRECT(""'""&amp;CJ$1&amp;""'!$D$4:$D$66"")=CJ$2),$G$3:$BQ$3,$G33:$BQ33)))"),0.310911952)</f>
        <v>0.310911952</v>
      </c>
      <c r="CK33" s="207" t="str">
        <f>IFERROR(__xludf.DUMMYFUNCTION("IF(OR(CJ33&gt;$BS33+$BT33*$BT$2,CJ33&lt;$BS33-$BT33*$BT$2),AVEDEV(ARRAYFORMULA(XLOOKUP(FILTER(INDIRECT(""'""&amp;CJ$1&amp;""'!$C$4:$C$66""),INDIRECT(""'""&amp;CJ$1&amp;""'!$D$4:$D$66"")=CJ$2),$G$3:$BQ$3,$G33:$BQ33))),"""")"),"")</f>
        <v/>
      </c>
      <c r="CL33" s="251">
        <f>IFERROR(__xludf.DUMMYFUNCTION("AVERAGE(ARRAYFORMULA(XLOOKUP(FILTER(INDIRECT(""'""&amp;CL$1&amp;""'!$C$4:$C$66""),INDIRECT(""'""&amp;CL$1&amp;""'!$D$4:$D$66"")=CL$2),$G$3:$BQ$3,$G33:$BQ33)))"),-0.02315798897435897)</f>
        <v>-0.02315798897</v>
      </c>
      <c r="CM33" s="207" t="str">
        <f>IFERROR(__xludf.DUMMYFUNCTION("IF(OR(CL33&gt;$BS33+$BT33*$BT$2,CL33&lt;$BS33-$BT33*$BT$2),AVEDEV(ARRAYFORMULA(XLOOKUP(FILTER(INDIRECT(""'""&amp;CL$1&amp;""'!$C$4:$C$66""),INDIRECT(""'""&amp;CL$1&amp;""'!$D$4:$D$66"")=CL$2),$G$3:$BQ$3,$G33:$BQ33))),"""")"),"")</f>
        <v/>
      </c>
      <c r="CN33" s="251">
        <f>IFERROR(__xludf.DUMMYFUNCTION("AVERAGE(ARRAYFORMULA(XLOOKUP(FILTER(INDIRECT(""'""&amp;CN$1&amp;""'!$C$4:$C$66""),INDIRECT(""'""&amp;CN$1&amp;""'!$D$4:$D$66"")=CN$2),$G$3:$BQ$3,$G33:$BQ33)))"),-0.140004972)</f>
        <v>-0.140004972</v>
      </c>
      <c r="CO33" s="207" t="str">
        <f>IFERROR(__xludf.DUMMYFUNCTION("IF(OR(CN33&gt;$BS33+$BT33*$BT$2,CN33&lt;$BS33-$BT33*$BT$2),AVEDEV(ARRAYFORMULA(XLOOKUP(FILTER(INDIRECT(""'""&amp;CN$1&amp;""'!$C$4:$C$66""),INDIRECT(""'""&amp;CN$1&amp;""'!$D$4:$D$66"")=CN$2),$G$3:$BQ$3,$G33:$BQ33))),"""")"),"")</f>
        <v/>
      </c>
      <c r="CP33" s="252"/>
      <c r="CQ33" s="251">
        <f>IFERROR(__xludf.DUMMYFUNCTION("AVERAGE(ARRAYFORMULA(XLOOKUP(FILTER(INDIRECT(""'""&amp;CQ$1&amp;""'!$C$4:$C$66""),INDIRECT(""'""&amp;CQ$1&amp;""'!$D$4:$D$66"")=CQ$2),$G$3:$BQ$3,$G33:$BQ33)))"),-0.4892421542857143)</f>
        <v>-0.4892421543</v>
      </c>
      <c r="CR33" s="207">
        <f>IFERROR(__xludf.DUMMYFUNCTION("IF(OR(CQ33&gt;$BS33+$BT33*$BT$2,CQ33&lt;$BS33-$BT33*$BT$2),AVEDEV(ARRAYFORMULA(XLOOKUP(FILTER(INDIRECT(""'""&amp;CQ$1&amp;""'!$C$4:$C$66""),INDIRECT(""'""&amp;CQ$1&amp;""'!$D$4:$D$66"")=CQ$2),$G$3:$BQ$3,$G33:$BQ33))),"""")"),0.23345171591836736)</f>
        <v>0.2334517159</v>
      </c>
      <c r="CS33" s="251">
        <f>IFERROR(__xludf.DUMMYFUNCTION("AVERAGE(ARRAYFORMULA(XLOOKUP(FILTER(INDIRECT(""'""&amp;CS$1&amp;""'!$C$4:$C$66""),INDIRECT(""'""&amp;CS$1&amp;""'!$D$4:$D$66"")=CS$2),$G$3:$BQ$3,$G33:$BQ33)))"),-0.16690179444444445)</f>
        <v>-0.1669017944</v>
      </c>
      <c r="CT33" s="207" t="str">
        <f>IFERROR(__xludf.DUMMYFUNCTION("IF(OR(CS33&gt;$BS33+$BT33*$BT$2,CS33&lt;$BS33-$BT33*$BT$2),AVEDEV(ARRAYFORMULA(XLOOKUP(FILTER(INDIRECT(""'""&amp;CS$1&amp;""'!$C$4:$C$66""),INDIRECT(""'""&amp;CS$1&amp;""'!$D$4:$D$66"")=CS$2),$G$3:$BQ$3,$G33:$BQ33))),"""")"),"")</f>
        <v/>
      </c>
      <c r="CU33" s="251">
        <f>IFERROR(__xludf.DUMMYFUNCTION("AVERAGE(ARRAYFORMULA(XLOOKUP(FILTER(INDIRECT(""'""&amp;CU$1&amp;""'!$C$4:$C$66""),INDIRECT(""'""&amp;CU$1&amp;""'!$D$4:$D$66"")=CU$2),$G$3:$BQ$3,$G33:$BQ33)))"),0.22001945909090911)</f>
        <v>0.2200194591</v>
      </c>
      <c r="CV33" s="207" t="str">
        <f>IFERROR(__xludf.DUMMYFUNCTION("IF(OR(CU33&gt;$BS33+$BT33*$BT$2,CU33&lt;$BS33-$BT33*$BT$2),AVEDEV(ARRAYFORMULA(XLOOKUP(FILTER(INDIRECT(""'""&amp;CU$1&amp;""'!$C$4:$C$66""),INDIRECT(""'""&amp;CU$1&amp;""'!$D$4:$D$66"")=CU$2),$G$3:$BQ$3,$G33:$BQ33))),"""")"),"")</f>
        <v/>
      </c>
      <c r="CW33" s="251">
        <f>IFERROR(__xludf.DUMMYFUNCTION("AVERAGE(ARRAYFORMULA(XLOOKUP(FILTER(INDIRECT(""'""&amp;CW$1&amp;""'!$C$4:$C$66""),INDIRECT(""'""&amp;CW$1&amp;""'!$D$4:$D$66"")=CW$2),$G$3:$BQ$3,$G33:$BQ33)))"),0.09858103)</f>
        <v>0.09858103</v>
      </c>
      <c r="CX33" s="207" t="str">
        <f>IFERROR(__xludf.DUMMYFUNCTION("IF(OR(CW33&gt;$BS33+$BT33*$BT$2,CW33&lt;$BS33-$BT33*$BT$2),AVEDEV(ARRAYFORMULA(XLOOKUP(FILTER(INDIRECT(""'""&amp;CW$1&amp;""'!$C$4:$C$66""),INDIRECT(""'""&amp;CW$1&amp;""'!$D$4:$D$66"")=CW$2),$G$3:$BQ$3,$G33:$BQ33))),"""")"),"")</f>
        <v/>
      </c>
      <c r="CY33" s="251">
        <f>IFERROR(__xludf.DUMMYFUNCTION("AVERAGE(ARRAYFORMULA(XLOOKUP(FILTER(INDIRECT(""'""&amp;CY$1&amp;""'!$C$4:$C$66""),INDIRECT(""'""&amp;CY$1&amp;""'!$D$4:$D$66"")=CY$2),$G$3:$BQ$3,$G33:$BQ33)))"),0.4157687042857143)</f>
        <v>0.4157687043</v>
      </c>
      <c r="CZ33" s="207" t="str">
        <f>IFERROR(__xludf.DUMMYFUNCTION("IF(OR(CY33&gt;$BS33+$BT33*$BT$2,CY33&lt;$BS33-$BT33*$BT$2),AVEDEV(ARRAYFORMULA(XLOOKUP(FILTER(INDIRECT(""'""&amp;CY$1&amp;""'!$C$4:$C$66""),INDIRECT(""'""&amp;CY$1&amp;""'!$D$4:$D$66"")=CY$2),$G$3:$BQ$3,$G33:$BQ33))),"""")"),"")</f>
        <v/>
      </c>
      <c r="DA33" s="252"/>
      <c r="DB33" s="251">
        <f>IFERROR(__xludf.DUMMYFUNCTION("AVERAGE(ARRAYFORMULA(XLOOKUP(FILTER(INDIRECT(""'""&amp;DB$1&amp;""'!$C$4:$C$66""),INDIRECT(""'""&amp;DB$1&amp;""'!$D$4:$D$66"")=DB$2),$G$3:$BQ$3,$G33:$BQ33)))"),-0.046635134333333335)</f>
        <v>-0.04663513433</v>
      </c>
      <c r="DC33" s="207" t="str">
        <f>IFERROR(__xludf.DUMMYFUNCTION("IF(OR(DB33&gt;$BS33+$BT33*$BT$2,DB33&lt;$BS33-$BT33*$BT$2),AVEDEV(ARRAYFORMULA(XLOOKUP(FILTER(INDIRECT(""'""&amp;DB$1&amp;""'!$C$4:$C$66""),INDIRECT(""'""&amp;DB$1&amp;""'!$D$4:$D$66"")=DB$2),$G$3:$BQ$3,$G33:$BQ33))),"""")"),"")</f>
        <v/>
      </c>
      <c r="DD33" s="251">
        <f>IFERROR(__xludf.DUMMYFUNCTION("AVERAGE(ARRAYFORMULA(XLOOKUP(FILTER(INDIRECT(""'""&amp;DD$1&amp;""'!$C$4:$C$66""),INDIRECT(""'""&amp;DD$1&amp;""'!$D$4:$D$66"")=DD$2),$G$3:$BQ$3,$G33:$BQ33)))"),-0.1895831722222222)</f>
        <v>-0.1895831722</v>
      </c>
      <c r="DE33" s="207" t="str">
        <f>IFERROR(__xludf.DUMMYFUNCTION("IF(OR(DD33&gt;$BS33+$BT33*$BT$2,DD33&lt;$BS33-$BT33*$BT$2),AVEDEV(ARRAYFORMULA(XLOOKUP(FILTER(INDIRECT(""'""&amp;DD$1&amp;""'!$C$4:$C$66""),INDIRECT(""'""&amp;DD$1&amp;""'!$D$4:$D$66"")=DD$2),$G$3:$BQ$3,$G33:$BQ33))),"""")"),"")</f>
        <v/>
      </c>
      <c r="DF33" s="251">
        <f>IFERROR(__xludf.DUMMYFUNCTION("AVERAGE(ARRAYFORMULA(XLOOKUP(FILTER(INDIRECT(""'""&amp;DF$1&amp;""'!$C$4:$C$66""),INDIRECT(""'""&amp;DF$1&amp;""'!$D$4:$D$66"")=DF$2),$G$3:$BQ$3,$G33:$BQ33)))"),0.8169653987499998)</f>
        <v>0.8169653988</v>
      </c>
      <c r="DG33" s="207">
        <f>IFERROR(__xludf.DUMMYFUNCTION("IF(OR(DF33&gt;$BS33+$BT33*$BT$2,DF33&lt;$BS33-$BT33*$BT$2),AVEDEV(ARRAYFORMULA(XLOOKUP(FILTER(INDIRECT(""'""&amp;DF$1&amp;""'!$C$4:$C$66""),INDIRECT(""'""&amp;DF$1&amp;""'!$D$4:$D$66"")=DF$2),$G$3:$BQ$3,$G33:$BQ33))),"""")"),0.35069703875)</f>
        <v>0.3506970388</v>
      </c>
      <c r="DH33" s="251">
        <f>IFERROR(__xludf.DUMMYFUNCTION("AVERAGE(ARRAYFORMULA(XLOOKUP(FILTER(INDIRECT(""'""&amp;DH$1&amp;""'!$C$4:$C$66""),INDIRECT(""'""&amp;DH$1&amp;""'!$D$4:$D$66"")=DH$2),$G$3:$BQ$3,$G33:$BQ33)))"),-0.16562940888888888)</f>
        <v>-0.1656294089</v>
      </c>
      <c r="DI33" s="207" t="str">
        <f>IFERROR(__xludf.DUMMYFUNCTION("IF(OR(DH33&gt;$BS33+$BT33*$BT$2,DH33&lt;$BS33-$BT33*$BT$2),AVEDEV(ARRAYFORMULA(XLOOKUP(FILTER(INDIRECT(""'""&amp;DH$1&amp;""'!$C$4:$C$66""),INDIRECT(""'""&amp;DH$1&amp;""'!$D$4:$D$66"")=DH$2),$G$3:$BQ$3,$G33:$BQ33))),"""")"),"")</f>
        <v/>
      </c>
      <c r="DJ33" s="243"/>
    </row>
    <row r="34">
      <c r="A34" s="2"/>
      <c r="B34" s="204">
        <v>30.0</v>
      </c>
      <c r="C34" s="204" t="s">
        <v>442</v>
      </c>
      <c r="D34" s="204" t="s">
        <v>473</v>
      </c>
      <c r="E34" s="205" t="b">
        <f>VLOOKUP(D34,'Feature Set List'!A31:C246,2,0)</f>
        <v>1</v>
      </c>
      <c r="F34" s="205" t="b">
        <f>VLOOKUP(D34,'Feature Set List'!A31:C246,3,0)</f>
        <v>0</v>
      </c>
      <c r="G34" s="205">
        <v>0.0</v>
      </c>
      <c r="H34" s="205">
        <v>0.0</v>
      </c>
      <c r="I34" s="205">
        <v>0.0</v>
      </c>
      <c r="J34" s="205">
        <v>0.0</v>
      </c>
      <c r="K34" s="205">
        <v>0.0</v>
      </c>
      <c r="L34" s="205">
        <v>0.0</v>
      </c>
      <c r="M34" s="205">
        <v>0.0</v>
      </c>
      <c r="N34" s="205">
        <v>0.0</v>
      </c>
      <c r="O34" s="205">
        <v>0.0</v>
      </c>
      <c r="P34" s="205">
        <v>0.0</v>
      </c>
      <c r="Q34" s="205">
        <v>0.0</v>
      </c>
      <c r="R34" s="205">
        <v>0.0</v>
      </c>
      <c r="S34" s="205">
        <v>0.0</v>
      </c>
      <c r="T34" s="205">
        <v>0.0</v>
      </c>
      <c r="U34" s="205">
        <v>0.0</v>
      </c>
      <c r="V34" s="205">
        <v>0.0</v>
      </c>
      <c r="W34" s="205">
        <v>0.0</v>
      </c>
      <c r="X34" s="205">
        <v>0.0</v>
      </c>
      <c r="Y34" s="205">
        <v>0.0</v>
      </c>
      <c r="Z34" s="205">
        <v>0.0</v>
      </c>
      <c r="AA34" s="205">
        <v>0.0</v>
      </c>
      <c r="AB34" s="205">
        <v>0.0</v>
      </c>
      <c r="AC34" s="205">
        <v>0.0</v>
      </c>
      <c r="AD34" s="205">
        <v>0.0</v>
      </c>
      <c r="AE34" s="205">
        <v>0.0</v>
      </c>
      <c r="AF34" s="205">
        <v>0.0</v>
      </c>
      <c r="AG34" s="205">
        <v>0.0</v>
      </c>
      <c r="AH34" s="205">
        <v>0.0</v>
      </c>
      <c r="AI34" s="205">
        <v>0.0</v>
      </c>
      <c r="AJ34" s="205">
        <v>0.0</v>
      </c>
      <c r="AK34" s="205">
        <v>0.0</v>
      </c>
      <c r="AL34" s="205">
        <v>0.0</v>
      </c>
      <c r="AM34" s="205">
        <v>0.0</v>
      </c>
      <c r="AN34" s="205">
        <v>0.0</v>
      </c>
      <c r="AO34" s="205">
        <v>0.0</v>
      </c>
      <c r="AP34" s="205">
        <v>0.0</v>
      </c>
      <c r="AQ34" s="205">
        <v>0.0</v>
      </c>
      <c r="AR34" s="205">
        <v>0.0</v>
      </c>
      <c r="AS34" s="205">
        <v>0.0</v>
      </c>
      <c r="AT34" s="205">
        <v>0.0</v>
      </c>
      <c r="AU34" s="205">
        <v>0.0</v>
      </c>
      <c r="AV34" s="205">
        <v>0.0</v>
      </c>
      <c r="AW34" s="205">
        <v>0.0</v>
      </c>
      <c r="AX34" s="205">
        <v>0.0</v>
      </c>
      <c r="AY34" s="205">
        <v>0.0</v>
      </c>
      <c r="AZ34" s="205">
        <v>0.0</v>
      </c>
      <c r="BA34" s="205">
        <v>0.0</v>
      </c>
      <c r="BB34" s="205">
        <v>0.0</v>
      </c>
      <c r="BC34" s="205">
        <v>0.0</v>
      </c>
      <c r="BD34" s="205">
        <v>0.0</v>
      </c>
      <c r="BE34" s="205">
        <v>0.0</v>
      </c>
      <c r="BF34" s="205">
        <v>0.0</v>
      </c>
      <c r="BG34" s="205">
        <v>0.0</v>
      </c>
      <c r="BH34" s="205">
        <v>0.0</v>
      </c>
      <c r="BI34" s="205">
        <v>0.0</v>
      </c>
      <c r="BJ34" s="205">
        <v>0.0</v>
      </c>
      <c r="BK34" s="205">
        <v>0.0</v>
      </c>
      <c r="BL34" s="205">
        <v>0.0</v>
      </c>
      <c r="BM34" s="205">
        <v>0.0</v>
      </c>
      <c r="BN34" s="205">
        <v>0.0</v>
      </c>
      <c r="BO34" s="205">
        <v>0.0</v>
      </c>
      <c r="BP34" s="205">
        <v>0.0</v>
      </c>
      <c r="BQ34" s="205">
        <v>0.0</v>
      </c>
      <c r="BR34" s="206"/>
      <c r="BS34" s="250">
        <f t="shared" si="1"/>
        <v>0</v>
      </c>
      <c r="BT34" s="250">
        <f t="shared" si="2"/>
        <v>0</v>
      </c>
      <c r="BU34" s="206"/>
      <c r="BV34" s="207">
        <f>IFERROR(__xludf.DUMMYFUNCTION("AVERAGE(ARRAYFORMULA(XLOOKUP(FILTER(INDIRECT(""'""&amp;BV$1&amp;""'!$C$4:$C$66""),INDIRECT(""'""&amp;BV$1&amp;""'!$D$4:$D$66"")=BV$2),$G$3:$BQ$3,$G34:$BQ34)))"),0.0)</f>
        <v>0</v>
      </c>
      <c r="BW34" s="207" t="str">
        <f>IFERROR(__xludf.DUMMYFUNCTION("IF(OR(BV34&gt;$BS34+$BT34*$BT$2,BV34&lt;$BS34-$BT34*$BT$2),AVEDEV(ARRAYFORMULA(XLOOKUP(FILTER(INDIRECT(""'""&amp;BV$1&amp;""'!$C$4:$C$66""),INDIRECT(""'""&amp;BV$1&amp;""'!$D$4:$D$66"")=BV$2),$G$3:$BQ$3,$G34:$BQ34))),"""")"),"")</f>
        <v/>
      </c>
      <c r="BX34" s="207">
        <f>IFERROR(__xludf.DUMMYFUNCTION("AVERAGE(ARRAYFORMULA(XLOOKUP(FILTER(INDIRECT(""'""&amp;BX$1&amp;""'!$C$4:$C$66""),INDIRECT(""'""&amp;BX$1&amp;""'!$D$4:$D$66"")=BX$2),$G$3:$BQ$3,$G34:$BQ34)))"),0.0)</f>
        <v>0</v>
      </c>
      <c r="BY34" s="207" t="str">
        <f>IFERROR(__xludf.DUMMYFUNCTION("IF(OR(BX34&gt;$BS34+$BT34*$BT$2,BX34&lt;$BS34-$BT34*$BT$2),AVEDEV(ARRAYFORMULA(XLOOKUP(FILTER(INDIRECT(""'""&amp;BX$1&amp;""'!$C$4:$C$66""),INDIRECT(""'""&amp;BX$1&amp;""'!$D$4:$D$66"")=BX$2),$G$3:$BQ$3,$G34:$BQ34))),"""")"),"")</f>
        <v/>
      </c>
      <c r="BZ34" s="207">
        <f>IFERROR(__xludf.DUMMYFUNCTION("AVERAGE(ARRAYFORMULA(XLOOKUP(FILTER(INDIRECT(""'""&amp;BZ$1&amp;""'!$C$4:$C$66""),INDIRECT(""'""&amp;BZ$1&amp;""'!$D$4:$D$66"")=BZ$2),$G$3:$BQ$3,$G34:$BQ34)))"),0.0)</f>
        <v>0</v>
      </c>
      <c r="CA34" s="207" t="str">
        <f>IFERROR(__xludf.DUMMYFUNCTION("IF(OR(BZ34&gt;$BS34+$BT34*$BT$2,BZ34&lt;$BS34-$BT34*$BT$2),AVEDEV(ARRAYFORMULA(XLOOKUP(FILTER(INDIRECT(""'""&amp;BZ$1&amp;""'!$C$4:$C$66""),INDIRECT(""'""&amp;BZ$1&amp;""'!$D$4:$D$66"")=BZ$2),$G$3:$BQ$3,$G34:$BQ34))),"""")"),"")</f>
        <v/>
      </c>
      <c r="CB34" s="209"/>
      <c r="CC34" s="207">
        <f>IFERROR(__xludf.DUMMYFUNCTION("AVERAGE(ARRAYFORMULA(XLOOKUP(FILTER(INDIRECT(""'""&amp;CC$1&amp;""'!$C$4:$C$66""),INDIRECT(""'""&amp;CC$1&amp;""'!$D$4:$D$66"")=CC$2),$G$3:$BQ$3,$G34:$BQ34)))"),0.0)</f>
        <v>0</v>
      </c>
      <c r="CD34" s="207" t="str">
        <f>IFERROR(__xludf.DUMMYFUNCTION("IF(OR(CC34&gt;$BS34+$BT34*$BT$2,CC34&lt;$BS34-$BT34*$BT$2),AVEDEV(ARRAYFORMULA(XLOOKUP(FILTER(INDIRECT(""'""&amp;CC$1&amp;""'!$C$4:$C$66""),INDIRECT(""'""&amp;CC$1&amp;""'!$D$4:$D$66"")=CC$2),$G$3:$BQ$3,$G34:$BQ34))),"""")"),"")</f>
        <v/>
      </c>
      <c r="CE34" s="207">
        <f>IFERROR(__xludf.DUMMYFUNCTION("AVERAGE(ARRAYFORMULA(XLOOKUP(FILTER(INDIRECT(""'""&amp;CE$1&amp;""'!$C$4:$C$66""),INDIRECT(""'""&amp;CE$1&amp;""'!$D$4:$D$66"")=CE$2),$G$3:$BQ$3,$G34:$BQ34)))"),0.0)</f>
        <v>0</v>
      </c>
      <c r="CF34" s="207" t="str">
        <f>IFERROR(__xludf.DUMMYFUNCTION("IF(OR(CE34&gt;$BS34+$BT34*$BT$2,CE34&lt;$BS34-$BT34*$BT$2),AVEDEV(ARRAYFORMULA(XLOOKUP(FILTER(INDIRECT(""'""&amp;CE$1&amp;""'!$C$4:$C$66""),INDIRECT(""'""&amp;CE$1&amp;""'!$D$4:$D$66"")=CE$2),$G$3:$BQ$3,$G34:$BQ34))),"""")"),"")</f>
        <v/>
      </c>
      <c r="CG34" s="207">
        <f>IFERROR(__xludf.DUMMYFUNCTION("AVERAGE(ARRAYFORMULA(XLOOKUP(FILTER(INDIRECT(""'""&amp;CG$1&amp;""'!$C$4:$C$66""),INDIRECT(""'""&amp;CG$1&amp;""'!$D$4:$D$66"")=CG$2),$G$3:$BQ$3,$G34:$BQ34)))"),0.0)</f>
        <v>0</v>
      </c>
      <c r="CH34" s="207" t="str">
        <f>IFERROR(__xludf.DUMMYFUNCTION("IF(OR(CG34&gt;$BS34+$BT34*$BT$2,CG34&lt;$BS34-$BT34*$BT$2),AVEDEV(ARRAYFORMULA(XLOOKUP(FILTER(INDIRECT(""'""&amp;CG$1&amp;""'!$C$4:$C$66""),INDIRECT(""'""&amp;CG$1&amp;""'!$D$4:$D$66"")=CG$2),$G$3:$BQ$3,$G34:$BQ34))),"""")"),"")</f>
        <v/>
      </c>
      <c r="CI34" s="206"/>
      <c r="CJ34" s="251">
        <f>IFERROR(__xludf.DUMMYFUNCTION("AVERAGE(ARRAYFORMULA(XLOOKUP(FILTER(INDIRECT(""'""&amp;CJ$1&amp;""'!$C$4:$C$66""),INDIRECT(""'""&amp;CJ$1&amp;""'!$D$4:$D$66"")=CJ$2),$G$3:$BQ$3,$G34:$BQ34)))"),0.0)</f>
        <v>0</v>
      </c>
      <c r="CK34" s="207" t="str">
        <f>IFERROR(__xludf.DUMMYFUNCTION("IF(OR(CJ34&gt;$BS34+$BT34*$BT$2,CJ34&lt;$BS34-$BT34*$BT$2),AVEDEV(ARRAYFORMULA(XLOOKUP(FILTER(INDIRECT(""'""&amp;CJ$1&amp;""'!$C$4:$C$66""),INDIRECT(""'""&amp;CJ$1&amp;""'!$D$4:$D$66"")=CJ$2),$G$3:$BQ$3,$G34:$BQ34))),"""")"),"")</f>
        <v/>
      </c>
      <c r="CL34" s="251">
        <f>IFERROR(__xludf.DUMMYFUNCTION("AVERAGE(ARRAYFORMULA(XLOOKUP(FILTER(INDIRECT(""'""&amp;CL$1&amp;""'!$C$4:$C$66""),INDIRECT(""'""&amp;CL$1&amp;""'!$D$4:$D$66"")=CL$2),$G$3:$BQ$3,$G34:$BQ34)))"),0.0)</f>
        <v>0</v>
      </c>
      <c r="CM34" s="207" t="str">
        <f>IFERROR(__xludf.DUMMYFUNCTION("IF(OR(CL34&gt;$BS34+$BT34*$BT$2,CL34&lt;$BS34-$BT34*$BT$2),AVEDEV(ARRAYFORMULA(XLOOKUP(FILTER(INDIRECT(""'""&amp;CL$1&amp;""'!$C$4:$C$66""),INDIRECT(""'""&amp;CL$1&amp;""'!$D$4:$D$66"")=CL$2),$G$3:$BQ$3,$G34:$BQ34))),"""")"),"")</f>
        <v/>
      </c>
      <c r="CN34" s="251">
        <f>IFERROR(__xludf.DUMMYFUNCTION("AVERAGE(ARRAYFORMULA(XLOOKUP(FILTER(INDIRECT(""'""&amp;CN$1&amp;""'!$C$4:$C$66""),INDIRECT(""'""&amp;CN$1&amp;""'!$D$4:$D$66"")=CN$2),$G$3:$BQ$3,$G34:$BQ34)))"),0.0)</f>
        <v>0</v>
      </c>
      <c r="CO34" s="207" t="str">
        <f>IFERROR(__xludf.DUMMYFUNCTION("IF(OR(CN34&gt;$BS34+$BT34*$BT$2,CN34&lt;$BS34-$BT34*$BT$2),AVEDEV(ARRAYFORMULA(XLOOKUP(FILTER(INDIRECT(""'""&amp;CN$1&amp;""'!$C$4:$C$66""),INDIRECT(""'""&amp;CN$1&amp;""'!$D$4:$D$66"")=CN$2),$G$3:$BQ$3,$G34:$BQ34))),"""")"),"")</f>
        <v/>
      </c>
      <c r="CP34" s="252"/>
      <c r="CQ34" s="251">
        <f>IFERROR(__xludf.DUMMYFUNCTION("AVERAGE(ARRAYFORMULA(XLOOKUP(FILTER(INDIRECT(""'""&amp;CQ$1&amp;""'!$C$4:$C$66""),INDIRECT(""'""&amp;CQ$1&amp;""'!$D$4:$D$66"")=CQ$2),$G$3:$BQ$3,$G34:$BQ34)))"),0.0)</f>
        <v>0</v>
      </c>
      <c r="CR34" s="207" t="str">
        <f>IFERROR(__xludf.DUMMYFUNCTION("IF(OR(CQ34&gt;$BS34+$BT34*$BT$2,CQ34&lt;$BS34-$BT34*$BT$2),AVEDEV(ARRAYFORMULA(XLOOKUP(FILTER(INDIRECT(""'""&amp;CQ$1&amp;""'!$C$4:$C$66""),INDIRECT(""'""&amp;CQ$1&amp;""'!$D$4:$D$66"")=CQ$2),$G$3:$BQ$3,$G34:$BQ34))),"""")"),"")</f>
        <v/>
      </c>
      <c r="CS34" s="251">
        <f>IFERROR(__xludf.DUMMYFUNCTION("AVERAGE(ARRAYFORMULA(XLOOKUP(FILTER(INDIRECT(""'""&amp;CS$1&amp;""'!$C$4:$C$66""),INDIRECT(""'""&amp;CS$1&amp;""'!$D$4:$D$66"")=CS$2),$G$3:$BQ$3,$G34:$BQ34)))"),0.0)</f>
        <v>0</v>
      </c>
      <c r="CT34" s="207" t="str">
        <f>IFERROR(__xludf.DUMMYFUNCTION("IF(OR(CS34&gt;$BS34+$BT34*$BT$2,CS34&lt;$BS34-$BT34*$BT$2),AVEDEV(ARRAYFORMULA(XLOOKUP(FILTER(INDIRECT(""'""&amp;CS$1&amp;""'!$C$4:$C$66""),INDIRECT(""'""&amp;CS$1&amp;""'!$D$4:$D$66"")=CS$2),$G$3:$BQ$3,$G34:$BQ34))),"""")"),"")</f>
        <v/>
      </c>
      <c r="CU34" s="251">
        <f>IFERROR(__xludf.DUMMYFUNCTION("AVERAGE(ARRAYFORMULA(XLOOKUP(FILTER(INDIRECT(""'""&amp;CU$1&amp;""'!$C$4:$C$66""),INDIRECT(""'""&amp;CU$1&amp;""'!$D$4:$D$66"")=CU$2),$G$3:$BQ$3,$G34:$BQ34)))"),0.0)</f>
        <v>0</v>
      </c>
      <c r="CV34" s="207" t="str">
        <f>IFERROR(__xludf.DUMMYFUNCTION("IF(OR(CU34&gt;$BS34+$BT34*$BT$2,CU34&lt;$BS34-$BT34*$BT$2),AVEDEV(ARRAYFORMULA(XLOOKUP(FILTER(INDIRECT(""'""&amp;CU$1&amp;""'!$C$4:$C$66""),INDIRECT(""'""&amp;CU$1&amp;""'!$D$4:$D$66"")=CU$2),$G$3:$BQ$3,$G34:$BQ34))),"""")"),"")</f>
        <v/>
      </c>
      <c r="CW34" s="251">
        <f>IFERROR(__xludf.DUMMYFUNCTION("AVERAGE(ARRAYFORMULA(XLOOKUP(FILTER(INDIRECT(""'""&amp;CW$1&amp;""'!$C$4:$C$66""),INDIRECT(""'""&amp;CW$1&amp;""'!$D$4:$D$66"")=CW$2),$G$3:$BQ$3,$G34:$BQ34)))"),0.0)</f>
        <v>0</v>
      </c>
      <c r="CX34" s="207" t="str">
        <f>IFERROR(__xludf.DUMMYFUNCTION("IF(OR(CW34&gt;$BS34+$BT34*$BT$2,CW34&lt;$BS34-$BT34*$BT$2),AVEDEV(ARRAYFORMULA(XLOOKUP(FILTER(INDIRECT(""'""&amp;CW$1&amp;""'!$C$4:$C$66""),INDIRECT(""'""&amp;CW$1&amp;""'!$D$4:$D$66"")=CW$2),$G$3:$BQ$3,$G34:$BQ34))),"""")"),"")</f>
        <v/>
      </c>
      <c r="CY34" s="251">
        <f>IFERROR(__xludf.DUMMYFUNCTION("AVERAGE(ARRAYFORMULA(XLOOKUP(FILTER(INDIRECT(""'""&amp;CY$1&amp;""'!$C$4:$C$66""),INDIRECT(""'""&amp;CY$1&amp;""'!$D$4:$D$66"")=CY$2),$G$3:$BQ$3,$G34:$BQ34)))"),0.0)</f>
        <v>0</v>
      </c>
      <c r="CZ34" s="207" t="str">
        <f>IFERROR(__xludf.DUMMYFUNCTION("IF(OR(CY34&gt;$BS34+$BT34*$BT$2,CY34&lt;$BS34-$BT34*$BT$2),AVEDEV(ARRAYFORMULA(XLOOKUP(FILTER(INDIRECT(""'""&amp;CY$1&amp;""'!$C$4:$C$66""),INDIRECT(""'""&amp;CY$1&amp;""'!$D$4:$D$66"")=CY$2),$G$3:$BQ$3,$G34:$BQ34))),"""")"),"")</f>
        <v/>
      </c>
      <c r="DA34" s="252"/>
      <c r="DB34" s="251">
        <f>IFERROR(__xludf.DUMMYFUNCTION("AVERAGE(ARRAYFORMULA(XLOOKUP(FILTER(INDIRECT(""'""&amp;DB$1&amp;""'!$C$4:$C$66""),INDIRECT(""'""&amp;DB$1&amp;""'!$D$4:$D$66"")=DB$2),$G$3:$BQ$3,$G34:$BQ34)))"),0.0)</f>
        <v>0</v>
      </c>
      <c r="DC34" s="207" t="str">
        <f>IFERROR(__xludf.DUMMYFUNCTION("IF(OR(DB34&gt;$BS34+$BT34*$BT$2,DB34&lt;$BS34-$BT34*$BT$2),AVEDEV(ARRAYFORMULA(XLOOKUP(FILTER(INDIRECT(""'""&amp;DB$1&amp;""'!$C$4:$C$66""),INDIRECT(""'""&amp;DB$1&amp;""'!$D$4:$D$66"")=DB$2),$G$3:$BQ$3,$G34:$BQ34))),"""")"),"")</f>
        <v/>
      </c>
      <c r="DD34" s="251">
        <f>IFERROR(__xludf.DUMMYFUNCTION("AVERAGE(ARRAYFORMULA(XLOOKUP(FILTER(INDIRECT(""'""&amp;DD$1&amp;""'!$C$4:$C$66""),INDIRECT(""'""&amp;DD$1&amp;""'!$D$4:$D$66"")=DD$2),$G$3:$BQ$3,$G34:$BQ34)))"),0.0)</f>
        <v>0</v>
      </c>
      <c r="DE34" s="207" t="str">
        <f>IFERROR(__xludf.DUMMYFUNCTION("IF(OR(DD34&gt;$BS34+$BT34*$BT$2,DD34&lt;$BS34-$BT34*$BT$2),AVEDEV(ARRAYFORMULA(XLOOKUP(FILTER(INDIRECT(""'""&amp;DD$1&amp;""'!$C$4:$C$66""),INDIRECT(""'""&amp;DD$1&amp;""'!$D$4:$D$66"")=DD$2),$G$3:$BQ$3,$G34:$BQ34))),"""")"),"")</f>
        <v/>
      </c>
      <c r="DF34" s="251">
        <f>IFERROR(__xludf.DUMMYFUNCTION("AVERAGE(ARRAYFORMULA(XLOOKUP(FILTER(INDIRECT(""'""&amp;DF$1&amp;""'!$C$4:$C$66""),INDIRECT(""'""&amp;DF$1&amp;""'!$D$4:$D$66"")=DF$2),$G$3:$BQ$3,$G34:$BQ34)))"),0.0)</f>
        <v>0</v>
      </c>
      <c r="DG34" s="207" t="str">
        <f>IFERROR(__xludf.DUMMYFUNCTION("IF(OR(DF34&gt;$BS34+$BT34*$BT$2,DF34&lt;$BS34-$BT34*$BT$2),AVEDEV(ARRAYFORMULA(XLOOKUP(FILTER(INDIRECT(""'""&amp;DF$1&amp;""'!$C$4:$C$66""),INDIRECT(""'""&amp;DF$1&amp;""'!$D$4:$D$66"")=DF$2),$G$3:$BQ$3,$G34:$BQ34))),"""")"),"")</f>
        <v/>
      </c>
      <c r="DH34" s="251">
        <f>IFERROR(__xludf.DUMMYFUNCTION("AVERAGE(ARRAYFORMULA(XLOOKUP(FILTER(INDIRECT(""'""&amp;DH$1&amp;""'!$C$4:$C$66""),INDIRECT(""'""&amp;DH$1&amp;""'!$D$4:$D$66"")=DH$2),$G$3:$BQ$3,$G34:$BQ34)))"),0.0)</f>
        <v>0</v>
      </c>
      <c r="DI34" s="207" t="str">
        <f>IFERROR(__xludf.DUMMYFUNCTION("IF(OR(DH34&gt;$BS34+$BT34*$BT$2,DH34&lt;$BS34-$BT34*$BT$2),AVEDEV(ARRAYFORMULA(XLOOKUP(FILTER(INDIRECT(""'""&amp;DH$1&amp;""'!$C$4:$C$66""),INDIRECT(""'""&amp;DH$1&amp;""'!$D$4:$D$66"")=DH$2),$G$3:$BQ$3,$G34:$BQ34))),"""")"),"")</f>
        <v/>
      </c>
      <c r="DJ34" s="243"/>
    </row>
    <row r="35">
      <c r="A35" s="2"/>
      <c r="B35" s="204">
        <v>31.0</v>
      </c>
      <c r="C35" s="204" t="s">
        <v>442</v>
      </c>
      <c r="D35" s="204" t="s">
        <v>474</v>
      </c>
      <c r="E35" s="205" t="b">
        <f>VLOOKUP(D35,'Feature Set List'!A32:C246,2,0)</f>
        <v>1</v>
      </c>
      <c r="F35" s="205" t="b">
        <f>VLOOKUP(D35,'Feature Set List'!A32:C246,3,0)</f>
        <v>0</v>
      </c>
      <c r="G35" s="205">
        <v>0.25641026</v>
      </c>
      <c r="H35" s="205">
        <v>-0.7179487</v>
      </c>
      <c r="I35" s="205">
        <v>-0.974359</v>
      </c>
      <c r="J35" s="205">
        <v>-0.3076923</v>
      </c>
      <c r="K35" s="205">
        <v>1.12820513</v>
      </c>
      <c r="L35" s="205">
        <v>0.66666667</v>
      </c>
      <c r="M35" s="205">
        <v>0.71794872</v>
      </c>
      <c r="N35" s="205">
        <v>0.56410256</v>
      </c>
      <c r="O35" s="205">
        <v>-0.6153846</v>
      </c>
      <c r="P35" s="205">
        <v>0.15384615</v>
      </c>
      <c r="Q35" s="205">
        <v>-0.6153846</v>
      </c>
      <c r="R35" s="205">
        <v>0.25641026</v>
      </c>
      <c r="S35" s="205">
        <v>1.12820513</v>
      </c>
      <c r="T35" s="205">
        <v>0.51282051</v>
      </c>
      <c r="U35" s="205">
        <v>-0.4615385</v>
      </c>
      <c r="V35" s="205">
        <v>-0.6666667</v>
      </c>
      <c r="W35" s="205">
        <v>0.25641026</v>
      </c>
      <c r="X35" s="205">
        <v>-1.3333333</v>
      </c>
      <c r="Y35" s="205">
        <v>0.0</v>
      </c>
      <c r="Z35" s="205">
        <v>0.0</v>
      </c>
      <c r="AA35" s="205">
        <v>0.25641026</v>
      </c>
      <c r="AB35" s="205">
        <v>0.1025641</v>
      </c>
      <c r="AC35" s="205">
        <v>0.25641026</v>
      </c>
      <c r="AD35" s="205">
        <v>-0.8205128</v>
      </c>
      <c r="AE35" s="205">
        <v>-1.2307692</v>
      </c>
      <c r="AF35" s="205">
        <v>-0.8205128</v>
      </c>
      <c r="AG35" s="205">
        <v>-0.7179487</v>
      </c>
      <c r="AH35" s="205">
        <v>-0.5641026</v>
      </c>
      <c r="AI35" s="205">
        <v>0.15384615</v>
      </c>
      <c r="AJ35" s="205">
        <v>0.25641026</v>
      </c>
      <c r="AK35" s="205">
        <v>0.30769231</v>
      </c>
      <c r="AL35" s="205">
        <v>-0.4615385</v>
      </c>
      <c r="AM35" s="205">
        <v>-0.3589744</v>
      </c>
      <c r="AN35" s="205">
        <v>-0.8205128</v>
      </c>
      <c r="AO35" s="205">
        <v>-0.6666667</v>
      </c>
      <c r="AP35" s="205">
        <v>-0.5641026</v>
      </c>
      <c r="AQ35" s="205">
        <v>0.51282051</v>
      </c>
      <c r="AR35" s="205">
        <v>-0.3589744</v>
      </c>
      <c r="AS35" s="205">
        <v>0.41025641</v>
      </c>
      <c r="AT35" s="205">
        <v>0.51282051</v>
      </c>
      <c r="AU35" s="205">
        <v>-0.4615385</v>
      </c>
      <c r="AV35" s="205">
        <v>-1.1794872</v>
      </c>
      <c r="AW35" s="205">
        <v>-0.0512821</v>
      </c>
      <c r="AX35" s="205">
        <v>0.51282051</v>
      </c>
      <c r="AY35" s="205">
        <v>-1.2307692</v>
      </c>
      <c r="AZ35" s="205">
        <v>0.51282051</v>
      </c>
      <c r="BA35" s="205">
        <v>0.82051282</v>
      </c>
      <c r="BB35" s="205">
        <v>-0.7179487</v>
      </c>
      <c r="BC35" s="205">
        <v>1.12820513</v>
      </c>
      <c r="BD35" s="205">
        <v>-1.3333333</v>
      </c>
      <c r="BE35" s="205">
        <v>0.35897436</v>
      </c>
      <c r="BF35" s="205">
        <v>-0.2051282</v>
      </c>
      <c r="BG35" s="205">
        <v>0.1025641</v>
      </c>
      <c r="BH35" s="205">
        <v>-0.8205128</v>
      </c>
      <c r="BI35" s="205">
        <v>-0.4615385</v>
      </c>
      <c r="BJ35" s="205">
        <v>-0.1025641</v>
      </c>
      <c r="BK35" s="205">
        <v>0.15384615</v>
      </c>
      <c r="BL35" s="205">
        <v>-1.2307692</v>
      </c>
      <c r="BM35" s="205">
        <v>0.41025641</v>
      </c>
      <c r="BN35" s="205">
        <v>0.61538462</v>
      </c>
      <c r="BO35" s="205">
        <v>0.35897436</v>
      </c>
      <c r="BP35" s="205">
        <v>-0.2051282</v>
      </c>
      <c r="BQ35" s="205">
        <v>0.0</v>
      </c>
      <c r="BR35" s="206"/>
      <c r="BS35" s="250">
        <f t="shared" si="1"/>
        <v>-0.122100124</v>
      </c>
      <c r="BT35" s="250">
        <f t="shared" si="2"/>
        <v>0.5518150287</v>
      </c>
      <c r="BU35" s="206"/>
      <c r="BV35" s="207">
        <f>IFERROR(__xludf.DUMMYFUNCTION("AVERAGE(ARRAYFORMULA(XLOOKUP(FILTER(INDIRECT(""'""&amp;BV$1&amp;""'!$C$4:$C$66""),INDIRECT(""'""&amp;BV$1&amp;""'!$D$4:$D$66"")=BV$2),$G$3:$BQ$3,$G35:$BQ35)))"),-0.7545787485714285)</f>
        <v>-0.7545787486</v>
      </c>
      <c r="BW35" s="207">
        <f>IFERROR(__xludf.DUMMYFUNCTION("IF(OR(BV35&gt;$BS35+$BT35*$BT$2,BV35&lt;$BS35-$BT35*$BT$2),AVEDEV(ARRAYFORMULA(XLOOKUP(FILTER(INDIRECT(""'""&amp;BV$1&amp;""'!$C$4:$C$66""),INDIRECT(""'""&amp;BV$1&amp;""'!$D$4:$D$66"")=BV$2),$G$3:$BQ$3,$G35:$BQ35))),"""")"),0.4374672726530612)</f>
        <v>0.4374672727</v>
      </c>
      <c r="BX35" s="207">
        <f>IFERROR(__xludf.DUMMYFUNCTION("AVERAGE(ARRAYFORMULA(XLOOKUP(FILTER(INDIRECT(""'""&amp;BX$1&amp;""'!$C$4:$C$66""),INDIRECT(""'""&amp;BX$1&amp;""'!$D$4:$D$66"")=BX$2),$G$3:$BQ$3,$G35:$BQ35)))"),-0.0744810780952381)</f>
        <v>-0.0744810781</v>
      </c>
      <c r="BY35" s="207" t="str">
        <f>IFERROR(__xludf.DUMMYFUNCTION("IF(OR(BX35&gt;$BS35+$BT35*$BT$2,BX35&lt;$BS35-$BT35*$BT$2),AVEDEV(ARRAYFORMULA(XLOOKUP(FILTER(INDIRECT(""'""&amp;BX$1&amp;""'!$C$4:$C$66""),INDIRECT(""'""&amp;BX$1&amp;""'!$D$4:$D$66"")=BX$2),$G$3:$BQ$3,$G35:$BQ35))),"""")"),"")</f>
        <v/>
      </c>
      <c r="BZ35" s="207">
        <f>IFERROR(__xludf.DUMMYFUNCTION("AVERAGE(ARRAYFORMULA(XLOOKUP(FILTER(INDIRECT(""'""&amp;BZ$1&amp;""'!$C$4:$C$66""),INDIRECT(""'""&amp;BZ$1&amp;""'!$D$4:$D$66"")=BZ$2),$G$3:$BQ$3,$G35:$BQ35)))"),0.3170163190909091)</f>
        <v>0.3170163191</v>
      </c>
      <c r="CA35" s="207" t="str">
        <f>IFERROR(__xludf.DUMMYFUNCTION("IF(OR(BZ35&gt;$BS35+$BT35*$BT$2,BZ35&lt;$BS35-$BT35*$BT$2),AVEDEV(ARRAYFORMULA(XLOOKUP(FILTER(INDIRECT(""'""&amp;BZ$1&amp;""'!$C$4:$C$66""),INDIRECT(""'""&amp;BZ$1&amp;""'!$D$4:$D$66"")=BZ$2),$G$3:$BQ$3,$G35:$BQ35))),"""")"),"")</f>
        <v/>
      </c>
      <c r="CB35" s="209"/>
      <c r="CC35" s="207">
        <f>IFERROR(__xludf.DUMMYFUNCTION("AVERAGE(ARRAYFORMULA(XLOOKUP(FILTER(INDIRECT(""'""&amp;CC$1&amp;""'!$C$4:$C$66""),INDIRECT(""'""&amp;CC$1&amp;""'!$D$4:$D$66"")=CC$2),$G$3:$BQ$3,$G35:$BQ35)))"),-0.15384615812500002)</f>
        <v>-0.1538461581</v>
      </c>
      <c r="CD35" s="207" t="str">
        <f>IFERROR(__xludf.DUMMYFUNCTION("IF(OR(CC35&gt;$BS35+$BT35*$BT$2,CC35&lt;$BS35-$BT35*$BT$2),AVEDEV(ARRAYFORMULA(XLOOKUP(FILTER(INDIRECT(""'""&amp;CC$1&amp;""'!$C$4:$C$66""),INDIRECT(""'""&amp;CC$1&amp;""'!$D$4:$D$66"")=CC$2),$G$3:$BQ$3,$G35:$BQ35))),"""")"),"")</f>
        <v/>
      </c>
      <c r="CE35" s="207">
        <f>IFERROR(__xludf.DUMMYFUNCTION("AVERAGE(ARRAYFORMULA(XLOOKUP(FILTER(INDIRECT(""'""&amp;CE$1&amp;""'!$C$4:$C$66""),INDIRECT(""'""&amp;CE$1&amp;""'!$D$4:$D$66"")=CE$2),$G$3:$BQ$3,$G35:$BQ35)))"),-0.07775020677419356)</f>
        <v>-0.07775020677</v>
      </c>
      <c r="CF35" s="207" t="str">
        <f>IFERROR(__xludf.DUMMYFUNCTION("IF(OR(CE35&gt;$BS35+$BT35*$BT$2,CE35&lt;$BS35-$BT35*$BT$2),AVEDEV(ARRAYFORMULA(XLOOKUP(FILTER(INDIRECT(""'""&amp;CE$1&amp;""'!$C$4:$C$66""),INDIRECT(""'""&amp;CE$1&amp;""'!$D$4:$D$66"")=CE$2),$G$3:$BQ$3,$G35:$BQ35))),"""")"),"")</f>
        <v/>
      </c>
      <c r="CG35" s="207">
        <f>IFERROR(__xludf.DUMMYFUNCTION("AVERAGE(ARRAYFORMULA(XLOOKUP(FILTER(INDIRECT(""'""&amp;CG$1&amp;""'!$C$4:$C$66""),INDIRECT(""'""&amp;CG$1&amp;""'!$D$4:$D$66"")=CG$2),$G$3:$BQ$3,$G35:$BQ35)))"),0.399999998)</f>
        <v>0.399999998</v>
      </c>
      <c r="CH35" s="207" t="str">
        <f>IFERROR(__xludf.DUMMYFUNCTION("IF(OR(CG35&gt;$BS35+$BT35*$BT$2,CG35&lt;$BS35-$BT35*$BT$2),AVEDEV(ARRAYFORMULA(XLOOKUP(FILTER(INDIRECT(""'""&amp;CG$1&amp;""'!$C$4:$C$66""),INDIRECT(""'""&amp;CG$1&amp;""'!$D$4:$D$66"")=CG$2),$G$3:$BQ$3,$G35:$BQ35))),"""")"),"")</f>
        <v/>
      </c>
      <c r="CI35" s="206"/>
      <c r="CJ35" s="251">
        <f>IFERROR(__xludf.DUMMYFUNCTION("AVERAGE(ARRAYFORMULA(XLOOKUP(FILTER(INDIRECT(""'""&amp;CJ$1&amp;""'!$C$4:$C$66""),INDIRECT(""'""&amp;CJ$1&amp;""'!$D$4:$D$66"")=CJ$2),$G$3:$BQ$3,$G35:$BQ35)))"),-0.08205128133333334)</f>
        <v>-0.08205128133</v>
      </c>
      <c r="CK35" s="207" t="str">
        <f>IFERROR(__xludf.DUMMYFUNCTION("IF(OR(CJ35&gt;$BS35+$BT35*$BT$2,CJ35&lt;$BS35-$BT35*$BT$2),AVEDEV(ARRAYFORMULA(XLOOKUP(FILTER(INDIRECT(""'""&amp;CJ$1&amp;""'!$C$4:$C$66""),INDIRECT(""'""&amp;CJ$1&amp;""'!$D$4:$D$66"")=CJ$2),$G$3:$BQ$3,$G35:$BQ35))),"""")"),"")</f>
        <v/>
      </c>
      <c r="CL35" s="251">
        <f>IFERROR(__xludf.DUMMYFUNCTION("AVERAGE(ARRAYFORMULA(XLOOKUP(FILTER(INDIRECT(""'""&amp;CL$1&amp;""'!$C$4:$C$66""),INDIRECT(""'""&amp;CL$1&amp;""'!$D$4:$D$66"")=CL$2),$G$3:$BQ$3,$G35:$BQ35)))"),-0.11439842512820513)</f>
        <v>-0.1143984251</v>
      </c>
      <c r="CM35" s="207" t="str">
        <f>IFERROR(__xludf.DUMMYFUNCTION("IF(OR(CL35&gt;$BS35+$BT35*$BT$2,CL35&lt;$BS35-$BT35*$BT$2),AVEDEV(ARRAYFORMULA(XLOOKUP(FILTER(INDIRECT(""'""&amp;CL$1&amp;""'!$C$4:$C$66""),INDIRECT(""'""&amp;CL$1&amp;""'!$D$4:$D$66"")=CL$2),$G$3:$BQ$3,$G35:$BQ35))),"""")"),"")</f>
        <v/>
      </c>
      <c r="CN35" s="251">
        <f>IFERROR(__xludf.DUMMYFUNCTION("AVERAGE(ARRAYFORMULA(XLOOKUP(FILTER(INDIRECT(""'""&amp;CN$1&amp;""'!$C$4:$C$66""),INDIRECT(""'""&amp;CN$1&amp;""'!$D$4:$D$66"")=CN$2),$G$3:$BQ$3,$G35:$BQ35)))"),0.399999998)</f>
        <v>0.399999998</v>
      </c>
      <c r="CO35" s="207" t="str">
        <f>IFERROR(__xludf.DUMMYFUNCTION("IF(OR(CN35&gt;$BS35+$BT35*$BT$2,CN35&lt;$BS35-$BT35*$BT$2),AVEDEV(ARRAYFORMULA(XLOOKUP(FILTER(INDIRECT(""'""&amp;CN$1&amp;""'!$C$4:$C$66""),INDIRECT(""'""&amp;CN$1&amp;""'!$D$4:$D$66"")=CN$2),$G$3:$BQ$3,$G35:$BQ35))),"""")"),"")</f>
        <v/>
      </c>
      <c r="CP35" s="252"/>
      <c r="CQ35" s="251">
        <f>IFERROR(__xludf.DUMMYFUNCTION("AVERAGE(ARRAYFORMULA(XLOOKUP(FILTER(INDIRECT(""'""&amp;CQ$1&amp;""'!$C$4:$C$66""),INDIRECT(""'""&amp;CQ$1&amp;""'!$D$4:$D$66"")=CQ$2),$G$3:$BQ$3,$G35:$BQ35)))"),-0.23076923714285713)</f>
        <v>-0.2307692371</v>
      </c>
      <c r="CR35" s="207" t="str">
        <f>IFERROR(__xludf.DUMMYFUNCTION("IF(OR(CQ35&gt;$BS35+$BT35*$BT$2,CQ35&lt;$BS35-$BT35*$BT$2),AVEDEV(ARRAYFORMULA(XLOOKUP(FILTER(INDIRECT(""'""&amp;CQ$1&amp;""'!$C$4:$C$66""),INDIRECT(""'""&amp;CQ$1&amp;""'!$D$4:$D$66"")=CQ$2),$G$3:$BQ$3,$G35:$BQ35))),"""")"),"")</f>
        <v/>
      </c>
      <c r="CS35" s="251">
        <f>IFERROR(__xludf.DUMMYFUNCTION("AVERAGE(ARRAYFORMULA(XLOOKUP(FILTER(INDIRECT(""'""&amp;CS$1&amp;""'!$C$4:$C$66""),INDIRECT(""'""&amp;CS$1&amp;""'!$D$4:$D$66"")=CS$2),$G$3:$BQ$3,$G35:$BQ35)))"),0.28490028777777776)</f>
        <v>0.2849002878</v>
      </c>
      <c r="CT35" s="207" t="str">
        <f>IFERROR(__xludf.DUMMYFUNCTION("IF(OR(CS35&gt;$BS35+$BT35*$BT$2,CS35&lt;$BS35-$BT35*$BT$2),AVEDEV(ARRAYFORMULA(XLOOKUP(FILTER(INDIRECT(""'""&amp;CS$1&amp;""'!$C$4:$C$66""),INDIRECT(""'""&amp;CS$1&amp;""'!$D$4:$D$66"")=CS$2),$G$3:$BQ$3,$G35:$BQ35))),"""")"),"")</f>
        <v/>
      </c>
      <c r="CU35" s="251">
        <f>IFERROR(__xludf.DUMMYFUNCTION("AVERAGE(ARRAYFORMULA(XLOOKUP(FILTER(INDIRECT(""'""&amp;CU$1&amp;""'!$C$4:$C$66""),INDIRECT(""'""&amp;CU$1&amp;""'!$D$4:$D$66"")=CU$2),$G$3:$BQ$3,$G35:$BQ35)))"),0.10256409363636364)</f>
        <v>0.1025640936</v>
      </c>
      <c r="CV35" s="207" t="str">
        <f>IFERROR(__xludf.DUMMYFUNCTION("IF(OR(CU35&gt;$BS35+$BT35*$BT$2,CU35&lt;$BS35-$BT35*$BT$2),AVEDEV(ARRAYFORMULA(XLOOKUP(FILTER(INDIRECT(""'""&amp;CU$1&amp;""'!$C$4:$C$66""),INDIRECT(""'""&amp;CU$1&amp;""'!$D$4:$D$66"")=CU$2),$G$3:$BQ$3,$G35:$BQ35))),"""")"),"")</f>
        <v/>
      </c>
      <c r="CW35" s="251">
        <f>IFERROR(__xludf.DUMMYFUNCTION("AVERAGE(ARRAYFORMULA(XLOOKUP(FILTER(INDIRECT(""'""&amp;CW$1&amp;""'!$C$4:$C$66""),INDIRECT(""'""&amp;CW$1&amp;""'!$D$4:$D$66"")=CW$2),$G$3:$BQ$3,$G35:$BQ35)))"),-0.8205128)</f>
        <v>-0.8205128</v>
      </c>
      <c r="CX35" s="207">
        <f>IFERROR(__xludf.DUMMYFUNCTION("IF(OR(CW35&gt;$BS35+$BT35*$BT$2,CW35&lt;$BS35-$BT35*$BT$2),AVEDEV(ARRAYFORMULA(XLOOKUP(FILTER(INDIRECT(""'""&amp;CW$1&amp;""'!$C$4:$C$66""),INDIRECT(""'""&amp;CW$1&amp;""'!$D$4:$D$66"")=CW$2),$G$3:$BQ$3,$G35:$BQ35))),"""")"),0.0)</f>
        <v>0</v>
      </c>
      <c r="CY35" s="251">
        <f>IFERROR(__xludf.DUMMYFUNCTION("AVERAGE(ARRAYFORMULA(XLOOKUP(FILTER(INDIRECT(""'""&amp;CY$1&amp;""'!$C$4:$C$66""),INDIRECT(""'""&amp;CY$1&amp;""'!$D$4:$D$66"")=CY$2),$G$3:$BQ$3,$G35:$BQ35)))"),-0.029304030000000005)</f>
        <v>-0.02930403</v>
      </c>
      <c r="CZ35" s="207" t="str">
        <f>IFERROR(__xludf.DUMMYFUNCTION("IF(OR(CY35&gt;$BS35+$BT35*$BT$2,CY35&lt;$BS35-$BT35*$BT$2),AVEDEV(ARRAYFORMULA(XLOOKUP(FILTER(INDIRECT(""'""&amp;CY$1&amp;""'!$C$4:$C$66""),INDIRECT(""'""&amp;CY$1&amp;""'!$D$4:$D$66"")=CY$2),$G$3:$BQ$3,$G35:$BQ35))),"""")"),"")</f>
        <v/>
      </c>
      <c r="DA35" s="252"/>
      <c r="DB35" s="251">
        <f>IFERROR(__xludf.DUMMYFUNCTION("AVERAGE(ARRAYFORMULA(XLOOKUP(FILTER(INDIRECT(""'""&amp;DB$1&amp;""'!$C$4:$C$66""),INDIRECT(""'""&amp;DB$1&amp;""'!$D$4:$D$66"")=DB$2),$G$3:$BQ$3,$G35:$BQ35)))"),-0.08547008733333333)</f>
        <v>-0.08547008733</v>
      </c>
      <c r="DC35" s="207" t="str">
        <f>IFERROR(__xludf.DUMMYFUNCTION("IF(OR(DB35&gt;$BS35+$BT35*$BT$2,DB35&lt;$BS35-$BT35*$BT$2),AVEDEV(ARRAYFORMULA(XLOOKUP(FILTER(INDIRECT(""'""&amp;DB$1&amp;""'!$C$4:$C$66""),INDIRECT(""'""&amp;DB$1&amp;""'!$D$4:$D$66"")=DB$2),$G$3:$BQ$3,$G35:$BQ35))),"""")"),"")</f>
        <v/>
      </c>
      <c r="DD35" s="251">
        <f>IFERROR(__xludf.DUMMYFUNCTION("AVERAGE(ARRAYFORMULA(XLOOKUP(FILTER(INDIRECT(""'""&amp;DD$1&amp;""'!$C$4:$C$66""),INDIRECT(""'""&amp;DD$1&amp;""'!$D$4:$D$66"")=DD$2),$G$3:$BQ$3,$G35:$BQ35)))"),0.2905982888888889)</f>
        <v>0.2905982889</v>
      </c>
      <c r="DE35" s="207" t="str">
        <f>IFERROR(__xludf.DUMMYFUNCTION("IF(OR(DD35&gt;$BS35+$BT35*$BT$2,DD35&lt;$BS35-$BT35*$BT$2),AVEDEV(ARRAYFORMULA(XLOOKUP(FILTER(INDIRECT(""'""&amp;DD$1&amp;""'!$C$4:$C$66""),INDIRECT(""'""&amp;DD$1&amp;""'!$D$4:$D$66"")=DD$2),$G$3:$BQ$3,$G35:$BQ35))),"""")"),"")</f>
        <v/>
      </c>
      <c r="DF35" s="251">
        <f>IFERROR(__xludf.DUMMYFUNCTION("AVERAGE(ARRAYFORMULA(XLOOKUP(FILTER(INDIRECT(""'""&amp;DF$1&amp;""'!$C$4:$C$66""),INDIRECT(""'""&amp;DF$1&amp;""'!$D$4:$D$66"")=DF$2),$G$3:$BQ$3,$G35:$BQ35)))"),0.012820515000000005)</f>
        <v>0.012820515</v>
      </c>
      <c r="DG35" s="207" t="str">
        <f>IFERROR(__xludf.DUMMYFUNCTION("IF(OR(DF35&gt;$BS35+$BT35*$BT$2,DF35&lt;$BS35-$BT35*$BT$2),AVEDEV(ARRAYFORMULA(XLOOKUP(FILTER(INDIRECT(""'""&amp;DF$1&amp;""'!$C$4:$C$66""),INDIRECT(""'""&amp;DF$1&amp;""'!$D$4:$D$66"")=DF$2),$G$3:$BQ$3,$G35:$BQ35))),"""")"),"")</f>
        <v/>
      </c>
      <c r="DH35" s="251">
        <f>IFERROR(__xludf.DUMMYFUNCTION("AVERAGE(ARRAYFORMULA(XLOOKUP(FILTER(INDIRECT(""'""&amp;DH$1&amp;""'!$C$4:$C$66""),INDIRECT(""'""&amp;DH$1&amp;""'!$D$4:$D$66"")=DH$2),$G$3:$BQ$3,$G35:$BQ35)))"),-0.1652421677777778)</f>
        <v>-0.1652421678</v>
      </c>
      <c r="DI35" s="207" t="str">
        <f>IFERROR(__xludf.DUMMYFUNCTION("IF(OR(DH35&gt;$BS35+$BT35*$BT$2,DH35&lt;$BS35-$BT35*$BT$2),AVEDEV(ARRAYFORMULA(XLOOKUP(FILTER(INDIRECT(""'""&amp;DH$1&amp;""'!$C$4:$C$66""),INDIRECT(""'""&amp;DH$1&amp;""'!$D$4:$D$66"")=DH$2),$G$3:$BQ$3,$G35:$BQ35))),"""")"),"")</f>
        <v/>
      </c>
      <c r="DJ35" s="243"/>
    </row>
    <row r="36">
      <c r="A36" s="2"/>
      <c r="B36" s="204">
        <v>32.0</v>
      </c>
      <c r="C36" s="204" t="s">
        <v>442</v>
      </c>
      <c r="D36" s="204" t="s">
        <v>475</v>
      </c>
      <c r="E36" s="205" t="b">
        <f>VLOOKUP(D36,'Feature Set List'!A33:C246,2,0)</f>
        <v>1</v>
      </c>
      <c r="F36" s="205" t="b">
        <f>VLOOKUP(D36,'Feature Set List'!A33:C246,3,0)</f>
        <v>0</v>
      </c>
      <c r="G36" s="205">
        <v>1.0</v>
      </c>
      <c r="H36" s="205">
        <v>-0.4</v>
      </c>
      <c r="I36" s="205">
        <v>1.0</v>
      </c>
      <c r="J36" s="205">
        <v>1.2</v>
      </c>
      <c r="K36" s="205">
        <v>-0.4</v>
      </c>
      <c r="L36" s="205">
        <v>0.2</v>
      </c>
      <c r="M36" s="205">
        <v>0.4</v>
      </c>
      <c r="N36" s="205">
        <v>-0.2</v>
      </c>
      <c r="O36" s="205">
        <v>0.0</v>
      </c>
      <c r="P36" s="205">
        <v>0.6</v>
      </c>
      <c r="Q36" s="205">
        <v>0.0</v>
      </c>
      <c r="R36" s="205">
        <v>1.0</v>
      </c>
      <c r="S36" s="205">
        <v>-0.4</v>
      </c>
      <c r="T36" s="205">
        <v>-0.4</v>
      </c>
      <c r="U36" s="205">
        <v>0.6</v>
      </c>
      <c r="V36" s="205">
        <v>-0.2</v>
      </c>
      <c r="W36" s="205">
        <v>1.0</v>
      </c>
      <c r="X36" s="205">
        <v>-0.4</v>
      </c>
      <c r="Y36" s="205">
        <v>0.0</v>
      </c>
      <c r="Z36" s="205">
        <v>0.0</v>
      </c>
      <c r="AA36" s="205">
        <v>1.0</v>
      </c>
      <c r="AB36" s="205">
        <v>0.4</v>
      </c>
      <c r="AC36" s="205">
        <v>1.0</v>
      </c>
      <c r="AD36" s="205">
        <v>-0.8</v>
      </c>
      <c r="AE36" s="205">
        <v>0.0</v>
      </c>
      <c r="AF36" s="205">
        <v>-0.8</v>
      </c>
      <c r="AG36" s="205">
        <v>-0.4</v>
      </c>
      <c r="AH36" s="205">
        <v>0.2</v>
      </c>
      <c r="AI36" s="205">
        <v>0.6</v>
      </c>
      <c r="AJ36" s="205">
        <v>1.0</v>
      </c>
      <c r="AK36" s="205">
        <v>1.2</v>
      </c>
      <c r="AL36" s="205">
        <v>0.6</v>
      </c>
      <c r="AM36" s="205">
        <v>1.0</v>
      </c>
      <c r="AN36" s="205">
        <v>-0.8</v>
      </c>
      <c r="AO36" s="205">
        <v>-0.2</v>
      </c>
      <c r="AP36" s="205">
        <v>0.2</v>
      </c>
      <c r="AQ36" s="205">
        <v>-0.4</v>
      </c>
      <c r="AR36" s="205">
        <v>1.0</v>
      </c>
      <c r="AS36" s="205">
        <v>-0.8</v>
      </c>
      <c r="AT36" s="205">
        <v>-0.4</v>
      </c>
      <c r="AU36" s="205">
        <v>0.6</v>
      </c>
      <c r="AV36" s="205">
        <v>0.2</v>
      </c>
      <c r="AW36" s="205">
        <v>-0.2</v>
      </c>
      <c r="AX36" s="205">
        <v>-0.4</v>
      </c>
      <c r="AY36" s="205">
        <v>0.0</v>
      </c>
      <c r="AZ36" s="205">
        <v>-0.4</v>
      </c>
      <c r="BA36" s="205">
        <v>0.8</v>
      </c>
      <c r="BB36" s="205">
        <v>-0.4</v>
      </c>
      <c r="BC36" s="205">
        <v>-0.4</v>
      </c>
      <c r="BD36" s="205">
        <v>-0.4</v>
      </c>
      <c r="BE36" s="205">
        <v>1.4</v>
      </c>
      <c r="BF36" s="205">
        <v>-0.8</v>
      </c>
      <c r="BG36" s="205">
        <v>0.4</v>
      </c>
      <c r="BH36" s="205">
        <v>-0.8</v>
      </c>
      <c r="BI36" s="205">
        <v>0.6</v>
      </c>
      <c r="BJ36" s="205">
        <v>-0.4</v>
      </c>
      <c r="BK36" s="205">
        <v>0.6</v>
      </c>
      <c r="BL36" s="205">
        <v>0.0</v>
      </c>
      <c r="BM36" s="205">
        <v>-0.8</v>
      </c>
      <c r="BN36" s="205">
        <v>0.0</v>
      </c>
      <c r="BO36" s="205">
        <v>1.4</v>
      </c>
      <c r="BP36" s="205">
        <v>-0.8</v>
      </c>
      <c r="BQ36" s="205">
        <v>0.0</v>
      </c>
      <c r="BR36" s="206"/>
      <c r="BS36" s="250">
        <f t="shared" si="1"/>
        <v>0.1333333333</v>
      </c>
      <c r="BT36" s="250">
        <f t="shared" si="2"/>
        <v>0.5544973545</v>
      </c>
      <c r="BU36" s="206"/>
      <c r="BV36" s="207">
        <f>IFERROR(__xludf.DUMMYFUNCTION("AVERAGE(ARRAYFORMULA(XLOOKUP(FILTER(INDIRECT(""'""&amp;BV$1&amp;""'!$C$4:$C$66""),INDIRECT(""'""&amp;BV$1&amp;""'!$D$4:$D$66"")=BV$2),$G$3:$BQ$3,$G36:$BQ36)))"),0.14285714285714285)</f>
        <v>0.1428571429</v>
      </c>
      <c r="BW36" s="207" t="str">
        <f>IFERROR(__xludf.DUMMYFUNCTION("IF(OR(BV36&gt;$BS36+$BT36*$BT$2,BV36&lt;$BS36-$BT36*$BT$2),AVEDEV(ARRAYFORMULA(XLOOKUP(FILTER(INDIRECT(""'""&amp;BV$1&amp;""'!$C$4:$C$66""),INDIRECT(""'""&amp;BV$1&amp;""'!$D$4:$D$66"")=BV$2),$G$3:$BQ$3,$G36:$BQ36))),"""")"),"")</f>
        <v/>
      </c>
      <c r="BX36" s="207">
        <f>IFERROR(__xludf.DUMMYFUNCTION("AVERAGE(ARRAYFORMULA(XLOOKUP(FILTER(INDIRECT(""'""&amp;BX$1&amp;""'!$C$4:$C$66""),INDIRECT(""'""&amp;BX$1&amp;""'!$D$4:$D$66"")=BX$2),$G$3:$BQ$3,$G36:$BQ36)))"),0.1095238095238095)</f>
        <v>0.1095238095</v>
      </c>
      <c r="BY36" s="207" t="str">
        <f>IFERROR(__xludf.DUMMYFUNCTION("IF(OR(BX36&gt;$BS36+$BT36*$BT$2,BX36&lt;$BS36-$BT36*$BT$2),AVEDEV(ARRAYFORMULA(XLOOKUP(FILTER(INDIRECT(""'""&amp;BX$1&amp;""'!$C$4:$C$66""),INDIRECT(""'""&amp;BX$1&amp;""'!$D$4:$D$66"")=BX$2),$G$3:$BQ$3,$G36:$BQ36))),"""")"),"")</f>
        <v/>
      </c>
      <c r="BZ36" s="207">
        <f>IFERROR(__xludf.DUMMYFUNCTION("AVERAGE(ARRAYFORMULA(XLOOKUP(FILTER(INDIRECT(""'""&amp;BZ$1&amp;""'!$C$4:$C$66""),INDIRECT(""'""&amp;BZ$1&amp;""'!$D$4:$D$66"")=BZ$2),$G$3:$BQ$3,$G36:$BQ36)))"),0.14545454545454548)</f>
        <v>0.1454545455</v>
      </c>
      <c r="CA36" s="207" t="str">
        <f>IFERROR(__xludf.DUMMYFUNCTION("IF(OR(BZ36&gt;$BS36+$BT36*$BT$2,BZ36&lt;$BS36-$BT36*$BT$2),AVEDEV(ARRAYFORMULA(XLOOKUP(FILTER(INDIRECT(""'""&amp;BZ$1&amp;""'!$C$4:$C$66""),INDIRECT(""'""&amp;BZ$1&amp;""'!$D$4:$D$66"")=BZ$2),$G$3:$BQ$3,$G36:$BQ36))),"""")"),"")</f>
        <v/>
      </c>
      <c r="CB36" s="209"/>
      <c r="CC36" s="207">
        <f>IFERROR(__xludf.DUMMYFUNCTION("AVERAGE(ARRAYFORMULA(XLOOKUP(FILTER(INDIRECT(""'""&amp;CC$1&amp;""'!$C$4:$C$66""),INDIRECT(""'""&amp;CC$1&amp;""'!$D$4:$D$66"")=CC$2),$G$3:$BQ$3,$G36:$BQ36)))"),-2.0816681711721685E-17)</f>
        <v>0</v>
      </c>
      <c r="CD36" s="207" t="str">
        <f>IFERROR(__xludf.DUMMYFUNCTION("IF(OR(CC36&gt;$BS36+$BT36*$BT$2,CC36&lt;$BS36-$BT36*$BT$2),AVEDEV(ARRAYFORMULA(XLOOKUP(FILTER(INDIRECT(""'""&amp;CC$1&amp;""'!$C$4:$C$66""),INDIRECT(""'""&amp;CC$1&amp;""'!$D$4:$D$66"")=CC$2),$G$3:$BQ$3,$G36:$BQ36))),"""")"),"")</f>
        <v/>
      </c>
      <c r="CE36" s="207">
        <f>IFERROR(__xludf.DUMMYFUNCTION("AVERAGE(ARRAYFORMULA(XLOOKUP(FILTER(INDIRECT(""'""&amp;CE$1&amp;""'!$C$4:$C$66""),INDIRECT(""'""&amp;CE$1&amp;""'!$D$4:$D$66"")=CE$2),$G$3:$BQ$3,$G36:$BQ36)))"),0.16129032258064516)</f>
        <v>0.1612903226</v>
      </c>
      <c r="CF36" s="207" t="str">
        <f>IFERROR(__xludf.DUMMYFUNCTION("IF(OR(CE36&gt;$BS36+$BT36*$BT$2,CE36&lt;$BS36-$BT36*$BT$2),AVEDEV(ARRAYFORMULA(XLOOKUP(FILTER(INDIRECT(""'""&amp;CE$1&amp;""'!$C$4:$C$66""),INDIRECT(""'""&amp;CE$1&amp;""'!$D$4:$D$66"")=CE$2),$G$3:$BQ$3,$G36:$BQ36))),"""")"),"")</f>
        <v/>
      </c>
      <c r="CG36" s="207">
        <f>IFERROR(__xludf.DUMMYFUNCTION("AVERAGE(ARRAYFORMULA(XLOOKUP(FILTER(INDIRECT(""'""&amp;CG$1&amp;""'!$C$4:$C$66""),INDIRECT(""'""&amp;CG$1&amp;""'!$D$4:$D$66"")=CG$2),$G$3:$BQ$3,$G36:$BQ36)))"),0.11999999999999997)</f>
        <v>0.12</v>
      </c>
      <c r="CH36" s="207" t="str">
        <f>IFERROR(__xludf.DUMMYFUNCTION("IF(OR(CG36&gt;$BS36+$BT36*$BT$2,CG36&lt;$BS36-$BT36*$BT$2),AVEDEV(ARRAYFORMULA(XLOOKUP(FILTER(INDIRECT(""'""&amp;CG$1&amp;""'!$C$4:$C$66""),INDIRECT(""'""&amp;CG$1&amp;""'!$D$4:$D$66"")=CG$2),$G$3:$BQ$3,$G36:$BQ36))),"""")"),"")</f>
        <v/>
      </c>
      <c r="CI36" s="206"/>
      <c r="CJ36" s="251">
        <f>IFERROR(__xludf.DUMMYFUNCTION("AVERAGE(ARRAYFORMULA(XLOOKUP(FILTER(INDIRECT(""'""&amp;CJ$1&amp;""'!$C$4:$C$66""),INDIRECT(""'""&amp;CJ$1&amp;""'!$D$4:$D$66"")=CJ$2),$G$3:$BQ$3,$G36:$BQ36)))"),0.32)</f>
        <v>0.32</v>
      </c>
      <c r="CK36" s="207" t="str">
        <f>IFERROR(__xludf.DUMMYFUNCTION("IF(OR(CJ36&gt;$BS36+$BT36*$BT$2,CJ36&lt;$BS36-$BT36*$BT$2),AVEDEV(ARRAYFORMULA(XLOOKUP(FILTER(INDIRECT(""'""&amp;CJ$1&amp;""'!$C$4:$C$66""),INDIRECT(""'""&amp;CJ$1&amp;""'!$D$4:$D$66"")=CJ$2),$G$3:$BQ$3,$G36:$BQ36))),"""")"),"")</f>
        <v/>
      </c>
      <c r="CL36" s="251">
        <f>IFERROR(__xludf.DUMMYFUNCTION("AVERAGE(ARRAYFORMULA(XLOOKUP(FILTER(INDIRECT(""'""&amp;CL$1&amp;""'!$C$4:$C$66""),INDIRECT(""'""&amp;CL$1&amp;""'!$D$4:$D$66"")=CL$2),$G$3:$BQ$3,$G36:$BQ36)))"),0.046153846153846136)</f>
        <v>0.04615384615</v>
      </c>
      <c r="CM36" s="207" t="str">
        <f>IFERROR(__xludf.DUMMYFUNCTION("IF(OR(CL36&gt;$BS36+$BT36*$BT$2,CL36&lt;$BS36-$BT36*$BT$2),AVEDEV(ARRAYFORMULA(XLOOKUP(FILTER(INDIRECT(""'""&amp;CL$1&amp;""'!$C$4:$C$66""),INDIRECT(""'""&amp;CL$1&amp;""'!$D$4:$D$66"")=CL$2),$G$3:$BQ$3,$G36:$BQ36))),"""")"),"")</f>
        <v/>
      </c>
      <c r="CN36" s="251">
        <f>IFERROR(__xludf.DUMMYFUNCTION("AVERAGE(ARRAYFORMULA(XLOOKUP(FILTER(INDIRECT(""'""&amp;CN$1&amp;""'!$C$4:$C$66""),INDIRECT(""'""&amp;CN$1&amp;""'!$D$4:$D$66"")=CN$2),$G$3:$BQ$3,$G36:$BQ36)))"),0.11999999999999997)</f>
        <v>0.12</v>
      </c>
      <c r="CO36" s="207" t="str">
        <f>IFERROR(__xludf.DUMMYFUNCTION("IF(OR(CN36&gt;$BS36+$BT36*$BT$2,CN36&lt;$BS36-$BT36*$BT$2),AVEDEV(ARRAYFORMULA(XLOOKUP(FILTER(INDIRECT(""'""&amp;CN$1&amp;""'!$C$4:$C$66""),INDIRECT(""'""&amp;CN$1&amp;""'!$D$4:$D$66"")=CN$2),$G$3:$BQ$3,$G36:$BQ36))),"""")"),"")</f>
        <v/>
      </c>
      <c r="CP36" s="252"/>
      <c r="CQ36" s="251">
        <f>IFERROR(__xludf.DUMMYFUNCTION("AVERAGE(ARRAYFORMULA(XLOOKUP(FILTER(INDIRECT(""'""&amp;CQ$1&amp;""'!$C$4:$C$66""),INDIRECT(""'""&amp;CQ$1&amp;""'!$D$4:$D$66"")=CQ$2),$G$3:$BQ$3,$G36:$BQ36)))"),0.12857142857142856)</f>
        <v>0.1285714286</v>
      </c>
      <c r="CR36" s="207" t="str">
        <f>IFERROR(__xludf.DUMMYFUNCTION("IF(OR(CQ36&gt;$BS36+$BT36*$BT$2,CQ36&lt;$BS36-$BT36*$BT$2),AVEDEV(ARRAYFORMULA(XLOOKUP(FILTER(INDIRECT(""'""&amp;CQ$1&amp;""'!$C$4:$C$66""),INDIRECT(""'""&amp;CQ$1&amp;""'!$D$4:$D$66"")=CQ$2),$G$3:$BQ$3,$G36:$BQ36))),"""")"),"")</f>
        <v/>
      </c>
      <c r="CS36" s="251">
        <f>IFERROR(__xludf.DUMMYFUNCTION("AVERAGE(ARRAYFORMULA(XLOOKUP(FILTER(INDIRECT(""'""&amp;CS$1&amp;""'!$C$4:$C$66""),INDIRECT(""'""&amp;CS$1&amp;""'!$D$4:$D$66"")=CS$2),$G$3:$BQ$3,$G36:$BQ36)))"),0.3111111111111111)</f>
        <v>0.3111111111</v>
      </c>
      <c r="CT36" s="207" t="str">
        <f>IFERROR(__xludf.DUMMYFUNCTION("IF(OR(CS36&gt;$BS36+$BT36*$BT$2,CS36&lt;$BS36-$BT36*$BT$2),AVEDEV(ARRAYFORMULA(XLOOKUP(FILTER(INDIRECT(""'""&amp;CS$1&amp;""'!$C$4:$C$66""),INDIRECT(""'""&amp;CS$1&amp;""'!$D$4:$D$66"")=CS$2),$G$3:$BQ$3,$G36:$BQ36))),"""")"),"")</f>
        <v/>
      </c>
      <c r="CU36" s="251">
        <f>IFERROR(__xludf.DUMMYFUNCTION("AVERAGE(ARRAYFORMULA(XLOOKUP(FILTER(INDIRECT(""'""&amp;CU$1&amp;""'!$C$4:$C$66""),INDIRECT(""'""&amp;CU$1&amp;""'!$D$4:$D$66"")=CU$2),$G$3:$BQ$3,$G36:$BQ36)))"),0.4)</f>
        <v>0.4</v>
      </c>
      <c r="CV36" s="207" t="str">
        <f>IFERROR(__xludf.DUMMYFUNCTION("IF(OR(CU36&gt;$BS36+$BT36*$BT$2,CU36&lt;$BS36-$BT36*$BT$2),AVEDEV(ARRAYFORMULA(XLOOKUP(FILTER(INDIRECT(""'""&amp;CU$1&amp;""'!$C$4:$C$66""),INDIRECT(""'""&amp;CU$1&amp;""'!$D$4:$D$66"")=CU$2),$G$3:$BQ$3,$G36:$BQ36))),"""")"),"")</f>
        <v/>
      </c>
      <c r="CW36" s="251">
        <f>IFERROR(__xludf.DUMMYFUNCTION("AVERAGE(ARRAYFORMULA(XLOOKUP(FILTER(INDIRECT(""'""&amp;CW$1&amp;""'!$C$4:$C$66""),INDIRECT(""'""&amp;CW$1&amp;""'!$D$4:$D$66"")=CW$2),$G$3:$BQ$3,$G36:$BQ36)))"),-0.8)</f>
        <v>-0.8</v>
      </c>
      <c r="CX36" s="207">
        <f>IFERROR(__xludf.DUMMYFUNCTION("IF(OR(CW36&gt;$BS36+$BT36*$BT$2,CW36&lt;$BS36-$BT36*$BT$2),AVEDEV(ARRAYFORMULA(XLOOKUP(FILTER(INDIRECT(""'""&amp;CW$1&amp;""'!$C$4:$C$66""),INDIRECT(""'""&amp;CW$1&amp;""'!$D$4:$D$66"")=CW$2),$G$3:$BQ$3,$G36:$BQ36))),"""")"),0.0)</f>
        <v>0</v>
      </c>
      <c r="CY36" s="251">
        <f>IFERROR(__xludf.DUMMYFUNCTION("AVERAGE(ARRAYFORMULA(XLOOKUP(FILTER(INDIRECT(""'""&amp;CY$1&amp;""'!$C$4:$C$66""),INDIRECT(""'""&amp;CY$1&amp;""'!$D$4:$D$66"")=CY$2),$G$3:$BQ$3,$G36:$BQ36)))"),0.05714285714285712)</f>
        <v>0.05714285714</v>
      </c>
      <c r="CZ36" s="207" t="str">
        <f>IFERROR(__xludf.DUMMYFUNCTION("IF(OR(CY36&gt;$BS36+$BT36*$BT$2,CY36&lt;$BS36-$BT36*$BT$2),AVEDEV(ARRAYFORMULA(XLOOKUP(FILTER(INDIRECT(""'""&amp;CY$1&amp;""'!$C$4:$C$66""),INDIRECT(""'""&amp;CY$1&amp;""'!$D$4:$D$66"")=CY$2),$G$3:$BQ$3,$G36:$BQ36))),"""")"),"")</f>
        <v/>
      </c>
      <c r="DA36" s="252"/>
      <c r="DB36" s="251">
        <f>IFERROR(__xludf.DUMMYFUNCTION("AVERAGE(ARRAYFORMULA(XLOOKUP(FILTER(INDIRECT(""'""&amp;DB$1&amp;""'!$C$4:$C$66""),INDIRECT(""'""&amp;DB$1&amp;""'!$D$4:$D$66"")=DB$2),$G$3:$BQ$3,$G36:$BQ36)))"),0.06666666666666665)</f>
        <v>0.06666666667</v>
      </c>
      <c r="DC36" s="207" t="str">
        <f>IFERROR(__xludf.DUMMYFUNCTION("IF(OR(DB36&gt;$BS36+$BT36*$BT$2,DB36&lt;$BS36-$BT36*$BT$2),AVEDEV(ARRAYFORMULA(XLOOKUP(FILTER(INDIRECT(""'""&amp;DB$1&amp;""'!$C$4:$C$66""),INDIRECT(""'""&amp;DB$1&amp;""'!$D$4:$D$66"")=DB$2),$G$3:$BQ$3,$G36:$BQ36))),"""")"),"")</f>
        <v/>
      </c>
      <c r="DD36" s="251">
        <f>IFERROR(__xludf.DUMMYFUNCTION("AVERAGE(ARRAYFORMULA(XLOOKUP(FILTER(INDIRECT(""'""&amp;DD$1&amp;""'!$C$4:$C$66""),INDIRECT(""'""&amp;DD$1&amp;""'!$D$4:$D$66"")=DD$2),$G$3:$BQ$3,$G36:$BQ36)))"),0.33333333333333337)</f>
        <v>0.3333333333</v>
      </c>
      <c r="DE36" s="207" t="str">
        <f>IFERROR(__xludf.DUMMYFUNCTION("IF(OR(DD36&gt;$BS36+$BT36*$BT$2,DD36&lt;$BS36-$BT36*$BT$2),AVEDEV(ARRAYFORMULA(XLOOKUP(FILTER(INDIRECT(""'""&amp;DD$1&amp;""'!$C$4:$C$66""),INDIRECT(""'""&amp;DD$1&amp;""'!$D$4:$D$66"")=DD$2),$G$3:$BQ$3,$G36:$BQ36))),"""")"),"")</f>
        <v/>
      </c>
      <c r="DF36" s="251">
        <f>IFERROR(__xludf.DUMMYFUNCTION("AVERAGE(ARRAYFORMULA(XLOOKUP(FILTER(INDIRECT(""'""&amp;DF$1&amp;""'!$C$4:$C$66""),INDIRECT(""'""&amp;DF$1&amp;""'!$D$4:$D$66"")=DF$2),$G$3:$BQ$3,$G36:$BQ36)))"),0.35)</f>
        <v>0.35</v>
      </c>
      <c r="DG36" s="207" t="str">
        <f>IFERROR(__xludf.DUMMYFUNCTION("IF(OR(DF36&gt;$BS36+$BT36*$BT$2,DF36&lt;$BS36-$BT36*$BT$2),AVEDEV(ARRAYFORMULA(XLOOKUP(FILTER(INDIRECT(""'""&amp;DF$1&amp;""'!$C$4:$C$66""),INDIRECT(""'""&amp;DF$1&amp;""'!$D$4:$D$66"")=DF$2),$G$3:$BQ$3,$G36:$BQ36))),"""")"),"")</f>
        <v/>
      </c>
      <c r="DH36" s="251">
        <f>IFERROR(__xludf.DUMMYFUNCTION("AVERAGE(ARRAYFORMULA(XLOOKUP(FILTER(INDIRECT(""'""&amp;DH$1&amp;""'!$C$4:$C$66""),INDIRECT(""'""&amp;DH$1&amp;""'!$D$4:$D$66"")=DH$2),$G$3:$BQ$3,$G36:$BQ36)))"),-0.11111111111111116)</f>
        <v>-0.1111111111</v>
      </c>
      <c r="DI36" s="207" t="str">
        <f>IFERROR(__xludf.DUMMYFUNCTION("IF(OR(DH36&gt;$BS36+$BT36*$BT$2,DH36&lt;$BS36-$BT36*$BT$2),AVEDEV(ARRAYFORMULA(XLOOKUP(FILTER(INDIRECT(""'""&amp;DH$1&amp;""'!$C$4:$C$66""),INDIRECT(""'""&amp;DH$1&amp;""'!$D$4:$D$66"")=DH$2),$G$3:$BQ$3,$G36:$BQ36))),"""")"),"")</f>
        <v/>
      </c>
      <c r="DJ36" s="243"/>
    </row>
    <row r="37">
      <c r="A37" s="2"/>
      <c r="B37" s="204">
        <v>33.0</v>
      </c>
      <c r="C37" s="204" t="s">
        <v>442</v>
      </c>
      <c r="D37" s="204" t="s">
        <v>476</v>
      </c>
      <c r="E37" s="205" t="b">
        <f>VLOOKUP(D37,'Feature Set List'!A34:C246,2,0)</f>
        <v>1</v>
      </c>
      <c r="F37" s="205" t="b">
        <f>VLOOKUP(D37,'Feature Set List'!A34:C246,3,0)</f>
        <v>0</v>
      </c>
      <c r="G37" s="205">
        <v>0.62222222</v>
      </c>
      <c r="H37" s="205">
        <v>-0.7555556</v>
      </c>
      <c r="I37" s="205">
        <v>-1.2888889</v>
      </c>
      <c r="J37" s="205">
        <v>-0.8</v>
      </c>
      <c r="K37" s="205">
        <v>-0.0888889</v>
      </c>
      <c r="L37" s="205">
        <v>1.2</v>
      </c>
      <c r="M37" s="205">
        <v>-0.0888889</v>
      </c>
      <c r="N37" s="205">
        <v>0.0</v>
      </c>
      <c r="O37" s="205">
        <v>0.08888889</v>
      </c>
      <c r="P37" s="205">
        <v>0.75555556</v>
      </c>
      <c r="Q37" s="205">
        <v>0.31111111</v>
      </c>
      <c r="R37" s="205">
        <v>-1.0666667</v>
      </c>
      <c r="S37" s="205">
        <v>0.53333333</v>
      </c>
      <c r="T37" s="205">
        <v>0.31111111</v>
      </c>
      <c r="U37" s="205">
        <v>0.62222222</v>
      </c>
      <c r="V37" s="205">
        <v>-0.4888889</v>
      </c>
      <c r="W37" s="205">
        <v>-0.2222222</v>
      </c>
      <c r="X37" s="205">
        <v>0.0</v>
      </c>
      <c r="Y37" s="205">
        <v>0.66666667</v>
      </c>
      <c r="Z37" s="205">
        <v>-0.1333333</v>
      </c>
      <c r="AA37" s="205">
        <v>0.93333333</v>
      </c>
      <c r="AB37" s="205">
        <v>0.93333333</v>
      </c>
      <c r="AC37" s="205">
        <v>0.22222222</v>
      </c>
      <c r="AD37" s="205">
        <v>0.53333333</v>
      </c>
      <c r="AE37" s="205">
        <v>0.31111111</v>
      </c>
      <c r="AF37" s="205">
        <v>0.8</v>
      </c>
      <c r="AG37" s="205">
        <v>-0.4444444</v>
      </c>
      <c r="AH37" s="205">
        <v>0.93333333</v>
      </c>
      <c r="AI37" s="205">
        <v>1.11111111</v>
      </c>
      <c r="AJ37" s="205">
        <v>0.17777778</v>
      </c>
      <c r="AK37" s="205">
        <v>-0.0888889</v>
      </c>
      <c r="AL37" s="205">
        <v>-0.9777778</v>
      </c>
      <c r="AM37" s="205">
        <v>-0.8444444</v>
      </c>
      <c r="AN37" s="205">
        <v>1.15555556</v>
      </c>
      <c r="AO37" s="205">
        <v>-0.9333333</v>
      </c>
      <c r="AP37" s="205">
        <v>-0.4</v>
      </c>
      <c r="AQ37" s="205">
        <v>-0.1333333</v>
      </c>
      <c r="AR37" s="205">
        <v>-0.5333333</v>
      </c>
      <c r="AS37" s="205">
        <v>-0.7111111</v>
      </c>
      <c r="AT37" s="205">
        <v>0.71111111</v>
      </c>
      <c r="AU37" s="205">
        <v>-0.4444444</v>
      </c>
      <c r="AV37" s="205">
        <v>0.31111111</v>
      </c>
      <c r="AW37" s="205">
        <v>-0.3111111</v>
      </c>
      <c r="AX37" s="205">
        <v>0.0</v>
      </c>
      <c r="AY37" s="205">
        <v>1.15555556</v>
      </c>
      <c r="AZ37" s="205">
        <v>0.0</v>
      </c>
      <c r="BA37" s="205">
        <v>-0.2666667</v>
      </c>
      <c r="BB37" s="205">
        <v>0.08888889</v>
      </c>
      <c r="BC37" s="205">
        <v>-0.3555556</v>
      </c>
      <c r="BD37" s="205">
        <v>0.8</v>
      </c>
      <c r="BE37" s="205">
        <v>0.75555556</v>
      </c>
      <c r="BF37" s="205">
        <v>0.71111111</v>
      </c>
      <c r="BG37" s="205">
        <v>-0.6666667</v>
      </c>
      <c r="BH37" s="205">
        <v>0.53333333</v>
      </c>
      <c r="BI37" s="205">
        <v>-0.8444444</v>
      </c>
      <c r="BJ37" s="205">
        <v>-0.2222222</v>
      </c>
      <c r="BK37" s="205">
        <v>-0.4</v>
      </c>
      <c r="BL37" s="205">
        <v>0.08888889</v>
      </c>
      <c r="BM37" s="205">
        <v>-0.4</v>
      </c>
      <c r="BN37" s="205">
        <v>-0.1333333</v>
      </c>
      <c r="BO37" s="205">
        <v>-0.4444444</v>
      </c>
      <c r="BP37" s="205">
        <v>0.08888889</v>
      </c>
      <c r="BQ37" s="205">
        <v>0.57777778</v>
      </c>
      <c r="BR37" s="206"/>
      <c r="BS37" s="250">
        <f t="shared" si="1"/>
        <v>0.0564373927</v>
      </c>
      <c r="BT37" s="250">
        <f t="shared" si="2"/>
        <v>0.5190896082</v>
      </c>
      <c r="BU37" s="206"/>
      <c r="BV37" s="207">
        <f>IFERROR(__xludf.DUMMYFUNCTION("AVERAGE(ARRAYFORMULA(XLOOKUP(FILTER(INDIRECT(""'""&amp;BV$1&amp;""'!$C$4:$C$66""),INDIRECT(""'""&amp;BV$1&amp;""'!$D$4:$D$66"")=BV$2),$G$3:$BQ$3,$G37:$BQ37)))"),0.25396826)</f>
        <v>0.25396826</v>
      </c>
      <c r="BW37" s="207" t="str">
        <f>IFERROR(__xludf.DUMMYFUNCTION("IF(OR(BV37&gt;$BS37+$BT37*$BT$2,BV37&lt;$BS37-$BT37*$BT$2),AVEDEV(ARRAYFORMULA(XLOOKUP(FILTER(INDIRECT(""'""&amp;BV$1&amp;""'!$C$4:$C$66""),INDIRECT(""'""&amp;BV$1&amp;""'!$D$4:$D$66"")=BV$2),$G$3:$BQ$3,$G37:$BQ37))),"""")"),"")</f>
        <v/>
      </c>
      <c r="BX37" s="207">
        <f>IFERROR(__xludf.DUMMYFUNCTION("AVERAGE(ARRAYFORMULA(XLOOKUP(FILTER(INDIRECT(""'""&amp;BX$1&amp;""'!$C$4:$C$66""),INDIRECT(""'""&amp;BX$1&amp;""'!$D$4:$D$66"")=BX$2),$G$3:$BQ$3,$G37:$BQ37)))"),-0.01587301285714286)</f>
        <v>-0.01587301286</v>
      </c>
      <c r="BY37" s="207" t="str">
        <f>IFERROR(__xludf.DUMMYFUNCTION("IF(OR(BX37&gt;$BS37+$BT37*$BT$2,BX37&lt;$BS37-$BT37*$BT$2),AVEDEV(ARRAYFORMULA(XLOOKUP(FILTER(INDIRECT(""'""&amp;BX$1&amp;""'!$C$4:$C$66""),INDIRECT(""'""&amp;BX$1&amp;""'!$D$4:$D$66"")=BX$2),$G$3:$BQ$3,$G37:$BQ37))),"""")"),"")</f>
        <v/>
      </c>
      <c r="BZ37" s="207">
        <f>IFERROR(__xludf.DUMMYFUNCTION("AVERAGE(ARRAYFORMULA(XLOOKUP(FILTER(INDIRECT(""'""&amp;BZ$1&amp;""'!$C$4:$C$66""),INDIRECT(""'""&amp;BZ$1&amp;""'!$D$4:$D$66"")=BZ$2),$G$3:$BQ$3,$G37:$BQ37)))"),0.30707070545454546)</f>
        <v>0.3070707055</v>
      </c>
      <c r="CA37" s="207" t="str">
        <f>IFERROR(__xludf.DUMMYFUNCTION("IF(OR(BZ37&gt;$BS37+$BT37*$BT$2,BZ37&lt;$BS37-$BT37*$BT$2),AVEDEV(ARRAYFORMULA(XLOOKUP(FILTER(INDIRECT(""'""&amp;BZ$1&amp;""'!$C$4:$C$66""),INDIRECT(""'""&amp;BZ$1&amp;""'!$D$4:$D$66"")=BZ$2),$G$3:$BQ$3,$G37:$BQ37))),"""")"),"")</f>
        <v/>
      </c>
      <c r="CB37" s="209"/>
      <c r="CC37" s="207">
        <f>IFERROR(__xludf.DUMMYFUNCTION("AVERAGE(ARRAYFORMULA(XLOOKUP(FILTER(INDIRECT(""'""&amp;CC$1&amp;""'!$C$4:$C$66""),INDIRECT(""'""&amp;CC$1&amp;""'!$D$4:$D$66"")=CC$2),$G$3:$BQ$3,$G37:$BQ37)))"),0.002777778125000005)</f>
        <v>0.002777778125</v>
      </c>
      <c r="CD37" s="207" t="str">
        <f>IFERROR(__xludf.DUMMYFUNCTION("IF(OR(CC37&gt;$BS37+$BT37*$BT$2,CC37&lt;$BS37-$BT37*$BT$2),AVEDEV(ARRAYFORMULA(XLOOKUP(FILTER(INDIRECT(""'""&amp;CC$1&amp;""'!$C$4:$C$66""),INDIRECT(""'""&amp;CC$1&amp;""'!$D$4:$D$66"")=CC$2),$G$3:$BQ$3,$G37:$BQ37))),"""")"),"")</f>
        <v/>
      </c>
      <c r="CE37" s="207">
        <f>IFERROR(__xludf.DUMMYFUNCTION("AVERAGE(ARRAYFORMULA(XLOOKUP(FILTER(INDIRECT(""'""&amp;CE$1&amp;""'!$C$4:$C$66""),INDIRECT(""'""&amp;CE$1&amp;""'!$D$4:$D$66"")=CE$2),$G$3:$BQ$3,$G37:$BQ37)))"),0.21362007451612897)</f>
        <v>0.2136200745</v>
      </c>
      <c r="CF37" s="207" t="str">
        <f>IFERROR(__xludf.DUMMYFUNCTION("IF(OR(CE37&gt;$BS37+$BT37*$BT$2,CE37&lt;$BS37-$BT37*$BT$2),AVEDEV(ARRAYFORMULA(XLOOKUP(FILTER(INDIRECT(""'""&amp;CE$1&amp;""'!$C$4:$C$66""),INDIRECT(""'""&amp;CE$1&amp;""'!$D$4:$D$66"")=CE$2),$G$3:$BQ$3,$G37:$BQ37))),"""")"),"")</f>
        <v/>
      </c>
      <c r="CG37" s="207">
        <f>IFERROR(__xludf.DUMMYFUNCTION("AVERAGE(ARRAYFORMULA(XLOOKUP(FILTER(INDIRECT(""'""&amp;CG$1&amp;""'!$C$4:$C$66""),INDIRECT(""'""&amp;CG$1&amp;""'!$D$4:$D$66"")=CG$2),$G$3:$BQ$3,$G37:$BQ37)))"),-0.11555556599999997)</f>
        <v>-0.115555566</v>
      </c>
      <c r="CH37" s="207" t="str">
        <f>IFERROR(__xludf.DUMMYFUNCTION("IF(OR(CG37&gt;$BS37+$BT37*$BT$2,CG37&lt;$BS37-$BT37*$BT$2),AVEDEV(ARRAYFORMULA(XLOOKUP(FILTER(INDIRECT(""'""&amp;CG$1&amp;""'!$C$4:$C$66""),INDIRECT(""'""&amp;CG$1&amp;""'!$D$4:$D$66"")=CG$2),$G$3:$BQ$3,$G37:$BQ37))),"""")"),"")</f>
        <v/>
      </c>
      <c r="CI37" s="206"/>
      <c r="CJ37" s="251">
        <f>IFERROR(__xludf.DUMMYFUNCTION("AVERAGE(ARRAYFORMULA(XLOOKUP(FILTER(INDIRECT(""'""&amp;CJ$1&amp;""'!$C$4:$C$66""),INDIRECT(""'""&amp;CJ$1&amp;""'!$D$4:$D$66"")=CJ$2),$G$3:$BQ$3,$G37:$BQ37)))"),0.3970370393333333)</f>
        <v>0.3970370393</v>
      </c>
      <c r="CK37" s="207" t="str">
        <f>IFERROR(__xludf.DUMMYFUNCTION("IF(OR(CJ37&gt;$BS37+$BT37*$BT$2,CJ37&lt;$BS37-$BT37*$BT$2),AVEDEV(ARRAYFORMULA(XLOOKUP(FILTER(INDIRECT(""'""&amp;CJ$1&amp;""'!$C$4:$C$66""),INDIRECT(""'""&amp;CJ$1&amp;""'!$D$4:$D$66"")=CJ$2),$G$3:$BQ$3,$G37:$BQ37))),"""")"),"")</f>
        <v/>
      </c>
      <c r="CL37" s="251">
        <f>IFERROR(__xludf.DUMMYFUNCTION("AVERAGE(ARRAYFORMULA(XLOOKUP(FILTER(INDIRECT(""'""&amp;CL$1&amp;""'!$C$4:$C$66""),INDIRECT(""'""&amp;CL$1&amp;""'!$D$4:$D$66"")=CL$2),$G$3:$BQ$3,$G37:$BQ37)))"),-0.025071220769230768)</f>
        <v>-0.02507122077</v>
      </c>
      <c r="CM37" s="207" t="str">
        <f>IFERROR(__xludf.DUMMYFUNCTION("IF(OR(CL37&gt;$BS37+$BT37*$BT$2,CL37&lt;$BS37-$BT37*$BT$2),AVEDEV(ARRAYFORMULA(XLOOKUP(FILTER(INDIRECT(""'""&amp;CL$1&amp;""'!$C$4:$C$66""),INDIRECT(""'""&amp;CL$1&amp;""'!$D$4:$D$66"")=CL$2),$G$3:$BQ$3,$G37:$BQ37))),"""")"),"")</f>
        <v/>
      </c>
      <c r="CN37" s="251">
        <f>IFERROR(__xludf.DUMMYFUNCTION("AVERAGE(ARRAYFORMULA(XLOOKUP(FILTER(INDIRECT(""'""&amp;CN$1&amp;""'!$C$4:$C$66""),INDIRECT(""'""&amp;CN$1&amp;""'!$D$4:$D$66"")=CN$2),$G$3:$BQ$3,$G37:$BQ37)))"),-0.11555556599999997)</f>
        <v>-0.115555566</v>
      </c>
      <c r="CO37" s="207" t="str">
        <f>IFERROR(__xludf.DUMMYFUNCTION("IF(OR(CN37&gt;$BS37+$BT37*$BT$2,CN37&lt;$BS37-$BT37*$BT$2),AVEDEV(ARRAYFORMULA(XLOOKUP(FILTER(INDIRECT(""'""&amp;CN$1&amp;""'!$C$4:$C$66""),INDIRECT(""'""&amp;CN$1&amp;""'!$D$4:$D$66"")=CN$2),$G$3:$BQ$3,$G37:$BQ37))),"""")"),"")</f>
        <v/>
      </c>
      <c r="CP37" s="252"/>
      <c r="CQ37" s="251">
        <f>IFERROR(__xludf.DUMMYFUNCTION("AVERAGE(ARRAYFORMULA(XLOOKUP(FILTER(INDIRECT(""'""&amp;CQ$1&amp;""'!$C$4:$C$66""),INDIRECT(""'""&amp;CQ$1&amp;""'!$D$4:$D$66"")=CQ$2),$G$3:$BQ$3,$G37:$BQ37)))"),-0.19047619071428573)</f>
        <v>-0.1904761907</v>
      </c>
      <c r="CR37" s="207" t="str">
        <f>IFERROR(__xludf.DUMMYFUNCTION("IF(OR(CQ37&gt;$BS37+$BT37*$BT$2,CQ37&lt;$BS37-$BT37*$BT$2),AVEDEV(ARRAYFORMULA(XLOOKUP(FILTER(INDIRECT(""'""&amp;CQ$1&amp;""'!$C$4:$C$66""),INDIRECT(""'""&amp;CQ$1&amp;""'!$D$4:$D$66"")=CQ$2),$G$3:$BQ$3,$G37:$BQ37))),"""")"),"")</f>
        <v/>
      </c>
      <c r="CS37" s="251">
        <f>IFERROR(__xludf.DUMMYFUNCTION("AVERAGE(ARRAYFORMULA(XLOOKUP(FILTER(INDIRECT(""'""&amp;CS$1&amp;""'!$C$4:$C$66""),INDIRECT(""'""&amp;CS$1&amp;""'!$D$4:$D$66"")=CS$2),$G$3:$BQ$3,$G37:$BQ37)))"),0.4197530844444445)</f>
        <v>0.4197530844</v>
      </c>
      <c r="CT37" s="207" t="str">
        <f>IFERROR(__xludf.DUMMYFUNCTION("IF(OR(CS37&gt;$BS37+$BT37*$BT$2,CS37&lt;$BS37-$BT37*$BT$2),AVEDEV(ARRAYFORMULA(XLOOKUP(FILTER(INDIRECT(""'""&amp;CS$1&amp;""'!$C$4:$C$66""),INDIRECT(""'""&amp;CS$1&amp;""'!$D$4:$D$66"")=CS$2),$G$3:$BQ$3,$G37:$BQ37))),"""")"),"")</f>
        <v/>
      </c>
      <c r="CU37" s="251">
        <f>IFERROR(__xludf.DUMMYFUNCTION("AVERAGE(ARRAYFORMULA(XLOOKUP(FILTER(INDIRECT(""'""&amp;CU$1&amp;""'!$C$4:$C$66""),INDIRECT(""'""&amp;CU$1&amp;""'!$D$4:$D$66"")=CU$2),$G$3:$BQ$3,$G37:$BQ37)))"),0.2383838418181818)</f>
        <v>0.2383838418</v>
      </c>
      <c r="CV37" s="207" t="str">
        <f>IFERROR(__xludf.DUMMYFUNCTION("IF(OR(CU37&gt;$BS37+$BT37*$BT$2,CU37&lt;$BS37-$BT37*$BT$2),AVEDEV(ARRAYFORMULA(XLOOKUP(FILTER(INDIRECT(""'""&amp;CU$1&amp;""'!$C$4:$C$66""),INDIRECT(""'""&amp;CU$1&amp;""'!$D$4:$D$66"")=CU$2),$G$3:$BQ$3,$G37:$BQ37))),"""")"),"")</f>
        <v/>
      </c>
      <c r="CW37" s="251">
        <f>IFERROR(__xludf.DUMMYFUNCTION("AVERAGE(ARRAYFORMULA(XLOOKUP(FILTER(INDIRECT(""'""&amp;CW$1&amp;""'!$C$4:$C$66""),INDIRECT(""'""&amp;CW$1&amp;""'!$D$4:$D$66"")=CW$2),$G$3:$BQ$3,$G37:$BQ37)))"),0.53333333)</f>
        <v>0.53333333</v>
      </c>
      <c r="CX37" s="207" t="str">
        <f>IFERROR(__xludf.DUMMYFUNCTION("IF(OR(CW37&gt;$BS37+$BT37*$BT$2,CW37&lt;$BS37-$BT37*$BT$2),AVEDEV(ARRAYFORMULA(XLOOKUP(FILTER(INDIRECT(""'""&amp;CW$1&amp;""'!$C$4:$C$66""),INDIRECT(""'""&amp;CW$1&amp;""'!$D$4:$D$66"")=CW$2),$G$3:$BQ$3,$G37:$BQ37))),"""")"),"")</f>
        <v/>
      </c>
      <c r="CY37" s="251">
        <f>IFERROR(__xludf.DUMMYFUNCTION("AVERAGE(ARRAYFORMULA(XLOOKUP(FILTER(INDIRECT(""'""&amp;CY$1&amp;""'!$C$4:$C$66""),INDIRECT(""'""&amp;CY$1&amp;""'!$D$4:$D$66"")=CY$2),$G$3:$BQ$3,$G37:$BQ37)))"),-0.06349205642857143)</f>
        <v>-0.06349205643</v>
      </c>
      <c r="CZ37" s="207" t="str">
        <f>IFERROR(__xludf.DUMMYFUNCTION("IF(OR(CY37&gt;$BS37+$BT37*$BT$2,CY37&lt;$BS37-$BT37*$BT$2),AVEDEV(ARRAYFORMULA(XLOOKUP(FILTER(INDIRECT(""'""&amp;CY$1&amp;""'!$C$4:$C$66""),INDIRECT(""'""&amp;CY$1&amp;""'!$D$4:$D$66"")=CY$2),$G$3:$BQ$3,$G37:$BQ37))),"""")"),"")</f>
        <v/>
      </c>
      <c r="DA37" s="252"/>
      <c r="DB37" s="251">
        <f>IFERROR(__xludf.DUMMYFUNCTION("AVERAGE(ARRAYFORMULA(XLOOKUP(FILTER(INDIRECT(""'""&amp;DB$1&amp;""'!$C$4:$C$66""),INDIRECT(""'""&amp;DB$1&amp;""'!$D$4:$D$66"")=DB$2),$G$3:$BQ$3,$G37:$BQ37)))"),0.037037037)</f>
        <v>0.037037037</v>
      </c>
      <c r="DC37" s="207" t="str">
        <f>IFERROR(__xludf.DUMMYFUNCTION("IF(OR(DB37&gt;$BS37+$BT37*$BT$2,DB37&lt;$BS37-$BT37*$BT$2),AVEDEV(ARRAYFORMULA(XLOOKUP(FILTER(INDIRECT(""'""&amp;DB$1&amp;""'!$C$4:$C$66""),INDIRECT(""'""&amp;DB$1&amp;""'!$D$4:$D$66"")=DB$2),$G$3:$BQ$3,$G37:$BQ37))),"""")"),"")</f>
        <v/>
      </c>
      <c r="DD37" s="251">
        <f>IFERROR(__xludf.DUMMYFUNCTION("AVERAGE(ARRAYFORMULA(XLOOKUP(FILTER(INDIRECT(""'""&amp;DD$1&amp;""'!$C$4:$C$66""),INDIRECT(""'""&amp;DD$1&amp;""'!$D$4:$D$66"")=DD$2),$G$3:$BQ$3,$G37:$BQ37)))"),0.24691357777777778)</f>
        <v>0.2469135778</v>
      </c>
      <c r="DE37" s="207" t="str">
        <f>IFERROR(__xludf.DUMMYFUNCTION("IF(OR(DD37&gt;$BS37+$BT37*$BT$2,DD37&lt;$BS37-$BT37*$BT$2),AVEDEV(ARRAYFORMULA(XLOOKUP(FILTER(INDIRECT(""'""&amp;DD$1&amp;""'!$C$4:$C$66""),INDIRECT(""'""&amp;DD$1&amp;""'!$D$4:$D$66"")=DD$2),$G$3:$BQ$3,$G37:$BQ37))),"""")"),"")</f>
        <v/>
      </c>
      <c r="DF37" s="251">
        <f>IFERROR(__xludf.DUMMYFUNCTION("AVERAGE(ARRAYFORMULA(XLOOKUP(FILTER(INDIRECT(""'""&amp;DF$1&amp;""'!$C$4:$C$66""),INDIRECT(""'""&amp;DF$1&amp;""'!$D$4:$D$66"")=DF$2),$G$3:$BQ$3,$G37:$BQ37)))"),0.30555555125)</f>
        <v>0.3055555513</v>
      </c>
      <c r="DG37" s="207" t="str">
        <f>IFERROR(__xludf.DUMMYFUNCTION("IF(OR(DF37&gt;$BS37+$BT37*$BT$2,DF37&lt;$BS37-$BT37*$BT$2),AVEDEV(ARRAYFORMULA(XLOOKUP(FILTER(INDIRECT(""'""&amp;DF$1&amp;""'!$C$4:$C$66""),INDIRECT(""'""&amp;DF$1&amp;""'!$D$4:$D$66"")=DF$2),$G$3:$BQ$3,$G37:$BQ37))),"""")"),"")</f>
        <v/>
      </c>
      <c r="DH37" s="251">
        <f>IFERROR(__xludf.DUMMYFUNCTION("AVERAGE(ARRAYFORMULA(XLOOKUP(FILTER(INDIRECT(""'""&amp;DH$1&amp;""'!$C$4:$C$66""),INDIRECT(""'""&amp;DH$1&amp;""'!$D$4:$D$66"")=DH$2),$G$3:$BQ$3,$G37:$BQ37)))"),0.009876558888888923)</f>
        <v>0.009876558889</v>
      </c>
      <c r="DI37" s="207" t="str">
        <f>IFERROR(__xludf.DUMMYFUNCTION("IF(OR(DH37&gt;$BS37+$BT37*$BT$2,DH37&lt;$BS37-$BT37*$BT$2),AVEDEV(ARRAYFORMULA(XLOOKUP(FILTER(INDIRECT(""'""&amp;DH$1&amp;""'!$C$4:$C$66""),INDIRECT(""'""&amp;DH$1&amp;""'!$D$4:$D$66"")=DH$2),$G$3:$BQ$3,$G37:$BQ37))),"""")"),"")</f>
        <v/>
      </c>
      <c r="DJ37" s="243"/>
    </row>
    <row r="38">
      <c r="A38" s="2"/>
      <c r="B38" s="204">
        <v>34.0</v>
      </c>
      <c r="C38" s="204" t="s">
        <v>442</v>
      </c>
      <c r="D38" s="204" t="s">
        <v>477</v>
      </c>
      <c r="E38" s="205" t="b">
        <f>VLOOKUP(D38,'Feature Set List'!A35:C246,2,0)</f>
        <v>1</v>
      </c>
      <c r="F38" s="205" t="b">
        <f>VLOOKUP(D38,'Feature Set List'!A35:C246,3,0)</f>
        <v>0</v>
      </c>
      <c r="G38" s="205">
        <v>-0.2222222</v>
      </c>
      <c r="H38" s="205">
        <v>0.88888889</v>
      </c>
      <c r="I38" s="205">
        <v>0.88888889</v>
      </c>
      <c r="J38" s="205">
        <v>0.66666667</v>
      </c>
      <c r="K38" s="205">
        <v>-1.1111111</v>
      </c>
      <c r="L38" s="205">
        <v>0.0</v>
      </c>
      <c r="M38" s="205">
        <v>-1.1111111</v>
      </c>
      <c r="N38" s="205">
        <v>-0.6666667</v>
      </c>
      <c r="O38" s="205">
        <v>-0.2222222</v>
      </c>
      <c r="P38" s="205">
        <v>0.44444444</v>
      </c>
      <c r="Q38" s="205">
        <v>0.88888889</v>
      </c>
      <c r="R38" s="205">
        <v>-0.6666667</v>
      </c>
      <c r="S38" s="205">
        <v>-0.6666667</v>
      </c>
      <c r="T38" s="205">
        <v>0.88888889</v>
      </c>
      <c r="U38" s="205">
        <v>-0.2222222</v>
      </c>
      <c r="V38" s="205">
        <v>-0.4444444</v>
      </c>
      <c r="W38" s="205">
        <v>0.88888889</v>
      </c>
      <c r="X38" s="205">
        <v>-0.6666667</v>
      </c>
      <c r="Y38" s="205">
        <v>0.0</v>
      </c>
      <c r="Z38" s="205">
        <v>1.33333333</v>
      </c>
      <c r="AA38" s="205">
        <v>1.33333333</v>
      </c>
      <c r="AB38" s="205">
        <v>1.33333333</v>
      </c>
      <c r="AC38" s="205">
        <v>0.44444444</v>
      </c>
      <c r="AD38" s="205">
        <v>-0.6666667</v>
      </c>
      <c r="AE38" s="205">
        <v>0.88888889</v>
      </c>
      <c r="AF38" s="205">
        <v>0.66666667</v>
      </c>
      <c r="AG38" s="205">
        <v>-0.2222222</v>
      </c>
      <c r="AH38" s="205">
        <v>1.33333333</v>
      </c>
      <c r="AI38" s="205">
        <v>-0.4444444</v>
      </c>
      <c r="AJ38" s="205">
        <v>0.22222222</v>
      </c>
      <c r="AK38" s="205">
        <v>-1.1111111</v>
      </c>
      <c r="AL38" s="205">
        <v>-0.2222222</v>
      </c>
      <c r="AM38" s="205">
        <v>0.44444444</v>
      </c>
      <c r="AN38" s="205">
        <v>-0.2222222</v>
      </c>
      <c r="AO38" s="205">
        <v>0.0</v>
      </c>
      <c r="AP38" s="205">
        <v>0.0</v>
      </c>
      <c r="AQ38" s="205">
        <v>1.33333333</v>
      </c>
      <c r="AR38" s="205">
        <v>-0.6666667</v>
      </c>
      <c r="AS38" s="205">
        <v>1.11111111</v>
      </c>
      <c r="AT38" s="205">
        <v>0.22222222</v>
      </c>
      <c r="AU38" s="205">
        <v>-0.2222222</v>
      </c>
      <c r="AV38" s="205">
        <v>0.88888889</v>
      </c>
      <c r="AW38" s="205">
        <v>0.44444444</v>
      </c>
      <c r="AX38" s="205">
        <v>-0.6666667</v>
      </c>
      <c r="AY38" s="205">
        <v>-0.2222222</v>
      </c>
      <c r="AZ38" s="205">
        <v>-0.6666667</v>
      </c>
      <c r="BA38" s="205">
        <v>0.66666667</v>
      </c>
      <c r="BB38" s="205">
        <v>-0.2222222</v>
      </c>
      <c r="BC38" s="205">
        <v>0.22222222</v>
      </c>
      <c r="BD38" s="205">
        <v>0.66666667</v>
      </c>
      <c r="BE38" s="205">
        <v>0.44444444</v>
      </c>
      <c r="BF38" s="205">
        <v>0.22222222</v>
      </c>
      <c r="BG38" s="205">
        <v>1.33333333</v>
      </c>
      <c r="BH38" s="205">
        <v>-0.6666667</v>
      </c>
      <c r="BI38" s="205">
        <v>0.44444444</v>
      </c>
      <c r="BJ38" s="205">
        <v>0.88888889</v>
      </c>
      <c r="BK38" s="205">
        <v>0.0</v>
      </c>
      <c r="BL38" s="205">
        <v>-0.2222222</v>
      </c>
      <c r="BM38" s="205">
        <v>0.0</v>
      </c>
      <c r="BN38" s="205">
        <v>1.33333333</v>
      </c>
      <c r="BO38" s="205">
        <v>-0.2222222</v>
      </c>
      <c r="BP38" s="205">
        <v>-0.2222222</v>
      </c>
      <c r="BQ38" s="205">
        <v>-0.4444444</v>
      </c>
      <c r="BR38" s="206"/>
      <c r="BS38" s="250">
        <f t="shared" si="1"/>
        <v>0.165784834</v>
      </c>
      <c r="BT38" s="250">
        <f t="shared" si="2"/>
        <v>0.5969597689</v>
      </c>
      <c r="BU38" s="206"/>
      <c r="BV38" s="207">
        <f>IFERROR(__xludf.DUMMYFUNCTION("AVERAGE(ARRAYFORMULA(XLOOKUP(FILTER(INDIRECT(""'""&amp;BV$1&amp;""'!$C$4:$C$66""),INDIRECT(""'""&amp;BV$1&amp;""'!$D$4:$D$66"")=BV$2),$G$3:$BQ$3,$G38:$BQ38)))"),-0.15873015142857144)</f>
        <v>-0.1587301514</v>
      </c>
      <c r="BW38" s="207" t="str">
        <f>IFERROR(__xludf.DUMMYFUNCTION("IF(OR(BV38&gt;$BS38+$BT38*$BT$2,BV38&lt;$BS38-$BT38*$BT$2),AVEDEV(ARRAYFORMULA(XLOOKUP(FILTER(INDIRECT(""'""&amp;BV$1&amp;""'!$C$4:$C$66""),INDIRECT(""'""&amp;BV$1&amp;""'!$D$4:$D$66"")=BV$2),$G$3:$BQ$3,$G38:$BQ38))),"""")"),"")</f>
        <v/>
      </c>
      <c r="BX38" s="207">
        <f>IFERROR(__xludf.DUMMYFUNCTION("AVERAGE(ARRAYFORMULA(XLOOKUP(FILTER(INDIRECT(""'""&amp;BX$1&amp;""'!$C$4:$C$66""),INDIRECT(""'""&amp;BX$1&amp;""'!$D$4:$D$66"")=BX$2),$G$3:$BQ$3,$G38:$BQ38)))"),0.20634920666666673)</f>
        <v>0.2063492067</v>
      </c>
      <c r="BY38" s="207" t="str">
        <f>IFERROR(__xludf.DUMMYFUNCTION("IF(OR(BX38&gt;$BS38+$BT38*$BT$2,BX38&lt;$BS38-$BT38*$BT$2),AVEDEV(ARRAYFORMULA(XLOOKUP(FILTER(INDIRECT(""'""&amp;BX$1&amp;""'!$C$4:$C$66""),INDIRECT(""'""&amp;BX$1&amp;""'!$D$4:$D$66"")=BX$2),$G$3:$BQ$3,$G38:$BQ38))),"""")"),"")</f>
        <v/>
      </c>
      <c r="BZ38" s="207">
        <f>IFERROR(__xludf.DUMMYFUNCTION("AVERAGE(ARRAYFORMULA(XLOOKUP(FILTER(INDIRECT(""'""&amp;BZ$1&amp;""'!$C$4:$C$66""),INDIRECT(""'""&amp;BZ$1&amp;""'!$D$4:$D$66"")=BZ$2),$G$3:$BQ$3,$G38:$BQ38)))"),0.14141414181818182)</f>
        <v>0.1414141418</v>
      </c>
      <c r="CA38" s="207" t="str">
        <f>IFERROR(__xludf.DUMMYFUNCTION("IF(OR(BZ38&gt;$BS38+$BT38*$BT$2,BZ38&lt;$BS38-$BT38*$BT$2),AVEDEV(ARRAYFORMULA(XLOOKUP(FILTER(INDIRECT(""'""&amp;BZ$1&amp;""'!$C$4:$C$66""),INDIRECT(""'""&amp;BZ$1&amp;""'!$D$4:$D$66"")=BZ$2),$G$3:$BQ$3,$G38:$BQ38))),"""")"),"")</f>
        <v/>
      </c>
      <c r="CB38" s="209"/>
      <c r="CC38" s="207">
        <f>IFERROR(__xludf.DUMMYFUNCTION("AVERAGE(ARRAYFORMULA(XLOOKUP(FILTER(INDIRECT(""'""&amp;CC$1&amp;""'!$C$4:$C$66""),INDIRECT(""'""&amp;CC$1&amp;""'!$D$4:$D$66"")=CC$2),$G$3:$BQ$3,$G38:$BQ38)))"),0.01388889750000002)</f>
        <v>0.0138888975</v>
      </c>
      <c r="CD38" s="207" t="str">
        <f>IFERROR(__xludf.DUMMYFUNCTION("IF(OR(CC38&gt;$BS38+$BT38*$BT$2,CC38&lt;$BS38-$BT38*$BT$2),AVEDEV(ARRAYFORMULA(XLOOKUP(FILTER(INDIRECT(""'""&amp;CC$1&amp;""'!$C$4:$C$66""),INDIRECT(""'""&amp;CC$1&amp;""'!$D$4:$D$66"")=CC$2),$G$3:$BQ$3,$G38:$BQ38))),"""")"),"")</f>
        <v/>
      </c>
      <c r="CE38" s="207">
        <f>IFERROR(__xludf.DUMMYFUNCTION("AVERAGE(ARRAYFORMULA(XLOOKUP(FILTER(INDIRECT(""'""&amp;CE$1&amp;""'!$C$4:$C$66""),INDIRECT(""'""&amp;CE$1&amp;""'!$D$4:$D$66"")=CE$2),$G$3:$BQ$3,$G38:$BQ38)))"),0.22939067999999999)</f>
        <v>0.22939068</v>
      </c>
      <c r="CF38" s="207" t="str">
        <f>IFERROR(__xludf.DUMMYFUNCTION("IF(OR(CE38&gt;$BS38+$BT38*$BT$2,CE38&lt;$BS38-$BT38*$BT$2),AVEDEV(ARRAYFORMULA(XLOOKUP(FILTER(INDIRECT(""'""&amp;CE$1&amp;""'!$C$4:$C$66""),INDIRECT(""'""&amp;CE$1&amp;""'!$D$4:$D$66"")=CE$2),$G$3:$BQ$3,$G38:$BQ38))),"""")"),"")</f>
        <v/>
      </c>
      <c r="CG38" s="207">
        <f>IFERROR(__xludf.DUMMYFUNCTION("AVERAGE(ARRAYFORMULA(XLOOKUP(FILTER(INDIRECT(""'""&amp;CG$1&amp;""'!$C$4:$C$66""),INDIRECT(""'""&amp;CG$1&amp;""'!$D$4:$D$66"")=CG$2),$G$3:$BQ$3,$G38:$BQ38)))"),0.888888888)</f>
        <v>0.888888888</v>
      </c>
      <c r="CH38" s="207">
        <f>IFERROR(__xludf.DUMMYFUNCTION("IF(OR(CG38&gt;$BS38+$BT38*$BT$2,CG38&lt;$BS38-$BT38*$BT$2),AVEDEV(ARRAYFORMULA(XLOOKUP(FILTER(INDIRECT(""'""&amp;CG$1&amp;""'!$C$4:$C$66""),INDIRECT(""'""&amp;CG$1&amp;""'!$D$4:$D$66"")=CG$2),$G$3:$BQ$3,$G38:$BQ38))),"""")"),0.26666666640000003)</f>
        <v>0.2666666664</v>
      </c>
      <c r="CI38" s="206"/>
      <c r="CJ38" s="251">
        <f>IFERROR(__xludf.DUMMYFUNCTION("AVERAGE(ARRAYFORMULA(XLOOKUP(FILTER(INDIRECT(""'""&amp;CJ$1&amp;""'!$C$4:$C$66""),INDIRECT(""'""&amp;CJ$1&amp;""'!$D$4:$D$66"")=CJ$2),$G$3:$BQ$3,$G38:$BQ38)))"),0.251851852)</f>
        <v>0.251851852</v>
      </c>
      <c r="CK38" s="207" t="str">
        <f>IFERROR(__xludf.DUMMYFUNCTION("IF(OR(CJ38&gt;$BS38+$BT38*$BT$2,CJ38&lt;$BS38-$BT38*$BT$2),AVEDEV(ARRAYFORMULA(XLOOKUP(FILTER(INDIRECT(""'""&amp;CJ$1&amp;""'!$C$4:$C$66""),INDIRECT(""'""&amp;CJ$1&amp;""'!$D$4:$D$66"")=CJ$2),$G$3:$BQ$3,$G38:$BQ38))),"""")"),"")</f>
        <v/>
      </c>
      <c r="CL38" s="251">
        <f>IFERROR(__xludf.DUMMYFUNCTION("AVERAGE(ARRAYFORMULA(XLOOKUP(FILTER(INDIRECT(""'""&amp;CL$1&amp;""'!$C$4:$C$66""),INDIRECT(""'""&amp;CL$1&amp;""'!$D$4:$D$66"")=CL$2),$G$3:$BQ$3,$G38:$BQ38)))"),0.028490029743589756)</f>
        <v>0.02849002974</v>
      </c>
      <c r="CM38" s="207" t="str">
        <f>IFERROR(__xludf.DUMMYFUNCTION("IF(OR(CL38&gt;$BS38+$BT38*$BT$2,CL38&lt;$BS38-$BT38*$BT$2),AVEDEV(ARRAYFORMULA(XLOOKUP(FILTER(INDIRECT(""'""&amp;CL$1&amp;""'!$C$4:$C$66""),INDIRECT(""'""&amp;CL$1&amp;""'!$D$4:$D$66"")=CL$2),$G$3:$BQ$3,$G38:$BQ38))),"""")"),"")</f>
        <v/>
      </c>
      <c r="CN38" s="251">
        <f>IFERROR(__xludf.DUMMYFUNCTION("AVERAGE(ARRAYFORMULA(XLOOKUP(FILTER(INDIRECT(""'""&amp;CN$1&amp;""'!$C$4:$C$66""),INDIRECT(""'""&amp;CN$1&amp;""'!$D$4:$D$66"")=CN$2),$G$3:$BQ$3,$G38:$BQ38)))"),0.888888888)</f>
        <v>0.888888888</v>
      </c>
      <c r="CO38" s="207">
        <f>IFERROR(__xludf.DUMMYFUNCTION("IF(OR(CN38&gt;$BS38+$BT38*$BT$2,CN38&lt;$BS38-$BT38*$BT$2),AVEDEV(ARRAYFORMULA(XLOOKUP(FILTER(INDIRECT(""'""&amp;CN$1&amp;""'!$C$4:$C$66""),INDIRECT(""'""&amp;CN$1&amp;""'!$D$4:$D$66"")=CN$2),$G$3:$BQ$3,$G38:$BQ38))),"""")"),0.26666666640000003)</f>
        <v>0.2666666664</v>
      </c>
      <c r="CP38" s="252"/>
      <c r="CQ38" s="251">
        <f>IFERROR(__xludf.DUMMYFUNCTION("AVERAGE(ARRAYFORMULA(XLOOKUP(FILTER(INDIRECT(""'""&amp;CQ$1&amp;""'!$C$4:$C$66""),INDIRECT(""'""&amp;CQ$1&amp;""'!$D$4:$D$66"")=CQ$2),$G$3:$BQ$3,$G38:$BQ38)))"),0.09523810285714286)</f>
        <v>0.09523810286</v>
      </c>
      <c r="CR38" s="207" t="str">
        <f>IFERROR(__xludf.DUMMYFUNCTION("IF(OR(CQ38&gt;$BS38+$BT38*$BT$2,CQ38&lt;$BS38-$BT38*$BT$2),AVEDEV(ARRAYFORMULA(XLOOKUP(FILTER(INDIRECT(""'""&amp;CQ$1&amp;""'!$C$4:$C$66""),INDIRECT(""'""&amp;CQ$1&amp;""'!$D$4:$D$66"")=CQ$2),$G$3:$BQ$3,$G38:$BQ38))),"""")"),"")</f>
        <v/>
      </c>
      <c r="CS38" s="251">
        <f>IFERROR(__xludf.DUMMYFUNCTION("AVERAGE(ARRAYFORMULA(XLOOKUP(FILTER(INDIRECT(""'""&amp;CS$1&amp;""'!$C$4:$C$66""),INDIRECT(""'""&amp;CS$1&amp;""'!$D$4:$D$66"")=CS$2),$G$3:$BQ$3,$G38:$BQ38)))"),0.24691358444444444)</f>
        <v>0.2469135844</v>
      </c>
      <c r="CT38" s="207" t="str">
        <f>IFERROR(__xludf.DUMMYFUNCTION("IF(OR(CS38&gt;$BS38+$BT38*$BT$2,CS38&lt;$BS38-$BT38*$BT$2),AVEDEV(ARRAYFORMULA(XLOOKUP(FILTER(INDIRECT(""'""&amp;CS$1&amp;""'!$C$4:$C$66""),INDIRECT(""'""&amp;CS$1&amp;""'!$D$4:$D$66"")=CS$2),$G$3:$BQ$3,$G38:$BQ38))),"""")"),"")</f>
        <v/>
      </c>
      <c r="CU38" s="251">
        <f>IFERROR(__xludf.DUMMYFUNCTION("AVERAGE(ARRAYFORMULA(XLOOKUP(FILTER(INDIRECT(""'""&amp;CU$1&amp;""'!$C$4:$C$66""),INDIRECT(""'""&amp;CU$1&amp;""'!$D$4:$D$66"")=CU$2),$G$3:$BQ$3,$G38:$BQ38)))"),0.5252525190909091)</f>
        <v>0.5252525191</v>
      </c>
      <c r="CV38" s="207" t="str">
        <f>IFERROR(__xludf.DUMMYFUNCTION("IF(OR(CU38&gt;$BS38+$BT38*$BT$2,CU38&lt;$BS38-$BT38*$BT$2),AVEDEV(ARRAYFORMULA(XLOOKUP(FILTER(INDIRECT(""'""&amp;CU$1&amp;""'!$C$4:$C$66""),INDIRECT(""'""&amp;CU$1&amp;""'!$D$4:$D$66"")=CU$2),$G$3:$BQ$3,$G38:$BQ38))),"""")"),"")</f>
        <v/>
      </c>
      <c r="CW38" s="251">
        <f>IFERROR(__xludf.DUMMYFUNCTION("AVERAGE(ARRAYFORMULA(XLOOKUP(FILTER(INDIRECT(""'""&amp;CW$1&amp;""'!$C$4:$C$66""),INDIRECT(""'""&amp;CW$1&amp;""'!$D$4:$D$66"")=CW$2),$G$3:$BQ$3,$G38:$BQ38)))"),-0.6666667)</f>
        <v>-0.6666667</v>
      </c>
      <c r="CX38" s="207">
        <f>IFERROR(__xludf.DUMMYFUNCTION("IF(OR(CW38&gt;$BS38+$BT38*$BT$2,CW38&lt;$BS38-$BT38*$BT$2),AVEDEV(ARRAYFORMULA(XLOOKUP(FILTER(INDIRECT(""'""&amp;CW$1&amp;""'!$C$4:$C$66""),INDIRECT(""'""&amp;CW$1&amp;""'!$D$4:$D$66"")=CW$2),$G$3:$BQ$3,$G38:$BQ38))),"""")"),0.0)</f>
        <v>0</v>
      </c>
      <c r="CY38" s="251">
        <f>IFERROR(__xludf.DUMMYFUNCTION("AVERAGE(ARRAYFORMULA(XLOOKUP(FILTER(INDIRECT(""'""&amp;CY$1&amp;""'!$C$4:$C$66""),INDIRECT(""'""&amp;CY$1&amp;""'!$D$4:$D$66"")=CY$2),$G$3:$BQ$3,$G38:$BQ38)))"),0.1587301585714286)</f>
        <v>0.1587301586</v>
      </c>
      <c r="CZ38" s="207" t="str">
        <f>IFERROR(__xludf.DUMMYFUNCTION("IF(OR(CY38&gt;$BS38+$BT38*$BT$2,CY38&lt;$BS38-$BT38*$BT$2),AVEDEV(ARRAYFORMULA(XLOOKUP(FILTER(INDIRECT(""'""&amp;CY$1&amp;""'!$C$4:$C$66""),INDIRECT(""'""&amp;CY$1&amp;""'!$D$4:$D$66"")=CY$2),$G$3:$BQ$3,$G38:$BQ38))),"""")"),"")</f>
        <v/>
      </c>
      <c r="DA38" s="252"/>
      <c r="DB38" s="251">
        <f>IFERROR(__xludf.DUMMYFUNCTION("AVERAGE(ARRAYFORMULA(XLOOKUP(FILTER(INDIRECT(""'""&amp;DB$1&amp;""'!$C$4:$C$66""),INDIRECT(""'""&amp;DB$1&amp;""'!$D$4:$D$66"")=DB$2),$G$3:$BQ$3,$G38:$BQ38)))"),0.2296296353333333)</f>
        <v>0.2296296353</v>
      </c>
      <c r="DC38" s="207" t="str">
        <f>IFERROR(__xludf.DUMMYFUNCTION("IF(OR(DB38&gt;$BS38+$BT38*$BT$2,DB38&lt;$BS38-$BT38*$BT$2),AVEDEV(ARRAYFORMULA(XLOOKUP(FILTER(INDIRECT(""'""&amp;DB$1&amp;""'!$C$4:$C$66""),INDIRECT(""'""&amp;DB$1&amp;""'!$D$4:$D$66"")=DB$2),$G$3:$BQ$3,$G38:$BQ38))),"""")"),"")</f>
        <v/>
      </c>
      <c r="DD38" s="251">
        <f>IFERROR(__xludf.DUMMYFUNCTION("AVERAGE(ARRAYFORMULA(XLOOKUP(FILTER(INDIRECT(""'""&amp;DD$1&amp;""'!$C$4:$C$66""),INDIRECT(""'""&amp;DD$1&amp;""'!$D$4:$D$66"")=DD$2),$G$3:$BQ$3,$G38:$BQ38)))"),0.2716049422222222)</f>
        <v>0.2716049422</v>
      </c>
      <c r="DE38" s="207" t="str">
        <f>IFERROR(__xludf.DUMMYFUNCTION("IF(OR(DD38&gt;$BS38+$BT38*$BT$2,DD38&lt;$BS38-$BT38*$BT$2),AVEDEV(ARRAYFORMULA(XLOOKUP(FILTER(INDIRECT(""'""&amp;DD$1&amp;""'!$C$4:$C$66""),INDIRECT(""'""&amp;DD$1&amp;""'!$D$4:$D$66"")=DD$2),$G$3:$BQ$3,$G38:$BQ38))),"""")"),"")</f>
        <v/>
      </c>
      <c r="DF38" s="251">
        <f>IFERROR(__xludf.DUMMYFUNCTION("AVERAGE(ARRAYFORMULA(XLOOKUP(FILTER(INDIRECT(""'""&amp;DF$1&amp;""'!$C$4:$C$66""),INDIRECT(""'""&amp;DF$1&amp;""'!$D$4:$D$66"")=DF$2),$G$3:$BQ$3,$G38:$BQ38)))"),-0.13888889375)</f>
        <v>-0.1388888938</v>
      </c>
      <c r="DG38" s="207" t="str">
        <f>IFERROR(__xludf.DUMMYFUNCTION("IF(OR(DF38&gt;$BS38+$BT38*$BT$2,DF38&lt;$BS38-$BT38*$BT$2),AVEDEV(ARRAYFORMULA(XLOOKUP(FILTER(INDIRECT(""'""&amp;DF$1&amp;""'!$C$4:$C$66""),INDIRECT(""'""&amp;DF$1&amp;""'!$D$4:$D$66"")=DF$2),$G$3:$BQ$3,$G38:$BQ38))),"""")"),"")</f>
        <v/>
      </c>
      <c r="DH38" s="251">
        <f>IFERROR(__xludf.DUMMYFUNCTION("AVERAGE(ARRAYFORMULA(XLOOKUP(FILTER(INDIRECT(""'""&amp;DH$1&amp;""'!$C$4:$C$66""),INDIRECT(""'""&amp;DH$1&amp;""'!$D$4:$D$66"")=DH$2),$G$3:$BQ$3,$G38:$BQ38)))"),0.2716049322222222)</f>
        <v>0.2716049322</v>
      </c>
      <c r="DI38" s="207" t="str">
        <f>IFERROR(__xludf.DUMMYFUNCTION("IF(OR(DH38&gt;$BS38+$BT38*$BT$2,DH38&lt;$BS38-$BT38*$BT$2),AVEDEV(ARRAYFORMULA(XLOOKUP(FILTER(INDIRECT(""'""&amp;DH$1&amp;""'!$C$4:$C$66""),INDIRECT(""'""&amp;DH$1&amp;""'!$D$4:$D$66"")=DH$2),$G$3:$BQ$3,$G38:$BQ38))),"""")"),"")</f>
        <v/>
      </c>
      <c r="DJ38" s="243"/>
    </row>
    <row r="39">
      <c r="A39" s="2"/>
      <c r="B39" s="204">
        <v>35.0</v>
      </c>
      <c r="C39" s="204" t="s">
        <v>442</v>
      </c>
      <c r="D39" s="204" t="s">
        <v>478</v>
      </c>
      <c r="E39" s="205" t="b">
        <f>VLOOKUP(D39,'Feature Set List'!A36:C246,2,0)</f>
        <v>1</v>
      </c>
      <c r="F39" s="205" t="b">
        <f>VLOOKUP(D39,'Feature Set List'!A36:C246,3,0)</f>
        <v>0</v>
      </c>
      <c r="G39" s="205">
        <v>0.31597948</v>
      </c>
      <c r="H39" s="205">
        <v>0.35370231</v>
      </c>
      <c r="I39" s="205">
        <v>-0.4162898</v>
      </c>
      <c r="J39" s="205">
        <v>0.12858215</v>
      </c>
      <c r="K39" s="205">
        <v>6.8116089</v>
      </c>
      <c r="L39" s="205">
        <v>-0.5601639</v>
      </c>
      <c r="M39" s="205">
        <v>0.98890624</v>
      </c>
      <c r="N39" s="205">
        <v>0.03772284</v>
      </c>
      <c r="O39" s="205">
        <v>-0.3192245</v>
      </c>
      <c r="P39" s="205">
        <v>0.58734054</v>
      </c>
      <c r="Q39" s="205">
        <v>-0.6021457</v>
      </c>
      <c r="R39" s="205">
        <v>0.31395137</v>
      </c>
      <c r="S39" s="205">
        <v>-0.2518912</v>
      </c>
      <c r="T39" s="205">
        <v>1.67075669</v>
      </c>
      <c r="U39" s="205">
        <v>-0.0048675</v>
      </c>
      <c r="V39" s="205">
        <v>0.76378607</v>
      </c>
      <c r="W39" s="205">
        <v>0.44740098</v>
      </c>
      <c r="X39" s="205">
        <v>-0.1241203</v>
      </c>
      <c r="Y39" s="205">
        <v>1.33368487</v>
      </c>
      <c r="Z39" s="205">
        <v>0.63195895</v>
      </c>
      <c r="AA39" s="205">
        <v>-0.4435881</v>
      </c>
      <c r="AB39" s="205">
        <v>-0.4946965</v>
      </c>
      <c r="AC39" s="205">
        <v>0.12533717</v>
      </c>
      <c r="AD39" s="205">
        <v>-0.384124</v>
      </c>
      <c r="AE39" s="205">
        <v>0.26892733</v>
      </c>
      <c r="AF39" s="205">
        <v>0.02555418</v>
      </c>
      <c r="AG39" s="205">
        <v>-0.3707384</v>
      </c>
      <c r="AH39" s="205">
        <v>3.33948527</v>
      </c>
      <c r="AI39" s="205">
        <v>2.74889975</v>
      </c>
      <c r="AJ39" s="205">
        <v>-0.8181394</v>
      </c>
      <c r="AK39" s="205">
        <v>-0.3249032</v>
      </c>
      <c r="AL39" s="205">
        <v>0.4737664</v>
      </c>
      <c r="AM39" s="205">
        <v>0.23972255</v>
      </c>
      <c r="AN39" s="205">
        <v>0.0425903</v>
      </c>
      <c r="AO39" s="205">
        <v>-0.7785669</v>
      </c>
      <c r="AP39" s="205">
        <v>-0.5249153</v>
      </c>
      <c r="AQ39" s="205">
        <v>-0.6055935</v>
      </c>
      <c r="AR39" s="205">
        <v>-0.3999432</v>
      </c>
      <c r="AS39" s="205">
        <v>0.69483035</v>
      </c>
      <c r="AT39" s="205">
        <v>1.83787292</v>
      </c>
      <c r="AU39" s="205">
        <v>-0.8181394</v>
      </c>
      <c r="AV39" s="205">
        <v>0.28718032</v>
      </c>
      <c r="AW39" s="205">
        <v>-0.6768207</v>
      </c>
      <c r="AX39" s="205">
        <v>-0.4299998</v>
      </c>
      <c r="AY39" s="205">
        <v>-0.8181394</v>
      </c>
      <c r="AZ39" s="205">
        <v>1.51215852</v>
      </c>
      <c r="BA39" s="205">
        <v>0.16062628</v>
      </c>
      <c r="BB39" s="205">
        <v>-0.6068915</v>
      </c>
      <c r="BC39" s="205">
        <v>-0.4198592</v>
      </c>
      <c r="BD39" s="205">
        <v>-0.6147606</v>
      </c>
      <c r="BE39" s="205">
        <v>0.77879409</v>
      </c>
      <c r="BF39" s="205">
        <v>0.53907153</v>
      </c>
      <c r="BG39" s="205">
        <v>2.03906139</v>
      </c>
      <c r="BH39" s="205">
        <v>-0.2786623</v>
      </c>
      <c r="BI39" s="205">
        <v>-0.540329</v>
      </c>
      <c r="BJ39" s="205">
        <v>-0.096538</v>
      </c>
      <c r="BK39" s="205">
        <v>-0.5417486</v>
      </c>
      <c r="BL39" s="205">
        <v>4.39004604</v>
      </c>
      <c r="BM39" s="205">
        <v>0.0</v>
      </c>
      <c r="BN39" s="205">
        <v>-0.1537307</v>
      </c>
      <c r="BO39" s="205">
        <v>6.44654917</v>
      </c>
      <c r="BP39" s="205">
        <v>-0.2920478</v>
      </c>
      <c r="BQ39" s="205">
        <v>-0.6414505</v>
      </c>
      <c r="BR39" s="206"/>
      <c r="BS39" s="250">
        <f t="shared" si="1"/>
        <v>0.4124258103</v>
      </c>
      <c r="BT39" s="250">
        <f t="shared" si="2"/>
        <v>0.9587266119</v>
      </c>
      <c r="BU39" s="206"/>
      <c r="BV39" s="207">
        <f>IFERROR(__xludf.DUMMYFUNCTION("AVERAGE(ARRAYFORMULA(XLOOKUP(FILTER(INDIRECT(""'""&amp;BV$1&amp;""'!$C$4:$C$66""),INDIRECT(""'""&amp;BV$1&amp;""'!$D$4:$D$66"")=BV$2),$G$3:$BQ$3,$G39:$BQ39)))"),0.40517921857142847)</f>
        <v>0.4051792186</v>
      </c>
      <c r="BW39" s="207" t="str">
        <f>IFERROR(__xludf.DUMMYFUNCTION("IF(OR(BV39&gt;$BS39+$BT39*$BT$2,BV39&lt;$BS39-$BT39*$BT$2),AVEDEV(ARRAYFORMULA(XLOOKUP(FILTER(INDIRECT(""'""&amp;BV$1&amp;""'!$C$4:$C$66""),INDIRECT(""'""&amp;BV$1&amp;""'!$D$4:$D$66"")=BV$2),$G$3:$BQ$3,$G39:$BQ39))),"""")"),"")</f>
        <v/>
      </c>
      <c r="BX39" s="207">
        <f>IFERROR(__xludf.DUMMYFUNCTION("AVERAGE(ARRAYFORMULA(XLOOKUP(FILTER(INDIRECT(""'""&amp;BX$1&amp;""'!$C$4:$C$66""),INDIRECT(""'""&amp;BX$1&amp;""'!$D$4:$D$66"")=BX$2),$G$3:$BQ$3,$G39:$BQ39)))"),0.4407980342857144)</f>
        <v>0.4407980343</v>
      </c>
      <c r="BY39" s="207" t="str">
        <f>IFERROR(__xludf.DUMMYFUNCTION("IF(OR(BX39&gt;$BS39+$BT39*$BT$2,BX39&lt;$BS39-$BT39*$BT$2),AVEDEV(ARRAYFORMULA(XLOOKUP(FILTER(INDIRECT(""'""&amp;BX$1&amp;""'!$C$4:$C$66""),INDIRECT(""'""&amp;BX$1&amp;""'!$D$4:$D$66"")=BX$2),$G$3:$BQ$3,$G39:$BQ39))),"""")"),"")</f>
        <v/>
      </c>
      <c r="BZ39" s="207">
        <f>IFERROR(__xludf.DUMMYFUNCTION("AVERAGE(ARRAYFORMULA(XLOOKUP(FILTER(INDIRECT(""'""&amp;BZ$1&amp;""'!$C$4:$C$66""),INDIRECT(""'""&amp;BZ$1&amp;""'!$D$4:$D$66"")=BZ$2),$G$3:$BQ$3,$G39:$BQ39)))"),0.5892948981818181)</f>
        <v>0.5892948982</v>
      </c>
      <c r="CA39" s="207" t="str">
        <f>IFERROR(__xludf.DUMMYFUNCTION("IF(OR(BZ39&gt;$BS39+$BT39*$BT$2,BZ39&lt;$BS39-$BT39*$BT$2),AVEDEV(ARRAYFORMULA(XLOOKUP(FILTER(INDIRECT(""'""&amp;BZ$1&amp;""'!$C$4:$C$66""),INDIRECT(""'""&amp;BZ$1&amp;""'!$D$4:$D$66"")=BZ$2),$G$3:$BQ$3,$G39:$BQ39))),"""")"),"")</f>
        <v/>
      </c>
      <c r="CB39" s="209"/>
      <c r="CC39" s="207">
        <f>IFERROR(__xludf.DUMMYFUNCTION("AVERAGE(ARRAYFORMULA(XLOOKUP(FILTER(INDIRECT(""'""&amp;CC$1&amp;""'!$C$4:$C$66""),INDIRECT(""'""&amp;CC$1&amp;""'!$D$4:$D$66"")=CC$2),$G$3:$BQ$3,$G39:$BQ39)))"),0.64846523125)</f>
        <v>0.6484652313</v>
      </c>
      <c r="CD39" s="207" t="str">
        <f>IFERROR(__xludf.DUMMYFUNCTION("IF(OR(CC39&gt;$BS39+$BT39*$BT$2,CC39&lt;$BS39-$BT39*$BT$2),AVEDEV(ARRAYFORMULA(XLOOKUP(FILTER(INDIRECT(""'""&amp;CC$1&amp;""'!$C$4:$C$66""),INDIRECT(""'""&amp;CC$1&amp;""'!$D$4:$D$66"")=CC$2),$G$3:$BQ$3,$G39:$BQ39))),"""")"),"")</f>
        <v/>
      </c>
      <c r="CE39" s="207">
        <f>IFERROR(__xludf.DUMMYFUNCTION("AVERAGE(ARRAYFORMULA(XLOOKUP(FILTER(INDIRECT(""'""&amp;CE$1&amp;""'!$C$4:$C$66""),INDIRECT(""'""&amp;CE$1&amp;""'!$D$4:$D$66"")=CE$2),$G$3:$BQ$3,$G39:$BQ39)))"),0.09303265838709676)</f>
        <v>0.09303265839</v>
      </c>
      <c r="CF39" s="207" t="str">
        <f>IFERROR(__xludf.DUMMYFUNCTION("IF(OR(CE39&gt;$BS39+$BT39*$BT$2,CE39&lt;$BS39-$BT39*$BT$2),AVEDEV(ARRAYFORMULA(XLOOKUP(FILTER(INDIRECT(""'""&amp;CE$1&amp;""'!$C$4:$C$66""),INDIRECT(""'""&amp;CE$1&amp;""'!$D$4:$D$66"")=CE$2),$G$3:$BQ$3,$G39:$BQ39))),"""")"),"")</f>
        <v/>
      </c>
      <c r="CG39" s="207">
        <f>IFERROR(__xludf.DUMMYFUNCTION("AVERAGE(ARRAYFORMULA(XLOOKUP(FILTER(INDIRECT(""'""&amp;CG$1&amp;""'!$C$4:$C$66""),INDIRECT(""'""&amp;CG$1&amp;""'!$D$4:$D$66"")=CG$2),$G$3:$BQ$3,$G39:$BQ39)))"),1.03052305)</f>
        <v>1.03052305</v>
      </c>
      <c r="CH39" s="207" t="str">
        <f>IFERROR(__xludf.DUMMYFUNCTION("IF(OR(CG39&gt;$BS39+$BT39*$BT$2,CG39&lt;$BS39-$BT39*$BT$2),AVEDEV(ARRAYFORMULA(XLOOKUP(FILTER(INDIRECT(""'""&amp;CG$1&amp;""'!$C$4:$C$66""),INDIRECT(""'""&amp;CG$1&amp;""'!$D$4:$D$66"")=CG$2),$G$3:$BQ$3,$G39:$BQ39))),"""")"),"")</f>
        <v/>
      </c>
      <c r="CI39" s="206"/>
      <c r="CJ39" s="251">
        <f>IFERROR(__xludf.DUMMYFUNCTION("AVERAGE(ARRAYFORMULA(XLOOKUP(FILTER(INDIRECT(""'""&amp;CJ$1&amp;""'!$C$4:$C$66""),INDIRECT(""'""&amp;CJ$1&amp;""'!$D$4:$D$66"")=CJ$2),$G$3:$BQ$3,$G39:$BQ39)))"),0.854012616)</f>
        <v>0.854012616</v>
      </c>
      <c r="CK39" s="207" t="str">
        <f>IFERROR(__xludf.DUMMYFUNCTION("IF(OR(CJ39&gt;$BS39+$BT39*$BT$2,CJ39&lt;$BS39-$BT39*$BT$2),AVEDEV(ARRAYFORMULA(XLOOKUP(FILTER(INDIRECT(""'""&amp;CJ$1&amp;""'!$C$4:$C$66""),INDIRECT(""'""&amp;CJ$1&amp;""'!$D$4:$D$66"")=CJ$2),$G$3:$BQ$3,$G39:$BQ39))),"""")"),"")</f>
        <v/>
      </c>
      <c r="CL39" s="251">
        <f>IFERROR(__xludf.DUMMYFUNCTION("AVERAGE(ARRAYFORMULA(XLOOKUP(FILTER(INDIRECT(""'""&amp;CL$1&amp;""'!$C$4:$C$66""),INDIRECT(""'""&amp;CL$1&amp;""'!$D$4:$D$66"")=CL$2),$G$3:$BQ$3,$G39:$BQ39)))"),0.14049141846153843)</f>
        <v>0.1404914185</v>
      </c>
      <c r="CM39" s="207" t="str">
        <f>IFERROR(__xludf.DUMMYFUNCTION("IF(OR(CL39&gt;$BS39+$BT39*$BT$2,CL39&lt;$BS39-$BT39*$BT$2),AVEDEV(ARRAYFORMULA(XLOOKUP(FILTER(INDIRECT(""'""&amp;CL$1&amp;""'!$C$4:$C$66""),INDIRECT(""'""&amp;CL$1&amp;""'!$D$4:$D$66"")=CL$2),$G$3:$BQ$3,$G39:$BQ39))),"""")"),"")</f>
        <v/>
      </c>
      <c r="CN39" s="251">
        <f>IFERROR(__xludf.DUMMYFUNCTION("AVERAGE(ARRAYFORMULA(XLOOKUP(FILTER(INDIRECT(""'""&amp;CN$1&amp;""'!$C$4:$C$66""),INDIRECT(""'""&amp;CN$1&amp;""'!$D$4:$D$66"")=CN$2),$G$3:$BQ$3,$G39:$BQ39)))"),1.03052305)</f>
        <v>1.03052305</v>
      </c>
      <c r="CO39" s="207" t="str">
        <f>IFERROR(__xludf.DUMMYFUNCTION("IF(OR(CN39&gt;$BS39+$BT39*$BT$2,CN39&lt;$BS39-$BT39*$BT$2),AVEDEV(ARRAYFORMULA(XLOOKUP(FILTER(INDIRECT(""'""&amp;CN$1&amp;""'!$C$4:$C$66""),INDIRECT(""'""&amp;CN$1&amp;""'!$D$4:$D$66"")=CN$2),$G$3:$BQ$3,$G39:$BQ39))),"""")"),"")</f>
        <v/>
      </c>
      <c r="CP39" s="252"/>
      <c r="CQ39" s="251">
        <f>IFERROR(__xludf.DUMMYFUNCTION("AVERAGE(ARRAYFORMULA(XLOOKUP(FILTER(INDIRECT(""'""&amp;CQ$1&amp;""'!$C$4:$C$66""),INDIRECT(""'""&amp;CQ$1&amp;""'!$D$4:$D$66"")=CQ$2),$G$3:$BQ$3,$G39:$BQ39)))"),0.16212419142857143)</f>
        <v>0.1621241914</v>
      </c>
      <c r="CR39" s="207" t="str">
        <f>IFERROR(__xludf.DUMMYFUNCTION("IF(OR(CQ39&gt;$BS39+$BT39*$BT$2,CQ39&lt;$BS39-$BT39*$BT$2),AVEDEV(ARRAYFORMULA(XLOOKUP(FILTER(INDIRECT(""'""&amp;CQ$1&amp;""'!$C$4:$C$66""),INDIRECT(""'""&amp;CQ$1&amp;""'!$D$4:$D$66"")=CQ$2),$G$3:$BQ$3,$G39:$BQ39))),"""")"),"")</f>
        <v/>
      </c>
      <c r="CS39" s="251">
        <f>IFERROR(__xludf.DUMMYFUNCTION("AVERAGE(ARRAYFORMULA(XLOOKUP(FILTER(INDIRECT(""'""&amp;CS$1&amp;""'!$C$4:$C$66""),INDIRECT(""'""&amp;CS$1&amp;""'!$D$4:$D$66"")=CS$2),$G$3:$BQ$3,$G39:$BQ39)))"),0.5522317066666668)</f>
        <v>0.5522317067</v>
      </c>
      <c r="CT39" s="207" t="str">
        <f>IFERROR(__xludf.DUMMYFUNCTION("IF(OR(CS39&gt;$BS39+$BT39*$BT$2,CS39&lt;$BS39-$BT39*$BT$2),AVEDEV(ARRAYFORMULA(XLOOKUP(FILTER(INDIRECT(""'""&amp;CS$1&amp;""'!$C$4:$C$66""),INDIRECT(""'""&amp;CS$1&amp;""'!$D$4:$D$66"")=CS$2),$G$3:$BQ$3,$G39:$BQ39))),"""")"),"")</f>
        <v/>
      </c>
      <c r="CU39" s="251">
        <f>IFERROR(__xludf.DUMMYFUNCTION("AVERAGE(ARRAYFORMULA(XLOOKUP(FILTER(INDIRECT(""'""&amp;CU$1&amp;""'!$C$4:$C$66""),INDIRECT(""'""&amp;CU$1&amp;""'!$D$4:$D$66"")=CU$2),$G$3:$BQ$3,$G39:$BQ39)))"),1.3306537736363635)</f>
        <v>1.330653774</v>
      </c>
      <c r="CV39" s="207" t="str">
        <f>IFERROR(__xludf.DUMMYFUNCTION("IF(OR(CU39&gt;$BS39+$BT39*$BT$2,CU39&lt;$BS39-$BT39*$BT$2),AVEDEV(ARRAYFORMULA(XLOOKUP(FILTER(INDIRECT(""'""&amp;CU$1&amp;""'!$C$4:$C$66""),INDIRECT(""'""&amp;CU$1&amp;""'!$D$4:$D$66"")=CU$2),$G$3:$BQ$3,$G39:$BQ39))),"""")"),"")</f>
        <v/>
      </c>
      <c r="CW39" s="251">
        <f>IFERROR(__xludf.DUMMYFUNCTION("AVERAGE(ARRAYFORMULA(XLOOKUP(FILTER(INDIRECT(""'""&amp;CW$1&amp;""'!$C$4:$C$66""),INDIRECT(""'""&amp;CW$1&amp;""'!$D$4:$D$66"")=CW$2),$G$3:$BQ$3,$G39:$BQ39)))"),-0.33139315)</f>
        <v>-0.33139315</v>
      </c>
      <c r="CX39" s="207" t="str">
        <f>IFERROR(__xludf.DUMMYFUNCTION("IF(OR(CW39&gt;$BS39+$BT39*$BT$2,CW39&lt;$BS39-$BT39*$BT$2),AVEDEV(ARRAYFORMULA(XLOOKUP(FILTER(INDIRECT(""'""&amp;CW$1&amp;""'!$C$4:$C$66""),INDIRECT(""'""&amp;CW$1&amp;""'!$D$4:$D$66"")=CW$2),$G$3:$BQ$3,$G39:$BQ39))),"""")"),"")</f>
        <v/>
      </c>
      <c r="CY39" s="251">
        <f>IFERROR(__xludf.DUMMYFUNCTION("AVERAGE(ARRAYFORMULA(XLOOKUP(FILTER(INDIRECT(""'""&amp;CY$1&amp;""'!$C$4:$C$66""),INDIRECT(""'""&amp;CY$1&amp;""'!$D$4:$D$66"")=CY$2),$G$3:$BQ$3,$G39:$BQ39)))"),-0.26606479857142856)</f>
        <v>-0.2660647986</v>
      </c>
      <c r="CZ39" s="207" t="str">
        <f>IFERROR(__xludf.DUMMYFUNCTION("IF(OR(CY39&gt;$BS39+$BT39*$BT$2,CY39&lt;$BS39-$BT39*$BT$2),AVEDEV(ARRAYFORMULA(XLOOKUP(FILTER(INDIRECT(""'""&amp;CY$1&amp;""'!$C$4:$C$66""),INDIRECT(""'""&amp;CY$1&amp;""'!$D$4:$D$66"")=CY$2),$G$3:$BQ$3,$G39:$BQ39))),"""")"),"")</f>
        <v/>
      </c>
      <c r="DA39" s="252"/>
      <c r="DB39" s="251">
        <f>IFERROR(__xludf.DUMMYFUNCTION("AVERAGE(ARRAYFORMULA(XLOOKUP(FILTER(INDIRECT(""'""&amp;DB$1&amp;""'!$C$4:$C$66""),INDIRECT(""'""&amp;DB$1&amp;""'!$D$4:$D$66"")=DB$2),$G$3:$BQ$3,$G39:$BQ39)))"),0.48097701233333345)</f>
        <v>0.4809770123</v>
      </c>
      <c r="DC39" s="207" t="str">
        <f>IFERROR(__xludf.DUMMYFUNCTION("IF(OR(DB39&gt;$BS39+$BT39*$BT$2,DB39&lt;$BS39-$BT39*$BT$2),AVEDEV(ARRAYFORMULA(XLOOKUP(FILTER(INDIRECT(""'""&amp;DB$1&amp;""'!$C$4:$C$66""),INDIRECT(""'""&amp;DB$1&amp;""'!$D$4:$D$66"")=DB$2),$G$3:$BQ$3,$G39:$BQ39))),"""")"),"")</f>
        <v/>
      </c>
      <c r="DD39" s="251">
        <f>IFERROR(__xludf.DUMMYFUNCTION("AVERAGE(ARRAYFORMULA(XLOOKUP(FILTER(INDIRECT(""'""&amp;DD$1&amp;""'!$C$4:$C$66""),INDIRECT(""'""&amp;DD$1&amp;""'!$D$4:$D$66"")=DD$2),$G$3:$BQ$3,$G39:$BQ39)))"),0.43311407)</f>
        <v>0.43311407</v>
      </c>
      <c r="DE39" s="207" t="str">
        <f>IFERROR(__xludf.DUMMYFUNCTION("IF(OR(DD39&gt;$BS39+$BT39*$BT$2,DD39&lt;$BS39-$BT39*$BT$2),AVEDEV(ARRAYFORMULA(XLOOKUP(FILTER(INDIRECT(""'""&amp;DD$1&amp;""'!$C$4:$C$66""),INDIRECT(""'""&amp;DD$1&amp;""'!$D$4:$D$66"")=DD$2),$G$3:$BQ$3,$G39:$BQ39))),"""")"),"")</f>
        <v/>
      </c>
      <c r="DF39" s="251">
        <f>IFERROR(__xludf.DUMMYFUNCTION("AVERAGE(ARRAYFORMULA(XLOOKUP(FILTER(INDIRECT(""'""&amp;DF$1&amp;""'!$C$4:$C$66""),INDIRECT(""'""&amp;DF$1&amp;""'!$D$4:$D$66"")=DF$2),$G$3:$BQ$3,$G39:$BQ39)))"),-0.10371752624999997)</f>
        <v>-0.1037175263</v>
      </c>
      <c r="DG39" s="207" t="str">
        <f>IFERROR(__xludf.DUMMYFUNCTION("IF(OR(DF39&gt;$BS39+$BT39*$BT$2,DF39&lt;$BS39-$BT39*$BT$2),AVEDEV(ARRAYFORMULA(XLOOKUP(FILTER(INDIRECT(""'""&amp;DF$1&amp;""'!$C$4:$C$66""),INDIRECT(""'""&amp;DF$1&amp;""'!$D$4:$D$66"")=DF$2),$G$3:$BQ$3,$G39:$BQ39))),"""")"),"")</f>
        <v/>
      </c>
      <c r="DH39" s="251">
        <f>IFERROR(__xludf.DUMMYFUNCTION("AVERAGE(ARRAYFORMULA(XLOOKUP(FILTER(INDIRECT(""'""&amp;DH$1&amp;""'!$C$4:$C$66""),INDIRECT(""'""&amp;DH$1&amp;""'!$D$4:$D$66"")=DH$2),$G$3:$BQ$3,$G39:$BQ39)))"),0.8052226022222222)</f>
        <v>0.8052226022</v>
      </c>
      <c r="DI39" s="207" t="str">
        <f>IFERROR(__xludf.DUMMYFUNCTION("IF(OR(DH39&gt;$BS39+$BT39*$BT$2,DH39&lt;$BS39-$BT39*$BT$2),AVEDEV(ARRAYFORMULA(XLOOKUP(FILTER(INDIRECT(""'""&amp;DH$1&amp;""'!$C$4:$C$66""),INDIRECT(""'""&amp;DH$1&amp;""'!$D$4:$D$66"")=DH$2),$G$3:$BQ$3,$G39:$BQ39))),"""")"),"")</f>
        <v/>
      </c>
      <c r="DJ39" s="243"/>
    </row>
    <row r="40">
      <c r="A40" s="2"/>
      <c r="B40" s="204">
        <v>36.0</v>
      </c>
      <c r="C40" s="204" t="s">
        <v>442</v>
      </c>
      <c r="D40" s="204" t="s">
        <v>479</v>
      </c>
      <c r="E40" s="205" t="b">
        <f>VLOOKUP(D40,'Feature Set List'!A37:C246,2,0)</f>
        <v>1</v>
      </c>
      <c r="F40" s="205" t="b">
        <f>VLOOKUP(D40,'Feature Set List'!A37:C246,3,0)</f>
        <v>0</v>
      </c>
      <c r="G40" s="205">
        <v>0.12884391</v>
      </c>
      <c r="H40" s="205">
        <v>-0.5990658</v>
      </c>
      <c r="I40" s="205">
        <v>-1.0945893</v>
      </c>
      <c r="J40" s="205">
        <v>-0.6835344</v>
      </c>
      <c r="K40" s="205">
        <v>-0.5924484</v>
      </c>
      <c r="L40" s="205">
        <v>-0.3012845</v>
      </c>
      <c r="M40" s="205">
        <v>0.88127676</v>
      </c>
      <c r="N40" s="205">
        <v>0.015181</v>
      </c>
      <c r="O40" s="205">
        <v>-0.8389257</v>
      </c>
      <c r="P40" s="205">
        <v>0.552355</v>
      </c>
      <c r="Q40" s="205">
        <v>0.20552744</v>
      </c>
      <c r="R40" s="205">
        <v>-0.2386142</v>
      </c>
      <c r="S40" s="205">
        <v>-0.85761</v>
      </c>
      <c r="T40" s="205">
        <v>0.46594005</v>
      </c>
      <c r="U40" s="205">
        <v>0.27092254</v>
      </c>
      <c r="V40" s="205">
        <v>-0.7399766</v>
      </c>
      <c r="W40" s="205">
        <v>0.41884002</v>
      </c>
      <c r="X40" s="205">
        <v>-0.6052939</v>
      </c>
      <c r="Y40" s="205">
        <v>0.35188789</v>
      </c>
      <c r="Z40" s="205">
        <v>-0.4725574</v>
      </c>
      <c r="AA40" s="205">
        <v>0.0</v>
      </c>
      <c r="AB40" s="205">
        <v>0.32074737</v>
      </c>
      <c r="AC40" s="205">
        <v>0.71195018</v>
      </c>
      <c r="AD40" s="205">
        <v>0.0688984</v>
      </c>
      <c r="AE40" s="205">
        <v>-0.717789</v>
      </c>
      <c r="AF40" s="205">
        <v>0.40132347</v>
      </c>
      <c r="AG40" s="205">
        <v>-0.2861035</v>
      </c>
      <c r="AH40" s="205">
        <v>-0.7224601</v>
      </c>
      <c r="AI40" s="205">
        <v>0.22460101</v>
      </c>
      <c r="AJ40" s="205">
        <v>-1.1724406</v>
      </c>
      <c r="AK40" s="205">
        <v>-0.493188</v>
      </c>
      <c r="AL40" s="205">
        <v>0.35655897</v>
      </c>
      <c r="AM40" s="205">
        <v>0.13974309</v>
      </c>
      <c r="AN40" s="205">
        <v>-0.2160374</v>
      </c>
      <c r="AO40" s="205">
        <v>-1.1724406</v>
      </c>
      <c r="AP40" s="205">
        <v>-1.1724406</v>
      </c>
      <c r="AQ40" s="205">
        <v>0.51498638</v>
      </c>
      <c r="AR40" s="205">
        <v>-0.1066563</v>
      </c>
      <c r="AS40" s="205">
        <v>0.55040872</v>
      </c>
      <c r="AT40" s="205">
        <v>0.35694823</v>
      </c>
      <c r="AU40" s="205">
        <v>-1.1724406</v>
      </c>
      <c r="AV40" s="205">
        <v>0.9435578</v>
      </c>
      <c r="AW40" s="205">
        <v>0.6239782</v>
      </c>
      <c r="AX40" s="205">
        <v>-0.6695212</v>
      </c>
      <c r="AY40" s="205">
        <v>-1.1724406</v>
      </c>
      <c r="AZ40" s="205">
        <v>-0.8038536</v>
      </c>
      <c r="BA40" s="205">
        <v>0.06617361</v>
      </c>
      <c r="BB40" s="205">
        <v>0.07318023</v>
      </c>
      <c r="BC40" s="205">
        <v>-0.7613858</v>
      </c>
      <c r="BD40" s="205">
        <v>-0.6317633</v>
      </c>
      <c r="BE40" s="205">
        <v>-0.6200856</v>
      </c>
      <c r="BF40" s="205">
        <v>-0.4927988</v>
      </c>
      <c r="BG40" s="205">
        <v>0.56948229</v>
      </c>
      <c r="BH40" s="205">
        <v>0.13818606</v>
      </c>
      <c r="BI40" s="205">
        <v>0.36395485</v>
      </c>
      <c r="BJ40" s="205">
        <v>-0.6547295</v>
      </c>
      <c r="BK40" s="205">
        <v>0.22226547</v>
      </c>
      <c r="BL40" s="205">
        <v>0.84235111</v>
      </c>
      <c r="BM40" s="205">
        <v>0.63020631</v>
      </c>
      <c r="BN40" s="205">
        <v>-0.4994161</v>
      </c>
      <c r="BO40" s="205">
        <v>0.11521993</v>
      </c>
      <c r="BP40" s="205">
        <v>0.98949007</v>
      </c>
      <c r="BQ40" s="205">
        <v>-0.4857921</v>
      </c>
      <c r="BR40" s="206"/>
      <c r="BS40" s="250">
        <f t="shared" si="1"/>
        <v>-0.1354396371</v>
      </c>
      <c r="BT40" s="250">
        <f t="shared" si="2"/>
        <v>0.5358043837</v>
      </c>
      <c r="BU40" s="206"/>
      <c r="BV40" s="207">
        <f>IFERROR(__xludf.DUMMYFUNCTION("AVERAGE(ARRAYFORMULA(XLOOKUP(FILTER(INDIRECT(""'""&amp;BV$1&amp;""'!$C$4:$C$66""),INDIRECT(""'""&amp;BV$1&amp;""'!$D$4:$D$66"")=BV$2),$G$3:$BQ$3,$G40:$BQ40)))"),-0.3405438314285715)</f>
        <v>-0.3405438314</v>
      </c>
      <c r="BW40" s="207" t="str">
        <f>IFERROR(__xludf.DUMMYFUNCTION("IF(OR(BV40&gt;$BS40+$BT40*$BT$2,BV40&lt;$BS40-$BT40*$BT$2),AVEDEV(ARRAYFORMULA(XLOOKUP(FILTER(INDIRECT(""'""&amp;BV$1&amp;""'!$C$4:$C$66""),INDIRECT(""'""&amp;BV$1&amp;""'!$D$4:$D$66"")=BV$2),$G$3:$BQ$3,$G40:$BQ40))),"""")"),"")</f>
        <v/>
      </c>
      <c r="BX40" s="207">
        <f>IFERROR(__xludf.DUMMYFUNCTION("AVERAGE(ARRAYFORMULA(XLOOKUP(FILTER(INDIRECT(""'""&amp;BX$1&amp;""'!$C$4:$C$66""),INDIRECT(""'""&amp;BX$1&amp;""'!$D$4:$D$66"")=BX$2),$G$3:$BQ$3,$G40:$BQ40)))"),-0.1438525247619048)</f>
        <v>-0.1438525248</v>
      </c>
      <c r="BY40" s="207" t="str">
        <f>IFERROR(__xludf.DUMMYFUNCTION("IF(OR(BX40&gt;$BS40+$BT40*$BT$2,BX40&lt;$BS40-$BT40*$BT$2),AVEDEV(ARRAYFORMULA(XLOOKUP(FILTER(INDIRECT(""'""&amp;BX$1&amp;""'!$C$4:$C$66""),INDIRECT(""'""&amp;BX$1&amp;""'!$D$4:$D$66"")=BX$2),$G$3:$BQ$3,$G40:$BQ40))),"""")"),"")</f>
        <v/>
      </c>
      <c r="BZ40" s="207">
        <f>IFERROR(__xludf.DUMMYFUNCTION("AVERAGE(ARRAYFORMULA(XLOOKUP(FILTER(INDIRECT(""'""&amp;BZ$1&amp;""'!$C$4:$C$66""),INDIRECT(""'""&amp;BZ$1&amp;""'!$D$4:$D$66"")=BZ$2),$G$3:$BQ$3,$G40:$BQ40)))"),0.25379172)</f>
        <v>0.25379172</v>
      </c>
      <c r="CA40" s="207" t="str">
        <f>IFERROR(__xludf.DUMMYFUNCTION("IF(OR(BZ40&gt;$BS40+$BT40*$BT$2,BZ40&lt;$BS40-$BT40*$BT$2),AVEDEV(ARRAYFORMULA(XLOOKUP(FILTER(INDIRECT(""'""&amp;BZ$1&amp;""'!$C$4:$C$66""),INDIRECT(""'""&amp;BZ$1&amp;""'!$D$4:$D$66"")=BZ$2),$G$3:$BQ$3,$G40:$BQ40))),"""")"),"")</f>
        <v/>
      </c>
      <c r="CB40" s="209"/>
      <c r="CC40" s="207">
        <f>IFERROR(__xludf.DUMMYFUNCTION("AVERAGE(ARRAYFORMULA(XLOOKUP(FILTER(INDIRECT(""'""&amp;CC$1&amp;""'!$C$4:$C$66""),INDIRECT(""'""&amp;CC$1&amp;""'!$D$4:$D$66"")=CC$2),$G$3:$BQ$3,$G40:$BQ40)))"),-0.231096719375)</f>
        <v>-0.2310967194</v>
      </c>
      <c r="CD40" s="207" t="str">
        <f>IFERROR(__xludf.DUMMYFUNCTION("IF(OR(CC40&gt;$BS40+$BT40*$BT$2,CC40&lt;$BS40-$BT40*$BT$2),AVEDEV(ARRAYFORMULA(XLOOKUP(FILTER(INDIRECT(""'""&amp;CC$1&amp;""'!$C$4:$C$66""),INDIRECT(""'""&amp;CC$1&amp;""'!$D$4:$D$66"")=CC$2),$G$3:$BQ$3,$G40:$BQ40))),"""")"),"")</f>
        <v/>
      </c>
      <c r="CE40" s="207">
        <f>IFERROR(__xludf.DUMMYFUNCTION("AVERAGE(ARRAYFORMULA(XLOOKUP(FILTER(INDIRECT(""'""&amp;CE$1&amp;""'!$C$4:$C$66""),INDIRECT(""'""&amp;CE$1&amp;""'!$D$4:$D$66"")=CE$2),$G$3:$BQ$3,$G40:$BQ40)))"),-0.10656210838709673)</f>
        <v>-0.1065621084</v>
      </c>
      <c r="CF40" s="207" t="str">
        <f>IFERROR(__xludf.DUMMYFUNCTION("IF(OR(CE40&gt;$BS40+$BT40*$BT$2,CE40&lt;$BS40-$BT40*$BT$2),AVEDEV(ARRAYFORMULA(XLOOKUP(FILTER(INDIRECT(""'""&amp;CE$1&amp;""'!$C$4:$C$66""),INDIRECT(""'""&amp;CE$1&amp;""'!$D$4:$D$66"")=CE$2),$G$3:$BQ$3,$G40:$BQ40))),"""")"),"")</f>
        <v/>
      </c>
      <c r="CG40" s="207">
        <f>IFERROR(__xludf.DUMMYFUNCTION("AVERAGE(ARRAYFORMULA(XLOOKUP(FILTER(INDIRECT(""'""&amp;CG$1&amp;""'!$C$4:$C$66""),INDIRECT(""'""&amp;CG$1&amp;""'!$D$4:$D$66"")=CG$2),$G$3:$BQ$3,$G40:$BQ40)))"),0.4408719339999999)</f>
        <v>0.440871934</v>
      </c>
      <c r="CH40" s="207">
        <f>IFERROR(__xludf.DUMMYFUNCTION("IF(OR(CG40&gt;$BS40+$BT40*$BT$2,CG40&lt;$BS40-$BT40*$BT$2),AVEDEV(ARRAYFORMULA(XLOOKUP(FILTER(INDIRECT(""'""&amp;CG$1&amp;""'!$C$4:$C$66""),INDIRECT(""'""&amp;CG$1&amp;""'!$D$4:$D$66"")=CG$2),$G$3:$BQ$3,$G40:$BQ40))),"""")"),0.14987932960000006)</f>
        <v>0.1498793296</v>
      </c>
      <c r="CI40" s="206"/>
      <c r="CJ40" s="251">
        <f>IFERROR(__xludf.DUMMYFUNCTION("AVERAGE(ARRAYFORMULA(XLOOKUP(FILTER(INDIRECT(""'""&amp;CJ$1&amp;""'!$C$4:$C$66""),INDIRECT(""'""&amp;CJ$1&amp;""'!$D$4:$D$66"")=CJ$2),$G$3:$BQ$3,$G40:$BQ40)))"),0.02063059933333332)</f>
        <v>0.02063059933</v>
      </c>
      <c r="CK40" s="207" t="str">
        <f>IFERROR(__xludf.DUMMYFUNCTION("IF(OR(CJ40&gt;$BS40+$BT40*$BT$2,CJ40&lt;$BS40-$BT40*$BT$2),AVEDEV(ARRAYFORMULA(XLOOKUP(FILTER(INDIRECT(""'""&amp;CJ$1&amp;""'!$C$4:$C$66""),INDIRECT(""'""&amp;CJ$1&amp;""'!$D$4:$D$66"")=CJ$2),$G$3:$BQ$3,$G40:$BQ40))),"""")"),"")</f>
        <v/>
      </c>
      <c r="CL40" s="251">
        <f>IFERROR(__xludf.DUMMYFUNCTION("AVERAGE(ARRAYFORMULA(XLOOKUP(FILTER(INDIRECT(""'""&amp;CL$1&amp;""'!$C$4:$C$66""),INDIRECT(""'""&amp;CL$1&amp;""'!$D$4:$D$66"")=CL$2),$G$3:$BQ$3,$G40:$BQ40)))"),-0.23051471051282052)</f>
        <v>-0.2305147105</v>
      </c>
      <c r="CM40" s="207" t="str">
        <f>IFERROR(__xludf.DUMMYFUNCTION("IF(OR(CL40&gt;$BS40+$BT40*$BT$2,CL40&lt;$BS40-$BT40*$BT$2),AVEDEV(ARRAYFORMULA(XLOOKUP(FILTER(INDIRECT(""'""&amp;CL$1&amp;""'!$C$4:$C$66""),INDIRECT(""'""&amp;CL$1&amp;""'!$D$4:$D$66"")=CL$2),$G$3:$BQ$3,$G40:$BQ40))),"""")"),"")</f>
        <v/>
      </c>
      <c r="CN40" s="253">
        <f>IFERROR(__xludf.DUMMYFUNCTION("AVERAGE(ARRAYFORMULA(XLOOKUP(FILTER(INDIRECT(""'""&amp;CN$1&amp;""'!$C$4:$C$66""),INDIRECT(""'""&amp;CN$1&amp;""'!$D$4:$D$66"")=CN$2),$G$3:$BQ$3,$G40:$BQ40)))"),0.4408719339999999)</f>
        <v>0.440871934</v>
      </c>
      <c r="CO40" s="207">
        <f>IFERROR(__xludf.DUMMYFUNCTION("IF(OR(CN40&gt;$BS40+$BT40*$BT$2,CN40&lt;$BS40-$BT40*$BT$2),AVEDEV(ARRAYFORMULA(XLOOKUP(FILTER(INDIRECT(""'""&amp;CN$1&amp;""'!$C$4:$C$66""),INDIRECT(""'""&amp;CN$1&amp;""'!$D$4:$D$66"")=CN$2),$G$3:$BQ$3,$G40:$BQ40))),"""")"),0.14987932960000006)</f>
        <v>0.1498793296</v>
      </c>
      <c r="CP40" s="252"/>
      <c r="CQ40" s="251">
        <f>IFERROR(__xludf.DUMMYFUNCTION("AVERAGE(ARRAYFORMULA(XLOOKUP(FILTER(INDIRECT(""'""&amp;CQ$1&amp;""'!$C$4:$C$66""),INDIRECT(""'""&amp;CQ$1&amp;""'!$D$4:$D$66"")=CQ$2),$G$3:$BQ$3,$G40:$BQ40)))"),-0.2305232621428571)</f>
        <v>-0.2305232621</v>
      </c>
      <c r="CR40" s="207" t="str">
        <f>IFERROR(__xludf.DUMMYFUNCTION("IF(OR(CQ40&gt;$BS40+$BT40*$BT$2,CQ40&lt;$BS40-$BT40*$BT$2),AVEDEV(ARRAYFORMULA(XLOOKUP(FILTER(INDIRECT(""'""&amp;CQ$1&amp;""'!$C$4:$C$66""),INDIRECT(""'""&amp;CQ$1&amp;""'!$D$4:$D$66"")=CQ$2),$G$3:$BQ$3,$G40:$BQ40))),"""")"),"")</f>
        <v/>
      </c>
      <c r="CS40" s="251">
        <f>IFERROR(__xludf.DUMMYFUNCTION("AVERAGE(ARRAYFORMULA(XLOOKUP(FILTER(INDIRECT(""'""&amp;CS$1&amp;""'!$C$4:$C$66""),INDIRECT(""'""&amp;CS$1&amp;""'!$D$4:$D$66"")=CS$2),$G$3:$BQ$3,$G40:$BQ40)))"),0.3294840233333333)</f>
        <v>0.3294840233</v>
      </c>
      <c r="CT40" s="207" t="str">
        <f>IFERROR(__xludf.DUMMYFUNCTION("IF(OR(CS40&gt;$BS40+$BT40*$BT$2,CS40&lt;$BS40-$BT40*$BT$2),AVEDEV(ARRAYFORMULA(XLOOKUP(FILTER(INDIRECT(""'""&amp;CS$1&amp;""'!$C$4:$C$66""),INDIRECT(""'""&amp;CS$1&amp;""'!$D$4:$D$66"")=CS$2),$G$3:$BQ$3,$G40:$BQ40))),"""")"),"")</f>
        <v/>
      </c>
      <c r="CU40" s="251">
        <f>IFERROR(__xludf.DUMMYFUNCTION("AVERAGE(ARRAYFORMULA(XLOOKUP(FILTER(INDIRECT(""'""&amp;CU$1&amp;""'!$C$4:$C$66""),INDIRECT(""'""&amp;CU$1&amp;""'!$D$4:$D$66"")=CU$2),$G$3:$BQ$3,$G40:$BQ40)))"),0.07033865363636362)</f>
        <v>0.07033865364</v>
      </c>
      <c r="CV40" s="207" t="str">
        <f>IFERROR(__xludf.DUMMYFUNCTION("IF(OR(CU40&gt;$BS40+$BT40*$BT$2,CU40&lt;$BS40-$BT40*$BT$2),AVEDEV(ARRAYFORMULA(XLOOKUP(FILTER(INDIRECT(""'""&amp;CU$1&amp;""'!$C$4:$C$66""),INDIRECT(""'""&amp;CU$1&amp;""'!$D$4:$D$66"")=CU$2),$G$3:$BQ$3,$G40:$BQ40))),"""")"),"")</f>
        <v/>
      </c>
      <c r="CW40" s="251">
        <f>IFERROR(__xludf.DUMMYFUNCTION("AVERAGE(ARRAYFORMULA(XLOOKUP(FILTER(INDIRECT(""'""&amp;CW$1&amp;""'!$C$4:$C$66""),INDIRECT(""'""&amp;CW$1&amp;""'!$D$4:$D$66"")=CW$2),$G$3:$BQ$3,$G40:$BQ40)))"),0.10354223)</f>
        <v>0.10354223</v>
      </c>
      <c r="CX40" s="207" t="str">
        <f>IFERROR(__xludf.DUMMYFUNCTION("IF(OR(CW40&gt;$BS40+$BT40*$BT$2,CW40&lt;$BS40-$BT40*$BT$2),AVEDEV(ARRAYFORMULA(XLOOKUP(FILTER(INDIRECT(""'""&amp;CW$1&amp;""'!$C$4:$C$66""),INDIRECT(""'""&amp;CW$1&amp;""'!$D$4:$D$66"")=CW$2),$G$3:$BQ$3,$G40:$BQ40))),"""")"),"")</f>
        <v/>
      </c>
      <c r="CY40" s="253">
        <f>IFERROR(__xludf.DUMMYFUNCTION("AVERAGE(ARRAYFORMULA(XLOOKUP(FILTER(INDIRECT(""'""&amp;CY$1&amp;""'!$C$4:$C$66""),INDIRECT(""'""&amp;CY$1&amp;""'!$D$4:$D$66"")=CY$2),$G$3:$BQ$3,$G40:$BQ40)))"),-0.3255074242857143)</f>
        <v>-0.3255074243</v>
      </c>
      <c r="CZ40" s="207" t="str">
        <f>IFERROR(__xludf.DUMMYFUNCTION("IF(OR(CY40&gt;$BS40+$BT40*$BT$2,CY40&lt;$BS40-$BT40*$BT$2),AVEDEV(ARRAYFORMULA(XLOOKUP(FILTER(INDIRECT(""'""&amp;CY$1&amp;""'!$C$4:$C$66""),INDIRECT(""'""&amp;CY$1&amp;""'!$D$4:$D$66"")=CY$2),$G$3:$BQ$3,$G40:$BQ40))),"""")"),"")</f>
        <v/>
      </c>
      <c r="DA40" s="252"/>
      <c r="DB40" s="251">
        <f>IFERROR(__xludf.DUMMYFUNCTION("AVERAGE(ARRAYFORMULA(XLOOKUP(FILTER(INDIRECT(""'""&amp;DB$1&amp;""'!$C$4:$C$66""),INDIRECT(""'""&amp;DB$1&amp;""'!$D$4:$D$66"")=DB$2),$G$3:$BQ$3,$G40:$BQ40)))"),-0.1818346903333334)</f>
        <v>-0.1818346903</v>
      </c>
      <c r="DC40" s="207" t="str">
        <f>IFERROR(__xludf.DUMMYFUNCTION("IF(OR(DB40&gt;$BS40+$BT40*$BT$2,DB40&lt;$BS40-$BT40*$BT$2),AVEDEV(ARRAYFORMULA(XLOOKUP(FILTER(INDIRECT(""'""&amp;DB$1&amp;""'!$C$4:$C$66""),INDIRECT(""'""&amp;DB$1&amp;""'!$D$4:$D$66"")=DB$2),$G$3:$BQ$3,$G40:$BQ40))),"""")"),"")</f>
        <v/>
      </c>
      <c r="DD40" s="251">
        <f>IFERROR(__xludf.DUMMYFUNCTION("AVERAGE(ARRAYFORMULA(XLOOKUP(FILTER(INDIRECT(""'""&amp;DD$1&amp;""'!$C$4:$C$66""),INDIRECT(""'""&amp;DD$1&amp;""'!$D$4:$D$66"")=DD$2),$G$3:$BQ$3,$G40:$BQ40)))"),0.42065655111111105)</f>
        <v>0.4206565511</v>
      </c>
      <c r="DE40" s="207">
        <f>IFERROR(__xludf.DUMMYFUNCTION("IF(OR(DD40&gt;$BS40+$BT40*$BT$2,DD40&lt;$BS40-$BT40*$BT$2),AVEDEV(ARRAYFORMULA(XLOOKUP(FILTER(INDIRECT(""'""&amp;DD$1&amp;""'!$C$4:$C$66""),INDIRECT(""'""&amp;DD$1&amp;""'!$D$4:$D$66"")=DD$2),$G$3:$BQ$3,$G40:$BQ40))),"""")"),0.3044562587654321)</f>
        <v>0.3044562588</v>
      </c>
      <c r="DF40" s="251">
        <f>IFERROR(__xludf.DUMMYFUNCTION("AVERAGE(ARRAYFORMULA(XLOOKUP(FILTER(INDIRECT(""'""&amp;DF$1&amp;""'!$C$4:$C$66""),INDIRECT(""'""&amp;DF$1&amp;""'!$D$4:$D$66"")=DF$2),$G$3:$BQ$3,$G40:$BQ40)))"),-0.60162027)</f>
        <v>-0.60162027</v>
      </c>
      <c r="DG40" s="207" t="str">
        <f>IFERROR(__xludf.DUMMYFUNCTION("IF(OR(DF40&gt;$BS40+$BT40*$BT$2,DF40&lt;$BS40-$BT40*$BT$2),AVEDEV(ARRAYFORMULA(XLOOKUP(FILTER(INDIRECT(""'""&amp;DF$1&amp;""'!$C$4:$C$66""),INDIRECT(""'""&amp;DF$1&amp;""'!$D$4:$D$66"")=DF$2),$G$3:$BQ$3,$G40:$BQ40))),"""")"),"")</f>
        <v/>
      </c>
      <c r="DH40" s="251">
        <f>IFERROR(__xludf.DUMMYFUNCTION("AVERAGE(ARRAYFORMULA(XLOOKUP(FILTER(INDIRECT(""'""&amp;DH$1&amp;""'!$C$4:$C$66""),INDIRECT(""'""&amp;DH$1&amp;""'!$D$4:$D$66"")=DH$2),$G$3:$BQ$3,$G40:$BQ40)))"),0.2100255177777778)</f>
        <v>0.2100255178</v>
      </c>
      <c r="DI40" s="207" t="str">
        <f>IFERROR(__xludf.DUMMYFUNCTION("IF(OR(DH40&gt;$BS40+$BT40*$BT$2,DH40&lt;$BS40-$BT40*$BT$2),AVEDEV(ARRAYFORMULA(XLOOKUP(FILTER(INDIRECT(""'""&amp;DH$1&amp;""'!$C$4:$C$66""),INDIRECT(""'""&amp;DH$1&amp;""'!$D$4:$D$66"")=DH$2),$G$3:$BQ$3,$G40:$BQ40))),"""")"),"")</f>
        <v/>
      </c>
      <c r="DJ40" s="243"/>
    </row>
    <row r="41">
      <c r="A41" s="2"/>
      <c r="B41" s="204">
        <v>37.0</v>
      </c>
      <c r="C41" s="204" t="s">
        <v>442</v>
      </c>
      <c r="D41" s="204" t="s">
        <v>480</v>
      </c>
      <c r="E41" s="205" t="b">
        <f>VLOOKUP(D41,'Feature Set List'!A38:C246,2,0)</f>
        <v>1</v>
      </c>
      <c r="F41" s="205" t="b">
        <f>VLOOKUP(D41,'Feature Set List'!A38:C246,3,0)</f>
        <v>0</v>
      </c>
      <c r="G41" s="205">
        <v>28.1428333</v>
      </c>
      <c r="H41" s="205">
        <v>0.0</v>
      </c>
      <c r="I41" s="205">
        <v>6.20056733</v>
      </c>
      <c r="J41" s="205">
        <v>0.0</v>
      </c>
      <c r="K41" s="205">
        <v>3.30418822</v>
      </c>
      <c r="L41" s="205">
        <v>0.81628567</v>
      </c>
      <c r="M41" s="205">
        <v>0.95311196</v>
      </c>
      <c r="N41" s="205">
        <v>0.0</v>
      </c>
      <c r="O41" s="205">
        <v>0.0</v>
      </c>
      <c r="P41" s="205">
        <v>0.96379109</v>
      </c>
      <c r="Q41" s="205">
        <v>0.0</v>
      </c>
      <c r="R41" s="205">
        <v>0.0</v>
      </c>
      <c r="S41" s="205">
        <v>0.0</v>
      </c>
      <c r="T41" s="205">
        <v>0.0</v>
      </c>
      <c r="U41" s="205">
        <v>0.0</v>
      </c>
      <c r="V41" s="205">
        <v>0.0</v>
      </c>
      <c r="W41" s="205">
        <v>0.57200067</v>
      </c>
      <c r="X41" s="205">
        <v>0.0</v>
      </c>
      <c r="Y41" s="205">
        <v>12.3510763</v>
      </c>
      <c r="Z41" s="205">
        <v>0.0</v>
      </c>
      <c r="AA41" s="205">
        <v>0.0</v>
      </c>
      <c r="AB41" s="205">
        <v>1.06457534</v>
      </c>
      <c r="AC41" s="205">
        <v>3.01451694</v>
      </c>
      <c r="AD41" s="205">
        <v>0.0</v>
      </c>
      <c r="AE41" s="205">
        <v>0.0</v>
      </c>
      <c r="AF41" s="205">
        <v>1.03620891</v>
      </c>
      <c r="AG41" s="205">
        <v>0.0</v>
      </c>
      <c r="AH41" s="205">
        <v>4.24828967</v>
      </c>
      <c r="AI41" s="205">
        <v>0.0</v>
      </c>
      <c r="AJ41" s="205">
        <v>0.0</v>
      </c>
      <c r="AK41" s="205">
        <v>0.0</v>
      </c>
      <c r="AL41" s="205">
        <v>4.57200067</v>
      </c>
      <c r="AM41" s="205">
        <v>3.14533623</v>
      </c>
      <c r="AN41" s="205">
        <v>0.0</v>
      </c>
      <c r="AO41" s="205">
        <v>0.0</v>
      </c>
      <c r="AP41" s="205">
        <v>0.0</v>
      </c>
      <c r="AQ41" s="205">
        <v>0.0</v>
      </c>
      <c r="AR41" s="205">
        <v>0.0</v>
      </c>
      <c r="AS41" s="205">
        <v>1.33856166</v>
      </c>
      <c r="AT41" s="205">
        <v>8.31303187</v>
      </c>
      <c r="AU41" s="205">
        <v>0.0</v>
      </c>
      <c r="AV41" s="205">
        <v>0.0</v>
      </c>
      <c r="AW41" s="205">
        <v>0.0</v>
      </c>
      <c r="AX41" s="205">
        <v>0.0</v>
      </c>
      <c r="AY41" s="205">
        <v>0.0</v>
      </c>
      <c r="AZ41" s="205">
        <v>0.0</v>
      </c>
      <c r="BA41" s="205">
        <v>0.0</v>
      </c>
      <c r="BB41" s="205">
        <v>0.0</v>
      </c>
      <c r="BC41" s="205">
        <v>0.0</v>
      </c>
      <c r="BD41" s="205">
        <v>0.0</v>
      </c>
      <c r="BE41" s="205">
        <v>0.0</v>
      </c>
      <c r="BF41" s="205">
        <v>0.0</v>
      </c>
      <c r="BG41" s="205">
        <v>1.85082596</v>
      </c>
      <c r="BH41" s="205">
        <v>0.0</v>
      </c>
      <c r="BI41" s="205">
        <v>0.0</v>
      </c>
      <c r="BJ41" s="205">
        <v>0.0</v>
      </c>
      <c r="BK41" s="205">
        <v>0.0</v>
      </c>
      <c r="BL41" s="205">
        <v>129.851493</v>
      </c>
      <c r="BM41" s="205">
        <v>7.47872518</v>
      </c>
      <c r="BN41" s="205">
        <v>0.0</v>
      </c>
      <c r="BO41" s="205">
        <v>6.11046221</v>
      </c>
      <c r="BP41" s="205">
        <v>0.0</v>
      </c>
      <c r="BQ41" s="205">
        <v>0.0</v>
      </c>
      <c r="BR41" s="206"/>
      <c r="BS41" s="250">
        <f t="shared" si="1"/>
        <v>3.57663305</v>
      </c>
      <c r="BT41" s="250">
        <f t="shared" si="2"/>
        <v>5.558056574</v>
      </c>
      <c r="BU41" s="206"/>
      <c r="BV41" s="207">
        <f>IFERROR(__xludf.DUMMYFUNCTION("AVERAGE(ARRAYFORMULA(XLOOKUP(FILTER(INDIRECT(""'""&amp;BV$1&amp;""'!$C$4:$C$66""),INDIRECT(""'""&amp;BV$1&amp;""'!$D$4:$D$66"")=BV$2),$G$3:$BQ$3,$G41:$BQ41)))"),18.550213285714285)</f>
        <v>18.55021329</v>
      </c>
      <c r="BW41" s="207">
        <f>IFERROR(__xludf.DUMMYFUNCTION("IF(OR(BV41&gt;$BS41+$BT41*$BT$2,BV41&lt;$BS41-$BT41*$BT$2),AVEDEV(ARRAYFORMULA(XLOOKUP(FILTER(INDIRECT(""'""&amp;BV$1&amp;""'!$C$4:$C$66""),INDIRECT(""'""&amp;BV$1&amp;""'!$D$4:$D$66"")=BV$2),$G$3:$BQ$3,$G41:$BQ41))),"""")"),31.800365632653058)</f>
        <v>31.80036563</v>
      </c>
      <c r="BX41" s="207">
        <f>IFERROR(__xludf.DUMMYFUNCTION("AVERAGE(ARRAYFORMULA(XLOOKUP(FILTER(INDIRECT(""'""&amp;BX$1&amp;""'!$C$4:$C$66""),INDIRECT(""'""&amp;BX$1&amp;""'!$D$4:$D$66"")=BX$2),$G$3:$BQ$3,$G41:$BQ41)))"),0.8800425897619049)</f>
        <v>0.8800425898</v>
      </c>
      <c r="BY41" s="207" t="str">
        <f>IFERROR(__xludf.DUMMYFUNCTION("IF(OR(BX41&gt;$BS41+$BT41*$BT$2,BX41&lt;$BS41-$BT41*$BT$2),AVEDEV(ARRAYFORMULA(XLOOKUP(FILTER(INDIRECT(""'""&amp;BX$1&amp;""'!$C$4:$C$66""),INDIRECT(""'""&amp;BX$1&amp;""'!$D$4:$D$66"")=BX$2),$G$3:$BQ$3,$G41:$BQ41))),"""")"),"")</f>
        <v/>
      </c>
      <c r="BZ41" s="207">
        <f>IFERROR(__xludf.DUMMYFUNCTION("AVERAGE(ARRAYFORMULA(XLOOKUP(FILTER(INDIRECT(""'""&amp;BZ$1&amp;""'!$C$4:$C$66""),INDIRECT(""'""&amp;BZ$1&amp;""'!$D$4:$D$66"")=BZ$2),$G$3:$BQ$3,$G41:$BQ41)))"),4.755821189090909)</f>
        <v>4.755821189</v>
      </c>
      <c r="CA41" s="207" t="str">
        <f>IFERROR(__xludf.DUMMYFUNCTION("IF(OR(BZ41&gt;$BS41+$BT41*$BT$2,BZ41&lt;$BS41-$BT41*$BT$2),AVEDEV(ARRAYFORMULA(XLOOKUP(FILTER(INDIRECT(""'""&amp;BZ$1&amp;""'!$C$4:$C$66""),INDIRECT(""'""&amp;BZ$1&amp;""'!$D$4:$D$66"")=BZ$2),$G$3:$BQ$3,$G41:$BQ41))),"""")"),"")</f>
        <v/>
      </c>
      <c r="CB41" s="209"/>
      <c r="CC41" s="207">
        <f>IFERROR(__xludf.DUMMYFUNCTION("AVERAGE(ARRAYFORMULA(XLOOKUP(FILTER(INDIRECT(""'""&amp;CC$1&amp;""'!$C$4:$C$66""),INDIRECT(""'""&amp;CC$1&amp;""'!$D$4:$D$66"")=CC$2),$G$3:$BQ$3,$G41:$BQ41)))"),0.726076255625)</f>
        <v>0.7260762556</v>
      </c>
      <c r="CD41" s="207" t="str">
        <f>IFERROR(__xludf.DUMMYFUNCTION("IF(OR(CC41&gt;$BS41+$BT41*$BT$2,CC41&lt;$BS41-$BT41*$BT$2),AVEDEV(ARRAYFORMULA(XLOOKUP(FILTER(INDIRECT(""'""&amp;CC$1&amp;""'!$C$4:$C$66""),INDIRECT(""'""&amp;CC$1&amp;""'!$D$4:$D$66"")=CC$2),$G$3:$BQ$3,$G41:$BQ41))),"""")"),"")</f>
        <v/>
      </c>
      <c r="CE41" s="207">
        <f>IFERROR(__xludf.DUMMYFUNCTION("AVERAGE(ARRAYFORMULA(XLOOKUP(FILTER(INDIRECT(""'""&amp;CE$1&amp;""'!$C$4:$C$66""),INDIRECT(""'""&amp;CE$1&amp;""'!$D$4:$D$66"")=CE$2),$G$3:$BQ$3,$G41:$BQ41)))"),1.0249484632258063)</f>
        <v>1.024948463</v>
      </c>
      <c r="CF41" s="207" t="str">
        <f>IFERROR(__xludf.DUMMYFUNCTION("IF(OR(CE41&gt;$BS41+$BT41*$BT$2,CE41&lt;$BS41-$BT41*$BT$2),AVEDEV(ARRAYFORMULA(XLOOKUP(FILTER(INDIRECT(""'""&amp;CE$1&amp;""'!$C$4:$C$66""),INDIRECT(""'""&amp;CE$1&amp;""'!$D$4:$D$66"")=CE$2),$G$3:$BQ$3,$G41:$BQ41))),"""")"),"")</f>
        <v/>
      </c>
      <c r="CG41" s="207">
        <f>IFERROR(__xludf.DUMMYFUNCTION("AVERAGE(ARRAYFORMULA(XLOOKUP(FILTER(INDIRECT(""'""&amp;CG$1&amp;""'!$C$4:$C$66""),INDIRECT(""'""&amp;CG$1&amp;""'!$D$4:$D$66"")=CG$2),$G$3:$BQ$3,$G41:$BQ41)))"),0.8306357419999999)</f>
        <v>0.830635742</v>
      </c>
      <c r="CH41" s="207" t="str">
        <f>IFERROR(__xludf.DUMMYFUNCTION("IF(OR(CG41&gt;$BS41+$BT41*$BT$2,CG41&lt;$BS41-$BT41*$BT$2),AVEDEV(ARRAYFORMULA(XLOOKUP(FILTER(INDIRECT(""'""&amp;CG$1&amp;""'!$C$4:$C$66""),INDIRECT(""'""&amp;CG$1&amp;""'!$D$4:$D$66"")=CG$2),$G$3:$BQ$3,$G41:$BQ41))),"""")"),"")</f>
        <v/>
      </c>
      <c r="CI41" s="206"/>
      <c r="CJ41" s="251">
        <f>IFERROR(__xludf.DUMMYFUNCTION("AVERAGE(ARRAYFORMULA(XLOOKUP(FILTER(INDIRECT(""'""&amp;CJ$1&amp;""'!$C$4:$C$66""),INDIRECT(""'""&amp;CJ$1&amp;""'!$D$4:$D$66"")=CJ$2),$G$3:$BQ$3,$G41:$BQ41)))"),4.714900720666667)</f>
        <v>4.714900721</v>
      </c>
      <c r="CK41" s="207" t="str">
        <f>IFERROR(__xludf.DUMMYFUNCTION("IF(OR(CJ41&gt;$BS41+$BT41*$BT$2,CJ41&lt;$BS41-$BT41*$BT$2),AVEDEV(ARRAYFORMULA(XLOOKUP(FILTER(INDIRECT(""'""&amp;CJ$1&amp;""'!$C$4:$C$66""),INDIRECT(""'""&amp;CJ$1&amp;""'!$D$4:$D$66"")=CJ$2),$G$3:$BQ$3,$G41:$BQ41))),"""")"),"")</f>
        <v/>
      </c>
      <c r="CL41" s="251">
        <f>IFERROR(__xludf.DUMMYFUNCTION("AVERAGE(ARRAYFORMULA(XLOOKUP(FILTER(INDIRECT(""'""&amp;CL$1&amp;""'!$C$4:$C$66""),INDIRECT(""'""&amp;CL$1&amp;""'!$D$4:$D$66"")=CL$2),$G$3:$BQ$3,$G41:$BQ41)))"),0.3692085212820512)</f>
        <v>0.3692085213</v>
      </c>
      <c r="CM41" s="207" t="str">
        <f>IFERROR(__xludf.DUMMYFUNCTION("IF(OR(CL41&gt;$BS41+$BT41*$BT$2,CL41&lt;$BS41-$BT41*$BT$2),AVEDEV(ARRAYFORMULA(XLOOKUP(FILTER(INDIRECT(""'""&amp;CL$1&amp;""'!$C$4:$C$66""),INDIRECT(""'""&amp;CL$1&amp;""'!$D$4:$D$66"")=CL$2),$G$3:$BQ$3,$G41:$BQ41))),"""")"),"")</f>
        <v/>
      </c>
      <c r="CN41" s="251">
        <f>IFERROR(__xludf.DUMMYFUNCTION("AVERAGE(ARRAYFORMULA(XLOOKUP(FILTER(INDIRECT(""'""&amp;CN$1&amp;""'!$C$4:$C$66""),INDIRECT(""'""&amp;CN$1&amp;""'!$D$4:$D$66"")=CN$2),$G$3:$BQ$3,$G41:$BQ41)))"),0.8306357419999999)</f>
        <v>0.830635742</v>
      </c>
      <c r="CO41" s="207" t="str">
        <f>IFERROR(__xludf.DUMMYFUNCTION("IF(OR(CN41&gt;$BS41+$BT41*$BT$2,CN41&lt;$BS41-$BT41*$BT$2),AVEDEV(ARRAYFORMULA(XLOOKUP(FILTER(INDIRECT(""'""&amp;CN$1&amp;""'!$C$4:$C$66""),INDIRECT(""'""&amp;CN$1&amp;""'!$D$4:$D$66"")=CN$2),$G$3:$BQ$3,$G41:$BQ41))),"""")"),"")</f>
        <v/>
      </c>
      <c r="CP41" s="252"/>
      <c r="CQ41" s="251">
        <f>IFERROR(__xludf.DUMMYFUNCTION("AVERAGE(ARRAYFORMULA(XLOOKUP(FILTER(INDIRECT(""'""&amp;CQ$1&amp;""'!$C$4:$C$66""),INDIRECT(""'""&amp;CQ$1&amp;""'!$D$4:$D$66"")=CQ$2),$G$3:$BQ$3,$G41:$BQ41)))"),0.3265714764285715)</f>
        <v>0.3265714764</v>
      </c>
      <c r="CR41" s="207" t="str">
        <f>IFERROR(__xludf.DUMMYFUNCTION("IF(OR(CQ41&gt;$BS41+$BT41*$BT$2,CQ41&lt;$BS41-$BT41*$BT$2),AVEDEV(ARRAYFORMULA(XLOOKUP(FILTER(INDIRECT(""'""&amp;CQ$1&amp;""'!$C$4:$C$66""),INDIRECT(""'""&amp;CQ$1&amp;""'!$D$4:$D$66"")=CQ$2),$G$3:$BQ$3,$G41:$BQ41))),"""")"),"")</f>
        <v/>
      </c>
      <c r="CS41" s="251">
        <f>IFERROR(__xludf.DUMMYFUNCTION("AVERAGE(ARRAYFORMULA(XLOOKUP(FILTER(INDIRECT(""'""&amp;CS$1&amp;""'!$C$4:$C$66""),INDIRECT(""'""&amp;CS$1&amp;""'!$D$4:$D$66"")=CS$2),$G$3:$BQ$3,$G41:$BQ41)))"),4.9817008777777785)</f>
        <v>4.981700878</v>
      </c>
      <c r="CT41" s="207" t="str">
        <f>IFERROR(__xludf.DUMMYFUNCTION("IF(OR(CS41&gt;$BS41+$BT41*$BT$2,CS41&lt;$BS41-$BT41*$BT$2),AVEDEV(ARRAYFORMULA(XLOOKUP(FILTER(INDIRECT(""'""&amp;CS$1&amp;""'!$C$4:$C$66""),INDIRECT(""'""&amp;CS$1&amp;""'!$D$4:$D$66"")=CS$2),$G$3:$BQ$3,$G41:$BQ41))),"""")"),"")</f>
        <v/>
      </c>
      <c r="CU41" s="251">
        <f>IFERROR(__xludf.DUMMYFUNCTION("AVERAGE(ARRAYFORMULA(XLOOKUP(FILTER(INDIRECT(""'""&amp;CU$1&amp;""'!$C$4:$C$66""),INDIRECT(""'""&amp;CU$1&amp;""'!$D$4:$D$66"")=CU$2),$G$3:$BQ$3,$G41:$BQ41)))"),2.52245802)</f>
        <v>2.52245802</v>
      </c>
      <c r="CV41" s="207" t="str">
        <f>IFERROR(__xludf.DUMMYFUNCTION("IF(OR(CU41&gt;$BS41+$BT41*$BT$2,CU41&lt;$BS41-$BT41*$BT$2),AVEDEV(ARRAYFORMULA(XLOOKUP(FILTER(INDIRECT(""'""&amp;CU$1&amp;""'!$C$4:$C$66""),INDIRECT(""'""&amp;CU$1&amp;""'!$D$4:$D$66"")=CU$2),$G$3:$BQ$3,$G41:$BQ41))),"""")"),"")</f>
        <v/>
      </c>
      <c r="CW41" s="251">
        <f>IFERROR(__xludf.DUMMYFUNCTION("AVERAGE(ARRAYFORMULA(XLOOKUP(FILTER(INDIRECT(""'""&amp;CW$1&amp;""'!$C$4:$C$66""),INDIRECT(""'""&amp;CW$1&amp;""'!$D$4:$D$66"")=CW$2),$G$3:$BQ$3,$G41:$BQ41)))"),0.0)</f>
        <v>0</v>
      </c>
      <c r="CX41" s="207" t="str">
        <f>IFERROR(__xludf.DUMMYFUNCTION("IF(OR(CW41&gt;$BS41+$BT41*$BT$2,CW41&lt;$BS41-$BT41*$BT$2),AVEDEV(ARRAYFORMULA(XLOOKUP(FILTER(INDIRECT(""'""&amp;CW$1&amp;""'!$C$4:$C$66""),INDIRECT(""'""&amp;CW$1&amp;""'!$D$4:$D$66"")=CW$2),$G$3:$BQ$3,$G41:$BQ41))),"""")"),"")</f>
        <v/>
      </c>
      <c r="CY41" s="251">
        <f>IFERROR(__xludf.DUMMYFUNCTION("AVERAGE(ARRAYFORMULA(XLOOKUP(FILTER(INDIRECT(""'""&amp;CY$1&amp;""'!$C$4:$C$66""),INDIRECT(""'""&amp;CY$1&amp;""'!$D$4:$D$66"")=CY$2),$G$3:$BQ$3,$G41:$BQ41)))"),0.0)</f>
        <v>0</v>
      </c>
      <c r="CZ41" s="207" t="str">
        <f>IFERROR(__xludf.DUMMYFUNCTION("IF(OR(CY41&gt;$BS41+$BT41*$BT$2,CY41&lt;$BS41-$BT41*$BT$2),AVEDEV(ARRAYFORMULA(XLOOKUP(FILTER(INDIRECT(""'""&amp;CY$1&amp;""'!$C$4:$C$66""),INDIRECT(""'""&amp;CY$1&amp;""'!$D$4:$D$66"")=CY$2),$G$3:$BQ$3,$G41:$BQ41))),"""")"),"")</f>
        <v/>
      </c>
      <c r="DA41" s="252"/>
      <c r="DB41" s="251">
        <f>IFERROR(__xludf.DUMMYFUNCTION("AVERAGE(ARRAYFORMULA(XLOOKUP(FILTER(INDIRECT(""'""&amp;DB$1&amp;""'!$C$4:$C$66""),INDIRECT(""'""&amp;DB$1&amp;""'!$D$4:$D$66"")=DB$2),$G$3:$BQ$3,$G41:$BQ41)))"),0.8789142890000001)</f>
        <v>0.878914289</v>
      </c>
      <c r="DC41" s="207" t="str">
        <f>IFERROR(__xludf.DUMMYFUNCTION("IF(OR(DB41&gt;$BS41+$BT41*$BT$2,DB41&lt;$BS41-$BT41*$BT$2),AVEDEV(ARRAYFORMULA(XLOOKUP(FILTER(INDIRECT(""'""&amp;DB$1&amp;""'!$C$4:$C$66""),INDIRECT(""'""&amp;DB$1&amp;""'!$D$4:$D$66"")=DB$2),$G$3:$BQ$3,$G41:$BQ41))),"""")"),"")</f>
        <v/>
      </c>
      <c r="DD41" s="251">
        <f>IFERROR(__xludf.DUMMYFUNCTION("AVERAGE(ARRAYFORMULA(XLOOKUP(FILTER(INDIRECT(""'""&amp;DD$1&amp;""'!$C$4:$C$66""),INDIRECT(""'""&amp;DD$1&amp;""'!$D$4:$D$66"")=DD$2),$G$3:$BQ$3,$G41:$BQ41)))"),4.325194207777778)</f>
        <v>4.325194208</v>
      </c>
      <c r="DE41" s="207" t="str">
        <f>IFERROR(__xludf.DUMMYFUNCTION("IF(OR(DD41&gt;$BS41+$BT41*$BT$2,DD41&lt;$BS41-$BT41*$BT$2),AVEDEV(ARRAYFORMULA(XLOOKUP(FILTER(INDIRECT(""'""&amp;DD$1&amp;""'!$C$4:$C$66""),INDIRECT(""'""&amp;DD$1&amp;""'!$D$4:$D$66"")=DD$2),$G$3:$BQ$3,$G41:$BQ41))),"""")"),"")</f>
        <v/>
      </c>
      <c r="DF41" s="251">
        <f>IFERROR(__xludf.DUMMYFUNCTION("AVERAGE(ARRAYFORMULA(XLOOKUP(FILTER(INDIRECT(""'""&amp;DF$1&amp;""'!$C$4:$C$66""),INDIRECT(""'""&amp;DF$1&amp;""'!$D$4:$D$66"")=DF$2),$G$3:$BQ$3,$G41:$BQ41)))"),0.0)</f>
        <v>0</v>
      </c>
      <c r="DG41" s="207" t="str">
        <f>IFERROR(__xludf.DUMMYFUNCTION("IF(OR(DF41&gt;$BS41+$BT41*$BT$2,DF41&lt;$BS41-$BT41*$BT$2),AVEDEV(ARRAYFORMULA(XLOOKUP(FILTER(INDIRECT(""'""&amp;DF$1&amp;""'!$C$4:$C$66""),INDIRECT(""'""&amp;DF$1&amp;""'!$D$4:$D$66"")=DF$2),$G$3:$BQ$3,$G41:$BQ41))),"""")"),"")</f>
        <v/>
      </c>
      <c r="DH41" s="251">
        <f>IFERROR(__xludf.DUMMYFUNCTION("AVERAGE(ARRAYFORMULA(XLOOKUP(FILTER(INDIRECT(""'""&amp;DH$1&amp;""'!$C$4:$C$66""),INDIRECT(""'""&amp;DH$1&amp;""'!$D$4:$D$66"")=DH$2),$G$3:$BQ$3,$G41:$BQ41)))"),2.6646272566666673)</f>
        <v>2.664627257</v>
      </c>
      <c r="DI41" s="207" t="str">
        <f>IFERROR(__xludf.DUMMYFUNCTION("IF(OR(DH41&gt;$BS41+$BT41*$BT$2,DH41&lt;$BS41-$BT41*$BT$2),AVEDEV(ARRAYFORMULA(XLOOKUP(FILTER(INDIRECT(""'""&amp;DH$1&amp;""'!$C$4:$C$66""),INDIRECT(""'""&amp;DH$1&amp;""'!$D$4:$D$66"")=DH$2),$G$3:$BQ$3,$G41:$BQ41))),"""")"),"")</f>
        <v/>
      </c>
      <c r="DJ41" s="243"/>
    </row>
    <row r="42">
      <c r="A42" s="2"/>
      <c r="B42" s="204">
        <v>38.0</v>
      </c>
      <c r="C42" s="204" t="s">
        <v>442</v>
      </c>
      <c r="D42" s="204" t="s">
        <v>481</v>
      </c>
      <c r="E42" s="205" t="b">
        <f>VLOOKUP(D42,'Feature Set List'!A39:C246,2,0)</f>
        <v>1</v>
      </c>
      <c r="F42" s="205" t="b">
        <f>VLOOKUP(D42,'Feature Set List'!A39:C246,3,0)</f>
        <v>0</v>
      </c>
      <c r="G42" s="205">
        <v>-0.0947564</v>
      </c>
      <c r="H42" s="205">
        <v>0.70241106</v>
      </c>
      <c r="I42" s="205">
        <v>-0.3053448</v>
      </c>
      <c r="J42" s="205">
        <v>1.48052605</v>
      </c>
      <c r="K42" s="205">
        <v>4.38897319</v>
      </c>
      <c r="L42" s="205">
        <v>0.0</v>
      </c>
      <c r="M42" s="205">
        <v>0.19979767</v>
      </c>
      <c r="N42" s="205">
        <v>0.43904906</v>
      </c>
      <c r="O42" s="205">
        <v>-0.1139774</v>
      </c>
      <c r="P42" s="205">
        <v>-0.2291351</v>
      </c>
      <c r="Q42" s="205">
        <v>-0.6186141</v>
      </c>
      <c r="R42" s="205">
        <v>2.76530096</v>
      </c>
      <c r="S42" s="205">
        <v>0.33097285</v>
      </c>
      <c r="T42" s="205">
        <v>1.1736638</v>
      </c>
      <c r="U42" s="205">
        <v>0.25392008</v>
      </c>
      <c r="V42" s="205">
        <v>1.37599056</v>
      </c>
      <c r="W42" s="205">
        <v>0.8263362</v>
      </c>
      <c r="X42" s="205">
        <v>-0.102175</v>
      </c>
      <c r="Y42" s="205">
        <v>1.66936436</v>
      </c>
      <c r="Z42" s="205">
        <v>1.04029675</v>
      </c>
      <c r="AA42" s="205">
        <v>-0.1606812</v>
      </c>
      <c r="AB42" s="205">
        <v>-0.4572753</v>
      </c>
      <c r="AC42" s="205">
        <v>0.33333333</v>
      </c>
      <c r="AD42" s="205">
        <v>-0.2389142</v>
      </c>
      <c r="AE42" s="205">
        <v>1.04602934</v>
      </c>
      <c r="AF42" s="205">
        <v>-0.0950936</v>
      </c>
      <c r="AG42" s="205">
        <v>-0.1385938</v>
      </c>
      <c r="AH42" s="205">
        <v>1.52773563</v>
      </c>
      <c r="AI42" s="205">
        <v>0.88079582</v>
      </c>
      <c r="AJ42" s="205">
        <v>-0.6186141</v>
      </c>
      <c r="AK42" s="205">
        <v>1.22593155</v>
      </c>
      <c r="AL42" s="205">
        <v>-0.2721295</v>
      </c>
      <c r="AM42" s="205">
        <v>0.70561457</v>
      </c>
      <c r="AN42" s="205">
        <v>1.13657056</v>
      </c>
      <c r="AO42" s="205">
        <v>-0.4541224</v>
      </c>
      <c r="AP42" s="205">
        <v>0.60023605</v>
      </c>
      <c r="AQ42" s="205">
        <v>-0.4147699</v>
      </c>
      <c r="AR42" s="205">
        <v>0.12662283</v>
      </c>
      <c r="AS42" s="205">
        <v>0.66632946</v>
      </c>
      <c r="AT42" s="205">
        <v>-0.1385938</v>
      </c>
      <c r="AU42" s="205">
        <v>-0.6186141</v>
      </c>
      <c r="AV42" s="205">
        <v>-0.1279717</v>
      </c>
      <c r="AW42" s="205">
        <v>-0.6186141</v>
      </c>
      <c r="AX42" s="205">
        <v>0.00202327</v>
      </c>
      <c r="AY42" s="205">
        <v>-0.6186141</v>
      </c>
      <c r="AZ42" s="205">
        <v>1.24785028</v>
      </c>
      <c r="BA42" s="205">
        <v>-0.04232</v>
      </c>
      <c r="BB42" s="205">
        <v>-0.179565</v>
      </c>
      <c r="BC42" s="205">
        <v>0.10301804</v>
      </c>
      <c r="BD42" s="205">
        <v>-0.1488788</v>
      </c>
      <c r="BE42" s="205">
        <v>-0.0234362</v>
      </c>
      <c r="BF42" s="205">
        <v>0.19558253</v>
      </c>
      <c r="BG42" s="205">
        <v>1.25122239</v>
      </c>
      <c r="BH42" s="205">
        <v>-0.2448154</v>
      </c>
      <c r="BI42" s="205">
        <v>-0.3754847</v>
      </c>
      <c r="BJ42" s="205">
        <v>-0.1347159</v>
      </c>
      <c r="BK42" s="205">
        <v>-0.6186141</v>
      </c>
      <c r="BL42" s="205">
        <v>0.03743045</v>
      </c>
      <c r="BM42" s="205">
        <v>-0.5241612</v>
      </c>
      <c r="BN42" s="205">
        <v>0.18293711</v>
      </c>
      <c r="BO42" s="205">
        <v>24.773394</v>
      </c>
      <c r="BP42" s="205">
        <v>-0.4504299</v>
      </c>
      <c r="BQ42" s="205">
        <v>-0.0898668</v>
      </c>
      <c r="BR42" s="206"/>
      <c r="BS42" s="250">
        <f t="shared" si="1"/>
        <v>0.6892121778</v>
      </c>
      <c r="BT42" s="250">
        <f t="shared" si="2"/>
        <v>1.168640885</v>
      </c>
      <c r="BU42" s="206"/>
      <c r="BV42" s="207">
        <f>IFERROR(__xludf.DUMMYFUNCTION("AVERAGE(ARRAYFORMULA(XLOOKUP(FILTER(INDIRECT(""'""&amp;BV$1&amp;""'!$C$4:$C$66""),INDIRECT(""'""&amp;BV$1&amp;""'!$D$4:$D$66"")=BV$2),$G$3:$BQ$3,$G42:$BQ42)))"),-0.15522316714285714)</f>
        <v>-0.1552231671</v>
      </c>
      <c r="BW42" s="207" t="str">
        <f>IFERROR(__xludf.DUMMYFUNCTION("IF(OR(BV42&gt;$BS42+$BT42*$BT$2,BV42&lt;$BS42-$BT42*$BT$2),AVEDEV(ARRAYFORMULA(XLOOKUP(FILTER(INDIRECT(""'""&amp;BV$1&amp;""'!$C$4:$C$66""),INDIRECT(""'""&amp;BV$1&amp;""'!$D$4:$D$66"")=BV$2),$G$3:$BQ$3,$G42:$BQ42))),"""")"),"")</f>
        <v/>
      </c>
      <c r="BX42" s="207">
        <f>IFERROR(__xludf.DUMMYFUNCTION("AVERAGE(ARRAYFORMULA(XLOOKUP(FILTER(INDIRECT(""'""&amp;BX$1&amp;""'!$C$4:$C$66""),INDIRECT(""'""&amp;BX$1&amp;""'!$D$4:$D$66"")=BX$2),$G$3:$BQ$3,$G42:$BQ42)))"),0.986862406190476)</f>
        <v>0.9868624062</v>
      </c>
      <c r="BY42" s="207" t="str">
        <f>IFERROR(__xludf.DUMMYFUNCTION("IF(OR(BX42&gt;$BS42+$BT42*$BT$2,BX42&lt;$BS42-$BT42*$BT$2),AVEDEV(ARRAYFORMULA(XLOOKUP(FILTER(INDIRECT(""'""&amp;BX$1&amp;""'!$C$4:$C$66""),INDIRECT(""'""&amp;BX$1&amp;""'!$D$4:$D$66"")=BX$2),$G$3:$BQ$3,$G42:$BQ42))),"""")"),"")</f>
        <v/>
      </c>
      <c r="BZ42" s="207">
        <f>IFERROR(__xludf.DUMMYFUNCTION("AVERAGE(ARRAYFORMULA(XLOOKUP(FILTER(INDIRECT(""'""&amp;BZ$1&amp;""'!$C$4:$C$66""),INDIRECT(""'""&amp;BZ$1&amp;""'!$D$4:$D$66"")=BZ$2),$G$3:$BQ$3,$G42:$BQ42)))"),0.37559509181818185)</f>
        <v>0.3755950918</v>
      </c>
      <c r="CA42" s="207" t="str">
        <f>IFERROR(__xludf.DUMMYFUNCTION("IF(OR(BZ42&gt;$BS42+$BT42*$BT$2,BZ42&lt;$BS42-$BT42*$BT$2),AVEDEV(ARRAYFORMULA(XLOOKUP(FILTER(INDIRECT(""'""&amp;BZ$1&amp;""'!$C$4:$C$66""),INDIRECT(""'""&amp;BZ$1&amp;""'!$D$4:$D$66"")=BZ$2),$G$3:$BQ$3,$G42:$BQ42))),"""")"),"")</f>
        <v/>
      </c>
      <c r="CB42" s="209"/>
      <c r="CC42" s="207">
        <f>IFERROR(__xludf.DUMMYFUNCTION("AVERAGE(ARRAYFORMULA(XLOOKUP(FILTER(INDIRECT(""'""&amp;CC$1&amp;""'!$C$4:$C$66""),INDIRECT(""'""&amp;CC$1&amp;""'!$D$4:$D$66"")=CC$2),$G$3:$BQ$3,$G42:$BQ42)))"),0.6937067931249999)</f>
        <v>0.6937067931</v>
      </c>
      <c r="CD42" s="207" t="str">
        <f>IFERROR(__xludf.DUMMYFUNCTION("IF(OR(CC42&gt;$BS42+$BT42*$BT$2,CC42&lt;$BS42-$BT42*$BT$2),AVEDEV(ARRAYFORMULA(XLOOKUP(FILTER(INDIRECT(""'""&amp;CC$1&amp;""'!$C$4:$C$66""),INDIRECT(""'""&amp;CC$1&amp;""'!$D$4:$D$66"")=CC$2),$G$3:$BQ$3,$G42:$BQ42))),"""")"),"")</f>
        <v/>
      </c>
      <c r="CE42" s="207">
        <f>IFERROR(__xludf.DUMMYFUNCTION("AVERAGE(ARRAYFORMULA(XLOOKUP(FILTER(INDIRECT(""'""&amp;CE$1&amp;""'!$C$4:$C$66""),INDIRECT(""'""&amp;CE$1&amp;""'!$D$4:$D$66"")=CE$2),$G$3:$BQ$3,$G42:$BQ42)))"),0.21967355193548385)</f>
        <v>0.2196735519</v>
      </c>
      <c r="CF42" s="207" t="str">
        <f>IFERROR(__xludf.DUMMYFUNCTION("IF(OR(CE42&gt;$BS42+$BT42*$BT$2,CE42&lt;$BS42-$BT42*$BT$2),AVEDEV(ARRAYFORMULA(XLOOKUP(FILTER(INDIRECT(""'""&amp;CE$1&amp;""'!$C$4:$C$66""),INDIRECT(""'""&amp;CE$1&amp;""'!$D$4:$D$66"")=CE$2),$G$3:$BQ$3,$G42:$BQ42))),"""")"),"")</f>
        <v/>
      </c>
      <c r="CG42" s="207">
        <f>IFERROR(__xludf.DUMMYFUNCTION("AVERAGE(ARRAYFORMULA(XLOOKUP(FILTER(INDIRECT(""'""&amp;CG$1&amp;""'!$C$4:$C$66""),INDIRECT(""'""&amp;CG$1&amp;""'!$D$4:$D$66"")=CG$2),$G$3:$BQ$3,$G42:$BQ42)))"),0.56395211)</f>
        <v>0.56395211</v>
      </c>
      <c r="CH42" s="207" t="str">
        <f>IFERROR(__xludf.DUMMYFUNCTION("IF(OR(CG42&gt;$BS42+$BT42*$BT$2,CG42&lt;$BS42-$BT42*$BT$2),AVEDEV(ARRAYFORMULA(XLOOKUP(FILTER(INDIRECT(""'""&amp;CG$1&amp;""'!$C$4:$C$66""),INDIRECT(""'""&amp;CG$1&amp;""'!$D$4:$D$66"")=CG$2),$G$3:$BQ$3,$G42:$BQ42))),"""")"),"")</f>
        <v/>
      </c>
      <c r="CI42" s="206"/>
      <c r="CJ42" s="251">
        <f>IFERROR(__xludf.DUMMYFUNCTION("AVERAGE(ARRAYFORMULA(XLOOKUP(FILTER(INDIRECT(""'""&amp;CJ$1&amp;""'!$C$4:$C$66""),INDIRECT(""'""&amp;CJ$1&amp;""'!$D$4:$D$66"")=CJ$2),$G$3:$BQ$3,$G42:$BQ42)))"),1.8908121133333333)</f>
        <v>1.890812113</v>
      </c>
      <c r="CK42" s="207">
        <f>IFERROR(__xludf.DUMMYFUNCTION("IF(OR(CJ42&gt;$BS42+$BT42*$BT$2,CJ42&lt;$BS42-$BT42*$BT$2),AVEDEV(ARRAYFORMULA(XLOOKUP(FILTER(INDIRECT(""'""&amp;CJ$1&amp;""'!$C$4:$C$66""),INDIRECT(""'""&amp;CJ$1&amp;""'!$D$4:$D$66"")=CJ$2),$G$3:$BQ$3,$G42:$BQ42))),"""")"),3.0510109182222225)</f>
        <v>3.051010918</v>
      </c>
      <c r="CL42" s="251">
        <f>IFERROR(__xludf.DUMMYFUNCTION("AVERAGE(ARRAYFORMULA(XLOOKUP(FILTER(INDIRECT(""'""&amp;CL$1&amp;""'!$C$4:$C$66""),INDIRECT(""'""&amp;CL$1&amp;""'!$D$4:$D$66"")=CL$2),$G$3:$BQ$3,$G42:$BQ42)))"),0.3403546717948717)</f>
        <v>0.3403546718</v>
      </c>
      <c r="CM42" s="207" t="str">
        <f>IFERROR(__xludf.DUMMYFUNCTION("IF(OR(CL42&gt;$BS42+$BT42*$BT$2,CL42&lt;$BS42-$BT42*$BT$2),AVEDEV(ARRAYFORMULA(XLOOKUP(FILTER(INDIRECT(""'""&amp;CL$1&amp;""'!$C$4:$C$66""),INDIRECT(""'""&amp;CL$1&amp;""'!$D$4:$D$66"")=CL$2),$G$3:$BQ$3,$G42:$BQ42))),"""")"),"")</f>
        <v/>
      </c>
      <c r="CN42" s="251">
        <f>IFERROR(__xludf.DUMMYFUNCTION("AVERAGE(ARRAYFORMULA(XLOOKUP(FILTER(INDIRECT(""'""&amp;CN$1&amp;""'!$C$4:$C$66""),INDIRECT(""'""&amp;CN$1&amp;""'!$D$4:$D$66"")=CN$2),$G$3:$BQ$3,$G42:$BQ42)))"),0.56395211)</f>
        <v>0.56395211</v>
      </c>
      <c r="CO42" s="207" t="str">
        <f>IFERROR(__xludf.DUMMYFUNCTION("IF(OR(CN42&gt;$BS42+$BT42*$BT$2,CN42&lt;$BS42-$BT42*$BT$2),AVEDEV(ARRAYFORMULA(XLOOKUP(FILTER(INDIRECT(""'""&amp;CN$1&amp;""'!$C$4:$C$66""),INDIRECT(""'""&amp;CN$1&amp;""'!$D$4:$D$66"")=CN$2),$G$3:$BQ$3,$G42:$BQ42))),"""")"),"")</f>
        <v/>
      </c>
      <c r="CP42" s="252"/>
      <c r="CQ42" s="251">
        <f>IFERROR(__xludf.DUMMYFUNCTION("AVERAGE(ARRAYFORMULA(XLOOKUP(FILTER(INDIRECT(""'""&amp;CQ$1&amp;""'!$C$4:$C$66""),INDIRECT(""'""&amp;CQ$1&amp;""'!$D$4:$D$66"")=CQ$2),$G$3:$BQ$3,$G42:$BQ42)))"),0.42027361571428573)</f>
        <v>0.4202736157</v>
      </c>
      <c r="CR42" s="207" t="str">
        <f>IFERROR(__xludf.DUMMYFUNCTION("IF(OR(CQ42&gt;$BS42+$BT42*$BT$2,CQ42&lt;$BS42-$BT42*$BT$2),AVEDEV(ARRAYFORMULA(XLOOKUP(FILTER(INDIRECT(""'""&amp;CQ$1&amp;""'!$C$4:$C$66""),INDIRECT(""'""&amp;CQ$1&amp;""'!$D$4:$D$66"")=CQ$2),$G$3:$BQ$3,$G42:$BQ42))),"""")"),"")</f>
        <v/>
      </c>
      <c r="CS42" s="251">
        <f>IFERROR(__xludf.DUMMYFUNCTION("AVERAGE(ARRAYFORMULA(XLOOKUP(FILTER(INDIRECT(""'""&amp;CS$1&amp;""'!$C$4:$C$66""),INDIRECT(""'""&amp;CS$1&amp;""'!$D$4:$D$66"")=CS$2),$G$3:$BQ$3,$G42:$BQ42)))"),0.37865077)</f>
        <v>0.37865077</v>
      </c>
      <c r="CT42" s="207" t="str">
        <f>IFERROR(__xludf.DUMMYFUNCTION("IF(OR(CS42&gt;$BS42+$BT42*$BT$2,CS42&lt;$BS42-$BT42*$BT$2),AVEDEV(ARRAYFORMULA(XLOOKUP(FILTER(INDIRECT(""'""&amp;CS$1&amp;""'!$C$4:$C$66""),INDIRECT(""'""&amp;CS$1&amp;""'!$D$4:$D$66"")=CS$2),$G$3:$BQ$3,$G42:$BQ42))),"""")"),"")</f>
        <v/>
      </c>
      <c r="CU42" s="251">
        <f>IFERROR(__xludf.DUMMYFUNCTION("AVERAGE(ARRAYFORMULA(XLOOKUP(FILTER(INDIRECT(""'""&amp;CU$1&amp;""'!$C$4:$C$66""),INDIRECT(""'""&amp;CU$1&amp;""'!$D$4:$D$66"")=CU$2),$G$3:$BQ$3,$G42:$BQ42)))"),2.6623273681818183)</f>
        <v>2.662327368</v>
      </c>
      <c r="CV42" s="207">
        <f>IFERROR(__xludf.DUMMYFUNCTION("IF(OR(CU42&gt;$BS42+$BT42*$BT$2,CU42&lt;$BS42-$BT42*$BT$2),AVEDEV(ARRAYFORMULA(XLOOKUP(FILTER(INDIRECT(""'""&amp;CU$1&amp;""'!$C$4:$C$66""),INDIRECT(""'""&amp;CU$1&amp;""'!$D$4:$D$66"")=CU$2),$G$3:$BQ$3,$G42:$BQ42))),"""")"),4.020193933057851)</f>
        <v>4.020193933</v>
      </c>
      <c r="CW42" s="251">
        <f>IFERROR(__xludf.DUMMYFUNCTION("AVERAGE(ARRAYFORMULA(XLOOKUP(FILTER(INDIRECT(""'""&amp;CW$1&amp;""'!$C$4:$C$66""),INDIRECT(""'""&amp;CW$1&amp;""'!$D$4:$D$66"")=CW$2),$G$3:$BQ$3,$G42:$BQ42)))"),-0.2418648)</f>
        <v>-0.2418648</v>
      </c>
      <c r="CX42" s="207" t="str">
        <f>IFERROR(__xludf.DUMMYFUNCTION("IF(OR(CW42&gt;$BS42+$BT42*$BT$2,CW42&lt;$BS42-$BT42*$BT$2),AVEDEV(ARRAYFORMULA(XLOOKUP(FILTER(INDIRECT(""'""&amp;CW$1&amp;""'!$C$4:$C$66""),INDIRECT(""'""&amp;CW$1&amp;""'!$D$4:$D$66"")=CW$2),$G$3:$BQ$3,$G42:$BQ42))),"""")"),"")</f>
        <v/>
      </c>
      <c r="CY42" s="251">
        <f>IFERROR(__xludf.DUMMYFUNCTION("AVERAGE(ARRAYFORMULA(XLOOKUP(FILTER(INDIRECT(""'""&amp;CY$1&amp;""'!$C$4:$C$66""),INDIRECT(""'""&amp;CY$1&amp;""'!$D$4:$D$66"")=CY$2),$G$3:$BQ$3,$G42:$BQ42)))"),0.2110761871428572)</f>
        <v>0.2110761871</v>
      </c>
      <c r="CZ42" s="207" t="str">
        <f>IFERROR(__xludf.DUMMYFUNCTION("IF(OR(CY42&gt;$BS42+$BT42*$BT$2,CY42&lt;$BS42-$BT42*$BT$2),AVEDEV(ARRAYFORMULA(XLOOKUP(FILTER(INDIRECT(""'""&amp;CY$1&amp;""'!$C$4:$C$66""),INDIRECT(""'""&amp;CY$1&amp;""'!$D$4:$D$66"")=CY$2),$G$3:$BQ$3,$G42:$BQ42))),"""")"),"")</f>
        <v/>
      </c>
      <c r="DA42" s="252"/>
      <c r="DB42" s="251">
        <f>IFERROR(__xludf.DUMMYFUNCTION("AVERAGE(ARRAYFORMULA(XLOOKUP(FILTER(INDIRECT(""'""&amp;DB$1&amp;""'!$C$4:$C$66""),INDIRECT(""'""&amp;DB$1&amp;""'!$D$4:$D$66"")=DB$2),$G$3:$BQ$3,$G42:$BQ42)))"),0.46058787266666673)</f>
        <v>0.4605878727</v>
      </c>
      <c r="DC42" s="207" t="str">
        <f>IFERROR(__xludf.DUMMYFUNCTION("IF(OR(DB42&gt;$BS42+$BT42*$BT$2,DB42&lt;$BS42-$BT42*$BT$2),AVEDEV(ARRAYFORMULA(XLOOKUP(FILTER(INDIRECT(""'""&amp;DB$1&amp;""'!$C$4:$C$66""),INDIRECT(""'""&amp;DB$1&amp;""'!$D$4:$D$66"")=DB$2),$G$3:$BQ$3,$G42:$BQ42))),"""")"),"")</f>
        <v/>
      </c>
      <c r="DD42" s="251">
        <f>IFERROR(__xludf.DUMMYFUNCTION("AVERAGE(ARRAYFORMULA(XLOOKUP(FILTER(INDIRECT(""'""&amp;DD$1&amp;""'!$C$4:$C$66""),INDIRECT(""'""&amp;DD$1&amp;""'!$D$4:$D$66"")=DD$2),$G$3:$BQ$3,$G42:$BQ42)))"),0.13127258555555554)</f>
        <v>0.1312725856</v>
      </c>
      <c r="DE42" s="207" t="str">
        <f>IFERROR(__xludf.DUMMYFUNCTION("IF(OR(DD42&gt;$BS42+$BT42*$BT$2,DD42&lt;$BS42-$BT42*$BT$2),AVEDEV(ARRAYFORMULA(XLOOKUP(FILTER(INDIRECT(""'""&amp;DD$1&amp;""'!$C$4:$C$66""),INDIRECT(""'""&amp;DD$1&amp;""'!$D$4:$D$66"")=DD$2),$G$3:$BQ$3,$G42:$BQ42))),"""")"),"")</f>
        <v/>
      </c>
      <c r="DF42" s="251">
        <f>IFERROR(__xludf.DUMMYFUNCTION("AVERAGE(ARRAYFORMULA(XLOOKUP(FILTER(INDIRECT(""'""&amp;DF$1&amp;""'!$C$4:$C$66""),INDIRECT(""'""&amp;DF$1&amp;""'!$D$4:$D$66"")=DF$2),$G$3:$BQ$3,$G42:$BQ42)))"),0.38576967125000006)</f>
        <v>0.3857696713</v>
      </c>
      <c r="DG42" s="207" t="str">
        <f>IFERROR(__xludf.DUMMYFUNCTION("IF(OR(DF42&gt;$BS42+$BT42*$BT$2,DF42&lt;$BS42-$BT42*$BT$2),AVEDEV(ARRAYFORMULA(XLOOKUP(FILTER(INDIRECT(""'""&amp;DF$1&amp;""'!$C$4:$C$66""),INDIRECT(""'""&amp;DF$1&amp;""'!$D$4:$D$66"")=DF$2),$G$3:$BQ$3,$G42:$BQ42))),"""")"),"")</f>
        <v/>
      </c>
      <c r="DH42" s="251">
        <f>IFERROR(__xludf.DUMMYFUNCTION("AVERAGE(ARRAYFORMULA(XLOOKUP(FILTER(INDIRECT(""'""&amp;DH$1&amp;""'!$C$4:$C$66""),INDIRECT(""'""&amp;DH$1&amp;""'!$D$4:$D$66"")=DH$2),$G$3:$BQ$3,$G42:$BQ42)))"),2.9778002444444445)</f>
        <v>2.977800244</v>
      </c>
      <c r="DI42" s="207">
        <f>IFERROR(__xludf.DUMMYFUNCTION("IF(OR(DH42&gt;$BS42+$BT42*$BT$2,DH42&lt;$BS42-$BT42*$BT$2),AVEDEV(ARRAYFORMULA(XLOOKUP(FILTER(INDIRECT(""'""&amp;DH$1&amp;""'!$C$4:$C$66""),INDIRECT(""'""&amp;DH$1&amp;""'!$D$4:$D$66"")=DH$2),$G$3:$BQ$3,$G42:$BQ42))),"""")"),4.843465279012346)</f>
        <v>4.843465279</v>
      </c>
      <c r="DJ42" s="243"/>
    </row>
    <row r="43">
      <c r="A43" s="2"/>
      <c r="B43" s="204">
        <v>39.0</v>
      </c>
      <c r="C43" s="204" t="s">
        <v>482</v>
      </c>
      <c r="D43" s="204" t="s">
        <v>483</v>
      </c>
      <c r="E43" s="205" t="b">
        <f>VLOOKUP(D43,'Feature Set List'!A40:C246,2,0)</f>
        <v>1</v>
      </c>
      <c r="F43" s="205" t="b">
        <f>VLOOKUP(D43,'Feature Set List'!A40:C246,3,0)</f>
        <v>1</v>
      </c>
      <c r="G43" s="205">
        <v>0.0</v>
      </c>
      <c r="H43" s="205">
        <v>0.0</v>
      </c>
      <c r="I43" s="205">
        <v>0.0</v>
      </c>
      <c r="J43" s="205">
        <v>0.0</v>
      </c>
      <c r="K43" s="205">
        <v>1.0</v>
      </c>
      <c r="L43" s="205">
        <v>0.0</v>
      </c>
      <c r="M43" s="205">
        <v>0.0</v>
      </c>
      <c r="N43" s="205">
        <v>0.0</v>
      </c>
      <c r="O43" s="205">
        <v>0.0</v>
      </c>
      <c r="P43" s="205">
        <v>0.0</v>
      </c>
      <c r="Q43" s="205">
        <v>2.5</v>
      </c>
      <c r="R43" s="205">
        <v>0.0</v>
      </c>
      <c r="S43" s="205">
        <v>0.0</v>
      </c>
      <c r="T43" s="205">
        <v>0.0</v>
      </c>
      <c r="U43" s="205">
        <v>1.0</v>
      </c>
      <c r="V43" s="205">
        <v>1.0</v>
      </c>
      <c r="W43" s="205">
        <v>0.0</v>
      </c>
      <c r="X43" s="205">
        <v>0.0</v>
      </c>
      <c r="Y43" s="205">
        <v>2.5</v>
      </c>
      <c r="Z43" s="205">
        <v>0.0</v>
      </c>
      <c r="AA43" s="205">
        <v>0.0</v>
      </c>
      <c r="AB43" s="205">
        <v>0.0</v>
      </c>
      <c r="AC43" s="205">
        <v>0.0</v>
      </c>
      <c r="AD43" s="205">
        <v>1.0</v>
      </c>
      <c r="AE43" s="205">
        <v>0.0</v>
      </c>
      <c r="AF43" s="205">
        <v>1.0</v>
      </c>
      <c r="AG43" s="205">
        <v>0.0</v>
      </c>
      <c r="AH43" s="205">
        <v>0.0</v>
      </c>
      <c r="AI43" s="205">
        <v>0.0</v>
      </c>
      <c r="AJ43" s="205">
        <v>6.0</v>
      </c>
      <c r="AK43" s="205">
        <v>1.0</v>
      </c>
      <c r="AL43" s="205">
        <v>0.0</v>
      </c>
      <c r="AM43" s="205">
        <v>1.0</v>
      </c>
      <c r="AN43" s="205">
        <v>0.0</v>
      </c>
      <c r="AO43" s="205">
        <v>1.5</v>
      </c>
      <c r="AP43" s="205">
        <v>1.0</v>
      </c>
      <c r="AQ43" s="205">
        <v>0.0</v>
      </c>
      <c r="AR43" s="205">
        <v>6.0</v>
      </c>
      <c r="AS43" s="205">
        <v>0.0</v>
      </c>
      <c r="AT43" s="205">
        <v>0.0</v>
      </c>
      <c r="AU43" s="205">
        <v>2.5</v>
      </c>
      <c r="AV43" s="205">
        <v>6.0</v>
      </c>
      <c r="AW43" s="205">
        <v>2.5</v>
      </c>
      <c r="AX43" s="205">
        <v>1.0</v>
      </c>
      <c r="AY43" s="205">
        <v>0.0</v>
      </c>
      <c r="AZ43" s="205">
        <v>3.5</v>
      </c>
      <c r="BA43" s="205">
        <v>0.0</v>
      </c>
      <c r="BB43" s="205">
        <v>0.0</v>
      </c>
      <c r="BC43" s="205">
        <v>0.0</v>
      </c>
      <c r="BD43" s="205">
        <v>1.0</v>
      </c>
      <c r="BE43" s="205">
        <v>0.0</v>
      </c>
      <c r="BF43" s="205">
        <v>1.0</v>
      </c>
      <c r="BG43" s="205">
        <v>0.0</v>
      </c>
      <c r="BH43" s="205">
        <v>1.0</v>
      </c>
      <c r="BI43" s="205">
        <v>1.0</v>
      </c>
      <c r="BJ43" s="205">
        <v>0.0</v>
      </c>
      <c r="BK43" s="205">
        <v>1.0</v>
      </c>
      <c r="BL43" s="205">
        <v>0.0</v>
      </c>
      <c r="BM43" s="205">
        <v>0.0</v>
      </c>
      <c r="BN43" s="205">
        <v>1.0</v>
      </c>
      <c r="BO43" s="205">
        <v>1.5</v>
      </c>
      <c r="BP43" s="205">
        <v>1.0</v>
      </c>
      <c r="BQ43" s="205">
        <v>2.5</v>
      </c>
      <c r="BR43" s="206"/>
      <c r="BS43" s="250">
        <f t="shared" si="1"/>
        <v>0.8412698413</v>
      </c>
      <c r="BT43" s="250">
        <f t="shared" si="2"/>
        <v>0.9614512472</v>
      </c>
      <c r="BU43" s="206"/>
      <c r="BV43" s="207">
        <f>IFERROR(__xludf.DUMMYFUNCTION("AVERAGE(ARRAYFORMULA(XLOOKUP(FILTER(INDIRECT(""'""&amp;BV$1&amp;""'!$C$4:$C$66""),INDIRECT(""'""&amp;BV$1&amp;""'!$D$4:$D$66"")=BV$2),$G$3:$BQ$3,$G43:$BQ43)))"),0.35714285714285715)</f>
        <v>0.3571428571</v>
      </c>
      <c r="BW43" s="207" t="str">
        <f>IFERROR(__xludf.DUMMYFUNCTION("IF(OR(BV43&gt;$BS43+$BT43*$BT$2,BV43&lt;$BS43-$BT43*$BT$2),AVEDEV(ARRAYFORMULA(XLOOKUP(FILTER(INDIRECT(""'""&amp;BV$1&amp;""'!$C$4:$C$66""),INDIRECT(""'""&amp;BV$1&amp;""'!$D$4:$D$66"")=BV$2),$G$3:$BQ$3,$G43:$BQ43))),"""")"),"")</f>
        <v/>
      </c>
      <c r="BX43" s="207">
        <f>IFERROR(__xludf.DUMMYFUNCTION("AVERAGE(ARRAYFORMULA(XLOOKUP(FILTER(INDIRECT(""'""&amp;BX$1&amp;""'!$C$4:$C$66""),INDIRECT(""'""&amp;BX$1&amp;""'!$D$4:$D$66"")=BX$2),$G$3:$BQ$3,$G43:$BQ43)))"),0.9523809523809523)</f>
        <v>0.9523809524</v>
      </c>
      <c r="BY43" s="207" t="str">
        <f>IFERROR(__xludf.DUMMYFUNCTION("IF(OR(BX43&gt;$BS43+$BT43*$BT$2,BX43&lt;$BS43-$BT43*$BT$2),AVEDEV(ARRAYFORMULA(XLOOKUP(FILTER(INDIRECT(""'""&amp;BX$1&amp;""'!$C$4:$C$66""),INDIRECT(""'""&amp;BX$1&amp;""'!$D$4:$D$66"")=BX$2),$G$3:$BQ$3,$G43:$BQ43))),"""")"),"")</f>
        <v/>
      </c>
      <c r="BZ43" s="207">
        <f>IFERROR(__xludf.DUMMYFUNCTION("AVERAGE(ARRAYFORMULA(XLOOKUP(FILTER(INDIRECT(""'""&amp;BZ$1&amp;""'!$C$4:$C$66""),INDIRECT(""'""&amp;BZ$1&amp;""'!$D$4:$D$66"")=BZ$2),$G$3:$BQ$3,$G43:$BQ43)))"),0.6363636363636364)</f>
        <v>0.6363636364</v>
      </c>
      <c r="CA43" s="207" t="str">
        <f>IFERROR(__xludf.DUMMYFUNCTION("IF(OR(BZ43&gt;$BS43+$BT43*$BT$2,BZ43&lt;$BS43-$BT43*$BT$2),AVEDEV(ARRAYFORMULA(XLOOKUP(FILTER(INDIRECT(""'""&amp;BZ$1&amp;""'!$C$4:$C$66""),INDIRECT(""'""&amp;BZ$1&amp;""'!$D$4:$D$66"")=BZ$2),$G$3:$BQ$3,$G43:$BQ43))),"""")"),"")</f>
        <v/>
      </c>
      <c r="CB43" s="209"/>
      <c r="CC43" s="207">
        <f>IFERROR(__xludf.DUMMYFUNCTION("AVERAGE(ARRAYFORMULA(XLOOKUP(FILTER(INDIRECT(""'""&amp;CC$1&amp;""'!$C$4:$C$66""),INDIRECT(""'""&amp;CC$1&amp;""'!$D$4:$D$66"")=CC$2),$G$3:$BQ$3,$G43:$BQ43)))"),0.53125)</f>
        <v>0.53125</v>
      </c>
      <c r="CD43" s="207" t="str">
        <f>IFERROR(__xludf.DUMMYFUNCTION("IF(OR(CC43&gt;$BS43+$BT43*$BT$2,CC43&lt;$BS43-$BT43*$BT$2),AVEDEV(ARRAYFORMULA(XLOOKUP(FILTER(INDIRECT(""'""&amp;CC$1&amp;""'!$C$4:$C$66""),INDIRECT(""'""&amp;CC$1&amp;""'!$D$4:$D$66"")=CC$2),$G$3:$BQ$3,$G43:$BQ43))),"""")"),"")</f>
        <v/>
      </c>
      <c r="CE43" s="207">
        <f>IFERROR(__xludf.DUMMYFUNCTION("AVERAGE(ARRAYFORMULA(XLOOKUP(FILTER(INDIRECT(""'""&amp;CE$1&amp;""'!$C$4:$C$66""),INDIRECT(""'""&amp;CE$1&amp;""'!$D$4:$D$66"")=CE$2),$G$3:$BQ$3,$G43:$BQ43)))"),1.0)</f>
        <v>1</v>
      </c>
      <c r="CF43" s="207" t="str">
        <f>IFERROR(__xludf.DUMMYFUNCTION("IF(OR(CE43&gt;$BS43+$BT43*$BT$2,CE43&lt;$BS43-$BT43*$BT$2),AVEDEV(ARRAYFORMULA(XLOOKUP(FILTER(INDIRECT(""'""&amp;CE$1&amp;""'!$C$4:$C$66""),INDIRECT(""'""&amp;CE$1&amp;""'!$D$4:$D$66"")=CE$2),$G$3:$BQ$3,$G43:$BQ43))),"""")"),"")</f>
        <v/>
      </c>
      <c r="CG43" s="207">
        <f>IFERROR(__xludf.DUMMYFUNCTION("AVERAGE(ARRAYFORMULA(XLOOKUP(FILTER(INDIRECT(""'""&amp;CG$1&amp;""'!$C$4:$C$66""),INDIRECT(""'""&amp;CG$1&amp;""'!$D$4:$D$66"")=CG$2),$G$3:$BQ$3,$G43:$BQ43)))"),0.0)</f>
        <v>0</v>
      </c>
      <c r="CH43" s="207" t="str">
        <f>IFERROR(__xludf.DUMMYFUNCTION("IF(OR(CG43&gt;$BS43+$BT43*$BT$2,CG43&lt;$BS43-$BT43*$BT$2),AVEDEV(ARRAYFORMULA(XLOOKUP(FILTER(INDIRECT(""'""&amp;CG$1&amp;""'!$C$4:$C$66""),INDIRECT(""'""&amp;CG$1&amp;""'!$D$4:$D$66"")=CG$2),$G$3:$BQ$3,$G43:$BQ43))),"""")"),"")</f>
        <v/>
      </c>
      <c r="CI43" s="206"/>
      <c r="CJ43" s="251">
        <f>IFERROR(__xludf.DUMMYFUNCTION("AVERAGE(ARRAYFORMULA(XLOOKUP(FILTER(INDIRECT(""'""&amp;CJ$1&amp;""'!$C$4:$C$66""),INDIRECT(""'""&amp;CJ$1&amp;""'!$D$4:$D$66"")=CJ$2),$G$3:$BQ$3,$G43:$BQ43)))"),0.3333333333333333)</f>
        <v>0.3333333333</v>
      </c>
      <c r="CK43" s="207" t="str">
        <f>IFERROR(__xludf.DUMMYFUNCTION("IF(OR(CJ43&gt;$BS43+$BT43*$BT$2,CJ43&lt;$BS43-$BT43*$BT$2),AVEDEV(ARRAYFORMULA(XLOOKUP(FILTER(INDIRECT(""'""&amp;CJ$1&amp;""'!$C$4:$C$66""),INDIRECT(""'""&amp;CJ$1&amp;""'!$D$4:$D$66"")=CJ$2),$G$3:$BQ$3,$G43:$BQ43))),"""")"),"")</f>
        <v/>
      </c>
      <c r="CL43" s="251">
        <f>IFERROR(__xludf.DUMMYFUNCTION("AVERAGE(ARRAYFORMULA(XLOOKUP(FILTER(INDIRECT(""'""&amp;CL$1&amp;""'!$C$4:$C$66""),INDIRECT(""'""&amp;CL$1&amp;""'!$D$4:$D$66"")=CL$2),$G$3:$BQ$3,$G43:$BQ43)))"),1.141025641025641)</f>
        <v>1.141025641</v>
      </c>
      <c r="CM43" s="207" t="str">
        <f>IFERROR(__xludf.DUMMYFUNCTION("IF(OR(CL43&gt;$BS43+$BT43*$BT$2,CL43&lt;$BS43-$BT43*$BT$2),AVEDEV(ARRAYFORMULA(XLOOKUP(FILTER(INDIRECT(""'""&amp;CL$1&amp;""'!$C$4:$C$66""),INDIRECT(""'""&amp;CL$1&amp;""'!$D$4:$D$66"")=CL$2),$G$3:$BQ$3,$G43:$BQ43))),"""")"),"")</f>
        <v/>
      </c>
      <c r="CN43" s="251">
        <f>IFERROR(__xludf.DUMMYFUNCTION("AVERAGE(ARRAYFORMULA(XLOOKUP(FILTER(INDIRECT(""'""&amp;CN$1&amp;""'!$C$4:$C$66""),INDIRECT(""'""&amp;CN$1&amp;""'!$D$4:$D$66"")=CN$2),$G$3:$BQ$3,$G43:$BQ43)))"),0.0)</f>
        <v>0</v>
      </c>
      <c r="CO43" s="207" t="str">
        <f>IFERROR(__xludf.DUMMYFUNCTION("IF(OR(CN43&gt;$BS43+$BT43*$BT$2,CN43&lt;$BS43-$BT43*$BT$2),AVEDEV(ARRAYFORMULA(XLOOKUP(FILTER(INDIRECT(""'""&amp;CN$1&amp;""'!$C$4:$C$66""),INDIRECT(""'""&amp;CN$1&amp;""'!$D$4:$D$66"")=CN$2),$G$3:$BQ$3,$G43:$BQ43))),"""")"),"")</f>
        <v/>
      </c>
      <c r="CP43" s="252"/>
      <c r="CQ43" s="251">
        <f>IFERROR(__xludf.DUMMYFUNCTION("AVERAGE(ARRAYFORMULA(XLOOKUP(FILTER(INDIRECT(""'""&amp;CQ$1&amp;""'!$C$4:$C$66""),INDIRECT(""'""&amp;CQ$1&amp;""'!$D$4:$D$66"")=CQ$2),$G$3:$BQ$3,$G43:$BQ43)))"),0.5357142857142857)</f>
        <v>0.5357142857</v>
      </c>
      <c r="CR43" s="207" t="str">
        <f>IFERROR(__xludf.DUMMYFUNCTION("IF(OR(CQ43&gt;$BS43+$BT43*$BT$2,CQ43&lt;$BS43-$BT43*$BT$2),AVEDEV(ARRAYFORMULA(XLOOKUP(FILTER(INDIRECT(""'""&amp;CQ$1&amp;""'!$C$4:$C$66""),INDIRECT(""'""&amp;CQ$1&amp;""'!$D$4:$D$66"")=CQ$2),$G$3:$BQ$3,$G43:$BQ43))),"""")"),"")</f>
        <v/>
      </c>
      <c r="CS43" s="251">
        <f>IFERROR(__xludf.DUMMYFUNCTION("AVERAGE(ARRAYFORMULA(XLOOKUP(FILTER(INDIRECT(""'""&amp;CS$1&amp;""'!$C$4:$C$66""),INDIRECT(""'""&amp;CS$1&amp;""'!$D$4:$D$66"")=CS$2),$G$3:$BQ$3,$G43:$BQ43)))"),0.3888888888888889)</f>
        <v>0.3888888889</v>
      </c>
      <c r="CT43" s="207" t="str">
        <f>IFERROR(__xludf.DUMMYFUNCTION("IF(OR(CS43&gt;$BS43+$BT43*$BT$2,CS43&lt;$BS43-$BT43*$BT$2),AVEDEV(ARRAYFORMULA(XLOOKUP(FILTER(INDIRECT(""'""&amp;CS$1&amp;""'!$C$4:$C$66""),INDIRECT(""'""&amp;CS$1&amp;""'!$D$4:$D$66"")=CS$2),$G$3:$BQ$3,$G43:$BQ43))),"""")"),"")</f>
        <v/>
      </c>
      <c r="CU43" s="251">
        <f>IFERROR(__xludf.DUMMYFUNCTION("AVERAGE(ARRAYFORMULA(XLOOKUP(FILTER(INDIRECT(""'""&amp;CU$1&amp;""'!$C$4:$C$66""),INDIRECT(""'""&amp;CU$1&amp;""'!$D$4:$D$66"")=CU$2),$G$3:$BQ$3,$G43:$BQ43)))"),1.0909090909090908)</f>
        <v>1.090909091</v>
      </c>
      <c r="CV43" s="207" t="str">
        <f>IFERROR(__xludf.DUMMYFUNCTION("IF(OR(CU43&gt;$BS43+$BT43*$BT$2,CU43&lt;$BS43-$BT43*$BT$2),AVEDEV(ARRAYFORMULA(XLOOKUP(FILTER(INDIRECT(""'""&amp;CU$1&amp;""'!$C$4:$C$66""),INDIRECT(""'""&amp;CU$1&amp;""'!$D$4:$D$66"")=CU$2),$G$3:$BQ$3,$G43:$BQ43))),"""")"),"")</f>
        <v/>
      </c>
      <c r="CW43" s="251">
        <f>IFERROR(__xludf.DUMMYFUNCTION("AVERAGE(ARRAYFORMULA(XLOOKUP(FILTER(INDIRECT(""'""&amp;CW$1&amp;""'!$C$4:$C$66""),INDIRECT(""'""&amp;CW$1&amp;""'!$D$4:$D$66"")=CW$2),$G$3:$BQ$3,$G43:$BQ43)))"),1.0)</f>
        <v>1</v>
      </c>
      <c r="CX43" s="207" t="str">
        <f>IFERROR(__xludf.DUMMYFUNCTION("IF(OR(CW43&gt;$BS43+$BT43*$BT$2,CW43&lt;$BS43-$BT43*$BT$2),AVEDEV(ARRAYFORMULA(XLOOKUP(FILTER(INDIRECT(""'""&amp;CW$1&amp;""'!$C$4:$C$66""),INDIRECT(""'""&amp;CW$1&amp;""'!$D$4:$D$66"")=CW$2),$G$3:$BQ$3,$G43:$BQ43))),"""")"),"")</f>
        <v/>
      </c>
      <c r="CY43" s="251">
        <f>IFERROR(__xludf.DUMMYFUNCTION("AVERAGE(ARRAYFORMULA(XLOOKUP(FILTER(INDIRECT(""'""&amp;CY$1&amp;""'!$C$4:$C$66""),INDIRECT(""'""&amp;CY$1&amp;""'!$D$4:$D$66"")=CY$2),$G$3:$BQ$3,$G43:$BQ43)))"),1.5)</f>
        <v>1.5</v>
      </c>
      <c r="CZ43" s="207" t="str">
        <f>IFERROR(__xludf.DUMMYFUNCTION("IF(OR(CY43&gt;$BS43+$BT43*$BT$2,CY43&lt;$BS43-$BT43*$BT$2),AVEDEV(ARRAYFORMULA(XLOOKUP(FILTER(INDIRECT(""'""&amp;CY$1&amp;""'!$C$4:$C$66""),INDIRECT(""'""&amp;CY$1&amp;""'!$D$4:$D$66"")=CY$2),$G$3:$BQ$3,$G43:$BQ43))),"""")"),"")</f>
        <v/>
      </c>
      <c r="DA43" s="252"/>
      <c r="DB43" s="251">
        <f>IFERROR(__xludf.DUMMYFUNCTION("AVERAGE(ARRAYFORMULA(XLOOKUP(FILTER(INDIRECT(""'""&amp;DB$1&amp;""'!$C$4:$C$66""),INDIRECT(""'""&amp;DB$1&amp;""'!$D$4:$D$66"")=DB$2),$G$3:$BQ$3,$G43:$BQ43)))"),0.4666666666666667)</f>
        <v>0.4666666667</v>
      </c>
      <c r="DC43" s="207" t="str">
        <f>IFERROR(__xludf.DUMMYFUNCTION("IF(OR(DB43&gt;$BS43+$BT43*$BT$2,DB43&lt;$BS43-$BT43*$BT$2),AVEDEV(ARRAYFORMULA(XLOOKUP(FILTER(INDIRECT(""'""&amp;DB$1&amp;""'!$C$4:$C$66""),INDIRECT(""'""&amp;DB$1&amp;""'!$D$4:$D$66"")=DB$2),$G$3:$BQ$3,$G43:$BQ43))),"""")"),"")</f>
        <v/>
      </c>
      <c r="DD43" s="251">
        <f>IFERROR(__xludf.DUMMYFUNCTION("AVERAGE(ARRAYFORMULA(XLOOKUP(FILTER(INDIRECT(""'""&amp;DD$1&amp;""'!$C$4:$C$66""),INDIRECT(""'""&amp;DD$1&amp;""'!$D$4:$D$66"")=DD$2),$G$3:$BQ$3,$G43:$BQ43)))"),0.6666666666666666)</f>
        <v>0.6666666667</v>
      </c>
      <c r="DE43" s="207" t="str">
        <f>IFERROR(__xludf.DUMMYFUNCTION("IF(OR(DD43&gt;$BS43+$BT43*$BT$2,DD43&lt;$BS43-$BT43*$BT$2),AVEDEV(ARRAYFORMULA(XLOOKUP(FILTER(INDIRECT(""'""&amp;DD$1&amp;""'!$C$4:$C$66""),INDIRECT(""'""&amp;DD$1&amp;""'!$D$4:$D$66"")=DD$2),$G$3:$BQ$3,$G43:$BQ43))),"""")"),"")</f>
        <v/>
      </c>
      <c r="DF43" s="251">
        <f>IFERROR(__xludf.DUMMYFUNCTION("AVERAGE(ARRAYFORMULA(XLOOKUP(FILTER(INDIRECT(""'""&amp;DF$1&amp;""'!$C$4:$C$66""),INDIRECT(""'""&amp;DF$1&amp;""'!$D$4:$D$66"")=DF$2),$G$3:$BQ$3,$G43:$BQ43)))"),1.3125)</f>
        <v>1.3125</v>
      </c>
      <c r="DG43" s="207" t="str">
        <f>IFERROR(__xludf.DUMMYFUNCTION("IF(OR(DF43&gt;$BS43+$BT43*$BT$2,DF43&lt;$BS43-$BT43*$BT$2),AVEDEV(ARRAYFORMULA(XLOOKUP(FILTER(INDIRECT(""'""&amp;DF$1&amp;""'!$C$4:$C$66""),INDIRECT(""'""&amp;DF$1&amp;""'!$D$4:$D$66"")=DF$2),$G$3:$BQ$3,$G43:$BQ43))),"""")"),"")</f>
        <v/>
      </c>
      <c r="DH43" s="251">
        <f>IFERROR(__xludf.DUMMYFUNCTION("AVERAGE(ARRAYFORMULA(XLOOKUP(FILTER(INDIRECT(""'""&amp;DH$1&amp;""'!$C$4:$C$66""),INDIRECT(""'""&amp;DH$1&amp;""'!$D$4:$D$66"")=DH$2),$G$3:$BQ$3,$G43:$BQ43)))"),1.2777777777777777)</f>
        <v>1.277777778</v>
      </c>
      <c r="DI43" s="207" t="str">
        <f>IFERROR(__xludf.DUMMYFUNCTION("IF(OR(DH43&gt;$BS43+$BT43*$BT$2,DH43&lt;$BS43-$BT43*$BT$2),AVEDEV(ARRAYFORMULA(XLOOKUP(FILTER(INDIRECT(""'""&amp;DH$1&amp;""'!$C$4:$C$66""),INDIRECT(""'""&amp;DH$1&amp;""'!$D$4:$D$66"")=DH$2),$G$3:$BQ$3,$G43:$BQ43))),"""")"),"")</f>
        <v/>
      </c>
      <c r="DJ43" s="243"/>
    </row>
    <row r="44">
      <c r="A44" s="2"/>
      <c r="B44" s="204">
        <v>40.0</v>
      </c>
      <c r="C44" s="204" t="s">
        <v>482</v>
      </c>
      <c r="D44" s="204" t="s">
        <v>484</v>
      </c>
      <c r="E44" s="205" t="b">
        <f>VLOOKUP(D44,'Feature Set List'!A41:C246,2,0)</f>
        <v>1</v>
      </c>
      <c r="F44" s="205" t="b">
        <f>VLOOKUP(D44,'Feature Set List'!A41:C246,3,0)</f>
        <v>1</v>
      </c>
      <c r="G44" s="205">
        <v>-0.5502559</v>
      </c>
      <c r="H44" s="205">
        <v>-0.2079836</v>
      </c>
      <c r="I44" s="205">
        <v>-0.7934493</v>
      </c>
      <c r="J44" s="205">
        <v>-0.0282497</v>
      </c>
      <c r="K44" s="205">
        <v>-0.6906858</v>
      </c>
      <c r="L44" s="205">
        <v>0.50726714</v>
      </c>
      <c r="M44" s="205">
        <v>0.0</v>
      </c>
      <c r="N44" s="205">
        <v>0.30010235</v>
      </c>
      <c r="O44" s="205">
        <v>0.55025589</v>
      </c>
      <c r="P44" s="205">
        <v>1.34042989</v>
      </c>
      <c r="Q44" s="205">
        <v>-0.0376663</v>
      </c>
      <c r="R44" s="205">
        <v>0.45813715</v>
      </c>
      <c r="S44" s="205">
        <v>0.5408393</v>
      </c>
      <c r="T44" s="205">
        <v>0.30747185</v>
      </c>
      <c r="U44" s="205">
        <v>-0.616172</v>
      </c>
      <c r="V44" s="205">
        <v>0.82497441</v>
      </c>
      <c r="W44" s="205">
        <v>0.25465711</v>
      </c>
      <c r="X44" s="205">
        <v>0.1383828</v>
      </c>
      <c r="Y44" s="205">
        <v>-0.3443193</v>
      </c>
      <c r="Z44" s="205">
        <v>-0.6493347</v>
      </c>
      <c r="AA44" s="205">
        <v>-0.8945752</v>
      </c>
      <c r="AB44" s="205">
        <v>-0.2792221</v>
      </c>
      <c r="AC44" s="205">
        <v>-0.5121801</v>
      </c>
      <c r="AD44" s="205">
        <v>-0.3054248</v>
      </c>
      <c r="AE44" s="205">
        <v>-0.414739</v>
      </c>
      <c r="AF44" s="205">
        <v>0.55844422</v>
      </c>
      <c r="AG44" s="205">
        <v>-0.5019447</v>
      </c>
      <c r="AH44" s="205">
        <v>-0.5940635</v>
      </c>
      <c r="AI44" s="205">
        <v>0.55189355</v>
      </c>
      <c r="AJ44" s="205">
        <v>0.58219038</v>
      </c>
      <c r="AK44" s="205">
        <v>0.24032753</v>
      </c>
      <c r="AL44" s="205">
        <v>-0.2206755</v>
      </c>
      <c r="AM44" s="205">
        <v>-0.7291709</v>
      </c>
      <c r="AN44" s="205">
        <v>-0.0769703</v>
      </c>
      <c r="AO44" s="205">
        <v>0.72221085</v>
      </c>
      <c r="AP44" s="205">
        <v>0.35701126</v>
      </c>
      <c r="AQ44" s="205">
        <v>-0.4929376</v>
      </c>
      <c r="AR44" s="205">
        <v>2.02128966</v>
      </c>
      <c r="AS44" s="205">
        <v>0.42006141</v>
      </c>
      <c r="AT44" s="205">
        <v>-0.2501535</v>
      </c>
      <c r="AU44" s="205">
        <v>1.75148414</v>
      </c>
      <c r="AV44" s="205">
        <v>0.53183214</v>
      </c>
      <c r="AW44" s="205">
        <v>1.29498465</v>
      </c>
      <c r="AX44" s="205">
        <v>0.74145343</v>
      </c>
      <c r="AY44" s="205">
        <v>-0.7041965</v>
      </c>
      <c r="AZ44" s="205">
        <v>0.18874104</v>
      </c>
      <c r="BA44" s="205">
        <v>0.04708291</v>
      </c>
      <c r="BB44" s="205">
        <v>-1.0558854</v>
      </c>
      <c r="BC44" s="205">
        <v>0.27676561</v>
      </c>
      <c r="BD44" s="205">
        <v>-0.3934493</v>
      </c>
      <c r="BE44" s="205">
        <v>-1.0128966</v>
      </c>
      <c r="BF44" s="205">
        <v>-0.5543501</v>
      </c>
      <c r="BG44" s="205">
        <v>-0.223132</v>
      </c>
      <c r="BH44" s="205">
        <v>-0.4053224</v>
      </c>
      <c r="BI44" s="205">
        <v>0.63909928</v>
      </c>
      <c r="BJ44" s="205">
        <v>1.14636643</v>
      </c>
      <c r="BK44" s="205">
        <v>0.36724667</v>
      </c>
      <c r="BL44" s="205">
        <v>-0.5760491</v>
      </c>
      <c r="BM44" s="205">
        <v>-0.4024565</v>
      </c>
      <c r="BN44" s="205">
        <v>0.10440123</v>
      </c>
      <c r="BO44" s="205">
        <v>-0.7631525</v>
      </c>
      <c r="BP44" s="205">
        <v>0.47246673</v>
      </c>
      <c r="BQ44" s="205">
        <v>0.49785056</v>
      </c>
      <c r="BR44" s="206"/>
      <c r="BS44" s="250">
        <f t="shared" si="1"/>
        <v>0.05483583127</v>
      </c>
      <c r="BT44" s="250">
        <f t="shared" si="2"/>
        <v>0.541065515</v>
      </c>
      <c r="BU44" s="206"/>
      <c r="BV44" s="207">
        <f>IFERROR(__xludf.DUMMYFUNCTION("AVERAGE(ARRAYFORMULA(XLOOKUP(FILTER(INDIRECT(""'""&amp;BV$1&amp;""'!$C$4:$C$66""),INDIRECT(""'""&amp;BV$1&amp;""'!$D$4:$D$66"")=BV$2),$G$3:$BQ$3,$G44:$BQ44)))"),-0.4435151357142857)</f>
        <v>-0.4435151357</v>
      </c>
      <c r="BW44" s="207" t="str">
        <f>IFERROR(__xludf.DUMMYFUNCTION("IF(OR(BV44&gt;$BS44+$BT44*$BT$2,BV44&lt;$BS44-$BT44*$BT$2),AVEDEV(ARRAYFORMULA(XLOOKUP(FILTER(INDIRECT(""'""&amp;BV$1&amp;""'!$C$4:$C$66""),INDIRECT(""'""&amp;BV$1&amp;""'!$D$4:$D$66"")=BV$2),$G$3:$BQ$3,$G44:$BQ44))),"""")"),"")</f>
        <v/>
      </c>
      <c r="BX44" s="207">
        <f>IFERROR(__xludf.DUMMYFUNCTION("AVERAGE(ARRAYFORMULA(XLOOKUP(FILTER(INDIRECT(""'""&amp;BX$1&amp;""'!$C$4:$C$66""),INDIRECT(""'""&amp;BX$1&amp;""'!$D$4:$D$66"")=BX$2),$G$3:$BQ$3,$G44:$BQ44)))"),0.0973241742857143)</f>
        <v>0.09732417429</v>
      </c>
      <c r="BY44" s="207" t="str">
        <f>IFERROR(__xludf.DUMMYFUNCTION("IF(OR(BX44&gt;$BS44+$BT44*$BT$2,BX44&lt;$BS44-$BT44*$BT$2),AVEDEV(ARRAYFORMULA(XLOOKUP(FILTER(INDIRECT(""'""&amp;BX$1&amp;""'!$C$4:$C$66""),INDIRECT(""'""&amp;BX$1&amp;""'!$D$4:$D$66"")=BX$2),$G$3:$BQ$3,$G44:$BQ44))),"""")"),"")</f>
        <v/>
      </c>
      <c r="BZ44" s="207">
        <f>IFERROR(__xludf.DUMMYFUNCTION("AVERAGE(ARRAYFORMULA(XLOOKUP(FILTER(INDIRECT(""'""&amp;BZ$1&amp;""'!$C$4:$C$66""),INDIRECT(""'""&amp;BZ$1&amp;""'!$D$4:$D$66"")=BZ$2),$G$3:$BQ$3,$G44:$BQ44)))"),0.17336931454545457)</f>
        <v>0.1733693145</v>
      </c>
      <c r="CA44" s="207" t="str">
        <f>IFERROR(__xludf.DUMMYFUNCTION("IF(OR(BZ44&gt;$BS44+$BT44*$BT$2,BZ44&lt;$BS44-$BT44*$BT$2),AVEDEV(ARRAYFORMULA(XLOOKUP(FILTER(INDIRECT(""'""&amp;BZ$1&amp;""'!$C$4:$C$66""),INDIRECT(""'""&amp;BZ$1&amp;""'!$D$4:$D$66"")=BZ$2),$G$3:$BQ$3,$G44:$BQ44))),"""")"),"")</f>
        <v/>
      </c>
      <c r="CB44" s="209"/>
      <c r="CC44" s="207">
        <f>IFERROR(__xludf.DUMMYFUNCTION("AVERAGE(ARRAYFORMULA(XLOOKUP(FILTER(INDIRECT(""'""&amp;CC$1&amp;""'!$C$4:$C$66""),INDIRECT(""'""&amp;CC$1&amp;""'!$D$4:$D$66"")=CC$2),$G$3:$BQ$3,$G44:$BQ44)))"),-0.07773797812500001)</f>
        <v>-0.07773797813</v>
      </c>
      <c r="CD44" s="207" t="str">
        <f>IFERROR(__xludf.DUMMYFUNCTION("IF(OR(CC44&gt;$BS44+$BT44*$BT$2,CC44&lt;$BS44-$BT44*$BT$2),AVEDEV(ARRAYFORMULA(XLOOKUP(FILTER(INDIRECT(""'""&amp;CC$1&amp;""'!$C$4:$C$66""),INDIRECT(""'""&amp;CC$1&amp;""'!$D$4:$D$66"")=CC$2),$G$3:$BQ$3,$G44:$BQ44))),"""")"),"")</f>
        <v/>
      </c>
      <c r="CE44" s="207">
        <f>IFERROR(__xludf.DUMMYFUNCTION("AVERAGE(ARRAYFORMULA(XLOOKUP(FILTER(INDIRECT(""'""&amp;CE$1&amp;""'!$C$4:$C$66""),INDIRECT(""'""&amp;CE$1&amp;""'!$D$4:$D$66"")=CE$2),$G$3:$BQ$3,$G44:$BQ44)))"),0.029372344516129027)</f>
        <v>0.02937234452</v>
      </c>
      <c r="CF44" s="207" t="str">
        <f>IFERROR(__xludf.DUMMYFUNCTION("IF(OR(CE44&gt;$BS44+$BT44*$BT$2,CE44&lt;$BS44-$BT44*$BT$2),AVEDEV(ARRAYFORMULA(XLOOKUP(FILTER(INDIRECT(""'""&amp;CE$1&amp;""'!$C$4:$C$66""),INDIRECT(""'""&amp;CE$1&amp;""'!$D$4:$D$66"")=CE$2),$G$3:$BQ$3,$G44:$BQ44))),"""")"),"")</f>
        <v/>
      </c>
      <c r="CG44" s="207">
        <f>IFERROR(__xludf.DUMMYFUNCTION("AVERAGE(ARRAYFORMULA(XLOOKUP(FILTER(INDIRECT(""'""&amp;CG$1&amp;""'!$C$4:$C$66""),INDIRECT(""'""&amp;CG$1&amp;""'!$D$4:$D$66"")=CG$2),$G$3:$BQ$3,$G44:$BQ44)))"),0.378382812)</f>
        <v>0.378382812</v>
      </c>
      <c r="CH44" s="207" t="str">
        <f>IFERROR(__xludf.DUMMYFUNCTION("IF(OR(CG44&gt;$BS44+$BT44*$BT$2,CG44&lt;$BS44-$BT44*$BT$2),AVEDEV(ARRAYFORMULA(XLOOKUP(FILTER(INDIRECT(""'""&amp;CG$1&amp;""'!$C$4:$C$66""),INDIRECT(""'""&amp;CG$1&amp;""'!$D$4:$D$66"")=CG$2),$G$3:$BQ$3,$G44:$BQ44))),"""")"),"")</f>
        <v/>
      </c>
      <c r="CI44" s="206"/>
      <c r="CJ44" s="251">
        <f>IFERROR(__xludf.DUMMYFUNCTION("AVERAGE(ARRAYFORMULA(XLOOKUP(FILTER(INDIRECT(""'""&amp;CJ$1&amp;""'!$C$4:$C$66""),INDIRECT(""'""&amp;CJ$1&amp;""'!$D$4:$D$66"")=CJ$2),$G$3:$BQ$3,$G44:$BQ44)))"),-0.48343909666666673)</f>
        <v>-0.4834390967</v>
      </c>
      <c r="CK44" s="207" t="str">
        <f>IFERROR(__xludf.DUMMYFUNCTION("IF(OR(CJ44&gt;$BS44+$BT44*$BT$2,CJ44&lt;$BS44-$BT44*$BT$2),AVEDEV(ARRAYFORMULA(XLOOKUP(FILTER(INDIRECT(""'""&amp;CJ$1&amp;""'!$C$4:$C$66""),INDIRECT(""'""&amp;CJ$1&amp;""'!$D$4:$D$66"")=CJ$2),$G$3:$BQ$3,$G44:$BQ44))),"""")"),"")</f>
        <v/>
      </c>
      <c r="CL44" s="251">
        <f>IFERROR(__xludf.DUMMYFUNCTION("AVERAGE(ARRAYFORMULA(XLOOKUP(FILTER(INDIRECT(""'""&amp;CL$1&amp;""'!$C$4:$C$66""),INDIRECT(""'""&amp;CL$1&amp;""'!$D$4:$D$66"")=CL$2),$G$3:$BQ$3,$G44:$BQ44)))"),0.22630239282051287)</f>
        <v>0.2263023928</v>
      </c>
      <c r="CM44" s="207" t="str">
        <f>IFERROR(__xludf.DUMMYFUNCTION("IF(OR(CL44&gt;$BS44+$BT44*$BT$2,CL44&lt;$BS44-$BT44*$BT$2),AVEDEV(ARRAYFORMULA(XLOOKUP(FILTER(INDIRECT(""'""&amp;CL$1&amp;""'!$C$4:$C$66""),INDIRECT(""'""&amp;CL$1&amp;""'!$D$4:$D$66"")=CL$2),$G$3:$BQ$3,$G44:$BQ44))),"""")"),"")</f>
        <v/>
      </c>
      <c r="CN44" s="251">
        <f>IFERROR(__xludf.DUMMYFUNCTION("AVERAGE(ARRAYFORMULA(XLOOKUP(FILTER(INDIRECT(""'""&amp;CN$1&amp;""'!$C$4:$C$66""),INDIRECT(""'""&amp;CN$1&amp;""'!$D$4:$D$66"")=CN$2),$G$3:$BQ$3,$G44:$BQ44)))"),0.378382812)</f>
        <v>0.378382812</v>
      </c>
      <c r="CO44" s="207" t="str">
        <f>IFERROR(__xludf.DUMMYFUNCTION("IF(OR(CN44&gt;$BS44+$BT44*$BT$2,CN44&lt;$BS44-$BT44*$BT$2),AVEDEV(ARRAYFORMULA(XLOOKUP(FILTER(INDIRECT(""'""&amp;CN$1&amp;""'!$C$4:$C$66""),INDIRECT(""'""&amp;CN$1&amp;""'!$D$4:$D$66"")=CN$2),$G$3:$BQ$3,$G44:$BQ44))),"""")"),"")</f>
        <v/>
      </c>
      <c r="CP44" s="252"/>
      <c r="CQ44" s="251">
        <f>IFERROR(__xludf.DUMMYFUNCTION("AVERAGE(ARRAYFORMULA(XLOOKUP(FILTER(INDIRECT(""'""&amp;CQ$1&amp;""'!$C$4:$C$66""),INDIRECT(""'""&amp;CQ$1&amp;""'!$D$4:$D$66"")=CQ$2),$G$3:$BQ$3,$G44:$BQ44)))"),0.10826144428571428)</f>
        <v>0.1082614443</v>
      </c>
      <c r="CR44" s="207" t="str">
        <f>IFERROR(__xludf.DUMMYFUNCTION("IF(OR(CQ44&gt;$BS44+$BT44*$BT$2,CQ44&lt;$BS44-$BT44*$BT$2),AVEDEV(ARRAYFORMULA(XLOOKUP(FILTER(INDIRECT(""'""&amp;CQ$1&amp;""'!$C$4:$C$66""),INDIRECT(""'""&amp;CQ$1&amp;""'!$D$4:$D$66"")=CQ$2),$G$3:$BQ$3,$G44:$BQ44))),"""")"),"")</f>
        <v/>
      </c>
      <c r="CS44" s="251">
        <f>IFERROR(__xludf.DUMMYFUNCTION("AVERAGE(ARRAYFORMULA(XLOOKUP(FILTER(INDIRECT(""'""&amp;CS$1&amp;""'!$C$4:$C$66""),INDIRECT(""'""&amp;CS$1&amp;""'!$D$4:$D$66"")=CS$2),$G$3:$BQ$3,$G44:$BQ44)))"),0.23564199111111106)</f>
        <v>0.2356419911</v>
      </c>
      <c r="CT44" s="207" t="str">
        <f>IFERROR(__xludf.DUMMYFUNCTION("IF(OR(CS44&gt;$BS44+$BT44*$BT$2,CS44&lt;$BS44-$BT44*$BT$2),AVEDEV(ARRAYFORMULA(XLOOKUP(FILTER(INDIRECT(""'""&amp;CS$1&amp;""'!$C$4:$C$66""),INDIRECT(""'""&amp;CS$1&amp;""'!$D$4:$D$66"")=CS$2),$G$3:$BQ$3,$G44:$BQ44))),"""")"),"")</f>
        <v/>
      </c>
      <c r="CU44" s="251">
        <f>IFERROR(__xludf.DUMMYFUNCTION("AVERAGE(ARRAYFORMULA(XLOOKUP(FILTER(INDIRECT(""'""&amp;CU$1&amp;""'!$C$4:$C$66""),INDIRECT(""'""&amp;CU$1&amp;""'!$D$4:$D$66"")=CU$2),$G$3:$BQ$3,$G44:$BQ44)))"),-0.27129430181818176)</f>
        <v>-0.2712943018</v>
      </c>
      <c r="CV44" s="207" t="str">
        <f>IFERROR(__xludf.DUMMYFUNCTION("IF(OR(CU44&gt;$BS44+$BT44*$BT$2,CU44&lt;$BS44-$BT44*$BT$2),AVEDEV(ARRAYFORMULA(XLOOKUP(FILTER(INDIRECT(""'""&amp;CU$1&amp;""'!$C$4:$C$66""),INDIRECT(""'""&amp;CU$1&amp;""'!$D$4:$D$66"")=CU$2),$G$3:$BQ$3,$G44:$BQ44))),"""")"),"")</f>
        <v/>
      </c>
      <c r="CW44" s="251">
        <f>IFERROR(__xludf.DUMMYFUNCTION("AVERAGE(ARRAYFORMULA(XLOOKUP(FILTER(INDIRECT(""'""&amp;CW$1&amp;""'!$C$4:$C$66""),INDIRECT(""'""&amp;CW$1&amp;""'!$D$4:$D$66"")=CW$2),$G$3:$BQ$3,$G44:$BQ44)))"),-0.3553736)</f>
        <v>-0.3553736</v>
      </c>
      <c r="CX44" s="207" t="str">
        <f>IFERROR(__xludf.DUMMYFUNCTION("IF(OR(CW44&gt;$BS44+$BT44*$BT$2,CW44&lt;$BS44-$BT44*$BT$2),AVEDEV(ARRAYFORMULA(XLOOKUP(FILTER(INDIRECT(""'""&amp;CW$1&amp;""'!$C$4:$C$66""),INDIRECT(""'""&amp;CW$1&amp;""'!$D$4:$D$66"")=CW$2),$G$3:$BQ$3,$G44:$BQ44))),"""")"),"")</f>
        <v/>
      </c>
      <c r="CY44" s="251">
        <f>IFERROR(__xludf.DUMMYFUNCTION("AVERAGE(ARRAYFORMULA(XLOOKUP(FILTER(INDIRECT(""'""&amp;CY$1&amp;""'!$C$4:$C$66""),INDIRECT(""'""&amp;CY$1&amp;""'!$D$4:$D$66"")=CY$2),$G$3:$BQ$3,$G44:$BQ44)))"),0.48045036071428576)</f>
        <v>0.4804503607</v>
      </c>
      <c r="CZ44" s="207" t="str">
        <f>IFERROR(__xludf.DUMMYFUNCTION("IF(OR(CY44&gt;$BS44+$BT44*$BT$2,CY44&lt;$BS44-$BT44*$BT$2),AVEDEV(ARRAYFORMULA(XLOOKUP(FILTER(INDIRECT(""'""&amp;CY$1&amp;""'!$C$4:$C$66""),INDIRECT(""'""&amp;CY$1&amp;""'!$D$4:$D$66"")=CY$2),$G$3:$BQ$3,$G44:$BQ44))),"""")"),"")</f>
        <v/>
      </c>
      <c r="DA44" s="252"/>
      <c r="DB44" s="251">
        <f>IFERROR(__xludf.DUMMYFUNCTION("AVERAGE(ARRAYFORMULA(XLOOKUP(FILTER(INDIRECT(""'""&amp;DB$1&amp;""'!$C$4:$C$66""),INDIRECT(""'""&amp;DB$1&amp;""'!$D$4:$D$66"")=DB$2),$G$3:$BQ$3,$G44:$BQ44)))"),-0.04625042300000003)</f>
        <v>-0.046250423</v>
      </c>
      <c r="DC44" s="207" t="str">
        <f>IFERROR(__xludf.DUMMYFUNCTION("IF(OR(DB44&gt;$BS44+$BT44*$BT$2,DB44&lt;$BS44-$BT44*$BT$2),AVEDEV(ARRAYFORMULA(XLOOKUP(FILTER(INDIRECT(""'""&amp;DB$1&amp;""'!$C$4:$C$66""),INDIRECT(""'""&amp;DB$1&amp;""'!$D$4:$D$66"")=DB$2),$G$3:$BQ$3,$G44:$BQ44))),"""")"),"")</f>
        <v/>
      </c>
      <c r="DD44" s="251">
        <f>IFERROR(__xludf.DUMMYFUNCTION("AVERAGE(ARRAYFORMULA(XLOOKUP(FILTER(INDIRECT(""'""&amp;DD$1&amp;""'!$C$4:$C$66""),INDIRECT(""'""&amp;DD$1&amp;""'!$D$4:$D$66"")=DD$2),$G$3:$BQ$3,$G44:$BQ44)))"),0.22622540444444444)</f>
        <v>0.2262254044</v>
      </c>
      <c r="DE44" s="207" t="str">
        <f>IFERROR(__xludf.DUMMYFUNCTION("IF(OR(DD44&gt;$BS44+$BT44*$BT$2,DD44&lt;$BS44-$BT44*$BT$2),AVEDEV(ARRAYFORMULA(XLOOKUP(FILTER(INDIRECT(""'""&amp;DD$1&amp;""'!$C$4:$C$66""),INDIRECT(""'""&amp;DD$1&amp;""'!$D$4:$D$66"")=DD$2),$G$3:$BQ$3,$G44:$BQ44))),"""")"),"")</f>
        <v/>
      </c>
      <c r="DF44" s="251">
        <f>IFERROR(__xludf.DUMMYFUNCTION("AVERAGE(ARRAYFORMULA(XLOOKUP(FILTER(INDIRECT(""'""&amp;DF$1&amp;""'!$C$4:$C$66""),INDIRECT(""'""&amp;DF$1&amp;""'!$D$4:$D$66"")=DF$2),$G$3:$BQ$3,$G44:$BQ44)))"),0.013152507499999994)</f>
        <v>0.0131525075</v>
      </c>
      <c r="DG44" s="207" t="str">
        <f>IFERROR(__xludf.DUMMYFUNCTION("IF(OR(DF44&gt;$BS44+$BT44*$BT$2,DF44&lt;$BS44-$BT44*$BT$2),AVEDEV(ARRAYFORMULA(XLOOKUP(FILTER(INDIRECT(""'""&amp;DF$1&amp;""'!$C$4:$C$66""),INDIRECT(""'""&amp;DF$1&amp;""'!$D$4:$D$66"")=DF$2),$G$3:$BQ$3,$G44:$BQ44))),"""")"),"")</f>
        <v/>
      </c>
      <c r="DH44" s="251">
        <f>IFERROR(__xludf.DUMMYFUNCTION("AVERAGE(ARRAYFORMULA(XLOOKUP(FILTER(INDIRECT(""'""&amp;DH$1&amp;""'!$C$4:$C$66""),INDIRECT(""'""&amp;DH$1&amp;""'!$D$4:$D$66"")=DH$2),$G$3:$BQ$3,$G44:$BQ44)))"),-0.01883315444444443)</f>
        <v>-0.01883315444</v>
      </c>
      <c r="DI44" s="207" t="str">
        <f>IFERROR(__xludf.DUMMYFUNCTION("IF(OR(DH44&gt;$BS44+$BT44*$BT$2,DH44&lt;$BS44-$BT44*$BT$2),AVEDEV(ARRAYFORMULA(XLOOKUP(FILTER(INDIRECT(""'""&amp;DH$1&amp;""'!$C$4:$C$66""),INDIRECT(""'""&amp;DH$1&amp;""'!$D$4:$D$66"")=DH$2),$G$3:$BQ$3,$G44:$BQ44))),"""")"),"")</f>
        <v/>
      </c>
      <c r="DJ44" s="243"/>
    </row>
    <row r="45">
      <c r="A45" s="2"/>
      <c r="B45" s="204">
        <v>41.0</v>
      </c>
      <c r="C45" s="204" t="s">
        <v>482</v>
      </c>
      <c r="D45" s="204" t="s">
        <v>485</v>
      </c>
      <c r="E45" s="205" t="b">
        <f>VLOOKUP(D45,'Feature Set List'!A42:C246,2,0)</f>
        <v>1</v>
      </c>
      <c r="F45" s="205" t="b">
        <f>VLOOKUP(D45,'Feature Set List'!A42:C246,3,0)</f>
        <v>1</v>
      </c>
      <c r="G45" s="205">
        <v>0.0</v>
      </c>
      <c r="H45" s="205">
        <v>-1.0</v>
      </c>
      <c r="I45" s="205">
        <v>0.0</v>
      </c>
      <c r="J45" s="205">
        <v>0.0</v>
      </c>
      <c r="K45" s="205">
        <v>0.0</v>
      </c>
      <c r="L45" s="205">
        <v>1.0</v>
      </c>
      <c r="M45" s="205">
        <v>0.0</v>
      </c>
      <c r="N45" s="205">
        <v>-1.0</v>
      </c>
      <c r="O45" s="205">
        <v>-1.0</v>
      </c>
      <c r="P45" s="205">
        <v>-1.0</v>
      </c>
      <c r="Q45" s="205">
        <v>1.0</v>
      </c>
      <c r="R45" s="205">
        <v>-1.0</v>
      </c>
      <c r="S45" s="205">
        <v>0.0</v>
      </c>
      <c r="T45" s="205">
        <v>1.0</v>
      </c>
      <c r="U45" s="205">
        <v>-2.0</v>
      </c>
      <c r="V45" s="205">
        <v>-1.0</v>
      </c>
      <c r="W45" s="205">
        <v>-1.0</v>
      </c>
      <c r="X45" s="205">
        <v>-1.0</v>
      </c>
      <c r="Y45" s="205">
        <v>1.0</v>
      </c>
      <c r="Z45" s="205">
        <v>-1.0</v>
      </c>
      <c r="AA45" s="205">
        <v>0.0</v>
      </c>
      <c r="AB45" s="205">
        <v>0.0</v>
      </c>
      <c r="AC45" s="205">
        <v>0.0</v>
      </c>
      <c r="AD45" s="205">
        <v>0.0</v>
      </c>
      <c r="AE45" s="205">
        <v>-1.0</v>
      </c>
      <c r="AF45" s="205">
        <v>0.0</v>
      </c>
      <c r="AG45" s="205">
        <v>0.0</v>
      </c>
      <c r="AH45" s="205">
        <v>-1.0</v>
      </c>
      <c r="AI45" s="205">
        <v>0.0</v>
      </c>
      <c r="AJ45" s="205">
        <v>1.0</v>
      </c>
      <c r="AK45" s="205">
        <v>1.0</v>
      </c>
      <c r="AL45" s="205">
        <v>1.0</v>
      </c>
      <c r="AM45" s="205">
        <v>-1.0</v>
      </c>
      <c r="AN45" s="205">
        <v>-2.0</v>
      </c>
      <c r="AO45" s="205">
        <v>-1.0</v>
      </c>
      <c r="AP45" s="205">
        <v>0.0</v>
      </c>
      <c r="AQ45" s="205">
        <v>0.0</v>
      </c>
      <c r="AR45" s="205">
        <v>0.0</v>
      </c>
      <c r="AS45" s="205">
        <v>0.0</v>
      </c>
      <c r="AT45" s="205">
        <v>-1.0</v>
      </c>
      <c r="AU45" s="205">
        <v>0.0</v>
      </c>
      <c r="AV45" s="205">
        <v>-1.0</v>
      </c>
      <c r="AW45" s="205">
        <v>0.0</v>
      </c>
      <c r="AX45" s="205">
        <v>0.0</v>
      </c>
      <c r="AY45" s="205">
        <v>-3.0</v>
      </c>
      <c r="AZ45" s="205">
        <v>-1.0</v>
      </c>
      <c r="BA45" s="205">
        <v>1.0</v>
      </c>
      <c r="BB45" s="205">
        <v>0.0</v>
      </c>
      <c r="BC45" s="205">
        <v>-1.0</v>
      </c>
      <c r="BD45" s="205">
        <v>0.0</v>
      </c>
      <c r="BE45" s="205">
        <v>-3.0</v>
      </c>
      <c r="BF45" s="205">
        <v>0.0</v>
      </c>
      <c r="BG45" s="205">
        <v>2.0</v>
      </c>
      <c r="BH45" s="205">
        <v>-1.0</v>
      </c>
      <c r="BI45" s="205">
        <v>-1.0</v>
      </c>
      <c r="BJ45" s="205">
        <v>-2.0</v>
      </c>
      <c r="BK45" s="205">
        <v>1.0</v>
      </c>
      <c r="BL45" s="205">
        <v>-2.0</v>
      </c>
      <c r="BM45" s="205">
        <v>0.0</v>
      </c>
      <c r="BN45" s="205">
        <v>0.0</v>
      </c>
      <c r="BO45" s="205">
        <v>0.0</v>
      </c>
      <c r="BP45" s="205">
        <v>-1.0</v>
      </c>
      <c r="BQ45" s="205">
        <v>-1.0</v>
      </c>
      <c r="BR45" s="206"/>
      <c r="BS45" s="250">
        <f t="shared" si="1"/>
        <v>-0.380952381</v>
      </c>
      <c r="BT45" s="250">
        <f t="shared" si="2"/>
        <v>0.7845804989</v>
      </c>
      <c r="BU45" s="206"/>
      <c r="BV45" s="207">
        <f>IFERROR(__xludf.DUMMYFUNCTION("AVERAGE(ARRAYFORMULA(XLOOKUP(FILTER(INDIRECT(""'""&amp;BV$1&amp;""'!$C$4:$C$66""),INDIRECT(""'""&amp;BV$1&amp;""'!$D$4:$D$66"")=BV$2),$G$3:$BQ$3,$G45:$BQ45)))"),-1.7142857142857142)</f>
        <v>-1.714285714</v>
      </c>
      <c r="BW45" s="207">
        <f>IFERROR(__xludf.DUMMYFUNCTION("IF(OR(BV45&gt;$BS45+$BT45*$BT$2,BV45&lt;$BS45-$BT45*$BT$2),AVEDEV(ARRAYFORMULA(XLOOKUP(FILTER(INDIRECT(""'""&amp;BV$1&amp;""'!$C$4:$C$66""),INDIRECT(""'""&amp;BV$1&amp;""'!$D$4:$D$66"")=BV$2),$G$3:$BQ$3,$G45:$BQ45))),"""")"),0.8979591836734694)</f>
        <v>0.8979591837</v>
      </c>
      <c r="BX45" s="207">
        <f>IFERROR(__xludf.DUMMYFUNCTION("AVERAGE(ARRAYFORMULA(XLOOKUP(FILTER(INDIRECT(""'""&amp;BX$1&amp;""'!$C$4:$C$66""),INDIRECT(""'""&amp;BX$1&amp;""'!$D$4:$D$66"")=BX$2),$G$3:$BQ$3,$G45:$BQ45)))"),-0.30952380952380953)</f>
        <v>-0.3095238095</v>
      </c>
      <c r="BY45" s="207" t="str">
        <f>IFERROR(__xludf.DUMMYFUNCTION("IF(OR(BX45&gt;$BS45+$BT45*$BT$2,BX45&lt;$BS45-$BT45*$BT$2),AVEDEV(ARRAYFORMULA(XLOOKUP(FILTER(INDIRECT(""'""&amp;BX$1&amp;""'!$C$4:$C$66""),INDIRECT(""'""&amp;BX$1&amp;""'!$D$4:$D$66"")=BX$2),$G$3:$BQ$3,$G45:$BQ45))),"""")"),"")</f>
        <v/>
      </c>
      <c r="BZ45" s="207">
        <f>IFERROR(__xludf.DUMMYFUNCTION("AVERAGE(ARRAYFORMULA(XLOOKUP(FILTER(INDIRECT(""'""&amp;BZ$1&amp;""'!$C$4:$C$66""),INDIRECT(""'""&amp;BZ$1&amp;""'!$D$4:$D$66"")=BZ$2),$G$3:$BQ$3,$G45:$BQ45)))"),0.09090909090909091)</f>
        <v>0.09090909091</v>
      </c>
      <c r="CA45" s="207" t="str">
        <f>IFERROR(__xludf.DUMMYFUNCTION("IF(OR(BZ45&gt;$BS45+$BT45*$BT$2,BZ45&lt;$BS45-$BT45*$BT$2),AVEDEV(ARRAYFORMULA(XLOOKUP(FILTER(INDIRECT(""'""&amp;BZ$1&amp;""'!$C$4:$C$66""),INDIRECT(""'""&amp;BZ$1&amp;""'!$D$4:$D$66"")=BZ$2),$G$3:$BQ$3,$G45:$BQ45))),"""")"),"")</f>
        <v/>
      </c>
      <c r="CB45" s="209"/>
      <c r="CC45" s="207">
        <f>IFERROR(__xludf.DUMMYFUNCTION("AVERAGE(ARRAYFORMULA(XLOOKUP(FILTER(INDIRECT(""'""&amp;CC$1&amp;""'!$C$4:$C$66""),INDIRECT(""'""&amp;CC$1&amp;""'!$D$4:$D$66"")=CC$2),$G$3:$BQ$3,$G45:$BQ45)))"),-0.375)</f>
        <v>-0.375</v>
      </c>
      <c r="CD45" s="207" t="str">
        <f>IFERROR(__xludf.DUMMYFUNCTION("IF(OR(CC45&gt;$BS45+$BT45*$BT$2,CC45&lt;$BS45-$BT45*$BT$2),AVEDEV(ARRAYFORMULA(XLOOKUP(FILTER(INDIRECT(""'""&amp;CC$1&amp;""'!$C$4:$C$66""),INDIRECT(""'""&amp;CC$1&amp;""'!$D$4:$D$66"")=CC$2),$G$3:$BQ$3,$G45:$BQ45))),"""")"),"")</f>
        <v/>
      </c>
      <c r="CE45" s="207">
        <f>IFERROR(__xludf.DUMMYFUNCTION("AVERAGE(ARRAYFORMULA(XLOOKUP(FILTER(INDIRECT(""'""&amp;CE$1&amp;""'!$C$4:$C$66""),INDIRECT(""'""&amp;CE$1&amp;""'!$D$4:$D$66"")=CE$2),$G$3:$BQ$3,$G45:$BQ45)))"),-0.5483870967741935)</f>
        <v>-0.5483870968</v>
      </c>
      <c r="CF45" s="207" t="str">
        <f>IFERROR(__xludf.DUMMYFUNCTION("IF(OR(CE45&gt;$BS45+$BT45*$BT$2,CE45&lt;$BS45-$BT45*$BT$2),AVEDEV(ARRAYFORMULA(XLOOKUP(FILTER(INDIRECT(""'""&amp;CE$1&amp;""'!$C$4:$C$66""),INDIRECT(""'""&amp;CE$1&amp;""'!$D$4:$D$66"")=CE$2),$G$3:$BQ$3,$G45:$BQ45))),"""")"),"")</f>
        <v/>
      </c>
      <c r="CG45" s="207">
        <f>IFERROR(__xludf.DUMMYFUNCTION("AVERAGE(ARRAYFORMULA(XLOOKUP(FILTER(INDIRECT(""'""&amp;CG$1&amp;""'!$C$4:$C$66""),INDIRECT(""'""&amp;CG$1&amp;""'!$D$4:$D$66"")=CG$2),$G$3:$BQ$3,$G45:$BQ45)))"),0.6)</f>
        <v>0.6</v>
      </c>
      <c r="CH45" s="207">
        <f>IFERROR(__xludf.DUMMYFUNCTION("IF(OR(CG45&gt;$BS45+$BT45*$BT$2,CG45&lt;$BS45-$BT45*$BT$2),AVEDEV(ARRAYFORMULA(XLOOKUP(FILTER(INDIRECT(""'""&amp;CG$1&amp;""'!$C$4:$C$66""),INDIRECT(""'""&amp;CG$1&amp;""'!$D$4:$D$66"")=CG$2),$G$3:$BQ$3,$G45:$BQ45))),"""")"),0.8800000000000001)</f>
        <v>0.88</v>
      </c>
      <c r="CI45" s="206"/>
      <c r="CJ45" s="251">
        <f>IFERROR(__xludf.DUMMYFUNCTION("AVERAGE(ARRAYFORMULA(XLOOKUP(FILTER(INDIRECT(""'""&amp;CJ$1&amp;""'!$C$4:$C$66""),INDIRECT(""'""&amp;CJ$1&amp;""'!$D$4:$D$66"")=CJ$2),$G$3:$BQ$3,$G45:$BQ45)))"),-0.6)</f>
        <v>-0.6</v>
      </c>
      <c r="CK45" s="207" t="str">
        <f>IFERROR(__xludf.DUMMYFUNCTION("IF(OR(CJ45&gt;$BS45+$BT45*$BT$2,CJ45&lt;$BS45-$BT45*$BT$2),AVEDEV(ARRAYFORMULA(XLOOKUP(FILTER(INDIRECT(""'""&amp;CJ$1&amp;""'!$C$4:$C$66""),INDIRECT(""'""&amp;CJ$1&amp;""'!$D$4:$D$66"")=CJ$2),$G$3:$BQ$3,$G45:$BQ45))),"""")"),"")</f>
        <v/>
      </c>
      <c r="CL45" s="251">
        <f>IFERROR(__xludf.DUMMYFUNCTION("AVERAGE(ARRAYFORMULA(XLOOKUP(FILTER(INDIRECT(""'""&amp;CL$1&amp;""'!$C$4:$C$66""),INDIRECT(""'""&amp;CL$1&amp;""'!$D$4:$D$66"")=CL$2),$G$3:$BQ$3,$G45:$BQ45)))"),-0.41025641025641024)</f>
        <v>-0.4102564103</v>
      </c>
      <c r="CM45" s="207" t="str">
        <f>IFERROR(__xludf.DUMMYFUNCTION("IF(OR(CL45&gt;$BS45+$BT45*$BT$2,CL45&lt;$BS45-$BT45*$BT$2),AVEDEV(ARRAYFORMULA(XLOOKUP(FILTER(INDIRECT(""'""&amp;CL$1&amp;""'!$C$4:$C$66""),INDIRECT(""'""&amp;CL$1&amp;""'!$D$4:$D$66"")=CL$2),$G$3:$BQ$3,$G45:$BQ45))),"""")"),"")</f>
        <v/>
      </c>
      <c r="CN45" s="251">
        <f>IFERROR(__xludf.DUMMYFUNCTION("AVERAGE(ARRAYFORMULA(XLOOKUP(FILTER(INDIRECT(""'""&amp;CN$1&amp;""'!$C$4:$C$66""),INDIRECT(""'""&amp;CN$1&amp;""'!$D$4:$D$66"")=CN$2),$G$3:$BQ$3,$G45:$BQ45)))"),0.6)</f>
        <v>0.6</v>
      </c>
      <c r="CO45" s="207">
        <f>IFERROR(__xludf.DUMMYFUNCTION("IF(OR(CN45&gt;$BS45+$BT45*$BT$2,CN45&lt;$BS45-$BT45*$BT$2),AVEDEV(ARRAYFORMULA(XLOOKUP(FILTER(INDIRECT(""'""&amp;CN$1&amp;""'!$C$4:$C$66""),INDIRECT(""'""&amp;CN$1&amp;""'!$D$4:$D$66"")=CN$2),$G$3:$BQ$3,$G45:$BQ45))),"""")"),0.8800000000000001)</f>
        <v>0.88</v>
      </c>
      <c r="CP45" s="252"/>
      <c r="CQ45" s="251">
        <f>IFERROR(__xludf.DUMMYFUNCTION("AVERAGE(ARRAYFORMULA(XLOOKUP(FILTER(INDIRECT(""'""&amp;CQ$1&amp;""'!$C$4:$C$66""),INDIRECT(""'""&amp;CQ$1&amp;""'!$D$4:$D$66"")=CQ$2),$G$3:$BQ$3,$G45:$BQ45)))"),-0.07142857142857142)</f>
        <v>-0.07142857143</v>
      </c>
      <c r="CR45" s="207" t="str">
        <f>IFERROR(__xludf.DUMMYFUNCTION("IF(OR(CQ45&gt;$BS45+$BT45*$BT$2,CQ45&lt;$BS45-$BT45*$BT$2),AVEDEV(ARRAYFORMULA(XLOOKUP(FILTER(INDIRECT(""'""&amp;CQ$1&amp;""'!$C$4:$C$66""),INDIRECT(""'""&amp;CQ$1&amp;""'!$D$4:$D$66"")=CQ$2),$G$3:$BQ$3,$G45:$BQ45))),"""")"),"")</f>
        <v/>
      </c>
      <c r="CS45" s="251">
        <f>IFERROR(__xludf.DUMMYFUNCTION("AVERAGE(ARRAYFORMULA(XLOOKUP(FILTER(INDIRECT(""'""&amp;CS$1&amp;""'!$C$4:$C$66""),INDIRECT(""'""&amp;CS$1&amp;""'!$D$4:$D$66"")=CS$2),$G$3:$BQ$3,$G45:$BQ45)))"),0.2222222222222222)</f>
        <v>0.2222222222</v>
      </c>
      <c r="CT45" s="207" t="str">
        <f>IFERROR(__xludf.DUMMYFUNCTION("IF(OR(CS45&gt;$BS45+$BT45*$BT$2,CS45&lt;$BS45-$BT45*$BT$2),AVEDEV(ARRAYFORMULA(XLOOKUP(FILTER(INDIRECT(""'""&amp;CS$1&amp;""'!$C$4:$C$66""),INDIRECT(""'""&amp;CS$1&amp;""'!$D$4:$D$66"")=CS$2),$G$3:$BQ$3,$G45:$BQ45))),"""")"),"")</f>
        <v/>
      </c>
      <c r="CU45" s="251">
        <f>IFERROR(__xludf.DUMMYFUNCTION("AVERAGE(ARRAYFORMULA(XLOOKUP(FILTER(INDIRECT(""'""&amp;CU$1&amp;""'!$C$4:$C$66""),INDIRECT(""'""&amp;CU$1&amp;""'!$D$4:$D$66"")=CU$2),$G$3:$BQ$3,$G45:$BQ45)))"),-0.2727272727272727)</f>
        <v>-0.2727272727</v>
      </c>
      <c r="CV45" s="207" t="str">
        <f>IFERROR(__xludf.DUMMYFUNCTION("IF(OR(CU45&gt;$BS45+$BT45*$BT$2,CU45&lt;$BS45-$BT45*$BT$2),AVEDEV(ARRAYFORMULA(XLOOKUP(FILTER(INDIRECT(""'""&amp;CU$1&amp;""'!$C$4:$C$66""),INDIRECT(""'""&amp;CU$1&amp;""'!$D$4:$D$66"")=CU$2),$G$3:$BQ$3,$G45:$BQ45))),"""")"),"")</f>
        <v/>
      </c>
      <c r="CW45" s="251">
        <f>IFERROR(__xludf.DUMMYFUNCTION("AVERAGE(ARRAYFORMULA(XLOOKUP(FILTER(INDIRECT(""'""&amp;CW$1&amp;""'!$C$4:$C$66""),INDIRECT(""'""&amp;CW$1&amp;""'!$D$4:$D$66"")=CW$2),$G$3:$BQ$3,$G45:$BQ45)))"),-0.5)</f>
        <v>-0.5</v>
      </c>
      <c r="CX45" s="207" t="str">
        <f>IFERROR(__xludf.DUMMYFUNCTION("IF(OR(CW45&gt;$BS45+$BT45*$BT$2,CW45&lt;$BS45-$BT45*$BT$2),AVEDEV(ARRAYFORMULA(XLOOKUP(FILTER(INDIRECT(""'""&amp;CW$1&amp;""'!$C$4:$C$66""),INDIRECT(""'""&amp;CW$1&amp;""'!$D$4:$D$66"")=CW$2),$G$3:$BQ$3,$G45:$BQ45))),"""")"),"")</f>
        <v/>
      </c>
      <c r="CY45" s="251">
        <f>IFERROR(__xludf.DUMMYFUNCTION("AVERAGE(ARRAYFORMULA(XLOOKUP(FILTER(INDIRECT(""'""&amp;CY$1&amp;""'!$C$4:$C$66""),INDIRECT(""'""&amp;CY$1&amp;""'!$D$4:$D$66"")=CY$2),$G$3:$BQ$3,$G45:$BQ45)))"),-0.6428571428571429)</f>
        <v>-0.6428571429</v>
      </c>
      <c r="CZ45" s="207" t="str">
        <f>IFERROR(__xludf.DUMMYFUNCTION("IF(OR(CY45&gt;$BS45+$BT45*$BT$2,CY45&lt;$BS45-$BT45*$BT$2),AVEDEV(ARRAYFORMULA(XLOOKUP(FILTER(INDIRECT(""'""&amp;CY$1&amp;""'!$C$4:$C$66""),INDIRECT(""'""&amp;CY$1&amp;""'!$D$4:$D$66"")=CY$2),$G$3:$BQ$3,$G45:$BQ45))),"""")"),"")</f>
        <v/>
      </c>
      <c r="DA45" s="252"/>
      <c r="DB45" s="251">
        <f>IFERROR(__xludf.DUMMYFUNCTION("AVERAGE(ARRAYFORMULA(XLOOKUP(FILTER(INDIRECT(""'""&amp;DB$1&amp;""'!$C$4:$C$66""),INDIRECT(""'""&amp;DB$1&amp;""'!$D$4:$D$66"")=DB$2),$G$3:$BQ$3,$G45:$BQ45)))"),-0.4)</f>
        <v>-0.4</v>
      </c>
      <c r="DC45" s="207" t="str">
        <f>IFERROR(__xludf.DUMMYFUNCTION("IF(OR(DB45&gt;$BS45+$BT45*$BT$2,DB45&lt;$BS45-$BT45*$BT$2),AVEDEV(ARRAYFORMULA(XLOOKUP(FILTER(INDIRECT(""'""&amp;DB$1&amp;""'!$C$4:$C$66""),INDIRECT(""'""&amp;DB$1&amp;""'!$D$4:$D$66"")=DB$2),$G$3:$BQ$3,$G45:$BQ45))),"""")"),"")</f>
        <v/>
      </c>
      <c r="DD45" s="251">
        <f>IFERROR(__xludf.DUMMYFUNCTION("AVERAGE(ARRAYFORMULA(XLOOKUP(FILTER(INDIRECT(""'""&amp;DD$1&amp;""'!$C$4:$C$66""),INDIRECT(""'""&amp;DD$1&amp;""'!$D$4:$D$66"")=DD$2),$G$3:$BQ$3,$G45:$BQ45)))"),0.0)</f>
        <v>0</v>
      </c>
      <c r="DE45" s="207" t="str">
        <f>IFERROR(__xludf.DUMMYFUNCTION("IF(OR(DD45&gt;$BS45+$BT45*$BT$2,DD45&lt;$BS45-$BT45*$BT$2),AVEDEV(ARRAYFORMULA(XLOOKUP(FILTER(INDIRECT(""'""&amp;DD$1&amp;""'!$C$4:$C$66""),INDIRECT(""'""&amp;DD$1&amp;""'!$D$4:$D$66"")=DD$2),$G$3:$BQ$3,$G45:$BQ45))),"""")"),"")</f>
        <v/>
      </c>
      <c r="DF45" s="251">
        <f>IFERROR(__xludf.DUMMYFUNCTION("AVERAGE(ARRAYFORMULA(XLOOKUP(FILTER(INDIRECT(""'""&amp;DF$1&amp;""'!$C$4:$C$66""),INDIRECT(""'""&amp;DF$1&amp;""'!$D$4:$D$66"")=DF$2),$G$3:$BQ$3,$G45:$BQ45)))"),-0.875)</f>
        <v>-0.875</v>
      </c>
      <c r="DG45" s="207" t="str">
        <f>IFERROR(__xludf.DUMMYFUNCTION("IF(OR(DF45&gt;$BS45+$BT45*$BT$2,DF45&lt;$BS45-$BT45*$BT$2),AVEDEV(ARRAYFORMULA(XLOOKUP(FILTER(INDIRECT(""'""&amp;DF$1&amp;""'!$C$4:$C$66""),INDIRECT(""'""&amp;DF$1&amp;""'!$D$4:$D$66"")=DF$2),$G$3:$BQ$3,$G45:$BQ45))),"""")"),"")</f>
        <v/>
      </c>
      <c r="DH45" s="251">
        <f>IFERROR(__xludf.DUMMYFUNCTION("AVERAGE(ARRAYFORMULA(XLOOKUP(FILTER(INDIRECT(""'""&amp;DH$1&amp;""'!$C$4:$C$66""),INDIRECT(""'""&amp;DH$1&amp;""'!$D$4:$D$66"")=DH$2),$G$3:$BQ$3,$G45:$BQ45)))"),-0.1111111111111111)</f>
        <v>-0.1111111111</v>
      </c>
      <c r="DI45" s="207" t="str">
        <f>IFERROR(__xludf.DUMMYFUNCTION("IF(OR(DH45&gt;$BS45+$BT45*$BT$2,DH45&lt;$BS45-$BT45*$BT$2),AVEDEV(ARRAYFORMULA(XLOOKUP(FILTER(INDIRECT(""'""&amp;DH$1&amp;""'!$C$4:$C$66""),INDIRECT(""'""&amp;DH$1&amp;""'!$D$4:$D$66"")=DH$2),$G$3:$BQ$3,$G45:$BQ45))),"""")"),"")</f>
        <v/>
      </c>
      <c r="DJ45" s="243"/>
    </row>
    <row r="46">
      <c r="A46" s="2"/>
      <c r="B46" s="204">
        <v>42.0</v>
      </c>
      <c r="C46" s="204" t="s">
        <v>482</v>
      </c>
      <c r="D46" s="204" t="s">
        <v>486</v>
      </c>
      <c r="E46" s="205" t="b">
        <f>VLOOKUP(D46,'Feature Set List'!A43:C246,2,0)</f>
        <v>1</v>
      </c>
      <c r="F46" s="205" t="b">
        <f>VLOOKUP(D46,'Feature Set List'!A43:C246,3,0)</f>
        <v>1</v>
      </c>
      <c r="G46" s="205">
        <v>0.0</v>
      </c>
      <c r="H46" s="205">
        <v>0.0</v>
      </c>
      <c r="I46" s="205">
        <v>0.33333333</v>
      </c>
      <c r="J46" s="205">
        <v>0.0</v>
      </c>
      <c r="K46" s="205">
        <v>-0.3333333</v>
      </c>
      <c r="L46" s="205">
        <v>0.0</v>
      </c>
      <c r="M46" s="205">
        <v>1.0</v>
      </c>
      <c r="N46" s="205">
        <v>1.0</v>
      </c>
      <c r="O46" s="205">
        <v>1.0</v>
      </c>
      <c r="P46" s="205">
        <v>0.0</v>
      </c>
      <c r="Q46" s="205">
        <v>0.66666667</v>
      </c>
      <c r="R46" s="205">
        <v>1.0</v>
      </c>
      <c r="S46" s="205">
        <v>3.33333333</v>
      </c>
      <c r="T46" s="205">
        <v>0.0</v>
      </c>
      <c r="U46" s="205">
        <v>0.0</v>
      </c>
      <c r="V46" s="205">
        <v>0.0</v>
      </c>
      <c r="W46" s="205">
        <v>1.0</v>
      </c>
      <c r="X46" s="205">
        <v>1.66666667</v>
      </c>
      <c r="Y46" s="205">
        <v>-0.3333333</v>
      </c>
      <c r="Z46" s="205">
        <v>-0.3333333</v>
      </c>
      <c r="AA46" s="205">
        <v>0.0</v>
      </c>
      <c r="AB46" s="205">
        <v>1.66666667</v>
      </c>
      <c r="AC46" s="205">
        <v>1.0</v>
      </c>
      <c r="AD46" s="205">
        <v>0.0</v>
      </c>
      <c r="AE46" s="205">
        <v>-0.3333333</v>
      </c>
      <c r="AF46" s="205">
        <v>0.0</v>
      </c>
      <c r="AG46" s="205">
        <v>0.33333333</v>
      </c>
      <c r="AH46" s="205">
        <v>1.0</v>
      </c>
      <c r="AI46" s="205">
        <v>0.33333333</v>
      </c>
      <c r="AJ46" s="205">
        <v>3.33333333</v>
      </c>
      <c r="AK46" s="205">
        <v>0.33333333</v>
      </c>
      <c r="AL46" s="205">
        <v>0.33333333</v>
      </c>
      <c r="AM46" s="205">
        <v>-0.3333333</v>
      </c>
      <c r="AN46" s="205">
        <v>0.0</v>
      </c>
      <c r="AO46" s="205">
        <v>0.0</v>
      </c>
      <c r="AP46" s="205">
        <v>0.33333333</v>
      </c>
      <c r="AQ46" s="205">
        <v>-0.3333333</v>
      </c>
      <c r="AR46" s="205">
        <v>2.66666667</v>
      </c>
      <c r="AS46" s="205">
        <v>0.0</v>
      </c>
      <c r="AT46" s="205">
        <v>0.0</v>
      </c>
      <c r="AU46" s="205">
        <v>1.0</v>
      </c>
      <c r="AV46" s="205">
        <v>3.33333333</v>
      </c>
      <c r="AW46" s="205">
        <v>-0.3333333</v>
      </c>
      <c r="AX46" s="205">
        <v>0.33333333</v>
      </c>
      <c r="AY46" s="205">
        <v>0.0</v>
      </c>
      <c r="AZ46" s="205">
        <v>1.66666667</v>
      </c>
      <c r="BA46" s="205">
        <v>3.33333333</v>
      </c>
      <c r="BB46" s="205">
        <v>0.0</v>
      </c>
      <c r="BC46" s="205">
        <v>0.0</v>
      </c>
      <c r="BD46" s="205">
        <v>0.0</v>
      </c>
      <c r="BE46" s="205">
        <v>-0.3333333</v>
      </c>
      <c r="BF46" s="205">
        <v>0.0</v>
      </c>
      <c r="BG46" s="205">
        <v>0.0</v>
      </c>
      <c r="BH46" s="205">
        <v>0.0</v>
      </c>
      <c r="BI46" s="205">
        <v>0.0</v>
      </c>
      <c r="BJ46" s="205">
        <v>0.0</v>
      </c>
      <c r="BK46" s="205">
        <v>0.0</v>
      </c>
      <c r="BL46" s="205">
        <v>0.0</v>
      </c>
      <c r="BM46" s="205">
        <v>0.0</v>
      </c>
      <c r="BN46" s="205">
        <v>0.0</v>
      </c>
      <c r="BO46" s="205">
        <v>0.33333333</v>
      </c>
      <c r="BP46" s="205">
        <v>0.0</v>
      </c>
      <c r="BQ46" s="205">
        <v>1.0</v>
      </c>
      <c r="BR46" s="206"/>
      <c r="BS46" s="250">
        <f t="shared" si="1"/>
        <v>0.4867724906</v>
      </c>
      <c r="BT46" s="250">
        <f t="shared" si="2"/>
        <v>0.6953892647</v>
      </c>
      <c r="BU46" s="206"/>
      <c r="BV46" s="207">
        <f>IFERROR(__xludf.DUMMYFUNCTION("AVERAGE(ARRAYFORMULA(XLOOKUP(FILTER(INDIRECT(""'""&amp;BV$1&amp;""'!$C$4:$C$66""),INDIRECT(""'""&amp;BV$1&amp;""'!$D$4:$D$66"")=BV$2),$G$3:$BQ$3,$G46:$BQ46)))"),0.1904761957142857)</f>
        <v>0.1904761957</v>
      </c>
      <c r="BW46" s="207" t="str">
        <f>IFERROR(__xludf.DUMMYFUNCTION("IF(OR(BV46&gt;$BS46+$BT46*$BT$2,BV46&lt;$BS46-$BT46*$BT$2),AVEDEV(ARRAYFORMULA(XLOOKUP(FILTER(INDIRECT(""'""&amp;BV$1&amp;""'!$C$4:$C$66""),INDIRECT(""'""&amp;BV$1&amp;""'!$D$4:$D$66"")=BV$2),$G$3:$BQ$3,$G46:$BQ46))),"""")"),"")</f>
        <v/>
      </c>
      <c r="BX46" s="207">
        <f>IFERROR(__xludf.DUMMYFUNCTION("AVERAGE(ARRAYFORMULA(XLOOKUP(FILTER(INDIRECT(""'""&amp;BX$1&amp;""'!$C$4:$C$66""),INDIRECT(""'""&amp;BX$1&amp;""'!$D$4:$D$66"")=BX$2),$G$3:$BQ$3,$G46:$BQ46)))"),0.5079365121428572)</f>
        <v>0.5079365121</v>
      </c>
      <c r="BY46" s="207" t="str">
        <f>IFERROR(__xludf.DUMMYFUNCTION("IF(OR(BX46&gt;$BS46+$BT46*$BT$2,BX46&lt;$BS46-$BT46*$BT$2),AVEDEV(ARRAYFORMULA(XLOOKUP(FILTER(INDIRECT(""'""&amp;BX$1&amp;""'!$C$4:$C$66""),INDIRECT(""'""&amp;BX$1&amp;""'!$D$4:$D$66"")=BX$2),$G$3:$BQ$3,$G46:$BQ46))),"""")"),"")</f>
        <v/>
      </c>
      <c r="BZ46" s="207">
        <f>IFERROR(__xludf.DUMMYFUNCTION("AVERAGE(ARRAYFORMULA(XLOOKUP(FILTER(INDIRECT(""'""&amp;BZ$1&amp;""'!$C$4:$C$66""),INDIRECT(""'""&amp;BZ$1&amp;""'!$D$4:$D$66"")=BZ$2),$G$3:$BQ$3,$G46:$BQ46)))"),0.6060606090909091)</f>
        <v>0.6060606091</v>
      </c>
      <c r="CA46" s="207" t="str">
        <f>IFERROR(__xludf.DUMMYFUNCTION("IF(OR(BZ46&gt;$BS46+$BT46*$BT$2,BZ46&lt;$BS46-$BT46*$BT$2),AVEDEV(ARRAYFORMULA(XLOOKUP(FILTER(INDIRECT(""'""&amp;BZ$1&amp;""'!$C$4:$C$66""),INDIRECT(""'""&amp;BZ$1&amp;""'!$D$4:$D$66"")=BZ$2),$G$3:$BQ$3,$G46:$BQ46))),"""")"),"")</f>
        <v/>
      </c>
      <c r="CB46" s="209"/>
      <c r="CC46" s="207">
        <f>IFERROR(__xludf.DUMMYFUNCTION("AVERAGE(ARRAYFORMULA(XLOOKUP(FILTER(INDIRECT(""'""&amp;CC$1&amp;""'!$C$4:$C$66""),INDIRECT(""'""&amp;CC$1&amp;""'!$D$4:$D$66"")=CC$2),$G$3:$BQ$3,$G46:$BQ46)))"),0.06250000749999998)</f>
        <v>0.0625000075</v>
      </c>
      <c r="CD46" s="207" t="str">
        <f>IFERROR(__xludf.DUMMYFUNCTION("IF(OR(CC46&gt;$BS46+$BT46*$BT$2,CC46&lt;$BS46-$BT46*$BT$2),AVEDEV(ARRAYFORMULA(XLOOKUP(FILTER(INDIRECT(""'""&amp;CC$1&amp;""'!$C$4:$C$66""),INDIRECT(""'""&amp;CC$1&amp;""'!$D$4:$D$66"")=CC$2),$G$3:$BQ$3,$G46:$BQ46))),"""")"),"")</f>
        <v/>
      </c>
      <c r="CE46" s="207">
        <f>IFERROR(__xludf.DUMMYFUNCTION("AVERAGE(ARRAYFORMULA(XLOOKUP(FILTER(INDIRECT(""'""&amp;CE$1&amp;""'!$C$4:$C$66""),INDIRECT(""'""&amp;CE$1&amp;""'!$D$4:$D$66"")=CE$2),$G$3:$BQ$3,$G46:$BQ46)))"),0.645161294516129)</f>
        <v>0.6451612945</v>
      </c>
      <c r="CF46" s="207" t="str">
        <f>IFERROR(__xludf.DUMMYFUNCTION("IF(OR(CE46&gt;$BS46+$BT46*$BT$2,CE46&lt;$BS46-$BT46*$BT$2),AVEDEV(ARRAYFORMULA(XLOOKUP(FILTER(INDIRECT(""'""&amp;CE$1&amp;""'!$C$4:$C$66""),INDIRECT(""'""&amp;CE$1&amp;""'!$D$4:$D$66"")=CE$2),$G$3:$BQ$3,$G46:$BQ46))),"""")"),"")</f>
        <v/>
      </c>
      <c r="CG46" s="207">
        <f>IFERROR(__xludf.DUMMYFUNCTION("AVERAGE(ARRAYFORMULA(XLOOKUP(FILTER(INDIRECT(""'""&amp;CG$1&amp;""'!$C$4:$C$66""),INDIRECT(""'""&amp;CG$1&amp;""'!$D$4:$D$66"")=CG$2),$G$3:$BQ$3,$G46:$BQ46)))"),0.666666666)</f>
        <v>0.666666666</v>
      </c>
      <c r="CH46" s="207" t="str">
        <f>IFERROR(__xludf.DUMMYFUNCTION("IF(OR(CG46&gt;$BS46+$BT46*$BT$2,CG46&lt;$BS46-$BT46*$BT$2),AVEDEV(ARRAYFORMULA(XLOOKUP(FILTER(INDIRECT(""'""&amp;CG$1&amp;""'!$C$4:$C$66""),INDIRECT(""'""&amp;CG$1&amp;""'!$D$4:$D$66"")=CG$2),$G$3:$BQ$3,$G46:$BQ46))),"""")"),"")</f>
        <v/>
      </c>
      <c r="CI46" s="206"/>
      <c r="CJ46" s="251">
        <f>IFERROR(__xludf.DUMMYFUNCTION("AVERAGE(ARRAYFORMULA(XLOOKUP(FILTER(INDIRECT(""'""&amp;CJ$1&amp;""'!$C$4:$C$66""),INDIRECT(""'""&amp;CJ$1&amp;""'!$D$4:$D$66"")=CJ$2),$G$3:$BQ$3,$G46:$BQ46)))"),0.3777777846666667)</f>
        <v>0.3777777847</v>
      </c>
      <c r="CK46" s="207" t="str">
        <f>IFERROR(__xludf.DUMMYFUNCTION("IF(OR(CJ46&gt;$BS46+$BT46*$BT$2,CJ46&lt;$BS46-$BT46*$BT$2),AVEDEV(ARRAYFORMULA(XLOOKUP(FILTER(INDIRECT(""'""&amp;CJ$1&amp;""'!$C$4:$C$66""),INDIRECT(""'""&amp;CJ$1&amp;""'!$D$4:$D$66"")=CJ$2),$G$3:$BQ$3,$G46:$BQ46))),"""")"),"")</f>
        <v/>
      </c>
      <c r="CL46" s="251">
        <f>IFERROR(__xludf.DUMMYFUNCTION("AVERAGE(ARRAYFORMULA(XLOOKUP(FILTER(INDIRECT(""'""&amp;CL$1&amp;""'!$C$4:$C$66""),INDIRECT(""'""&amp;CL$1&amp;""'!$D$4:$D$66"")=CL$2),$G$3:$BQ$3,$G46:$BQ46)))"),0.5213675251282052)</f>
        <v>0.5213675251</v>
      </c>
      <c r="CM46" s="207" t="str">
        <f>IFERROR(__xludf.DUMMYFUNCTION("IF(OR(CL46&gt;$BS46+$BT46*$BT$2,CL46&lt;$BS46-$BT46*$BT$2),AVEDEV(ARRAYFORMULA(XLOOKUP(FILTER(INDIRECT(""'""&amp;CL$1&amp;""'!$C$4:$C$66""),INDIRECT(""'""&amp;CL$1&amp;""'!$D$4:$D$66"")=CL$2),$G$3:$BQ$3,$G46:$BQ46))),"""")"),"")</f>
        <v/>
      </c>
      <c r="CN46" s="251">
        <f>IFERROR(__xludf.DUMMYFUNCTION("AVERAGE(ARRAYFORMULA(XLOOKUP(FILTER(INDIRECT(""'""&amp;CN$1&amp;""'!$C$4:$C$66""),INDIRECT(""'""&amp;CN$1&amp;""'!$D$4:$D$66"")=CN$2),$G$3:$BQ$3,$G46:$BQ46)))"),0.666666666)</f>
        <v>0.666666666</v>
      </c>
      <c r="CO46" s="207" t="str">
        <f>IFERROR(__xludf.DUMMYFUNCTION("IF(OR(CN46&gt;$BS46+$BT46*$BT$2,CN46&lt;$BS46-$BT46*$BT$2),AVEDEV(ARRAYFORMULA(XLOOKUP(FILTER(INDIRECT(""'""&amp;CN$1&amp;""'!$C$4:$C$66""),INDIRECT(""'""&amp;CN$1&amp;""'!$D$4:$D$66"")=CN$2),$G$3:$BQ$3,$G46:$BQ46))),"""")"),"")</f>
        <v/>
      </c>
      <c r="CP46" s="252"/>
      <c r="CQ46" s="251">
        <f>IFERROR(__xludf.DUMMYFUNCTION("AVERAGE(ARRAYFORMULA(XLOOKUP(FILTER(INDIRECT(""'""&amp;CQ$1&amp;""'!$C$4:$C$66""),INDIRECT(""'""&amp;CQ$1&amp;""'!$D$4:$D$66"")=CQ$2),$G$3:$BQ$3,$G46:$BQ46)))"),0.11904762499999998)</f>
        <v>0.119047625</v>
      </c>
      <c r="CR46" s="207" t="str">
        <f>IFERROR(__xludf.DUMMYFUNCTION("IF(OR(CQ46&gt;$BS46+$BT46*$BT$2,CQ46&lt;$BS46-$BT46*$BT$2),AVEDEV(ARRAYFORMULA(XLOOKUP(FILTER(INDIRECT(""'""&amp;CQ$1&amp;""'!$C$4:$C$66""),INDIRECT(""'""&amp;CQ$1&amp;""'!$D$4:$D$66"")=CQ$2),$G$3:$BQ$3,$G46:$BQ46))),"""")"),"")</f>
        <v/>
      </c>
      <c r="CS46" s="251">
        <f>IFERROR(__xludf.DUMMYFUNCTION("AVERAGE(ARRAYFORMULA(XLOOKUP(FILTER(INDIRECT(""'""&amp;CS$1&amp;""'!$C$4:$C$66""),INDIRECT(""'""&amp;CS$1&amp;""'!$D$4:$D$66"")=CS$2),$G$3:$BQ$3,$G46:$BQ46)))"),0.555555558888889)</f>
        <v>0.5555555589</v>
      </c>
      <c r="CT46" s="207" t="str">
        <f>IFERROR(__xludf.DUMMYFUNCTION("IF(OR(CS46&gt;$BS46+$BT46*$BT$2,CS46&lt;$BS46-$BT46*$BT$2),AVEDEV(ARRAYFORMULA(XLOOKUP(FILTER(INDIRECT(""'""&amp;CS$1&amp;""'!$C$4:$C$66""),INDIRECT(""'""&amp;CS$1&amp;""'!$D$4:$D$66"")=CS$2),$G$3:$BQ$3,$G46:$BQ46))),"""")"),"")</f>
        <v/>
      </c>
      <c r="CU46" s="251">
        <f>IFERROR(__xludf.DUMMYFUNCTION("AVERAGE(ARRAYFORMULA(XLOOKUP(FILTER(INDIRECT(""'""&amp;CU$1&amp;""'!$C$4:$C$66""),INDIRECT(""'""&amp;CU$1&amp;""'!$D$4:$D$66"")=CU$2),$G$3:$BQ$3,$G46:$BQ46)))"),1.0909090936363637)</f>
        <v>1.090909094</v>
      </c>
      <c r="CV46" s="207" t="str">
        <f>IFERROR(__xludf.DUMMYFUNCTION("IF(OR(CU46&gt;$BS46+$BT46*$BT$2,CU46&lt;$BS46-$BT46*$BT$2),AVEDEV(ARRAYFORMULA(XLOOKUP(FILTER(INDIRECT(""'""&amp;CU$1&amp;""'!$C$4:$C$66""),INDIRECT(""'""&amp;CU$1&amp;""'!$D$4:$D$66"")=CU$2),$G$3:$BQ$3,$G46:$BQ46))),"""")"),"")</f>
        <v/>
      </c>
      <c r="CW46" s="251">
        <f>IFERROR(__xludf.DUMMYFUNCTION("AVERAGE(ARRAYFORMULA(XLOOKUP(FILTER(INDIRECT(""'""&amp;CW$1&amp;""'!$C$4:$C$66""),INDIRECT(""'""&amp;CW$1&amp;""'!$D$4:$D$66"")=CW$2),$G$3:$BQ$3,$G46:$BQ46)))"),0.0)</f>
        <v>0</v>
      </c>
      <c r="CX46" s="207" t="str">
        <f>IFERROR(__xludf.DUMMYFUNCTION("IF(OR(CW46&gt;$BS46+$BT46*$BT$2,CW46&lt;$BS46-$BT46*$BT$2),AVEDEV(ARRAYFORMULA(XLOOKUP(FILTER(INDIRECT(""'""&amp;CW$1&amp;""'!$C$4:$C$66""),INDIRECT(""'""&amp;CW$1&amp;""'!$D$4:$D$66"")=CW$2),$G$3:$BQ$3,$G46:$BQ46))),"""")"),"")</f>
        <v/>
      </c>
      <c r="CY46" s="251">
        <f>IFERROR(__xludf.DUMMYFUNCTION("AVERAGE(ARRAYFORMULA(XLOOKUP(FILTER(INDIRECT(""'""&amp;CY$1&amp;""'!$C$4:$C$66""),INDIRECT(""'""&amp;CY$1&amp;""'!$D$4:$D$66"")=CY$2),$G$3:$BQ$3,$G46:$BQ46)))"),0.6904761928571429)</f>
        <v>0.6904761929</v>
      </c>
      <c r="CZ46" s="207" t="str">
        <f>IFERROR(__xludf.DUMMYFUNCTION("IF(OR(CY46&gt;$BS46+$BT46*$BT$2,CY46&lt;$BS46-$BT46*$BT$2),AVEDEV(ARRAYFORMULA(XLOOKUP(FILTER(INDIRECT(""'""&amp;CY$1&amp;""'!$C$4:$C$66""),INDIRECT(""'""&amp;CY$1&amp;""'!$D$4:$D$66"")=CY$2),$G$3:$BQ$3,$G46:$BQ46))),"""")"),"")</f>
        <v/>
      </c>
      <c r="DA46" s="252"/>
      <c r="DB46" s="251">
        <f>IFERROR(__xludf.DUMMYFUNCTION("AVERAGE(ARRAYFORMULA(XLOOKUP(FILTER(INDIRECT(""'""&amp;DB$1&amp;""'!$C$4:$C$66""),INDIRECT(""'""&amp;DB$1&amp;""'!$D$4:$D$66"")=DB$2),$G$3:$BQ$3,$G46:$BQ46)))"),0.22222222733333338)</f>
        <v>0.2222222273</v>
      </c>
      <c r="DC46" s="207" t="str">
        <f>IFERROR(__xludf.DUMMYFUNCTION("IF(OR(DB46&gt;$BS46+$BT46*$BT$2,DB46&lt;$BS46-$BT46*$BT$2),AVEDEV(ARRAYFORMULA(XLOOKUP(FILTER(INDIRECT(""'""&amp;DB$1&amp;""'!$C$4:$C$66""),INDIRECT(""'""&amp;DB$1&amp;""'!$D$4:$D$66"")=DB$2),$G$3:$BQ$3,$G46:$BQ46))),"""")"),"")</f>
        <v/>
      </c>
      <c r="DD46" s="251">
        <f>IFERROR(__xludf.DUMMYFUNCTION("AVERAGE(ARRAYFORMULA(XLOOKUP(FILTER(INDIRECT(""'""&amp;DD$1&amp;""'!$C$4:$C$66""),INDIRECT(""'""&amp;DD$1&amp;""'!$D$4:$D$66"")=DD$2),$G$3:$BQ$3,$G46:$BQ46)))"),0.9629629622222223)</f>
        <v>0.9629629622</v>
      </c>
      <c r="DE46" s="207" t="str">
        <f>IFERROR(__xludf.DUMMYFUNCTION("IF(OR(DD46&gt;$BS46+$BT46*$BT$2,DD46&lt;$BS46-$BT46*$BT$2),AVEDEV(ARRAYFORMULA(XLOOKUP(FILTER(INDIRECT(""'""&amp;DD$1&amp;""'!$C$4:$C$66""),INDIRECT(""'""&amp;DD$1&amp;""'!$D$4:$D$66"")=DD$2),$G$3:$BQ$3,$G46:$BQ46))),"""")"),"")</f>
        <v/>
      </c>
      <c r="DF46" s="251">
        <f>IFERROR(__xludf.DUMMYFUNCTION("AVERAGE(ARRAYFORMULA(XLOOKUP(FILTER(INDIRECT(""'""&amp;DF$1&amp;""'!$C$4:$C$66""),INDIRECT(""'""&amp;DF$1&amp;""'!$D$4:$D$66"")=DF$2),$G$3:$BQ$3,$G46:$BQ46)))"),1.29166666625)</f>
        <v>1.291666666</v>
      </c>
      <c r="DG46" s="207">
        <f>IFERROR(__xludf.DUMMYFUNCTION("IF(OR(DF46&gt;$BS46+$BT46*$BT$2,DF46&lt;$BS46-$BT46*$BT$2),AVEDEV(ARRAYFORMULA(XLOOKUP(FILTER(INDIRECT(""'""&amp;DF$1&amp;""'!$C$4:$C$66""),INDIRECT(""'""&amp;DF$1&amp;""'!$D$4:$D$66"")=DF$2),$G$3:$BQ$3,$G46:$BQ46))),"""")"),1.1145833328125)</f>
        <v>1.114583333</v>
      </c>
      <c r="DH46" s="251">
        <f>IFERROR(__xludf.DUMMYFUNCTION("AVERAGE(ARRAYFORMULA(XLOOKUP(FILTER(INDIRECT(""'""&amp;DH$1&amp;""'!$C$4:$C$66""),INDIRECT(""'""&amp;DH$1&amp;""'!$D$4:$D$66"")=DH$2),$G$3:$BQ$3,$G46:$BQ46)))"),-0.07407406333333333)</f>
        <v>-0.07407406333</v>
      </c>
      <c r="DI46" s="207" t="str">
        <f>IFERROR(__xludf.DUMMYFUNCTION("IF(OR(DH46&gt;$BS46+$BT46*$BT$2,DH46&lt;$BS46-$BT46*$BT$2),AVEDEV(ARRAYFORMULA(XLOOKUP(FILTER(INDIRECT(""'""&amp;DH$1&amp;""'!$C$4:$C$66""),INDIRECT(""'""&amp;DH$1&amp;""'!$D$4:$D$66"")=DH$2),$G$3:$BQ$3,$G46:$BQ46))),"""")"),"")</f>
        <v/>
      </c>
      <c r="DJ46" s="243"/>
    </row>
    <row r="47">
      <c r="A47" s="2"/>
      <c r="B47" s="204">
        <v>43.0</v>
      </c>
      <c r="C47" s="204" t="s">
        <v>482</v>
      </c>
      <c r="D47" s="204" t="s">
        <v>487</v>
      </c>
      <c r="E47" s="205" t="b">
        <f>VLOOKUP(D47,'Feature Set List'!A44:C246,2,0)</f>
        <v>1</v>
      </c>
      <c r="F47" s="205" t="b">
        <f>VLOOKUP(D47,'Feature Set List'!A44:C246,3,0)</f>
        <v>1</v>
      </c>
      <c r="G47" s="205">
        <v>0.04647436</v>
      </c>
      <c r="H47" s="205">
        <v>0.08733974</v>
      </c>
      <c r="I47" s="205">
        <v>1.01201923</v>
      </c>
      <c r="J47" s="205">
        <v>0.11298077</v>
      </c>
      <c r="K47" s="205">
        <v>1.02884615</v>
      </c>
      <c r="L47" s="205">
        <v>-0.8798077</v>
      </c>
      <c r="M47" s="205">
        <v>-0.2924679</v>
      </c>
      <c r="N47" s="205">
        <v>-0.275641</v>
      </c>
      <c r="O47" s="205">
        <v>-0.181891</v>
      </c>
      <c r="P47" s="205">
        <v>-0.1362179</v>
      </c>
      <c r="Q47" s="205">
        <v>-0.5144231</v>
      </c>
      <c r="R47" s="205">
        <v>-0.5496795</v>
      </c>
      <c r="S47" s="205">
        <v>-0.2299679</v>
      </c>
      <c r="T47" s="205">
        <v>-0.3846154</v>
      </c>
      <c r="U47" s="205">
        <v>0.39983974</v>
      </c>
      <c r="V47" s="205">
        <v>-0.7283654</v>
      </c>
      <c r="W47" s="205">
        <v>-0.3453526</v>
      </c>
      <c r="X47" s="205">
        <v>0.64342949</v>
      </c>
      <c r="Y47" s="205">
        <v>-0.443109</v>
      </c>
      <c r="Z47" s="205">
        <v>1.20192308</v>
      </c>
      <c r="AA47" s="205">
        <v>1.06490385</v>
      </c>
      <c r="AB47" s="205">
        <v>1.04967949</v>
      </c>
      <c r="AC47" s="205">
        <v>1.13621795</v>
      </c>
      <c r="AD47" s="205">
        <v>0.4150641</v>
      </c>
      <c r="AE47" s="205">
        <v>0.65705128</v>
      </c>
      <c r="AF47" s="205">
        <v>-0.6418269</v>
      </c>
      <c r="AG47" s="205">
        <v>0.39423077</v>
      </c>
      <c r="AH47" s="205">
        <v>1.40865385</v>
      </c>
      <c r="AI47" s="205">
        <v>-0.0785256</v>
      </c>
      <c r="AJ47" s="205">
        <v>1.07692308</v>
      </c>
      <c r="AK47" s="205">
        <v>-0.5849359</v>
      </c>
      <c r="AL47" s="205">
        <v>-0.2540064</v>
      </c>
      <c r="AM47" s="205">
        <v>0.48317308</v>
      </c>
      <c r="AN47" s="205">
        <v>0.75400641</v>
      </c>
      <c r="AO47" s="205">
        <v>-0.5649038</v>
      </c>
      <c r="AP47" s="205">
        <v>-0.6450321</v>
      </c>
      <c r="AQ47" s="205">
        <v>-0.0849359</v>
      </c>
      <c r="AR47" s="205">
        <v>-0.8862179</v>
      </c>
      <c r="AS47" s="205">
        <v>-0.3950321</v>
      </c>
      <c r="AT47" s="205">
        <v>0.32532051</v>
      </c>
      <c r="AU47" s="205">
        <v>-0.1338141</v>
      </c>
      <c r="AV47" s="205">
        <v>1.02083333</v>
      </c>
      <c r="AW47" s="205">
        <v>-0.3966346</v>
      </c>
      <c r="AX47" s="205">
        <v>-0.5849359</v>
      </c>
      <c r="AY47" s="205">
        <v>4.27884615</v>
      </c>
      <c r="AZ47" s="205">
        <v>0.32852564</v>
      </c>
      <c r="BA47" s="205">
        <v>-0.2572115</v>
      </c>
      <c r="BB47" s="205">
        <v>1.10016026</v>
      </c>
      <c r="BC47" s="205">
        <v>0.39022436</v>
      </c>
      <c r="BD47" s="205">
        <v>0.0</v>
      </c>
      <c r="BE47" s="205">
        <v>3.28766026</v>
      </c>
      <c r="BF47" s="205">
        <v>0.05128205</v>
      </c>
      <c r="BG47" s="205">
        <v>-0.4951923</v>
      </c>
      <c r="BH47" s="205">
        <v>0.56169872</v>
      </c>
      <c r="BI47" s="205">
        <v>-0.2996795</v>
      </c>
      <c r="BJ47" s="205">
        <v>0.56570513</v>
      </c>
      <c r="BK47" s="205">
        <v>-0.6963141</v>
      </c>
      <c r="BL47" s="205">
        <v>1.11378205</v>
      </c>
      <c r="BM47" s="205">
        <v>0.02724359</v>
      </c>
      <c r="BN47" s="205">
        <v>-0.3958333</v>
      </c>
      <c r="BO47" s="205">
        <v>0.39503205</v>
      </c>
      <c r="BP47" s="205">
        <v>-0.5024038</v>
      </c>
      <c r="BQ47" s="205">
        <v>-0.2916667</v>
      </c>
      <c r="BR47" s="206"/>
      <c r="BS47" s="250">
        <f t="shared" si="1"/>
        <v>0.2106099956</v>
      </c>
      <c r="BT47" s="250">
        <f t="shared" si="2"/>
        <v>0.6545361945</v>
      </c>
      <c r="BU47" s="206"/>
      <c r="BV47" s="207">
        <f>IFERROR(__xludf.DUMMYFUNCTION("AVERAGE(ARRAYFORMULA(XLOOKUP(FILTER(INDIRECT(""'""&amp;BV$1&amp;""'!$C$4:$C$66""),INDIRECT(""'""&amp;BV$1&amp;""'!$D$4:$D$66"")=BV$2),$G$3:$BQ$3,$G47:$BQ47)))"),1.4655448785714287)</f>
        <v>1.465544879</v>
      </c>
      <c r="BW47" s="207">
        <f>IFERROR(__xludf.DUMMYFUNCTION("IF(OR(BV47&gt;$BS47+$BT47*$BT$2,BV47&lt;$BS47-$BT47*$BT$2),AVEDEV(ARRAYFORMULA(XLOOKUP(FILTER(INDIRECT(""'""&amp;BV$1&amp;""'!$C$4:$C$66""),INDIRECT(""'""&amp;BV$1&amp;""'!$D$4:$D$66"")=BV$2),$G$3:$BQ$3,$G47:$BQ47))),"""")"),1.324404757959184)</f>
        <v>1.324404758</v>
      </c>
      <c r="BX47" s="207">
        <f>IFERROR(__xludf.DUMMYFUNCTION("AVERAGE(ARRAYFORMULA(XLOOKUP(FILTER(INDIRECT(""'""&amp;BX$1&amp;""'!$C$4:$C$66""),INDIRECT(""'""&amp;BX$1&amp;""'!$D$4:$D$66"")=BX$2),$G$3:$BQ$3,$G47:$BQ47)))"),0.1216613273809524)</f>
        <v>0.1216613274</v>
      </c>
      <c r="BY47" s="207" t="str">
        <f>IFERROR(__xludf.DUMMYFUNCTION("IF(OR(BX47&gt;$BS47+$BT47*$BT$2,BX47&lt;$BS47-$BT47*$BT$2),AVEDEV(ARRAYFORMULA(XLOOKUP(FILTER(INDIRECT(""'""&amp;BX$1&amp;""'!$C$4:$C$66""),INDIRECT(""'""&amp;BX$1&amp;""'!$D$4:$D$66"")=BX$2),$G$3:$BQ$3,$G47:$BQ47))),"""")"),"")</f>
        <v/>
      </c>
      <c r="BZ47" s="207">
        <f>IFERROR(__xludf.DUMMYFUNCTION("AVERAGE(ARRAYFORMULA(XLOOKUP(FILTER(INDIRECT(""'""&amp;BZ$1&amp;""'!$C$4:$C$66""),INDIRECT(""'""&amp;BZ$1&amp;""'!$D$4:$D$66"")=BZ$2),$G$3:$BQ$3,$G47:$BQ47)))"),-0.2707604827272727)</f>
        <v>-0.2707604827</v>
      </c>
      <c r="CA47" s="207" t="str">
        <f>IFERROR(__xludf.DUMMYFUNCTION("IF(OR(BZ47&gt;$BS47+$BT47*$BT$2,BZ47&lt;$BS47-$BT47*$BT$2),AVEDEV(ARRAYFORMULA(XLOOKUP(FILTER(INDIRECT(""'""&amp;BZ$1&amp;""'!$C$4:$C$66""),INDIRECT(""'""&amp;BZ$1&amp;""'!$D$4:$D$66"")=BZ$2),$G$3:$BQ$3,$G47:$BQ47))),"""")"),"")</f>
        <v/>
      </c>
      <c r="CB47" s="209"/>
      <c r="CC47" s="207">
        <f>IFERROR(__xludf.DUMMYFUNCTION("AVERAGE(ARRAYFORMULA(XLOOKUP(FILTER(INDIRECT(""'""&amp;CC$1&amp;""'!$C$4:$C$66""),INDIRECT(""'""&amp;CC$1&amp;""'!$D$4:$D$66"")=CC$2),$G$3:$BQ$3,$G47:$BQ47)))"),0.08518629812499999)</f>
        <v>0.08518629813</v>
      </c>
      <c r="CD47" s="207" t="str">
        <f>IFERROR(__xludf.DUMMYFUNCTION("IF(OR(CC47&gt;$BS47+$BT47*$BT$2,CC47&lt;$BS47-$BT47*$BT$2),AVEDEV(ARRAYFORMULA(XLOOKUP(FILTER(INDIRECT(""'""&amp;CC$1&amp;""'!$C$4:$C$66""),INDIRECT(""'""&amp;CC$1&amp;""'!$D$4:$D$66"")=CC$2),$G$3:$BQ$3,$G47:$BQ47))),"""")"),"")</f>
        <v/>
      </c>
      <c r="CE47" s="207">
        <f>IFERROR(__xludf.DUMMYFUNCTION("AVERAGE(ARRAYFORMULA(XLOOKUP(FILTER(INDIRECT(""'""&amp;CE$1&amp;""'!$C$4:$C$66""),INDIRECT(""'""&amp;CE$1&amp;""'!$D$4:$D$66"")=CE$2),$G$3:$BQ$3,$G47:$BQ47)))"),0.4034067445161292)</f>
        <v>0.4034067445</v>
      </c>
      <c r="CF47" s="207" t="str">
        <f>IFERROR(__xludf.DUMMYFUNCTION("IF(OR(CE47&gt;$BS47+$BT47*$BT$2,CE47&lt;$BS47-$BT47*$BT$2),AVEDEV(ARRAYFORMULA(XLOOKUP(FILTER(INDIRECT(""'""&amp;CE$1&amp;""'!$C$4:$C$66""),INDIRECT(""'""&amp;CE$1&amp;""'!$D$4:$D$66"")=CE$2),$G$3:$BQ$3,$G47:$BQ47))),"""")"),"")</f>
        <v/>
      </c>
      <c r="CG47" s="207">
        <f>IFERROR(__xludf.DUMMYFUNCTION("AVERAGE(ARRAYFORMULA(XLOOKUP(FILTER(INDIRECT(""'""&amp;CG$1&amp;""'!$C$4:$C$66""),INDIRECT(""'""&amp;CG$1&amp;""'!$D$4:$D$66"")=CG$2),$G$3:$BQ$3,$G47:$BQ47)))"),-0.33365384)</f>
        <v>-0.33365384</v>
      </c>
      <c r="CH47" s="207" t="str">
        <f>IFERROR(__xludf.DUMMYFUNCTION("IF(OR(CG47&gt;$BS47+$BT47*$BT$2,CG47&lt;$BS47-$BT47*$BT$2),AVEDEV(ARRAYFORMULA(XLOOKUP(FILTER(INDIRECT(""'""&amp;CG$1&amp;""'!$C$4:$C$66""),INDIRECT(""'""&amp;CG$1&amp;""'!$D$4:$D$66"")=CG$2),$G$3:$BQ$3,$G47:$BQ47))),"""")"),"")</f>
        <v/>
      </c>
      <c r="CI47" s="206"/>
      <c r="CJ47" s="251">
        <f>IFERROR(__xludf.DUMMYFUNCTION("AVERAGE(ARRAYFORMULA(XLOOKUP(FILTER(INDIRECT(""'""&amp;CJ$1&amp;""'!$C$4:$C$66""),INDIRECT(""'""&amp;CJ$1&amp;""'!$D$4:$D$66"")=CJ$2),$G$3:$BQ$3,$G47:$BQ47)))"),0.7215277786666667)</f>
        <v>0.7215277787</v>
      </c>
      <c r="CK47" s="207" t="str">
        <f>IFERROR(__xludf.DUMMYFUNCTION("IF(OR(CJ47&gt;$BS47+$BT47*$BT$2,CJ47&lt;$BS47-$BT47*$BT$2),AVEDEV(ARRAYFORMULA(XLOOKUP(FILTER(INDIRECT(""'""&amp;CJ$1&amp;""'!$C$4:$C$66""),INDIRECT(""'""&amp;CJ$1&amp;""'!$D$4:$D$66"")=CJ$2),$G$3:$BQ$3,$G47:$BQ47))),"""")"),"")</f>
        <v/>
      </c>
      <c r="CL47" s="251">
        <f>IFERROR(__xludf.DUMMYFUNCTION("AVERAGE(ARRAYFORMULA(XLOOKUP(FILTER(INDIRECT(""'""&amp;CL$1&amp;""'!$C$4:$C$66""),INDIRECT(""'""&amp;CL$1&amp;""'!$D$4:$D$66"")=CL$2),$G$3:$BQ$3,$G47:$BQ47)))"),0.05440500153846161)</f>
        <v>0.05440500154</v>
      </c>
      <c r="CM47" s="207" t="str">
        <f>IFERROR(__xludf.DUMMYFUNCTION("IF(OR(CL47&gt;$BS47+$BT47*$BT$2,CL47&lt;$BS47-$BT47*$BT$2),AVEDEV(ARRAYFORMULA(XLOOKUP(FILTER(INDIRECT(""'""&amp;CL$1&amp;""'!$C$4:$C$66""),INDIRECT(""'""&amp;CL$1&amp;""'!$D$4:$D$66"")=CL$2),$G$3:$BQ$3,$G47:$BQ47))),"""")"),"")</f>
        <v/>
      </c>
      <c r="CN47" s="251">
        <f>IFERROR(__xludf.DUMMYFUNCTION("AVERAGE(ARRAYFORMULA(XLOOKUP(FILTER(INDIRECT(""'""&amp;CN$1&amp;""'!$C$4:$C$66""),INDIRECT(""'""&amp;CN$1&amp;""'!$D$4:$D$66"")=CN$2),$G$3:$BQ$3,$G47:$BQ47)))"),-0.33365384)</f>
        <v>-0.33365384</v>
      </c>
      <c r="CO47" s="207" t="str">
        <f>IFERROR(__xludf.DUMMYFUNCTION("IF(OR(CN47&gt;$BS47+$BT47*$BT$2,CN47&lt;$BS47-$BT47*$BT$2),AVEDEV(ARRAYFORMULA(XLOOKUP(FILTER(INDIRECT(""'""&amp;CN$1&amp;""'!$C$4:$C$66""),INDIRECT(""'""&amp;CN$1&amp;""'!$D$4:$D$66"")=CN$2),$G$3:$BQ$3,$G47:$BQ47))),"""")"),"")</f>
        <v/>
      </c>
      <c r="CP47" s="252"/>
      <c r="CQ47" s="251">
        <f>IFERROR(__xludf.DUMMYFUNCTION("AVERAGE(ARRAYFORMULA(XLOOKUP(FILTER(INDIRECT(""'""&amp;CQ$1&amp;""'!$C$4:$C$66""),INDIRECT(""'""&amp;CQ$1&amp;""'!$D$4:$D$66"")=CQ$2),$G$3:$BQ$3,$G47:$BQ47)))"),-0.17439331357142857)</f>
        <v>-0.1743933136</v>
      </c>
      <c r="CR47" s="207" t="str">
        <f>IFERROR(__xludf.DUMMYFUNCTION("IF(OR(CQ47&gt;$BS47+$BT47*$BT$2,CQ47&lt;$BS47-$BT47*$BT$2),AVEDEV(ARRAYFORMULA(XLOOKUP(FILTER(INDIRECT(""'""&amp;CQ$1&amp;""'!$C$4:$C$66""),INDIRECT(""'""&amp;CQ$1&amp;""'!$D$4:$D$66"")=CQ$2),$G$3:$BQ$3,$G47:$BQ47))),"""")"),"")</f>
        <v/>
      </c>
      <c r="CS47" s="251">
        <f>IFERROR(__xludf.DUMMYFUNCTION("AVERAGE(ARRAYFORMULA(XLOOKUP(FILTER(INDIRECT(""'""&amp;CS$1&amp;""'!$C$4:$C$66""),INDIRECT(""'""&amp;CS$1&amp;""'!$D$4:$D$66"")=CS$2),$G$3:$BQ$3,$G47:$BQ47)))"),-0.37045939333333333)</f>
        <v>-0.3704593933</v>
      </c>
      <c r="CT47" s="207" t="str">
        <f>IFERROR(__xludf.DUMMYFUNCTION("IF(OR(CS47&gt;$BS47+$BT47*$BT$2,CS47&lt;$BS47-$BT47*$BT$2),AVEDEV(ARRAYFORMULA(XLOOKUP(FILTER(INDIRECT(""'""&amp;CS$1&amp;""'!$C$4:$C$66""),INDIRECT(""'""&amp;CS$1&amp;""'!$D$4:$D$66"")=CS$2),$G$3:$BQ$3,$G47:$BQ47))),"""")"),"")</f>
        <v/>
      </c>
      <c r="CU47" s="251">
        <f>IFERROR(__xludf.DUMMYFUNCTION("AVERAGE(ARRAYFORMULA(XLOOKUP(FILTER(INDIRECT(""'""&amp;CU$1&amp;""'!$C$4:$C$66""),INDIRECT(""'""&amp;CU$1&amp;""'!$D$4:$D$66"")=CU$2),$G$3:$BQ$3,$G47:$BQ47)))"),0.5897435954545455)</f>
        <v>0.5897435955</v>
      </c>
      <c r="CV47" s="207" t="str">
        <f>IFERROR(__xludf.DUMMYFUNCTION("IF(OR(CU47&gt;$BS47+$BT47*$BT$2,CU47&lt;$BS47-$BT47*$BT$2),AVEDEV(ARRAYFORMULA(XLOOKUP(FILTER(INDIRECT(""'""&amp;CU$1&amp;""'!$C$4:$C$66""),INDIRECT(""'""&amp;CU$1&amp;""'!$D$4:$D$66"")=CU$2),$G$3:$BQ$3,$G47:$BQ47))),"""")"),"")</f>
        <v/>
      </c>
      <c r="CW47" s="251">
        <f>IFERROR(__xludf.DUMMYFUNCTION("AVERAGE(ARRAYFORMULA(XLOOKUP(FILTER(INDIRECT(""'""&amp;CW$1&amp;""'!$C$4:$C$66""),INDIRECT(""'""&amp;CW$1&amp;""'!$D$4:$D$66"")=CW$2),$G$3:$BQ$3,$G47:$BQ47)))"),0.48838141)</f>
        <v>0.48838141</v>
      </c>
      <c r="CX47" s="207" t="str">
        <f>IFERROR(__xludf.DUMMYFUNCTION("IF(OR(CW47&gt;$BS47+$BT47*$BT$2,CW47&lt;$BS47-$BT47*$BT$2),AVEDEV(ARRAYFORMULA(XLOOKUP(FILTER(INDIRECT(""'""&amp;CW$1&amp;""'!$C$4:$C$66""),INDIRECT(""'""&amp;CW$1&amp;""'!$D$4:$D$66"")=CW$2),$G$3:$BQ$3,$G47:$BQ47))),"""")"),"")</f>
        <v/>
      </c>
      <c r="CY47" s="251">
        <f>IFERROR(__xludf.DUMMYFUNCTION("AVERAGE(ARRAYFORMULA(XLOOKUP(FILTER(INDIRECT(""'""&amp;CY$1&amp;""'!$C$4:$C$66""),INDIRECT(""'""&amp;CY$1&amp;""'!$D$4:$D$66"")=CY$2),$G$3:$BQ$3,$G47:$BQ47)))"),-0.01556776000000001)</f>
        <v>-0.01556776</v>
      </c>
      <c r="CZ47" s="207" t="str">
        <f>IFERROR(__xludf.DUMMYFUNCTION("IF(OR(CY47&gt;$BS47+$BT47*$BT$2,CY47&lt;$BS47-$BT47*$BT$2),AVEDEV(ARRAYFORMULA(XLOOKUP(FILTER(INDIRECT(""'""&amp;CY$1&amp;""'!$C$4:$C$66""),INDIRECT(""'""&amp;CY$1&amp;""'!$D$4:$D$66"")=CY$2),$G$3:$BQ$3,$G47:$BQ47))),"""")"),"")</f>
        <v/>
      </c>
      <c r="DA47" s="252"/>
      <c r="DB47" s="251">
        <f>IFERROR(__xludf.DUMMYFUNCTION("AVERAGE(ARRAYFORMULA(XLOOKUP(FILTER(INDIRECT(""'""&amp;DB$1&amp;""'!$C$4:$C$66""),INDIRECT(""'""&amp;DB$1&amp;""'!$D$4:$D$66"")=DB$2),$G$3:$BQ$3,$G47:$BQ47)))"),0.25050747866666667)</f>
        <v>0.2505074787</v>
      </c>
      <c r="DC47" s="207" t="str">
        <f>IFERROR(__xludf.DUMMYFUNCTION("IF(OR(DB47&gt;$BS47+$BT47*$BT$2,DB47&lt;$BS47-$BT47*$BT$2),AVEDEV(ARRAYFORMULA(XLOOKUP(FILTER(INDIRECT(""'""&amp;DB$1&amp;""'!$C$4:$C$66""),INDIRECT(""'""&amp;DB$1&amp;""'!$D$4:$D$66"")=DB$2),$G$3:$BQ$3,$G47:$BQ47))),"""")"),"")</f>
        <v/>
      </c>
      <c r="DD47" s="251">
        <f>IFERROR(__xludf.DUMMYFUNCTION("AVERAGE(ARRAYFORMULA(XLOOKUP(FILTER(INDIRECT(""'""&amp;DD$1&amp;""'!$C$4:$C$66""),INDIRECT(""'""&amp;DD$1&amp;""'!$D$4:$D$66"")=DD$2),$G$3:$BQ$3,$G47:$BQ47)))"),-0.1334579688888889)</f>
        <v>-0.1334579689</v>
      </c>
      <c r="DE47" s="207" t="str">
        <f>IFERROR(__xludf.DUMMYFUNCTION("IF(OR(DD47&gt;$BS47+$BT47*$BT$2,DD47&lt;$BS47-$BT47*$BT$2),AVEDEV(ARRAYFORMULA(XLOOKUP(FILTER(INDIRECT(""'""&amp;DD$1&amp;""'!$C$4:$C$66""),INDIRECT(""'""&amp;DD$1&amp;""'!$D$4:$D$66"")=DD$2),$G$3:$BQ$3,$G47:$BQ47))),"""")"),"")</f>
        <v/>
      </c>
      <c r="DF47" s="251">
        <f>IFERROR(__xludf.DUMMYFUNCTION("AVERAGE(ARRAYFORMULA(XLOOKUP(FILTER(INDIRECT(""'""&amp;DF$1&amp;""'!$C$4:$C$66""),INDIRECT(""'""&amp;DF$1&amp;""'!$D$4:$D$66"")=DF$2),$G$3:$BQ$3,$G47:$BQ47)))"),0.7734375075)</f>
        <v>0.7734375075</v>
      </c>
      <c r="DG47" s="207" t="str">
        <f>IFERROR(__xludf.DUMMYFUNCTION("IF(OR(DF47&gt;$BS47+$BT47*$BT$2,DF47&lt;$BS47-$BT47*$BT$2),AVEDEV(ARRAYFORMULA(XLOOKUP(FILTER(INDIRECT(""'""&amp;DF$1&amp;""'!$C$4:$C$66""),INDIRECT(""'""&amp;DF$1&amp;""'!$D$4:$D$66"")=DF$2),$G$3:$BQ$3,$G47:$BQ47))),"""")"),"")</f>
        <v/>
      </c>
      <c r="DH47" s="251">
        <f>IFERROR(__xludf.DUMMYFUNCTION("AVERAGE(ARRAYFORMULA(XLOOKUP(FILTER(INDIRECT(""'""&amp;DH$1&amp;""'!$C$4:$C$66""),INDIRECT(""'""&amp;DH$1&amp;""'!$D$4:$D$66"")=DH$2),$G$3:$BQ$3,$G47:$BQ47)))"),-0.0463853277777778)</f>
        <v>-0.04638532778</v>
      </c>
      <c r="DI47" s="207" t="str">
        <f>IFERROR(__xludf.DUMMYFUNCTION("IF(OR(DH47&gt;$BS47+$BT47*$BT$2,DH47&lt;$BS47-$BT47*$BT$2),AVEDEV(ARRAYFORMULA(XLOOKUP(FILTER(INDIRECT(""'""&amp;DH$1&amp;""'!$C$4:$C$66""),INDIRECT(""'""&amp;DH$1&amp;""'!$D$4:$D$66"")=DH$2),$G$3:$BQ$3,$G47:$BQ47))),"""")"),"")</f>
        <v/>
      </c>
      <c r="DJ47" s="243"/>
    </row>
    <row r="48">
      <c r="A48" s="2"/>
      <c r="B48" s="204">
        <v>44.0</v>
      </c>
      <c r="C48" s="204" t="s">
        <v>482</v>
      </c>
      <c r="D48" s="204" t="s">
        <v>488</v>
      </c>
      <c r="E48" s="205" t="b">
        <f>VLOOKUP(D48,'Feature Set List'!A45:C246,2,0)</f>
        <v>1</v>
      </c>
      <c r="F48" s="205" t="b">
        <f>VLOOKUP(D48,'Feature Set List'!A45:C246,3,0)</f>
        <v>1</v>
      </c>
      <c r="G48" s="205">
        <v>0.86307448</v>
      </c>
      <c r="H48" s="205">
        <v>0.28240887</v>
      </c>
      <c r="I48" s="205">
        <v>-0.9318542</v>
      </c>
      <c r="J48" s="205">
        <v>-0.7350238</v>
      </c>
      <c r="K48" s="205">
        <v>-0.399683</v>
      </c>
      <c r="L48" s="205">
        <v>0.75530903</v>
      </c>
      <c r="M48" s="205">
        <v>0.55467512</v>
      </c>
      <c r="N48" s="205">
        <v>-0.1613312</v>
      </c>
      <c r="O48" s="205">
        <v>-0.0383518</v>
      </c>
      <c r="P48" s="205">
        <v>-0.6399366</v>
      </c>
      <c r="Q48" s="205">
        <v>0.6503962</v>
      </c>
      <c r="R48" s="205">
        <v>0.45388273</v>
      </c>
      <c r="S48" s="205">
        <v>0.06339144</v>
      </c>
      <c r="T48" s="205">
        <v>0.10998415</v>
      </c>
      <c r="U48" s="205">
        <v>0.68684628</v>
      </c>
      <c r="V48" s="205">
        <v>0.59175911</v>
      </c>
      <c r="W48" s="205">
        <v>0.0</v>
      </c>
      <c r="X48" s="205">
        <v>-0.3645008</v>
      </c>
      <c r="Y48" s="205">
        <v>0.8703645</v>
      </c>
      <c r="Z48" s="205">
        <v>-1.1515055</v>
      </c>
      <c r="AA48" s="205">
        <v>-0.6992076</v>
      </c>
      <c r="AB48" s="205">
        <v>-0.451981</v>
      </c>
      <c r="AC48" s="205">
        <v>-1.3011094</v>
      </c>
      <c r="AD48" s="205">
        <v>-0.3007924</v>
      </c>
      <c r="AE48" s="205">
        <v>-0.5524564</v>
      </c>
      <c r="AF48" s="205">
        <v>0.25103011</v>
      </c>
      <c r="AG48" s="205">
        <v>-0.6098257</v>
      </c>
      <c r="AH48" s="205">
        <v>-0.9438986</v>
      </c>
      <c r="AI48" s="205">
        <v>-0.4779715</v>
      </c>
      <c r="AJ48" s="205">
        <v>-0.5546751</v>
      </c>
      <c r="AK48" s="205">
        <v>0.30839937</v>
      </c>
      <c r="AL48" s="205">
        <v>-0.1797147</v>
      </c>
      <c r="AM48" s="205">
        <v>-0.4234548</v>
      </c>
      <c r="AN48" s="205">
        <v>-1.2231379</v>
      </c>
      <c r="AO48" s="205">
        <v>0.35721078</v>
      </c>
      <c r="AP48" s="205">
        <v>0.76259905</v>
      </c>
      <c r="AQ48" s="205">
        <v>0.19429477</v>
      </c>
      <c r="AR48" s="205">
        <v>0.67638669</v>
      </c>
      <c r="AS48" s="205">
        <v>0.22377179</v>
      </c>
      <c r="AT48" s="205">
        <v>-0.592393</v>
      </c>
      <c r="AU48" s="205">
        <v>-0.4700475</v>
      </c>
      <c r="AV48" s="205">
        <v>0.42282092</v>
      </c>
      <c r="AW48" s="205">
        <v>0.18351823</v>
      </c>
      <c r="AX48" s="205">
        <v>0.16513471</v>
      </c>
      <c r="AY48" s="205">
        <v>-2.1000951</v>
      </c>
      <c r="AZ48" s="205">
        <v>0.04310618</v>
      </c>
      <c r="BA48" s="205">
        <v>-0.3362916</v>
      </c>
      <c r="BB48" s="205">
        <v>-0.4323296</v>
      </c>
      <c r="BC48" s="205">
        <v>-0.8858954</v>
      </c>
      <c r="BD48" s="205">
        <v>0.43898574</v>
      </c>
      <c r="BE48" s="205">
        <v>-1.9518225</v>
      </c>
      <c r="BF48" s="205">
        <v>0.60412044</v>
      </c>
      <c r="BG48" s="205">
        <v>0.5163233</v>
      </c>
      <c r="BH48" s="205">
        <v>-0.3194929</v>
      </c>
      <c r="BI48" s="205">
        <v>0.80792393</v>
      </c>
      <c r="BJ48" s="205">
        <v>-0.844374</v>
      </c>
      <c r="BK48" s="205">
        <v>0.43391442</v>
      </c>
      <c r="BL48" s="205">
        <v>-0.5721078</v>
      </c>
      <c r="BM48" s="205">
        <v>0.78066561</v>
      </c>
      <c r="BN48" s="205">
        <v>0.56038035</v>
      </c>
      <c r="BO48" s="205">
        <v>0.21489699</v>
      </c>
      <c r="BP48" s="205">
        <v>0.82916006</v>
      </c>
      <c r="BQ48" s="205">
        <v>-0.1004754</v>
      </c>
      <c r="BR48" s="206"/>
      <c r="BS48" s="250">
        <f t="shared" si="1"/>
        <v>-0.09665081667</v>
      </c>
      <c r="BT48" s="250">
        <f t="shared" si="2"/>
        <v>0.5653289048</v>
      </c>
      <c r="BU48" s="206"/>
      <c r="BV48" s="207">
        <f>IFERROR(__xludf.DUMMYFUNCTION("AVERAGE(ARRAYFORMULA(XLOOKUP(FILTER(INDIRECT(""'""&amp;BV$1&amp;""'!$C$4:$C$66""),INDIRECT(""'""&amp;BV$1&amp;""'!$D$4:$D$66"")=BV$2),$G$3:$BQ$3,$G48:$BQ48)))"),-0.6252569628571428)</f>
        <v>-0.6252569629</v>
      </c>
      <c r="BW48" s="207" t="str">
        <f>IFERROR(__xludf.DUMMYFUNCTION("IF(OR(BV48&gt;$BS48+$BT48*$BT$2,BV48&lt;$BS48-$BT48*$BT$2),AVEDEV(ARRAYFORMULA(XLOOKUP(FILTER(INDIRECT(""'""&amp;BV$1&amp;""'!$C$4:$C$66""),INDIRECT(""'""&amp;BV$1&amp;""'!$D$4:$D$66"")=BV$2),$G$3:$BQ$3,$G48:$BQ48))),"""")"),"")</f>
        <v/>
      </c>
      <c r="BX48" s="207">
        <f>IFERROR(__xludf.DUMMYFUNCTION("AVERAGE(ARRAYFORMULA(XLOOKUP(FILTER(INDIRECT(""'""&amp;BX$1&amp;""'!$C$4:$C$66""),INDIRECT(""'""&amp;BX$1&amp;""'!$D$4:$D$66"")=BX$2),$G$3:$BQ$3,$G48:$BQ48)))"),-0.0952682792857143)</f>
        <v>-0.09526827929</v>
      </c>
      <c r="BY48" s="207" t="str">
        <f>IFERROR(__xludf.DUMMYFUNCTION("IF(OR(BX48&gt;$BS48+$BT48*$BT$2,BX48&lt;$BS48-$BT48*$BT$2),AVEDEV(ARRAYFORMULA(XLOOKUP(FILTER(INDIRECT(""'""&amp;BX$1&amp;""'!$C$4:$C$66""),INDIRECT(""'""&amp;BX$1&amp;""'!$D$4:$D$66"")=BX$2),$G$3:$BQ$3,$G48:$BQ48))),"""")"),"")</f>
        <v/>
      </c>
      <c r="BZ48" s="207">
        <f>IFERROR(__xludf.DUMMYFUNCTION("AVERAGE(ARRAYFORMULA(XLOOKUP(FILTER(INDIRECT(""'""&amp;BZ$1&amp;""'!$C$4:$C$66""),INDIRECT(""'""&amp;BZ$1&amp;""'!$D$4:$D$66"")=BZ$2),$G$3:$BQ$3,$G48:$BQ48)))"),0.2956346345454545)</f>
        <v>0.2956346345</v>
      </c>
      <c r="CA48" s="207" t="str">
        <f>IFERROR(__xludf.DUMMYFUNCTION("IF(OR(BZ48&gt;$BS48+$BT48*$BT$2,BZ48&lt;$BS48-$BT48*$BT$2),AVEDEV(ARRAYFORMULA(XLOOKUP(FILTER(INDIRECT(""'""&amp;BZ$1&amp;""'!$C$4:$C$66""),INDIRECT(""'""&amp;BZ$1&amp;""'!$D$4:$D$66"")=BZ$2),$G$3:$BQ$3,$G48:$BQ48))),"""")"),"")</f>
        <v/>
      </c>
      <c r="CB48" s="209"/>
      <c r="CC48" s="207">
        <f>IFERROR(__xludf.DUMMYFUNCTION("AVERAGE(ARRAYFORMULA(XLOOKUP(FILTER(INDIRECT(""'""&amp;CC$1&amp;""'!$C$4:$C$66""),INDIRECT(""'""&amp;CC$1&amp;""'!$D$4:$D$66"")=CC$2),$G$3:$BQ$3,$G48:$BQ48)))"),-0.021691755)</f>
        <v>-0.021691755</v>
      </c>
      <c r="CD48" s="207" t="str">
        <f>IFERROR(__xludf.DUMMYFUNCTION("IF(OR(CC48&gt;$BS48+$BT48*$BT$2,CC48&lt;$BS48-$BT48*$BT$2),AVEDEV(ARRAYFORMULA(XLOOKUP(FILTER(INDIRECT(""'""&amp;CC$1&amp;""'!$C$4:$C$66""),INDIRECT(""'""&amp;CC$1&amp;""'!$D$4:$D$66"")=CC$2),$G$3:$BQ$3,$G48:$BQ48))),"""")"),"")</f>
        <v/>
      </c>
      <c r="CE48" s="207">
        <f>IFERROR(__xludf.DUMMYFUNCTION("AVERAGE(ARRAYFORMULA(XLOOKUP(FILTER(INDIRECT(""'""&amp;CE$1&amp;""'!$C$4:$C$66""),INDIRECT(""'""&amp;CE$1&amp;""'!$D$4:$D$66"")=CE$2),$G$3:$BQ$3,$G48:$BQ48)))"),-0.2185041648387097)</f>
        <v>-0.2185041648</v>
      </c>
      <c r="CF48" s="207" t="str">
        <f>IFERROR(__xludf.DUMMYFUNCTION("IF(OR(CE48&gt;$BS48+$BT48*$BT$2,CE48&lt;$BS48-$BT48*$BT$2),AVEDEV(ARRAYFORMULA(XLOOKUP(FILTER(INDIRECT(""'""&amp;CE$1&amp;""'!$C$4:$C$66""),INDIRECT(""'""&amp;CE$1&amp;""'!$D$4:$D$66"")=CE$2),$G$3:$BQ$3,$G48:$BQ48))),"""")"),"")</f>
        <v/>
      </c>
      <c r="CG48" s="207">
        <f>IFERROR(__xludf.DUMMYFUNCTION("AVERAGE(ARRAYFORMULA(XLOOKUP(FILTER(INDIRECT(""'""&amp;CG$1&amp;""'!$C$4:$C$66""),INDIRECT(""'""&amp;CG$1&amp;""'!$D$4:$D$66"")=CG$2),$G$3:$BQ$3,$G48:$BQ48)))"),-0.025229791999999973)</f>
        <v>-0.025229792</v>
      </c>
      <c r="CH48" s="207" t="str">
        <f>IFERROR(__xludf.DUMMYFUNCTION("IF(OR(CG48&gt;$BS48+$BT48*$BT$2,CG48&lt;$BS48-$BT48*$BT$2),AVEDEV(ARRAYFORMULA(XLOOKUP(FILTER(INDIRECT(""'""&amp;CG$1&amp;""'!$C$4:$C$66""),INDIRECT(""'""&amp;CG$1&amp;""'!$D$4:$D$66"")=CG$2),$G$3:$BQ$3,$G48:$BQ48))),"""")"),"")</f>
        <v/>
      </c>
      <c r="CI48" s="206"/>
      <c r="CJ48" s="251">
        <f>IFERROR(__xludf.DUMMYFUNCTION("AVERAGE(ARRAYFORMULA(XLOOKUP(FILTER(INDIRECT(""'""&amp;CJ$1&amp;""'!$C$4:$C$66""),INDIRECT(""'""&amp;CJ$1&amp;""'!$D$4:$D$66"")=CJ$2),$G$3:$BQ$3,$G48:$BQ48)))"),-0.2690121493333334)</f>
        <v>-0.2690121493</v>
      </c>
      <c r="CK48" s="207" t="str">
        <f>IFERROR(__xludf.DUMMYFUNCTION("IF(OR(CJ48&gt;$BS48+$BT48*$BT$2,CJ48&lt;$BS48-$BT48*$BT$2),AVEDEV(ARRAYFORMULA(XLOOKUP(FILTER(INDIRECT(""'""&amp;CJ$1&amp;""'!$C$4:$C$66""),INDIRECT(""'""&amp;CJ$1&amp;""'!$D$4:$D$66"")=CJ$2),$G$3:$BQ$3,$G48:$BQ48))),"""")"),"")</f>
        <v/>
      </c>
      <c r="CL48" s="251">
        <f>IFERROR(__xludf.DUMMYFUNCTION("AVERAGE(ARRAYFORMULA(XLOOKUP(FILTER(INDIRECT(""'""&amp;CL$1&amp;""'!$C$4:$C$66""),INDIRECT(""'""&amp;CL$1&amp;""'!$D$4:$D$66"")=CL$2),$G$3:$BQ$3,$G48:$BQ48)))"),-0.01006785871794874)</f>
        <v>-0.01006785872</v>
      </c>
      <c r="CM48" s="207" t="str">
        <f>IFERROR(__xludf.DUMMYFUNCTION("IF(OR(CL48&gt;$BS48+$BT48*$BT$2,CL48&lt;$BS48-$BT48*$BT$2),AVEDEV(ARRAYFORMULA(XLOOKUP(FILTER(INDIRECT(""'""&amp;CL$1&amp;""'!$C$4:$C$66""),INDIRECT(""'""&amp;CL$1&amp;""'!$D$4:$D$66"")=CL$2),$G$3:$BQ$3,$G48:$BQ48))),"""")"),"")</f>
        <v/>
      </c>
      <c r="CN48" s="251">
        <f>IFERROR(__xludf.DUMMYFUNCTION("AVERAGE(ARRAYFORMULA(XLOOKUP(FILTER(INDIRECT(""'""&amp;CN$1&amp;""'!$C$4:$C$66""),INDIRECT(""'""&amp;CN$1&amp;""'!$D$4:$D$66"")=CN$2),$G$3:$BQ$3,$G48:$BQ48)))"),-0.025229791999999973)</f>
        <v>-0.025229792</v>
      </c>
      <c r="CO48" s="207" t="str">
        <f>IFERROR(__xludf.DUMMYFUNCTION("IF(OR(CN48&gt;$BS48+$BT48*$BT$2,CN48&lt;$BS48-$BT48*$BT$2),AVEDEV(ARRAYFORMULA(XLOOKUP(FILTER(INDIRECT(""'""&amp;CN$1&amp;""'!$C$4:$C$66""),INDIRECT(""'""&amp;CN$1&amp;""'!$D$4:$D$66"")=CN$2),$G$3:$BQ$3,$G48:$BQ48))),"""")"),"")</f>
        <v/>
      </c>
      <c r="CP48" s="252"/>
      <c r="CQ48" s="251">
        <f>IFERROR(__xludf.DUMMYFUNCTION("AVERAGE(ARRAYFORMULA(XLOOKUP(FILTER(INDIRECT(""'""&amp;CQ$1&amp;""'!$C$4:$C$66""),INDIRECT(""'""&amp;CQ$1&amp;""'!$D$4:$D$66"")=CQ$2),$G$3:$BQ$3,$G48:$BQ48)))"),0.046049354285714286)</f>
        <v>0.04604935429</v>
      </c>
      <c r="CR48" s="207" t="str">
        <f>IFERROR(__xludf.DUMMYFUNCTION("IF(OR(CQ48&gt;$BS48+$BT48*$BT$2,CQ48&lt;$BS48-$BT48*$BT$2),AVEDEV(ARRAYFORMULA(XLOOKUP(FILTER(INDIRECT(""'""&amp;CQ$1&amp;""'!$C$4:$C$66""),INDIRECT(""'""&amp;CQ$1&amp;""'!$D$4:$D$66"")=CQ$2),$G$3:$BQ$3,$G48:$BQ48))),"""")"),"")</f>
        <v/>
      </c>
      <c r="CS48" s="251">
        <f>IFERROR(__xludf.DUMMYFUNCTION("AVERAGE(ARRAYFORMULA(XLOOKUP(FILTER(INDIRECT(""'""&amp;CS$1&amp;""'!$C$4:$C$66""),INDIRECT(""'""&amp;CS$1&amp;""'!$D$4:$D$66"")=CS$2),$G$3:$BQ$3,$G48:$BQ48)))"),0.2698010211111111)</f>
        <v>0.2698010211</v>
      </c>
      <c r="CT48" s="207" t="str">
        <f>IFERROR(__xludf.DUMMYFUNCTION("IF(OR(CS48&gt;$BS48+$BT48*$BT$2,CS48&lt;$BS48-$BT48*$BT$2),AVEDEV(ARRAYFORMULA(XLOOKUP(FILTER(INDIRECT(""'""&amp;CS$1&amp;""'!$C$4:$C$66""),INDIRECT(""'""&amp;CS$1&amp;""'!$D$4:$D$66"")=CS$2),$G$3:$BQ$3,$G48:$BQ48))),"""")"),"")</f>
        <v/>
      </c>
      <c r="CU48" s="251">
        <f>IFERROR(__xludf.DUMMYFUNCTION("AVERAGE(ARRAYFORMULA(XLOOKUP(FILTER(INDIRECT(""'""&amp;CU$1&amp;""'!$C$4:$C$66""),INDIRECT(""'""&amp;CU$1&amp;""'!$D$4:$D$66"")=CU$2),$G$3:$BQ$3,$G48:$BQ48)))"),-0.28650050636363633)</f>
        <v>-0.2865005064</v>
      </c>
      <c r="CV48" s="207" t="str">
        <f>IFERROR(__xludf.DUMMYFUNCTION("IF(OR(CU48&gt;$BS48+$BT48*$BT$2,CU48&lt;$BS48-$BT48*$BT$2),AVEDEV(ARRAYFORMULA(XLOOKUP(FILTER(INDIRECT(""'""&amp;CU$1&amp;""'!$C$4:$C$66""),INDIRECT(""'""&amp;CU$1&amp;""'!$D$4:$D$66"")=CU$2),$G$3:$BQ$3,$G48:$BQ48))),"""")"),"")</f>
        <v/>
      </c>
      <c r="CW48" s="251">
        <f>IFERROR(__xludf.DUMMYFUNCTION("AVERAGE(ARRAYFORMULA(XLOOKUP(FILTER(INDIRECT(""'""&amp;CW$1&amp;""'!$C$4:$C$66""),INDIRECT(""'""&amp;CW$1&amp;""'!$D$4:$D$66"")=CW$2),$G$3:$BQ$3,$G48:$BQ48)))"),-0.31014265)</f>
        <v>-0.31014265</v>
      </c>
      <c r="CX48" s="207" t="str">
        <f>IFERROR(__xludf.DUMMYFUNCTION("IF(OR(CW48&gt;$BS48+$BT48*$BT$2,CW48&lt;$BS48-$BT48*$BT$2),AVEDEV(ARRAYFORMULA(XLOOKUP(FILTER(INDIRECT(""'""&amp;CW$1&amp;""'!$C$4:$C$66""),INDIRECT(""'""&amp;CW$1&amp;""'!$D$4:$D$66"")=CW$2),$G$3:$BQ$3,$G48:$BQ48))),"""")"),"")</f>
        <v/>
      </c>
      <c r="CY48" s="251">
        <f>IFERROR(__xludf.DUMMYFUNCTION("AVERAGE(ARRAYFORMULA(XLOOKUP(FILTER(INDIRECT(""'""&amp;CY$1&amp;""'!$C$4:$C$66""),INDIRECT(""'""&amp;CY$1&amp;""'!$D$4:$D$66"")=CY$2),$G$3:$BQ$3,$G48:$BQ48)))"),-0.0467964592857143)</f>
        <v>-0.04679645929</v>
      </c>
      <c r="CZ48" s="207" t="str">
        <f>IFERROR(__xludf.DUMMYFUNCTION("IF(OR(CY48&gt;$BS48+$BT48*$BT$2,CY48&lt;$BS48-$BT48*$BT$2),AVEDEV(ARRAYFORMULA(XLOOKUP(FILTER(INDIRECT(""'""&amp;CY$1&amp;""'!$C$4:$C$66""),INDIRECT(""'""&amp;CY$1&amp;""'!$D$4:$D$66"")=CY$2),$G$3:$BQ$3,$G48:$BQ48))),"""")"),"")</f>
        <v/>
      </c>
      <c r="DA48" s="252"/>
      <c r="DB48" s="251">
        <f>IFERROR(__xludf.DUMMYFUNCTION("AVERAGE(ARRAYFORMULA(XLOOKUP(FILTER(INDIRECT(""'""&amp;DB$1&amp;""'!$C$4:$C$66""),INDIRECT(""'""&amp;DB$1&amp;""'!$D$4:$D$66"")=DB$2),$G$3:$BQ$3,$G48:$BQ48)))"),-0.2282831456666667)</f>
        <v>-0.2282831457</v>
      </c>
      <c r="DC48" s="207" t="str">
        <f>IFERROR(__xludf.DUMMYFUNCTION("IF(OR(DB48&gt;$BS48+$BT48*$BT$2,DB48&lt;$BS48-$BT48*$BT$2),AVEDEV(ARRAYFORMULA(XLOOKUP(FILTER(INDIRECT(""'""&amp;DB$1&amp;""'!$C$4:$C$66""),INDIRECT(""'""&amp;DB$1&amp;""'!$D$4:$D$66"")=DB$2),$G$3:$BQ$3,$G48:$BQ48))),"""")"),"")</f>
        <v/>
      </c>
      <c r="DD48" s="251">
        <f>IFERROR(__xludf.DUMMYFUNCTION("AVERAGE(ARRAYFORMULA(XLOOKUP(FILTER(INDIRECT(""'""&amp;DD$1&amp;""'!$C$4:$C$66""),INDIRECT(""'""&amp;DD$1&amp;""'!$D$4:$D$66"")=DD$2),$G$3:$BQ$3,$G48:$BQ48)))"),0.27892234555555556)</f>
        <v>0.2789223456</v>
      </c>
      <c r="DE48" s="207" t="str">
        <f>IFERROR(__xludf.DUMMYFUNCTION("IF(OR(DD48&gt;$BS48+$BT48*$BT$2,DD48&lt;$BS48-$BT48*$BT$2),AVEDEV(ARRAYFORMULA(XLOOKUP(FILTER(INDIRECT(""'""&amp;DD$1&amp;""'!$C$4:$C$66""),INDIRECT(""'""&amp;DD$1&amp;""'!$D$4:$D$66"")=DD$2),$G$3:$BQ$3,$G48:$BQ48))),"""")"),"")</f>
        <v/>
      </c>
      <c r="DF48" s="251">
        <f>IFERROR(__xludf.DUMMYFUNCTION("AVERAGE(ARRAYFORMULA(XLOOKUP(FILTER(INDIRECT(""'""&amp;DF$1&amp;""'!$C$4:$C$66""),INDIRECT(""'""&amp;DF$1&amp;""'!$D$4:$D$66"")=DF$2),$G$3:$BQ$3,$G48:$BQ48)))"),-0.26813787125)</f>
        <v>-0.2681378713</v>
      </c>
      <c r="DG48" s="207" t="str">
        <f>IFERROR(__xludf.DUMMYFUNCTION("IF(OR(DF48&gt;$BS48+$BT48*$BT$2,DF48&lt;$BS48-$BT48*$BT$2),AVEDEV(ARRAYFORMULA(XLOOKUP(FILTER(INDIRECT(""'""&amp;DF$1&amp;""'!$C$4:$C$66""),INDIRECT(""'""&amp;DF$1&amp;""'!$D$4:$D$66"")=DF$2),$G$3:$BQ$3,$G48:$BQ48))),"""")"),"")</f>
        <v/>
      </c>
      <c r="DH48" s="251">
        <f>IFERROR(__xludf.DUMMYFUNCTION("AVERAGE(ARRAYFORMULA(XLOOKUP(FILTER(INDIRECT(""'""&amp;DH$1&amp;""'!$C$4:$C$66""),INDIRECT(""'""&amp;DH$1&amp;""'!$D$4:$D$66"")=DH$2),$G$3:$BQ$3,$G48:$BQ48)))"),0.1400246522222222)</f>
        <v>0.1400246522</v>
      </c>
      <c r="DI48" s="207" t="str">
        <f>IFERROR(__xludf.DUMMYFUNCTION("IF(OR(DH48&gt;$BS48+$BT48*$BT$2,DH48&lt;$BS48-$BT48*$BT$2),AVEDEV(ARRAYFORMULA(XLOOKUP(FILTER(INDIRECT(""'""&amp;DH$1&amp;""'!$C$4:$C$66""),INDIRECT(""'""&amp;DH$1&amp;""'!$D$4:$D$66"")=DH$2),$G$3:$BQ$3,$G48:$BQ48))),"""")"),"")</f>
        <v/>
      </c>
      <c r="DJ48" s="243"/>
    </row>
    <row r="49">
      <c r="A49" s="2"/>
      <c r="B49" s="204">
        <v>45.0</v>
      </c>
      <c r="C49" s="204" t="s">
        <v>482</v>
      </c>
      <c r="D49" s="204" t="s">
        <v>489</v>
      </c>
      <c r="E49" s="205" t="b">
        <f>VLOOKUP(D49,'Feature Set List'!A46:C246,2,0)</f>
        <v>1</v>
      </c>
      <c r="F49" s="205" t="b">
        <f>VLOOKUP(D49,'Feature Set List'!A46:C246,3,0)</f>
        <v>1</v>
      </c>
      <c r="G49" s="205">
        <v>-0.2794872</v>
      </c>
      <c r="H49" s="205">
        <v>-0.2846154</v>
      </c>
      <c r="I49" s="205">
        <v>0.51880342</v>
      </c>
      <c r="J49" s="205">
        <v>0.72649573</v>
      </c>
      <c r="K49" s="205">
        <v>-2.4025641</v>
      </c>
      <c r="L49" s="205">
        <v>-0.1957265</v>
      </c>
      <c r="M49" s="205">
        <v>0.4008547</v>
      </c>
      <c r="N49" s="205">
        <v>-0.1786325</v>
      </c>
      <c r="O49" s="205">
        <v>0.67948718</v>
      </c>
      <c r="P49" s="205">
        <v>-0.0760684</v>
      </c>
      <c r="Q49" s="205">
        <v>-0.7247863</v>
      </c>
      <c r="R49" s="205">
        <v>0.0</v>
      </c>
      <c r="S49" s="205">
        <v>0.33076923</v>
      </c>
      <c r="T49" s="205">
        <v>-0.3333333</v>
      </c>
      <c r="U49" s="205">
        <v>-0.7991453</v>
      </c>
      <c r="V49" s="205">
        <v>-0.6974359</v>
      </c>
      <c r="W49" s="205">
        <v>0.31111111</v>
      </c>
      <c r="X49" s="205">
        <v>2.03589744</v>
      </c>
      <c r="Y49" s="205">
        <v>0.14273504</v>
      </c>
      <c r="Z49" s="205">
        <v>0.63760684</v>
      </c>
      <c r="AA49" s="205">
        <v>0.92905983</v>
      </c>
      <c r="AB49" s="205">
        <v>1.87948718</v>
      </c>
      <c r="AC49" s="205">
        <v>0.99316239</v>
      </c>
      <c r="AD49" s="205">
        <v>-0.9555556</v>
      </c>
      <c r="AE49" s="205">
        <v>-0.365812</v>
      </c>
      <c r="AF49" s="205">
        <v>-0.6179487</v>
      </c>
      <c r="AG49" s="205">
        <v>1.36239316</v>
      </c>
      <c r="AH49" s="205">
        <v>1.00683761</v>
      </c>
      <c r="AI49" s="205">
        <v>-0.1068376</v>
      </c>
      <c r="AJ49" s="205">
        <v>2.17863248</v>
      </c>
      <c r="AK49" s="205">
        <v>-0.3205128</v>
      </c>
      <c r="AL49" s="205">
        <v>0.05897436</v>
      </c>
      <c r="AM49" s="205">
        <v>-1.3307692</v>
      </c>
      <c r="AN49" s="205">
        <v>0.66324786</v>
      </c>
      <c r="AO49" s="205">
        <v>-0.7076923</v>
      </c>
      <c r="AP49" s="205">
        <v>-0.0495726</v>
      </c>
      <c r="AQ49" s="205">
        <v>0.27264957</v>
      </c>
      <c r="AR49" s="205">
        <v>-0.4717949</v>
      </c>
      <c r="AS49" s="205">
        <v>-0.1786325</v>
      </c>
      <c r="AT49" s="205">
        <v>0.1008547</v>
      </c>
      <c r="AU49" s="205">
        <v>-1.5153846</v>
      </c>
      <c r="AV49" s="205">
        <v>1.87606838</v>
      </c>
      <c r="AW49" s="205">
        <v>-1.3111111</v>
      </c>
      <c r="AX49" s="205">
        <v>-0.9529915</v>
      </c>
      <c r="AY49" s="205">
        <v>2.4025641</v>
      </c>
      <c r="AZ49" s="205">
        <v>0.37606838</v>
      </c>
      <c r="BA49" s="205">
        <v>0.76495726</v>
      </c>
      <c r="BB49" s="205">
        <v>0.36752137</v>
      </c>
      <c r="BC49" s="205">
        <v>0.00512821</v>
      </c>
      <c r="BD49" s="205">
        <v>-0.6452991</v>
      </c>
      <c r="BE49" s="205">
        <v>2.15555556</v>
      </c>
      <c r="BF49" s="205">
        <v>-0.2623932</v>
      </c>
      <c r="BG49" s="205">
        <v>-0.0128205</v>
      </c>
      <c r="BH49" s="205">
        <v>-1.0290598</v>
      </c>
      <c r="BI49" s="205">
        <v>-0.8854701</v>
      </c>
      <c r="BJ49" s="205">
        <v>-0.2803419</v>
      </c>
      <c r="BK49" s="205">
        <v>0.03418803</v>
      </c>
      <c r="BL49" s="205">
        <v>0.38205128</v>
      </c>
      <c r="BM49" s="205">
        <v>0.96666667</v>
      </c>
      <c r="BN49" s="205">
        <v>-0.2923077</v>
      </c>
      <c r="BO49" s="205">
        <v>0.88632479</v>
      </c>
      <c r="BP49" s="205">
        <v>-0.2564103</v>
      </c>
      <c r="BQ49" s="205">
        <v>0.12222222</v>
      </c>
      <c r="BR49" s="206"/>
      <c r="BS49" s="250">
        <f t="shared" si="1"/>
        <v>0.1118708441</v>
      </c>
      <c r="BT49" s="250">
        <f t="shared" si="2"/>
        <v>0.7094831107</v>
      </c>
      <c r="BU49" s="206"/>
      <c r="BV49" s="207">
        <f>IFERROR(__xludf.DUMMYFUNCTION("AVERAGE(ARRAYFORMULA(XLOOKUP(FILTER(INDIRECT(""'""&amp;BV$1&amp;""'!$C$4:$C$66""),INDIRECT(""'""&amp;BV$1&amp;""'!$D$4:$D$66"")=BV$2),$G$3:$BQ$3,$G49:$BQ49)))"),0.8338217357142857)</f>
        <v>0.8338217357</v>
      </c>
      <c r="BW49" s="207">
        <f>IFERROR(__xludf.DUMMYFUNCTION("IF(OR(BV49&gt;$BS49+$BT49*$BT$2,BV49&lt;$BS49-$BT49*$BT$2),AVEDEV(ARRAYFORMULA(XLOOKUP(FILTER(INDIRECT(""'""&amp;BV$1&amp;""'!$C$4:$C$66""),INDIRECT(""'""&amp;BV$1&amp;""'!$D$4:$D$66"")=BV$2),$G$3:$BQ$3,$G49:$BQ49))),"""")"),1.1693005408163266)</f>
        <v>1.169300541</v>
      </c>
      <c r="BX49" s="207">
        <f>IFERROR(__xludf.DUMMYFUNCTION("AVERAGE(ARRAYFORMULA(XLOOKUP(FILTER(INDIRECT(""'""&amp;BX$1&amp;""'!$C$4:$C$66""),INDIRECT(""'""&amp;BX$1&amp;""'!$D$4:$D$66"")=BX$2),$G$3:$BQ$3,$G49:$BQ49)))"),0.03317052976190477)</f>
        <v>0.03317052976</v>
      </c>
      <c r="BY49" s="207" t="str">
        <f>IFERROR(__xludf.DUMMYFUNCTION("IF(OR(BX49&gt;$BS49+$BT49*$BT$2,BX49&lt;$BS49-$BT49*$BT$2),AVEDEV(ARRAYFORMULA(XLOOKUP(FILTER(INDIRECT(""'""&amp;BX$1&amp;""'!$C$4:$C$66""),INDIRECT(""'""&amp;BX$1&amp;""'!$D$4:$D$66"")=BX$2),$G$3:$BQ$3,$G49:$BQ49))),"""")"),"")</f>
        <v/>
      </c>
      <c r="BZ49" s="207">
        <f>IFERROR(__xludf.DUMMYFUNCTION("AVERAGE(ARRAYFORMULA(XLOOKUP(FILTER(INDIRECT(""'""&amp;BZ$1&amp;""'!$C$4:$C$66""),INDIRECT(""'""&amp;BZ$1&amp;""'!$D$4:$D$66"")=BZ$2),$G$3:$BQ$3,$G49:$BQ49)))"),0.13271173272727274)</f>
        <v>0.1327117327</v>
      </c>
      <c r="CA49" s="207" t="str">
        <f>IFERROR(__xludf.DUMMYFUNCTION("IF(OR(BZ49&gt;$BS49+$BT49*$BT$2,BZ49&lt;$BS49-$BT49*$BT$2),AVEDEV(ARRAYFORMULA(XLOOKUP(FILTER(INDIRECT(""'""&amp;BZ$1&amp;""'!$C$4:$C$66""),INDIRECT(""'""&amp;BZ$1&amp;""'!$D$4:$D$66"")=BZ$2),$G$3:$BQ$3,$G49:$BQ49))),"""")"),"")</f>
        <v/>
      </c>
      <c r="CB49" s="209"/>
      <c r="CC49" s="207">
        <f>IFERROR(__xludf.DUMMYFUNCTION("AVERAGE(ARRAYFORMULA(XLOOKUP(FILTER(INDIRECT(""'""&amp;CC$1&amp;""'!$C$4:$C$66""),INDIRECT(""'""&amp;CC$1&amp;""'!$D$4:$D$66"")=CC$2),$G$3:$BQ$3,$G49:$BQ49)))"),-0.24679487312500004)</f>
        <v>-0.2467948731</v>
      </c>
      <c r="CD49" s="207" t="str">
        <f>IFERROR(__xludf.DUMMYFUNCTION("IF(OR(CC49&gt;$BS49+$BT49*$BT$2,CC49&lt;$BS49-$BT49*$BT$2),AVEDEV(ARRAYFORMULA(XLOOKUP(FILTER(INDIRECT(""'""&amp;CC$1&amp;""'!$C$4:$C$66""),INDIRECT(""'""&amp;CC$1&amp;""'!$D$4:$D$66"")=CC$2),$G$3:$BQ$3,$G49:$BQ49))),"""")"),"")</f>
        <v/>
      </c>
      <c r="CE49" s="207">
        <f>IFERROR(__xludf.DUMMYFUNCTION("AVERAGE(ARRAYFORMULA(XLOOKUP(FILTER(INDIRECT(""'""&amp;CE$1&amp;""'!$C$4:$C$66""),INDIRECT(""'""&amp;CE$1&amp;""'!$D$4:$D$66"")=CE$2),$G$3:$BQ$3,$G49:$BQ49)))"),0.34243176096774197)</f>
        <v>0.342431761</v>
      </c>
      <c r="CF49" s="207" t="str">
        <f>IFERROR(__xludf.DUMMYFUNCTION("IF(OR(CE49&gt;$BS49+$BT49*$BT$2,CE49&lt;$BS49-$BT49*$BT$2),AVEDEV(ARRAYFORMULA(XLOOKUP(FILTER(INDIRECT(""'""&amp;CE$1&amp;""'!$C$4:$C$66""),INDIRECT(""'""&amp;CE$1&amp;""'!$D$4:$D$66"")=CE$2),$G$3:$BQ$3,$G49:$BQ49))),"""")"),"")</f>
        <v/>
      </c>
      <c r="CG49" s="207">
        <f>IFERROR(__xludf.DUMMYFUNCTION("AVERAGE(ARRAYFORMULA(XLOOKUP(FILTER(INDIRECT(""'""&amp;CG$1&amp;""'!$C$4:$C$66""),INDIRECT(""'""&amp;CG$1&amp;""'!$D$4:$D$66"")=CG$2),$G$3:$BQ$3,$G49:$BQ49)))"),0.03282051199999999)</f>
        <v>0.032820512</v>
      </c>
      <c r="CH49" s="207" t="str">
        <f>IFERROR(__xludf.DUMMYFUNCTION("IF(OR(CG49&gt;$BS49+$BT49*$BT$2,CG49&lt;$BS49-$BT49*$BT$2),AVEDEV(ARRAYFORMULA(XLOOKUP(FILTER(INDIRECT(""'""&amp;CG$1&amp;""'!$C$4:$C$66""),INDIRECT(""'""&amp;CG$1&amp;""'!$D$4:$D$66"")=CG$2),$G$3:$BQ$3,$G49:$BQ49))),"""")"),"")</f>
        <v/>
      </c>
      <c r="CI49" s="206"/>
      <c r="CJ49" s="251">
        <f>IFERROR(__xludf.DUMMYFUNCTION("AVERAGE(ARRAYFORMULA(XLOOKUP(FILTER(INDIRECT(""'""&amp;CJ$1&amp;""'!$C$4:$C$66""),INDIRECT(""'""&amp;CJ$1&amp;""'!$D$4:$D$66"")=CJ$2),$G$3:$BQ$3,$G49:$BQ49)))"),0.6560683719999999)</f>
        <v>0.656068372</v>
      </c>
      <c r="CK49" s="207" t="str">
        <f>IFERROR(__xludf.DUMMYFUNCTION("IF(OR(CJ49&gt;$BS49+$BT49*$BT$2,CJ49&lt;$BS49-$BT49*$BT$2),AVEDEV(ARRAYFORMULA(XLOOKUP(FILTER(INDIRECT(""'""&amp;CJ$1&amp;""'!$C$4:$C$66""),INDIRECT(""'""&amp;CJ$1&amp;""'!$D$4:$D$66"")=CJ$2),$G$3:$BQ$3,$G49:$BQ49))),"""")"),"")</f>
        <v/>
      </c>
      <c r="CL49" s="251">
        <f>IFERROR(__xludf.DUMMYFUNCTION("AVERAGE(ARRAYFORMULA(XLOOKUP(FILTER(INDIRECT(""'""&amp;CL$1&amp;""'!$C$4:$C$66""),INDIRECT(""'""&amp;CL$1&amp;""'!$D$4:$D$66"")=CL$2),$G$3:$BQ$3,$G49:$BQ49)))"),-0.04352399897435895)</f>
        <v>-0.04352399897</v>
      </c>
      <c r="CM49" s="207" t="str">
        <f>IFERROR(__xludf.DUMMYFUNCTION("IF(OR(CL49&gt;$BS49+$BT49*$BT$2,CL49&lt;$BS49-$BT49*$BT$2),AVEDEV(ARRAYFORMULA(XLOOKUP(FILTER(INDIRECT(""'""&amp;CL$1&amp;""'!$C$4:$C$66""),INDIRECT(""'""&amp;CL$1&amp;""'!$D$4:$D$66"")=CL$2),$G$3:$BQ$3,$G49:$BQ49))),"""")"),"")</f>
        <v/>
      </c>
      <c r="CN49" s="251">
        <f>IFERROR(__xludf.DUMMYFUNCTION("AVERAGE(ARRAYFORMULA(XLOOKUP(FILTER(INDIRECT(""'""&amp;CN$1&amp;""'!$C$4:$C$66""),INDIRECT(""'""&amp;CN$1&amp;""'!$D$4:$D$66"")=CN$2),$G$3:$BQ$3,$G49:$BQ49)))"),0.03282051199999999)</f>
        <v>0.032820512</v>
      </c>
      <c r="CO49" s="207" t="str">
        <f>IFERROR(__xludf.DUMMYFUNCTION("IF(OR(CN49&gt;$BS49+$BT49*$BT$2,CN49&lt;$BS49-$BT49*$BT$2),AVEDEV(ARRAYFORMULA(XLOOKUP(FILTER(INDIRECT(""'""&amp;CN$1&amp;""'!$C$4:$C$66""),INDIRECT(""'""&amp;CN$1&amp;""'!$D$4:$D$66"")=CN$2),$G$3:$BQ$3,$G49:$BQ49))),"""")"),"")</f>
        <v/>
      </c>
      <c r="CP49" s="252"/>
      <c r="CQ49" s="251">
        <f>IFERROR(__xludf.DUMMYFUNCTION("AVERAGE(ARRAYFORMULA(XLOOKUP(FILTER(INDIRECT(""'""&amp;CQ$1&amp;""'!$C$4:$C$66""),INDIRECT(""'""&amp;CQ$1&amp;""'!$D$4:$D$66"")=CQ$2),$G$3:$BQ$3,$G49:$BQ49)))"),-0.08015873214285715)</f>
        <v>-0.08015873214</v>
      </c>
      <c r="CR49" s="207" t="str">
        <f>IFERROR(__xludf.DUMMYFUNCTION("IF(OR(CQ49&gt;$BS49+$BT49*$BT$2,CQ49&lt;$BS49-$BT49*$BT$2),AVEDEV(ARRAYFORMULA(XLOOKUP(FILTER(INDIRECT(""'""&amp;CQ$1&amp;""'!$C$4:$C$66""),INDIRECT(""'""&amp;CQ$1&amp;""'!$D$4:$D$66"")=CQ$2),$G$3:$BQ$3,$G49:$BQ49))),"""")"),"")</f>
        <v/>
      </c>
      <c r="CS49" s="251">
        <f>IFERROR(__xludf.DUMMYFUNCTION("AVERAGE(ARRAYFORMULA(XLOOKUP(FILTER(INDIRECT(""'""&amp;CS$1&amp;""'!$C$4:$C$66""),INDIRECT(""'""&amp;CS$1&amp;""'!$D$4:$D$66"")=CS$2),$G$3:$BQ$3,$G49:$BQ49)))"),0.013010445555555562)</f>
        <v>0.01301044556</v>
      </c>
      <c r="CT49" s="207" t="str">
        <f>IFERROR(__xludf.DUMMYFUNCTION("IF(OR(CS49&gt;$BS49+$BT49*$BT$2,CS49&lt;$BS49-$BT49*$BT$2),AVEDEV(ARRAYFORMULA(XLOOKUP(FILTER(INDIRECT(""'""&amp;CS$1&amp;""'!$C$4:$C$66""),INDIRECT(""'""&amp;CS$1&amp;""'!$D$4:$D$66"")=CS$2),$G$3:$BQ$3,$G49:$BQ49))),"""")"),"")</f>
        <v/>
      </c>
      <c r="CU49" s="251">
        <f>IFERROR(__xludf.DUMMYFUNCTION("AVERAGE(ARRAYFORMULA(XLOOKUP(FILTER(INDIRECT(""'""&amp;CU$1&amp;""'!$C$4:$C$66""),INDIRECT(""'""&amp;CU$1&amp;""'!$D$4:$D$66"")=CU$2),$G$3:$BQ$3,$G49:$BQ49)))"),0.6395493445454545)</f>
        <v>0.6395493445</v>
      </c>
      <c r="CV49" s="207" t="str">
        <f>IFERROR(__xludf.DUMMYFUNCTION("IF(OR(CU49&gt;$BS49+$BT49*$BT$2,CU49&lt;$BS49-$BT49*$BT$2),AVEDEV(ARRAYFORMULA(XLOOKUP(FILTER(INDIRECT(""'""&amp;CU$1&amp;""'!$C$4:$C$66""),INDIRECT(""'""&amp;CU$1&amp;""'!$D$4:$D$66"")=CU$2),$G$3:$BQ$3,$G49:$BQ49))),"""")"),"")</f>
        <v/>
      </c>
      <c r="CW49" s="251">
        <f>IFERROR(__xludf.DUMMYFUNCTION("AVERAGE(ARRAYFORMULA(XLOOKUP(FILTER(INDIRECT(""'""&amp;CW$1&amp;""'!$C$4:$C$66""),INDIRECT(""'""&amp;CW$1&amp;""'!$D$4:$D$66"")=CW$2),$G$3:$BQ$3,$G49:$BQ49)))"),-0.9923077)</f>
        <v>-0.9923077</v>
      </c>
      <c r="CX49" s="207">
        <f>IFERROR(__xludf.DUMMYFUNCTION("IF(OR(CW49&gt;$BS49+$BT49*$BT$2,CW49&lt;$BS49-$BT49*$BT$2),AVEDEV(ARRAYFORMULA(XLOOKUP(FILTER(INDIRECT(""'""&amp;CW$1&amp;""'!$C$4:$C$66""),INDIRECT(""'""&amp;CW$1&amp;""'!$D$4:$D$66"")=CW$2),$G$3:$BQ$3,$G49:$BQ49))),"""")"),0.03675210000000001)</f>
        <v>0.0367521</v>
      </c>
      <c r="CY49" s="251">
        <f>IFERROR(__xludf.DUMMYFUNCTION("AVERAGE(ARRAYFORMULA(XLOOKUP(FILTER(INDIRECT(""'""&amp;CY$1&amp;""'!$C$4:$C$66""),INDIRECT(""'""&amp;CY$1&amp;""'!$D$4:$D$66"")=CY$2),$G$3:$BQ$3,$G49:$BQ49)))"),0.03015872071428573)</f>
        <v>0.03015872071</v>
      </c>
      <c r="CZ49" s="207" t="str">
        <f>IFERROR(__xludf.DUMMYFUNCTION("IF(OR(CY49&gt;$BS49+$BT49*$BT$2,CY49&lt;$BS49-$BT49*$BT$2),AVEDEV(ARRAYFORMULA(XLOOKUP(FILTER(INDIRECT(""'""&amp;CY$1&amp;""'!$C$4:$C$66""),INDIRECT(""'""&amp;CY$1&amp;""'!$D$4:$D$66"")=CY$2),$G$3:$BQ$3,$G49:$BQ49))),"""")"),"")</f>
        <v/>
      </c>
      <c r="DA49" s="252"/>
      <c r="DB49" s="251">
        <f>IFERROR(__xludf.DUMMYFUNCTION("AVERAGE(ARRAYFORMULA(XLOOKUP(FILTER(INDIRECT(""'""&amp;DB$1&amp;""'!$C$4:$C$66""),INDIRECT(""'""&amp;DB$1&amp;""'!$D$4:$D$66"")=DB$2),$G$3:$BQ$3,$G49:$BQ49)))"),0.086837603)</f>
        <v>0.086837603</v>
      </c>
      <c r="DC49" s="207" t="str">
        <f>IFERROR(__xludf.DUMMYFUNCTION("IF(OR(DB49&gt;$BS49+$BT49*$BT$2,DB49&lt;$BS49-$BT49*$BT$2),AVEDEV(ARRAYFORMULA(XLOOKUP(FILTER(INDIRECT(""'""&amp;DB$1&amp;""'!$C$4:$C$66""),INDIRECT(""'""&amp;DB$1&amp;""'!$D$4:$D$66"")=DB$2),$G$3:$BQ$3,$G49:$BQ49))),"""")"),"")</f>
        <v/>
      </c>
      <c r="DD49" s="251">
        <f>IFERROR(__xludf.DUMMYFUNCTION("AVERAGE(ARRAYFORMULA(XLOOKUP(FILTER(INDIRECT(""'""&amp;DD$1&amp;""'!$C$4:$C$66""),INDIRECT(""'""&amp;DD$1&amp;""'!$D$4:$D$66"")=DD$2),$G$3:$BQ$3,$G49:$BQ49)))"),0.3816714133333333)</f>
        <v>0.3816714133</v>
      </c>
      <c r="DE49" s="207" t="str">
        <f>IFERROR(__xludf.DUMMYFUNCTION("IF(OR(DD49&gt;$BS49+$BT49*$BT$2,DD49&lt;$BS49-$BT49*$BT$2),AVEDEV(ARRAYFORMULA(XLOOKUP(FILTER(INDIRECT(""'""&amp;DD$1&amp;""'!$C$4:$C$66""),INDIRECT(""'""&amp;DD$1&amp;""'!$D$4:$D$66"")=DD$2),$G$3:$BQ$3,$G49:$BQ49))),"""")"),"")</f>
        <v/>
      </c>
      <c r="DF49" s="251">
        <f>IFERROR(__xludf.DUMMYFUNCTION("AVERAGE(ARRAYFORMULA(XLOOKUP(FILTER(INDIRECT(""'""&amp;DF$1&amp;""'!$C$4:$C$66""),INDIRECT(""'""&amp;DF$1&amp;""'!$D$4:$D$66"")=DF$2),$G$3:$BQ$3,$G49:$BQ49)))"),0.7621794875000001)</f>
        <v>0.7621794875</v>
      </c>
      <c r="DG49" s="207" t="str">
        <f>IFERROR(__xludf.DUMMYFUNCTION("IF(OR(DF49&gt;$BS49+$BT49*$BT$2,DF49&lt;$BS49-$BT49*$BT$2),AVEDEV(ARRAYFORMULA(XLOOKUP(FILTER(INDIRECT(""'""&amp;DF$1&amp;""'!$C$4:$C$66""),INDIRECT(""'""&amp;DF$1&amp;""'!$D$4:$D$66"")=DF$2),$G$3:$BQ$3,$G49:$BQ49))),"""")"),"")</f>
        <v/>
      </c>
      <c r="DH49" s="251">
        <f>IFERROR(__xludf.DUMMYFUNCTION("AVERAGE(ARRAYFORMULA(XLOOKUP(FILTER(INDIRECT(""'""&amp;DH$1&amp;""'!$C$4:$C$66""),INDIRECT(""'""&amp;DH$1&amp;""'!$D$4:$D$66"")=DH$2),$G$3:$BQ$3,$G49:$BQ49)))"),-0.5207027522222222)</f>
        <v>-0.5207027522</v>
      </c>
      <c r="DI49" s="207" t="str">
        <f>IFERROR(__xludf.DUMMYFUNCTION("IF(OR(DH49&gt;$BS49+$BT49*$BT$2,DH49&lt;$BS49-$BT49*$BT$2),AVEDEV(ARRAYFORMULA(XLOOKUP(FILTER(INDIRECT(""'""&amp;DH$1&amp;""'!$C$4:$C$66""),INDIRECT(""'""&amp;DH$1&amp;""'!$D$4:$D$66"")=DH$2),$G$3:$BQ$3,$G49:$BQ49))),"""")"),"")</f>
        <v/>
      </c>
      <c r="DJ49" s="243"/>
    </row>
    <row r="50">
      <c r="A50" s="2"/>
      <c r="B50" s="204">
        <v>46.0</v>
      </c>
      <c r="C50" s="204" t="s">
        <v>482</v>
      </c>
      <c r="D50" s="204" t="s">
        <v>490</v>
      </c>
      <c r="E50" s="205" t="b">
        <f>VLOOKUP(D50,'Feature Set List'!A47:C246,2,0)</f>
        <v>1</v>
      </c>
      <c r="F50" s="205" t="b">
        <f>VLOOKUP(D50,'Feature Set List'!A47:C246,3,0)</f>
        <v>1</v>
      </c>
      <c r="G50" s="205">
        <v>0.32186837</v>
      </c>
      <c r="H50" s="205">
        <v>0.36518047</v>
      </c>
      <c r="I50" s="205">
        <v>1.34522293</v>
      </c>
      <c r="J50" s="205">
        <v>0.39235669</v>
      </c>
      <c r="K50" s="205">
        <v>-0.9078556</v>
      </c>
      <c r="L50" s="205">
        <v>-0.6598726</v>
      </c>
      <c r="M50" s="205">
        <v>-0.0373673</v>
      </c>
      <c r="N50" s="205">
        <v>-0.0195329</v>
      </c>
      <c r="O50" s="205">
        <v>0.07983015</v>
      </c>
      <c r="P50" s="205">
        <v>0.12823779</v>
      </c>
      <c r="Q50" s="205">
        <v>-0.7464968</v>
      </c>
      <c r="R50" s="205">
        <v>-0.3099788</v>
      </c>
      <c r="S50" s="205">
        <v>0.02887473</v>
      </c>
      <c r="T50" s="205">
        <v>-0.1350318</v>
      </c>
      <c r="U50" s="205">
        <v>0.53503185</v>
      </c>
      <c r="V50" s="205">
        <v>-0.6157113</v>
      </c>
      <c r="W50" s="205">
        <v>-0.0934183</v>
      </c>
      <c r="X50" s="205">
        <v>0.95456476</v>
      </c>
      <c r="Y50" s="205">
        <v>-0.3566879</v>
      </c>
      <c r="Z50" s="205">
        <v>1.54649682</v>
      </c>
      <c r="AA50" s="205">
        <v>1.40127389</v>
      </c>
      <c r="AB50" s="205">
        <v>1.385138</v>
      </c>
      <c r="AC50" s="205">
        <v>1.47685775</v>
      </c>
      <c r="AD50" s="205">
        <v>-0.1995754</v>
      </c>
      <c r="AE50" s="205">
        <v>0.96900212</v>
      </c>
      <c r="AF50" s="205">
        <v>-0.6717622</v>
      </c>
      <c r="AG50" s="205">
        <v>0.69044586</v>
      </c>
      <c r="AH50" s="205">
        <v>1.7656051</v>
      </c>
      <c r="AI50" s="205">
        <v>0.18938429</v>
      </c>
      <c r="AJ50" s="205">
        <v>-0.0135881</v>
      </c>
      <c r="AK50" s="205">
        <v>-0.8144374</v>
      </c>
      <c r="AL50" s="205">
        <v>0.00339703</v>
      </c>
      <c r="AM50" s="205">
        <v>-0.2666667</v>
      </c>
      <c r="AN50" s="205">
        <v>1.07176221</v>
      </c>
      <c r="AO50" s="205">
        <v>-1.1480255</v>
      </c>
      <c r="AP50" s="205">
        <v>-0.9836093</v>
      </c>
      <c r="AQ50" s="205">
        <v>0.18259023</v>
      </c>
      <c r="AR50" s="205">
        <v>-1.1242463</v>
      </c>
      <c r="AS50" s="205">
        <v>-0.1460722</v>
      </c>
      <c r="AT50" s="205">
        <v>0.61740977</v>
      </c>
      <c r="AU50" s="205">
        <v>-0.6590234</v>
      </c>
      <c r="AV50" s="205">
        <v>0.89511677</v>
      </c>
      <c r="AW50" s="205">
        <v>-1.597707</v>
      </c>
      <c r="AX50" s="205">
        <v>-0.8480679</v>
      </c>
      <c r="AY50" s="205">
        <v>4.80764331</v>
      </c>
      <c r="AZ50" s="205">
        <v>-0.0059448</v>
      </c>
      <c r="BA50" s="205">
        <v>0.0</v>
      </c>
      <c r="BB50" s="205">
        <v>1.43864119</v>
      </c>
      <c r="BC50" s="205">
        <v>0.68619958</v>
      </c>
      <c r="BD50" s="205">
        <v>-0.0144374</v>
      </c>
      <c r="BE50" s="205">
        <v>3.75711253</v>
      </c>
      <c r="BF50" s="205">
        <v>0.13757962</v>
      </c>
      <c r="BG50" s="205">
        <v>-0.2522293</v>
      </c>
      <c r="BH50" s="205">
        <v>-0.118896</v>
      </c>
      <c r="BI50" s="205">
        <v>-0.0934183</v>
      </c>
      <c r="BJ50" s="205">
        <v>0.87218684</v>
      </c>
      <c r="BK50" s="205">
        <v>-0.6462845</v>
      </c>
      <c r="BL50" s="205">
        <v>1.45307856</v>
      </c>
      <c r="BM50" s="205">
        <v>0.3014862</v>
      </c>
      <c r="BN50" s="205">
        <v>-0.3133758</v>
      </c>
      <c r="BO50" s="205">
        <v>0.17494692</v>
      </c>
      <c r="BP50" s="205">
        <v>-0.2921444</v>
      </c>
      <c r="BQ50" s="205">
        <v>-0.5605096</v>
      </c>
      <c r="BR50" s="206"/>
      <c r="BS50" s="250">
        <f t="shared" si="1"/>
        <v>0.2432150402</v>
      </c>
      <c r="BT50" s="250">
        <f t="shared" si="2"/>
        <v>0.7446265285</v>
      </c>
      <c r="BU50" s="206"/>
      <c r="BV50" s="207">
        <f>IFERROR(__xludf.DUMMYFUNCTION("AVERAGE(ARRAYFORMULA(XLOOKUP(FILTER(INDIRECT(""'""&amp;BV$1&amp;""'!$C$4:$C$66""),INDIRECT(""'""&amp;BV$1&amp;""'!$D$4:$D$66"")=BV$2),$G$3:$BQ$3,$G50:$BQ50)))"),1.6854352428571429)</f>
        <v>1.685435243</v>
      </c>
      <c r="BW50" s="207">
        <f>IFERROR(__xludf.DUMMYFUNCTION("IF(OR(BV50&gt;$BS50+$BT50*$BT$2,BV50&lt;$BS50-$BT50*$BT$2),AVEDEV(ARRAYFORMULA(XLOOKUP(FILTER(INDIRECT(""'""&amp;BV$1&amp;""'!$C$4:$C$66""),INDIRECT(""'""&amp;BV$1&amp;""'!$D$4:$D$66"")=BV$2),$G$3:$BQ$3,$G50:$BQ50))),"""")"),1.4839672440816325)</f>
        <v>1.483967244</v>
      </c>
      <c r="BX50" s="207">
        <f>IFERROR(__xludf.DUMMYFUNCTION("AVERAGE(ARRAYFORMULA(XLOOKUP(FILTER(INDIRECT(""'""&amp;BX$1&amp;""'!$C$4:$C$66""),INDIRECT(""'""&amp;BX$1&amp;""'!$D$4:$D$66"")=BX$2),$G$3:$BQ$3,$G50:$BQ50)))"),0.09669598190476189)</f>
        <v>0.0966959819</v>
      </c>
      <c r="BY50" s="207" t="str">
        <f>IFERROR(__xludf.DUMMYFUNCTION("IF(OR(BX50&gt;$BS50+$BT50*$BT$2,BX50&lt;$BS50-$BT50*$BT$2),AVEDEV(ARRAYFORMULA(XLOOKUP(FILTER(INDIRECT(""'""&amp;BX$1&amp;""'!$C$4:$C$66""),INDIRECT(""'""&amp;BX$1&amp;""'!$D$4:$D$66"")=BX$2),$G$3:$BQ$3,$G50:$BQ50))),"""")"),"")</f>
        <v/>
      </c>
      <c r="BZ50" s="207">
        <f>IFERROR(__xludf.DUMMYFUNCTION("AVERAGE(ARRAYFORMULA(XLOOKUP(FILTER(INDIRECT(""'""&amp;BZ$1&amp;""'!$C$4:$C$66""),INDIRECT(""'""&amp;BZ$1&amp;""'!$D$4:$D$66"")=BZ$2),$G$3:$BQ$3,$G50:$BQ50)))"),-0.10986295818181818)</f>
        <v>-0.1098629582</v>
      </c>
      <c r="CA50" s="207" t="str">
        <f>IFERROR(__xludf.DUMMYFUNCTION("IF(OR(BZ50&gt;$BS50+$BT50*$BT$2,BZ50&lt;$BS50-$BT50*$BT$2),AVEDEV(ARRAYFORMULA(XLOOKUP(FILTER(INDIRECT(""'""&amp;BZ$1&amp;""'!$C$4:$C$66""),INDIRECT(""'""&amp;BZ$1&amp;""'!$D$4:$D$66"")=BZ$2),$G$3:$BQ$3,$G50:$BQ50))),"""")"),"")</f>
        <v/>
      </c>
      <c r="CB50" s="209"/>
      <c r="CC50" s="207">
        <f>IFERROR(__xludf.DUMMYFUNCTION("AVERAGE(ARRAYFORMULA(XLOOKUP(FILTER(INDIRECT(""'""&amp;CC$1&amp;""'!$C$4:$C$66""),INDIRECT(""'""&amp;CC$1&amp;""'!$D$4:$D$66"")=CC$2),$G$3:$BQ$3,$G50:$BQ50)))"),0.036173036874999995)</f>
        <v>0.03617303688</v>
      </c>
      <c r="CD50" s="207" t="str">
        <f>IFERROR(__xludf.DUMMYFUNCTION("IF(OR(CC50&gt;$BS50+$BT50*$BT$2,CC50&lt;$BS50-$BT50*$BT$2),AVEDEV(ARRAYFORMULA(XLOOKUP(FILTER(INDIRECT(""'""&amp;CC$1&amp;""'!$C$4:$C$66""),INDIRECT(""'""&amp;CC$1&amp;""'!$D$4:$D$66"")=CC$2),$G$3:$BQ$3,$G50:$BQ50))),"""")"),"")</f>
        <v/>
      </c>
      <c r="CE50" s="207">
        <f>IFERROR(__xludf.DUMMYFUNCTION("AVERAGE(ARRAYFORMULA(XLOOKUP(FILTER(INDIRECT(""'""&amp;CE$1&amp;""'!$C$4:$C$66""),INDIRECT(""'""&amp;CE$1&amp;""'!$D$4:$D$66"")=CE$2),$G$3:$BQ$3,$G50:$BQ50)))"),0.4642421680645162)</f>
        <v>0.4642421681</v>
      </c>
      <c r="CF50" s="207" t="str">
        <f>IFERROR(__xludf.DUMMYFUNCTION("IF(OR(CE50&gt;$BS50+$BT50*$BT$2,CE50&lt;$BS50-$BT50*$BT$2),AVEDEV(ARRAYFORMULA(XLOOKUP(FILTER(INDIRECT(""'""&amp;CE$1&amp;""'!$C$4:$C$66""),INDIRECT(""'""&amp;CE$1&amp;""'!$D$4:$D$66"")=CE$2),$G$3:$BQ$3,$G50:$BQ50))),"""")"),"")</f>
        <v/>
      </c>
      <c r="CG50" s="207">
        <f>IFERROR(__xludf.DUMMYFUNCTION("AVERAGE(ARRAYFORMULA(XLOOKUP(FILTER(INDIRECT(""'""&amp;CG$1&amp;""'!$C$4:$C$66""),INDIRECT(""'""&amp;CG$1&amp;""'!$D$4:$D$66"")=CG$2),$G$3:$BQ$3,$G50:$BQ50)))"),-0.081019102)</f>
        <v>-0.081019102</v>
      </c>
      <c r="CH50" s="207" t="str">
        <f>IFERROR(__xludf.DUMMYFUNCTION("IF(OR(CG50&gt;$BS50+$BT50*$BT$2,CG50&lt;$BS50-$BT50*$BT$2),AVEDEV(ARRAYFORMULA(XLOOKUP(FILTER(INDIRECT(""'""&amp;CG$1&amp;""'!$C$4:$C$66""),INDIRECT(""'""&amp;CG$1&amp;""'!$D$4:$D$66"")=CG$2),$G$3:$BQ$3,$G50:$BQ50))),"""")"),"")</f>
        <v/>
      </c>
      <c r="CI50" s="206"/>
      <c r="CJ50" s="251">
        <f>IFERROR(__xludf.DUMMYFUNCTION("AVERAGE(ARRAYFORMULA(XLOOKUP(FILTER(INDIRECT(""'""&amp;CJ$1&amp;""'!$C$4:$C$66""),INDIRECT(""'""&amp;CJ$1&amp;""'!$D$4:$D$66"")=CJ$2),$G$3:$BQ$3,$G50:$BQ50)))"),0.98151451)</f>
        <v>0.98151451</v>
      </c>
      <c r="CK50" s="207" t="str">
        <f>IFERROR(__xludf.DUMMYFUNCTION("IF(OR(CJ50&gt;$BS50+$BT50*$BT$2,CJ50&lt;$BS50-$BT50*$BT$2),AVEDEV(ARRAYFORMULA(XLOOKUP(FILTER(INDIRECT(""'""&amp;CJ$1&amp;""'!$C$4:$C$66""),INDIRECT(""'""&amp;CJ$1&amp;""'!$D$4:$D$66"")=CJ$2),$G$3:$BQ$3,$G50:$BQ50))),"""")"),"")</f>
        <v/>
      </c>
      <c r="CL50" s="251">
        <f>IFERROR(__xludf.DUMMYFUNCTION("AVERAGE(ARRAYFORMULA(XLOOKUP(FILTER(INDIRECT(""'""&amp;CL$1&amp;""'!$C$4:$C$66""),INDIRECT(""'""&amp;CL$1&amp;""'!$D$4:$D$66"")=CL$2),$G$3:$BQ$3,$G50:$BQ50)))"),-0.028715776923076922)</f>
        <v>-0.02871577692</v>
      </c>
      <c r="CM50" s="207" t="str">
        <f>IFERROR(__xludf.DUMMYFUNCTION("IF(OR(CL50&gt;$BS50+$BT50*$BT$2,CL50&lt;$BS50-$BT50*$BT$2),AVEDEV(ARRAYFORMULA(XLOOKUP(FILTER(INDIRECT(""'""&amp;CL$1&amp;""'!$C$4:$C$66""),INDIRECT(""'""&amp;CL$1&amp;""'!$D$4:$D$66"")=CL$2),$G$3:$BQ$3,$G50:$BQ50))),"""")"),"")</f>
        <v/>
      </c>
      <c r="CN50" s="251">
        <f>IFERROR(__xludf.DUMMYFUNCTION("AVERAGE(ARRAYFORMULA(XLOOKUP(FILTER(INDIRECT(""'""&amp;CN$1&amp;""'!$C$4:$C$66""),INDIRECT(""'""&amp;CN$1&amp;""'!$D$4:$D$66"")=CN$2),$G$3:$BQ$3,$G50:$BQ50)))"),-0.081019102)</f>
        <v>-0.081019102</v>
      </c>
      <c r="CO50" s="207" t="str">
        <f>IFERROR(__xludf.DUMMYFUNCTION("IF(OR(CN50&gt;$BS50+$BT50*$BT$2,CN50&lt;$BS50-$BT50*$BT$2),AVEDEV(ARRAYFORMULA(XLOOKUP(FILTER(INDIRECT(""'""&amp;CN$1&amp;""'!$C$4:$C$66""),INDIRECT(""'""&amp;CN$1&amp;""'!$D$4:$D$66"")=CN$2),$G$3:$BQ$3,$G50:$BQ50))),"""")"),"")</f>
        <v/>
      </c>
      <c r="CP50" s="252"/>
      <c r="CQ50" s="251">
        <f>IFERROR(__xludf.DUMMYFUNCTION("AVERAGE(ARRAYFORMULA(XLOOKUP(FILTER(INDIRECT(""'""&amp;CQ$1&amp;""'!$C$4:$C$66""),INDIRECT(""'""&amp;CQ$1&amp;""'!$D$4:$D$66"")=CQ$2),$G$3:$BQ$3,$G50:$BQ50)))"),-0.12481043500000004)</f>
        <v>-0.124810435</v>
      </c>
      <c r="CR50" s="207" t="str">
        <f>IFERROR(__xludf.DUMMYFUNCTION("IF(OR(CQ50&gt;$BS50+$BT50*$BT$2,CQ50&lt;$BS50-$BT50*$BT$2),AVEDEV(ARRAYFORMULA(XLOOKUP(FILTER(INDIRECT(""'""&amp;CQ$1&amp;""'!$C$4:$C$66""),INDIRECT(""'""&amp;CQ$1&amp;""'!$D$4:$D$66"")=CQ$2),$G$3:$BQ$3,$G50:$BQ50))),"""")"),"")</f>
        <v/>
      </c>
      <c r="CS50" s="251">
        <f>IFERROR(__xludf.DUMMYFUNCTION("AVERAGE(ARRAYFORMULA(XLOOKUP(FILTER(INDIRECT(""'""&amp;CS$1&amp;""'!$C$4:$C$66""),INDIRECT(""'""&amp;CS$1&amp;""'!$D$4:$D$66"")=CS$2),$G$3:$BQ$3,$G50:$BQ50)))"),-0.16711488222222223)</f>
        <v>-0.1671148822</v>
      </c>
      <c r="CT50" s="207" t="str">
        <f>IFERROR(__xludf.DUMMYFUNCTION("IF(OR(CS50&gt;$BS50+$BT50*$BT$2,CS50&lt;$BS50-$BT50*$BT$2),AVEDEV(ARRAYFORMULA(XLOOKUP(FILTER(INDIRECT(""'""&amp;CS$1&amp;""'!$C$4:$C$66""),INDIRECT(""'""&amp;CS$1&amp;""'!$D$4:$D$66"")=CS$2),$G$3:$BQ$3,$G50:$BQ50))),"""")"),"")</f>
        <v/>
      </c>
      <c r="CU50" s="251">
        <f>IFERROR(__xludf.DUMMYFUNCTION("AVERAGE(ARRAYFORMULA(XLOOKUP(FILTER(INDIRECT(""'""&amp;CU$1&amp;""'!$C$4:$C$66""),INDIRECT(""'""&amp;CU$1&amp;""'!$D$4:$D$66"")=CU$2),$G$3:$BQ$3,$G50:$BQ50)))"),0.6563983754545454)</f>
        <v>0.6563983755</v>
      </c>
      <c r="CV50" s="207" t="str">
        <f>IFERROR(__xludf.DUMMYFUNCTION("IF(OR(CU50&gt;$BS50+$BT50*$BT$2,CU50&lt;$BS50-$BT50*$BT$2),AVEDEV(ARRAYFORMULA(XLOOKUP(FILTER(INDIRECT(""'""&amp;CU$1&amp;""'!$C$4:$C$66""),INDIRECT(""'""&amp;CU$1&amp;""'!$D$4:$D$66"")=CU$2),$G$3:$BQ$3,$G50:$BQ50))),"""")"),"")</f>
        <v/>
      </c>
      <c r="CW50" s="251">
        <f>IFERROR(__xludf.DUMMYFUNCTION("AVERAGE(ARRAYFORMULA(XLOOKUP(FILTER(INDIRECT(""'""&amp;CW$1&amp;""'!$C$4:$C$66""),INDIRECT(""'""&amp;CW$1&amp;""'!$D$4:$D$66"")=CW$2),$G$3:$BQ$3,$G50:$BQ50)))"),-0.15923569999999998)</f>
        <v>-0.1592357</v>
      </c>
      <c r="CX50" s="207" t="str">
        <f>IFERROR(__xludf.DUMMYFUNCTION("IF(OR(CW50&gt;$BS50+$BT50*$BT$2,CW50&lt;$BS50-$BT50*$BT$2),AVEDEV(ARRAYFORMULA(XLOOKUP(FILTER(INDIRECT(""'""&amp;CW$1&amp;""'!$C$4:$C$66""),INDIRECT(""'""&amp;CW$1&amp;""'!$D$4:$D$66"")=CW$2),$G$3:$BQ$3,$G50:$BQ50))),"""")"),"")</f>
        <v/>
      </c>
      <c r="CY50" s="251">
        <f>IFERROR(__xludf.DUMMYFUNCTION("AVERAGE(ARRAYFORMULA(XLOOKUP(FILTER(INDIRECT(""'""&amp;CY$1&amp;""'!$C$4:$C$66""),INDIRECT(""'""&amp;CY$1&amp;""'!$D$4:$D$66"")=CY$2),$G$3:$BQ$3,$G50:$BQ50)))"),-0.0032393142857142744)</f>
        <v>-0.003239314286</v>
      </c>
      <c r="CZ50" s="207" t="str">
        <f>IFERROR(__xludf.DUMMYFUNCTION("IF(OR(CY50&gt;$BS50+$BT50*$BT$2,CY50&lt;$BS50-$BT50*$BT$2),AVEDEV(ARRAYFORMULA(XLOOKUP(FILTER(INDIRECT(""'""&amp;CY$1&amp;""'!$C$4:$C$66""),INDIRECT(""'""&amp;CY$1&amp;""'!$D$4:$D$66"")=CY$2),$G$3:$BQ$3,$G50:$BQ50))),"""")"),"")</f>
        <v/>
      </c>
      <c r="DA50" s="252"/>
      <c r="DB50" s="251">
        <f>IFERROR(__xludf.DUMMYFUNCTION("AVERAGE(ARRAYFORMULA(XLOOKUP(FILTER(INDIRECT(""'""&amp;DB$1&amp;""'!$C$4:$C$66""),INDIRECT(""'""&amp;DB$1&amp;""'!$D$4:$D$66"")=DB$2),$G$3:$BQ$3,$G50:$BQ50)))"),0.3589016266666667)</f>
        <v>0.3589016267</v>
      </c>
      <c r="DC50" s="207" t="str">
        <f>IFERROR(__xludf.DUMMYFUNCTION("IF(OR(DB50&gt;$BS50+$BT50*$BT$2,DB50&lt;$BS50-$BT50*$BT$2),AVEDEV(ARRAYFORMULA(XLOOKUP(FILTER(INDIRECT(""'""&amp;DB$1&amp;""'!$C$4:$C$66""),INDIRECT(""'""&amp;DB$1&amp;""'!$D$4:$D$66"")=DB$2),$G$3:$BQ$3,$G50:$BQ50))),"""")"),"")</f>
        <v/>
      </c>
      <c r="DD50" s="251">
        <f>IFERROR(__xludf.DUMMYFUNCTION("AVERAGE(ARRAYFORMULA(XLOOKUP(FILTER(INDIRECT(""'""&amp;DD$1&amp;""'!$C$4:$C$66""),INDIRECT(""'""&amp;DD$1&amp;""'!$D$4:$D$66"")=DD$2),$G$3:$BQ$3,$G50:$BQ50)))"),0.08011323666666664)</f>
        <v>0.08011323667</v>
      </c>
      <c r="DE50" s="207" t="str">
        <f>IFERROR(__xludf.DUMMYFUNCTION("IF(OR(DD50&gt;$BS50+$BT50*$BT$2,DD50&lt;$BS50-$BT50*$BT$2),AVEDEV(ARRAYFORMULA(XLOOKUP(FILTER(INDIRECT(""'""&amp;DD$1&amp;""'!$C$4:$C$66""),INDIRECT(""'""&amp;DD$1&amp;""'!$D$4:$D$66"")=DD$2),$G$3:$BQ$3,$G50:$BQ50))),"""")"),"")</f>
        <v/>
      </c>
      <c r="DF50" s="251">
        <f>IFERROR(__xludf.DUMMYFUNCTION("AVERAGE(ARRAYFORMULA(XLOOKUP(FILTER(INDIRECT(""'""&amp;DF$1&amp;""'!$C$4:$C$66""),INDIRECT(""'""&amp;DF$1&amp;""'!$D$4:$D$66"")=DF$2),$G$3:$BQ$3,$G50:$BQ50)))"),0.8153927787499999)</f>
        <v>0.8153927788</v>
      </c>
      <c r="DG50" s="207" t="str">
        <f>IFERROR(__xludf.DUMMYFUNCTION("IF(OR(DF50&gt;$BS50+$BT50*$BT$2,DF50&lt;$BS50-$BT50*$BT$2),AVEDEV(ARRAYFORMULA(XLOOKUP(FILTER(INDIRECT(""'""&amp;DF$1&amp;""'!$C$4:$C$66""),INDIRECT(""'""&amp;DF$1&amp;""'!$D$4:$D$66"")=DF$2),$G$3:$BQ$3,$G50:$BQ50))),"""")"),"")</f>
        <v/>
      </c>
      <c r="DH50" s="251">
        <f>IFERROR(__xludf.DUMMYFUNCTION("AVERAGE(ARRAYFORMULA(XLOOKUP(FILTER(INDIRECT(""'""&amp;DH$1&amp;""'!$C$4:$C$66""),INDIRECT(""'""&amp;DH$1&amp;""'!$D$4:$D$66"")=DH$2),$G$3:$BQ$3,$G50:$BQ50)))"),-0.3884218088888889)</f>
        <v>-0.3884218089</v>
      </c>
      <c r="DI50" s="207" t="str">
        <f>IFERROR(__xludf.DUMMYFUNCTION("IF(OR(DH50&gt;$BS50+$BT50*$BT$2,DH50&lt;$BS50-$BT50*$BT$2),AVEDEV(ARRAYFORMULA(XLOOKUP(FILTER(INDIRECT(""'""&amp;DH$1&amp;""'!$C$4:$C$66""),INDIRECT(""'""&amp;DH$1&amp;""'!$D$4:$D$66"")=DH$2),$G$3:$BQ$3,$G50:$BQ50))),"""")"),"")</f>
        <v/>
      </c>
      <c r="DJ50" s="243"/>
    </row>
    <row r="51">
      <c r="A51" s="2"/>
      <c r="B51" s="204">
        <v>47.0</v>
      </c>
      <c r="C51" s="204" t="s">
        <v>482</v>
      </c>
      <c r="D51" s="204" t="s">
        <v>491</v>
      </c>
      <c r="E51" s="205" t="b">
        <f>VLOOKUP(D51,'Feature Set List'!A48:C246,2,0)</f>
        <v>1</v>
      </c>
      <c r="F51" s="205" t="b">
        <f>VLOOKUP(D51,'Feature Set List'!A48:C246,3,0)</f>
        <v>1</v>
      </c>
      <c r="G51" s="205">
        <v>-0.4100355</v>
      </c>
      <c r="H51" s="205">
        <v>0.50413921</v>
      </c>
      <c r="I51" s="205">
        <v>0.39483021</v>
      </c>
      <c r="J51" s="205">
        <v>0.04696739</v>
      </c>
      <c r="K51" s="205">
        <v>2.34904545</v>
      </c>
      <c r="L51" s="205">
        <v>0.0993411</v>
      </c>
      <c r="M51" s="205">
        <v>-0.7962494</v>
      </c>
      <c r="N51" s="205">
        <v>0.12654165</v>
      </c>
      <c r="O51" s="205">
        <v>-1.0236526</v>
      </c>
      <c r="P51" s="205">
        <v>-0.2169285</v>
      </c>
      <c r="Q51" s="205">
        <v>1.36746072</v>
      </c>
      <c r="R51" s="205">
        <v>0.24548066</v>
      </c>
      <c r="S51" s="205">
        <v>-0.6019598</v>
      </c>
      <c r="T51" s="205">
        <v>0.53454976</v>
      </c>
      <c r="U51" s="205">
        <v>0.11691164</v>
      </c>
      <c r="V51" s="205">
        <v>0.86061835</v>
      </c>
      <c r="W51" s="205">
        <v>-0.3492144</v>
      </c>
      <c r="X51" s="205">
        <v>-0.871431</v>
      </c>
      <c r="Y51" s="205">
        <v>-0.6639635</v>
      </c>
      <c r="Z51" s="205">
        <v>1.03294475</v>
      </c>
      <c r="AA51" s="205">
        <v>-0.7366109</v>
      </c>
      <c r="AB51" s="205">
        <v>-0.7788478</v>
      </c>
      <c r="AC51" s="205">
        <v>-0.2691333</v>
      </c>
      <c r="AD51" s="205">
        <v>0.49907079</v>
      </c>
      <c r="AE51" s="205">
        <v>1.62932928</v>
      </c>
      <c r="AF51" s="205">
        <v>0.72714986</v>
      </c>
      <c r="AG51" s="205">
        <v>0.11792533</v>
      </c>
      <c r="AH51" s="205">
        <v>-0.6729177</v>
      </c>
      <c r="AI51" s="205">
        <v>-0.3091738</v>
      </c>
      <c r="AJ51" s="205">
        <v>-0.8045278</v>
      </c>
      <c r="AK51" s="205">
        <v>-0.1353269</v>
      </c>
      <c r="AL51" s="205">
        <v>0.16117587</v>
      </c>
      <c r="AM51" s="205">
        <v>1.63270823</v>
      </c>
      <c r="AN51" s="205">
        <v>-0.6416624</v>
      </c>
      <c r="AO51" s="205">
        <v>1.01605001</v>
      </c>
      <c r="AP51" s="205">
        <v>-0.4075013</v>
      </c>
      <c r="AQ51" s="205">
        <v>1.66311877</v>
      </c>
      <c r="AR51" s="205">
        <v>-0.620713</v>
      </c>
      <c r="AS51" s="205">
        <v>0.38249704</v>
      </c>
      <c r="AT51" s="205">
        <v>0.3524244</v>
      </c>
      <c r="AU51" s="205">
        <v>-0.7499578</v>
      </c>
      <c r="AV51" s="205">
        <v>-0.7514783</v>
      </c>
      <c r="AW51" s="205">
        <v>0.26203751</v>
      </c>
      <c r="AX51" s="205">
        <v>0.15526271</v>
      </c>
      <c r="AY51" s="205">
        <v>-1.0718027</v>
      </c>
      <c r="AZ51" s="205">
        <v>-0.4362223</v>
      </c>
      <c r="BA51" s="205">
        <v>-0.5475587</v>
      </c>
      <c r="BB51" s="205">
        <v>-0.0466295</v>
      </c>
      <c r="BC51" s="205">
        <v>-0.0799121</v>
      </c>
      <c r="BD51" s="205">
        <v>0.3684744</v>
      </c>
      <c r="BE51" s="205">
        <v>-0.1557696</v>
      </c>
      <c r="BF51" s="205">
        <v>0.32961649</v>
      </c>
      <c r="BG51" s="205">
        <v>0.17671904</v>
      </c>
      <c r="BH51" s="205">
        <v>0.66970772</v>
      </c>
      <c r="BI51" s="205">
        <v>0.67984457</v>
      </c>
      <c r="BJ51" s="205">
        <v>-0.3654334</v>
      </c>
      <c r="BK51" s="205">
        <v>0.21557696</v>
      </c>
      <c r="BL51" s="205">
        <v>-0.3039365</v>
      </c>
      <c r="BM51" s="205">
        <v>-1.0155432</v>
      </c>
      <c r="BN51" s="205">
        <v>0.71870248</v>
      </c>
      <c r="BO51" s="205">
        <v>-0.7580672</v>
      </c>
      <c r="BP51" s="205">
        <v>0.0</v>
      </c>
      <c r="BQ51" s="205">
        <v>-0.8291941</v>
      </c>
      <c r="BR51" s="206"/>
      <c r="BS51" s="250">
        <f t="shared" si="1"/>
        <v>0.03198202143</v>
      </c>
      <c r="BT51" s="250">
        <f t="shared" si="2"/>
        <v>0.5855485615</v>
      </c>
      <c r="BU51" s="206"/>
      <c r="BV51" s="207">
        <f>IFERROR(__xludf.DUMMYFUNCTION("AVERAGE(ARRAYFORMULA(XLOOKUP(FILTER(INDIRECT(""'""&amp;BV$1&amp;""'!$C$4:$C$66""),INDIRECT(""'""&amp;BV$1&amp;""'!$D$4:$D$66"")=BV$2),$G$3:$BQ$3,$G51:$BQ51)))"),-0.18808680714285714)</f>
        <v>-0.1880868071</v>
      </c>
      <c r="BW51" s="207" t="str">
        <f>IFERROR(__xludf.DUMMYFUNCTION("IF(OR(BV51&gt;$BS51+$BT51*$BT$2,BV51&lt;$BS51-$BT51*$BT$2),AVEDEV(ARRAYFORMULA(XLOOKUP(FILTER(INDIRECT(""'""&amp;BV$1&amp;""'!$C$4:$C$66""),INDIRECT(""'""&amp;BV$1&amp;""'!$D$4:$D$66"")=BV$2),$G$3:$BQ$3,$G51:$BQ51))),"""")"),"")</f>
        <v/>
      </c>
      <c r="BX51" s="207">
        <f>IFERROR(__xludf.DUMMYFUNCTION("AVERAGE(ARRAYFORMULA(XLOOKUP(FILTER(INDIRECT(""'""&amp;BX$1&amp;""'!$C$4:$C$66""),INDIRECT(""'""&amp;BX$1&amp;""'!$D$4:$D$66"")=BX$2),$G$3:$BQ$3,$G51:$BQ51)))"),0.15220959452380955)</f>
        <v>0.1522095945</v>
      </c>
      <c r="BY51" s="207" t="str">
        <f>IFERROR(__xludf.DUMMYFUNCTION("IF(OR(BX51&gt;$BS51+$BT51*$BT$2,BX51&lt;$BS51-$BT51*$BT$2),AVEDEV(ARRAYFORMULA(XLOOKUP(FILTER(INDIRECT(""'""&amp;BX$1&amp;""'!$C$4:$C$66""),INDIRECT(""'""&amp;BX$1&amp;""'!$D$4:$D$66"")=BX$2),$G$3:$BQ$3,$G51:$BQ51))),"""")"),"")</f>
        <v/>
      </c>
      <c r="BZ51" s="207">
        <f>IFERROR(__xludf.DUMMYFUNCTION("AVERAGE(ARRAYFORMULA(XLOOKUP(FILTER(INDIRECT(""'""&amp;BZ$1&amp;""'!$C$4:$C$66""),INDIRECT(""'""&amp;BZ$1&amp;""'!$D$4:$D$66"")=BZ$2),$G$3:$BQ$3,$G51:$BQ51)))"),-0.2795158890909091)</f>
        <v>-0.2795158891</v>
      </c>
      <c r="CA51" s="207" t="str">
        <f>IFERROR(__xludf.DUMMYFUNCTION("IF(OR(BZ51&gt;$BS51+$BT51*$BT$2,BZ51&lt;$BS51-$BT51*$BT$2),AVEDEV(ARRAYFORMULA(XLOOKUP(FILTER(INDIRECT(""'""&amp;BZ$1&amp;""'!$C$4:$C$66""),INDIRECT(""'""&amp;BZ$1&amp;""'!$D$4:$D$66"")=BZ$2),$G$3:$BQ$3,$G51:$BQ51))),"""")"),"")</f>
        <v/>
      </c>
      <c r="CB51" s="209"/>
      <c r="CC51" s="207">
        <f>IFERROR(__xludf.DUMMYFUNCTION("AVERAGE(ARRAYFORMULA(XLOOKUP(FILTER(INDIRECT(""'""&amp;CC$1&amp;""'!$C$4:$C$66""),INDIRECT(""'""&amp;CC$1&amp;""'!$D$4:$D$66"")=CC$2),$G$3:$BQ$3,$G51:$BQ51)))"),0.46625274812500006)</f>
        <v>0.4662527481</v>
      </c>
      <c r="CD51" s="207" t="str">
        <f>IFERROR(__xludf.DUMMYFUNCTION("IF(OR(CC51&gt;$BS51+$BT51*$BT$2,CC51&lt;$BS51-$BT51*$BT$2),AVEDEV(ARRAYFORMULA(XLOOKUP(FILTER(INDIRECT(""'""&amp;CC$1&amp;""'!$C$4:$C$66""),INDIRECT(""'""&amp;CC$1&amp;""'!$D$4:$D$66"")=CC$2),$G$3:$BQ$3,$G51:$BQ51))),"""")"),"")</f>
        <v/>
      </c>
      <c r="CE51" s="207">
        <f>IFERROR(__xludf.DUMMYFUNCTION("AVERAGE(ARRAYFORMULA(XLOOKUP(FILTER(INDIRECT(""'""&amp;CE$1&amp;""'!$C$4:$C$66""),INDIRECT(""'""&amp;CE$1&amp;""'!$D$4:$D$66"")=CE$2),$G$3:$BQ$3,$G51:$BQ51)))"),-0.09610930290322577)</f>
        <v>-0.0961093029</v>
      </c>
      <c r="CF51" s="207" t="str">
        <f>IFERROR(__xludf.DUMMYFUNCTION("IF(OR(CE51&gt;$BS51+$BT51*$BT$2,CE51&lt;$BS51-$BT51*$BT$2),AVEDEV(ARRAYFORMULA(XLOOKUP(FILTER(INDIRECT(""'""&amp;CE$1&amp;""'!$C$4:$C$66""),INDIRECT(""'""&amp;CE$1&amp;""'!$D$4:$D$66"")=CE$2),$G$3:$BQ$3,$G51:$BQ51))),"""")"),"")</f>
        <v/>
      </c>
      <c r="CG51" s="207">
        <f>IFERROR(__xludf.DUMMYFUNCTION("AVERAGE(ARRAYFORMULA(XLOOKUP(FILTER(INDIRECT(""'""&amp;CG$1&amp;""'!$C$4:$C$66""),INDIRECT(""'""&amp;CG$1&amp;""'!$D$4:$D$66"")=CG$2),$G$3:$BQ$3,$G51:$BQ51)))"),0.06585572800000002)</f>
        <v>0.065855728</v>
      </c>
      <c r="CH51" s="207" t="str">
        <f>IFERROR(__xludf.DUMMYFUNCTION("IF(OR(CG51&gt;$BS51+$BT51*$BT$2,CG51&lt;$BS51-$BT51*$BT$2),AVEDEV(ARRAYFORMULA(XLOOKUP(FILTER(INDIRECT(""'""&amp;CG$1&amp;""'!$C$4:$C$66""),INDIRECT(""'""&amp;CG$1&amp;""'!$D$4:$D$66"")=CG$2),$G$3:$BQ$3,$G51:$BQ51))),"""")"),"")</f>
        <v/>
      </c>
      <c r="CI51" s="206"/>
      <c r="CJ51" s="251">
        <f>IFERROR(__xludf.DUMMYFUNCTION("AVERAGE(ARRAYFORMULA(XLOOKUP(FILTER(INDIRECT(""'""&amp;CJ$1&amp;""'!$C$4:$C$66""),INDIRECT(""'""&amp;CJ$1&amp;""'!$D$4:$D$66"")=CJ$2),$G$3:$BQ$3,$G51:$BQ51)))"),-0.27691614866666664)</f>
        <v>-0.2769161487</v>
      </c>
      <c r="CK51" s="207" t="str">
        <f>IFERROR(__xludf.DUMMYFUNCTION("IF(OR(CJ51&gt;$BS51+$BT51*$BT$2,CJ51&lt;$BS51-$BT51*$BT$2),AVEDEV(ARRAYFORMULA(XLOOKUP(FILTER(INDIRECT(""'""&amp;CJ$1&amp;""'!$C$4:$C$66""),INDIRECT(""'""&amp;CJ$1&amp;""'!$D$4:$D$66"")=CJ$2),$G$3:$BQ$3,$G51:$BQ51))),"""")"),"")</f>
        <v/>
      </c>
      <c r="CL51" s="251">
        <f>IFERROR(__xludf.DUMMYFUNCTION("AVERAGE(ARRAYFORMULA(XLOOKUP(FILTER(INDIRECT(""'""&amp;CL$1&amp;""'!$C$4:$C$66""),INDIRECT(""'""&amp;CL$1&amp;""'!$D$4:$D$66"")=CL$2),$G$3:$BQ$3,$G51:$BQ51)))"),0.15717745205128208)</f>
        <v>0.1571774521</v>
      </c>
      <c r="CM51" s="207" t="str">
        <f>IFERROR(__xludf.DUMMYFUNCTION("IF(OR(CL51&gt;$BS51+$BT51*$BT$2,CL51&lt;$BS51-$BT51*$BT$2),AVEDEV(ARRAYFORMULA(XLOOKUP(FILTER(INDIRECT(""'""&amp;CL$1&amp;""'!$C$4:$C$66""),INDIRECT(""'""&amp;CL$1&amp;""'!$D$4:$D$66"")=CL$2),$G$3:$BQ$3,$G51:$BQ51))),"""")"),"")</f>
        <v/>
      </c>
      <c r="CN51" s="251">
        <f>IFERROR(__xludf.DUMMYFUNCTION("AVERAGE(ARRAYFORMULA(XLOOKUP(FILTER(INDIRECT(""'""&amp;CN$1&amp;""'!$C$4:$C$66""),INDIRECT(""'""&amp;CN$1&amp;""'!$D$4:$D$66"")=CN$2),$G$3:$BQ$3,$G51:$BQ51)))"),0.06585572800000002)</f>
        <v>0.065855728</v>
      </c>
      <c r="CO51" s="207" t="str">
        <f>IFERROR(__xludf.DUMMYFUNCTION("IF(OR(CN51&gt;$BS51+$BT51*$BT$2,CN51&lt;$BS51-$BT51*$BT$2),AVEDEV(ARRAYFORMULA(XLOOKUP(FILTER(INDIRECT(""'""&amp;CN$1&amp;""'!$C$4:$C$66""),INDIRECT(""'""&amp;CN$1&amp;""'!$D$4:$D$66"")=CN$2),$G$3:$BQ$3,$G51:$BQ51))),"""")"),"")</f>
        <v/>
      </c>
      <c r="CP51" s="252"/>
      <c r="CQ51" s="251">
        <f>IFERROR(__xludf.DUMMYFUNCTION("AVERAGE(ARRAYFORMULA(XLOOKUP(FILTER(INDIRECT(""'""&amp;CQ$1&amp;""'!$C$4:$C$66""),INDIRECT(""'""&amp;CQ$1&amp;""'!$D$4:$D$66"")=CQ$2),$G$3:$BQ$3,$G51:$BQ51)))"),0.361788915)</f>
        <v>0.361788915</v>
      </c>
      <c r="CR51" s="207" t="str">
        <f>IFERROR(__xludf.DUMMYFUNCTION("IF(OR(CQ51&gt;$BS51+$BT51*$BT$2,CQ51&lt;$BS51-$BT51*$BT$2),AVEDEV(ARRAYFORMULA(XLOOKUP(FILTER(INDIRECT(""'""&amp;CQ$1&amp;""'!$C$4:$C$66""),INDIRECT(""'""&amp;CQ$1&amp;""'!$D$4:$D$66"")=CQ$2),$G$3:$BQ$3,$G51:$BQ51))),"""")"),"")</f>
        <v/>
      </c>
      <c r="CS51" s="251">
        <f>IFERROR(__xludf.DUMMYFUNCTION("AVERAGE(ARRAYFORMULA(XLOOKUP(FILTER(INDIRECT(""'""&amp;CS$1&amp;""'!$C$4:$C$66""),INDIRECT(""'""&amp;CS$1&amp;""'!$D$4:$D$66"")=CS$2),$G$3:$BQ$3,$G51:$BQ51)))"),-0.18032325333333332)</f>
        <v>-0.1803232533</v>
      </c>
      <c r="CT51" s="207" t="str">
        <f>IFERROR(__xludf.DUMMYFUNCTION("IF(OR(CS51&gt;$BS51+$BT51*$BT$2,CS51&lt;$BS51-$BT51*$BT$2),AVEDEV(ARRAYFORMULA(XLOOKUP(FILTER(INDIRECT(""'""&amp;CS$1&amp;""'!$C$4:$C$66""),INDIRECT(""'""&amp;CS$1&amp;""'!$D$4:$D$66"")=CS$2),$G$3:$BQ$3,$G51:$BQ51))),"""")"),"")</f>
        <v/>
      </c>
      <c r="CU51" s="251">
        <f>IFERROR(__xludf.DUMMYFUNCTION("AVERAGE(ARRAYFORMULA(XLOOKUP(FILTER(INDIRECT(""'""&amp;CU$1&amp;""'!$C$4:$C$66""),INDIRECT(""'""&amp;CU$1&amp;""'!$D$4:$D$66"")=CU$2),$G$3:$BQ$3,$G51:$BQ51)))"),-0.2584896027272727)</f>
        <v>-0.2584896027</v>
      </c>
      <c r="CV51" s="207" t="str">
        <f>IFERROR(__xludf.DUMMYFUNCTION("IF(OR(CU51&gt;$BS51+$BT51*$BT$2,CU51&lt;$BS51-$BT51*$BT$2),AVEDEV(ARRAYFORMULA(XLOOKUP(FILTER(INDIRECT(""'""&amp;CU$1&amp;""'!$C$4:$C$66""),INDIRECT(""'""&amp;CU$1&amp;""'!$D$4:$D$66"")=CU$2),$G$3:$BQ$3,$G51:$BQ51))),"""")"),"")</f>
        <v/>
      </c>
      <c r="CW51" s="251">
        <f>IFERROR(__xludf.DUMMYFUNCTION("AVERAGE(ARRAYFORMULA(XLOOKUP(FILTER(INDIRECT(""'""&amp;CW$1&amp;""'!$C$4:$C$66""),INDIRECT(""'""&amp;CW$1&amp;""'!$D$4:$D$66"")=CW$2),$G$3:$BQ$3,$G51:$BQ51)))"),0.584389255)</f>
        <v>0.584389255</v>
      </c>
      <c r="CX51" s="207" t="str">
        <f>IFERROR(__xludf.DUMMYFUNCTION("IF(OR(CW51&gt;$BS51+$BT51*$BT$2,CW51&lt;$BS51-$BT51*$BT$2),AVEDEV(ARRAYFORMULA(XLOOKUP(FILTER(INDIRECT(""'""&amp;CW$1&amp;""'!$C$4:$C$66""),INDIRECT(""'""&amp;CW$1&amp;""'!$D$4:$D$66"")=CW$2),$G$3:$BQ$3,$G51:$BQ51))),"""")"),"")</f>
        <v/>
      </c>
      <c r="CY51" s="251">
        <f>IFERROR(__xludf.DUMMYFUNCTION("AVERAGE(ARRAYFORMULA(XLOOKUP(FILTER(INDIRECT(""'""&amp;CY$1&amp;""'!$C$4:$C$66""),INDIRECT(""'""&amp;CY$1&amp;""'!$D$4:$D$66"")=CY$2),$G$3:$BQ$3,$G51:$BQ51)))"),-0.011814250714285704)</f>
        <v>-0.01181425071</v>
      </c>
      <c r="CZ51" s="207" t="str">
        <f>IFERROR(__xludf.DUMMYFUNCTION("IF(OR(CY51&gt;$BS51+$BT51*$BT$2,CY51&lt;$BS51-$BT51*$BT$2),AVEDEV(ARRAYFORMULA(XLOOKUP(FILTER(INDIRECT(""'""&amp;CY$1&amp;""'!$C$4:$C$66""),INDIRECT(""'""&amp;CY$1&amp;""'!$D$4:$D$66"")=CY$2),$G$3:$BQ$3,$G51:$BQ51))),"""")"),"")</f>
        <v/>
      </c>
      <c r="DA51" s="252"/>
      <c r="DB51" s="251">
        <f>IFERROR(__xludf.DUMMYFUNCTION("AVERAGE(ARRAYFORMULA(XLOOKUP(FILTER(INDIRECT(""'""&amp;DB$1&amp;""'!$C$4:$C$66""),INDIRECT(""'""&amp;DB$1&amp;""'!$D$4:$D$66"")=DB$2),$G$3:$BQ$3,$G51:$BQ51)))"),0.23590696800000005)</f>
        <v>0.235906968</v>
      </c>
      <c r="DC51" s="207" t="str">
        <f>IFERROR(__xludf.DUMMYFUNCTION("IF(OR(DB51&gt;$BS51+$BT51*$BT$2,DB51&lt;$BS51-$BT51*$BT$2),AVEDEV(ARRAYFORMULA(XLOOKUP(FILTER(INDIRECT(""'""&amp;DB$1&amp;""'!$C$4:$C$66""),INDIRECT(""'""&amp;DB$1&amp;""'!$D$4:$D$66"")=DB$2),$G$3:$BQ$3,$G51:$BQ51))),"""")"),"")</f>
        <v/>
      </c>
      <c r="DD51" s="251">
        <f>IFERROR(__xludf.DUMMYFUNCTION("AVERAGE(ARRAYFORMULA(XLOOKUP(FILTER(INDIRECT(""'""&amp;DD$1&amp;""'!$C$4:$C$66""),INDIRECT(""'""&amp;DD$1&amp;""'!$D$4:$D$66"")=DD$2),$G$3:$BQ$3,$G51:$BQ51)))"),-0.3836796822222222)</f>
        <v>-0.3836796822</v>
      </c>
      <c r="DE51" s="207" t="str">
        <f>IFERROR(__xludf.DUMMYFUNCTION("IF(OR(DD51&gt;$BS51+$BT51*$BT$2,DD51&lt;$BS51-$BT51*$BT$2),AVEDEV(ARRAYFORMULA(XLOOKUP(FILTER(INDIRECT(""'""&amp;DD$1&amp;""'!$C$4:$C$66""),INDIRECT(""'""&amp;DD$1&amp;""'!$D$4:$D$66"")=DD$2),$G$3:$BQ$3,$G51:$BQ51))),"""")"),"")</f>
        <v/>
      </c>
      <c r="DF51" s="251">
        <f>IFERROR(__xludf.DUMMYFUNCTION("AVERAGE(ARRAYFORMULA(XLOOKUP(FILTER(INDIRECT(""'""&amp;DF$1&amp;""'!$C$4:$C$66""),INDIRECT(""'""&amp;DF$1&amp;""'!$D$4:$D$66"")=DF$2),$G$3:$BQ$3,$G51:$BQ51)))"),-0.539047975)</f>
        <v>-0.539047975</v>
      </c>
      <c r="DG51" s="207" t="str">
        <f>IFERROR(__xludf.DUMMYFUNCTION("IF(OR(DF51&gt;$BS51+$BT51*$BT$2,DF51&lt;$BS51-$BT51*$BT$2),AVEDEV(ARRAYFORMULA(XLOOKUP(FILTER(INDIRECT(""'""&amp;DF$1&amp;""'!$C$4:$C$66""),INDIRECT(""'""&amp;DF$1&amp;""'!$D$4:$D$66"")=DF$2),$G$3:$BQ$3,$G51:$BQ51))),"""")"),"")</f>
        <v/>
      </c>
      <c r="DH51" s="251">
        <f>IFERROR(__xludf.DUMMYFUNCTION("AVERAGE(ARRAYFORMULA(XLOOKUP(FILTER(INDIRECT(""'""&amp;DH$1&amp;""'!$C$4:$C$66""),INDIRECT(""'""&amp;DH$1&amp;""'!$D$4:$D$66"")=DH$2),$G$3:$BQ$3,$G51:$BQ51)))"),0.38553810333333327)</f>
        <v>0.3855381033</v>
      </c>
      <c r="DI51" s="207" t="str">
        <f>IFERROR(__xludf.DUMMYFUNCTION("IF(OR(DH51&gt;$BS51+$BT51*$BT$2,DH51&lt;$BS51-$BT51*$BT$2),AVEDEV(ARRAYFORMULA(XLOOKUP(FILTER(INDIRECT(""'""&amp;DH$1&amp;""'!$C$4:$C$66""),INDIRECT(""'""&amp;DH$1&amp;""'!$D$4:$D$66"")=DH$2),$G$3:$BQ$3,$G51:$BQ51))),"""")"),"")</f>
        <v/>
      </c>
      <c r="DJ51" s="243"/>
    </row>
    <row r="52">
      <c r="A52" s="2"/>
      <c r="B52" s="204">
        <v>48.0</v>
      </c>
      <c r="C52" s="204" t="s">
        <v>482</v>
      </c>
      <c r="D52" s="204" t="s">
        <v>492</v>
      </c>
      <c r="E52" s="205" t="b">
        <f>VLOOKUP(D52,'Feature Set List'!A49:C246,2,0)</f>
        <v>1</v>
      </c>
      <c r="F52" s="205" t="b">
        <f>VLOOKUP(D52,'Feature Set List'!A49:C246,3,0)</f>
        <v>1</v>
      </c>
      <c r="G52" s="205">
        <v>0.51554404</v>
      </c>
      <c r="H52" s="205">
        <v>0.64162349</v>
      </c>
      <c r="I52" s="205">
        <v>0.10276339</v>
      </c>
      <c r="J52" s="205">
        <v>-0.2504318</v>
      </c>
      <c r="K52" s="205">
        <v>3.00777202</v>
      </c>
      <c r="L52" s="205">
        <v>-0.2469775</v>
      </c>
      <c r="M52" s="205">
        <v>-1.052677</v>
      </c>
      <c r="N52" s="205">
        <v>-0.2962003</v>
      </c>
      <c r="O52" s="205">
        <v>-1.182038</v>
      </c>
      <c r="P52" s="205">
        <v>-0.4602763</v>
      </c>
      <c r="Q52" s="205">
        <v>0.4507772</v>
      </c>
      <c r="R52" s="205">
        <v>-0.552677</v>
      </c>
      <c r="S52" s="205">
        <v>-0.4974093</v>
      </c>
      <c r="T52" s="205">
        <v>0.16234888</v>
      </c>
      <c r="U52" s="205">
        <v>1.18998273</v>
      </c>
      <c r="V52" s="205">
        <v>0.35405872</v>
      </c>
      <c r="W52" s="205">
        <v>-0.8048359</v>
      </c>
      <c r="X52" s="205">
        <v>-1.2417098</v>
      </c>
      <c r="Y52" s="205">
        <v>-0.3290155</v>
      </c>
      <c r="Z52" s="205">
        <v>0.29533679</v>
      </c>
      <c r="AA52" s="205">
        <v>-0.119171</v>
      </c>
      <c r="AB52" s="205">
        <v>-1.1018998</v>
      </c>
      <c r="AC52" s="205">
        <v>-0.619171</v>
      </c>
      <c r="AD52" s="205">
        <v>1.4015544</v>
      </c>
      <c r="AE52" s="205">
        <v>0.99050086</v>
      </c>
      <c r="AF52" s="205">
        <v>0.3791019</v>
      </c>
      <c r="AG52" s="205">
        <v>-0.9188256</v>
      </c>
      <c r="AH52" s="205">
        <v>-0.9041451</v>
      </c>
      <c r="AI52" s="205">
        <v>-0.4231434</v>
      </c>
      <c r="AJ52" s="205">
        <v>-1.4104491</v>
      </c>
      <c r="AK52" s="205">
        <v>0.0</v>
      </c>
      <c r="AL52" s="205">
        <v>-0.3411054</v>
      </c>
      <c r="AM52" s="205">
        <v>2.05440415</v>
      </c>
      <c r="AN52" s="205">
        <v>-0.7020725</v>
      </c>
      <c r="AO52" s="205">
        <v>0.07944732</v>
      </c>
      <c r="AP52" s="205">
        <v>-0.2037997</v>
      </c>
      <c r="AQ52" s="205">
        <v>0.51468048</v>
      </c>
      <c r="AR52" s="205">
        <v>-0.6476684</v>
      </c>
      <c r="AS52" s="205">
        <v>0.13212435</v>
      </c>
      <c r="AT52" s="205">
        <v>0.12176166</v>
      </c>
      <c r="AU52" s="205">
        <v>-0.7322971</v>
      </c>
      <c r="AV52" s="205">
        <v>-0.9058722</v>
      </c>
      <c r="AW52" s="205">
        <v>0.01468048</v>
      </c>
      <c r="AX52" s="205">
        <v>0.14766839</v>
      </c>
      <c r="AY52" s="205">
        <v>-1.4978411</v>
      </c>
      <c r="AZ52" s="205">
        <v>-0.4611399</v>
      </c>
      <c r="BA52" s="205">
        <v>-0.6614853</v>
      </c>
      <c r="BB52" s="205">
        <v>0.52072539</v>
      </c>
      <c r="BC52" s="205">
        <v>-0.2858377</v>
      </c>
      <c r="BD52" s="205">
        <v>0.88773748</v>
      </c>
      <c r="BE52" s="205">
        <v>-0.8618307</v>
      </c>
      <c r="BF52" s="205">
        <v>0.92314335</v>
      </c>
      <c r="BG52" s="205">
        <v>0.07772021</v>
      </c>
      <c r="BH52" s="205">
        <v>1.64594128</v>
      </c>
      <c r="BI52" s="205">
        <v>0.72366149</v>
      </c>
      <c r="BJ52" s="205">
        <v>-0.3151986</v>
      </c>
      <c r="BK52" s="205">
        <v>0.05872193</v>
      </c>
      <c r="BL52" s="205">
        <v>0.25647668</v>
      </c>
      <c r="BM52" s="205">
        <v>0.13298791</v>
      </c>
      <c r="BN52" s="205">
        <v>0.63989637</v>
      </c>
      <c r="BO52" s="205">
        <v>0.11830743</v>
      </c>
      <c r="BP52" s="205">
        <v>0.15803109</v>
      </c>
      <c r="BQ52" s="205">
        <v>-1.1850604</v>
      </c>
      <c r="BR52" s="206"/>
      <c r="BS52" s="250">
        <f t="shared" si="1"/>
        <v>-0.0398854054</v>
      </c>
      <c r="BT52" s="250">
        <f t="shared" si="2"/>
        <v>0.6341528518</v>
      </c>
      <c r="BU52" s="206"/>
      <c r="BV52" s="207">
        <f>IFERROR(__xludf.DUMMYFUNCTION("AVERAGE(ARRAYFORMULA(XLOOKUP(FILTER(INDIRECT(""'""&amp;BV$1&amp;""'!$C$4:$C$66""),INDIRECT(""'""&amp;BV$1&amp;""'!$D$4:$D$66"")=BV$2),$G$3:$BQ$3,$G52:$BQ52)))"),-0.22210706857142856)</f>
        <v>-0.2221070686</v>
      </c>
      <c r="BW52" s="207" t="str">
        <f>IFERROR(__xludf.DUMMYFUNCTION("IF(OR(BV52&gt;$BS52+$BT52*$BT$2,BV52&lt;$BS52-$BT52*$BT$2),AVEDEV(ARRAYFORMULA(XLOOKUP(FILTER(INDIRECT(""'""&amp;BV$1&amp;""'!$C$4:$C$66""),INDIRECT(""'""&amp;BV$1&amp;""'!$D$4:$D$66"")=BV$2),$G$3:$BQ$3,$G52:$BQ52))),"""")"),"")</f>
        <v/>
      </c>
      <c r="BX52" s="207">
        <f>IFERROR(__xludf.DUMMYFUNCTION("AVERAGE(ARRAYFORMULA(XLOOKUP(FILTER(INDIRECT(""'""&amp;BX$1&amp;""'!$C$4:$C$66""),INDIRECT(""'""&amp;BX$1&amp;""'!$D$4:$D$66"")=BX$2),$G$3:$BQ$3,$G52:$BQ52)))"),0.03833785333333334)</f>
        <v>0.03833785333</v>
      </c>
      <c r="BY52" s="207" t="str">
        <f>IFERROR(__xludf.DUMMYFUNCTION("IF(OR(BX52&gt;$BS52+$BT52*$BT$2,BX52&lt;$BS52-$BT52*$BT$2),AVEDEV(ARRAYFORMULA(XLOOKUP(FILTER(INDIRECT(""'""&amp;BX$1&amp;""'!$C$4:$C$66""),INDIRECT(""'""&amp;BX$1&amp;""'!$D$4:$D$66"")=BX$2),$G$3:$BQ$3,$G52:$BQ52))),"""")"),"")</f>
        <v/>
      </c>
      <c r="BZ52" s="207">
        <f>IFERROR(__xludf.DUMMYFUNCTION("AVERAGE(ARRAYFORMULA(XLOOKUP(FILTER(INDIRECT(""'""&amp;BZ$1&amp;""'!$C$4:$C$66""),INDIRECT(""'""&amp;BZ$1&amp;""'!$D$4:$D$66"")=BZ$2),$G$3:$BQ$3,$G52:$BQ52)))"),-0.2569476972727273)</f>
        <v>-0.2569476973</v>
      </c>
      <c r="CA52" s="207" t="str">
        <f>IFERROR(__xludf.DUMMYFUNCTION("IF(OR(BZ52&gt;$BS52+$BT52*$BT$2,BZ52&lt;$BS52-$BT52*$BT$2),AVEDEV(ARRAYFORMULA(XLOOKUP(FILTER(INDIRECT(""'""&amp;BZ$1&amp;""'!$C$4:$C$66""),INDIRECT(""'""&amp;BZ$1&amp;""'!$D$4:$D$66"")=BZ$2),$G$3:$BQ$3,$G52:$BQ52))),"""")"),"")</f>
        <v/>
      </c>
      <c r="CB52" s="209"/>
      <c r="CC52" s="207">
        <f>IFERROR(__xludf.DUMMYFUNCTION("AVERAGE(ARRAYFORMULA(XLOOKUP(FILTER(INDIRECT(""'""&amp;CC$1&amp;""'!$C$4:$C$66""),INDIRECT(""'""&amp;CC$1&amp;""'!$D$4:$D$66"")=CC$2),$G$3:$BQ$3,$G52:$BQ52)))"),0.38665802375)</f>
        <v>0.3866580238</v>
      </c>
      <c r="CD52" s="207" t="str">
        <f>IFERROR(__xludf.DUMMYFUNCTION("IF(OR(CC52&gt;$BS52+$BT52*$BT$2,CC52&lt;$BS52-$BT52*$BT$2),AVEDEV(ARRAYFORMULA(XLOOKUP(FILTER(INDIRECT(""'""&amp;CC$1&amp;""'!$C$4:$C$66""),INDIRECT(""'""&amp;CC$1&amp;""'!$D$4:$D$66"")=CC$2),$G$3:$BQ$3,$G52:$BQ52))),"""")"),"")</f>
        <v/>
      </c>
      <c r="CE52" s="207">
        <f>IFERROR(__xludf.DUMMYFUNCTION("AVERAGE(ARRAYFORMULA(XLOOKUP(FILTER(INDIRECT(""'""&amp;CE$1&amp;""'!$C$4:$C$66""),INDIRECT(""'""&amp;CE$1&amp;""'!$D$4:$D$66"")=CE$2),$G$3:$BQ$3,$G52:$BQ52)))"),-0.24416122903225815)</f>
        <v>-0.244161229</v>
      </c>
      <c r="CF52" s="207" t="str">
        <f>IFERROR(__xludf.DUMMYFUNCTION("IF(OR(CE52&gt;$BS52+$BT52*$BT$2,CE52&lt;$BS52-$BT52*$BT$2),AVEDEV(ARRAYFORMULA(XLOOKUP(FILTER(INDIRECT(""'""&amp;CE$1&amp;""'!$C$4:$C$66""),INDIRECT(""'""&amp;CE$1&amp;""'!$D$4:$D$66"")=CE$2),$G$3:$BQ$3,$G52:$BQ52))),"""")"),"")</f>
        <v/>
      </c>
      <c r="CG52" s="207">
        <f>IFERROR(__xludf.DUMMYFUNCTION("AVERAGE(ARRAYFORMULA(XLOOKUP(FILTER(INDIRECT(""'""&amp;CG$1&amp;""'!$C$4:$C$66""),INDIRECT(""'""&amp;CG$1&amp;""'!$D$4:$D$66"")=CG$2),$G$3:$BQ$3,$G52:$BQ52)))"),-0.14991363200000002)</f>
        <v>-0.149913632</v>
      </c>
      <c r="CH52" s="207" t="str">
        <f>IFERROR(__xludf.DUMMYFUNCTION("IF(OR(CG52&gt;$BS52+$BT52*$BT$2,CG52&lt;$BS52-$BT52*$BT$2),AVEDEV(ARRAYFORMULA(XLOOKUP(FILTER(INDIRECT(""'""&amp;CG$1&amp;""'!$C$4:$C$66""),INDIRECT(""'""&amp;CG$1&amp;""'!$D$4:$D$66"")=CG$2),$G$3:$BQ$3,$G52:$BQ52))),"""")"),"")</f>
        <v/>
      </c>
      <c r="CI52" s="206"/>
      <c r="CJ52" s="251">
        <f>IFERROR(__xludf.DUMMYFUNCTION("AVERAGE(ARRAYFORMULA(XLOOKUP(FILTER(INDIRECT(""'""&amp;CJ$1&amp;""'!$C$4:$C$66""),INDIRECT(""'""&amp;CJ$1&amp;""'!$D$4:$D$66"")=CJ$2),$G$3:$BQ$3,$G52:$BQ52)))"),-0.12555554533333332)</f>
        <v>-0.1255555453</v>
      </c>
      <c r="CK52" s="207" t="str">
        <f>IFERROR(__xludf.DUMMYFUNCTION("IF(OR(CJ52&gt;$BS52+$BT52*$BT$2,CJ52&lt;$BS52-$BT52*$BT$2),AVEDEV(ARRAYFORMULA(XLOOKUP(FILTER(INDIRECT(""'""&amp;CJ$1&amp;""'!$C$4:$C$66""),INDIRECT(""'""&amp;CJ$1&amp;""'!$D$4:$D$66"")=CJ$2),$G$3:$BQ$3,$G52:$BQ52))),"""")"),"")</f>
        <v/>
      </c>
      <c r="CL52" s="251">
        <f>IFERROR(__xludf.DUMMYFUNCTION("AVERAGE(ARRAYFORMULA(XLOOKUP(FILTER(INDIRECT(""'""&amp;CL$1&amp;""'!$C$4:$C$66""),INDIRECT(""'""&amp;CL$1&amp;""'!$D$4:$D$66"")=CL$2),$G$3:$BQ$3,$G52:$BQ52)))"),-0.010116914102564113)</f>
        <v>-0.0101169141</v>
      </c>
      <c r="CM52" s="207" t="str">
        <f>IFERROR(__xludf.DUMMYFUNCTION("IF(OR(CL52&gt;$BS52+$BT52*$BT$2,CL52&lt;$BS52-$BT52*$BT$2),AVEDEV(ARRAYFORMULA(XLOOKUP(FILTER(INDIRECT(""'""&amp;CL$1&amp;""'!$C$4:$C$66""),INDIRECT(""'""&amp;CL$1&amp;""'!$D$4:$D$66"")=CL$2),$G$3:$BQ$3,$G52:$BQ52))),"""")"),"")</f>
        <v/>
      </c>
      <c r="CN52" s="251">
        <f>IFERROR(__xludf.DUMMYFUNCTION("AVERAGE(ARRAYFORMULA(XLOOKUP(FILTER(INDIRECT(""'""&amp;CN$1&amp;""'!$C$4:$C$66""),INDIRECT(""'""&amp;CN$1&amp;""'!$D$4:$D$66"")=CN$2),$G$3:$BQ$3,$G52:$BQ52)))"),-0.14991363200000002)</f>
        <v>-0.149913632</v>
      </c>
      <c r="CO52" s="207" t="str">
        <f>IFERROR(__xludf.DUMMYFUNCTION("IF(OR(CN52&gt;$BS52+$BT52*$BT$2,CN52&lt;$BS52-$BT52*$BT$2),AVEDEV(ARRAYFORMULA(XLOOKUP(FILTER(INDIRECT(""'""&amp;CN$1&amp;""'!$C$4:$C$66""),INDIRECT(""'""&amp;CN$1&amp;""'!$D$4:$D$66"")=CN$2),$G$3:$BQ$3,$G52:$BQ52))),"""")"),"")</f>
        <v/>
      </c>
      <c r="CP52" s="252"/>
      <c r="CQ52" s="251">
        <f>IFERROR(__xludf.DUMMYFUNCTION("AVERAGE(ARRAYFORMULA(XLOOKUP(FILTER(INDIRECT(""'""&amp;CQ$1&amp;""'!$C$4:$C$66""),INDIRECT(""'""&amp;CQ$1&amp;""'!$D$4:$D$66"")=CQ$2),$G$3:$BQ$3,$G52:$BQ52)))"),0.07599307928571429)</f>
        <v>0.07599307929</v>
      </c>
      <c r="CR52" s="207" t="str">
        <f>IFERROR(__xludf.DUMMYFUNCTION("IF(OR(CQ52&gt;$BS52+$BT52*$BT$2,CQ52&lt;$BS52-$BT52*$BT$2),AVEDEV(ARRAYFORMULA(XLOOKUP(FILTER(INDIRECT(""'""&amp;CQ$1&amp;""'!$C$4:$C$66""),INDIRECT(""'""&amp;CQ$1&amp;""'!$D$4:$D$66"")=CQ$2),$G$3:$BQ$3,$G52:$BQ52))),"""")"),"")</f>
        <v/>
      </c>
      <c r="CS52" s="251">
        <f>IFERROR(__xludf.DUMMYFUNCTION("AVERAGE(ARRAYFORMULA(XLOOKUP(FILTER(INDIRECT(""'""&amp;CS$1&amp;""'!$C$4:$C$66""),INDIRECT(""'""&amp;CS$1&amp;""'!$D$4:$D$66"")=CS$2),$G$3:$BQ$3,$G52:$BQ52)))"),-0.27758585333333335)</f>
        <v>-0.2775858533</v>
      </c>
      <c r="CT52" s="207" t="str">
        <f>IFERROR(__xludf.DUMMYFUNCTION("IF(OR(CS52&gt;$BS52+$BT52*$BT$2,CS52&lt;$BS52-$BT52*$BT$2),AVEDEV(ARRAYFORMULA(XLOOKUP(FILTER(INDIRECT(""'""&amp;CS$1&amp;""'!$C$4:$C$66""),INDIRECT(""'""&amp;CS$1&amp;""'!$D$4:$D$66"")=CS$2),$G$3:$BQ$3,$G52:$BQ52))),"""")"),"")</f>
        <v/>
      </c>
      <c r="CU52" s="251">
        <f>IFERROR(__xludf.DUMMYFUNCTION("AVERAGE(ARRAYFORMULA(XLOOKUP(FILTER(INDIRECT(""'""&amp;CU$1&amp;""'!$C$4:$C$66""),INDIRECT(""'""&amp;CU$1&amp;""'!$D$4:$D$66"")=CU$2),$G$3:$BQ$3,$G52:$BQ52)))"),-0.2033286227272728)</f>
        <v>-0.2033286227</v>
      </c>
      <c r="CV52" s="207" t="str">
        <f>IFERROR(__xludf.DUMMYFUNCTION("IF(OR(CU52&gt;$BS52+$BT52*$BT$2,CU52&lt;$BS52-$BT52*$BT$2),AVEDEV(ARRAYFORMULA(XLOOKUP(FILTER(INDIRECT(""'""&amp;CU$1&amp;""'!$C$4:$C$66""),INDIRECT(""'""&amp;CU$1&amp;""'!$D$4:$D$66"")=CU$2),$G$3:$BQ$3,$G52:$BQ52))),"""")"),"")</f>
        <v/>
      </c>
      <c r="CW52" s="251">
        <f>IFERROR(__xludf.DUMMYFUNCTION("AVERAGE(ARRAYFORMULA(XLOOKUP(FILTER(INDIRECT(""'""&amp;CW$1&amp;""'!$C$4:$C$66""),INDIRECT(""'""&amp;CW$1&amp;""'!$D$4:$D$66"")=CW$2),$G$3:$BQ$3,$G52:$BQ52)))"),1.52374784)</f>
        <v>1.52374784</v>
      </c>
      <c r="CX52" s="207">
        <f>IFERROR(__xludf.DUMMYFUNCTION("IF(OR(CW52&gt;$BS52+$BT52*$BT$2,CW52&lt;$BS52-$BT52*$BT$2),AVEDEV(ARRAYFORMULA(XLOOKUP(FILTER(INDIRECT(""'""&amp;CW$1&amp;""'!$C$4:$C$66""),INDIRECT(""'""&amp;CW$1&amp;""'!$D$4:$D$66"")=CW$2),$G$3:$BQ$3,$G52:$BQ52))),"""")"),0.12219343999999999)</f>
        <v>0.12219344</v>
      </c>
      <c r="CY52" s="251">
        <f>IFERROR(__xludf.DUMMYFUNCTION("AVERAGE(ARRAYFORMULA(XLOOKUP(FILTER(INDIRECT(""'""&amp;CY$1&amp;""'!$C$4:$C$66""),INDIRECT(""'""&amp;CY$1&amp;""'!$D$4:$D$66"")=CY$2),$G$3:$BQ$3,$G52:$BQ52)))"),-0.276116455)</f>
        <v>-0.276116455</v>
      </c>
      <c r="CZ52" s="207" t="str">
        <f>IFERROR(__xludf.DUMMYFUNCTION("IF(OR(CY52&gt;$BS52+$BT52*$BT$2,CY52&lt;$BS52-$BT52*$BT$2),AVEDEV(ARRAYFORMULA(XLOOKUP(FILTER(INDIRECT(""'""&amp;CY$1&amp;""'!$C$4:$C$66""),INDIRECT(""'""&amp;CY$1&amp;""'!$D$4:$D$66"")=CY$2),$G$3:$BQ$3,$G52:$BQ52))),"""")"),"")</f>
        <v/>
      </c>
      <c r="DA52" s="252"/>
      <c r="DB52" s="251">
        <f>IFERROR(__xludf.DUMMYFUNCTION("AVERAGE(ARRAYFORMULA(XLOOKUP(FILTER(INDIRECT(""'""&amp;DB$1&amp;""'!$C$4:$C$66""),INDIRECT(""'""&amp;DB$1&amp;""'!$D$4:$D$66"")=DB$2),$G$3:$BQ$3,$G52:$BQ52)))"),0.019248702333333357)</f>
        <v>0.01924870233</v>
      </c>
      <c r="DC52" s="207" t="str">
        <f>IFERROR(__xludf.DUMMYFUNCTION("IF(OR(DB52&gt;$BS52+$BT52*$BT$2,DB52&lt;$BS52-$BT52*$BT$2),AVEDEV(ARRAYFORMULA(XLOOKUP(FILTER(INDIRECT(""'""&amp;DB$1&amp;""'!$C$4:$C$66""),INDIRECT(""'""&amp;DB$1&amp;""'!$D$4:$D$66"")=DB$2),$G$3:$BQ$3,$G52:$BQ52))),"""")"),"")</f>
        <v/>
      </c>
      <c r="DD52" s="251">
        <f>IFERROR(__xludf.DUMMYFUNCTION("AVERAGE(ARRAYFORMULA(XLOOKUP(FILTER(INDIRECT(""'""&amp;DD$1&amp;""'!$C$4:$C$66""),INDIRECT(""'""&amp;DD$1&amp;""'!$D$4:$D$66"")=DD$2),$G$3:$BQ$3,$G52:$BQ52)))"),-0.3690270411111112)</f>
        <v>-0.3690270411</v>
      </c>
      <c r="DE52" s="207" t="str">
        <f>IFERROR(__xludf.DUMMYFUNCTION("IF(OR(DD52&gt;$BS52+$BT52*$BT$2,DD52&lt;$BS52-$BT52*$BT$2),AVEDEV(ARRAYFORMULA(XLOOKUP(FILTER(INDIRECT(""'""&amp;DD$1&amp;""'!$C$4:$C$66""),INDIRECT(""'""&amp;DD$1&amp;""'!$D$4:$D$66"")=DD$2),$G$3:$BQ$3,$G52:$BQ52))),"""")"),"")</f>
        <v/>
      </c>
      <c r="DF52" s="251">
        <f>IFERROR(__xludf.DUMMYFUNCTION("AVERAGE(ARRAYFORMULA(XLOOKUP(FILTER(INDIRECT(""'""&amp;DF$1&amp;""'!$C$4:$C$66""),INDIRECT(""'""&amp;DF$1&amp;""'!$D$4:$D$66"")=DF$2),$G$3:$BQ$3,$G52:$BQ52)))"),-0.56634283375)</f>
        <v>-0.5663428338</v>
      </c>
      <c r="DG52" s="207" t="str">
        <f>IFERROR(__xludf.DUMMYFUNCTION("IF(OR(DF52&gt;$BS52+$BT52*$BT$2,DF52&lt;$BS52-$BT52*$BT$2),AVEDEV(ARRAYFORMULA(XLOOKUP(FILTER(INDIRECT(""'""&amp;DF$1&amp;""'!$C$4:$C$66""),INDIRECT(""'""&amp;DF$1&amp;""'!$D$4:$D$66"")=DF$2),$G$3:$BQ$3,$G52:$BQ52))),"""")"),"")</f>
        <v/>
      </c>
      <c r="DH52" s="251">
        <f>IFERROR(__xludf.DUMMYFUNCTION("AVERAGE(ARRAYFORMULA(XLOOKUP(FILTER(INDIRECT(""'""&amp;DH$1&amp;""'!$C$4:$C$66""),INDIRECT(""'""&amp;DH$1&amp;""'!$D$4:$D$66"")=DH$2),$G$3:$BQ$3,$G52:$BQ52)))"),0.6729994288888889)</f>
        <v>0.6729994289</v>
      </c>
      <c r="DI52" s="207">
        <f>IFERROR(__xludf.DUMMYFUNCTION("IF(OR(DH52&gt;$BS52+$BT52*$BT$2,DH52&lt;$BS52-$BT52*$BT$2),AVEDEV(ARRAYFORMULA(XLOOKUP(FILTER(INDIRECT(""'""&amp;DH$1&amp;""'!$C$4:$C$66""),INDIRECT(""'""&amp;DH$1&amp;""'!$D$4:$D$66"")=DH$2),$G$3:$BQ$3,$G52:$BQ52))),"""")"),0.6850892318518519)</f>
        <v>0.6850892319</v>
      </c>
      <c r="DJ52" s="243"/>
    </row>
    <row r="53">
      <c r="A53" s="2"/>
      <c r="B53" s="204">
        <v>49.0</v>
      </c>
      <c r="C53" s="204" t="s">
        <v>482</v>
      </c>
      <c r="D53" s="204" t="s">
        <v>493</v>
      </c>
      <c r="E53" s="205" t="b">
        <f>VLOOKUP(D53,'Feature Set List'!A50:C246,2,0)</f>
        <v>1</v>
      </c>
      <c r="F53" s="205" t="b">
        <f>VLOOKUP(D53,'Feature Set List'!A50:C246,3,0)</f>
        <v>1</v>
      </c>
      <c r="G53" s="205">
        <v>0.26633137</v>
      </c>
      <c r="H53" s="205">
        <v>0.01485969</v>
      </c>
      <c r="I53" s="205">
        <v>0.19317597</v>
      </c>
      <c r="J53" s="205">
        <v>0.46750872</v>
      </c>
      <c r="K53" s="205">
        <v>-0.6804595</v>
      </c>
      <c r="L53" s="205">
        <v>0.22975367</v>
      </c>
      <c r="M53" s="205">
        <v>0.52351832</v>
      </c>
      <c r="N53" s="205">
        <v>-0.0777276</v>
      </c>
      <c r="O53" s="205">
        <v>-0.0560096</v>
      </c>
      <c r="P53" s="205">
        <v>-0.1840315</v>
      </c>
      <c r="Q53" s="205">
        <v>0.09030119</v>
      </c>
      <c r="R53" s="205">
        <v>-0.1303081</v>
      </c>
      <c r="S53" s="205">
        <v>-0.2766188</v>
      </c>
      <c r="T53" s="205">
        <v>0.14973996</v>
      </c>
      <c r="U53" s="205">
        <v>-0.7720181</v>
      </c>
      <c r="V53" s="205">
        <v>-0.0045722</v>
      </c>
      <c r="W53" s="205">
        <v>0.07086929</v>
      </c>
      <c r="X53" s="205">
        <v>-0.7204664</v>
      </c>
      <c r="Y53" s="205">
        <v>1.80259473</v>
      </c>
      <c r="Z53" s="205">
        <v>-0.761502</v>
      </c>
      <c r="AA53" s="205">
        <v>0.51551695</v>
      </c>
      <c r="AB53" s="205">
        <v>-0.779105</v>
      </c>
      <c r="AC53" s="205">
        <v>-0.2731897</v>
      </c>
      <c r="AD53" s="205">
        <v>-0.7900783</v>
      </c>
      <c r="AE53" s="205">
        <v>-0.7025204</v>
      </c>
      <c r="AF53" s="205">
        <v>0.18174544</v>
      </c>
      <c r="AG53" s="205">
        <v>1.67457278</v>
      </c>
      <c r="AH53" s="205">
        <v>-0.6949763</v>
      </c>
      <c r="AI53" s="205">
        <v>0.41149911</v>
      </c>
      <c r="AJ53" s="205">
        <v>0.70526376</v>
      </c>
      <c r="AK53" s="205">
        <v>0.42750186</v>
      </c>
      <c r="AL53" s="205">
        <v>0.93273133</v>
      </c>
      <c r="AM53" s="205">
        <v>0.0</v>
      </c>
      <c r="AN53" s="205">
        <v>0.17717323</v>
      </c>
      <c r="AO53" s="205">
        <v>1.13390867</v>
      </c>
      <c r="AP53" s="205">
        <v>1.01274504</v>
      </c>
      <c r="AQ53" s="205">
        <v>-0.1806024</v>
      </c>
      <c r="AR53" s="205">
        <v>-0.0342916</v>
      </c>
      <c r="AS53" s="205">
        <v>0.06401097</v>
      </c>
      <c r="AT53" s="205">
        <v>-0.2514717</v>
      </c>
      <c r="AU53" s="205">
        <v>-0.5276333</v>
      </c>
      <c r="AV53" s="205">
        <v>-1.1368806</v>
      </c>
      <c r="AW53" s="205">
        <v>1.09961708</v>
      </c>
      <c r="AX53" s="205">
        <v>-0.0480082</v>
      </c>
      <c r="AY53" s="205">
        <v>-1.2479854</v>
      </c>
      <c r="AZ53" s="205">
        <v>-0.856604</v>
      </c>
      <c r="BA53" s="205">
        <v>0.53837801</v>
      </c>
      <c r="BB53" s="205">
        <v>-0.0068583</v>
      </c>
      <c r="BC53" s="205">
        <v>-0.6459393</v>
      </c>
      <c r="BD53" s="205">
        <v>0.15202606</v>
      </c>
      <c r="BE53" s="205">
        <v>-1.1029319</v>
      </c>
      <c r="BF53" s="205">
        <v>0.20346345</v>
      </c>
      <c r="BG53" s="205">
        <v>0.8504315</v>
      </c>
      <c r="BH53" s="205">
        <v>-0.7800194</v>
      </c>
      <c r="BI53" s="205">
        <v>-0.7736183</v>
      </c>
      <c r="BJ53" s="205">
        <v>-0.5052295</v>
      </c>
      <c r="BK53" s="205">
        <v>0.41492827</v>
      </c>
      <c r="BL53" s="205">
        <v>-1.1567697</v>
      </c>
      <c r="BM53" s="205">
        <v>0.10058867</v>
      </c>
      <c r="BN53" s="205">
        <v>-0.1234497</v>
      </c>
      <c r="BO53" s="205">
        <v>2.63588044</v>
      </c>
      <c r="BP53" s="205">
        <v>0.32577013</v>
      </c>
      <c r="BQ53" s="205">
        <v>0.77384695</v>
      </c>
      <c r="BR53" s="206"/>
      <c r="BS53" s="250">
        <f t="shared" si="1"/>
        <v>0.02949802873</v>
      </c>
      <c r="BT53" s="250">
        <f t="shared" si="2"/>
        <v>0.5473159384</v>
      </c>
      <c r="BU53" s="206"/>
      <c r="BV53" s="207">
        <f>IFERROR(__xludf.DUMMYFUNCTION("AVERAGE(ARRAYFORMULA(XLOOKUP(FILTER(INDIRECT(""'""&amp;BV$1&amp;""'!$C$4:$C$66""),INDIRECT(""'""&amp;BV$1&amp;""'!$D$4:$D$66"")=BV$2),$G$3:$BQ$3,$G53:$BQ53)))"),-0.5533030185714286)</f>
        <v>-0.5533030186</v>
      </c>
      <c r="BW53" s="207">
        <f>IFERROR(__xludf.DUMMYFUNCTION("IF(OR(BV53&gt;$BS53+$BT53*$BT$2,BV53&lt;$BS53-$BT53*$BT$2),AVEDEV(ARRAYFORMULA(XLOOKUP(FILTER(INDIRECT(""'""&amp;BV$1&amp;""'!$C$4:$C$66""),INDIRECT(""'""&amp;BV$1&amp;""'!$D$4:$D$66"")=BV$2),$G$3:$BQ$3,$G53:$BQ53))),"""")"),0.6381875448979591)</f>
        <v>0.6381875449</v>
      </c>
      <c r="BX53" s="207">
        <f>IFERROR(__xludf.DUMMYFUNCTION("AVERAGE(ARRAYFORMULA(XLOOKUP(FILTER(INDIRECT(""'""&amp;BX$1&amp;""'!$C$4:$C$66""),INDIRECT(""'""&amp;BX$1&amp;""'!$D$4:$D$66"")=BX$2),$G$3:$BQ$3,$G53:$BQ53)))"),0.07359629166666667)</f>
        <v>0.07359629167</v>
      </c>
      <c r="BY53" s="207" t="str">
        <f>IFERROR(__xludf.DUMMYFUNCTION("IF(OR(BX53&gt;$BS53+$BT53*$BT$2,BX53&lt;$BS53-$BT53*$BT$2),AVEDEV(ARRAYFORMULA(XLOOKUP(FILTER(INDIRECT(""'""&amp;BX$1&amp;""'!$C$4:$C$66""),INDIRECT(""'""&amp;BX$1&amp;""'!$D$4:$D$66"")=BX$2),$G$3:$BQ$3,$G53:$BQ53))),"""")"),"")</f>
        <v/>
      </c>
      <c r="BZ53" s="207">
        <f>IFERROR(__xludf.DUMMYFUNCTION("AVERAGE(ARRAYFORMULA(XLOOKUP(FILTER(INDIRECT(""'""&amp;BZ$1&amp;""'!$C$4:$C$66""),INDIRECT(""'""&amp;BZ$1&amp;""'!$D$4:$D$66"")=BZ$2),$G$3:$BQ$3,$G53:$BQ53)))"),0.2566258145454545)</f>
        <v>0.2566258145</v>
      </c>
      <c r="CA53" s="207" t="str">
        <f>IFERROR(__xludf.DUMMYFUNCTION("IF(OR(BZ53&gt;$BS53+$BT53*$BT$2,BZ53&lt;$BS53-$BT53*$BT$2),AVEDEV(ARRAYFORMULA(XLOOKUP(FILTER(INDIRECT(""'""&amp;BZ$1&amp;""'!$C$4:$C$66""),INDIRECT(""'""&amp;BZ$1&amp;""'!$D$4:$D$66"")=BZ$2),$G$3:$BQ$3,$G53:$BQ53))),"""")"),"")</f>
        <v/>
      </c>
      <c r="CB53" s="209"/>
      <c r="CC53" s="207">
        <f>IFERROR(__xludf.DUMMYFUNCTION("AVERAGE(ARRAYFORMULA(XLOOKUP(FILTER(INDIRECT(""'""&amp;CC$1&amp;""'!$C$4:$C$66""),INDIRECT(""'""&amp;CC$1&amp;""'!$D$4:$D$66"")=CC$2),$G$3:$BQ$3,$G53:$BQ53)))"),0.16472109562500004)</f>
        <v>0.1647210956</v>
      </c>
      <c r="CD53" s="207" t="str">
        <f>IFERROR(__xludf.DUMMYFUNCTION("IF(OR(CC53&gt;$BS53+$BT53*$BT$2,CC53&lt;$BS53-$BT53*$BT$2),AVEDEV(ARRAYFORMULA(XLOOKUP(FILTER(INDIRECT(""'""&amp;CC$1&amp;""'!$C$4:$C$66""),INDIRECT(""'""&amp;CC$1&amp;""'!$D$4:$D$66"")=CC$2),$G$3:$BQ$3,$G53:$BQ53))),"""")"),"")</f>
        <v/>
      </c>
      <c r="CE53" s="207">
        <f>IFERROR(__xludf.DUMMYFUNCTION("AVERAGE(ARRAYFORMULA(XLOOKUP(FILTER(INDIRECT(""'""&amp;CE$1&amp;""'!$C$4:$C$66""),INDIRECT(""'""&amp;CE$1&amp;""'!$D$4:$D$66"")=CE$2),$G$3:$BQ$3,$G53:$BQ53)))"),-0.1351752464516129)</f>
        <v>-0.1351752465</v>
      </c>
      <c r="CF53" s="207" t="str">
        <f>IFERROR(__xludf.DUMMYFUNCTION("IF(OR(CE53&gt;$BS53+$BT53*$BT$2,CE53&lt;$BS53-$BT53*$BT$2),AVEDEV(ARRAYFORMULA(XLOOKUP(FILTER(INDIRECT(""'""&amp;CE$1&amp;""'!$C$4:$C$66""),INDIRECT(""'""&amp;CE$1&amp;""'!$D$4:$D$66"")=CE$2),$G$3:$BQ$3,$G53:$BQ53))),"""")"),"")</f>
        <v/>
      </c>
      <c r="CG53" s="207">
        <f>IFERROR(__xludf.DUMMYFUNCTION("AVERAGE(ARRAYFORMULA(XLOOKUP(FILTER(INDIRECT(""'""&amp;CG$1&amp;""'!$C$4:$C$66""),INDIRECT(""'""&amp;CG$1&amp;""'!$D$4:$D$66"")=CG$2),$G$3:$BQ$3,$G53:$BQ53)))"),0.28370578799999996)</f>
        <v>0.283705788</v>
      </c>
      <c r="CH53" s="207" t="str">
        <f>IFERROR(__xludf.DUMMYFUNCTION("IF(OR(CG53&gt;$BS53+$BT53*$BT$2,CG53&lt;$BS53-$BT53*$BT$2),AVEDEV(ARRAYFORMULA(XLOOKUP(FILTER(INDIRECT(""'""&amp;CG$1&amp;""'!$C$4:$C$66""),INDIRECT(""'""&amp;CG$1&amp;""'!$D$4:$D$66"")=CG$2),$G$3:$BQ$3,$G53:$BQ53))),"""")"),"")</f>
        <v/>
      </c>
      <c r="CI53" s="206"/>
      <c r="CJ53" s="251">
        <f>IFERROR(__xludf.DUMMYFUNCTION("AVERAGE(ARRAYFORMULA(XLOOKUP(FILTER(INDIRECT(""'""&amp;CJ$1&amp;""'!$C$4:$C$66""),INDIRECT(""'""&amp;CJ$1&amp;""'!$D$4:$D$66"")=CJ$2),$G$3:$BQ$3,$G53:$BQ53)))"),-0.004023549333333332)</f>
        <v>-0.004023549333</v>
      </c>
      <c r="CK53" s="207" t="str">
        <f>IFERROR(__xludf.DUMMYFUNCTION("IF(OR(CJ53&gt;$BS53+$BT53*$BT$2,CJ53&lt;$BS53-$BT53*$BT$2),AVEDEV(ARRAYFORMULA(XLOOKUP(FILTER(INDIRECT(""'""&amp;CJ$1&amp;""'!$C$4:$C$66""),INDIRECT(""'""&amp;CJ$1&amp;""'!$D$4:$D$66"")=CJ$2),$G$3:$BQ$3,$G53:$BQ53))),"""")"),"")</f>
        <v/>
      </c>
      <c r="CL53" s="251">
        <f>IFERROR(__xludf.DUMMYFUNCTION("AVERAGE(ARRAYFORMULA(XLOOKUP(FILTER(INDIRECT(""'""&amp;CL$1&amp;""'!$C$4:$C$66""),INDIRECT(""'""&amp;CL$1&amp;""'!$D$4:$D$66"")=CL$2),$G$3:$BQ$3,$G53:$BQ53)))"),0.04716413025641023)</f>
        <v>0.04716413026</v>
      </c>
      <c r="CM53" s="207" t="str">
        <f>IFERROR(__xludf.DUMMYFUNCTION("IF(OR(CL53&gt;$BS53+$BT53*$BT$2,CL53&lt;$BS53-$BT53*$BT$2),AVEDEV(ARRAYFORMULA(XLOOKUP(FILTER(INDIRECT(""'""&amp;CL$1&amp;""'!$C$4:$C$66""),INDIRECT(""'""&amp;CL$1&amp;""'!$D$4:$D$66"")=CL$2),$G$3:$BQ$3,$G53:$BQ53))),"""")"),"")</f>
        <v/>
      </c>
      <c r="CN53" s="253">
        <f>IFERROR(__xludf.DUMMYFUNCTION("AVERAGE(ARRAYFORMULA(XLOOKUP(FILTER(INDIRECT(""'""&amp;CN$1&amp;""'!$C$4:$C$66""),INDIRECT(""'""&amp;CN$1&amp;""'!$D$4:$D$66"")=CN$2),$G$3:$BQ$3,$G53:$BQ53)))"),0.28370578799999996)</f>
        <v>0.283705788</v>
      </c>
      <c r="CO53" s="207" t="str">
        <f>IFERROR(__xludf.DUMMYFUNCTION("IF(OR(CN53&gt;$BS53+$BT53*$BT$2,CN53&lt;$BS53-$BT53*$BT$2),AVEDEV(ARRAYFORMULA(XLOOKUP(FILTER(INDIRECT(""'""&amp;CN$1&amp;""'!$C$4:$C$66""),INDIRECT(""'""&amp;CN$1&amp;""'!$D$4:$D$66"")=CN$2),$G$3:$BQ$3,$G53:$BQ53))),"""")"),"")</f>
        <v/>
      </c>
      <c r="CP53" s="252"/>
      <c r="CQ53" s="251">
        <f>IFERROR(__xludf.DUMMYFUNCTION("AVERAGE(ARRAYFORMULA(XLOOKUP(FILTER(INDIRECT(""'""&amp;CQ$1&amp;""'!$C$4:$C$66""),INDIRECT(""'""&amp;CQ$1&amp;""'!$D$4:$D$66"")=CQ$2),$G$3:$BQ$3,$G53:$BQ53)))"),0.4067146235714286)</f>
        <v>0.4067146236</v>
      </c>
      <c r="CR53" s="207" t="str">
        <f>IFERROR(__xludf.DUMMYFUNCTION("IF(OR(CQ53&gt;$BS53+$BT53*$BT$2,CQ53&lt;$BS53-$BT53*$BT$2),AVEDEV(ARRAYFORMULA(XLOOKUP(FILTER(INDIRECT(""'""&amp;CQ$1&amp;""'!$C$4:$C$66""),INDIRECT(""'""&amp;CQ$1&amp;""'!$D$4:$D$66"")=CQ$2),$G$3:$BQ$3,$G53:$BQ53))),"""")"),"")</f>
        <v/>
      </c>
      <c r="CS53" s="251">
        <f>IFERROR(__xludf.DUMMYFUNCTION("AVERAGE(ARRAYFORMULA(XLOOKUP(FILTER(INDIRECT(""'""&amp;CS$1&amp;""'!$C$4:$C$66""),INDIRECT(""'""&amp;CS$1&amp;""'!$D$4:$D$66"")=CS$2),$G$3:$BQ$3,$G53:$BQ53)))"),0.3976554766666667)</f>
        <v>0.3976554767</v>
      </c>
      <c r="CT53" s="207" t="str">
        <f>IFERROR(__xludf.DUMMYFUNCTION("IF(OR(CS53&gt;$BS53+$BT53*$BT$2,CS53&lt;$BS53-$BT53*$BT$2),AVEDEV(ARRAYFORMULA(XLOOKUP(FILTER(INDIRECT(""'""&amp;CS$1&amp;""'!$C$4:$C$66""),INDIRECT(""'""&amp;CS$1&amp;""'!$D$4:$D$66"")=CS$2),$G$3:$BQ$3,$G53:$BQ53))),"""")"),"")</f>
        <v/>
      </c>
      <c r="CU53" s="251">
        <f>IFERROR(__xludf.DUMMYFUNCTION("AVERAGE(ARRAYFORMULA(XLOOKUP(FILTER(INDIRECT(""'""&amp;CU$1&amp;""'!$C$4:$C$66""),INDIRECT(""'""&amp;CU$1&amp;""'!$D$4:$D$66"")=CU$2),$G$3:$BQ$3,$G53:$BQ53)))"),-0.024274291818181828)</f>
        <v>-0.02427429182</v>
      </c>
      <c r="CV53" s="207" t="str">
        <f>IFERROR(__xludf.DUMMYFUNCTION("IF(OR(CU53&gt;$BS53+$BT53*$BT$2,CU53&lt;$BS53-$BT53*$BT$2),AVEDEV(ARRAYFORMULA(XLOOKUP(FILTER(INDIRECT(""'""&amp;CU$1&amp;""'!$C$4:$C$66""),INDIRECT(""'""&amp;CU$1&amp;""'!$D$4:$D$66"")=CU$2),$G$3:$BQ$3,$G53:$BQ53))),"""")"),"")</f>
        <v/>
      </c>
      <c r="CW53" s="251">
        <f>IFERROR(__xludf.DUMMYFUNCTION("AVERAGE(ARRAYFORMULA(XLOOKUP(FILTER(INDIRECT(""'""&amp;CW$1&amp;""'!$C$4:$C$66""),INDIRECT(""'""&amp;CW$1&amp;""'!$D$4:$D$66"")=CW$2),$G$3:$BQ$3,$G53:$BQ53)))"),-0.78504885)</f>
        <v>-0.78504885</v>
      </c>
      <c r="CX53" s="207">
        <f>IFERROR(__xludf.DUMMYFUNCTION("IF(OR(CW53&gt;$BS53+$BT53*$BT$2,CW53&lt;$BS53-$BT53*$BT$2),AVEDEV(ARRAYFORMULA(XLOOKUP(FILTER(INDIRECT(""'""&amp;CW$1&amp;""'!$C$4:$C$66""),INDIRECT(""'""&amp;CW$1&amp;""'!$D$4:$D$66"")=CW$2),$G$3:$BQ$3,$G53:$BQ53))),"""")"),0.005029449999999991)</f>
        <v>0.00502945</v>
      </c>
      <c r="CY53" s="253">
        <f>IFERROR(__xludf.DUMMYFUNCTION("AVERAGE(ARRAYFORMULA(XLOOKUP(FILTER(INDIRECT(""'""&amp;CY$1&amp;""'!$C$4:$C$66""),INDIRECT(""'""&amp;CY$1&amp;""'!$D$4:$D$66"")=CY$2),$G$3:$BQ$3,$G53:$BQ53)))"),-0.07185721714285717)</f>
        <v>-0.07185721714</v>
      </c>
      <c r="CZ53" s="207" t="str">
        <f>IFERROR(__xludf.DUMMYFUNCTION("IF(OR(CY53&gt;$BS53+$BT53*$BT$2,CY53&lt;$BS53-$BT53*$BT$2),AVEDEV(ARRAYFORMULA(XLOOKUP(FILTER(INDIRECT(""'""&amp;CY$1&amp;""'!$C$4:$C$66""),INDIRECT(""'""&amp;CY$1&amp;""'!$D$4:$D$66"")=CY$2),$G$3:$BQ$3,$G53:$BQ53))),"""")"),"")</f>
        <v/>
      </c>
      <c r="DA53" s="252"/>
      <c r="DB53" s="251">
        <f>IFERROR(__xludf.DUMMYFUNCTION("AVERAGE(ARRAYFORMULA(XLOOKUP(FILTER(INDIRECT(""'""&amp;DB$1&amp;""'!$C$4:$C$66""),INDIRECT(""'""&amp;DB$1&amp;""'!$D$4:$D$66"")=DB$2),$G$3:$BQ$3,$G53:$BQ53)))"),0.009620698333333347)</f>
        <v>0.009620698333</v>
      </c>
      <c r="DC53" s="207" t="str">
        <f>IFERROR(__xludf.DUMMYFUNCTION("IF(OR(DB53&gt;$BS53+$BT53*$BT$2,DB53&lt;$BS53-$BT53*$BT$2),AVEDEV(ARRAYFORMULA(XLOOKUP(FILTER(INDIRECT(""'""&amp;DB$1&amp;""'!$C$4:$C$66""),INDIRECT(""'""&amp;DB$1&amp;""'!$D$4:$D$66"")=DB$2),$G$3:$BQ$3,$G53:$BQ53))),"""")"),"")</f>
        <v/>
      </c>
      <c r="DD53" s="251">
        <f>IFERROR(__xludf.DUMMYFUNCTION("AVERAGE(ARRAYFORMULA(XLOOKUP(FILTER(INDIRECT(""'""&amp;DD$1&amp;""'!$C$4:$C$66""),INDIRECT(""'""&amp;DD$1&amp;""'!$D$4:$D$66"")=DD$2),$G$3:$BQ$3,$G53:$BQ53)))"),0.06202968777777781)</f>
        <v>0.06202968778</v>
      </c>
      <c r="DE53" s="207" t="str">
        <f>IFERROR(__xludf.DUMMYFUNCTION("IF(OR(DD53&gt;$BS53+$BT53*$BT$2,DD53&lt;$BS53-$BT53*$BT$2),AVEDEV(ARRAYFORMULA(XLOOKUP(FILTER(INDIRECT(""'""&amp;DD$1&amp;""'!$C$4:$C$66""),INDIRECT(""'""&amp;DD$1&amp;""'!$D$4:$D$66"")=DD$2),$G$3:$BQ$3,$G53:$BQ53))),"""")"),"")</f>
        <v/>
      </c>
      <c r="DF53" s="251">
        <f>IFERROR(__xludf.DUMMYFUNCTION("AVERAGE(ARRAYFORMULA(XLOOKUP(FILTER(INDIRECT(""'""&amp;DF$1&amp;""'!$C$4:$C$66""),INDIRECT(""'""&amp;DF$1&amp;""'!$D$4:$D$66"")=DF$2),$G$3:$BQ$3,$G53:$BQ53)))"),-0.26484541124999994)</f>
        <v>-0.2648454113</v>
      </c>
      <c r="DG53" s="207" t="str">
        <f>IFERROR(__xludf.DUMMYFUNCTION("IF(OR(DF53&gt;$BS53+$BT53*$BT$2,DF53&lt;$BS53-$BT53*$BT$2),AVEDEV(ARRAYFORMULA(XLOOKUP(FILTER(INDIRECT(""'""&amp;DF$1&amp;""'!$C$4:$C$66""),INDIRECT(""'""&amp;DF$1&amp;""'!$D$4:$D$66"")=DF$2),$G$3:$BQ$3,$G53:$BQ53))),"""")"),"")</f>
        <v/>
      </c>
      <c r="DH53" s="251">
        <f>IFERROR(__xludf.DUMMYFUNCTION("AVERAGE(ARRAYFORMULA(XLOOKUP(FILTER(INDIRECT(""'""&amp;DH$1&amp;""'!$C$4:$C$66""),INDIRECT(""'""&amp;DH$1&amp;""'!$D$4:$D$66"")=DH$2),$G$3:$BQ$3,$G53:$BQ53)))"),0.4544779177777778)</f>
        <v>0.4544779178</v>
      </c>
      <c r="DI53" s="207" t="str">
        <f>IFERROR(__xludf.DUMMYFUNCTION("IF(OR(DH53&gt;$BS53+$BT53*$BT$2,DH53&lt;$BS53-$BT53*$BT$2),AVEDEV(ARRAYFORMULA(XLOOKUP(FILTER(INDIRECT(""'""&amp;DH$1&amp;""'!$C$4:$C$66""),INDIRECT(""'""&amp;DH$1&amp;""'!$D$4:$D$66"")=DH$2),$G$3:$BQ$3,$G53:$BQ53))),"""")"),"")</f>
        <v/>
      </c>
      <c r="DJ53" s="243"/>
    </row>
    <row r="54">
      <c r="A54" s="2"/>
      <c r="B54" s="204">
        <v>50.0</v>
      </c>
      <c r="C54" s="204" t="s">
        <v>482</v>
      </c>
      <c r="D54" s="204" t="s">
        <v>494</v>
      </c>
      <c r="E54" s="205" t="b">
        <f>VLOOKUP(D54,'Feature Set List'!A51:C246,2,0)</f>
        <v>1</v>
      </c>
      <c r="F54" s="205" t="b">
        <f>VLOOKUP(D54,'Feature Set List'!A51:C246,3,0)</f>
        <v>1</v>
      </c>
      <c r="G54" s="205">
        <v>0.64708025</v>
      </c>
      <c r="H54" s="205">
        <v>-0.6902999</v>
      </c>
      <c r="I54" s="205">
        <v>-0.3914046</v>
      </c>
      <c r="J54" s="205">
        <v>-0.6390676</v>
      </c>
      <c r="K54" s="205">
        <v>0.1561248</v>
      </c>
      <c r="L54" s="205">
        <v>0.3969892</v>
      </c>
      <c r="M54" s="205">
        <v>2.00922666</v>
      </c>
      <c r="N54" s="205">
        <v>0.97244142</v>
      </c>
      <c r="O54" s="205">
        <v>1.35850431</v>
      </c>
      <c r="P54" s="205">
        <v>-0.8313706</v>
      </c>
      <c r="Q54" s="205">
        <v>1.85383028</v>
      </c>
      <c r="R54" s="205">
        <v>1.18853952</v>
      </c>
      <c r="S54" s="205">
        <v>0.47954352</v>
      </c>
      <c r="T54" s="205">
        <v>0.0</v>
      </c>
      <c r="U54" s="205">
        <v>-0.1575816</v>
      </c>
      <c r="V54" s="205">
        <v>-0.3052082</v>
      </c>
      <c r="W54" s="205">
        <v>1.06470802</v>
      </c>
      <c r="X54" s="205">
        <v>-1.1176399</v>
      </c>
      <c r="Y54" s="205">
        <v>2.06992837</v>
      </c>
      <c r="Z54" s="205">
        <v>-0.3583829</v>
      </c>
      <c r="AA54" s="205">
        <v>0.59123467</v>
      </c>
      <c r="AB54" s="205">
        <v>0.17797742</v>
      </c>
      <c r="AC54" s="205">
        <v>0.55481365</v>
      </c>
      <c r="AD54" s="205">
        <v>-0.2415928</v>
      </c>
      <c r="AE54" s="205">
        <v>-1.1865971</v>
      </c>
      <c r="AF54" s="205">
        <v>0.18283356</v>
      </c>
      <c r="AG54" s="205">
        <v>0.39213306</v>
      </c>
      <c r="AH54" s="205">
        <v>1.9218162</v>
      </c>
      <c r="AI54" s="205">
        <v>0.05268909</v>
      </c>
      <c r="AJ54" s="205">
        <v>0.50382421</v>
      </c>
      <c r="AK54" s="205">
        <v>0.91902392</v>
      </c>
      <c r="AL54" s="205">
        <v>0.85589414</v>
      </c>
      <c r="AM54" s="205">
        <v>-0.1978876</v>
      </c>
      <c r="AN54" s="205">
        <v>-0.0949375</v>
      </c>
      <c r="AO54" s="205">
        <v>-0.0895957</v>
      </c>
      <c r="AP54" s="205">
        <v>1.2978026</v>
      </c>
      <c r="AQ54" s="205">
        <v>-0.505281</v>
      </c>
      <c r="AR54" s="205">
        <v>-0.0162681</v>
      </c>
      <c r="AS54" s="205">
        <v>-0.5285905</v>
      </c>
      <c r="AT54" s="205">
        <v>-0.2384363</v>
      </c>
      <c r="AU54" s="205">
        <v>3.0071628</v>
      </c>
      <c r="AV54" s="205">
        <v>-0.6303266</v>
      </c>
      <c r="AW54" s="205">
        <v>2.21075634</v>
      </c>
      <c r="AX54" s="205">
        <v>0.74420299</v>
      </c>
      <c r="AY54" s="205">
        <v>-2.0285541</v>
      </c>
      <c r="AZ54" s="205">
        <v>-0.1743353</v>
      </c>
      <c r="BA54" s="205">
        <v>0.32657521</v>
      </c>
      <c r="BB54" s="205">
        <v>0.21488406</v>
      </c>
      <c r="BC54" s="205">
        <v>0.35085589</v>
      </c>
      <c r="BD54" s="205">
        <v>-0.3940755</v>
      </c>
      <c r="BE54" s="205">
        <v>-1.937113</v>
      </c>
      <c r="BF54" s="205">
        <v>-0.0725992</v>
      </c>
      <c r="BG54" s="205">
        <v>0.21488406</v>
      </c>
      <c r="BH54" s="205">
        <v>-0.3518271</v>
      </c>
      <c r="BI54" s="205">
        <v>-0.504067</v>
      </c>
      <c r="BJ54" s="205">
        <v>-0.3537696</v>
      </c>
      <c r="BK54" s="205">
        <v>0.35328396</v>
      </c>
      <c r="BL54" s="205">
        <v>-1.5066165</v>
      </c>
      <c r="BM54" s="205">
        <v>-0.9654</v>
      </c>
      <c r="BN54" s="205">
        <v>-0.3151633</v>
      </c>
      <c r="BO54" s="205">
        <v>-0.4547772</v>
      </c>
      <c r="BP54" s="205">
        <v>-0.3702804</v>
      </c>
      <c r="BQ54" s="205">
        <v>2.52883331</v>
      </c>
      <c r="BR54" s="206"/>
      <c r="BS54" s="250">
        <f t="shared" si="1"/>
        <v>0.1896722348</v>
      </c>
      <c r="BT54" s="250">
        <f t="shared" si="2"/>
        <v>0.7589721359</v>
      </c>
      <c r="BU54" s="206"/>
      <c r="BV54" s="207">
        <f>IFERROR(__xludf.DUMMYFUNCTION("AVERAGE(ARRAYFORMULA(XLOOKUP(FILTER(INDIRECT(""'""&amp;BV$1&amp;""'!$C$4:$C$66""),INDIRECT(""'""&amp;BV$1&amp;""'!$D$4:$D$66"")=BV$2),$G$3:$BQ$3,$G54:$BQ54)))"),-0.9460309628571429)</f>
        <v>-0.9460309629</v>
      </c>
      <c r="BW54" s="207">
        <f>IFERROR(__xludf.DUMMYFUNCTION("IF(OR(BV54&gt;$BS54+$BT54*$BT$2,BV54&lt;$BS54-$BT54*$BT$2),AVEDEV(ARRAYFORMULA(XLOOKUP(FILTER(INDIRECT(""'""&amp;BV$1&amp;""'!$C$4:$C$66""),INDIRECT(""'""&amp;BV$1&amp;""'!$D$4:$D$66"")=BV$2),$G$3:$BQ$3,$G54:$BQ54))),"""")"),0.8016570424489796)</f>
        <v>0.8016570424</v>
      </c>
      <c r="BX54" s="207">
        <f>IFERROR(__xludf.DUMMYFUNCTION("AVERAGE(ARRAYFORMULA(XLOOKUP(FILTER(INDIRECT(""'""&amp;BX$1&amp;""'!$C$4:$C$66""),INDIRECT(""'""&amp;BX$1&amp;""'!$D$4:$D$66"")=BX$2),$G$3:$BQ$3,$G54:$BQ54)))"),0.27675355857142864)</f>
        <v>0.2767535586</v>
      </c>
      <c r="BY54" s="207" t="str">
        <f>IFERROR(__xludf.DUMMYFUNCTION("IF(OR(BX54&gt;$BS54+$BT54*$BT$2,BX54&lt;$BS54-$BT54*$BT$2),AVEDEV(ARRAYFORMULA(XLOOKUP(FILTER(INDIRECT(""'""&amp;BX$1&amp;""'!$C$4:$C$66""),INDIRECT(""'""&amp;BX$1&amp;""'!$D$4:$D$66"")=BX$2),$G$3:$BQ$3,$G54:$BQ54))),"""")"),"")</f>
        <v/>
      </c>
      <c r="BZ54" s="207">
        <f>IFERROR(__xludf.DUMMYFUNCTION("AVERAGE(ARRAYFORMULA(XLOOKUP(FILTER(INDIRECT(""'""&amp;BZ$1&amp;""'!$C$4:$C$66""),INDIRECT(""'""&amp;BZ$1&amp;""'!$D$4:$D$66"")=BZ$2),$G$3:$BQ$3,$G54:$BQ54)))"),0.42965776090909086)</f>
        <v>0.4296577609</v>
      </c>
      <c r="CA54" s="207" t="str">
        <f>IFERROR(__xludf.DUMMYFUNCTION("IF(OR(BZ54&gt;$BS54+$BT54*$BT$2,BZ54&lt;$BS54-$BT54*$BT$2),AVEDEV(ARRAYFORMULA(XLOOKUP(FILTER(INDIRECT(""'""&amp;BZ$1&amp;""'!$C$4:$C$66""),INDIRECT(""'""&amp;BZ$1&amp;""'!$D$4:$D$66"")=BZ$2),$G$3:$BQ$3,$G54:$BQ54))),"""")"),"")</f>
        <v/>
      </c>
      <c r="CB54" s="209"/>
      <c r="CC54" s="207">
        <f>IFERROR(__xludf.DUMMYFUNCTION("AVERAGE(ARRAYFORMULA(XLOOKUP(FILTER(INDIRECT(""'""&amp;CC$1&amp;""'!$C$4:$C$66""),INDIRECT(""'""&amp;CC$1&amp;""'!$D$4:$D$66"")=CC$2),$G$3:$BQ$3,$G54:$BQ54)))"),0.15129902437500004)</f>
        <v>0.1512990244</v>
      </c>
      <c r="CD54" s="207" t="str">
        <f>IFERROR(__xludf.DUMMYFUNCTION("IF(OR(CC54&gt;$BS54+$BT54*$BT$2,CC54&lt;$BS54-$BT54*$BT$2),AVEDEV(ARRAYFORMULA(XLOOKUP(FILTER(INDIRECT(""'""&amp;CC$1&amp;""'!$C$4:$C$66""),INDIRECT(""'""&amp;CC$1&amp;""'!$D$4:$D$66"")=CC$2),$G$3:$BQ$3,$G54:$BQ54))),"""")"),"")</f>
        <v/>
      </c>
      <c r="CE54" s="207">
        <f>IFERROR(__xludf.DUMMYFUNCTION("AVERAGE(ARRAYFORMULA(XLOOKUP(FILTER(INDIRECT(""'""&amp;CE$1&amp;""'!$C$4:$C$66""),INDIRECT(""'""&amp;CE$1&amp;""'!$D$4:$D$66"")=CE$2),$G$3:$BQ$3,$G54:$BQ54)))"),0.35110966741935484)</f>
        <v>0.3511096674</v>
      </c>
      <c r="CF54" s="207" t="str">
        <f>IFERROR(__xludf.DUMMYFUNCTION("IF(OR(CE54&gt;$BS54+$BT54*$BT$2,CE54&lt;$BS54-$BT54*$BT$2),AVEDEV(ARRAYFORMULA(XLOOKUP(FILTER(INDIRECT(""'""&amp;CE$1&amp;""'!$C$4:$C$66""),INDIRECT(""'""&amp;CE$1&amp;""'!$D$4:$D$66"")=CE$2),$G$3:$BQ$3,$G54:$BQ54))),"""")"),"")</f>
        <v/>
      </c>
      <c r="CG54" s="207">
        <f>IFERROR(__xludf.DUMMYFUNCTION("AVERAGE(ARRAYFORMULA(XLOOKUP(FILTER(INDIRECT(""'""&amp;CG$1&amp;""'!$C$4:$C$66""),INDIRECT(""'""&amp;CG$1&amp;""'!$D$4:$D$66"")=CG$2),$G$3:$BQ$3,$G54:$BQ54)))"),-0.16370036599999999)</f>
        <v>-0.163700366</v>
      </c>
      <c r="CH54" s="207" t="str">
        <f>IFERROR(__xludf.DUMMYFUNCTION("IF(OR(CG54&gt;$BS54+$BT54*$BT$2,CG54&lt;$BS54-$BT54*$BT$2),AVEDEV(ARRAYFORMULA(XLOOKUP(FILTER(INDIRECT(""'""&amp;CG$1&amp;""'!$C$4:$C$66""),INDIRECT(""'""&amp;CG$1&amp;""'!$D$4:$D$66"")=CG$2),$G$3:$BQ$3,$G54:$BQ54))),"""")"),"")</f>
        <v/>
      </c>
      <c r="CI54" s="206"/>
      <c r="CJ54" s="251">
        <f>IFERROR(__xludf.DUMMYFUNCTION("AVERAGE(ARRAYFORMULA(XLOOKUP(FILTER(INDIRECT(""'""&amp;CJ$1&amp;""'!$C$4:$C$66""),INDIRECT(""'""&amp;CJ$1&amp;""'!$D$4:$D$66"")=CJ$2),$G$3:$BQ$3,$G54:$BQ54)))"),0.07284206266666665)</f>
        <v>0.07284206267</v>
      </c>
      <c r="CK54" s="207" t="str">
        <f>IFERROR(__xludf.DUMMYFUNCTION("IF(OR(CJ54&gt;$BS54+$BT54*$BT$2,CJ54&lt;$BS54-$BT54*$BT$2),AVEDEV(ARRAYFORMULA(XLOOKUP(FILTER(INDIRECT(""'""&amp;CJ$1&amp;""'!$C$4:$C$66""),INDIRECT(""'""&amp;CJ$1&amp;""'!$D$4:$D$66"")=CJ$2),$G$3:$BQ$3,$G54:$BQ54))),"""")"),"")</f>
        <v/>
      </c>
      <c r="CL54" s="251">
        <f>IFERROR(__xludf.DUMMYFUNCTION("AVERAGE(ARRAYFORMULA(XLOOKUP(FILTER(INDIRECT(""'""&amp;CL$1&amp;""'!$C$4:$C$66""),INDIRECT(""'""&amp;CL$1&amp;""'!$D$4:$D$66"")=CL$2),$G$3:$BQ$3,$G54:$BQ54)))"),0.28102962769230766)</f>
        <v>0.2810296277</v>
      </c>
      <c r="CM54" s="207" t="str">
        <f>IFERROR(__xludf.DUMMYFUNCTION("IF(OR(CL54&gt;$BS54+$BT54*$BT$2,CL54&lt;$BS54-$BT54*$BT$2),AVEDEV(ARRAYFORMULA(XLOOKUP(FILTER(INDIRECT(""'""&amp;CL$1&amp;""'!$C$4:$C$66""),INDIRECT(""'""&amp;CL$1&amp;""'!$D$4:$D$66"")=CL$2),$G$3:$BQ$3,$G54:$BQ54))),"""")"),"")</f>
        <v/>
      </c>
      <c r="CN54" s="251">
        <f>IFERROR(__xludf.DUMMYFUNCTION("AVERAGE(ARRAYFORMULA(XLOOKUP(FILTER(INDIRECT(""'""&amp;CN$1&amp;""'!$C$4:$C$66""),INDIRECT(""'""&amp;CN$1&amp;""'!$D$4:$D$66"")=CN$2),$G$3:$BQ$3,$G54:$BQ54)))"),-0.16370036599999999)</f>
        <v>-0.163700366</v>
      </c>
      <c r="CO54" s="207" t="str">
        <f>IFERROR(__xludf.DUMMYFUNCTION("IF(OR(CN54&gt;$BS54+$BT54*$BT$2,CN54&lt;$BS54-$BT54*$BT$2),AVEDEV(ARRAYFORMULA(XLOOKUP(FILTER(INDIRECT(""'""&amp;CN$1&amp;""'!$C$4:$C$66""),INDIRECT(""'""&amp;CN$1&amp;""'!$D$4:$D$66"")=CN$2),$G$3:$BQ$3,$G54:$BQ54))),"""")"),"")</f>
        <v/>
      </c>
      <c r="CP54" s="252"/>
      <c r="CQ54" s="251">
        <f>IFERROR(__xludf.DUMMYFUNCTION("AVERAGE(ARRAYFORMULA(XLOOKUP(FILTER(INDIRECT(""'""&amp;CQ$1&amp;""'!$C$4:$C$66""),INDIRECT(""'""&amp;CQ$1&amp;""'!$D$4:$D$66"")=CQ$2),$G$3:$BQ$3,$G54:$BQ54)))"),0.2610693950000001)</f>
        <v>0.261069395</v>
      </c>
      <c r="CR54" s="207" t="str">
        <f>IFERROR(__xludf.DUMMYFUNCTION("IF(OR(CQ54&gt;$BS54+$BT54*$BT$2,CQ54&lt;$BS54-$BT54*$BT$2),AVEDEV(ARRAYFORMULA(XLOOKUP(FILTER(INDIRECT(""'""&amp;CQ$1&amp;""'!$C$4:$C$66""),INDIRECT(""'""&amp;CQ$1&amp;""'!$D$4:$D$66"")=CQ$2),$G$3:$BQ$3,$G54:$BQ54))),"""")"),"")</f>
        <v/>
      </c>
      <c r="CS54" s="251">
        <f>IFERROR(__xludf.DUMMYFUNCTION("AVERAGE(ARRAYFORMULA(XLOOKUP(FILTER(INDIRECT(""'""&amp;CS$1&amp;""'!$C$4:$C$66""),INDIRECT(""'""&amp;CS$1&amp;""'!$D$4:$D$66"")=CS$2),$G$3:$BQ$3,$G54:$BQ54)))"),0.6517745188888889)</f>
        <v>0.6517745189</v>
      </c>
      <c r="CT54" s="207" t="str">
        <f>IFERROR(__xludf.DUMMYFUNCTION("IF(OR(CS54&gt;$BS54+$BT54*$BT$2,CS54&lt;$BS54-$BT54*$BT$2),AVEDEV(ARRAYFORMULA(XLOOKUP(FILTER(INDIRECT(""'""&amp;CS$1&amp;""'!$C$4:$C$66""),INDIRECT(""'""&amp;CS$1&amp;""'!$D$4:$D$66"")=CS$2),$G$3:$BQ$3,$G54:$BQ54))),"""")"),"")</f>
        <v/>
      </c>
      <c r="CU54" s="251">
        <f>IFERROR(__xludf.DUMMYFUNCTION("AVERAGE(ARRAYFORMULA(XLOOKUP(FILTER(INDIRECT(""'""&amp;CU$1&amp;""'!$C$4:$C$66""),INDIRECT(""'""&amp;CU$1&amp;""'!$D$4:$D$66"")=CU$2),$G$3:$BQ$3,$G54:$BQ54)))"),0.20404604727272727)</f>
        <v>0.2040460473</v>
      </c>
      <c r="CV54" s="207" t="str">
        <f>IFERROR(__xludf.DUMMYFUNCTION("IF(OR(CU54&gt;$BS54+$BT54*$BT$2,CU54&lt;$BS54-$BT54*$BT$2),AVEDEV(ARRAYFORMULA(XLOOKUP(FILTER(INDIRECT(""'""&amp;CU$1&amp;""'!$C$4:$C$66""),INDIRECT(""'""&amp;CU$1&amp;""'!$D$4:$D$66"")=CU$2),$G$3:$BQ$3,$G54:$BQ54))),"""")"),"")</f>
        <v/>
      </c>
      <c r="CW54" s="251">
        <f>IFERROR(__xludf.DUMMYFUNCTION("AVERAGE(ARRAYFORMULA(XLOOKUP(FILTER(INDIRECT(""'""&amp;CW$1&amp;""'!$C$4:$C$66""),INDIRECT(""'""&amp;CW$1&amp;""'!$D$4:$D$66"")=CW$2),$G$3:$BQ$3,$G54:$BQ54)))"),-0.29670995)</f>
        <v>-0.29670995</v>
      </c>
      <c r="CX54" s="207" t="str">
        <f>IFERROR(__xludf.DUMMYFUNCTION("IF(OR(CW54&gt;$BS54+$BT54*$BT$2,CW54&lt;$BS54-$BT54*$BT$2),AVEDEV(ARRAYFORMULA(XLOOKUP(FILTER(INDIRECT(""'""&amp;CW$1&amp;""'!$C$4:$C$66""),INDIRECT(""'""&amp;CW$1&amp;""'!$D$4:$D$66"")=CW$2),$G$3:$BQ$3,$G54:$BQ54))),"""")"),"")</f>
        <v/>
      </c>
      <c r="CY54" s="251">
        <f>IFERROR(__xludf.DUMMYFUNCTION("AVERAGE(ARRAYFORMULA(XLOOKUP(FILTER(INDIRECT(""'""&amp;CY$1&amp;""'!$C$4:$C$66""),INDIRECT(""'""&amp;CY$1&amp;""'!$D$4:$D$66"")=CY$2),$G$3:$BQ$3,$G54:$BQ54)))"),0.4654086935714286)</f>
        <v>0.4654086936</v>
      </c>
      <c r="CZ54" s="207" t="str">
        <f>IFERROR(__xludf.DUMMYFUNCTION("IF(OR(CY54&gt;$BS54+$BT54*$BT$2,CY54&lt;$BS54-$BT54*$BT$2),AVEDEV(ARRAYFORMULA(XLOOKUP(FILTER(INDIRECT(""'""&amp;CY$1&amp;""'!$C$4:$C$66""),INDIRECT(""'""&amp;CY$1&amp;""'!$D$4:$D$66"")=CY$2),$G$3:$BQ$3,$G54:$BQ54))),"""")"),"")</f>
        <v/>
      </c>
      <c r="DA54" s="252"/>
      <c r="DB54" s="251">
        <f>IFERROR(__xludf.DUMMYFUNCTION("AVERAGE(ARRAYFORMULA(XLOOKUP(FILTER(INDIRECT(""'""&amp;DB$1&amp;""'!$C$4:$C$66""),INDIRECT(""'""&amp;DB$1&amp;""'!$D$4:$D$66"")=DB$2),$G$3:$BQ$3,$G54:$BQ54)))"),0.210181705)</f>
        <v>0.210181705</v>
      </c>
      <c r="DC54" s="207" t="str">
        <f>IFERROR(__xludf.DUMMYFUNCTION("IF(OR(DB54&gt;$BS54+$BT54*$BT$2,DB54&lt;$BS54-$BT54*$BT$2),AVEDEV(ARRAYFORMULA(XLOOKUP(FILTER(INDIRECT(""'""&amp;DB$1&amp;""'!$C$4:$C$66""),INDIRECT(""'""&amp;DB$1&amp;""'!$D$4:$D$66"")=DB$2),$G$3:$BQ$3,$G54:$BQ54))),"""")"),"")</f>
        <v/>
      </c>
      <c r="DD54" s="251">
        <f>IFERROR(__xludf.DUMMYFUNCTION("AVERAGE(ARRAYFORMULA(XLOOKUP(FILTER(INDIRECT(""'""&amp;DD$1&amp;""'!$C$4:$C$66""),INDIRECT(""'""&amp;DD$1&amp;""'!$D$4:$D$66"")=DD$2),$G$3:$BQ$3,$G54:$BQ54)))"),0.22416468222222224)</f>
        <v>0.2241646822</v>
      </c>
      <c r="DE54" s="207" t="str">
        <f>IFERROR(__xludf.DUMMYFUNCTION("IF(OR(DD54&gt;$BS54+$BT54*$BT$2,DD54&lt;$BS54-$BT54*$BT$2),AVEDEV(ARRAYFORMULA(XLOOKUP(FILTER(INDIRECT(""'""&amp;DD$1&amp;""'!$C$4:$C$66""),INDIRECT(""'""&amp;DD$1&amp;""'!$D$4:$D$66"")=DD$2),$G$3:$BQ$3,$G54:$BQ54))),"""")"),"")</f>
        <v/>
      </c>
      <c r="DF54" s="251">
        <f>IFERROR(__xludf.DUMMYFUNCTION("AVERAGE(ARRAYFORMULA(XLOOKUP(FILTER(INDIRECT(""'""&amp;DF$1&amp;""'!$C$4:$C$66""),INDIRECT(""'""&amp;DF$1&amp;""'!$D$4:$D$66"")=DF$2),$G$3:$BQ$3,$G54:$BQ54)))"),0.22014690374999996)</f>
        <v>0.2201469038</v>
      </c>
      <c r="DG54" s="207" t="str">
        <f>IFERROR(__xludf.DUMMYFUNCTION("IF(OR(DF54&gt;$BS54+$BT54*$BT$2,DF54&lt;$BS54-$BT54*$BT$2),AVEDEV(ARRAYFORMULA(XLOOKUP(FILTER(INDIRECT(""'""&amp;DF$1&amp;""'!$C$4:$C$66""),INDIRECT(""'""&amp;DF$1&amp;""'!$D$4:$D$66"")=DF$2),$G$3:$BQ$3,$G54:$BQ54))),"""")"),"")</f>
        <v/>
      </c>
      <c r="DH54" s="251">
        <f>IFERROR(__xludf.DUMMYFUNCTION("AVERAGE(ARRAYFORMULA(XLOOKUP(FILTER(INDIRECT(""'""&amp;DH$1&amp;""'!$C$4:$C$66""),INDIRECT(""'""&amp;DH$1&amp;""'!$D$4:$D$66"")=DH$2),$G$3:$BQ$3,$G54:$BQ54)))"),0.26374219666666665)</f>
        <v>0.2637421967</v>
      </c>
      <c r="DI54" s="207" t="str">
        <f>IFERROR(__xludf.DUMMYFUNCTION("IF(OR(DH54&gt;$BS54+$BT54*$BT$2,DH54&lt;$BS54-$BT54*$BT$2),AVEDEV(ARRAYFORMULA(XLOOKUP(FILTER(INDIRECT(""'""&amp;DH$1&amp;""'!$C$4:$C$66""),INDIRECT(""'""&amp;DH$1&amp;""'!$D$4:$D$66"")=DH$2),$G$3:$BQ$3,$G54:$BQ54))),"""")"),"")</f>
        <v/>
      </c>
      <c r="DJ54" s="243"/>
    </row>
    <row r="55">
      <c r="A55" s="2"/>
      <c r="B55" s="204">
        <v>51.0</v>
      </c>
      <c r="C55" s="204" t="s">
        <v>482</v>
      </c>
      <c r="D55" s="204" t="s">
        <v>495</v>
      </c>
      <c r="E55" s="205" t="b">
        <f>VLOOKUP(D55,'Feature Set List'!A52:C246,2,0)</f>
        <v>1</v>
      </c>
      <c r="F55" s="205" t="b">
        <f>VLOOKUP(D55,'Feature Set List'!A52:C246,3,0)</f>
        <v>1</v>
      </c>
      <c r="G55" s="205">
        <v>-0.0686617</v>
      </c>
      <c r="H55" s="205">
        <v>-0.0124368</v>
      </c>
      <c r="I55" s="205">
        <v>-0.7928488</v>
      </c>
      <c r="J55" s="205">
        <v>1.37323487</v>
      </c>
      <c r="K55" s="205">
        <v>0.47260008</v>
      </c>
      <c r="L55" s="205">
        <v>0.9586734</v>
      </c>
      <c r="M55" s="205">
        <v>-0.3329447</v>
      </c>
      <c r="N55" s="205">
        <v>3.42790517</v>
      </c>
      <c r="O55" s="205">
        <v>-0.1007903</v>
      </c>
      <c r="P55" s="205">
        <v>0.03925379</v>
      </c>
      <c r="Q55" s="205">
        <v>-0.030833</v>
      </c>
      <c r="R55" s="205">
        <v>1.76188625</v>
      </c>
      <c r="S55" s="205">
        <v>-0.1393963</v>
      </c>
      <c r="T55" s="205">
        <v>1.05972276</v>
      </c>
      <c r="U55" s="205">
        <v>2.09483094</v>
      </c>
      <c r="V55" s="205">
        <v>0.155331</v>
      </c>
      <c r="W55" s="205">
        <v>-0.3858013</v>
      </c>
      <c r="X55" s="205">
        <v>-0.5661355</v>
      </c>
      <c r="Y55" s="205">
        <v>0.16167897</v>
      </c>
      <c r="Z55" s="205">
        <v>-0.5472211</v>
      </c>
      <c r="AA55" s="205">
        <v>-0.7928488</v>
      </c>
      <c r="AB55" s="205">
        <v>0.03264672</v>
      </c>
      <c r="AC55" s="205">
        <v>-0.3873559</v>
      </c>
      <c r="AD55" s="205">
        <v>1.43023708</v>
      </c>
      <c r="AE55" s="205">
        <v>-0.0010364</v>
      </c>
      <c r="AF55" s="205">
        <v>0.35742972</v>
      </c>
      <c r="AG55" s="205">
        <v>2.63376085</v>
      </c>
      <c r="AH55" s="205">
        <v>-0.0721596</v>
      </c>
      <c r="AI55" s="205">
        <v>0.5907501</v>
      </c>
      <c r="AJ55" s="205">
        <v>-0.4358077</v>
      </c>
      <c r="AK55" s="205">
        <v>0.11154295</v>
      </c>
      <c r="AL55" s="205">
        <v>2.112968</v>
      </c>
      <c r="AM55" s="205">
        <v>-0.5638036</v>
      </c>
      <c r="AN55" s="205">
        <v>-0.1563674</v>
      </c>
      <c r="AO55" s="205">
        <v>0.40121777</v>
      </c>
      <c r="AP55" s="205">
        <v>-0.1536468</v>
      </c>
      <c r="AQ55" s="205">
        <v>0.24731183</v>
      </c>
      <c r="AR55" s="205">
        <v>0.0</v>
      </c>
      <c r="AS55" s="205">
        <v>1.47817075</v>
      </c>
      <c r="AT55" s="205">
        <v>1.63622231</v>
      </c>
      <c r="AU55" s="205">
        <v>1.46651121</v>
      </c>
      <c r="AV55" s="205">
        <v>-0.5452779</v>
      </c>
      <c r="AW55" s="205">
        <v>-0.7928488</v>
      </c>
      <c r="AX55" s="205">
        <v>0.05531805</v>
      </c>
      <c r="AY55" s="205">
        <v>-0.7928488</v>
      </c>
      <c r="AZ55" s="205">
        <v>-0.4903485</v>
      </c>
      <c r="BA55" s="205">
        <v>1.34214276</v>
      </c>
      <c r="BB55" s="205">
        <v>0.21621972</v>
      </c>
      <c r="BC55" s="205">
        <v>-0.2363</v>
      </c>
      <c r="BD55" s="205">
        <v>0.56743101</v>
      </c>
      <c r="BE55" s="205">
        <v>-0.1983418</v>
      </c>
      <c r="BF55" s="205">
        <v>1.59347066</v>
      </c>
      <c r="BG55" s="205">
        <v>2.78274388</v>
      </c>
      <c r="BH55" s="205">
        <v>0.55058945</v>
      </c>
      <c r="BI55" s="205">
        <v>-0.4982511</v>
      </c>
      <c r="BJ55" s="205">
        <v>-0.1029926</v>
      </c>
      <c r="BK55" s="205">
        <v>-0.4473377</v>
      </c>
      <c r="BL55" s="205">
        <v>-0.7928488</v>
      </c>
      <c r="BM55" s="205">
        <v>-0.5457961</v>
      </c>
      <c r="BN55" s="205">
        <v>0.29356134</v>
      </c>
      <c r="BO55" s="205">
        <v>-0.7538671</v>
      </c>
      <c r="BP55" s="205">
        <v>-0.1365462</v>
      </c>
      <c r="BQ55" s="205">
        <v>0.63609276</v>
      </c>
      <c r="BR55" s="206"/>
      <c r="BS55" s="250">
        <f t="shared" si="1"/>
        <v>0.320123096</v>
      </c>
      <c r="BT55" s="250">
        <f t="shared" si="2"/>
        <v>0.7519328148</v>
      </c>
      <c r="BU55" s="206"/>
      <c r="BV55" s="207">
        <f>IFERROR(__xludf.DUMMYFUNCTION("AVERAGE(ARRAYFORMULA(XLOOKUP(FILTER(INDIRECT(""'""&amp;BV$1&amp;""'!$C$4:$C$66""),INDIRECT(""'""&amp;BV$1&amp;""'!$D$4:$D$66"")=BV$2),$G$3:$BQ$3,$G55:$BQ55)))"),0.051727647142857124)</f>
        <v>0.05172764714</v>
      </c>
      <c r="BW55" s="207" t="str">
        <f>IFERROR(__xludf.DUMMYFUNCTION("IF(OR(BV55&gt;$BS55+$BT55*$BT$2,BV55&lt;$BS55-$BT55*$BT$2),AVEDEV(ARRAYFORMULA(XLOOKUP(FILTER(INDIRECT(""'""&amp;BV$1&amp;""'!$C$4:$C$66""),INDIRECT(""'""&amp;BV$1&amp;""'!$D$4:$D$66"")=BV$2),$G$3:$BQ$3,$G55:$BQ55))),"""")"),"")</f>
        <v/>
      </c>
      <c r="BX55" s="207">
        <f>IFERROR(__xludf.DUMMYFUNCTION("AVERAGE(ARRAYFORMULA(XLOOKUP(FILTER(INDIRECT(""'""&amp;BX$1&amp;""'!$C$4:$C$66""),INDIRECT(""'""&amp;BX$1&amp;""'!$D$4:$D$66"")=BX$2),$G$3:$BQ$3,$G55:$BQ55)))"),0.3921242619047619)</f>
        <v>0.3921242619</v>
      </c>
      <c r="BY55" s="207" t="str">
        <f>IFERROR(__xludf.DUMMYFUNCTION("IF(OR(BX55&gt;$BS55+$BT55*$BT$2,BX55&lt;$BS55-$BT55*$BT$2),AVEDEV(ARRAYFORMULA(XLOOKUP(FILTER(INDIRECT(""'""&amp;BX$1&amp;""'!$C$4:$C$66""),INDIRECT(""'""&amp;BX$1&amp;""'!$D$4:$D$66"")=BX$2),$G$3:$BQ$3,$G55:$BQ55))),"""")"),"")</f>
        <v/>
      </c>
      <c r="BZ55" s="207">
        <f>IFERROR(__xludf.DUMMYFUNCTION("AVERAGE(ARRAYFORMULA(XLOOKUP(FILTER(INDIRECT(""'""&amp;BZ$1&amp;""'!$C$4:$C$66""),INDIRECT(""'""&amp;BZ$1&amp;""'!$D$4:$D$66"")=BZ$2),$G$3:$BQ$3,$G55:$BQ55)))"),0.1904862818181818)</f>
        <v>0.1904862818</v>
      </c>
      <c r="CA55" s="207" t="str">
        <f>IFERROR(__xludf.DUMMYFUNCTION("IF(OR(BZ55&gt;$BS55+$BT55*$BT$2,BZ55&lt;$BS55-$BT55*$BT$2),AVEDEV(ARRAYFORMULA(XLOOKUP(FILTER(INDIRECT(""'""&amp;BZ$1&amp;""'!$C$4:$C$66""),INDIRECT(""'""&amp;BZ$1&amp;""'!$D$4:$D$66"")=BZ$2),$G$3:$BQ$3,$G55:$BQ55))),"""")"),"")</f>
        <v/>
      </c>
      <c r="CB55" s="209"/>
      <c r="CC55" s="207">
        <f>IFERROR(__xludf.DUMMYFUNCTION("AVERAGE(ARRAYFORMULA(XLOOKUP(FILTER(INDIRECT(""'""&amp;CC$1&amp;""'!$C$4:$C$66""),INDIRECT(""'""&amp;CC$1&amp;""'!$D$4:$D$66"")=CC$2),$G$3:$BQ$3,$G55:$BQ55)))"),0.8495757299999999)</f>
        <v>0.84957573</v>
      </c>
      <c r="CD55" s="207" t="str">
        <f>IFERROR(__xludf.DUMMYFUNCTION("IF(OR(CC55&gt;$BS55+$BT55*$BT$2,CC55&lt;$BS55-$BT55*$BT$2),AVEDEV(ARRAYFORMULA(XLOOKUP(FILTER(INDIRECT(""'""&amp;CC$1&amp;""'!$C$4:$C$66""),INDIRECT(""'""&amp;CC$1&amp;""'!$D$4:$D$66"")=CC$2),$G$3:$BQ$3,$G55:$BQ55))),"""")"),"")</f>
        <v/>
      </c>
      <c r="CE55" s="207">
        <f>IFERROR(__xludf.DUMMYFUNCTION("AVERAGE(ARRAYFORMULA(XLOOKUP(FILTER(INDIRECT(""'""&amp;CE$1&amp;""'!$C$4:$C$66""),INDIRECT(""'""&amp;CE$1&amp;""'!$D$4:$D$66"")=CE$2),$G$3:$BQ$3,$G55:$BQ55)))"),0.029102883548387103)</f>
        <v>0.02910288355</v>
      </c>
      <c r="CF55" s="207" t="str">
        <f>IFERROR(__xludf.DUMMYFUNCTION("IF(OR(CE55&gt;$BS55+$BT55*$BT$2,CE55&lt;$BS55-$BT55*$BT$2),AVEDEV(ARRAYFORMULA(XLOOKUP(FILTER(INDIRECT(""'""&amp;CE$1&amp;""'!$C$4:$C$66""),INDIRECT(""'""&amp;CE$1&amp;""'!$D$4:$D$66"")=CE$2),$G$3:$BQ$3,$G55:$BQ55))),"""")"),"")</f>
        <v/>
      </c>
      <c r="CG55" s="207">
        <f>IFERROR(__xludf.DUMMYFUNCTION("AVERAGE(ARRAYFORMULA(XLOOKUP(FILTER(INDIRECT(""'""&amp;CG$1&amp;""'!$C$4:$C$66""),INDIRECT(""'""&amp;CG$1&amp;""'!$D$4:$D$66"")=CG$2),$G$3:$BQ$3,$G55:$BQ55)))"),1.340406788)</f>
        <v>1.340406788</v>
      </c>
      <c r="CH55" s="207">
        <f>IFERROR(__xludf.DUMMYFUNCTION("IF(OR(CG55&gt;$BS55+$BT55*$BT$2,CG55&lt;$BS55-$BT55*$BT$2),AVEDEV(ARRAYFORMULA(XLOOKUP(FILTER(INDIRECT(""'""&amp;CG$1&amp;""'!$C$4:$C$66""),INDIRECT(""'""&amp;CG$1&amp;""'!$D$4:$D$66"")=CG$2),$G$3:$BQ$3,$G55:$BQ55))),"""")"),0.6327348104)</f>
        <v>0.6327348104</v>
      </c>
      <c r="CI55" s="206"/>
      <c r="CJ55" s="251">
        <f>IFERROR(__xludf.DUMMYFUNCTION("AVERAGE(ARRAYFORMULA(XLOOKUP(FILTER(INDIRECT(""'""&amp;CJ$1&amp;""'!$C$4:$C$66""),INDIRECT(""'""&amp;CJ$1&amp;""'!$D$4:$D$66"")=CJ$2),$G$3:$BQ$3,$G55:$BQ55)))"),0.27888672866666664)</f>
        <v>0.2788867287</v>
      </c>
      <c r="CK55" s="207" t="str">
        <f>IFERROR(__xludf.DUMMYFUNCTION("IF(OR(CJ55&gt;$BS55+$BT55*$BT$2,CJ55&lt;$BS55-$BT55*$BT$2),AVEDEV(ARRAYFORMULA(XLOOKUP(FILTER(INDIRECT(""'""&amp;CJ$1&amp;""'!$C$4:$C$66""),INDIRECT(""'""&amp;CJ$1&amp;""'!$D$4:$D$66"")=CJ$2),$G$3:$BQ$3,$G55:$BQ55))),"""")"),"")</f>
        <v/>
      </c>
      <c r="CL55" s="251">
        <f>IFERROR(__xludf.DUMMYFUNCTION("AVERAGE(ARRAYFORMULA(XLOOKUP(FILTER(INDIRECT(""'""&amp;CL$1&amp;""'!$C$4:$C$66""),INDIRECT(""'""&amp;CL$1&amp;""'!$D$4:$D$66"")=CL$2),$G$3:$BQ$3,$G55:$BQ55)))"),0.2265173220512821)</f>
        <v>0.2265173221</v>
      </c>
      <c r="CM55" s="207" t="str">
        <f>IFERROR(__xludf.DUMMYFUNCTION("IF(OR(CL55&gt;$BS55+$BT55*$BT$2,CL55&lt;$BS55-$BT55*$BT$2),AVEDEV(ARRAYFORMULA(XLOOKUP(FILTER(INDIRECT(""'""&amp;CL$1&amp;""'!$C$4:$C$66""),INDIRECT(""'""&amp;CL$1&amp;""'!$D$4:$D$66"")=CL$2),$G$3:$BQ$3,$G55:$BQ55))),"""")"),"")</f>
        <v/>
      </c>
      <c r="CN55" s="253">
        <f>IFERROR(__xludf.DUMMYFUNCTION("AVERAGE(ARRAYFORMULA(XLOOKUP(FILTER(INDIRECT(""'""&amp;CN$1&amp;""'!$C$4:$C$66""),INDIRECT(""'""&amp;CN$1&amp;""'!$D$4:$D$66"")=CN$2),$G$3:$BQ$3,$G55:$BQ55)))"),1.340406788)</f>
        <v>1.340406788</v>
      </c>
      <c r="CO55" s="207">
        <f>IFERROR(__xludf.DUMMYFUNCTION("IF(OR(CN55&gt;$BS55+$BT55*$BT$2,CN55&lt;$BS55-$BT55*$BT$2),AVEDEV(ARRAYFORMULA(XLOOKUP(FILTER(INDIRECT(""'""&amp;CN$1&amp;""'!$C$4:$C$66""),INDIRECT(""'""&amp;CN$1&amp;""'!$D$4:$D$66"")=CN$2),$G$3:$BQ$3,$G55:$BQ55))),"""")"),0.6327348104)</f>
        <v>0.6327348104</v>
      </c>
      <c r="CP55" s="252"/>
      <c r="CQ55" s="251">
        <f>IFERROR(__xludf.DUMMYFUNCTION("AVERAGE(ARRAYFORMULA(XLOOKUP(FILTER(INDIRECT(""'""&amp;CQ$1&amp;""'!$C$4:$C$66""),INDIRECT(""'""&amp;CQ$1&amp;""'!$D$4:$D$66"")=CQ$2),$G$3:$BQ$3,$G55:$BQ55)))"),0.7742120664285714)</f>
        <v>0.7742120664</v>
      </c>
      <c r="CR55" s="207" t="str">
        <f>IFERROR(__xludf.DUMMYFUNCTION("IF(OR(CQ55&gt;$BS55+$BT55*$BT$2,CQ55&lt;$BS55-$BT55*$BT$2),AVEDEV(ARRAYFORMULA(XLOOKUP(FILTER(INDIRECT(""'""&amp;CQ$1&amp;""'!$C$4:$C$66""),INDIRECT(""'""&amp;CQ$1&amp;""'!$D$4:$D$66"")=CQ$2),$G$3:$BQ$3,$G55:$BQ55))),"""")"),"")</f>
        <v/>
      </c>
      <c r="CS55" s="251">
        <f>IFERROR(__xludf.DUMMYFUNCTION("AVERAGE(ARRAYFORMULA(XLOOKUP(FILTER(INDIRECT(""'""&amp;CS$1&amp;""'!$C$4:$C$66""),INDIRECT(""'""&amp;CS$1&amp;""'!$D$4:$D$66"")=CS$2),$G$3:$BQ$3,$G55:$BQ55)))"),0.3479437444444445)</f>
        <v>0.3479437444</v>
      </c>
      <c r="CT55" s="207" t="str">
        <f>IFERROR(__xludf.DUMMYFUNCTION("IF(OR(CS55&gt;$BS55+$BT55*$BT$2,CS55&lt;$BS55-$BT55*$BT$2),AVEDEV(ARRAYFORMULA(XLOOKUP(FILTER(INDIRECT(""'""&amp;CS$1&amp;""'!$C$4:$C$66""),INDIRECT(""'""&amp;CS$1&amp;""'!$D$4:$D$66"")=CS$2),$G$3:$BQ$3,$G55:$BQ55))),"""")"),"")</f>
        <v/>
      </c>
      <c r="CU55" s="251">
        <f>IFERROR(__xludf.DUMMYFUNCTION("AVERAGE(ARRAYFORMULA(XLOOKUP(FILTER(INDIRECT(""'""&amp;CU$1&amp;""'!$C$4:$C$66""),INDIRECT(""'""&amp;CU$1&amp;""'!$D$4:$D$66"")=CU$2),$G$3:$BQ$3,$G55:$BQ55)))"),0.06423229181818176)</f>
        <v>0.06423229182</v>
      </c>
      <c r="CV55" s="207" t="str">
        <f>IFERROR(__xludf.DUMMYFUNCTION("IF(OR(CU55&gt;$BS55+$BT55*$BT$2,CU55&lt;$BS55-$BT55*$BT$2),AVEDEV(ARRAYFORMULA(XLOOKUP(FILTER(INDIRECT(""'""&amp;CU$1&amp;""'!$C$4:$C$66""),INDIRECT(""'""&amp;CU$1&amp;""'!$D$4:$D$66"")=CU$2),$G$3:$BQ$3,$G55:$BQ55))),"""")"),"")</f>
        <v/>
      </c>
      <c r="CW55" s="251">
        <f>IFERROR(__xludf.DUMMYFUNCTION("AVERAGE(ARRAYFORMULA(XLOOKUP(FILTER(INDIRECT(""'""&amp;CW$1&amp;""'!$C$4:$C$66""),INDIRECT(""'""&amp;CW$1&amp;""'!$D$4:$D$66"")=CW$2),$G$3:$BQ$3,$G55:$BQ55)))"),0.9904132649999999)</f>
        <v>0.990413265</v>
      </c>
      <c r="CX55" s="207" t="str">
        <f>IFERROR(__xludf.DUMMYFUNCTION("IF(OR(CW55&gt;$BS55+$BT55*$BT$2,CW55&lt;$BS55-$BT55*$BT$2),AVEDEV(ARRAYFORMULA(XLOOKUP(FILTER(INDIRECT(""'""&amp;CW$1&amp;""'!$C$4:$C$66""),INDIRECT(""'""&amp;CW$1&amp;""'!$D$4:$D$66"")=CW$2),$G$3:$BQ$3,$G55:$BQ55))),"""")"),"")</f>
        <v/>
      </c>
      <c r="CY55" s="253">
        <f>IFERROR(__xludf.DUMMYFUNCTION("AVERAGE(ARRAYFORMULA(XLOOKUP(FILTER(INDIRECT(""'""&amp;CY$1&amp;""'!$C$4:$C$66""),INDIRECT(""'""&amp;CY$1&amp;""'!$D$4:$D$66"")=CY$2),$G$3:$BQ$3,$G55:$BQ55)))"),0.03583921428571429)</f>
        <v>0.03583921429</v>
      </c>
      <c r="CZ55" s="207" t="str">
        <f>IFERROR(__xludf.DUMMYFUNCTION("IF(OR(CY55&gt;$BS55+$BT55*$BT$2,CY55&lt;$BS55-$BT55*$BT$2),AVEDEV(ARRAYFORMULA(XLOOKUP(FILTER(INDIRECT(""'""&amp;CY$1&amp;""'!$C$4:$C$66""),INDIRECT(""'""&amp;CY$1&amp;""'!$D$4:$D$66"")=CY$2),$G$3:$BQ$3,$G55:$BQ55))),"""")"),"")</f>
        <v/>
      </c>
      <c r="DA55" s="252"/>
      <c r="DB55" s="251">
        <f>IFERROR(__xludf.DUMMYFUNCTION("AVERAGE(ARRAYFORMULA(XLOOKUP(FILTER(INDIRECT(""'""&amp;DB$1&amp;""'!$C$4:$C$66""),INDIRECT(""'""&amp;DB$1&amp;""'!$D$4:$D$66"")=DB$2),$G$3:$BQ$3,$G55:$BQ55)))"),0.503243085)</f>
        <v>0.503243085</v>
      </c>
      <c r="DC55" s="207" t="str">
        <f>IFERROR(__xludf.DUMMYFUNCTION("IF(OR(DB55&gt;$BS55+$BT55*$BT$2,DB55&lt;$BS55-$BT55*$BT$2),AVEDEV(ARRAYFORMULA(XLOOKUP(FILTER(INDIRECT(""'""&amp;DB$1&amp;""'!$C$4:$C$66""),INDIRECT(""'""&amp;DB$1&amp;""'!$D$4:$D$66"")=DB$2),$G$3:$BQ$3,$G55:$BQ55))),"""")"),"")</f>
        <v/>
      </c>
      <c r="DD55" s="251">
        <f>IFERROR(__xludf.DUMMYFUNCTION("AVERAGE(ARRAYFORMULA(XLOOKUP(FILTER(INDIRECT(""'""&amp;DD$1&amp;""'!$C$4:$C$66""),INDIRECT(""'""&amp;DD$1&amp;""'!$D$4:$D$66"")=DD$2),$G$3:$BQ$3,$G55:$BQ55)))"),0.1690345566666667)</f>
        <v>0.1690345567</v>
      </c>
      <c r="DE55" s="207" t="str">
        <f>IFERROR(__xludf.DUMMYFUNCTION("IF(OR(DD55&gt;$BS55+$BT55*$BT$2,DD55&lt;$BS55-$BT55*$BT$2),AVEDEV(ARRAYFORMULA(XLOOKUP(FILTER(INDIRECT(""'""&amp;DD$1&amp;""'!$C$4:$C$66""),INDIRECT(""'""&amp;DD$1&amp;""'!$D$4:$D$66"")=DD$2),$G$3:$BQ$3,$G55:$BQ55))),"""")"),"")</f>
        <v/>
      </c>
      <c r="DF55" s="251">
        <f>IFERROR(__xludf.DUMMYFUNCTION("AVERAGE(ARRAYFORMULA(XLOOKUP(FILTER(INDIRECT(""'""&amp;DF$1&amp;""'!$C$4:$C$66""),INDIRECT(""'""&amp;DF$1&amp;""'!$D$4:$D$66"")=DF$2),$G$3:$BQ$3,$G55:$BQ55)))"),0.13808459875000006)</f>
        <v>0.1380845988</v>
      </c>
      <c r="DG55" s="207" t="str">
        <f>IFERROR(__xludf.DUMMYFUNCTION("IF(OR(DF55&gt;$BS55+$BT55*$BT$2,DF55&lt;$BS55-$BT55*$BT$2),AVEDEV(ARRAYFORMULA(XLOOKUP(FILTER(INDIRECT(""'""&amp;DF$1&amp;""'!$C$4:$C$66""),INDIRECT(""'""&amp;DF$1&amp;""'!$D$4:$D$66"")=DF$2),$G$3:$BQ$3,$G55:$BQ55))),"""")"),"")</f>
        <v/>
      </c>
      <c r="DH55" s="251">
        <f>IFERROR(__xludf.DUMMYFUNCTION("AVERAGE(ARRAYFORMULA(XLOOKUP(FILTER(INDIRECT(""'""&amp;DH$1&amp;""'!$C$4:$C$66""),INDIRECT(""'""&amp;DH$1&amp;""'!$D$4:$D$66"")=DH$2),$G$3:$BQ$3,$G55:$BQ55)))"),0.24012753444444446)</f>
        <v>0.2401275344</v>
      </c>
      <c r="DI55" s="207" t="str">
        <f>IFERROR(__xludf.DUMMYFUNCTION("IF(OR(DH55&gt;$BS55+$BT55*$BT$2,DH55&lt;$BS55-$BT55*$BT$2),AVEDEV(ARRAYFORMULA(XLOOKUP(FILTER(INDIRECT(""'""&amp;DH$1&amp;""'!$C$4:$C$66""),INDIRECT(""'""&amp;DH$1&amp;""'!$D$4:$D$66"")=DH$2),$G$3:$BQ$3,$G55:$BQ55))),"""")"),"")</f>
        <v/>
      </c>
      <c r="DJ55" s="243"/>
    </row>
    <row r="56">
      <c r="A56" s="2"/>
      <c r="B56" s="204">
        <v>52.0</v>
      </c>
      <c r="C56" s="204" t="s">
        <v>482</v>
      </c>
      <c r="D56" s="204" t="s">
        <v>496</v>
      </c>
      <c r="E56" s="205" t="b">
        <f>VLOOKUP(D56,'Feature Set List'!A53:C246,2,0)</f>
        <v>1</v>
      </c>
      <c r="F56" s="205" t="b">
        <f>VLOOKUP(D56,'Feature Set List'!A53:C246,3,0)</f>
        <v>1</v>
      </c>
      <c r="G56" s="205">
        <v>-0.5845354</v>
      </c>
      <c r="H56" s="205">
        <v>-0.1565382</v>
      </c>
      <c r="I56" s="205">
        <v>-0.8524474</v>
      </c>
      <c r="J56" s="205">
        <v>-0.4904233</v>
      </c>
      <c r="K56" s="205">
        <v>-0.6025065</v>
      </c>
      <c r="L56" s="205">
        <v>0.49822653</v>
      </c>
      <c r="M56" s="205">
        <v>1.7299598</v>
      </c>
      <c r="N56" s="205">
        <v>-0.2414282</v>
      </c>
      <c r="O56" s="205">
        <v>0.35634902</v>
      </c>
      <c r="P56" s="205">
        <v>-0.5124143</v>
      </c>
      <c r="Q56" s="205">
        <v>0.82667297</v>
      </c>
      <c r="R56" s="205">
        <v>0.16244975</v>
      </c>
      <c r="S56" s="205">
        <v>0.03854339</v>
      </c>
      <c r="T56" s="205">
        <v>0.07826909</v>
      </c>
      <c r="U56" s="205">
        <v>-0.1215417</v>
      </c>
      <c r="V56" s="205">
        <v>0.08867345</v>
      </c>
      <c r="W56" s="205">
        <v>0.69094349</v>
      </c>
      <c r="X56" s="205">
        <v>2.79404114</v>
      </c>
      <c r="Y56" s="205">
        <v>-0.4462048</v>
      </c>
      <c r="Z56" s="205">
        <v>-0.2071412</v>
      </c>
      <c r="AA56" s="205">
        <v>-0.4802554</v>
      </c>
      <c r="AB56" s="205">
        <v>3.27642469</v>
      </c>
      <c r="AC56" s="205">
        <v>0.58950106</v>
      </c>
      <c r="AD56" s="205">
        <v>0.72972334</v>
      </c>
      <c r="AE56" s="205">
        <v>-0.7169544</v>
      </c>
      <c r="AF56" s="205">
        <v>0.18633247</v>
      </c>
      <c r="AG56" s="205">
        <v>-1.0165524</v>
      </c>
      <c r="AH56" s="205">
        <v>0.82667297</v>
      </c>
      <c r="AI56" s="205">
        <v>-0.3901632</v>
      </c>
      <c r="AJ56" s="205">
        <v>-1.242847</v>
      </c>
      <c r="AK56" s="205">
        <v>0.91652873</v>
      </c>
      <c r="AL56" s="205">
        <v>-0.0508394</v>
      </c>
      <c r="AM56" s="205">
        <v>-0.8727832</v>
      </c>
      <c r="AN56" s="205">
        <v>-0.299598</v>
      </c>
      <c r="AO56" s="205">
        <v>-0.2979428</v>
      </c>
      <c r="AP56" s="205">
        <v>0.34145188</v>
      </c>
      <c r="AQ56" s="205">
        <v>2.39678411</v>
      </c>
      <c r="AR56" s="205">
        <v>0.67344526</v>
      </c>
      <c r="AS56" s="205">
        <v>0.63040908</v>
      </c>
      <c r="AT56" s="205">
        <v>0.07566801</v>
      </c>
      <c r="AU56" s="205">
        <v>-1.2296051</v>
      </c>
      <c r="AV56" s="205">
        <v>-0.8061007</v>
      </c>
      <c r="AW56" s="205">
        <v>0.0</v>
      </c>
      <c r="AX56" s="205">
        <v>0.56396311</v>
      </c>
      <c r="AY56" s="205">
        <v>-1.3504375</v>
      </c>
      <c r="AZ56" s="205">
        <v>4.80870182</v>
      </c>
      <c r="BA56" s="205">
        <v>0.20690471</v>
      </c>
      <c r="BB56" s="205">
        <v>-0.7493497</v>
      </c>
      <c r="BC56" s="205">
        <v>0.00354694</v>
      </c>
      <c r="BD56" s="205">
        <v>-0.400331</v>
      </c>
      <c r="BE56" s="205">
        <v>-1.1537006</v>
      </c>
      <c r="BF56" s="205">
        <v>-0.5580515</v>
      </c>
      <c r="BG56" s="205">
        <v>0.49893592</v>
      </c>
      <c r="BH56" s="205">
        <v>0.29581461</v>
      </c>
      <c r="BI56" s="205">
        <v>-0.1631591</v>
      </c>
      <c r="BJ56" s="205">
        <v>-0.8110664</v>
      </c>
      <c r="BK56" s="205">
        <v>0.22865926</v>
      </c>
      <c r="BL56" s="205">
        <v>0.01489714</v>
      </c>
      <c r="BM56" s="205">
        <v>3.12272405</v>
      </c>
      <c r="BN56" s="205">
        <v>-0.3861433</v>
      </c>
      <c r="BO56" s="205">
        <v>-0.9945614</v>
      </c>
      <c r="BP56" s="205">
        <v>-0.3542209</v>
      </c>
      <c r="BQ56" s="205">
        <v>0.36675337</v>
      </c>
      <c r="BR56" s="206"/>
      <c r="BS56" s="250">
        <f t="shared" si="1"/>
        <v>0.1504464629</v>
      </c>
      <c r="BT56" s="250">
        <f t="shared" si="2"/>
        <v>0.760546399</v>
      </c>
      <c r="BU56" s="206"/>
      <c r="BV56" s="207">
        <f>IFERROR(__xludf.DUMMYFUNCTION("AVERAGE(ARRAYFORMULA(XLOOKUP(FILTER(INDIRECT(""'""&amp;BV$1&amp;""'!$C$4:$C$66""),INDIRECT(""'""&amp;BV$1&amp;""'!$D$4:$D$66"")=BV$2),$G$3:$BQ$3,$G56:$BQ56)))"),-0.12343343142857144)</f>
        <v>-0.1234334314</v>
      </c>
      <c r="BW56" s="207" t="str">
        <f>IFERROR(__xludf.DUMMYFUNCTION("IF(OR(BV56&gt;$BS56+$BT56*$BT$2,BV56&lt;$BS56-$BT56*$BT$2),AVEDEV(ARRAYFORMULA(XLOOKUP(FILTER(INDIRECT(""'""&amp;BV$1&amp;""'!$C$4:$C$66""),INDIRECT(""'""&amp;BV$1&amp;""'!$D$4:$D$66"")=BV$2),$G$3:$BQ$3,$G56:$BQ56))),"""")"),"")</f>
        <v/>
      </c>
      <c r="BX56" s="207">
        <f>IFERROR(__xludf.DUMMYFUNCTION("AVERAGE(ARRAYFORMULA(XLOOKUP(FILTER(INDIRECT(""'""&amp;BX$1&amp;""'!$C$4:$C$66""),INDIRECT(""'""&amp;BX$1&amp;""'!$D$4:$D$66"")=BX$2),$G$3:$BQ$3,$G56:$BQ56)))"),0.07251517190476184)</f>
        <v>0.0725151719</v>
      </c>
      <c r="BY56" s="207" t="str">
        <f>IFERROR(__xludf.DUMMYFUNCTION("IF(OR(BX56&gt;$BS56+$BT56*$BT$2,BX56&lt;$BS56-$BT56*$BT$2),AVEDEV(ARRAYFORMULA(XLOOKUP(FILTER(INDIRECT(""'""&amp;BX$1&amp;""'!$C$4:$C$66""),INDIRECT(""'""&amp;BX$1&amp;""'!$D$4:$D$66"")=BX$2),$G$3:$BQ$3,$G56:$BQ56))),"""")"),"")</f>
        <v/>
      </c>
      <c r="BZ56" s="207">
        <f>IFERROR(__xludf.DUMMYFUNCTION("AVERAGE(ARRAYFORMULA(XLOOKUP(FILTER(INDIRECT(""'""&amp;BZ$1&amp;""'!$C$4:$C$66""),INDIRECT(""'""&amp;BZ$1&amp;""'!$D$4:$D$66"")=BZ$2),$G$3:$BQ$3,$G56:$BQ56)))"),0.8889915872727272)</f>
        <v>0.8889915873</v>
      </c>
      <c r="CA56" s="207" t="str">
        <f>IFERROR(__xludf.DUMMYFUNCTION("IF(OR(BZ56&gt;$BS56+$BT56*$BT$2,BZ56&lt;$BS56-$BT56*$BT$2),AVEDEV(ARRAYFORMULA(XLOOKUP(FILTER(INDIRECT(""'""&amp;BZ$1&amp;""'!$C$4:$C$66""),INDIRECT(""'""&amp;BZ$1&amp;""'!$D$4:$D$66"")=BZ$2),$G$3:$BQ$3,$G56:$BQ56))),"""")"),"")</f>
        <v/>
      </c>
      <c r="CB56" s="209"/>
      <c r="CC56" s="207">
        <f>IFERROR(__xludf.DUMMYFUNCTION("AVERAGE(ARRAYFORMULA(XLOOKUP(FILTER(INDIRECT(""'""&amp;CC$1&amp;""'!$C$4:$C$66""),INDIRECT(""'""&amp;CC$1&amp;""'!$D$4:$D$66"")=CC$2),$G$3:$BQ$3,$G56:$BQ56)))"),-0.07652518250000001)</f>
        <v>-0.0765251825</v>
      </c>
      <c r="CD56" s="207" t="str">
        <f>IFERROR(__xludf.DUMMYFUNCTION("IF(OR(CC56&gt;$BS56+$BT56*$BT$2,CC56&lt;$BS56-$BT56*$BT$2),AVEDEV(ARRAYFORMULA(XLOOKUP(FILTER(INDIRECT(""'""&amp;CC$1&amp;""'!$C$4:$C$66""),INDIRECT(""'""&amp;CC$1&amp;""'!$D$4:$D$66"")=CC$2),$G$3:$BQ$3,$G56:$BQ56))),"""")"),"")</f>
        <v/>
      </c>
      <c r="CE56" s="207">
        <f>IFERROR(__xludf.DUMMYFUNCTION("AVERAGE(ARRAYFORMULA(XLOOKUP(FILTER(INDIRECT(""'""&amp;CE$1&amp;""'!$C$4:$C$66""),INDIRECT(""'""&amp;CE$1&amp;""'!$D$4:$D$66"")=CE$2),$G$3:$BQ$3,$G56:$BQ56)))"),0.22550896709677418)</f>
        <v>0.2255089671</v>
      </c>
      <c r="CF56" s="207" t="str">
        <f>IFERROR(__xludf.DUMMYFUNCTION("IF(OR(CE56&gt;$BS56+$BT56*$BT$2,CE56&lt;$BS56-$BT56*$BT$2),AVEDEV(ARRAYFORMULA(XLOOKUP(FILTER(INDIRECT(""'""&amp;CE$1&amp;""'!$C$4:$C$66""),INDIRECT(""'""&amp;CE$1&amp;""'!$D$4:$D$66"")=CE$2),$G$3:$BQ$3,$G56:$BQ56))),"""")"),"")</f>
        <v/>
      </c>
      <c r="CG56" s="207">
        <f>IFERROR(__xludf.DUMMYFUNCTION("AVERAGE(ARRAYFORMULA(XLOOKUP(FILTER(INDIRECT(""'""&amp;CG$1&amp;""'!$C$4:$C$66""),INDIRECT(""'""&amp;CG$1&amp;""'!$D$4:$D$66"")=CG$2),$G$3:$BQ$3,$G56:$BQ56)))"),0.18042089999999997)</f>
        <v>0.1804209</v>
      </c>
      <c r="CH56" s="207" t="str">
        <f>IFERROR(__xludf.DUMMYFUNCTION("IF(OR(CG56&gt;$BS56+$BT56*$BT$2,CG56&lt;$BS56-$BT56*$BT$2),AVEDEV(ARRAYFORMULA(XLOOKUP(FILTER(INDIRECT(""'""&amp;CG$1&amp;""'!$C$4:$C$66""),INDIRECT(""'""&amp;CG$1&amp;""'!$D$4:$D$66"")=CG$2),$G$3:$BQ$3,$G56:$BQ56))),"""")"),"")</f>
        <v/>
      </c>
      <c r="CI56" s="206"/>
      <c r="CJ56" s="251">
        <f>IFERROR(__xludf.DUMMYFUNCTION("AVERAGE(ARRAYFORMULA(XLOOKUP(FILTER(INDIRECT(""'""&amp;CJ$1&amp;""'!$C$4:$C$66""),INDIRECT(""'""&amp;CJ$1&amp;""'!$D$4:$D$66"")=CJ$2),$G$3:$BQ$3,$G56:$BQ56)))"),0.34643335466666664)</f>
        <v>0.3464333547</v>
      </c>
      <c r="CK56" s="207" t="str">
        <f>IFERROR(__xludf.DUMMYFUNCTION("IF(OR(CJ56&gt;$BS56+$BT56*$BT$2,CJ56&lt;$BS56-$BT56*$BT$2),AVEDEV(ARRAYFORMULA(XLOOKUP(FILTER(INDIRECT(""'""&amp;CJ$1&amp;""'!$C$4:$C$66""),INDIRECT(""'""&amp;CJ$1&amp;""'!$D$4:$D$66"")=CJ$2),$G$3:$BQ$3,$G56:$BQ56))),"""")"),"")</f>
        <v/>
      </c>
      <c r="CL56" s="251">
        <f>IFERROR(__xludf.DUMMYFUNCTION("AVERAGE(ARRAYFORMULA(XLOOKUP(FILTER(INDIRECT(""'""&amp;CL$1&amp;""'!$C$4:$C$66""),INDIRECT(""'""&amp;CL$1&amp;""'!$D$4:$D$66"")=CL$2),$G$3:$BQ$3,$G56:$BQ56)))"),0.14992330000000004)</f>
        <v>0.1499233</v>
      </c>
      <c r="CM56" s="207" t="str">
        <f>IFERROR(__xludf.DUMMYFUNCTION("IF(OR(CL56&gt;$BS56+$BT56*$BT$2,CL56&lt;$BS56-$BT56*$BT$2),AVEDEV(ARRAYFORMULA(XLOOKUP(FILTER(INDIRECT(""'""&amp;CL$1&amp;""'!$C$4:$C$66""),INDIRECT(""'""&amp;CL$1&amp;""'!$D$4:$D$66"")=CL$2),$G$3:$BQ$3,$G56:$BQ56))),"""")"),"")</f>
        <v/>
      </c>
      <c r="CN56" s="251">
        <f>IFERROR(__xludf.DUMMYFUNCTION("AVERAGE(ARRAYFORMULA(XLOOKUP(FILTER(INDIRECT(""'""&amp;CN$1&amp;""'!$C$4:$C$66""),INDIRECT(""'""&amp;CN$1&amp;""'!$D$4:$D$66"")=CN$2),$G$3:$BQ$3,$G56:$BQ56)))"),0.18042089999999997)</f>
        <v>0.1804209</v>
      </c>
      <c r="CO56" s="207" t="str">
        <f>IFERROR(__xludf.DUMMYFUNCTION("IF(OR(CN56&gt;$BS56+$BT56*$BT$2,CN56&lt;$BS56-$BT56*$BT$2),AVEDEV(ARRAYFORMULA(XLOOKUP(FILTER(INDIRECT(""'""&amp;CN$1&amp;""'!$C$4:$C$66""),INDIRECT(""'""&amp;CN$1&amp;""'!$D$4:$D$66"")=CN$2),$G$3:$BQ$3,$G56:$BQ56))),"""")"),"")</f>
        <v/>
      </c>
      <c r="CP56" s="252"/>
      <c r="CQ56" s="251">
        <f>IFERROR(__xludf.DUMMYFUNCTION("AVERAGE(ARRAYFORMULA(XLOOKUP(FILTER(INDIRECT(""'""&amp;CQ$1&amp;""'!$C$4:$C$66""),INDIRECT(""'""&amp;CQ$1&amp;""'!$D$4:$D$66"")=CQ$2),$G$3:$BQ$3,$G56:$BQ56)))"),0.025081916428571407)</f>
        <v>0.02508191643</v>
      </c>
      <c r="CR56" s="207" t="str">
        <f>IFERROR(__xludf.DUMMYFUNCTION("IF(OR(CQ56&gt;$BS56+$BT56*$BT$2,CQ56&lt;$BS56-$BT56*$BT$2),AVEDEV(ARRAYFORMULA(XLOOKUP(FILTER(INDIRECT(""'""&amp;CQ$1&amp;""'!$C$4:$C$66""),INDIRECT(""'""&amp;CQ$1&amp;""'!$D$4:$D$66"")=CQ$2),$G$3:$BQ$3,$G56:$BQ56))),"""")"),"")</f>
        <v/>
      </c>
      <c r="CS56" s="251">
        <f>IFERROR(__xludf.DUMMYFUNCTION("AVERAGE(ARRAYFORMULA(XLOOKUP(FILTER(INDIRECT(""'""&amp;CS$1&amp;""'!$C$4:$C$66""),INDIRECT(""'""&amp;CS$1&amp;""'!$D$4:$D$66"")=CS$2),$G$3:$BQ$3,$G56:$BQ56)))"),0.2052757322222222)</f>
        <v>0.2052757322</v>
      </c>
      <c r="CT56" s="207" t="str">
        <f>IFERROR(__xludf.DUMMYFUNCTION("IF(OR(CS56&gt;$BS56+$BT56*$BT$2,CS56&lt;$BS56-$BT56*$BT$2),AVEDEV(ARRAYFORMULA(XLOOKUP(FILTER(INDIRECT(""'""&amp;CS$1&amp;""'!$C$4:$C$66""),INDIRECT(""'""&amp;CS$1&amp;""'!$D$4:$D$66"")=CS$2),$G$3:$BQ$3,$G56:$BQ56))),"""")"),"")</f>
        <v/>
      </c>
      <c r="CU56" s="251">
        <f>IFERROR(__xludf.DUMMYFUNCTION("AVERAGE(ARRAYFORMULA(XLOOKUP(FILTER(INDIRECT(""'""&amp;CU$1&amp;""'!$C$4:$C$66""),INDIRECT(""'""&amp;CU$1&amp;""'!$D$4:$D$66"")=CU$2),$G$3:$BQ$3,$G56:$BQ56)))"),0.6327951963636363)</f>
        <v>0.6327951964</v>
      </c>
      <c r="CV56" s="207" t="str">
        <f>IFERROR(__xludf.DUMMYFUNCTION("IF(OR(CU56&gt;$BS56+$BT56*$BT$2,CU56&lt;$BS56-$BT56*$BT$2),AVEDEV(ARRAYFORMULA(XLOOKUP(FILTER(INDIRECT(""'""&amp;CU$1&amp;""'!$C$4:$C$66""),INDIRECT(""'""&amp;CU$1&amp;""'!$D$4:$D$66"")=CU$2),$G$3:$BQ$3,$G56:$BQ56))),"""")"),"")</f>
        <v/>
      </c>
      <c r="CW56" s="251">
        <f>IFERROR(__xludf.DUMMYFUNCTION("AVERAGE(ARRAYFORMULA(XLOOKUP(FILTER(INDIRECT(""'""&amp;CW$1&amp;""'!$C$4:$C$66""),INDIRECT(""'""&amp;CW$1&amp;""'!$D$4:$D$66"")=CW$2),$G$3:$BQ$3,$G56:$BQ56)))"),0.512768975)</f>
        <v>0.512768975</v>
      </c>
      <c r="CX56" s="207" t="str">
        <f>IFERROR(__xludf.DUMMYFUNCTION("IF(OR(CW56&gt;$BS56+$BT56*$BT$2,CW56&lt;$BS56-$BT56*$BT$2),AVEDEV(ARRAYFORMULA(XLOOKUP(FILTER(INDIRECT(""'""&amp;CW$1&amp;""'!$C$4:$C$66""),INDIRECT(""'""&amp;CW$1&amp;""'!$D$4:$D$66"")=CW$2),$G$3:$BQ$3,$G56:$BQ56))),"""")"),"")</f>
        <v/>
      </c>
      <c r="CY56" s="251">
        <f>IFERROR(__xludf.DUMMYFUNCTION("AVERAGE(ARRAYFORMULA(XLOOKUP(FILTER(INDIRECT(""'""&amp;CY$1&amp;""'!$C$4:$C$66""),INDIRECT(""'""&amp;CY$1&amp;""'!$D$4:$D$66"")=CY$2),$G$3:$BQ$3,$G56:$BQ56)))"),-0.03649967714285714)</f>
        <v>-0.03649967714</v>
      </c>
      <c r="CZ56" s="207" t="str">
        <f>IFERROR(__xludf.DUMMYFUNCTION("IF(OR(CY56&gt;$BS56+$BT56*$BT$2,CY56&lt;$BS56-$BT56*$BT$2),AVEDEV(ARRAYFORMULA(XLOOKUP(FILTER(INDIRECT(""'""&amp;CY$1&amp;""'!$C$4:$C$66""),INDIRECT(""'""&amp;CY$1&amp;""'!$D$4:$D$66"")=CY$2),$G$3:$BQ$3,$G56:$BQ56))),"""")"),"")</f>
        <v/>
      </c>
      <c r="DA56" s="252"/>
      <c r="DB56" s="251">
        <f>IFERROR(__xludf.DUMMYFUNCTION("AVERAGE(ARRAYFORMULA(XLOOKUP(FILTER(INDIRECT(""'""&amp;DB$1&amp;""'!$C$4:$C$66""),INDIRECT(""'""&amp;DB$1&amp;""'!$D$4:$D$66"")=DB$2),$G$3:$BQ$3,$G56:$BQ56)))"),0.10128478233333335)</f>
        <v>0.1012847823</v>
      </c>
      <c r="DC56" s="207" t="str">
        <f>IFERROR(__xludf.DUMMYFUNCTION("IF(OR(DB56&gt;$BS56+$BT56*$BT$2,DB56&lt;$BS56-$BT56*$BT$2),AVEDEV(ARRAYFORMULA(XLOOKUP(FILTER(INDIRECT(""'""&amp;DB$1&amp;""'!$C$4:$C$66""),INDIRECT(""'""&amp;DB$1&amp;""'!$D$4:$D$66"")=DB$2),$G$3:$BQ$3,$G56:$BQ56))),"""")"),"")</f>
        <v/>
      </c>
      <c r="DD56" s="251">
        <f>IFERROR(__xludf.DUMMYFUNCTION("AVERAGE(ARRAYFORMULA(XLOOKUP(FILTER(INDIRECT(""'""&amp;DD$1&amp;""'!$C$4:$C$66""),INDIRECT(""'""&amp;DD$1&amp;""'!$D$4:$D$66"")=DD$2),$G$3:$BQ$3,$G56:$BQ56)))"),0.4915530300000001)</f>
        <v>0.49155303</v>
      </c>
      <c r="DE56" s="207" t="str">
        <f>IFERROR(__xludf.DUMMYFUNCTION("IF(OR(DD56&gt;$BS56+$BT56*$BT$2,DD56&lt;$BS56-$BT56*$BT$2),AVEDEV(ARRAYFORMULA(XLOOKUP(FILTER(INDIRECT(""'""&amp;DD$1&amp;""'!$C$4:$C$66""),INDIRECT(""'""&amp;DD$1&amp;""'!$D$4:$D$66"")=DD$2),$G$3:$BQ$3,$G56:$BQ56))),"""")"),"")</f>
        <v/>
      </c>
      <c r="DF56" s="251">
        <f>IFERROR(__xludf.DUMMYFUNCTION("AVERAGE(ARRAYFORMULA(XLOOKUP(FILTER(INDIRECT(""'""&amp;DF$1&amp;""'!$C$4:$C$66""),INDIRECT(""'""&amp;DF$1&amp;""'!$D$4:$D$66"")=DF$2),$G$3:$BQ$3,$G56:$BQ56)))"),0.27137029749999997)</f>
        <v>0.2713702975</v>
      </c>
      <c r="DG56" s="207" t="str">
        <f>IFERROR(__xludf.DUMMYFUNCTION("IF(OR(DF56&gt;$BS56+$BT56*$BT$2,DF56&lt;$BS56-$BT56*$BT$2),AVEDEV(ARRAYFORMULA(XLOOKUP(FILTER(INDIRECT(""'""&amp;DF$1&amp;""'!$C$4:$C$66""),INDIRECT(""'""&amp;DF$1&amp;""'!$D$4:$D$66"")=DF$2),$G$3:$BQ$3,$G56:$BQ56))),"""")"),"")</f>
        <v/>
      </c>
      <c r="DH56" s="251">
        <f>IFERROR(__xludf.DUMMYFUNCTION("AVERAGE(ARRAYFORMULA(XLOOKUP(FILTER(INDIRECT(""'""&amp;DH$1&amp;""'!$C$4:$C$66""),INDIRECT(""'""&amp;DH$1&amp;""'!$D$4:$D$66"")=DH$2),$G$3:$BQ$3,$G56:$BQ56)))"),-0.09526813333333334)</f>
        <v>-0.09526813333</v>
      </c>
      <c r="DI56" s="207" t="str">
        <f>IFERROR(__xludf.DUMMYFUNCTION("IF(OR(DH56&gt;$BS56+$BT56*$BT$2,DH56&lt;$BS56-$BT56*$BT$2),AVEDEV(ARRAYFORMULA(XLOOKUP(FILTER(INDIRECT(""'""&amp;DH$1&amp;""'!$C$4:$C$66""),INDIRECT(""'""&amp;DH$1&amp;""'!$D$4:$D$66"")=DH$2),$G$3:$BQ$3,$G56:$BQ56))),"""")"),"")</f>
        <v/>
      </c>
      <c r="DJ56" s="243"/>
    </row>
    <row r="57">
      <c r="A57" s="2"/>
      <c r="B57" s="204">
        <v>53.0</v>
      </c>
      <c r="C57" s="204" t="s">
        <v>482</v>
      </c>
      <c r="D57" s="204" t="s">
        <v>497</v>
      </c>
      <c r="E57" s="205" t="b">
        <f>VLOOKUP(D57,'Feature Set List'!A54:C246,2,0)</f>
        <v>1</v>
      </c>
      <c r="F57" s="205" t="b">
        <f>VLOOKUP(D57,'Feature Set List'!A54:C246,3,0)</f>
        <v>1</v>
      </c>
      <c r="G57" s="205">
        <v>0.28702602</v>
      </c>
      <c r="H57" s="205">
        <v>-0.7196055</v>
      </c>
      <c r="I57" s="205">
        <v>0.73354872</v>
      </c>
      <c r="J57" s="205">
        <v>-0.1258289</v>
      </c>
      <c r="K57" s="205">
        <v>-0.4424418</v>
      </c>
      <c r="L57" s="205">
        <v>1.13756164</v>
      </c>
      <c r="M57" s="205">
        <v>2.13093011</v>
      </c>
      <c r="N57" s="205">
        <v>-0.5573882</v>
      </c>
      <c r="O57" s="205">
        <v>0.41047441</v>
      </c>
      <c r="P57" s="205">
        <v>-0.3611631</v>
      </c>
      <c r="Q57" s="205">
        <v>-0.3805475</v>
      </c>
      <c r="R57" s="205">
        <v>0.7665363</v>
      </c>
      <c r="S57" s="205">
        <v>-0.4125149</v>
      </c>
      <c r="T57" s="205">
        <v>0.22105084</v>
      </c>
      <c r="U57" s="205">
        <v>0.19656521</v>
      </c>
      <c r="V57" s="205">
        <v>0.19962591</v>
      </c>
      <c r="W57" s="205">
        <v>2.00170039</v>
      </c>
      <c r="X57" s="205">
        <v>0.49345349</v>
      </c>
      <c r="Y57" s="205">
        <v>0.0</v>
      </c>
      <c r="Z57" s="205">
        <v>-0.8141473</v>
      </c>
      <c r="AA57" s="205">
        <v>-1.1465397</v>
      </c>
      <c r="AB57" s="205">
        <v>-0.8178881</v>
      </c>
      <c r="AC57" s="205">
        <v>-0.2363544</v>
      </c>
      <c r="AD57" s="205">
        <v>0.02448563</v>
      </c>
      <c r="AE57" s="205">
        <v>0.04353001</v>
      </c>
      <c r="AF57" s="205">
        <v>0.36864479</v>
      </c>
      <c r="AG57" s="205">
        <v>-0.3751063</v>
      </c>
      <c r="AH57" s="205">
        <v>-0.930454</v>
      </c>
      <c r="AI57" s="205">
        <v>0.24383608</v>
      </c>
      <c r="AJ57" s="205">
        <v>-1.2581194</v>
      </c>
      <c r="AK57" s="205">
        <v>0.86379867</v>
      </c>
      <c r="AL57" s="205">
        <v>1.21986057</v>
      </c>
      <c r="AM57" s="205">
        <v>0.16663833</v>
      </c>
      <c r="AN57" s="205">
        <v>0.59853766</v>
      </c>
      <c r="AO57" s="205">
        <v>1.07906819</v>
      </c>
      <c r="AP57" s="205">
        <v>0.08535963</v>
      </c>
      <c r="AQ57" s="205">
        <v>0.15779629</v>
      </c>
      <c r="AR57" s="205">
        <v>-0.6481891</v>
      </c>
      <c r="AS57" s="205">
        <v>-0.0673355</v>
      </c>
      <c r="AT57" s="205">
        <v>0.29246727</v>
      </c>
      <c r="AU57" s="205">
        <v>-0.4920932</v>
      </c>
      <c r="AV57" s="205">
        <v>-0.8634586</v>
      </c>
      <c r="AW57" s="205">
        <v>-0.9273933</v>
      </c>
      <c r="AX57" s="205">
        <v>0.63424588</v>
      </c>
      <c r="AY57" s="205">
        <v>-1.3235164</v>
      </c>
      <c r="AZ57" s="205">
        <v>1.61673185</v>
      </c>
      <c r="BA57" s="205">
        <v>0.95051862</v>
      </c>
      <c r="BB57" s="205">
        <v>-1.1140962</v>
      </c>
      <c r="BC57" s="205">
        <v>-0.7502125</v>
      </c>
      <c r="BD57" s="205">
        <v>1.42764836</v>
      </c>
      <c r="BE57" s="205">
        <v>-0.5665703</v>
      </c>
      <c r="BF57" s="205">
        <v>-0.504336</v>
      </c>
      <c r="BG57" s="205">
        <v>0.43427988</v>
      </c>
      <c r="BH57" s="205">
        <v>-0.1754804</v>
      </c>
      <c r="BI57" s="205">
        <v>-0.0887604</v>
      </c>
      <c r="BJ57" s="205">
        <v>-0.5148784</v>
      </c>
      <c r="BK57" s="205">
        <v>-0.6342459</v>
      </c>
      <c r="BL57" s="205">
        <v>2.04250978</v>
      </c>
      <c r="BM57" s="205">
        <v>-0.2700221</v>
      </c>
      <c r="BN57" s="205">
        <v>-0.4111546</v>
      </c>
      <c r="BO57" s="205">
        <v>-0.7849005</v>
      </c>
      <c r="BP57" s="205">
        <v>0.22071076</v>
      </c>
      <c r="BQ57" s="205">
        <v>1.02635606</v>
      </c>
      <c r="BR57" s="206"/>
      <c r="BS57" s="250">
        <f t="shared" si="1"/>
        <v>0.05334531508</v>
      </c>
      <c r="BT57" s="250">
        <f t="shared" si="2"/>
        <v>0.6495386531</v>
      </c>
      <c r="BU57" s="206"/>
      <c r="BV57" s="207">
        <f>IFERROR(__xludf.DUMMYFUNCTION("AVERAGE(ARRAYFORMULA(XLOOKUP(FILTER(INDIRECT(""'""&amp;BV$1&amp;""'!$C$4:$C$66""),INDIRECT(""'""&amp;BV$1&amp;""'!$D$4:$D$66"")=BV$2),$G$3:$BQ$3,$G57:$BQ57)))"),0.11534482428571434)</f>
        <v>0.1153448243</v>
      </c>
      <c r="BW57" s="207" t="str">
        <f>IFERROR(__xludf.DUMMYFUNCTION("IF(OR(BV57&gt;$BS57+$BT57*$BT$2,BV57&lt;$BS57-$BT57*$BT$2),AVEDEV(ARRAYFORMULA(XLOOKUP(FILTER(INDIRECT(""'""&amp;BV$1&amp;""'!$C$4:$C$66""),INDIRECT(""'""&amp;BV$1&amp;""'!$D$4:$D$66"")=BV$2),$G$3:$BQ$3,$G57:$BQ57))),"""")"),"")</f>
        <v/>
      </c>
      <c r="BX57" s="207">
        <f>IFERROR(__xludf.DUMMYFUNCTION("AVERAGE(ARRAYFORMULA(XLOOKUP(FILTER(INDIRECT(""'""&amp;BX$1&amp;""'!$C$4:$C$66""),INDIRECT(""'""&amp;BX$1&amp;""'!$D$4:$D$66"")=BX$2),$G$3:$BQ$3,$G57:$BQ57)))"),-0.17139861571428572)</f>
        <v>-0.1713986157</v>
      </c>
      <c r="BY57" s="207" t="str">
        <f>IFERROR(__xludf.DUMMYFUNCTION("IF(OR(BX57&gt;$BS57+$BT57*$BT$2,BX57&lt;$BS57-$BT57*$BT$2),AVEDEV(ARRAYFORMULA(XLOOKUP(FILTER(INDIRECT(""'""&amp;BX$1&amp;""'!$C$4:$C$66""),INDIRECT(""'""&amp;BX$1&amp;""'!$D$4:$D$66"")=BX$2),$G$3:$BQ$3,$G57:$BQ57))),"""")"),"")</f>
        <v/>
      </c>
      <c r="BZ57" s="207">
        <f>IFERROR(__xludf.DUMMYFUNCTION("AVERAGE(ARRAYFORMULA(XLOOKUP(FILTER(INDIRECT(""'""&amp;BZ$1&amp;""'!$C$4:$C$66""),INDIRECT(""'""&amp;BZ$1&amp;""'!$D$4:$D$66"")=BZ$2),$G$3:$BQ$3,$G57:$BQ57)))"),0.7348162781818182)</f>
        <v>0.7348162782</v>
      </c>
      <c r="CA57" s="207">
        <f>IFERROR(__xludf.DUMMYFUNCTION("IF(OR(BZ57&gt;$BS57+$BT57*$BT$2,BZ57&lt;$BS57-$BT57*$BT$2),AVEDEV(ARRAYFORMULA(XLOOKUP(FILTER(INDIRECT(""'""&amp;BZ$1&amp;""'!$C$4:$C$66""),INDIRECT(""'""&amp;BZ$1&amp;""'!$D$4:$D$66"")=BZ$2),$G$3:$BQ$3,$G57:$BQ57))),"""")"),0.756974767107438)</f>
        <v>0.7569747671</v>
      </c>
      <c r="CB57" s="209"/>
      <c r="CC57" s="207">
        <f>IFERROR(__xludf.DUMMYFUNCTION("AVERAGE(ARRAYFORMULA(XLOOKUP(FILTER(INDIRECT(""'""&amp;CC$1&amp;""'!$C$4:$C$66""),INDIRECT(""'""&amp;CC$1&amp;""'!$D$4:$D$66"")=CC$2),$G$3:$BQ$3,$G57:$BQ57)))"),-0.16770107062500003)</f>
        <v>-0.1677010706</v>
      </c>
      <c r="CD57" s="207" t="str">
        <f>IFERROR(__xludf.DUMMYFUNCTION("IF(OR(CC57&gt;$BS57+$BT57*$BT$2,CC57&lt;$BS57-$BT57*$BT$2),AVEDEV(ARRAYFORMULA(XLOOKUP(FILTER(INDIRECT(""'""&amp;CC$1&amp;""'!$C$4:$C$66""),INDIRECT(""'""&amp;CC$1&amp;""'!$D$4:$D$66"")=CC$2),$G$3:$BQ$3,$G57:$BQ57))),"""")"),"")</f>
        <v/>
      </c>
      <c r="CE57" s="207">
        <f>IFERROR(__xludf.DUMMYFUNCTION("AVERAGE(ARRAYFORMULA(XLOOKUP(FILTER(INDIRECT(""'""&amp;CE$1&amp;""'!$C$4:$C$66""),INDIRECT(""'""&amp;CE$1&amp;""'!$D$4:$D$66"")=CE$2),$G$3:$BQ$3,$G57:$BQ57)))"),0.011752441935483892)</f>
        <v>0.01175244194</v>
      </c>
      <c r="CF57" s="207" t="str">
        <f>IFERROR(__xludf.DUMMYFUNCTION("IF(OR(CE57&gt;$BS57+$BT57*$BT$2,CE57&lt;$BS57-$BT57*$BT$2),AVEDEV(ARRAYFORMULA(XLOOKUP(FILTER(INDIRECT(""'""&amp;CE$1&amp;""'!$C$4:$C$66""),INDIRECT(""'""&amp;CE$1&amp;""'!$D$4:$D$66"")=CE$2),$G$3:$BQ$3,$G57:$BQ57))),"""")"),"")</f>
        <v/>
      </c>
      <c r="CG57" s="207">
        <f>IFERROR(__xludf.DUMMYFUNCTION("AVERAGE(ARRAYFORMULA(XLOOKUP(FILTER(INDIRECT(""'""&amp;CG$1&amp;""'!$C$4:$C$66""),INDIRECT(""'""&amp;CG$1&amp;""'!$D$4:$D$66"")=CG$2),$G$3:$BQ$3,$G57:$BQ57)))"),0.23547014800000002)</f>
        <v>0.235470148</v>
      </c>
      <c r="CH57" s="207" t="str">
        <f>IFERROR(__xludf.DUMMYFUNCTION("IF(OR(CG57&gt;$BS57+$BT57*$BT$2,CG57&lt;$BS57-$BT57*$BT$2),AVEDEV(ARRAYFORMULA(XLOOKUP(FILTER(INDIRECT(""'""&amp;CG$1&amp;""'!$C$4:$C$66""),INDIRECT(""'""&amp;CG$1&amp;""'!$D$4:$D$66"")=CG$2),$G$3:$BQ$3,$G57:$BQ57))),"""")"),"")</f>
        <v/>
      </c>
      <c r="CI57" s="206"/>
      <c r="CJ57" s="251">
        <f>IFERROR(__xludf.DUMMYFUNCTION("AVERAGE(ARRAYFORMULA(XLOOKUP(FILTER(INDIRECT(""'""&amp;CJ$1&amp;""'!$C$4:$C$66""),INDIRECT(""'""&amp;CJ$1&amp;""'!$D$4:$D$66"")=CJ$2),$G$3:$BQ$3,$G57:$BQ57)))"),-0.3407447666666667)</f>
        <v>-0.3407447667</v>
      </c>
      <c r="CK57" s="207" t="str">
        <f>IFERROR(__xludf.DUMMYFUNCTION("IF(OR(CJ57&gt;$BS57+$BT57*$BT$2,CJ57&lt;$BS57-$BT57*$BT$2),AVEDEV(ARRAYFORMULA(XLOOKUP(FILTER(INDIRECT(""'""&amp;CJ$1&amp;""'!$C$4:$C$66""),INDIRECT(""'""&amp;CJ$1&amp;""'!$D$4:$D$66"")=CJ$2),$G$3:$BQ$3,$G57:$BQ57))),"""")"),"")</f>
        <v/>
      </c>
      <c r="CL57" s="251">
        <f>IFERROR(__xludf.DUMMYFUNCTION("AVERAGE(ARRAYFORMULA(XLOOKUP(FILTER(INDIRECT(""'""&amp;CL$1&amp;""'!$C$4:$C$66""),INDIRECT(""'""&amp;CL$1&amp;""'!$D$4:$D$66"")=CL$2),$G$3:$BQ$3,$G57:$BQ57)))"),0.0918708192307692)</f>
        <v>0.09187081923</v>
      </c>
      <c r="CM57" s="207" t="str">
        <f>IFERROR(__xludf.DUMMYFUNCTION("IF(OR(CL57&gt;$BS57+$BT57*$BT$2,CL57&lt;$BS57-$BT57*$BT$2),AVEDEV(ARRAYFORMULA(XLOOKUP(FILTER(INDIRECT(""'""&amp;CL$1&amp;""'!$C$4:$C$66""),INDIRECT(""'""&amp;CL$1&amp;""'!$D$4:$D$66"")=CL$2),$G$3:$BQ$3,$G57:$BQ57))),"""")"),"")</f>
        <v/>
      </c>
      <c r="CN57" s="251">
        <f>IFERROR(__xludf.DUMMYFUNCTION("AVERAGE(ARRAYFORMULA(XLOOKUP(FILTER(INDIRECT(""'""&amp;CN$1&amp;""'!$C$4:$C$66""),INDIRECT(""'""&amp;CN$1&amp;""'!$D$4:$D$66"")=CN$2),$G$3:$BQ$3,$G57:$BQ57)))"),0.23547014800000002)</f>
        <v>0.235470148</v>
      </c>
      <c r="CO57" s="207" t="str">
        <f>IFERROR(__xludf.DUMMYFUNCTION("IF(OR(CN57&gt;$BS57+$BT57*$BT$2,CN57&lt;$BS57-$BT57*$BT$2),AVEDEV(ARRAYFORMULA(XLOOKUP(FILTER(INDIRECT(""'""&amp;CN$1&amp;""'!$C$4:$C$66""),INDIRECT(""'""&amp;CN$1&amp;""'!$D$4:$D$66"")=CN$2),$G$3:$BQ$3,$G57:$BQ57))),"""")"),"")</f>
        <v/>
      </c>
      <c r="CP57" s="252"/>
      <c r="CQ57" s="251">
        <f>IFERROR(__xludf.DUMMYFUNCTION("AVERAGE(ARRAYFORMULA(XLOOKUP(FILTER(INDIRECT(""'""&amp;CQ$1&amp;""'!$C$4:$C$66""),INDIRECT(""'""&amp;CQ$1&amp;""'!$D$4:$D$66"")=CQ$2),$G$3:$BQ$3,$G57:$BQ57)))"),-0.07357835285714287)</f>
        <v>-0.07357835286</v>
      </c>
      <c r="CR57" s="207" t="str">
        <f>IFERROR(__xludf.DUMMYFUNCTION("IF(OR(CQ57&gt;$BS57+$BT57*$BT$2,CQ57&lt;$BS57-$BT57*$BT$2),AVEDEV(ARRAYFORMULA(XLOOKUP(FILTER(INDIRECT(""'""&amp;CQ$1&amp;""'!$C$4:$C$66""),INDIRECT(""'""&amp;CQ$1&amp;""'!$D$4:$D$66"")=CQ$2),$G$3:$BQ$3,$G57:$BQ57))),"""")"),"")</f>
        <v/>
      </c>
      <c r="CS57" s="251">
        <f>IFERROR(__xludf.DUMMYFUNCTION("AVERAGE(ARRAYFORMULA(XLOOKUP(FILTER(INDIRECT(""'""&amp;CS$1&amp;""'!$C$4:$C$66""),INDIRECT(""'""&amp;CS$1&amp;""'!$D$4:$D$66"")=CS$2),$G$3:$BQ$3,$G57:$BQ57)))"),0.7484743677777778)</f>
        <v>0.7484743678</v>
      </c>
      <c r="CT57" s="207">
        <f>IFERROR(__xludf.DUMMYFUNCTION("IF(OR(CS57&gt;$BS57+$BT57*$BT$2,CS57&lt;$BS57-$BT57*$BT$2),AVEDEV(ARRAYFORMULA(XLOOKUP(FILTER(INDIRECT(""'""&amp;CS$1&amp;""'!$C$4:$C$66""),INDIRECT(""'""&amp;CS$1&amp;""'!$D$4:$D$66"")=CS$2),$G$3:$BQ$3,$G57:$BQ57))),"""")"),0.7170696197530864)</f>
        <v>0.7170696198</v>
      </c>
      <c r="CU57" s="251">
        <f>IFERROR(__xludf.DUMMYFUNCTION("AVERAGE(ARRAYFORMULA(XLOOKUP(FILTER(INDIRECT(""'""&amp;CU$1&amp;""'!$C$4:$C$66""),INDIRECT(""'""&amp;CU$1&amp;""'!$D$4:$D$66"")=CU$2),$G$3:$BQ$3,$G57:$BQ57)))"),-0.24381753363636366)</f>
        <v>-0.2438175336</v>
      </c>
      <c r="CV57" s="207" t="str">
        <f>IFERROR(__xludf.DUMMYFUNCTION("IF(OR(CU57&gt;$BS57+$BT57*$BT$2,CU57&lt;$BS57-$BT57*$BT$2),AVEDEV(ARRAYFORMULA(XLOOKUP(FILTER(INDIRECT(""'""&amp;CU$1&amp;""'!$C$4:$C$66""),INDIRECT(""'""&amp;CU$1&amp;""'!$D$4:$D$66"")=CU$2),$G$3:$BQ$3,$G57:$BQ57))),"""")"),"")</f>
        <v/>
      </c>
      <c r="CW57" s="251">
        <f>IFERROR(__xludf.DUMMYFUNCTION("AVERAGE(ARRAYFORMULA(XLOOKUP(FILTER(INDIRECT(""'""&amp;CW$1&amp;""'!$C$4:$C$66""),INDIRECT(""'""&amp;CW$1&amp;""'!$D$4:$D$66"")=CW$2),$G$3:$BQ$3,$G57:$BQ57)))"),-0.075497385)</f>
        <v>-0.075497385</v>
      </c>
      <c r="CX57" s="207" t="str">
        <f>IFERROR(__xludf.DUMMYFUNCTION("IF(OR(CW57&gt;$BS57+$BT57*$BT$2,CW57&lt;$BS57-$BT57*$BT$2),AVEDEV(ARRAYFORMULA(XLOOKUP(FILTER(INDIRECT(""'""&amp;CW$1&amp;""'!$C$4:$C$66""),INDIRECT(""'""&amp;CW$1&amp;""'!$D$4:$D$66"")=CW$2),$G$3:$BQ$3,$G57:$BQ57))),"""")"),"")</f>
        <v/>
      </c>
      <c r="CY57" s="251">
        <f>IFERROR(__xludf.DUMMYFUNCTION("AVERAGE(ARRAYFORMULA(XLOOKUP(FILTER(INDIRECT(""'""&amp;CY$1&amp;""'!$C$4:$C$66""),INDIRECT(""'""&amp;CY$1&amp;""'!$D$4:$D$66"")=CY$2),$G$3:$BQ$3,$G57:$BQ57)))"),-0.08636772357142856)</f>
        <v>-0.08636772357</v>
      </c>
      <c r="CZ57" s="207" t="str">
        <f>IFERROR(__xludf.DUMMYFUNCTION("IF(OR(CY57&gt;$BS57+$BT57*$BT$2,CY57&lt;$BS57-$BT57*$BT$2),AVEDEV(ARRAYFORMULA(XLOOKUP(FILTER(INDIRECT(""'""&amp;CY$1&amp;""'!$C$4:$C$66""),INDIRECT(""'""&amp;CY$1&amp;""'!$D$4:$D$66"")=CY$2),$G$3:$BQ$3,$G57:$BQ57))),"""")"),"")</f>
        <v/>
      </c>
      <c r="DA57" s="252"/>
      <c r="DB57" s="251">
        <f>IFERROR(__xludf.DUMMYFUNCTION("AVERAGE(ARRAYFORMULA(XLOOKUP(FILTER(INDIRECT(""'""&amp;DB$1&amp;""'!$C$4:$C$66""),INDIRECT(""'""&amp;DB$1&amp;""'!$D$4:$D$66"")=DB$2),$G$3:$BQ$3,$G57:$BQ57)))"),-0.11841523433333334)</f>
        <v>-0.1184152343</v>
      </c>
      <c r="DC57" s="207" t="str">
        <f>IFERROR(__xludf.DUMMYFUNCTION("IF(OR(DB57&gt;$BS57+$BT57*$BT$2,DB57&lt;$BS57-$BT57*$BT$2),AVEDEV(ARRAYFORMULA(XLOOKUP(FILTER(INDIRECT(""'""&amp;DB$1&amp;""'!$C$4:$C$66""),INDIRECT(""'""&amp;DB$1&amp;""'!$D$4:$D$66"")=DB$2),$G$3:$BQ$3,$G57:$BQ57))),"""")"),"")</f>
        <v/>
      </c>
      <c r="DD57" s="251">
        <f>IFERROR(__xludf.DUMMYFUNCTION("AVERAGE(ARRAYFORMULA(XLOOKUP(FILTER(INDIRECT(""'""&amp;DD$1&amp;""'!$C$4:$C$66""),INDIRECT(""'""&amp;DD$1&amp;""'!$D$4:$D$66"")=DD$2),$G$3:$BQ$3,$G57:$BQ57)))"),0.5815715355555556)</f>
        <v>0.5815715356</v>
      </c>
      <c r="DE57" s="207" t="str">
        <f>IFERROR(__xludf.DUMMYFUNCTION("IF(OR(DD57&gt;$BS57+$BT57*$BT$2,DD57&lt;$BS57-$BT57*$BT$2),AVEDEV(ARRAYFORMULA(XLOOKUP(FILTER(INDIRECT(""'""&amp;DD$1&amp;""'!$C$4:$C$66""),INDIRECT(""'""&amp;DD$1&amp;""'!$D$4:$D$66"")=DD$2),$G$3:$BQ$3,$G57:$BQ57))),"""")"),"")</f>
        <v/>
      </c>
      <c r="DF57" s="251">
        <f>IFERROR(__xludf.DUMMYFUNCTION("AVERAGE(ARRAYFORMULA(XLOOKUP(FILTER(INDIRECT(""'""&amp;DF$1&amp;""'!$C$4:$C$66""),INDIRECT(""'""&amp;DF$1&amp;""'!$D$4:$D$66"")=DF$2),$G$3:$BQ$3,$G57:$BQ57)))"),-0.14379782874999997)</f>
        <v>-0.1437978288</v>
      </c>
      <c r="DG57" s="207" t="str">
        <f>IFERROR(__xludf.DUMMYFUNCTION("IF(OR(DF57&gt;$BS57+$BT57*$BT$2,DF57&lt;$BS57-$BT57*$BT$2),AVEDEV(ARRAYFORMULA(XLOOKUP(FILTER(INDIRECT(""'""&amp;DF$1&amp;""'!$C$4:$C$66""),INDIRECT(""'""&amp;DF$1&amp;""'!$D$4:$D$66"")=DF$2),$G$3:$BQ$3,$G57:$BQ57))),"""")"),"")</f>
        <v/>
      </c>
      <c r="DH57" s="251">
        <f>IFERROR(__xludf.DUMMYFUNCTION("AVERAGE(ARRAYFORMULA(XLOOKUP(FILTER(INDIRECT(""'""&amp;DH$1&amp;""'!$C$4:$C$66""),INDIRECT(""'""&amp;DH$1&amp;""'!$D$4:$D$66"")=DH$2),$G$3:$BQ$3,$G57:$BQ57)))"),-0.20072172777777778)</f>
        <v>-0.2007217278</v>
      </c>
      <c r="DI57" s="207" t="str">
        <f>IFERROR(__xludf.DUMMYFUNCTION("IF(OR(DH57&gt;$BS57+$BT57*$BT$2,DH57&lt;$BS57-$BT57*$BT$2),AVEDEV(ARRAYFORMULA(XLOOKUP(FILTER(INDIRECT(""'""&amp;DH$1&amp;""'!$C$4:$C$66""),INDIRECT(""'""&amp;DH$1&amp;""'!$D$4:$D$66"")=DH$2),$G$3:$BQ$3,$G57:$BQ57))),"""")"),"")</f>
        <v/>
      </c>
      <c r="DJ57" s="243"/>
    </row>
    <row r="58">
      <c r="A58" s="2"/>
      <c r="B58" s="204">
        <v>54.0</v>
      </c>
      <c r="C58" s="204" t="s">
        <v>482</v>
      </c>
      <c r="D58" s="204" t="s">
        <v>498</v>
      </c>
      <c r="E58" s="205" t="b">
        <f>VLOOKUP(D58,'Feature Set List'!A55:C246,2,0)</f>
        <v>1</v>
      </c>
      <c r="F58" s="205" t="b">
        <f>VLOOKUP(D58,'Feature Set List'!A55:C246,3,0)</f>
        <v>1</v>
      </c>
      <c r="G58" s="205">
        <v>1.23630548</v>
      </c>
      <c r="H58" s="205">
        <v>-0.0663735</v>
      </c>
      <c r="I58" s="205">
        <v>-0.4454218</v>
      </c>
      <c r="J58" s="205">
        <v>0.42622951</v>
      </c>
      <c r="K58" s="205">
        <v>0.07996801</v>
      </c>
      <c r="L58" s="205">
        <v>-0.6869252</v>
      </c>
      <c r="M58" s="205">
        <v>-1.3672131</v>
      </c>
      <c r="N58" s="205">
        <v>-0.1983207</v>
      </c>
      <c r="O58" s="205">
        <v>0.45901639</v>
      </c>
      <c r="P58" s="205">
        <v>0.41023591</v>
      </c>
      <c r="Q58" s="205">
        <v>0.8892443</v>
      </c>
      <c r="R58" s="205">
        <v>0.55097961</v>
      </c>
      <c r="S58" s="205">
        <v>0.10635746</v>
      </c>
      <c r="T58" s="205">
        <v>0.0</v>
      </c>
      <c r="U58" s="205">
        <v>1.13714514</v>
      </c>
      <c r="V58" s="205">
        <v>0.02958816</v>
      </c>
      <c r="W58" s="205">
        <v>1.03318673</v>
      </c>
      <c r="X58" s="205">
        <v>0.79888045</v>
      </c>
      <c r="Y58" s="205">
        <v>-0.0271891</v>
      </c>
      <c r="Z58" s="205">
        <v>0.23990404</v>
      </c>
      <c r="AA58" s="205">
        <v>-0.6429428</v>
      </c>
      <c r="AB58" s="205">
        <v>-0.9507397</v>
      </c>
      <c r="AC58" s="205">
        <v>-0.6757297</v>
      </c>
      <c r="AD58" s="205">
        <v>0.08156737</v>
      </c>
      <c r="AE58" s="205">
        <v>-0.8307077</v>
      </c>
      <c r="AF58" s="205">
        <v>-0.1303479</v>
      </c>
      <c r="AG58" s="205">
        <v>-0.0823671</v>
      </c>
      <c r="AH58" s="205">
        <v>-0.8118353</v>
      </c>
      <c r="AI58" s="205">
        <v>-0.335066</v>
      </c>
      <c r="AJ58" s="205">
        <v>-0.9741703</v>
      </c>
      <c r="AK58" s="205">
        <v>1.35065974</v>
      </c>
      <c r="AL58" s="205">
        <v>0.32147141</v>
      </c>
      <c r="AM58" s="205">
        <v>-1.1277089</v>
      </c>
      <c r="AN58" s="205">
        <v>-0.3142743</v>
      </c>
      <c r="AO58" s="205">
        <v>0.01679328</v>
      </c>
      <c r="AP58" s="205">
        <v>0.12954818</v>
      </c>
      <c r="AQ58" s="205">
        <v>-0.4422231</v>
      </c>
      <c r="AR58" s="205">
        <v>0.47501</v>
      </c>
      <c r="AS58" s="205">
        <v>0.49660136</v>
      </c>
      <c r="AT58" s="205">
        <v>0.48140744</v>
      </c>
      <c r="AU58" s="205">
        <v>0.27988804</v>
      </c>
      <c r="AV58" s="205">
        <v>-0.4854058</v>
      </c>
      <c r="AW58" s="205">
        <v>0.41503399</v>
      </c>
      <c r="AX58" s="205">
        <v>0.64454218</v>
      </c>
      <c r="AY58" s="205">
        <v>-1.1489004</v>
      </c>
      <c r="AZ58" s="205">
        <v>-0.7213115</v>
      </c>
      <c r="BA58" s="205">
        <v>0.54138345</v>
      </c>
      <c r="BB58" s="205">
        <v>-0.0951619</v>
      </c>
      <c r="BC58" s="205">
        <v>0.0</v>
      </c>
      <c r="BD58" s="205">
        <v>-0.3806477</v>
      </c>
      <c r="BE58" s="205">
        <v>1.11955218</v>
      </c>
      <c r="BF58" s="205">
        <v>0.74930028</v>
      </c>
      <c r="BG58" s="205">
        <v>-0.6085566</v>
      </c>
      <c r="BH58" s="205">
        <v>-0.0871651</v>
      </c>
      <c r="BI58" s="205">
        <v>-0.2159136</v>
      </c>
      <c r="BJ58" s="205">
        <v>-0.5581767</v>
      </c>
      <c r="BK58" s="205">
        <v>1.97361056</v>
      </c>
      <c r="BL58" s="205">
        <v>2.97241104</v>
      </c>
      <c r="BM58" s="205">
        <v>-0.2079168</v>
      </c>
      <c r="BN58" s="205">
        <v>1.66093563</v>
      </c>
      <c r="BO58" s="205">
        <v>-0.9544982</v>
      </c>
      <c r="BP58" s="205">
        <v>-0.6685326</v>
      </c>
      <c r="BQ58" s="205">
        <v>-0.5901639</v>
      </c>
      <c r="BR58" s="206"/>
      <c r="BS58" s="250">
        <f t="shared" si="1"/>
        <v>0.06785476698</v>
      </c>
      <c r="BT58" s="250">
        <f t="shared" si="2"/>
        <v>0.6082680128</v>
      </c>
      <c r="BU58" s="206"/>
      <c r="BV58" s="207">
        <f>IFERROR(__xludf.DUMMYFUNCTION("AVERAGE(ARRAYFORMULA(XLOOKUP(FILTER(INDIRECT(""'""&amp;BV$1&amp;""'!$C$4:$C$66""),INDIRECT(""'""&amp;BV$1&amp;""'!$D$4:$D$66"")=BV$2),$G$3:$BQ$3,$G58:$BQ58)))"),0.685817112857143)</f>
        <v>0.6858171129</v>
      </c>
      <c r="BW58" s="207">
        <f>IFERROR(__xludf.DUMMYFUNCTION("IF(OR(BV58&gt;$BS58+$BT58*$BT$2,BV58&lt;$BS58-$BT58*$BT$2),AVEDEV(ARRAYFORMULA(XLOOKUP(FILTER(INDIRECT(""'""&amp;BV$1&amp;""'!$C$4:$C$66""),INDIRECT(""'""&amp;BV$1&amp;""'!$D$4:$D$66"")=BV$2),$G$3:$BQ$3,$G58:$BQ58))),"""")"),0.9384915310204082)</f>
        <v>0.938491531</v>
      </c>
      <c r="BX58" s="207">
        <f>IFERROR(__xludf.DUMMYFUNCTION("AVERAGE(ARRAYFORMULA(XLOOKUP(FILTER(INDIRECT(""'""&amp;BX$1&amp;""'!$C$4:$C$66""),INDIRECT(""'""&amp;BX$1&amp;""'!$D$4:$D$66"")=BX$2),$G$3:$BQ$3,$G58:$BQ58)))"),-0.0014260947619047662)</f>
        <v>-0.001426094762</v>
      </c>
      <c r="BY58" s="207" t="str">
        <f>IFERROR(__xludf.DUMMYFUNCTION("IF(OR(BX58&gt;$BS58+$BT58*$BT$2,BX58&lt;$BS58-$BT58*$BT$2),AVEDEV(ARRAYFORMULA(XLOOKUP(FILTER(INDIRECT(""'""&amp;BX$1&amp;""'!$C$4:$C$66""),INDIRECT(""'""&amp;BX$1&amp;""'!$D$4:$D$66"")=BX$2),$G$3:$BQ$3,$G58:$BQ58))),"""")"),"")</f>
        <v/>
      </c>
      <c r="BZ58" s="207">
        <f>IFERROR(__xludf.DUMMYFUNCTION("AVERAGE(ARRAYFORMULA(XLOOKUP(FILTER(INDIRECT(""'""&amp;BZ$1&amp;""'!$C$4:$C$66""),INDIRECT(""'""&amp;BZ$1&amp;""'!$D$4:$D$66"")=BZ$2),$G$3:$BQ$3,$G58:$BQ58)))"),0.007291633636363575)</f>
        <v>0.007291633636</v>
      </c>
      <c r="CA58" s="207" t="str">
        <f>IFERROR(__xludf.DUMMYFUNCTION("IF(OR(BZ58&gt;$BS58+$BT58*$BT$2,BZ58&lt;$BS58-$BT58*$BT$2),AVEDEV(ARRAYFORMULA(XLOOKUP(FILTER(INDIRECT(""'""&amp;BZ$1&amp;""'!$C$4:$C$66""),INDIRECT(""'""&amp;BZ$1&amp;""'!$D$4:$D$66"")=BZ$2),$G$3:$BQ$3,$G58:$BQ58))),"""")"),"")</f>
        <v/>
      </c>
      <c r="CB58" s="209"/>
      <c r="CC58" s="207">
        <f>IFERROR(__xludf.DUMMYFUNCTION("AVERAGE(ARRAYFORMULA(XLOOKUP(FILTER(INDIRECT(""'""&amp;CC$1&amp;""'!$C$4:$C$66""),INDIRECT(""'""&amp;CC$1&amp;""'!$D$4:$D$66"")=CC$2),$G$3:$BQ$3,$G58:$BQ58)))"),0.171791278125)</f>
        <v>0.1717912781</v>
      </c>
      <c r="CD58" s="207" t="str">
        <f>IFERROR(__xludf.DUMMYFUNCTION("IF(OR(CC58&gt;$BS58+$BT58*$BT$2,CC58&lt;$BS58-$BT58*$BT$2),AVEDEV(ARRAYFORMULA(XLOOKUP(FILTER(INDIRECT(""'""&amp;CC$1&amp;""'!$C$4:$C$66""),INDIRECT(""'""&amp;CC$1&amp;""'!$D$4:$D$66"")=CC$2),$G$3:$BQ$3,$G58:$BQ58))),"""")"),"")</f>
        <v/>
      </c>
      <c r="CE58" s="207">
        <f>IFERROR(__xludf.DUMMYFUNCTION("AVERAGE(ARRAYFORMULA(XLOOKUP(FILTER(INDIRECT(""'""&amp;CE$1&amp;""'!$C$4:$C$66""),INDIRECT(""'""&amp;CE$1&amp;""'!$D$4:$D$66"")=CE$2),$G$3:$BQ$3,$G58:$BQ58)))"),-0.12092968451612902)</f>
        <v>-0.1209296845</v>
      </c>
      <c r="CF58" s="207" t="str">
        <f>IFERROR(__xludf.DUMMYFUNCTION("IF(OR(CE58&gt;$BS58+$BT58*$BT$2,CE58&lt;$BS58-$BT58*$BT$2),AVEDEV(ARRAYFORMULA(XLOOKUP(FILTER(INDIRECT(""'""&amp;CE$1&amp;""'!$C$4:$C$66""),INDIRECT(""'""&amp;CE$1&amp;""'!$D$4:$D$66"")=CE$2),$G$3:$BQ$3,$G58:$BQ58))),"""")"),"")</f>
        <v/>
      </c>
      <c r="CG58" s="207">
        <f>IFERROR(__xludf.DUMMYFUNCTION("AVERAGE(ARRAYFORMULA(XLOOKUP(FILTER(INDIRECT(""'""&amp;CG$1&amp;""'!$C$4:$C$66""),INDIRECT(""'""&amp;CG$1&amp;""'!$D$4:$D$66"")=CG$2),$G$3:$BQ$3,$G58:$BQ58)))"),0.16793282400000004)</f>
        <v>0.167932824</v>
      </c>
      <c r="CH58" s="207" t="str">
        <f>IFERROR(__xludf.DUMMYFUNCTION("IF(OR(CG58&gt;$BS58+$BT58*$BT$2,CG58&lt;$BS58-$BT58*$BT$2),AVEDEV(ARRAYFORMULA(XLOOKUP(FILTER(INDIRECT(""'""&amp;CG$1&amp;""'!$C$4:$C$66""),INDIRECT(""'""&amp;CG$1&amp;""'!$D$4:$D$66"")=CG$2),$G$3:$BQ$3,$G58:$BQ58))),"""")"),"")</f>
        <v/>
      </c>
      <c r="CI58" s="206"/>
      <c r="CJ58" s="251">
        <f>IFERROR(__xludf.DUMMYFUNCTION("AVERAGE(ARRAYFORMULA(XLOOKUP(FILTER(INDIRECT(""'""&amp;CJ$1&amp;""'!$C$4:$C$66""),INDIRECT(""'""&amp;CJ$1&amp;""'!$D$4:$D$66"")=CJ$2),$G$3:$BQ$3,$G58:$BQ58)))"),-0.04145008066666667)</f>
        <v>-0.04145008067</v>
      </c>
      <c r="CK58" s="207" t="str">
        <f>IFERROR(__xludf.DUMMYFUNCTION("IF(OR(CJ58&gt;$BS58+$BT58*$BT$2,CJ58&lt;$BS58-$BT58*$BT$2),AVEDEV(ARRAYFORMULA(XLOOKUP(FILTER(INDIRECT(""'""&amp;CJ$1&amp;""'!$C$4:$C$66""),INDIRECT(""'""&amp;CJ$1&amp;""'!$D$4:$D$66"")=CJ$2),$G$3:$BQ$3,$G58:$BQ58))),"""")"),"")</f>
        <v/>
      </c>
      <c r="CL58" s="251">
        <f>IFERROR(__xludf.DUMMYFUNCTION("AVERAGE(ARRAYFORMULA(XLOOKUP(FILTER(INDIRECT(""'""&amp;CL$1&amp;""'!$C$4:$C$66""),INDIRECT(""'""&amp;CL$1&amp;""'!$D$4:$D$66"")=CL$2),$G$3:$BQ$3,$G58:$BQ58)))"),0.041813021282051284)</f>
        <v>0.04181302128</v>
      </c>
      <c r="CM58" s="207" t="str">
        <f>IFERROR(__xludf.DUMMYFUNCTION("IF(OR(CL58&gt;$BS58+$BT58*$BT$2,CL58&lt;$BS58-$BT58*$BT$2),AVEDEV(ARRAYFORMULA(XLOOKUP(FILTER(INDIRECT(""'""&amp;CL$1&amp;""'!$C$4:$C$66""),INDIRECT(""'""&amp;CL$1&amp;""'!$D$4:$D$66"")=CL$2),$G$3:$BQ$3,$G58:$BQ58))),"""")"),"")</f>
        <v/>
      </c>
      <c r="CN58" s="251">
        <f>IFERROR(__xludf.DUMMYFUNCTION("AVERAGE(ARRAYFORMULA(XLOOKUP(FILTER(INDIRECT(""'""&amp;CN$1&amp;""'!$C$4:$C$66""),INDIRECT(""'""&amp;CN$1&amp;""'!$D$4:$D$66"")=CN$2),$G$3:$BQ$3,$G58:$BQ58)))"),0.16793282400000004)</f>
        <v>0.167932824</v>
      </c>
      <c r="CO58" s="207" t="str">
        <f>IFERROR(__xludf.DUMMYFUNCTION("IF(OR(CN58&gt;$BS58+$BT58*$BT$2,CN58&lt;$BS58-$BT58*$BT$2),AVEDEV(ARRAYFORMULA(XLOOKUP(FILTER(INDIRECT(""'""&amp;CN$1&amp;""'!$C$4:$C$66""),INDIRECT(""'""&amp;CN$1&amp;""'!$D$4:$D$66"")=CN$2),$G$3:$BQ$3,$G58:$BQ58))),"""")"),"")</f>
        <v/>
      </c>
      <c r="CP58" s="252"/>
      <c r="CQ58" s="251">
        <f>IFERROR(__xludf.DUMMYFUNCTION("AVERAGE(ARRAYFORMULA(XLOOKUP(FILTER(INDIRECT(""'""&amp;CQ$1&amp;""'!$C$4:$C$66""),INDIRECT(""'""&amp;CQ$1&amp;""'!$D$4:$D$66"")=CQ$2),$G$3:$BQ$3,$G58:$BQ58)))"),0.245741695)</f>
        <v>0.245741695</v>
      </c>
      <c r="CR58" s="207" t="str">
        <f>IFERROR(__xludf.DUMMYFUNCTION("IF(OR(CQ58&gt;$BS58+$BT58*$BT$2,CQ58&lt;$BS58-$BT58*$BT$2),AVEDEV(ARRAYFORMULA(XLOOKUP(FILTER(INDIRECT(""'""&amp;CQ$1&amp;""'!$C$4:$C$66""),INDIRECT(""'""&amp;CQ$1&amp;""'!$D$4:$D$66"")=CQ$2),$G$3:$BQ$3,$G58:$BQ58))),"""")"),"")</f>
        <v/>
      </c>
      <c r="CS58" s="251">
        <f>IFERROR(__xludf.DUMMYFUNCTION("AVERAGE(ARRAYFORMULA(XLOOKUP(FILTER(INDIRECT(""'""&amp;CS$1&amp;""'!$C$4:$C$66""),INDIRECT(""'""&amp;CS$1&amp;""'!$D$4:$D$66"")=CS$2),$G$3:$BQ$3,$G58:$BQ58)))"),0.11215958555555552)</f>
        <v>0.1121595856</v>
      </c>
      <c r="CT58" s="207" t="str">
        <f>IFERROR(__xludf.DUMMYFUNCTION("IF(OR(CS58&gt;$BS58+$BT58*$BT$2,CS58&lt;$BS58-$BT58*$BT$2),AVEDEV(ARRAYFORMULA(XLOOKUP(FILTER(INDIRECT(""'""&amp;CS$1&amp;""'!$C$4:$C$66""),INDIRECT(""'""&amp;CS$1&amp;""'!$D$4:$D$66"")=CS$2),$G$3:$BQ$3,$G58:$BQ58))),"""")"),"")</f>
        <v/>
      </c>
      <c r="CU58" s="251">
        <f>IFERROR(__xludf.DUMMYFUNCTION("AVERAGE(ARRAYFORMULA(XLOOKUP(FILTER(INDIRECT(""'""&amp;CU$1&amp;""'!$C$4:$C$66""),INDIRECT(""'""&amp;CU$1&amp;""'!$D$4:$D$66"")=CU$2),$G$3:$BQ$3,$G58:$BQ58)))"),-0.5809966909090909)</f>
        <v>-0.5809966909</v>
      </c>
      <c r="CV58" s="207">
        <f>IFERROR(__xludf.DUMMYFUNCTION("IF(OR(CU58&gt;$BS58+$BT58*$BT$2,CU58&lt;$BS58-$BT58*$BT$2),AVEDEV(ARRAYFORMULA(XLOOKUP(FILTER(INDIRECT(""'""&amp;CU$1&amp;""'!$C$4:$C$66""),INDIRECT(""'""&amp;CU$1&amp;""'!$D$4:$D$66"")=CU$2),$G$3:$BQ$3,$G58:$BQ58))),"""")"),0.3355180314049587)</f>
        <v>0.3355180314</v>
      </c>
      <c r="CW58" s="251">
        <f>IFERROR(__xludf.DUMMYFUNCTION("AVERAGE(ARRAYFORMULA(XLOOKUP(FILTER(INDIRECT(""'""&amp;CW$1&amp;""'!$C$4:$C$66""),INDIRECT(""'""&amp;CW$1&amp;""'!$D$4:$D$66"")=CW$2),$G$3:$BQ$3,$G58:$BQ58)))"),-0.0027988649999999976)</f>
        <v>-0.002798865</v>
      </c>
      <c r="CX58" s="207" t="str">
        <f>IFERROR(__xludf.DUMMYFUNCTION("IF(OR(CW58&gt;$BS58+$BT58*$BT$2,CW58&lt;$BS58-$BT58*$BT$2),AVEDEV(ARRAYFORMULA(XLOOKUP(FILTER(INDIRECT(""'""&amp;CW$1&amp;""'!$C$4:$C$66""),INDIRECT(""'""&amp;CW$1&amp;""'!$D$4:$D$66"")=CW$2),$G$3:$BQ$3,$G58:$BQ58))),"""")"),"")</f>
        <v/>
      </c>
      <c r="CY58" s="251">
        <f>IFERROR(__xludf.DUMMYFUNCTION("AVERAGE(ARRAYFORMULA(XLOOKUP(FILTER(INDIRECT(""'""&amp;CY$1&amp;""'!$C$4:$C$66""),INDIRECT(""'""&amp;CY$1&amp;""'!$D$4:$D$66"")=CY$2),$G$3:$BQ$3,$G58:$BQ58)))"),0.11417148214285712)</f>
        <v>0.1141714821</v>
      </c>
      <c r="CZ58" s="207" t="str">
        <f>IFERROR(__xludf.DUMMYFUNCTION("IF(OR(CY58&gt;$BS58+$BT58*$BT$2,CY58&lt;$BS58-$BT58*$BT$2),AVEDEV(ARRAYFORMULA(XLOOKUP(FILTER(INDIRECT(""'""&amp;CY$1&amp;""'!$C$4:$C$66""),INDIRECT(""'""&amp;CY$1&amp;""'!$D$4:$D$66"")=CY$2),$G$3:$BQ$3,$G58:$BQ58))),"""")"),"")</f>
        <v/>
      </c>
      <c r="DA58" s="252"/>
      <c r="DB58" s="251">
        <f>IFERROR(__xludf.DUMMYFUNCTION("AVERAGE(ARRAYFORMULA(XLOOKUP(FILTER(INDIRECT(""'""&amp;DB$1&amp;""'!$C$4:$C$66""),INDIRECT(""'""&amp;DB$1&amp;""'!$D$4:$D$66"")=DB$2),$G$3:$BQ$3,$G58:$BQ58)))"),0.033029453)</f>
        <v>0.033029453</v>
      </c>
      <c r="DC58" s="207" t="str">
        <f>IFERROR(__xludf.DUMMYFUNCTION("IF(OR(DB58&gt;$BS58+$BT58*$BT$2,DB58&lt;$BS58-$BT58*$BT$2),AVEDEV(ARRAYFORMULA(XLOOKUP(FILTER(INDIRECT(""'""&amp;DB$1&amp;""'!$C$4:$C$66""),INDIRECT(""'""&amp;DB$1&amp;""'!$D$4:$D$66"")=DB$2),$G$3:$BQ$3,$G58:$BQ58))),"""")"),"")</f>
        <v/>
      </c>
      <c r="DD58" s="251">
        <f>IFERROR(__xludf.DUMMYFUNCTION("AVERAGE(ARRAYFORMULA(XLOOKUP(FILTER(INDIRECT(""'""&amp;DD$1&amp;""'!$C$4:$C$66""),INDIRECT(""'""&amp;DD$1&amp;""'!$D$4:$D$66"")=DD$2),$G$3:$BQ$3,$G58:$BQ58)))"),0.05262785222222219)</f>
        <v>0.05262785222</v>
      </c>
      <c r="DE58" s="207" t="str">
        <f>IFERROR(__xludf.DUMMYFUNCTION("IF(OR(DD58&gt;$BS58+$BT58*$BT$2,DD58&lt;$BS58-$BT58*$BT$2),AVEDEV(ARRAYFORMULA(XLOOKUP(FILTER(INDIRECT(""'""&amp;DD$1&amp;""'!$C$4:$C$66""),INDIRECT(""'""&amp;DD$1&amp;""'!$D$4:$D$66"")=DD$2),$G$3:$BQ$3,$G58:$BQ58))),"""")"),"")</f>
        <v/>
      </c>
      <c r="DF58" s="251">
        <f>IFERROR(__xludf.DUMMYFUNCTION("AVERAGE(ARRAYFORMULA(XLOOKUP(FILTER(INDIRECT(""'""&amp;DF$1&amp;""'!$C$4:$C$66""),INDIRECT(""'""&amp;DF$1&amp;""'!$D$4:$D$66"")=DF$2),$G$3:$BQ$3,$G58:$BQ58)))"),-0.1542283)</f>
        <v>-0.1542283</v>
      </c>
      <c r="DG58" s="207" t="str">
        <f>IFERROR(__xludf.DUMMYFUNCTION("IF(OR(DF58&gt;$BS58+$BT58*$BT$2,DF58&lt;$BS58-$BT58*$BT$2),AVEDEV(ARRAYFORMULA(XLOOKUP(FILTER(INDIRECT(""'""&amp;DF$1&amp;""'!$C$4:$C$66""),INDIRECT(""'""&amp;DF$1&amp;""'!$D$4:$D$66"")=DF$2),$G$3:$BQ$3,$G58:$BQ58))),"""")"),"")</f>
        <v/>
      </c>
      <c r="DH58" s="251">
        <f>IFERROR(__xludf.DUMMYFUNCTION("AVERAGE(ARRAYFORMULA(XLOOKUP(FILTER(INDIRECT(""'""&amp;DH$1&amp;""'!$C$4:$C$66""),INDIRECT(""'""&amp;DH$1&amp;""'!$D$4:$D$66"")=DH$2),$G$3:$BQ$3,$G58:$BQ58)))"),0.03635879444444442)</f>
        <v>0.03635879444</v>
      </c>
      <c r="DI58" s="207" t="str">
        <f>IFERROR(__xludf.DUMMYFUNCTION("IF(OR(DH58&gt;$BS58+$BT58*$BT$2,DH58&lt;$BS58-$BT58*$BT$2),AVEDEV(ARRAYFORMULA(XLOOKUP(FILTER(INDIRECT(""'""&amp;DH$1&amp;""'!$C$4:$C$66""),INDIRECT(""'""&amp;DH$1&amp;""'!$D$4:$D$66"")=DH$2),$G$3:$BQ$3,$G58:$BQ58))),"""")"),"")</f>
        <v/>
      </c>
      <c r="DJ58" s="243"/>
    </row>
    <row r="59">
      <c r="A59" s="2"/>
      <c r="B59" s="204">
        <v>55.0</v>
      </c>
      <c r="C59" s="204" t="s">
        <v>482</v>
      </c>
      <c r="D59" s="204" t="s">
        <v>499</v>
      </c>
      <c r="E59" s="205" t="b">
        <f>VLOOKUP(D59,'Feature Set List'!A56:C246,2,0)</f>
        <v>1</v>
      </c>
      <c r="F59" s="205" t="b">
        <f>VLOOKUP(D59,'Feature Set List'!A56:C246,3,0)</f>
        <v>1</v>
      </c>
      <c r="G59" s="205">
        <v>-0.5636245</v>
      </c>
      <c r="H59" s="205">
        <v>-0.3178894</v>
      </c>
      <c r="I59" s="205">
        <v>-0.3682297</v>
      </c>
      <c r="J59" s="205">
        <v>0.72788291</v>
      </c>
      <c r="K59" s="205">
        <v>-0.7092384</v>
      </c>
      <c r="L59" s="205">
        <v>1.00177123</v>
      </c>
      <c r="M59" s="205">
        <v>-0.3141605</v>
      </c>
      <c r="N59" s="205">
        <v>0.66001678</v>
      </c>
      <c r="O59" s="205">
        <v>1.1453342</v>
      </c>
      <c r="P59" s="205">
        <v>0.79929151</v>
      </c>
      <c r="Q59" s="205">
        <v>-0.2192598</v>
      </c>
      <c r="R59" s="205">
        <v>0.59233709</v>
      </c>
      <c r="S59" s="205">
        <v>1.82772443</v>
      </c>
      <c r="T59" s="205">
        <v>0.0283397</v>
      </c>
      <c r="U59" s="205">
        <v>-0.7825301</v>
      </c>
      <c r="V59" s="205">
        <v>0.49035145</v>
      </c>
      <c r="W59" s="205">
        <v>0.38780647</v>
      </c>
      <c r="X59" s="205">
        <v>1.93399832</v>
      </c>
      <c r="Y59" s="205">
        <v>-0.4976228</v>
      </c>
      <c r="Z59" s="205">
        <v>-0.6885429</v>
      </c>
      <c r="AA59" s="205">
        <v>-0.3395171</v>
      </c>
      <c r="AB59" s="205">
        <v>1.03906032</v>
      </c>
      <c r="AC59" s="205">
        <v>0.02778037</v>
      </c>
      <c r="AD59" s="205">
        <v>-0.4375874</v>
      </c>
      <c r="AE59" s="205">
        <v>-0.1086977</v>
      </c>
      <c r="AF59" s="205">
        <v>0.42677356</v>
      </c>
      <c r="AG59" s="205">
        <v>0.59159131</v>
      </c>
      <c r="AH59" s="205">
        <v>-0.0922905</v>
      </c>
      <c r="AI59" s="205">
        <v>-0.1551226</v>
      </c>
      <c r="AJ59" s="205">
        <v>5.86799664</v>
      </c>
      <c r="AK59" s="205">
        <v>0.1629533</v>
      </c>
      <c r="AL59" s="205">
        <v>-0.4493335</v>
      </c>
      <c r="AM59" s="205">
        <v>-0.5904726</v>
      </c>
      <c r="AN59" s="205">
        <v>-0.2166496</v>
      </c>
      <c r="AO59" s="205">
        <v>0.15735993</v>
      </c>
      <c r="AP59" s="205">
        <v>0.69637364</v>
      </c>
      <c r="AQ59" s="205">
        <v>-0.4832665</v>
      </c>
      <c r="AR59" s="205">
        <v>1.3000839</v>
      </c>
      <c r="AS59" s="205">
        <v>0.00894938</v>
      </c>
      <c r="AT59" s="205">
        <v>-0.0093223</v>
      </c>
      <c r="AU59" s="205">
        <v>0.77468071</v>
      </c>
      <c r="AV59" s="205">
        <v>5.73748485</v>
      </c>
      <c r="AW59" s="205">
        <v>-0.3865014</v>
      </c>
      <c r="AX59" s="205">
        <v>-0.0594761</v>
      </c>
      <c r="AY59" s="205">
        <v>-0.9380815</v>
      </c>
      <c r="AZ59" s="205">
        <v>-0.4372145</v>
      </c>
      <c r="BA59" s="205">
        <v>1.31127063</v>
      </c>
      <c r="BB59" s="205">
        <v>-0.6691526</v>
      </c>
      <c r="BC59" s="205">
        <v>0.2175818</v>
      </c>
      <c r="BD59" s="205">
        <v>-0.2183276</v>
      </c>
      <c r="BE59" s="205">
        <v>-0.0246108</v>
      </c>
      <c r="BF59" s="205">
        <v>0.0467978</v>
      </c>
      <c r="BG59" s="205">
        <v>-0.2597185</v>
      </c>
      <c r="BH59" s="205">
        <v>-0.3794164</v>
      </c>
      <c r="BI59" s="205">
        <v>0.32292346</v>
      </c>
      <c r="BJ59" s="205">
        <v>0.0</v>
      </c>
      <c r="BK59" s="205">
        <v>0.94583761</v>
      </c>
      <c r="BL59" s="205">
        <v>-0.1430036</v>
      </c>
      <c r="BM59" s="205">
        <v>-0.3907896</v>
      </c>
      <c r="BN59" s="205">
        <v>0.9035145</v>
      </c>
      <c r="BO59" s="205">
        <v>-0.7800876</v>
      </c>
      <c r="BP59" s="205">
        <v>0.5045213</v>
      </c>
      <c r="BQ59" s="205">
        <v>0.54833597</v>
      </c>
      <c r="BR59" s="206"/>
      <c r="BS59" s="250">
        <f t="shared" si="1"/>
        <v>0.3040791583</v>
      </c>
      <c r="BT59" s="250">
        <f t="shared" si="2"/>
        <v>0.7377480315</v>
      </c>
      <c r="BU59" s="206"/>
      <c r="BV59" s="207">
        <f>IFERROR(__xludf.DUMMYFUNCTION("AVERAGE(ARRAYFORMULA(XLOOKUP(FILTER(INDIRECT(""'""&amp;BV$1&amp;""'!$C$4:$C$66""),INDIRECT(""'""&amp;BV$1&amp;""'!$D$4:$D$66"")=BV$2),$G$3:$BQ$3,$G59:$BQ59)))"),-0.06657433571428574)</f>
        <v>-0.06657433571</v>
      </c>
      <c r="BW59" s="207" t="str">
        <f>IFERROR(__xludf.DUMMYFUNCTION("IF(OR(BV59&gt;$BS59+$BT59*$BT$2,BV59&lt;$BS59-$BT59*$BT$2),AVEDEV(ARRAYFORMULA(XLOOKUP(FILTER(INDIRECT(""'""&amp;BV$1&amp;""'!$C$4:$C$66""),INDIRECT(""'""&amp;BV$1&amp;""'!$D$4:$D$66"")=BV$2),$G$3:$BQ$3,$G59:$BQ59))),"""")"),"")</f>
        <v/>
      </c>
      <c r="BX59" s="207">
        <f>IFERROR(__xludf.DUMMYFUNCTION("AVERAGE(ARRAYFORMULA(XLOOKUP(FILTER(INDIRECT(""'""&amp;BX$1&amp;""'!$C$4:$C$66""),INDIRECT(""'""&amp;BX$1&amp;""'!$D$4:$D$66"")=BX$2),$G$3:$BQ$3,$G59:$BQ59)))"),0.4210248264285714)</f>
        <v>0.4210248264</v>
      </c>
      <c r="BY59" s="207" t="str">
        <f>IFERROR(__xludf.DUMMYFUNCTION("IF(OR(BX59&gt;$BS59+$BT59*$BT$2,BX59&lt;$BS59-$BT59*$BT$2),AVEDEV(ARRAYFORMULA(XLOOKUP(FILTER(INDIRECT(""'""&amp;BX$1&amp;""'!$C$4:$C$66""),INDIRECT(""'""&amp;BX$1&amp;""'!$D$4:$D$66"")=BX$2),$G$3:$BQ$3,$G59:$BQ59))),"""")"),"")</f>
        <v/>
      </c>
      <c r="BZ59" s="207">
        <f>IFERROR(__xludf.DUMMYFUNCTION("AVERAGE(ARRAYFORMULA(XLOOKUP(FILTER(INDIRECT(""'""&amp;BZ$1&amp;""'!$C$4:$C$66""),INDIRECT(""'""&amp;BZ$1&amp;""'!$D$4:$D$66"")=BZ$2),$G$3:$BQ$3,$G59:$BQ59)))"),0.15925829090909088)</f>
        <v>0.1592582909</v>
      </c>
      <c r="CA59" s="207" t="str">
        <f>IFERROR(__xludf.DUMMYFUNCTION("IF(OR(BZ59&gt;$BS59+$BT59*$BT$2,BZ59&lt;$BS59-$BT59*$BT$2),AVEDEV(ARRAYFORMULA(XLOOKUP(FILTER(INDIRECT(""'""&amp;BZ$1&amp;""'!$C$4:$C$66""),INDIRECT(""'""&amp;BZ$1&amp;""'!$D$4:$D$66"")=BZ$2),$G$3:$BQ$3,$G59:$BQ59))),"""")"),"")</f>
        <v/>
      </c>
      <c r="CB59" s="209"/>
      <c r="CC59" s="207">
        <f>IFERROR(__xludf.DUMMYFUNCTION("AVERAGE(ARRAYFORMULA(XLOOKUP(FILTER(INDIRECT(""'""&amp;CC$1&amp;""'!$C$4:$C$66""),INDIRECT(""'""&amp;CC$1&amp;""'!$D$4:$D$66"")=CC$2),$G$3:$BQ$3,$G59:$BQ59)))"),-0.015359613125000005)</f>
        <v>-0.01535961313</v>
      </c>
      <c r="CD59" s="207" t="str">
        <f>IFERROR(__xludf.DUMMYFUNCTION("IF(OR(CC59&gt;$BS59+$BT59*$BT$2,CC59&lt;$BS59-$BT59*$BT$2),AVEDEV(ARRAYFORMULA(XLOOKUP(FILTER(INDIRECT(""'""&amp;CC$1&amp;""'!$C$4:$C$66""),INDIRECT(""'""&amp;CC$1&amp;""'!$D$4:$D$66"")=CC$2),$G$3:$BQ$3,$G59:$BQ59))),"""")"),"")</f>
        <v/>
      </c>
      <c r="CE59" s="207">
        <f>IFERROR(__xludf.DUMMYFUNCTION("AVERAGE(ARRAYFORMULA(XLOOKUP(FILTER(INDIRECT(""'""&amp;CE$1&amp;""'!$C$4:$C$66""),INDIRECT(""'""&amp;CE$1&amp;""'!$D$4:$D$66"")=CE$2),$G$3:$BQ$3,$G59:$BQ59)))"),0.5120007709677419)</f>
        <v>0.512000771</v>
      </c>
      <c r="CF59" s="207" t="str">
        <f>IFERROR(__xludf.DUMMYFUNCTION("IF(OR(CE59&gt;$BS59+$BT59*$BT$2,CE59&lt;$BS59-$BT59*$BT$2),AVEDEV(ARRAYFORMULA(XLOOKUP(FILTER(INDIRECT(""'""&amp;CE$1&amp;""'!$C$4:$C$66""),INDIRECT(""'""&amp;CE$1&amp;""'!$D$4:$D$66"")=CE$2),$G$3:$BQ$3,$G59:$BQ59))),"""")"),"")</f>
        <v/>
      </c>
      <c r="CG59" s="207">
        <f>IFERROR(__xludf.DUMMYFUNCTION("AVERAGE(ARRAYFORMULA(XLOOKUP(FILTER(INDIRECT(""'""&amp;CG$1&amp;""'!$C$4:$C$66""),INDIRECT(""'""&amp;CG$1&amp;""'!$D$4:$D$66"")=CG$2),$G$3:$BQ$3,$G59:$BQ59)))"),0.37762654399999995)</f>
        <v>0.377626544</v>
      </c>
      <c r="CH59" s="207" t="str">
        <f>IFERROR(__xludf.DUMMYFUNCTION("IF(OR(CG59&gt;$BS59+$BT59*$BT$2,CG59&lt;$BS59-$BT59*$BT$2),AVEDEV(ARRAYFORMULA(XLOOKUP(FILTER(INDIRECT(""'""&amp;CG$1&amp;""'!$C$4:$C$66""),INDIRECT(""'""&amp;CG$1&amp;""'!$D$4:$D$66"")=CG$2),$G$3:$BQ$3,$G59:$BQ59))),"""")"),"")</f>
        <v/>
      </c>
      <c r="CI59" s="206"/>
      <c r="CJ59" s="251">
        <f>IFERROR(__xludf.DUMMYFUNCTION("AVERAGE(ARRAYFORMULA(XLOOKUP(FILTER(INDIRECT(""'""&amp;CJ$1&amp;""'!$C$4:$C$66""),INDIRECT(""'""&amp;CJ$1&amp;""'!$D$4:$D$66"")=CJ$2),$G$3:$BQ$3,$G59:$BQ59)))"),-0.03982598733333334)</f>
        <v>-0.03982598733</v>
      </c>
      <c r="CK59" s="207" t="str">
        <f>IFERROR(__xludf.DUMMYFUNCTION("IF(OR(CJ59&gt;$BS59+$BT59*$BT$2,CJ59&lt;$BS59-$BT59*$BT$2),AVEDEV(ARRAYFORMULA(XLOOKUP(FILTER(INDIRECT(""'""&amp;CJ$1&amp;""'!$C$4:$C$66""),INDIRECT(""'""&amp;CJ$1&amp;""'!$D$4:$D$66"")=CJ$2),$G$3:$BQ$3,$G59:$BQ59))),"""")"),"")</f>
        <v/>
      </c>
      <c r="CL59" s="251">
        <f>IFERROR(__xludf.DUMMYFUNCTION("AVERAGE(ARRAYFORMULA(XLOOKUP(FILTER(INDIRECT(""'""&amp;CL$1&amp;""'!$C$4:$C$66""),INDIRECT(""'""&amp;CL$1&amp;""'!$D$4:$D$66"")=CL$2),$G$3:$BQ$3,$G59:$BQ59)))"),0.456951903846154)</f>
        <v>0.4569519038</v>
      </c>
      <c r="CM59" s="207" t="str">
        <f>IFERROR(__xludf.DUMMYFUNCTION("IF(OR(CL59&gt;$BS59+$BT59*$BT$2,CL59&lt;$BS59-$BT59*$BT$2),AVEDEV(ARRAYFORMULA(XLOOKUP(FILTER(INDIRECT(""'""&amp;CL$1&amp;""'!$C$4:$C$66""),INDIRECT(""'""&amp;CL$1&amp;""'!$D$4:$D$66"")=CL$2),$G$3:$BQ$3,$G59:$BQ59))),"""")"),"")</f>
        <v/>
      </c>
      <c r="CN59" s="251">
        <f>IFERROR(__xludf.DUMMYFUNCTION("AVERAGE(ARRAYFORMULA(XLOOKUP(FILTER(INDIRECT(""'""&amp;CN$1&amp;""'!$C$4:$C$66""),INDIRECT(""'""&amp;CN$1&amp;""'!$D$4:$D$66"")=CN$2),$G$3:$BQ$3,$G59:$BQ59)))"),0.37762654399999995)</f>
        <v>0.377626544</v>
      </c>
      <c r="CO59" s="207" t="str">
        <f>IFERROR(__xludf.DUMMYFUNCTION("IF(OR(CN59&gt;$BS59+$BT59*$BT$2,CN59&lt;$BS59-$BT59*$BT$2),AVEDEV(ARRAYFORMULA(XLOOKUP(FILTER(INDIRECT(""'""&amp;CN$1&amp;""'!$C$4:$C$66""),INDIRECT(""'""&amp;CN$1&amp;""'!$D$4:$D$66"")=CN$2),$G$3:$BQ$3,$G59:$BQ59))),"""")"),"")</f>
        <v/>
      </c>
      <c r="CP59" s="252"/>
      <c r="CQ59" s="251">
        <f>IFERROR(__xludf.DUMMYFUNCTION("AVERAGE(ARRAYFORMULA(XLOOKUP(FILTER(INDIRECT(""'""&amp;CQ$1&amp;""'!$C$4:$C$66""),INDIRECT(""'""&amp;CQ$1&amp;""'!$D$4:$D$66"")=CQ$2),$G$3:$BQ$3,$G59:$BQ59)))"),0.17292812142857145)</f>
        <v>0.1729281214</v>
      </c>
      <c r="CR59" s="207" t="str">
        <f>IFERROR(__xludf.DUMMYFUNCTION("IF(OR(CQ59&gt;$BS59+$BT59*$BT$2,CQ59&lt;$BS59-$BT59*$BT$2),AVEDEV(ARRAYFORMULA(XLOOKUP(FILTER(INDIRECT(""'""&amp;CQ$1&amp;""'!$C$4:$C$66""),INDIRECT(""'""&amp;CQ$1&amp;""'!$D$4:$D$66"")=CQ$2),$G$3:$BQ$3,$G59:$BQ59))),"""")"),"")</f>
        <v/>
      </c>
      <c r="CS59" s="251">
        <f>IFERROR(__xludf.DUMMYFUNCTION("AVERAGE(ARRAYFORMULA(XLOOKUP(FILTER(INDIRECT(""'""&amp;CS$1&amp;""'!$C$4:$C$66""),INDIRECT(""'""&amp;CS$1&amp;""'!$D$4:$D$66"")=CS$2),$G$3:$BQ$3,$G59:$BQ59)))"),0.28664947777777783)</f>
        <v>0.2866494778</v>
      </c>
      <c r="CT59" s="207" t="str">
        <f>IFERROR(__xludf.DUMMYFUNCTION("IF(OR(CS59&gt;$BS59+$BT59*$BT$2,CS59&lt;$BS59-$BT59*$BT$2),AVEDEV(ARRAYFORMULA(XLOOKUP(FILTER(INDIRECT(""'""&amp;CS$1&amp;""'!$C$4:$C$66""),INDIRECT(""'""&amp;CS$1&amp;""'!$D$4:$D$66"")=CS$2),$G$3:$BQ$3,$G59:$BQ59))),"""")"),"")</f>
        <v/>
      </c>
      <c r="CU59" s="251">
        <f>IFERROR(__xludf.DUMMYFUNCTION("AVERAGE(ARRAYFORMULA(XLOOKUP(FILTER(INDIRECT(""'""&amp;CU$1&amp;""'!$C$4:$C$66""),INDIRECT(""'""&amp;CU$1&amp;""'!$D$4:$D$66"")=CU$2),$G$3:$BQ$3,$G59:$BQ59)))"),0.5566751700000001)</f>
        <v>0.55667517</v>
      </c>
      <c r="CV59" s="207" t="str">
        <f>IFERROR(__xludf.DUMMYFUNCTION("IF(OR(CU59&gt;$BS59+$BT59*$BT$2,CU59&lt;$BS59-$BT59*$BT$2),AVEDEV(ARRAYFORMULA(XLOOKUP(FILTER(INDIRECT(""'""&amp;CU$1&amp;""'!$C$4:$C$66""),INDIRECT(""'""&amp;CU$1&amp;""'!$D$4:$D$66"")=CU$2),$G$3:$BQ$3,$G59:$BQ59))),"""")"),"")</f>
        <v/>
      </c>
      <c r="CW59" s="251">
        <f>IFERROR(__xludf.DUMMYFUNCTION("AVERAGE(ARRAYFORMULA(XLOOKUP(FILTER(INDIRECT(""'""&amp;CW$1&amp;""'!$C$4:$C$66""),INDIRECT(""'""&amp;CW$1&amp;""'!$D$4:$D$66"")=CW$2),$G$3:$BQ$3,$G59:$BQ59)))"),-0.4085019)</f>
        <v>-0.4085019</v>
      </c>
      <c r="CX59" s="207" t="str">
        <f>IFERROR(__xludf.DUMMYFUNCTION("IF(OR(CW59&gt;$BS59+$BT59*$BT$2,CW59&lt;$BS59-$BT59*$BT$2),AVEDEV(ARRAYFORMULA(XLOOKUP(FILTER(INDIRECT(""'""&amp;CW$1&amp;""'!$C$4:$C$66""),INDIRECT(""'""&amp;CW$1&amp;""'!$D$4:$D$66"")=CW$2),$G$3:$BQ$3,$G59:$BQ59))),"""")"),"")</f>
        <v/>
      </c>
      <c r="CY59" s="251">
        <f>IFERROR(__xludf.DUMMYFUNCTION("AVERAGE(ARRAYFORMULA(XLOOKUP(FILTER(INDIRECT(""'""&amp;CY$1&amp;""'!$C$4:$C$66""),INDIRECT(""'""&amp;CY$1&amp;""'!$D$4:$D$66"")=CY$2),$G$3:$BQ$3,$G59:$BQ59)))"),0.7299071757142858)</f>
        <v>0.7299071757</v>
      </c>
      <c r="CZ59" s="207" t="str">
        <f>IFERROR(__xludf.DUMMYFUNCTION("IF(OR(CY59&gt;$BS59+$BT59*$BT$2,CY59&lt;$BS59-$BT59*$BT$2),AVEDEV(ARRAYFORMULA(XLOOKUP(FILTER(INDIRECT(""'""&amp;CY$1&amp;""'!$C$4:$C$66""),INDIRECT(""'""&amp;CY$1&amp;""'!$D$4:$D$66"")=CY$2),$G$3:$BQ$3,$G59:$BQ59))),"""")"),"")</f>
        <v/>
      </c>
      <c r="DA59" s="252"/>
      <c r="DB59" s="251">
        <f>IFERROR(__xludf.DUMMYFUNCTION("AVERAGE(ARRAYFORMULA(XLOOKUP(FILTER(INDIRECT(""'""&amp;DB$1&amp;""'!$C$4:$C$66""),INDIRECT(""'""&amp;DB$1&amp;""'!$D$4:$D$66"")=DB$2),$G$3:$BQ$3,$G59:$BQ59)))"),0.08398122733333334)</f>
        <v>0.08398122733</v>
      </c>
      <c r="DC59" s="207" t="str">
        <f>IFERROR(__xludf.DUMMYFUNCTION("IF(OR(DB59&gt;$BS59+$BT59*$BT$2,DB59&lt;$BS59-$BT59*$BT$2),AVEDEV(ARRAYFORMULA(XLOOKUP(FILTER(INDIRECT(""'""&amp;DB$1&amp;""'!$C$4:$C$66""),INDIRECT(""'""&amp;DB$1&amp;""'!$D$4:$D$66"")=DB$2),$G$3:$BQ$3,$G59:$BQ59))),"""")"),"")</f>
        <v/>
      </c>
      <c r="DD59" s="251">
        <f>IFERROR(__xludf.DUMMYFUNCTION("AVERAGE(ARRAYFORMULA(XLOOKUP(FILTER(INDIRECT(""'""&amp;DD$1&amp;""'!$C$4:$C$66""),INDIRECT(""'""&amp;DD$1&amp;""'!$D$4:$D$66"")=DD$2),$G$3:$BQ$3,$G59:$BQ59)))"),0.8885988655555557)</f>
        <v>0.8885988656</v>
      </c>
      <c r="DE59" s="207" t="str">
        <f>IFERROR(__xludf.DUMMYFUNCTION("IF(OR(DD59&gt;$BS59+$BT59*$BT$2,DD59&lt;$BS59-$BT59*$BT$2),AVEDEV(ARRAYFORMULA(XLOOKUP(FILTER(INDIRECT(""'""&amp;DD$1&amp;""'!$C$4:$C$66""),INDIRECT(""'""&amp;DD$1&amp;""'!$D$4:$D$66"")=DD$2),$G$3:$BQ$3,$G59:$BQ59))),"""")"),"")</f>
        <v/>
      </c>
      <c r="DF59" s="251">
        <f>IFERROR(__xludf.DUMMYFUNCTION("AVERAGE(ARRAYFORMULA(XLOOKUP(FILTER(INDIRECT(""'""&amp;DF$1&amp;""'!$C$4:$C$66""),INDIRECT(""'""&amp;DF$1&amp;""'!$D$4:$D$66"")=DF$2),$G$3:$BQ$3,$G59:$BQ59)))"),0.8670061450000001)</f>
        <v>0.867006145</v>
      </c>
      <c r="DG59" s="207" t="str">
        <f>IFERROR(__xludf.DUMMYFUNCTION("IF(OR(DF59&gt;$BS59+$BT59*$BT$2,DF59&lt;$BS59-$BT59*$BT$2),AVEDEV(ARRAYFORMULA(XLOOKUP(FILTER(INDIRECT(""'""&amp;DF$1&amp;""'!$C$4:$C$66""),INDIRECT(""'""&amp;DF$1&amp;""'!$D$4:$D$66"")=DF$2),$G$3:$BQ$3,$G59:$BQ59))),"""")"),"")</f>
        <v/>
      </c>
      <c r="DH59" s="251">
        <f>IFERROR(__xludf.DUMMYFUNCTION("AVERAGE(ARRAYFORMULA(XLOOKUP(FILTER(INDIRECT(""'""&amp;DH$1&amp;""'!$C$4:$C$66""),INDIRECT(""'""&amp;DH$1&amp;""'!$D$4:$D$66"")=DH$2),$G$3:$BQ$3,$G59:$BQ59)))"),-0.19249452888888888)</f>
        <v>-0.1924945289</v>
      </c>
      <c r="DI59" s="207" t="str">
        <f>IFERROR(__xludf.DUMMYFUNCTION("IF(OR(DH59&gt;$BS59+$BT59*$BT$2,DH59&lt;$BS59-$BT59*$BT$2),AVEDEV(ARRAYFORMULA(XLOOKUP(FILTER(INDIRECT(""'""&amp;DH$1&amp;""'!$C$4:$C$66""),INDIRECT(""'""&amp;DH$1&amp;""'!$D$4:$D$66"")=DH$2),$G$3:$BQ$3,$G59:$BQ59))),"""")"),"")</f>
        <v/>
      </c>
      <c r="DJ59" s="243"/>
    </row>
    <row r="60">
      <c r="A60" s="2"/>
      <c r="B60" s="204">
        <v>56.0</v>
      </c>
      <c r="C60" s="204" t="s">
        <v>482</v>
      </c>
      <c r="D60" s="204" t="s">
        <v>500</v>
      </c>
      <c r="E60" s="205" t="b">
        <f>VLOOKUP(D60,'Feature Set List'!A57:C246,2,0)</f>
        <v>1</v>
      </c>
      <c r="F60" s="205" t="b">
        <f>VLOOKUP(D60,'Feature Set List'!A57:C246,3,0)</f>
        <v>1</v>
      </c>
      <c r="G60" s="205">
        <v>-0.5199368</v>
      </c>
      <c r="H60" s="205">
        <v>0.31688038</v>
      </c>
      <c r="I60" s="205">
        <v>-0.6291937</v>
      </c>
      <c r="J60" s="205">
        <v>0.10679782</v>
      </c>
      <c r="K60" s="205">
        <v>-0.5266116</v>
      </c>
      <c r="L60" s="205">
        <v>0.40236548</v>
      </c>
      <c r="M60" s="205">
        <v>-0.3514257</v>
      </c>
      <c r="N60" s="205">
        <v>0.49136366</v>
      </c>
      <c r="O60" s="205">
        <v>0.63657123</v>
      </c>
      <c r="P60" s="205">
        <v>1.68698402</v>
      </c>
      <c r="Q60" s="205">
        <v>0.0</v>
      </c>
      <c r="R60" s="205">
        <v>0.61783477</v>
      </c>
      <c r="S60" s="205">
        <v>0.49721881</v>
      </c>
      <c r="T60" s="205">
        <v>0.42227297</v>
      </c>
      <c r="U60" s="205">
        <v>-0.519117</v>
      </c>
      <c r="V60" s="205">
        <v>0.91996019</v>
      </c>
      <c r="W60" s="205">
        <v>0.07834182</v>
      </c>
      <c r="X60" s="205">
        <v>-0.3524797</v>
      </c>
      <c r="Y60" s="205">
        <v>-0.5479244</v>
      </c>
      <c r="Z60" s="205">
        <v>0.08665613</v>
      </c>
      <c r="AA60" s="205">
        <v>-0.7356403</v>
      </c>
      <c r="AB60" s="205">
        <v>-0.72393</v>
      </c>
      <c r="AC60" s="205">
        <v>-0.4419462</v>
      </c>
      <c r="AD60" s="205">
        <v>-0.0981322</v>
      </c>
      <c r="AE60" s="205">
        <v>-0.0203759</v>
      </c>
      <c r="AF60" s="205">
        <v>0.47379823</v>
      </c>
      <c r="AG60" s="205">
        <v>-0.7384507</v>
      </c>
      <c r="AH60" s="205">
        <v>-0.4923005</v>
      </c>
      <c r="AI60" s="205">
        <v>0.90473681</v>
      </c>
      <c r="AJ60" s="205">
        <v>-0.6505065</v>
      </c>
      <c r="AK60" s="205">
        <v>0.01721412</v>
      </c>
      <c r="AL60" s="205">
        <v>-0.4241466</v>
      </c>
      <c r="AM60" s="205">
        <v>-0.5234499</v>
      </c>
      <c r="AN60" s="205">
        <v>0.31453832</v>
      </c>
      <c r="AO60" s="205">
        <v>0.83213303</v>
      </c>
      <c r="AP60" s="205">
        <v>0.16593477</v>
      </c>
      <c r="AQ60" s="205">
        <v>-0.5793079</v>
      </c>
      <c r="AR60" s="205">
        <v>2.31231337</v>
      </c>
      <c r="AS60" s="205">
        <v>0.54757304</v>
      </c>
      <c r="AT60" s="205">
        <v>-0.1580889</v>
      </c>
      <c r="AU60" s="205">
        <v>1.9469524</v>
      </c>
      <c r="AV60" s="205">
        <v>-0.4874993</v>
      </c>
      <c r="AW60" s="205">
        <v>1.40008197</v>
      </c>
      <c r="AX60" s="205">
        <v>0.93635459</v>
      </c>
      <c r="AY60" s="205">
        <v>0.44920663</v>
      </c>
      <c r="AZ60" s="205">
        <v>-0.0813865</v>
      </c>
      <c r="BA60" s="205">
        <v>-0.4287136</v>
      </c>
      <c r="BB60" s="205">
        <v>-0.7794367</v>
      </c>
      <c r="BC60" s="205">
        <v>0.91293401</v>
      </c>
      <c r="BD60" s="205">
        <v>-0.4646642</v>
      </c>
      <c r="BE60" s="205">
        <v>-0.4752035</v>
      </c>
      <c r="BF60" s="205">
        <v>-0.6116283</v>
      </c>
      <c r="BG60" s="205">
        <v>-0.2920546</v>
      </c>
      <c r="BH60" s="205">
        <v>-0.1474325</v>
      </c>
      <c r="BI60" s="205">
        <v>1.00427425</v>
      </c>
      <c r="BJ60" s="205">
        <v>1.41881843</v>
      </c>
      <c r="BK60" s="205">
        <v>0.31570935</v>
      </c>
      <c r="BL60" s="205">
        <v>-0.5878564</v>
      </c>
      <c r="BM60" s="205">
        <v>-0.5255577</v>
      </c>
      <c r="BN60" s="205">
        <v>0.17565431</v>
      </c>
      <c r="BO60" s="205">
        <v>-0.5849289</v>
      </c>
      <c r="BP60" s="205">
        <v>0.76304233</v>
      </c>
      <c r="BQ60" s="205">
        <v>0.3543533</v>
      </c>
      <c r="BR60" s="206"/>
      <c r="BS60" s="250">
        <f t="shared" si="1"/>
        <v>0.1112626006</v>
      </c>
      <c r="BT60" s="250">
        <f t="shared" si="2"/>
        <v>0.5782784264</v>
      </c>
      <c r="BU60" s="206"/>
      <c r="BV60" s="207">
        <f>IFERROR(__xludf.DUMMYFUNCTION("AVERAGE(ARRAYFORMULA(XLOOKUP(FILTER(INDIRECT(""'""&amp;BV$1&amp;""'!$C$4:$C$66""),INDIRECT(""'""&amp;BV$1&amp;""'!$D$4:$D$66"")=BV$2),$G$3:$BQ$3,$G60:$BQ60)))"),-0.20467909142857144)</f>
        <v>-0.2046790914</v>
      </c>
      <c r="BW60" s="207" t="str">
        <f>IFERROR(__xludf.DUMMYFUNCTION("IF(OR(BV60&gt;$BS60+$BT60*$BT$2,BV60&lt;$BS60-$BT60*$BT$2),AVEDEV(ARRAYFORMULA(XLOOKUP(FILTER(INDIRECT(""'""&amp;BV$1&amp;""'!$C$4:$C$66""),INDIRECT(""'""&amp;BV$1&amp;""'!$D$4:$D$66"")=BV$2),$G$3:$BQ$3,$G60:$BQ60))),"""")"),"")</f>
        <v/>
      </c>
      <c r="BX60" s="207">
        <f>IFERROR(__xludf.DUMMYFUNCTION("AVERAGE(ARRAYFORMULA(XLOOKUP(FILTER(INDIRECT(""'""&amp;BX$1&amp;""'!$C$4:$C$66""),INDIRECT(""'""&amp;BX$1&amp;""'!$D$4:$D$66"")=BX$2),$G$3:$BQ$3,$G60:$BQ60)))"),0.16619964666666662)</f>
        <v>0.1661996467</v>
      </c>
      <c r="BY60" s="207" t="str">
        <f>IFERROR(__xludf.DUMMYFUNCTION("IF(OR(BX60&gt;$BS60+$BT60*$BT$2,BX60&lt;$BS60-$BT60*$BT$2),AVEDEV(ARRAYFORMULA(XLOOKUP(FILTER(INDIRECT(""'""&amp;BX$1&amp;""'!$C$4:$C$66""),INDIRECT(""'""&amp;BX$1&amp;""'!$D$4:$D$66"")=BX$2),$G$3:$BQ$3,$G60:$BQ60))),"""")"),"")</f>
        <v/>
      </c>
      <c r="BZ60" s="207">
        <f>IFERROR(__xludf.DUMMYFUNCTION("AVERAGE(ARRAYFORMULA(XLOOKUP(FILTER(INDIRECT(""'""&amp;BZ$1&amp;""'!$C$4:$C$66""),INDIRECT(""'""&amp;BZ$1&amp;""'!$D$4:$D$66"")=BZ$2),$G$3:$BQ$3,$G60:$BQ60)))"),0.05534707454545454)</f>
        <v>0.05534707455</v>
      </c>
      <c r="CA60" s="207" t="str">
        <f>IFERROR(__xludf.DUMMYFUNCTION("IF(OR(BZ60&gt;$BS60+$BT60*$BT$2,BZ60&lt;$BS60-$BT60*$BT$2),AVEDEV(ARRAYFORMULA(XLOOKUP(FILTER(INDIRECT(""'""&amp;BZ$1&amp;""'!$C$4:$C$66""),INDIRECT(""'""&amp;BZ$1&amp;""'!$D$4:$D$66"")=BZ$2),$G$3:$BQ$3,$G60:$BQ60))),"""")"),"")</f>
        <v/>
      </c>
      <c r="CB60" s="209"/>
      <c r="CC60" s="207">
        <f>IFERROR(__xludf.DUMMYFUNCTION("AVERAGE(ARRAYFORMULA(XLOOKUP(FILTER(INDIRECT(""'""&amp;CC$1&amp;""'!$C$4:$C$66""),INDIRECT(""'""&amp;CC$1&amp;""'!$D$4:$D$66"")=CC$2),$G$3:$BQ$3,$G60:$BQ60)))"),0.02437204499999998)</f>
        <v>0.024372045</v>
      </c>
      <c r="CD60" s="207" t="str">
        <f>IFERROR(__xludf.DUMMYFUNCTION("IF(OR(CC60&gt;$BS60+$BT60*$BT$2,CC60&lt;$BS60-$BT60*$BT$2),AVEDEV(ARRAYFORMULA(XLOOKUP(FILTER(INDIRECT(""'""&amp;CC$1&amp;""'!$C$4:$C$66""),INDIRECT(""'""&amp;CC$1&amp;""'!$D$4:$D$66"")=CC$2),$G$3:$BQ$3,$G60:$BQ60))),"""")"),"")</f>
        <v/>
      </c>
      <c r="CE60" s="207">
        <f>IFERROR(__xludf.DUMMYFUNCTION("AVERAGE(ARRAYFORMULA(XLOOKUP(FILTER(INDIRECT(""'""&amp;CE$1&amp;""'!$C$4:$C$66""),INDIRECT(""'""&amp;CE$1&amp;""'!$D$4:$D$66"")=CE$2),$G$3:$BQ$3,$G60:$BQ60)))"),0.07485139677419356)</f>
        <v>0.07485139677</v>
      </c>
      <c r="CF60" s="207" t="str">
        <f>IFERROR(__xludf.DUMMYFUNCTION("IF(OR(CE60&gt;$BS60+$BT60*$BT$2,CE60&lt;$BS60-$BT60*$BT$2),AVEDEV(ARRAYFORMULA(XLOOKUP(FILTER(INDIRECT(""'""&amp;CE$1&amp;""'!$C$4:$C$66""),INDIRECT(""'""&amp;CE$1&amp;""'!$D$4:$D$66"")=CE$2),$G$3:$BQ$3,$G60:$BQ60))),"""")"),"")</f>
        <v/>
      </c>
      <c r="CG60" s="207">
        <f>IFERROR(__xludf.DUMMYFUNCTION("AVERAGE(ARRAYFORMULA(XLOOKUP(FILTER(INDIRECT(""'""&amp;CG$1&amp;""'!$C$4:$C$66""),INDIRECT(""'""&amp;CG$1&amp;""'!$D$4:$D$66"")=CG$2),$G$3:$BQ$3,$G60:$BQ60)))"),0.3872123659999999)</f>
        <v>0.387212366</v>
      </c>
      <c r="CH60" s="207" t="str">
        <f>IFERROR(__xludf.DUMMYFUNCTION("IF(OR(CG60&gt;$BS60+$BT60*$BT$2,CG60&lt;$BS60-$BT60*$BT$2),AVEDEV(ARRAYFORMULA(XLOOKUP(FILTER(INDIRECT(""'""&amp;CG$1&amp;""'!$C$4:$C$66""),INDIRECT(""'""&amp;CG$1&amp;""'!$D$4:$D$66"")=CG$2),$G$3:$BQ$3,$G60:$BQ60))),"""")"),"")</f>
        <v/>
      </c>
      <c r="CI60" s="206"/>
      <c r="CJ60" s="251">
        <f>IFERROR(__xludf.DUMMYFUNCTION("AVERAGE(ARRAYFORMULA(XLOOKUP(FILTER(INDIRECT(""'""&amp;CJ$1&amp;""'!$C$4:$C$66""),INDIRECT(""'""&amp;CJ$1&amp;""'!$D$4:$D$66"")=CJ$2),$G$3:$BQ$3,$G60:$BQ60)))"),-0.42570018933333337)</f>
        <v>-0.4257001893</v>
      </c>
      <c r="CK60" s="207" t="str">
        <f>IFERROR(__xludf.DUMMYFUNCTION("IF(OR(CJ60&gt;$BS60+$BT60*$BT$2,CJ60&lt;$BS60-$BT60*$BT$2),AVEDEV(ARRAYFORMULA(XLOOKUP(FILTER(INDIRECT(""'""&amp;CJ$1&amp;""'!$C$4:$C$66""),INDIRECT(""'""&amp;CJ$1&amp;""'!$D$4:$D$66"")=CJ$2),$G$3:$BQ$3,$G60:$BQ60))),"""")"),"")</f>
        <v/>
      </c>
      <c r="CL60" s="251">
        <f>IFERROR(__xludf.DUMMYFUNCTION("AVERAGE(ARRAYFORMULA(XLOOKUP(FILTER(INDIRECT(""'""&amp;CL$1&amp;""'!$C$4:$C$66""),INDIRECT(""'""&amp;CL$1&amp;""'!$D$4:$D$66"")=CL$2),$G$3:$BQ$3,$G60:$BQ60)))"),0.28701914743589746)</f>
        <v>0.2870191474</v>
      </c>
      <c r="CM60" s="207" t="str">
        <f>IFERROR(__xludf.DUMMYFUNCTION("IF(OR(CL60&gt;$BS60+$BT60*$BT$2,CL60&lt;$BS60-$BT60*$BT$2),AVEDEV(ARRAYFORMULA(XLOOKUP(FILTER(INDIRECT(""'""&amp;CL$1&amp;""'!$C$4:$C$66""),INDIRECT(""'""&amp;CL$1&amp;""'!$D$4:$D$66"")=CL$2),$G$3:$BQ$3,$G60:$BQ60))),"""")"),"")</f>
        <v/>
      </c>
      <c r="CN60" s="251">
        <f>IFERROR(__xludf.DUMMYFUNCTION("AVERAGE(ARRAYFORMULA(XLOOKUP(FILTER(INDIRECT(""'""&amp;CN$1&amp;""'!$C$4:$C$66""),INDIRECT(""'""&amp;CN$1&amp;""'!$D$4:$D$66"")=CN$2),$G$3:$BQ$3,$G60:$BQ60)))"),0.3872123659999999)</f>
        <v>0.387212366</v>
      </c>
      <c r="CO60" s="207" t="str">
        <f>IFERROR(__xludf.DUMMYFUNCTION("IF(OR(CN60&gt;$BS60+$BT60*$BT$2,CN60&lt;$BS60-$BT60*$BT$2),AVEDEV(ARRAYFORMULA(XLOOKUP(FILTER(INDIRECT(""'""&amp;CN$1&amp;""'!$C$4:$C$66""),INDIRECT(""'""&amp;CN$1&amp;""'!$D$4:$D$66"")=CN$2),$G$3:$BQ$3,$G60:$BQ60))),"""")"),"")</f>
        <v/>
      </c>
      <c r="CP60" s="252"/>
      <c r="CQ60" s="251">
        <f>IFERROR(__xludf.DUMMYFUNCTION("AVERAGE(ARRAYFORMULA(XLOOKUP(FILTER(INDIRECT(""'""&amp;CQ$1&amp;""'!$C$4:$C$66""),INDIRECT(""'""&amp;CQ$1&amp;""'!$D$4:$D$66"")=CQ$2),$G$3:$BQ$3,$G60:$BQ60)))"),0.1617692621428572)</f>
        <v>0.1617692621</v>
      </c>
      <c r="CR60" s="207" t="str">
        <f>IFERROR(__xludf.DUMMYFUNCTION("IF(OR(CQ60&gt;$BS60+$BT60*$BT$2,CQ60&lt;$BS60-$BT60*$BT$2),AVEDEV(ARRAYFORMULA(XLOOKUP(FILTER(INDIRECT(""'""&amp;CQ$1&amp;""'!$C$4:$C$66""),INDIRECT(""'""&amp;CQ$1&amp;""'!$D$4:$D$66"")=CQ$2),$G$3:$BQ$3,$G60:$BQ60))),"""")"),"")</f>
        <v/>
      </c>
      <c r="CS60" s="251">
        <f>IFERROR(__xludf.DUMMYFUNCTION("AVERAGE(ARRAYFORMULA(XLOOKUP(FILTER(INDIRECT(""'""&amp;CS$1&amp;""'!$C$4:$C$66""),INDIRECT(""'""&amp;CS$1&amp;""'!$D$4:$D$66"")=CS$2),$G$3:$BQ$3,$G60:$BQ60)))"),0.13508466888888884)</f>
        <v>0.1350846689</v>
      </c>
      <c r="CT60" s="207" t="str">
        <f>IFERROR(__xludf.DUMMYFUNCTION("IF(OR(CS60&gt;$BS60+$BT60*$BT$2,CS60&lt;$BS60-$BT60*$BT$2),AVEDEV(ARRAYFORMULA(XLOOKUP(FILTER(INDIRECT(""'""&amp;CS$1&amp;""'!$C$4:$C$66""),INDIRECT(""'""&amp;CS$1&amp;""'!$D$4:$D$66"")=CS$2),$G$3:$BQ$3,$G60:$BQ60))),"""")"),"")</f>
        <v/>
      </c>
      <c r="CU60" s="251">
        <f>IFERROR(__xludf.DUMMYFUNCTION("AVERAGE(ARRAYFORMULA(XLOOKUP(FILTER(INDIRECT(""'""&amp;CU$1&amp;""'!$C$4:$C$66""),INDIRECT(""'""&amp;CU$1&amp;""'!$D$4:$D$66"")=CU$2),$G$3:$BQ$3,$G60:$BQ60)))"),-0.3658187536363636)</f>
        <v>-0.3658187536</v>
      </c>
      <c r="CV60" s="207" t="str">
        <f>IFERROR(__xludf.DUMMYFUNCTION("IF(OR(CU60&gt;$BS60+$BT60*$BT$2,CU60&lt;$BS60-$BT60*$BT$2),AVEDEV(ARRAYFORMULA(XLOOKUP(FILTER(INDIRECT(""'""&amp;CU$1&amp;""'!$C$4:$C$66""),INDIRECT(""'""&amp;CU$1&amp;""'!$D$4:$D$66"")=CU$2),$G$3:$BQ$3,$G60:$BQ60))),"""")"),"")</f>
        <v/>
      </c>
      <c r="CW60" s="251">
        <f>IFERROR(__xludf.DUMMYFUNCTION("AVERAGE(ARRAYFORMULA(XLOOKUP(FILTER(INDIRECT(""'""&amp;CW$1&amp;""'!$C$4:$C$66""),INDIRECT(""'""&amp;CW$1&amp;""'!$D$4:$D$66"")=CW$2),$G$3:$BQ$3,$G60:$BQ60)))"),-0.12278235)</f>
        <v>-0.12278235</v>
      </c>
      <c r="CX60" s="207" t="str">
        <f>IFERROR(__xludf.DUMMYFUNCTION("IF(OR(CW60&gt;$BS60+$BT60*$BT$2,CW60&lt;$BS60-$BT60*$BT$2),AVEDEV(ARRAYFORMULA(XLOOKUP(FILTER(INDIRECT(""'""&amp;CW$1&amp;""'!$C$4:$C$66""),INDIRECT(""'""&amp;CW$1&amp;""'!$D$4:$D$66"")=CW$2),$G$3:$BQ$3,$G60:$BQ60))),"""")"),"")</f>
        <v/>
      </c>
      <c r="CY60" s="251">
        <f>IFERROR(__xludf.DUMMYFUNCTION("AVERAGE(ARRAYFORMULA(XLOOKUP(FILTER(INDIRECT(""'""&amp;CY$1&amp;""'!$C$4:$C$66""),INDIRECT(""'""&amp;CY$1&amp;""'!$D$4:$D$66"")=CY$2),$G$3:$BQ$3,$G60:$BQ60)))"),0.6344884671428571)</f>
        <v>0.6344884671</v>
      </c>
      <c r="CZ60" s="207" t="str">
        <f>IFERROR(__xludf.DUMMYFUNCTION("IF(OR(CY60&gt;$BS60+$BT60*$BT$2,CY60&lt;$BS60-$BT60*$BT$2),AVEDEV(ARRAYFORMULA(XLOOKUP(FILTER(INDIRECT(""'""&amp;CY$1&amp;""'!$C$4:$C$66""),INDIRECT(""'""&amp;CY$1&amp;""'!$D$4:$D$66"")=CY$2),$G$3:$BQ$3,$G60:$BQ60))),"""")"),"")</f>
        <v/>
      </c>
      <c r="DA60" s="252"/>
      <c r="DB60" s="251">
        <f>IFERROR(__xludf.DUMMYFUNCTION("AVERAGE(ARRAYFORMULA(XLOOKUP(FILTER(INDIRECT(""'""&amp;DB$1&amp;""'!$C$4:$C$66""),INDIRECT(""'""&amp;DB$1&amp;""'!$D$4:$D$66"")=DB$2),$G$3:$BQ$3,$G60:$BQ60)))"),0.09220290199999999)</f>
        <v>0.092202902</v>
      </c>
      <c r="DC60" s="207" t="str">
        <f>IFERROR(__xludf.DUMMYFUNCTION("IF(OR(DB60&gt;$BS60+$BT60*$BT$2,DB60&lt;$BS60-$BT60*$BT$2),AVEDEV(ARRAYFORMULA(XLOOKUP(FILTER(INDIRECT(""'""&amp;DB$1&amp;""'!$C$4:$C$66""),INDIRECT(""'""&amp;DB$1&amp;""'!$D$4:$D$66"")=DB$2),$G$3:$BQ$3,$G60:$BQ60))),"""")"),"")</f>
        <v/>
      </c>
      <c r="DD60" s="251">
        <f>IFERROR(__xludf.DUMMYFUNCTION("AVERAGE(ARRAYFORMULA(XLOOKUP(FILTER(INDIRECT(""'""&amp;DD$1&amp;""'!$C$4:$C$66""),INDIRECT(""'""&amp;DD$1&amp;""'!$D$4:$D$66"")=DD$2),$G$3:$BQ$3,$G60:$BQ60)))"),0.0307590211111111)</f>
        <v>0.03075902111</v>
      </c>
      <c r="DE60" s="207" t="str">
        <f>IFERROR(__xludf.DUMMYFUNCTION("IF(OR(DD60&gt;$BS60+$BT60*$BT$2,DD60&lt;$BS60-$BT60*$BT$2),AVEDEV(ARRAYFORMULA(XLOOKUP(FILTER(INDIRECT(""'""&amp;DD$1&amp;""'!$C$4:$C$66""),INDIRECT(""'""&amp;DD$1&amp;""'!$D$4:$D$66"")=DD$2),$G$3:$BQ$3,$G60:$BQ60))),"""")"),"")</f>
        <v/>
      </c>
      <c r="DF60" s="251">
        <f>IFERROR(__xludf.DUMMYFUNCTION("AVERAGE(ARRAYFORMULA(XLOOKUP(FILTER(INDIRECT(""'""&amp;DF$1&amp;""'!$C$4:$C$66""),INDIRECT(""'""&amp;DF$1&amp;""'!$D$4:$D$66"")=DF$2),$G$3:$BQ$3,$G60:$BQ60)))"),0.026772642499999985)</f>
        <v>0.0267726425</v>
      </c>
      <c r="DG60" s="207" t="str">
        <f>IFERROR(__xludf.DUMMYFUNCTION("IF(OR(DF60&gt;$BS60+$BT60*$BT$2,DF60&lt;$BS60-$BT60*$BT$2),AVEDEV(ARRAYFORMULA(XLOOKUP(FILTER(INDIRECT(""'""&amp;DF$1&amp;""'!$C$4:$C$66""),INDIRECT(""'""&amp;DF$1&amp;""'!$D$4:$D$66"")=DF$2),$G$3:$BQ$3,$G60:$BQ60))),"""")"),"")</f>
        <v/>
      </c>
      <c r="DH60" s="251">
        <f>IFERROR(__xludf.DUMMYFUNCTION("AVERAGE(ARRAYFORMULA(XLOOKUP(FILTER(INDIRECT(""'""&amp;DH$1&amp;""'!$C$4:$C$66""),INDIRECT(""'""&amp;DH$1&amp;""'!$D$4:$D$66"")=DH$2),$G$3:$BQ$3,$G60:$BQ60)))"),0.07724885000000005)</f>
        <v>0.07724885</v>
      </c>
      <c r="DI60" s="207" t="str">
        <f>IFERROR(__xludf.DUMMYFUNCTION("IF(OR(DH60&gt;$BS60+$BT60*$BT$2,DH60&lt;$BS60-$BT60*$BT$2),AVEDEV(ARRAYFORMULA(XLOOKUP(FILTER(INDIRECT(""'""&amp;DH$1&amp;""'!$C$4:$C$66""),INDIRECT(""'""&amp;DH$1&amp;""'!$D$4:$D$66"")=DH$2),$G$3:$BQ$3,$G60:$BQ60))),"""")"),"")</f>
        <v/>
      </c>
      <c r="DJ60" s="243"/>
    </row>
    <row r="61">
      <c r="A61" s="2"/>
      <c r="B61" s="204">
        <v>57.0</v>
      </c>
      <c r="C61" s="204" t="s">
        <v>482</v>
      </c>
      <c r="D61" s="204" t="s">
        <v>501</v>
      </c>
      <c r="E61" s="205" t="b">
        <f>VLOOKUP(D61,'Feature Set List'!A58:C246,2,0)</f>
        <v>1</v>
      </c>
      <c r="F61" s="205" t="b">
        <f>VLOOKUP(D61,'Feature Set List'!A58:C246,3,0)</f>
        <v>1</v>
      </c>
      <c r="G61" s="205">
        <v>4.84342608</v>
      </c>
      <c r="H61" s="205">
        <v>0.14729951</v>
      </c>
      <c r="I61" s="205">
        <v>13.6584834</v>
      </c>
      <c r="J61" s="205">
        <v>-0.3295145</v>
      </c>
      <c r="K61" s="205">
        <v>0.10692853</v>
      </c>
      <c r="L61" s="205">
        <v>-0.3066012</v>
      </c>
      <c r="M61" s="205">
        <v>-1.1546099</v>
      </c>
      <c r="N61" s="205">
        <v>-0.4693944</v>
      </c>
      <c r="O61" s="205">
        <v>0.29350791</v>
      </c>
      <c r="P61" s="205">
        <v>-0.4721222</v>
      </c>
      <c r="Q61" s="205">
        <v>-0.557665</v>
      </c>
      <c r="R61" s="205">
        <v>-1.1686852</v>
      </c>
      <c r="S61" s="205">
        <v>0.66448445</v>
      </c>
      <c r="T61" s="205">
        <v>0.00872886</v>
      </c>
      <c r="U61" s="205">
        <v>8.3938898</v>
      </c>
      <c r="V61" s="205">
        <v>0.03164212</v>
      </c>
      <c r="W61" s="205">
        <v>-0.5087834</v>
      </c>
      <c r="X61" s="205">
        <v>1.69776323</v>
      </c>
      <c r="Y61" s="205">
        <v>-0.7312602</v>
      </c>
      <c r="Z61" s="205">
        <v>0.08510638</v>
      </c>
      <c r="AA61" s="205">
        <v>-0.0196399</v>
      </c>
      <c r="AB61" s="205">
        <v>-0.4277141</v>
      </c>
      <c r="AC61" s="205">
        <v>-0.1265685</v>
      </c>
      <c r="AD61" s="205">
        <v>1.96181124</v>
      </c>
      <c r="AE61" s="205">
        <v>-0.1080196</v>
      </c>
      <c r="AF61" s="205">
        <v>-0.4535734</v>
      </c>
      <c r="AG61" s="205">
        <v>-0.4178942</v>
      </c>
      <c r="AH61" s="205">
        <v>0.40698309</v>
      </c>
      <c r="AI61" s="205">
        <v>0.93180578</v>
      </c>
      <c r="AJ61" s="205">
        <v>-0.3076923</v>
      </c>
      <c r="AK61" s="205">
        <v>0.0</v>
      </c>
      <c r="AL61" s="205">
        <v>-0.00982</v>
      </c>
      <c r="AM61" s="205">
        <v>-0.162575</v>
      </c>
      <c r="AN61" s="205">
        <v>-0.4080742</v>
      </c>
      <c r="AO61" s="205">
        <v>0.59138025</v>
      </c>
      <c r="AP61" s="205">
        <v>0.1462084</v>
      </c>
      <c r="AQ61" s="205">
        <v>0.3502455</v>
      </c>
      <c r="AR61" s="205">
        <v>-0.7595199</v>
      </c>
      <c r="AS61" s="205">
        <v>-0.2989634</v>
      </c>
      <c r="AT61" s="205">
        <v>-0.0752864</v>
      </c>
      <c r="AU61" s="205">
        <v>-0.3022368</v>
      </c>
      <c r="AV61" s="205">
        <v>0.56301146</v>
      </c>
      <c r="AW61" s="205">
        <v>-0.754719</v>
      </c>
      <c r="AX61" s="205">
        <v>-0.5809056</v>
      </c>
      <c r="AY61" s="205">
        <v>-1.1502455</v>
      </c>
      <c r="AZ61" s="205">
        <v>0.71903983</v>
      </c>
      <c r="BA61" s="205">
        <v>-0.1593017</v>
      </c>
      <c r="BB61" s="205">
        <v>10.5270049</v>
      </c>
      <c r="BC61" s="205">
        <v>0.41680306</v>
      </c>
      <c r="BD61" s="205">
        <v>0.22149482</v>
      </c>
      <c r="BE61" s="205">
        <v>5.45335516</v>
      </c>
      <c r="BF61" s="205">
        <v>0.18112384</v>
      </c>
      <c r="BG61" s="205">
        <v>-0.488707</v>
      </c>
      <c r="BH61" s="205">
        <v>2.12875068</v>
      </c>
      <c r="BI61" s="205">
        <v>0.67648663</v>
      </c>
      <c r="BJ61" s="205">
        <v>-0.4837971</v>
      </c>
      <c r="BK61" s="205">
        <v>0.12765957</v>
      </c>
      <c r="BL61" s="205">
        <v>13.745772</v>
      </c>
      <c r="BM61" s="205">
        <v>5.89634479</v>
      </c>
      <c r="BN61" s="205">
        <v>-0.212766</v>
      </c>
      <c r="BO61" s="205">
        <v>1.71631206</v>
      </c>
      <c r="BP61" s="205">
        <v>0.22695035</v>
      </c>
      <c r="BQ61" s="205">
        <v>-0.8855428</v>
      </c>
      <c r="BR61" s="206"/>
      <c r="BS61" s="250">
        <f t="shared" si="1"/>
        <v>0.9940889727</v>
      </c>
      <c r="BT61" s="250">
        <f t="shared" si="2"/>
        <v>1.875807449</v>
      </c>
      <c r="BU61" s="206"/>
      <c r="BV61" s="207">
        <f>IFERROR(__xludf.DUMMYFUNCTION("AVERAGE(ARRAYFORMULA(XLOOKUP(FILTER(INDIRECT(""'""&amp;BV$1&amp;""'!$C$4:$C$66""),INDIRECT(""'""&amp;BV$1&amp;""'!$D$4:$D$66"")=BV$2),$G$3:$BQ$3,$G61:$BQ61)))"),5.60841712)</f>
        <v>5.60841712</v>
      </c>
      <c r="BW61" s="207">
        <f>IFERROR(__xludf.DUMMYFUNCTION("IF(OR(BV61&gt;$BS61+$BT61*$BT$2,BV61&lt;$BS61-$BT61*$BT$2),AVEDEV(ARRAYFORMULA(XLOOKUP(FILTER(INDIRECT(""'""&amp;BV$1&amp;""'!$C$4:$C$66""),INDIRECT(""'""&amp;BV$1&amp;""'!$D$4:$D$66"")=BV$2),$G$3:$BQ$3,$G61:$BQ61))),"""")"),4.526118668571429)</f>
        <v>4.526118669</v>
      </c>
      <c r="BX61" s="207">
        <f>IFERROR(__xludf.DUMMYFUNCTION("AVERAGE(ARRAYFORMULA(XLOOKUP(FILTER(INDIRECT(""'""&amp;BX$1&amp;""'!$C$4:$C$66""),INDIRECT(""'""&amp;BX$1&amp;""'!$D$4:$D$66"")=BX$2),$G$3:$BQ$3,$G61:$BQ61)))"),0.050229915714285735)</f>
        <v>0.05022991571</v>
      </c>
      <c r="BY61" s="207" t="str">
        <f>IFERROR(__xludf.DUMMYFUNCTION("IF(OR(BX61&gt;$BS61+$BT61*$BT$2,BX61&lt;$BS61-$BT61*$BT$2),AVEDEV(ARRAYFORMULA(XLOOKUP(FILTER(INDIRECT(""'""&amp;BX$1&amp;""'!$C$4:$C$66""),INDIRECT(""'""&amp;BX$1&amp;""'!$D$4:$D$66"")=BX$2),$G$3:$BQ$3,$G61:$BQ61))),"""")"),"")</f>
        <v/>
      </c>
      <c r="BZ61" s="207">
        <f>IFERROR(__xludf.DUMMYFUNCTION("AVERAGE(ARRAYFORMULA(XLOOKUP(FILTER(INDIRECT(""'""&amp;BZ$1&amp;""'!$C$4:$C$66""),INDIRECT(""'""&amp;BZ$1&amp;""'!$D$4:$D$66"")=BZ$2),$G$3:$BQ$3,$G61:$BQ61)))"),0.698298869090909)</f>
        <v>0.6982988691</v>
      </c>
      <c r="CA61" s="207" t="str">
        <f>IFERROR(__xludf.DUMMYFUNCTION("IF(OR(BZ61&gt;$BS61+$BT61*$BT$2,BZ61&lt;$BS61-$BT61*$BT$2),AVEDEV(ARRAYFORMULA(XLOOKUP(FILTER(INDIRECT(""'""&amp;BZ$1&amp;""'!$C$4:$C$66""),INDIRECT(""'""&amp;BZ$1&amp;""'!$D$4:$D$66"")=BZ$2),$G$3:$BQ$3,$G61:$BQ61))),"""")"),"")</f>
        <v/>
      </c>
      <c r="CB61" s="209"/>
      <c r="CC61" s="207">
        <f>IFERROR(__xludf.DUMMYFUNCTION("AVERAGE(ARRAYFORMULA(XLOOKUP(FILTER(INDIRECT(""'""&amp;CC$1&amp;""'!$C$4:$C$66""),INDIRECT(""'""&amp;CC$1&amp;""'!$D$4:$D$66"")=CC$2),$G$3:$BQ$3,$G61:$BQ61)))"),1.1663325175000003)</f>
        <v>1.166332518</v>
      </c>
      <c r="CD61" s="207" t="str">
        <f>IFERROR(__xludf.DUMMYFUNCTION("IF(OR(CC61&gt;$BS61+$BT61*$BT$2,CC61&lt;$BS61-$BT61*$BT$2),AVEDEV(ARRAYFORMULA(XLOOKUP(FILTER(INDIRECT(""'""&amp;CC$1&amp;""'!$C$4:$C$66""),INDIRECT(""'""&amp;CC$1&amp;""'!$D$4:$D$66"")=CC$2),$G$3:$BQ$3,$G61:$BQ61))),"""")"),"")</f>
        <v/>
      </c>
      <c r="CE61" s="207">
        <f>IFERROR(__xludf.DUMMYFUNCTION("AVERAGE(ARRAYFORMULA(XLOOKUP(FILTER(INDIRECT(""'""&amp;CE$1&amp;""'!$C$4:$C$66""),INDIRECT(""'""&amp;CE$1&amp;""'!$D$4:$D$66"")=CE$2),$G$3:$BQ$3,$G61:$BQ61)))"),0.14994632612903225)</f>
        <v>0.1499463261</v>
      </c>
      <c r="CF61" s="207" t="str">
        <f>IFERROR(__xludf.DUMMYFUNCTION("IF(OR(CE61&gt;$BS61+$BT61*$BT$2,CE61&lt;$BS61-$BT61*$BT$2),AVEDEV(ARRAYFORMULA(XLOOKUP(FILTER(INDIRECT(""'""&amp;CE$1&amp;""'!$C$4:$C$66""),INDIRECT(""'""&amp;CE$1&amp;""'!$D$4:$D$66"")=CE$2),$G$3:$BQ$3,$G61:$BQ61))),"""")"),"")</f>
        <v/>
      </c>
      <c r="CG61" s="207">
        <f>IFERROR(__xludf.DUMMYFUNCTION("AVERAGE(ARRAYFORMULA(XLOOKUP(FILTER(INDIRECT(""'""&amp;CG$1&amp;""'!$C$4:$C$66""),INDIRECT(""'""&amp;CG$1&amp;""'!$D$4:$D$66"")=CG$2),$G$3:$BQ$3,$G61:$BQ61)))"),-0.282073088)</f>
        <v>-0.282073088</v>
      </c>
      <c r="CH61" s="207" t="str">
        <f>IFERROR(__xludf.DUMMYFUNCTION("IF(OR(CG61&gt;$BS61+$BT61*$BT$2,CG61&lt;$BS61-$BT61*$BT$2),AVEDEV(ARRAYFORMULA(XLOOKUP(FILTER(INDIRECT(""'""&amp;CG$1&amp;""'!$C$4:$C$66""),INDIRECT(""'""&amp;CG$1&amp;""'!$D$4:$D$66"")=CG$2),$G$3:$BQ$3,$G61:$BQ61))),"""")"),"")</f>
        <v/>
      </c>
      <c r="CI61" s="206"/>
      <c r="CJ61" s="251">
        <f>IFERROR(__xludf.DUMMYFUNCTION("AVERAGE(ARRAYFORMULA(XLOOKUP(FILTER(INDIRECT(""'""&amp;CJ$1&amp;""'!$C$4:$C$66""),INDIRECT(""'""&amp;CJ$1&amp;""'!$D$4:$D$66"")=CJ$2),$G$3:$BQ$3,$G61:$BQ61)))"),2.465146400666667)</f>
        <v>2.465146401</v>
      </c>
      <c r="CK61" s="207" t="str">
        <f>IFERROR(__xludf.DUMMYFUNCTION("IF(OR(CJ61&gt;$BS61+$BT61*$BT$2,CJ61&lt;$BS61-$BT61*$BT$2),AVEDEV(ARRAYFORMULA(XLOOKUP(FILTER(INDIRECT(""'""&amp;CJ$1&amp;""'!$C$4:$C$66""),INDIRECT(""'""&amp;CJ$1&amp;""'!$D$4:$D$66"")=CJ$2),$G$3:$BQ$3,$G61:$BQ61))),"""")"),"")</f>
        <v/>
      </c>
      <c r="CL61" s="251">
        <f>IFERROR(__xludf.DUMMYFUNCTION("AVERAGE(ARRAYFORMULA(XLOOKUP(FILTER(INDIRECT(""'""&amp;CL$1&amp;""'!$C$4:$C$66""),INDIRECT(""'""&amp;CL$1&amp;""'!$D$4:$D$66"")=CL$2),$G$3:$BQ$3,$G61:$BQ61)))"),-0.00673689000000002)</f>
        <v>-0.00673689</v>
      </c>
      <c r="CM61" s="207" t="str">
        <f>IFERROR(__xludf.DUMMYFUNCTION("IF(OR(CL61&gt;$BS61+$BT61*$BT$2,CL61&lt;$BS61-$BT61*$BT$2),AVEDEV(ARRAYFORMULA(XLOOKUP(FILTER(INDIRECT(""'""&amp;CL$1&amp;""'!$C$4:$C$66""),INDIRECT(""'""&amp;CL$1&amp;""'!$D$4:$D$66"")=CL$2),$G$3:$BQ$3,$G61:$BQ61))),"""")"),"")</f>
        <v/>
      </c>
      <c r="CN61" s="251">
        <f>IFERROR(__xludf.DUMMYFUNCTION("AVERAGE(ARRAYFORMULA(XLOOKUP(FILTER(INDIRECT(""'""&amp;CN$1&amp;""'!$C$4:$C$66""),INDIRECT(""'""&amp;CN$1&amp;""'!$D$4:$D$66"")=CN$2),$G$3:$BQ$3,$G61:$BQ61)))"),-0.282073088)</f>
        <v>-0.282073088</v>
      </c>
      <c r="CO61" s="207" t="str">
        <f>IFERROR(__xludf.DUMMYFUNCTION("IF(OR(CN61&gt;$BS61+$BT61*$BT$2,CN61&lt;$BS61-$BT61*$BT$2),AVEDEV(ARRAYFORMULA(XLOOKUP(FILTER(INDIRECT(""'""&amp;CN$1&amp;""'!$C$4:$C$66""),INDIRECT(""'""&amp;CN$1&amp;""'!$D$4:$D$66"")=CN$2),$G$3:$BQ$3,$G61:$BQ61))),"""")"),"")</f>
        <v/>
      </c>
      <c r="CP61" s="252"/>
      <c r="CQ61" s="251">
        <f>IFERROR(__xludf.DUMMYFUNCTION("AVERAGE(ARRAYFORMULA(XLOOKUP(FILTER(INDIRECT(""'""&amp;CQ$1&amp;""'!$C$4:$C$66""),INDIRECT(""'""&amp;CQ$1&amp;""'!$D$4:$D$66"")=CQ$2),$G$3:$BQ$3,$G61:$BQ61)))"),-0.012384069999999988)</f>
        <v>-0.01238407</v>
      </c>
      <c r="CR61" s="207" t="str">
        <f>IFERROR(__xludf.DUMMYFUNCTION("IF(OR(CQ61&gt;$BS61+$BT61*$BT$2,CQ61&lt;$BS61-$BT61*$BT$2),AVEDEV(ARRAYFORMULA(XLOOKUP(FILTER(INDIRECT(""'""&amp;CQ$1&amp;""'!$C$4:$C$66""),INDIRECT(""'""&amp;CQ$1&amp;""'!$D$4:$D$66"")=CQ$2),$G$3:$BQ$3,$G61:$BQ61))),"""")"),"")</f>
        <v/>
      </c>
      <c r="CS61" s="251">
        <f>IFERROR(__xludf.DUMMYFUNCTION("AVERAGE(ARRAYFORMULA(XLOOKUP(FILTER(INDIRECT(""'""&amp;CS$1&amp;""'!$C$4:$C$66""),INDIRECT(""'""&amp;CS$1&amp;""'!$D$4:$D$66"")=CS$2),$G$3:$BQ$3,$G61:$BQ61)))"),0.11843366000000005)</f>
        <v>0.11843366</v>
      </c>
      <c r="CT61" s="207" t="str">
        <f>IFERROR(__xludf.DUMMYFUNCTION("IF(OR(CS61&gt;$BS61+$BT61*$BT$2,CS61&lt;$BS61-$BT61*$BT$2),AVEDEV(ARRAYFORMULA(XLOOKUP(FILTER(INDIRECT(""'""&amp;CS$1&amp;""'!$C$4:$C$66""),INDIRECT(""'""&amp;CS$1&amp;""'!$D$4:$D$66"")=CS$2),$G$3:$BQ$3,$G61:$BQ61))),"""")"),"")</f>
        <v/>
      </c>
      <c r="CU61" s="251">
        <f>IFERROR(__xludf.DUMMYFUNCTION("AVERAGE(ARRAYFORMULA(XLOOKUP(FILTER(INDIRECT(""'""&amp;CU$1&amp;""'!$C$4:$C$66""),INDIRECT(""'""&amp;CU$1&amp;""'!$D$4:$D$66"")=CU$2),$G$3:$BQ$3,$G61:$BQ61)))"),0.2517581809090909)</f>
        <v>0.2517581809</v>
      </c>
      <c r="CV61" s="207" t="str">
        <f>IFERROR(__xludf.DUMMYFUNCTION("IF(OR(CU61&gt;$BS61+$BT61*$BT$2,CU61&lt;$BS61-$BT61*$BT$2),AVEDEV(ARRAYFORMULA(XLOOKUP(FILTER(INDIRECT(""'""&amp;CU$1&amp;""'!$C$4:$C$66""),INDIRECT(""'""&amp;CU$1&amp;""'!$D$4:$D$66"")=CU$2),$G$3:$BQ$3,$G61:$BQ61))),"""")"),"")</f>
        <v/>
      </c>
      <c r="CW61" s="251">
        <f>IFERROR(__xludf.DUMMYFUNCTION("AVERAGE(ARRAYFORMULA(XLOOKUP(FILTER(INDIRECT(""'""&amp;CW$1&amp;""'!$C$4:$C$66""),INDIRECT(""'""&amp;CW$1&amp;""'!$D$4:$D$66"")=CW$2),$G$3:$BQ$3,$G61:$BQ61)))"),2.04528096)</f>
        <v>2.04528096</v>
      </c>
      <c r="CX61" s="207" t="str">
        <f>IFERROR(__xludf.DUMMYFUNCTION("IF(OR(CW61&gt;$BS61+$BT61*$BT$2,CW61&lt;$BS61-$BT61*$BT$2),AVEDEV(ARRAYFORMULA(XLOOKUP(FILTER(INDIRECT(""'""&amp;CW$1&amp;""'!$C$4:$C$66""),INDIRECT(""'""&amp;CW$1&amp;""'!$D$4:$D$66"")=CW$2),$G$3:$BQ$3,$G61:$BQ61))),"""")"),"")</f>
        <v/>
      </c>
      <c r="CY61" s="251">
        <f>IFERROR(__xludf.DUMMYFUNCTION("AVERAGE(ARRAYFORMULA(XLOOKUP(FILTER(INDIRECT(""'""&amp;CY$1&amp;""'!$C$4:$C$66""),INDIRECT(""'""&amp;CY$1&amp;""'!$D$4:$D$66"")=CY$2),$G$3:$BQ$3,$G61:$BQ61)))"),-0.26184241214285714)</f>
        <v>-0.2618424121</v>
      </c>
      <c r="CZ61" s="207" t="str">
        <f>IFERROR(__xludf.DUMMYFUNCTION("IF(OR(CY61&gt;$BS61+$BT61*$BT$2,CY61&lt;$BS61-$BT61*$BT$2),AVEDEV(ARRAYFORMULA(XLOOKUP(FILTER(INDIRECT(""'""&amp;CY$1&amp;""'!$C$4:$C$66""),INDIRECT(""'""&amp;CY$1&amp;""'!$D$4:$D$66"")=CY$2),$G$3:$BQ$3,$G61:$BQ61))),"""")"),"")</f>
        <v/>
      </c>
      <c r="DA61" s="252"/>
      <c r="DB61" s="251">
        <f>IFERROR(__xludf.DUMMYFUNCTION("AVERAGE(ARRAYFORMULA(XLOOKUP(FILTER(INDIRECT(""'""&amp;DB$1&amp;""'!$C$4:$C$66""),INDIRECT(""'""&amp;DB$1&amp;""'!$D$4:$D$66"")=DB$2),$G$3:$BQ$3,$G61:$BQ61)))"),0.4815566473333333)</f>
        <v>0.4815566473</v>
      </c>
      <c r="DC61" s="207" t="str">
        <f>IFERROR(__xludf.DUMMYFUNCTION("IF(OR(DB61&gt;$BS61+$BT61*$BT$2,DB61&lt;$BS61-$BT61*$BT$2),AVEDEV(ARRAYFORMULA(XLOOKUP(FILTER(INDIRECT(""'""&amp;DB$1&amp;""'!$C$4:$C$66""),INDIRECT(""'""&amp;DB$1&amp;""'!$D$4:$D$66"")=DB$2),$G$3:$BQ$3,$G61:$BQ61))),"""")"),"")</f>
        <v/>
      </c>
      <c r="DD61" s="251">
        <f>IFERROR(__xludf.DUMMYFUNCTION("AVERAGE(ARRAYFORMULA(XLOOKUP(FILTER(INDIRECT(""'""&amp;DD$1&amp;""'!$C$4:$C$66""),INDIRECT(""'""&amp;DD$1&amp;""'!$D$4:$D$66"")=DD$2),$G$3:$BQ$3,$G61:$BQ61)))"),0.9677880877777777)</f>
        <v>0.9677880878</v>
      </c>
      <c r="DE61" s="207" t="str">
        <f>IFERROR(__xludf.DUMMYFUNCTION("IF(OR(DD61&gt;$BS61+$BT61*$BT$2,DD61&lt;$BS61-$BT61*$BT$2),AVEDEV(ARRAYFORMULA(XLOOKUP(FILTER(INDIRECT(""'""&amp;DD$1&amp;""'!$C$4:$C$66""),INDIRECT(""'""&amp;DD$1&amp;""'!$D$4:$D$66"")=DD$2),$G$3:$BQ$3,$G61:$BQ61))),"""")"),"")</f>
        <v/>
      </c>
      <c r="DF61" s="251">
        <f>IFERROR(__xludf.DUMMYFUNCTION("AVERAGE(ARRAYFORMULA(XLOOKUP(FILTER(INDIRECT(""'""&amp;DF$1&amp;""'!$C$4:$C$66""),INDIRECT(""'""&amp;DF$1&amp;""'!$D$4:$D$66"")=DF$2),$G$3:$BQ$3,$G61:$BQ61)))"),0.92808238625)</f>
        <v>0.9280823863</v>
      </c>
      <c r="DG61" s="207" t="str">
        <f>IFERROR(__xludf.DUMMYFUNCTION("IF(OR(DF61&gt;$BS61+$BT61*$BT$2,DF61&lt;$BS61-$BT61*$BT$2),AVEDEV(ARRAYFORMULA(XLOOKUP(FILTER(INDIRECT(""'""&amp;DF$1&amp;""'!$C$4:$C$66""),INDIRECT(""'""&amp;DF$1&amp;""'!$D$4:$D$66"")=DF$2),$G$3:$BQ$3,$G61:$BQ61))),"""")"),"")</f>
        <v/>
      </c>
      <c r="DH61" s="251">
        <f>IFERROR(__xludf.DUMMYFUNCTION("AVERAGE(ARRAYFORMULA(XLOOKUP(FILTER(INDIRECT(""'""&amp;DH$1&amp;""'!$C$4:$C$66""),INDIRECT(""'""&amp;DH$1&amp;""'!$D$4:$D$66"")=DH$2),$G$3:$BQ$3,$G61:$BQ61)))"),0.3547796644444444)</f>
        <v>0.3547796644</v>
      </c>
      <c r="DI61" s="207" t="str">
        <f>IFERROR(__xludf.DUMMYFUNCTION("IF(OR(DH61&gt;$BS61+$BT61*$BT$2,DH61&lt;$BS61-$BT61*$BT$2),AVEDEV(ARRAYFORMULA(XLOOKUP(FILTER(INDIRECT(""'""&amp;DH$1&amp;""'!$C$4:$C$66""),INDIRECT(""'""&amp;DH$1&amp;""'!$D$4:$D$66"")=DH$2),$G$3:$BQ$3,$G61:$BQ61))),"""")"),"")</f>
        <v/>
      </c>
      <c r="DJ61" s="243"/>
    </row>
    <row r="62">
      <c r="A62" s="2"/>
      <c r="B62" s="204">
        <v>58.0</v>
      </c>
      <c r="C62" s="204" t="s">
        <v>482</v>
      </c>
      <c r="D62" s="204" t="s">
        <v>502</v>
      </c>
      <c r="E62" s="205" t="b">
        <f>VLOOKUP(D62,'Feature Set List'!A59:C246,2,0)</f>
        <v>1</v>
      </c>
      <c r="F62" s="205" t="b">
        <f>VLOOKUP(D62,'Feature Set List'!A59:C246,3,0)</f>
        <v>1</v>
      </c>
      <c r="G62" s="205">
        <v>-0.112396</v>
      </c>
      <c r="H62" s="205">
        <v>0.0</v>
      </c>
      <c r="I62" s="205">
        <v>-0.1168919</v>
      </c>
      <c r="J62" s="205">
        <v>-0.197867</v>
      </c>
      <c r="K62" s="205">
        <v>-0.0599446</v>
      </c>
      <c r="L62" s="205">
        <v>-0.1044034</v>
      </c>
      <c r="M62" s="205">
        <v>-0.2028124</v>
      </c>
      <c r="N62" s="205">
        <v>2.39678298</v>
      </c>
      <c r="O62" s="205">
        <v>-0.1873267</v>
      </c>
      <c r="P62" s="205">
        <v>0.10440343</v>
      </c>
      <c r="Q62" s="205">
        <v>1.50161101</v>
      </c>
      <c r="R62" s="205">
        <v>1.79933561</v>
      </c>
      <c r="S62" s="205">
        <v>0.57646677</v>
      </c>
      <c r="T62" s="205">
        <v>0.28123985</v>
      </c>
      <c r="U62" s="205">
        <v>-0.3359892</v>
      </c>
      <c r="V62" s="205">
        <v>-0.2462722</v>
      </c>
      <c r="W62" s="205">
        <v>-0.1389715</v>
      </c>
      <c r="X62" s="205">
        <v>-0.2644554</v>
      </c>
      <c r="Y62" s="205">
        <v>0.19032395</v>
      </c>
      <c r="Z62" s="205">
        <v>-0.1609511</v>
      </c>
      <c r="AA62" s="205">
        <v>-0.5021355</v>
      </c>
      <c r="AB62" s="205">
        <v>-0.5585833</v>
      </c>
      <c r="AC62" s="205">
        <v>0.02197967</v>
      </c>
      <c r="AD62" s="205">
        <v>-0.2525164</v>
      </c>
      <c r="AE62" s="205">
        <v>-0.0094912</v>
      </c>
      <c r="AF62" s="205">
        <v>0.56447786</v>
      </c>
      <c r="AG62" s="205">
        <v>-0.51887</v>
      </c>
      <c r="AH62" s="205">
        <v>-0.456228</v>
      </c>
      <c r="AI62" s="205">
        <v>1.79983515</v>
      </c>
      <c r="AJ62" s="205">
        <v>-0.6221046</v>
      </c>
      <c r="AK62" s="205">
        <v>0.57646677</v>
      </c>
      <c r="AL62" s="205">
        <v>1.52758698</v>
      </c>
      <c r="AM62" s="205">
        <v>-0.1397208</v>
      </c>
      <c r="AN62" s="205">
        <v>-0.1074007</v>
      </c>
      <c r="AO62" s="205">
        <v>-0.5171217</v>
      </c>
      <c r="AP62" s="205">
        <v>1.10747559</v>
      </c>
      <c r="AQ62" s="205">
        <v>0.36266454</v>
      </c>
      <c r="AR62" s="205">
        <v>1.88026076</v>
      </c>
      <c r="AS62" s="205">
        <v>0.94212853</v>
      </c>
      <c r="AT62" s="205">
        <v>0.3661613</v>
      </c>
      <c r="AU62" s="205">
        <v>2.43075155</v>
      </c>
      <c r="AV62" s="205">
        <v>0.46706796</v>
      </c>
      <c r="AW62" s="205">
        <v>0.99757724</v>
      </c>
      <c r="AX62" s="205">
        <v>-0.2643055</v>
      </c>
      <c r="AY62" s="205">
        <v>-0.6339136</v>
      </c>
      <c r="AZ62" s="205">
        <v>0.98159203</v>
      </c>
      <c r="BA62" s="205">
        <v>0.53850189</v>
      </c>
      <c r="BB62" s="205">
        <v>-0.6191673</v>
      </c>
      <c r="BC62" s="205">
        <v>1.24984389</v>
      </c>
      <c r="BD62" s="205">
        <v>2.16849414</v>
      </c>
      <c r="BE62" s="205">
        <v>-0.5917776</v>
      </c>
      <c r="BF62" s="205">
        <v>-0.4293528</v>
      </c>
      <c r="BG62" s="205">
        <v>0.30671629</v>
      </c>
      <c r="BH62" s="205">
        <v>-0.2156505</v>
      </c>
      <c r="BI62" s="205">
        <v>0.48255364</v>
      </c>
      <c r="BJ62" s="205">
        <v>-0.0044958</v>
      </c>
      <c r="BK62" s="205">
        <v>1.42618078</v>
      </c>
      <c r="BL62" s="205">
        <v>-0.3950346</v>
      </c>
      <c r="BM62" s="205">
        <v>0.07193346</v>
      </c>
      <c r="BN62" s="205">
        <v>0.79726253</v>
      </c>
      <c r="BO62" s="205">
        <v>-0.0839224</v>
      </c>
      <c r="BP62" s="205">
        <v>1.83330419</v>
      </c>
      <c r="BQ62" s="205">
        <v>0.74081475</v>
      </c>
      <c r="BR62" s="206"/>
      <c r="BS62" s="250">
        <f t="shared" si="1"/>
        <v>0.340344784</v>
      </c>
      <c r="BT62" s="250">
        <f t="shared" si="2"/>
        <v>0.6668755188</v>
      </c>
      <c r="BU62" s="206"/>
      <c r="BV62" s="207">
        <f>IFERROR(__xludf.DUMMYFUNCTION("AVERAGE(ARRAYFORMULA(XLOOKUP(FILTER(INDIRECT(""'""&amp;BV$1&amp;""'!$C$4:$C$66""),INDIRECT(""'""&amp;BV$1&amp;""'!$D$4:$D$66"")=BV$2),$G$3:$BQ$3,$G62:$BQ62)))"),-0.47963705714285715)</f>
        <v>-0.4796370571</v>
      </c>
      <c r="BW62" s="207">
        <f>IFERROR(__xludf.DUMMYFUNCTION("IF(OR(BV62&gt;$BS62+$BT62*$BT$2,BV62&lt;$BS62-$BT62*$BT$2),AVEDEV(ARRAYFORMULA(XLOOKUP(FILTER(INDIRECT(""'""&amp;BV$1&amp;""'!$C$4:$C$66""),INDIRECT(""'""&amp;BV$1&amp;""'!$D$4:$D$66"")=BV$2),$G$3:$BQ$3,$G62:$BQ62))),"""")"),0.12669484897959182)</f>
        <v>0.126694849</v>
      </c>
      <c r="BX62" s="207">
        <f>IFERROR(__xludf.DUMMYFUNCTION("AVERAGE(ARRAYFORMULA(XLOOKUP(FILTER(INDIRECT(""'""&amp;BX$1&amp;""'!$C$4:$C$66""),INDIRECT(""'""&amp;BX$1&amp;""'!$D$4:$D$66"")=BX$2),$G$3:$BQ$3,$G62:$BQ62)))"),0.43197471023809525)</f>
        <v>0.4319747102</v>
      </c>
      <c r="BY62" s="207" t="str">
        <f>IFERROR(__xludf.DUMMYFUNCTION("IF(OR(BX62&gt;$BS62+$BT62*$BT$2,BX62&lt;$BS62-$BT62*$BT$2),AVEDEV(ARRAYFORMULA(XLOOKUP(FILTER(INDIRECT(""'""&amp;BX$1&amp;""'!$C$4:$C$66""),INDIRECT(""'""&amp;BX$1&amp;""'!$D$4:$D$66"")=BX$2),$G$3:$BQ$3,$G62:$BQ62))),"""")"),"")</f>
        <v/>
      </c>
      <c r="BZ62" s="207">
        <f>IFERROR(__xludf.DUMMYFUNCTION("AVERAGE(ARRAYFORMULA(XLOOKUP(FILTER(INDIRECT(""'""&amp;BZ$1&amp;""'!$C$4:$C$66""),INDIRECT(""'""&amp;BZ$1&amp;""'!$D$4:$D$66"")=BZ$2),$G$3:$BQ$3,$G62:$BQ62)))"),0.19762628818181815)</f>
        <v>0.1976262882</v>
      </c>
      <c r="CA62" s="207" t="str">
        <f>IFERROR(__xludf.DUMMYFUNCTION("IF(OR(BZ62&gt;$BS62+$BT62*$BT$2,BZ62&lt;$BS62-$BT62*$BT$2),AVEDEV(ARRAYFORMULA(XLOOKUP(FILTER(INDIRECT(""'""&amp;BZ$1&amp;""'!$C$4:$C$66""),INDIRECT(""'""&amp;BZ$1&amp;""'!$D$4:$D$66"")=BZ$2),$G$3:$BQ$3,$G62:$BQ62))),"""")"),"")</f>
        <v/>
      </c>
      <c r="CB62" s="209"/>
      <c r="CC62" s="207">
        <f>IFERROR(__xludf.DUMMYFUNCTION("AVERAGE(ARRAYFORMULA(XLOOKUP(FILTER(INDIRECT(""'""&amp;CC$1&amp;""'!$C$4:$C$66""),INDIRECT(""'""&amp;CC$1&amp;""'!$D$4:$D$66"")=CC$2),$G$3:$BQ$3,$G62:$BQ62)))"),0.32437557937499994)</f>
        <v>0.3243755794</v>
      </c>
      <c r="CD62" s="207" t="str">
        <f>IFERROR(__xludf.DUMMYFUNCTION("IF(OR(CC62&gt;$BS62+$BT62*$BT$2,CC62&lt;$BS62-$BT62*$BT$2),AVEDEV(ARRAYFORMULA(XLOOKUP(FILTER(INDIRECT(""'""&amp;CC$1&amp;""'!$C$4:$C$66""),INDIRECT(""'""&amp;CC$1&amp;""'!$D$4:$D$66"")=CC$2),$G$3:$BQ$3,$G62:$BQ62))),"""")"),"")</f>
        <v/>
      </c>
      <c r="CE62" s="207">
        <f>IFERROR(__xludf.DUMMYFUNCTION("AVERAGE(ARRAYFORMULA(XLOOKUP(FILTER(INDIRECT(""'""&amp;CE$1&amp;""'!$C$4:$C$66""),INDIRECT(""'""&amp;CE$1&amp;""'!$D$4:$D$66"")=CE$2),$G$3:$BQ$3,$G62:$BQ62)))"),0.2994003135483872)</f>
        <v>0.2994003135</v>
      </c>
      <c r="CF62" s="207" t="str">
        <f>IFERROR(__xludf.DUMMYFUNCTION("IF(OR(CE62&gt;$BS62+$BT62*$BT$2,CE62&lt;$BS62-$BT62*$BT$2),AVEDEV(ARRAYFORMULA(XLOOKUP(FILTER(INDIRECT(""'""&amp;CE$1&amp;""'!$C$4:$C$66""),INDIRECT(""'""&amp;CE$1&amp;""'!$D$4:$D$66"")=CE$2),$G$3:$BQ$3,$G62:$BQ62))),"""")"),"")</f>
        <v/>
      </c>
      <c r="CG62" s="207">
        <f>IFERROR(__xludf.DUMMYFUNCTION("AVERAGE(ARRAYFORMULA(XLOOKUP(FILTER(INDIRECT(""'""&amp;CG$1&amp;""'!$C$4:$C$66""),INDIRECT(""'""&amp;CG$1&amp;""'!$D$4:$D$66"")=CG$2),$G$3:$BQ$3,$G62:$BQ62)))"),0.43459799799999993)</f>
        <v>0.434597998</v>
      </c>
      <c r="CH62" s="207" t="str">
        <f>IFERROR(__xludf.DUMMYFUNCTION("IF(OR(CG62&gt;$BS62+$BT62*$BT$2,CG62&lt;$BS62-$BT62*$BT$2),AVEDEV(ARRAYFORMULA(XLOOKUP(FILTER(INDIRECT(""'""&amp;CG$1&amp;""'!$C$4:$C$66""),INDIRECT(""'""&amp;CG$1&amp;""'!$D$4:$D$66"")=CG$2),$G$3:$BQ$3,$G62:$BQ62))),"""")"),"")</f>
        <v/>
      </c>
      <c r="CI62" s="206"/>
      <c r="CJ62" s="251">
        <f>IFERROR(__xludf.DUMMYFUNCTION("AVERAGE(ARRAYFORMULA(XLOOKUP(FILTER(INDIRECT(""'""&amp;CJ$1&amp;""'!$C$4:$C$66""),INDIRECT(""'""&amp;CJ$1&amp;""'!$D$4:$D$66"")=CJ$2),$G$3:$BQ$3,$G62:$BQ62)))"),-0.03246430266666668)</f>
        <v>-0.03246430267</v>
      </c>
      <c r="CK62" s="207" t="str">
        <f>IFERROR(__xludf.DUMMYFUNCTION("IF(OR(CJ62&gt;$BS62+$BT62*$BT$2,CJ62&lt;$BS62-$BT62*$BT$2),AVEDEV(ARRAYFORMULA(XLOOKUP(FILTER(INDIRECT(""'""&amp;CJ$1&amp;""'!$C$4:$C$66""),INDIRECT(""'""&amp;CJ$1&amp;""'!$D$4:$D$66"")=CJ$2),$G$3:$BQ$3,$G62:$BQ62))),"""")"),"")</f>
        <v/>
      </c>
      <c r="CL62" s="251">
        <f>IFERROR(__xludf.DUMMYFUNCTION("AVERAGE(ARRAYFORMULA(XLOOKUP(FILTER(INDIRECT(""'""&amp;CL$1&amp;""'!$C$4:$C$66""),INDIRECT(""'""&amp;CL$1&amp;""'!$D$4:$D$66"")=CL$2),$G$3:$BQ$3,$G62:$BQ62)))"),0.4017532499999999)</f>
        <v>0.40175325</v>
      </c>
      <c r="CM62" s="207" t="str">
        <f>IFERROR(__xludf.DUMMYFUNCTION("IF(OR(CL62&gt;$BS62+$BT62*$BT$2,CL62&lt;$BS62-$BT62*$BT$2),AVEDEV(ARRAYFORMULA(XLOOKUP(FILTER(INDIRECT(""'""&amp;CL$1&amp;""'!$C$4:$C$66""),INDIRECT(""'""&amp;CL$1&amp;""'!$D$4:$D$66"")=CL$2),$G$3:$BQ$3,$G62:$BQ62))),"""")"),"")</f>
        <v/>
      </c>
      <c r="CN62" s="251">
        <f>IFERROR(__xludf.DUMMYFUNCTION("AVERAGE(ARRAYFORMULA(XLOOKUP(FILTER(INDIRECT(""'""&amp;CN$1&amp;""'!$C$4:$C$66""),INDIRECT(""'""&amp;CN$1&amp;""'!$D$4:$D$66"")=CN$2),$G$3:$BQ$3,$G62:$BQ62)))"),0.43459799799999993)</f>
        <v>0.434597998</v>
      </c>
      <c r="CO62" s="207" t="str">
        <f>IFERROR(__xludf.DUMMYFUNCTION("IF(OR(CN62&gt;$BS62+$BT62*$BT$2,CN62&lt;$BS62-$BT62*$BT$2),AVEDEV(ARRAYFORMULA(XLOOKUP(FILTER(INDIRECT(""'""&amp;CN$1&amp;""'!$C$4:$C$66""),INDIRECT(""'""&amp;CN$1&amp;""'!$D$4:$D$66"")=CN$2),$G$3:$BQ$3,$G62:$BQ62))),"""")"),"")</f>
        <v/>
      </c>
      <c r="CP62" s="252"/>
      <c r="CQ62" s="251">
        <f>IFERROR(__xludf.DUMMYFUNCTION("AVERAGE(ARRAYFORMULA(XLOOKUP(FILTER(INDIRECT(""'""&amp;CQ$1&amp;""'!$C$4:$C$66""),INDIRECT(""'""&amp;CQ$1&amp;""'!$D$4:$D$66"")=CQ$2),$G$3:$BQ$3,$G62:$BQ62)))"),0.6280512021428571)</f>
        <v>0.6280512021</v>
      </c>
      <c r="CR62" s="207" t="str">
        <f>IFERROR(__xludf.DUMMYFUNCTION("IF(OR(CQ62&gt;$BS62+$BT62*$BT$2,CQ62&lt;$BS62-$BT62*$BT$2),AVEDEV(ARRAYFORMULA(XLOOKUP(FILTER(INDIRECT(""'""&amp;CQ$1&amp;""'!$C$4:$C$66""),INDIRECT(""'""&amp;CQ$1&amp;""'!$D$4:$D$66"")=CQ$2),$G$3:$BQ$3,$G62:$BQ62))),"""")"),"")</f>
        <v/>
      </c>
      <c r="CS62" s="251">
        <f>IFERROR(__xludf.DUMMYFUNCTION("AVERAGE(ARRAYFORMULA(XLOOKUP(FILTER(INDIRECT(""'""&amp;CS$1&amp;""'!$C$4:$C$66""),INDIRECT(""'""&amp;CS$1&amp;""'!$D$4:$D$66"")=CS$2),$G$3:$BQ$3,$G62:$BQ62)))"),0.12448485333333334)</f>
        <v>0.1244848533</v>
      </c>
      <c r="CT62" s="207" t="str">
        <f>IFERROR(__xludf.DUMMYFUNCTION("IF(OR(CS62&gt;$BS62+$BT62*$BT$2,CS62&lt;$BS62-$BT62*$BT$2),AVEDEV(ARRAYFORMULA(XLOOKUP(FILTER(INDIRECT(""'""&amp;CS$1&amp;""'!$C$4:$C$66""),INDIRECT(""'""&amp;CS$1&amp;""'!$D$4:$D$66"")=CS$2),$G$3:$BQ$3,$G62:$BQ62))),"""")"),"")</f>
        <v/>
      </c>
      <c r="CU62" s="251">
        <f>IFERROR(__xludf.DUMMYFUNCTION("AVERAGE(ARRAYFORMULA(XLOOKUP(FILTER(INDIRECT(""'""&amp;CU$1&amp;""'!$C$4:$C$66""),INDIRECT(""'""&amp;CU$1&amp;""'!$D$4:$D$66"")=CU$2),$G$3:$BQ$3,$G62:$BQ62)))"),0.08903582)</f>
        <v>0.08903582</v>
      </c>
      <c r="CV62" s="207" t="str">
        <f>IFERROR(__xludf.DUMMYFUNCTION("IF(OR(CU62&gt;$BS62+$BT62*$BT$2,CU62&lt;$BS62-$BT62*$BT$2),AVEDEV(ARRAYFORMULA(XLOOKUP(FILTER(INDIRECT(""'""&amp;CU$1&amp;""'!$C$4:$C$66""),INDIRECT(""'""&amp;CU$1&amp;""'!$D$4:$D$66"")=CU$2),$G$3:$BQ$3,$G62:$BQ62))),"""")"),"")</f>
        <v/>
      </c>
      <c r="CW62" s="251">
        <f>IFERROR(__xludf.DUMMYFUNCTION("AVERAGE(ARRAYFORMULA(XLOOKUP(FILTER(INDIRECT(""'""&amp;CW$1&amp;""'!$C$4:$C$66""),INDIRECT(""'""&amp;CW$1&amp;""'!$D$4:$D$66"")=CW$2),$G$3:$BQ$3,$G62:$BQ62)))"),-0.23408344999999997)</f>
        <v>-0.23408345</v>
      </c>
      <c r="CX62" s="207" t="str">
        <f>IFERROR(__xludf.DUMMYFUNCTION("IF(OR(CW62&gt;$BS62+$BT62*$BT$2,CW62&lt;$BS62-$BT62*$BT$2),AVEDEV(ARRAYFORMULA(XLOOKUP(FILTER(INDIRECT(""'""&amp;CW$1&amp;""'!$C$4:$C$66""),INDIRECT(""'""&amp;CW$1&amp;""'!$D$4:$D$66"")=CW$2),$G$3:$BQ$3,$G62:$BQ62))),"""")"),"")</f>
        <v/>
      </c>
      <c r="CY62" s="251">
        <f>IFERROR(__xludf.DUMMYFUNCTION("AVERAGE(ARRAYFORMULA(XLOOKUP(FILTER(INDIRECT(""'""&amp;CY$1&amp;""'!$C$4:$C$66""),INDIRECT(""'""&amp;CY$1&amp;""'!$D$4:$D$66"")=CY$2),$G$3:$BQ$3,$G62:$BQ62)))"),0.6384572842857145)</f>
        <v>0.6384572843</v>
      </c>
      <c r="CZ62" s="207" t="str">
        <f>IFERROR(__xludf.DUMMYFUNCTION("IF(OR(CY62&gt;$BS62+$BT62*$BT$2,CY62&lt;$BS62-$BT62*$BT$2),AVEDEV(ARRAYFORMULA(XLOOKUP(FILTER(INDIRECT(""'""&amp;CY$1&amp;""'!$C$4:$C$66""),INDIRECT(""'""&amp;CY$1&amp;""'!$D$4:$D$66"")=CY$2),$G$3:$BQ$3,$G62:$BQ62))),"""")"),"")</f>
        <v/>
      </c>
      <c r="DA62" s="252"/>
      <c r="DB62" s="251">
        <f>IFERROR(__xludf.DUMMYFUNCTION("AVERAGE(ARRAYFORMULA(XLOOKUP(FILTER(INDIRECT(""'""&amp;DB$1&amp;""'!$C$4:$C$66""),INDIRECT(""'""&amp;DB$1&amp;""'!$D$4:$D$66"")=DB$2),$G$3:$BQ$3,$G62:$BQ62)))"),0.3825090143333333)</f>
        <v>0.3825090143</v>
      </c>
      <c r="DC62" s="207" t="str">
        <f>IFERROR(__xludf.DUMMYFUNCTION("IF(OR(DB62&gt;$BS62+$BT62*$BT$2,DB62&lt;$BS62-$BT62*$BT$2),AVEDEV(ARRAYFORMULA(XLOOKUP(FILTER(INDIRECT(""'""&amp;DB$1&amp;""'!$C$4:$C$66""),INDIRECT(""'""&amp;DB$1&amp;""'!$D$4:$D$66"")=DB$2),$G$3:$BQ$3,$G62:$BQ62))),"""")"),"")</f>
        <v/>
      </c>
      <c r="DD62" s="251">
        <f>IFERROR(__xludf.DUMMYFUNCTION("AVERAGE(ARRAYFORMULA(XLOOKUP(FILTER(INDIRECT(""'""&amp;DD$1&amp;""'!$C$4:$C$66""),INDIRECT(""'""&amp;DD$1&amp;""'!$D$4:$D$66"")=DD$2),$G$3:$BQ$3,$G62:$BQ62)))"),0.10050703222222222)</f>
        <v>0.1005070322</v>
      </c>
      <c r="DE62" s="207" t="str">
        <f>IFERROR(__xludf.DUMMYFUNCTION("IF(OR(DD62&gt;$BS62+$BT62*$BT$2,DD62&lt;$BS62-$BT62*$BT$2),AVEDEV(ARRAYFORMULA(XLOOKUP(FILTER(INDIRECT(""'""&amp;DD$1&amp;""'!$C$4:$C$66""),INDIRECT(""'""&amp;DD$1&amp;""'!$D$4:$D$66"")=DD$2),$G$3:$BQ$3,$G62:$BQ62))),"""")"),"")</f>
        <v/>
      </c>
      <c r="DF62" s="251">
        <f>IFERROR(__xludf.DUMMYFUNCTION("AVERAGE(ARRAYFORMULA(XLOOKUP(FILTER(INDIRECT(""'""&amp;DF$1&amp;""'!$C$4:$C$66""),INDIRECT(""'""&amp;DF$1&amp;""'!$D$4:$D$66"")=DF$2),$G$3:$BQ$3,$G62:$BQ62)))"),0.13449060125)</f>
        <v>0.1344906013</v>
      </c>
      <c r="DG62" s="207" t="str">
        <f>IFERROR(__xludf.DUMMYFUNCTION("IF(OR(DF62&gt;$BS62+$BT62*$BT$2,DF62&lt;$BS62-$BT62*$BT$2),AVEDEV(ARRAYFORMULA(XLOOKUP(FILTER(INDIRECT(""'""&amp;DF$1&amp;""'!$C$4:$C$66""),INDIRECT(""'""&amp;DF$1&amp;""'!$D$4:$D$66"")=DF$2),$G$3:$BQ$3,$G62:$BQ62))),"""")"),"")</f>
        <v/>
      </c>
      <c r="DH62" s="251">
        <f>IFERROR(__xludf.DUMMYFUNCTION("AVERAGE(ARRAYFORMULA(XLOOKUP(FILTER(INDIRECT(""'""&amp;DH$1&amp;""'!$C$4:$C$66""),INDIRECT(""'""&amp;DH$1&amp;""'!$D$4:$D$66"")=DH$2),$G$3:$BQ$3,$G62:$BQ62)))"),0.31110666777777773)</f>
        <v>0.3111066678</v>
      </c>
      <c r="DI62" s="207" t="str">
        <f>IFERROR(__xludf.DUMMYFUNCTION("IF(OR(DH62&gt;$BS62+$BT62*$BT$2,DH62&lt;$BS62-$BT62*$BT$2),AVEDEV(ARRAYFORMULA(XLOOKUP(FILTER(INDIRECT(""'""&amp;DH$1&amp;""'!$C$4:$C$66""),INDIRECT(""'""&amp;DH$1&amp;""'!$D$4:$D$66"")=DH$2),$G$3:$BQ$3,$G62:$BQ62))),"""")"),"")</f>
        <v/>
      </c>
      <c r="DJ62" s="243"/>
    </row>
    <row r="63">
      <c r="A63" s="2"/>
      <c r="B63" s="204">
        <v>59.0</v>
      </c>
      <c r="C63" s="204" t="s">
        <v>482</v>
      </c>
      <c r="D63" s="204" t="s">
        <v>503</v>
      </c>
      <c r="E63" s="205" t="b">
        <f>VLOOKUP(D63,'Feature Set List'!A60:C246,2,0)</f>
        <v>1</v>
      </c>
      <c r="F63" s="205" t="b">
        <f>VLOOKUP(D63,'Feature Set List'!A60:C246,3,0)</f>
        <v>1</v>
      </c>
      <c r="G63" s="205">
        <v>-1.4800995</v>
      </c>
      <c r="H63" s="205">
        <v>-0.4676617</v>
      </c>
      <c r="I63" s="205">
        <v>-0.8768657</v>
      </c>
      <c r="J63" s="205">
        <v>-0.5099502</v>
      </c>
      <c r="K63" s="205">
        <v>0.1119403</v>
      </c>
      <c r="L63" s="205">
        <v>-0.641791</v>
      </c>
      <c r="M63" s="205">
        <v>-0.8308458</v>
      </c>
      <c r="N63" s="205">
        <v>0.88059701</v>
      </c>
      <c r="O63" s="205">
        <v>0.42661692</v>
      </c>
      <c r="P63" s="205">
        <v>-0.6803483</v>
      </c>
      <c r="Q63" s="205">
        <v>-0.0945274</v>
      </c>
      <c r="R63" s="205">
        <v>-2.6766169</v>
      </c>
      <c r="S63" s="205">
        <v>0.48134328</v>
      </c>
      <c r="T63" s="205">
        <v>0.51492537</v>
      </c>
      <c r="U63" s="205">
        <v>0.6119403</v>
      </c>
      <c r="V63" s="205">
        <v>1.32089552</v>
      </c>
      <c r="W63" s="205">
        <v>0.20273632</v>
      </c>
      <c r="X63" s="205">
        <v>1.91044776</v>
      </c>
      <c r="Y63" s="205">
        <v>0.16169154</v>
      </c>
      <c r="Z63" s="205">
        <v>0.3619403</v>
      </c>
      <c r="AA63" s="205">
        <v>-1.028607</v>
      </c>
      <c r="AB63" s="205">
        <v>-1.5771144</v>
      </c>
      <c r="AC63" s="205">
        <v>-0.130597</v>
      </c>
      <c r="AD63" s="205">
        <v>0.12437811</v>
      </c>
      <c r="AE63" s="205">
        <v>0.29850746</v>
      </c>
      <c r="AF63" s="205">
        <v>0.20273632</v>
      </c>
      <c r="AG63" s="205">
        <v>-1.7263682</v>
      </c>
      <c r="AH63" s="205">
        <v>-0.1343284</v>
      </c>
      <c r="AI63" s="205">
        <v>0.05845771</v>
      </c>
      <c r="AJ63" s="205">
        <v>0.0</v>
      </c>
      <c r="AK63" s="205">
        <v>0.85074627</v>
      </c>
      <c r="AL63" s="205">
        <v>0.15671642</v>
      </c>
      <c r="AM63" s="205">
        <v>-0.3109453</v>
      </c>
      <c r="AN63" s="205">
        <v>-0.2475124</v>
      </c>
      <c r="AO63" s="205">
        <v>0.32462687</v>
      </c>
      <c r="AP63" s="205">
        <v>0.72885572</v>
      </c>
      <c r="AQ63" s="205">
        <v>0.88557214</v>
      </c>
      <c r="AR63" s="205">
        <v>-1.3171642</v>
      </c>
      <c r="AS63" s="205">
        <v>-0.1728856</v>
      </c>
      <c r="AT63" s="205">
        <v>-0.4614428</v>
      </c>
      <c r="AU63" s="205">
        <v>-3.10199</v>
      </c>
      <c r="AV63" s="205">
        <v>0.22885572</v>
      </c>
      <c r="AW63" s="205">
        <v>0.10820896</v>
      </c>
      <c r="AX63" s="205">
        <v>0.90671642</v>
      </c>
      <c r="AY63" s="205">
        <v>0.21268657</v>
      </c>
      <c r="AZ63" s="205">
        <v>-3.2699005</v>
      </c>
      <c r="BA63" s="205">
        <v>-0.0870647</v>
      </c>
      <c r="BB63" s="205">
        <v>-0.7512438</v>
      </c>
      <c r="BC63" s="205">
        <v>0.59328358</v>
      </c>
      <c r="BD63" s="205">
        <v>-0.1691542</v>
      </c>
      <c r="BE63" s="205">
        <v>-0.420398</v>
      </c>
      <c r="BF63" s="205">
        <v>0.08955224</v>
      </c>
      <c r="BG63" s="205">
        <v>0.60199005</v>
      </c>
      <c r="BH63" s="205">
        <v>-0.3507463</v>
      </c>
      <c r="BI63" s="205">
        <v>-1.8781095</v>
      </c>
      <c r="BJ63" s="205">
        <v>-2.699005</v>
      </c>
      <c r="BK63" s="205">
        <v>0.3221393</v>
      </c>
      <c r="BL63" s="205">
        <v>-1.2437811</v>
      </c>
      <c r="BM63" s="205">
        <v>0.1579602</v>
      </c>
      <c r="BN63" s="205">
        <v>-0.2935323</v>
      </c>
      <c r="BO63" s="205">
        <v>-0.9452736</v>
      </c>
      <c r="BP63" s="205">
        <v>0.35323383</v>
      </c>
      <c r="BQ63" s="205">
        <v>0.55721393</v>
      </c>
      <c r="BR63" s="206"/>
      <c r="BS63" s="250">
        <f t="shared" si="1"/>
        <v>-0.2512437835</v>
      </c>
      <c r="BT63" s="250">
        <f t="shared" si="2"/>
        <v>0.7463476285</v>
      </c>
      <c r="BU63" s="206"/>
      <c r="BV63" s="207">
        <f>IFERROR(__xludf.DUMMYFUNCTION("AVERAGE(ARRAYFORMULA(XLOOKUP(FILTER(INDIRECT(""'""&amp;BV$1&amp;""'!$C$4:$C$66""),INDIRECT(""'""&amp;BV$1&amp;""'!$D$4:$D$66"")=BV$2),$G$3:$BQ$3,$G63:$BQ63)))"),0.09203979999999998)</f>
        <v>0.0920398</v>
      </c>
      <c r="BW63" s="207" t="str">
        <f>IFERROR(__xludf.DUMMYFUNCTION("IF(OR(BV63&gt;$BS63+$BT63*$BT$2,BV63&lt;$BS63-$BT63*$BT$2),AVEDEV(ARRAYFORMULA(XLOOKUP(FILTER(INDIRECT(""'""&amp;BV$1&amp;""'!$C$4:$C$66""),INDIRECT(""'""&amp;BV$1&amp;""'!$D$4:$D$66"")=BV$2),$G$3:$BQ$3,$G63:$BQ63))),"""")"),"")</f>
        <v/>
      </c>
      <c r="BX63" s="207">
        <f>IFERROR(__xludf.DUMMYFUNCTION("AVERAGE(ARRAYFORMULA(XLOOKUP(FILTER(INDIRECT(""'""&amp;BX$1&amp;""'!$C$4:$C$66""),INDIRECT(""'""&amp;BX$1&amp;""'!$D$4:$D$66"")=BX$2),$G$3:$BQ$3,$G63:$BQ63)))"),-0.15653873833333337)</f>
        <v>-0.1565387383</v>
      </c>
      <c r="BY63" s="207" t="str">
        <f>IFERROR(__xludf.DUMMYFUNCTION("IF(OR(BX63&gt;$BS63+$BT63*$BT$2,BX63&lt;$BS63-$BT63*$BT$2),AVEDEV(ARRAYFORMULA(XLOOKUP(FILTER(INDIRECT(""'""&amp;BX$1&amp;""'!$C$4:$C$66""),INDIRECT(""'""&amp;BX$1&amp;""'!$D$4:$D$66"")=BX$2),$G$3:$BQ$3,$G63:$BQ63))),"""")"),"")</f>
        <v/>
      </c>
      <c r="BZ63" s="207">
        <f>IFERROR(__xludf.DUMMYFUNCTION("AVERAGE(ARRAYFORMULA(XLOOKUP(FILTER(INDIRECT(""'""&amp;BZ$1&amp;""'!$C$4:$C$66""),INDIRECT(""'""&amp;BZ$1&amp;""'!$D$4:$D$66"")=BZ$2),$G$3:$BQ$3,$G63:$BQ63)))"),-0.5227272772727273)</f>
        <v>-0.5227272773</v>
      </c>
      <c r="CA63" s="207" t="str">
        <f>IFERROR(__xludf.DUMMYFUNCTION("IF(OR(BZ63&gt;$BS63+$BT63*$BT$2,BZ63&lt;$BS63-$BT63*$BT$2),AVEDEV(ARRAYFORMULA(XLOOKUP(FILTER(INDIRECT(""'""&amp;BZ$1&amp;""'!$C$4:$C$66""),INDIRECT(""'""&amp;BZ$1&amp;""'!$D$4:$D$66"")=BZ$2),$G$3:$BQ$3,$G63:$BQ63))),"""")"),"")</f>
        <v/>
      </c>
      <c r="CB63" s="209"/>
      <c r="CC63" s="207">
        <f>IFERROR(__xludf.DUMMYFUNCTION("AVERAGE(ARRAYFORMULA(XLOOKUP(FILTER(INDIRECT(""'""&amp;CC$1&amp;""'!$C$4:$C$66""),INDIRECT(""'""&amp;CC$1&amp;""'!$D$4:$D$66"")=CC$2),$G$3:$BQ$3,$G63:$BQ63)))"),0.126787933125)</f>
        <v>0.1267879331</v>
      </c>
      <c r="CD63" s="207" t="str">
        <f>IFERROR(__xludf.DUMMYFUNCTION("IF(OR(CC63&gt;$BS63+$BT63*$BT$2,CC63&lt;$BS63-$BT63*$BT$2),AVEDEV(ARRAYFORMULA(XLOOKUP(FILTER(INDIRECT(""'""&amp;CC$1&amp;""'!$C$4:$C$66""),INDIRECT(""'""&amp;CC$1&amp;""'!$D$4:$D$66"")=CC$2),$G$3:$BQ$3,$G63:$BQ63))),"""")"),"")</f>
        <v/>
      </c>
      <c r="CE63" s="207">
        <f>IFERROR(__xludf.DUMMYFUNCTION("AVERAGE(ARRAYFORMULA(XLOOKUP(FILTER(INDIRECT(""'""&amp;CE$1&amp;""'!$C$4:$C$66""),INDIRECT(""'""&amp;CE$1&amp;""'!$D$4:$D$66"")=CE$2),$G$3:$BQ$3,$G63:$BQ63)))"),-0.3935162922580646)</f>
        <v>-0.3935162923</v>
      </c>
      <c r="CF63" s="207" t="str">
        <f>IFERROR(__xludf.DUMMYFUNCTION("IF(OR(CE63&gt;$BS63+$BT63*$BT$2,CE63&lt;$BS63-$BT63*$BT$2),AVEDEV(ARRAYFORMULA(XLOOKUP(FILTER(INDIRECT(""'""&amp;CE$1&amp;""'!$C$4:$C$66""),INDIRECT(""'""&amp;CE$1&amp;""'!$D$4:$D$66"")=CE$2),$G$3:$BQ$3,$G63:$BQ63))),"""")"),"")</f>
        <v/>
      </c>
      <c r="CG63" s="207">
        <f>IFERROR(__xludf.DUMMYFUNCTION("AVERAGE(ARRAYFORMULA(XLOOKUP(FILTER(INDIRECT(""'""&amp;CG$1&amp;""'!$C$4:$C$66""),INDIRECT(""'""&amp;CG$1&amp;""'!$D$4:$D$66"")=CG$2),$G$3:$BQ$3,$G63:$BQ63)))"),0.035323364000000024)</f>
        <v>0.035323364</v>
      </c>
      <c r="CH63" s="207" t="str">
        <f>IFERROR(__xludf.DUMMYFUNCTION("IF(OR(CG63&gt;$BS63+$BT63*$BT$2,CG63&lt;$BS63-$BT63*$BT$2),AVEDEV(ARRAYFORMULA(XLOOKUP(FILTER(INDIRECT(""'""&amp;CG$1&amp;""'!$C$4:$C$66""),INDIRECT(""'""&amp;CG$1&amp;""'!$D$4:$D$66"")=CG$2),$G$3:$BQ$3,$G63:$BQ63))),"""")"),"")</f>
        <v/>
      </c>
      <c r="CI63" s="206"/>
      <c r="CJ63" s="251">
        <f>IFERROR(__xludf.DUMMYFUNCTION("AVERAGE(ARRAYFORMULA(XLOOKUP(FILTER(INDIRECT(""'""&amp;CJ$1&amp;""'!$C$4:$C$66""),INDIRECT(""'""&amp;CJ$1&amp;""'!$D$4:$D$66"")=CJ$2),$G$3:$BQ$3,$G63:$BQ63)))"),-0.19386401533333333)</f>
        <v>-0.1938640153</v>
      </c>
      <c r="CK63" s="207" t="str">
        <f>IFERROR(__xludf.DUMMYFUNCTION("IF(OR(CJ63&gt;$BS63+$BT63*$BT$2,CJ63&lt;$BS63-$BT63*$BT$2),AVEDEV(ARRAYFORMULA(XLOOKUP(FILTER(INDIRECT(""'""&amp;CJ$1&amp;""'!$C$4:$C$66""),INDIRECT(""'""&amp;CJ$1&amp;""'!$D$4:$D$66"")=CJ$2),$G$3:$BQ$3,$G63:$BQ63))),"""")"),"")</f>
        <v/>
      </c>
      <c r="CL63" s="251">
        <f>IFERROR(__xludf.DUMMYFUNCTION("AVERAGE(ARRAYFORMULA(XLOOKUP(FILTER(INDIRECT(""'""&amp;CL$1&amp;""'!$C$4:$C$66""),INDIRECT(""'""&amp;CL$1&amp;""'!$D$4:$D$66"")=CL$2),$G$3:$BQ$3,$G63:$BQ63)))"),-0.19756984487179485)</f>
        <v>-0.1975698449</v>
      </c>
      <c r="CM63" s="207" t="str">
        <f>IFERROR(__xludf.DUMMYFUNCTION("IF(OR(CL63&gt;$BS63+$BT63*$BT$2,CL63&lt;$BS63-$BT63*$BT$2),AVEDEV(ARRAYFORMULA(XLOOKUP(FILTER(INDIRECT(""'""&amp;CL$1&amp;""'!$C$4:$C$66""),INDIRECT(""'""&amp;CL$1&amp;""'!$D$4:$D$66"")=CL$2),$G$3:$BQ$3,$G63:$BQ63))),"""")"),"")</f>
        <v/>
      </c>
      <c r="CN63" s="251">
        <f>IFERROR(__xludf.DUMMYFUNCTION("AVERAGE(ARRAYFORMULA(XLOOKUP(FILTER(INDIRECT(""'""&amp;CN$1&amp;""'!$C$4:$C$66""),INDIRECT(""'""&amp;CN$1&amp;""'!$D$4:$D$66"")=CN$2),$G$3:$BQ$3,$G63:$BQ63)))"),0.035323364000000024)</f>
        <v>0.035323364</v>
      </c>
      <c r="CO63" s="207" t="str">
        <f>IFERROR(__xludf.DUMMYFUNCTION("IF(OR(CN63&gt;$BS63+$BT63*$BT$2,CN63&lt;$BS63-$BT63*$BT$2),AVEDEV(ARRAYFORMULA(XLOOKUP(FILTER(INDIRECT(""'""&amp;CN$1&amp;""'!$C$4:$C$66""),INDIRECT(""'""&amp;CN$1&amp;""'!$D$4:$D$66"")=CN$2),$G$3:$BQ$3,$G63:$BQ63))),"""")"),"")</f>
        <v/>
      </c>
      <c r="CP63" s="252"/>
      <c r="CQ63" s="251">
        <f>IFERROR(__xludf.DUMMYFUNCTION("AVERAGE(ARRAYFORMULA(XLOOKUP(FILTER(INDIRECT(""'""&amp;CQ$1&amp;""'!$C$4:$C$66""),INDIRECT(""'""&amp;CQ$1&amp;""'!$D$4:$D$66"")=CQ$2),$G$3:$BQ$3,$G63:$BQ63)))"),0.21401918928571417)</f>
        <v>0.2140191893</v>
      </c>
      <c r="CR63" s="207" t="str">
        <f>IFERROR(__xludf.DUMMYFUNCTION("IF(OR(CQ63&gt;$BS63+$BT63*$BT$2,CQ63&lt;$BS63-$BT63*$BT$2),AVEDEV(ARRAYFORMULA(XLOOKUP(FILTER(INDIRECT(""'""&amp;CQ$1&amp;""'!$C$4:$C$66""),INDIRECT(""'""&amp;CQ$1&amp;""'!$D$4:$D$66"")=CQ$2),$G$3:$BQ$3,$G63:$BQ63))),"""")"),"")</f>
        <v/>
      </c>
      <c r="CS63" s="251">
        <f>IFERROR(__xludf.DUMMYFUNCTION("AVERAGE(ARRAYFORMULA(XLOOKUP(FILTER(INDIRECT(""'""&amp;CS$1&amp;""'!$C$4:$C$66""),INDIRECT(""'""&amp;CS$1&amp;""'!$D$4:$D$66"")=CS$2),$G$3:$BQ$3,$G63:$BQ63)))"),-0.29311774999999995)</f>
        <v>-0.29311775</v>
      </c>
      <c r="CT63" s="207" t="str">
        <f>IFERROR(__xludf.DUMMYFUNCTION("IF(OR(CS63&gt;$BS63+$BT63*$BT$2,CS63&lt;$BS63-$BT63*$BT$2),AVEDEV(ARRAYFORMULA(XLOOKUP(FILTER(INDIRECT(""'""&amp;CS$1&amp;""'!$C$4:$C$66""),INDIRECT(""'""&amp;CS$1&amp;""'!$D$4:$D$66"")=CS$2),$G$3:$BQ$3,$G63:$BQ63))),"""")"),"")</f>
        <v/>
      </c>
      <c r="CU63" s="251">
        <f>IFERROR(__xludf.DUMMYFUNCTION("AVERAGE(ARRAYFORMULA(XLOOKUP(FILTER(INDIRECT(""'""&amp;CU$1&amp;""'!$C$4:$C$66""),INDIRECT(""'""&amp;CU$1&amp;""'!$D$4:$D$66"")=CU$2),$G$3:$BQ$3,$G63:$BQ63)))"),-0.5950927227272728)</f>
        <v>-0.5950927227</v>
      </c>
      <c r="CV63" s="207" t="str">
        <f>IFERROR(__xludf.DUMMYFUNCTION("IF(OR(CU63&gt;$BS63+$BT63*$BT$2,CU63&lt;$BS63-$BT63*$BT$2),AVEDEV(ARRAYFORMULA(XLOOKUP(FILTER(INDIRECT(""'""&amp;CU$1&amp;""'!$C$4:$C$66""),INDIRECT(""'""&amp;CU$1&amp;""'!$D$4:$D$66"")=CU$2),$G$3:$BQ$3,$G63:$BQ63))),"""")"),"")</f>
        <v/>
      </c>
      <c r="CW63" s="251">
        <f>IFERROR(__xludf.DUMMYFUNCTION("AVERAGE(ARRAYFORMULA(XLOOKUP(FILTER(INDIRECT(""'""&amp;CW$1&amp;""'!$C$4:$C$66""),INDIRECT(""'""&amp;CW$1&amp;""'!$D$4:$D$66"")=CW$2),$G$3:$BQ$3,$G63:$BQ63)))"),-0.11318409500000001)</f>
        <v>-0.113184095</v>
      </c>
      <c r="CX63" s="207" t="str">
        <f>IFERROR(__xludf.DUMMYFUNCTION("IF(OR(CW63&gt;$BS63+$BT63*$BT$2,CW63&lt;$BS63-$BT63*$BT$2),AVEDEV(ARRAYFORMULA(XLOOKUP(FILTER(INDIRECT(""'""&amp;CW$1&amp;""'!$C$4:$C$66""),INDIRECT(""'""&amp;CW$1&amp;""'!$D$4:$D$66"")=CW$2),$G$3:$BQ$3,$G63:$BQ63))),"""")"),"")</f>
        <v/>
      </c>
      <c r="CY63" s="251">
        <f>IFERROR(__xludf.DUMMYFUNCTION("AVERAGE(ARRAYFORMULA(XLOOKUP(FILTER(INDIRECT(""'""&amp;CY$1&amp;""'!$C$4:$C$66""),INDIRECT(""'""&amp;CY$1&amp;""'!$D$4:$D$66"")=CY$2),$G$3:$BQ$3,$G63:$BQ63)))"),-0.42910447999999995)</f>
        <v>-0.42910448</v>
      </c>
      <c r="CZ63" s="207" t="str">
        <f>IFERROR(__xludf.DUMMYFUNCTION("IF(OR(CY63&gt;$BS63+$BT63*$BT$2,CY63&lt;$BS63-$BT63*$BT$2),AVEDEV(ARRAYFORMULA(XLOOKUP(FILTER(INDIRECT(""'""&amp;CY$1&amp;""'!$C$4:$C$66""),INDIRECT(""'""&amp;CY$1&amp;""'!$D$4:$D$66"")=CY$2),$G$3:$BQ$3,$G63:$BQ63))),"""")"),"")</f>
        <v/>
      </c>
      <c r="DA63" s="252"/>
      <c r="DB63" s="251">
        <f>IFERROR(__xludf.DUMMYFUNCTION("AVERAGE(ARRAYFORMULA(XLOOKUP(FILTER(INDIRECT(""'""&amp;DB$1&amp;""'!$C$4:$C$66""),INDIRECT(""'""&amp;DB$1&amp;""'!$D$4:$D$66"")=DB$2),$G$3:$BQ$3,$G63:$BQ63)))"),-0.06733001999999999)</f>
        <v>-0.06733002</v>
      </c>
      <c r="DC63" s="207" t="str">
        <f>IFERROR(__xludf.DUMMYFUNCTION("IF(OR(DB63&gt;$BS63+$BT63*$BT$2,DB63&lt;$BS63-$BT63*$BT$2),AVEDEV(ARRAYFORMULA(XLOOKUP(FILTER(INDIRECT(""'""&amp;DB$1&amp;""'!$C$4:$C$66""),INDIRECT(""'""&amp;DB$1&amp;""'!$D$4:$D$66"")=DB$2),$G$3:$BQ$3,$G63:$BQ63))),"""")"),"")</f>
        <v/>
      </c>
      <c r="DD63" s="251">
        <f>IFERROR(__xludf.DUMMYFUNCTION("AVERAGE(ARRAYFORMULA(XLOOKUP(FILTER(INDIRECT(""'""&amp;DD$1&amp;""'!$C$4:$C$66""),INDIRECT(""'""&amp;DD$1&amp;""'!$D$4:$D$66"")=DD$2),$G$3:$BQ$3,$G63:$BQ63)))"),-0.29063018777777777)</f>
        <v>-0.2906301878</v>
      </c>
      <c r="DE63" s="207" t="str">
        <f>IFERROR(__xludf.DUMMYFUNCTION("IF(OR(DD63&gt;$BS63+$BT63*$BT$2,DD63&lt;$BS63-$BT63*$BT$2),AVEDEV(ARRAYFORMULA(XLOOKUP(FILTER(INDIRECT(""'""&amp;DD$1&amp;""'!$C$4:$C$66""),INDIRECT(""'""&amp;DD$1&amp;""'!$D$4:$D$66"")=DD$2),$G$3:$BQ$3,$G63:$BQ63))),"""")"),"")</f>
        <v/>
      </c>
      <c r="DF63" s="251">
        <f>IFERROR(__xludf.DUMMYFUNCTION("AVERAGE(ARRAYFORMULA(XLOOKUP(FILTER(INDIRECT(""'""&amp;DF$1&amp;""'!$C$4:$C$66""),INDIRECT(""'""&amp;DF$1&amp;""'!$D$4:$D$66"")=DF$2),$G$3:$BQ$3,$G63:$BQ63)))"),-0.65531716625)</f>
        <v>-0.6553171663</v>
      </c>
      <c r="DG63" s="207" t="str">
        <f>IFERROR(__xludf.DUMMYFUNCTION("IF(OR(DF63&gt;$BS63+$BT63*$BT$2,DF63&lt;$BS63-$BT63*$BT$2),AVEDEV(ARRAYFORMULA(XLOOKUP(FILTER(INDIRECT(""'""&amp;DF$1&amp;""'!$C$4:$C$66""),INDIRECT(""'""&amp;DF$1&amp;""'!$D$4:$D$66"")=DF$2),$G$3:$BQ$3,$G63:$BQ63))),"""")"),"")</f>
        <v/>
      </c>
      <c r="DH63" s="251">
        <f>IFERROR(__xludf.DUMMYFUNCTION("AVERAGE(ARRAYFORMULA(XLOOKUP(FILTER(INDIRECT(""'""&amp;DH$1&amp;""'!$C$4:$C$66""),INDIRECT(""'""&amp;DH$1&amp;""'!$D$4:$D$66"")=DH$2),$G$3:$BQ$3,$G63:$BQ63)))"),-0.1640409077777778)</f>
        <v>-0.1640409078</v>
      </c>
      <c r="DI63" s="207" t="str">
        <f>IFERROR(__xludf.DUMMYFUNCTION("IF(OR(DH63&gt;$BS63+$BT63*$BT$2,DH63&lt;$BS63-$BT63*$BT$2),AVEDEV(ARRAYFORMULA(XLOOKUP(FILTER(INDIRECT(""'""&amp;DH$1&amp;""'!$C$4:$C$66""),INDIRECT(""'""&amp;DH$1&amp;""'!$D$4:$D$66"")=DH$2),$G$3:$BQ$3,$G63:$BQ63))),"""")"),"")</f>
        <v/>
      </c>
      <c r="DJ63" s="243"/>
    </row>
    <row r="64">
      <c r="A64" s="2"/>
      <c r="B64" s="204">
        <v>60.0</v>
      </c>
      <c r="C64" s="204" t="s">
        <v>482</v>
      </c>
      <c r="D64" s="204" t="s">
        <v>504</v>
      </c>
      <c r="E64" s="205" t="b">
        <f>VLOOKUP(D64,'Feature Set List'!A61:C246,2,0)</f>
        <v>1</v>
      </c>
      <c r="F64" s="205" t="b">
        <f>VLOOKUP(D64,'Feature Set List'!A61:C246,3,0)</f>
        <v>1</v>
      </c>
      <c r="G64" s="205">
        <v>0.25844595</v>
      </c>
      <c r="H64" s="205">
        <v>0.55405405</v>
      </c>
      <c r="I64" s="205">
        <v>0.07263514</v>
      </c>
      <c r="J64" s="205">
        <v>0.31081081</v>
      </c>
      <c r="K64" s="205">
        <v>0.21621622</v>
      </c>
      <c r="L64" s="205">
        <v>-0.4290541</v>
      </c>
      <c r="M64" s="205">
        <v>-0.0219595</v>
      </c>
      <c r="N64" s="205">
        <v>0.14189189</v>
      </c>
      <c r="O64" s="205">
        <v>0.23986486</v>
      </c>
      <c r="P64" s="205">
        <v>-0.5067568</v>
      </c>
      <c r="Q64" s="205">
        <v>0.62162162</v>
      </c>
      <c r="R64" s="205">
        <v>0.25506757</v>
      </c>
      <c r="S64" s="205">
        <v>-0.0793919</v>
      </c>
      <c r="T64" s="205">
        <v>-0.3581081</v>
      </c>
      <c r="U64" s="205">
        <v>-0.7719595</v>
      </c>
      <c r="V64" s="205">
        <v>-0.0456081</v>
      </c>
      <c r="W64" s="205">
        <v>-0.6081081</v>
      </c>
      <c r="X64" s="205">
        <v>3.75337838</v>
      </c>
      <c r="Y64" s="205">
        <v>-0.8614865</v>
      </c>
      <c r="Z64" s="205">
        <v>0.58952703</v>
      </c>
      <c r="AA64" s="205">
        <v>1.28378378</v>
      </c>
      <c r="AB64" s="205">
        <v>-0.6283784</v>
      </c>
      <c r="AC64" s="205">
        <v>-0.6351351</v>
      </c>
      <c r="AD64" s="205">
        <v>0.45101351</v>
      </c>
      <c r="AE64" s="205">
        <v>0.0</v>
      </c>
      <c r="AF64" s="205">
        <v>-0.3445946</v>
      </c>
      <c r="AG64" s="205">
        <v>0.6875</v>
      </c>
      <c r="AH64" s="205">
        <v>-0.7128378</v>
      </c>
      <c r="AI64" s="205">
        <v>-0.5388514</v>
      </c>
      <c r="AJ64" s="205">
        <v>-0.6739865</v>
      </c>
      <c r="AK64" s="205">
        <v>0.55912162</v>
      </c>
      <c r="AL64" s="205">
        <v>-0.4831081</v>
      </c>
      <c r="AM64" s="205">
        <v>2.23310811</v>
      </c>
      <c r="AN64" s="205">
        <v>-0.5135135</v>
      </c>
      <c r="AO64" s="205">
        <v>0.01858108</v>
      </c>
      <c r="AP64" s="205">
        <v>-0.1317568</v>
      </c>
      <c r="AQ64" s="205">
        <v>0.96959459</v>
      </c>
      <c r="AR64" s="205">
        <v>0.82432432</v>
      </c>
      <c r="AS64" s="205">
        <v>-0.3597973</v>
      </c>
      <c r="AT64" s="205">
        <v>0.00675676</v>
      </c>
      <c r="AU64" s="205">
        <v>1.14358108</v>
      </c>
      <c r="AV64" s="205">
        <v>-1.1756757</v>
      </c>
      <c r="AW64" s="205">
        <v>0.52871622</v>
      </c>
      <c r="AX64" s="205">
        <v>0.52702703</v>
      </c>
      <c r="AY64" s="205">
        <v>1.72466216</v>
      </c>
      <c r="AZ64" s="205">
        <v>3.3902027</v>
      </c>
      <c r="BA64" s="205">
        <v>-0.5608108</v>
      </c>
      <c r="BB64" s="205">
        <v>-0.5084459</v>
      </c>
      <c r="BC64" s="205">
        <v>0.0777027</v>
      </c>
      <c r="BD64" s="205">
        <v>-0.5388514</v>
      </c>
      <c r="BE64" s="205">
        <v>0.08277027</v>
      </c>
      <c r="BF64" s="205">
        <v>-0.4662162</v>
      </c>
      <c r="BG64" s="205">
        <v>-0.6435811</v>
      </c>
      <c r="BH64" s="205">
        <v>0.25337838</v>
      </c>
      <c r="BI64" s="205">
        <v>0.43412162</v>
      </c>
      <c r="BJ64" s="205">
        <v>0.83952703</v>
      </c>
      <c r="BK64" s="205">
        <v>-0.125</v>
      </c>
      <c r="BL64" s="205">
        <v>-0.6638514</v>
      </c>
      <c r="BM64" s="205">
        <v>-0.8800676</v>
      </c>
      <c r="BN64" s="205">
        <v>-0.222973</v>
      </c>
      <c r="BO64" s="205">
        <v>0.26351351</v>
      </c>
      <c r="BP64" s="205">
        <v>-0.5337838</v>
      </c>
      <c r="BQ64" s="205">
        <v>-0.4915541</v>
      </c>
      <c r="BR64" s="206"/>
      <c r="BS64" s="250">
        <f t="shared" si="1"/>
        <v>0.1237666173</v>
      </c>
      <c r="BT64" s="250">
        <f t="shared" si="2"/>
        <v>0.6297181584</v>
      </c>
      <c r="BU64" s="206"/>
      <c r="BV64" s="207">
        <f>IFERROR(__xludf.DUMMYFUNCTION("AVERAGE(ARRAYFORMULA(XLOOKUP(FILTER(INDIRECT(""'""&amp;BV$1&amp;""'!$C$4:$C$66""),INDIRECT(""'""&amp;BV$1&amp;""'!$D$4:$D$66"")=BV$2),$G$3:$BQ$3,$G64:$BQ64)))"),0.5193050128571428)</f>
        <v>0.5193050129</v>
      </c>
      <c r="BW64" s="207" t="str">
        <f>IFERROR(__xludf.DUMMYFUNCTION("IF(OR(BV64&gt;$BS64+$BT64*$BT$2,BV64&lt;$BS64-$BT64*$BT$2),AVEDEV(ARRAYFORMULA(XLOOKUP(FILTER(INDIRECT(""'""&amp;BV$1&amp;""'!$C$4:$C$66""),INDIRECT(""'""&amp;BV$1&amp;""'!$D$4:$D$66"")=BV$2),$G$3:$BQ$3,$G64:$BQ64))),"""")"),"")</f>
        <v/>
      </c>
      <c r="BX64" s="207">
        <f>IFERROR(__xludf.DUMMYFUNCTION("AVERAGE(ARRAYFORMULA(XLOOKUP(FILTER(INDIRECT(""'""&amp;BX$1&amp;""'!$C$4:$C$66""),INDIRECT(""'""&amp;BX$1&amp;""'!$D$4:$D$66"")=BX$2),$G$3:$BQ$3,$G64:$BQ64)))"),0.10493081976190476)</f>
        <v>0.1049308198</v>
      </c>
      <c r="BY64" s="207" t="str">
        <f>IFERROR(__xludf.DUMMYFUNCTION("IF(OR(BX64&gt;$BS64+$BT64*$BT$2,BX64&lt;$BS64-$BT64*$BT$2),AVEDEV(ARRAYFORMULA(XLOOKUP(FILTER(INDIRECT(""'""&amp;BX$1&amp;""'!$C$4:$C$66""),INDIRECT(""'""&amp;BX$1&amp;""'!$D$4:$D$66"")=BX$2),$G$3:$BQ$3,$G64:$BQ64))),"""")"),"")</f>
        <v/>
      </c>
      <c r="BZ64" s="207">
        <f>IFERROR(__xludf.DUMMYFUNCTION("AVERAGE(ARRAYFORMULA(XLOOKUP(FILTER(INDIRECT(""'""&amp;BZ$1&amp;""'!$C$4:$C$66""),INDIRECT(""'""&amp;BZ$1&amp;""'!$D$4:$D$66"")=BZ$2),$G$3:$BQ$3,$G64:$BQ64)))"),-0.08384522272727273)</f>
        <v>-0.08384522273</v>
      </c>
      <c r="CA64" s="207" t="str">
        <f>IFERROR(__xludf.DUMMYFUNCTION("IF(OR(BZ64&gt;$BS64+$BT64*$BT$2,BZ64&lt;$BS64-$BT64*$BT$2),AVEDEV(ARRAYFORMULA(XLOOKUP(FILTER(INDIRECT(""'""&amp;BZ$1&amp;""'!$C$4:$C$66""),INDIRECT(""'""&amp;BZ$1&amp;""'!$D$4:$D$66"")=BZ$2),$G$3:$BQ$3,$G64:$BQ64))),"""")"),"")</f>
        <v/>
      </c>
      <c r="CB64" s="209"/>
      <c r="CC64" s="207">
        <f>IFERROR(__xludf.DUMMYFUNCTION("AVERAGE(ARRAYFORMULA(XLOOKUP(FILTER(INDIRECT(""'""&amp;CC$1&amp;""'!$C$4:$C$66""),INDIRECT(""'""&amp;CC$1&amp;""'!$D$4:$D$66"")=CC$2),$G$3:$BQ$3,$G64:$BQ64)))"),0.09448901624999999)</f>
        <v>0.09448901625</v>
      </c>
      <c r="CD64" s="207" t="str">
        <f>IFERROR(__xludf.DUMMYFUNCTION("IF(OR(CC64&gt;$BS64+$BT64*$BT$2,CC64&lt;$BS64-$BT64*$BT$2),AVEDEV(ARRAYFORMULA(XLOOKUP(FILTER(INDIRECT(""'""&amp;CC$1&amp;""'!$C$4:$C$66""),INDIRECT(""'""&amp;CC$1&amp;""'!$D$4:$D$66"")=CC$2),$G$3:$BQ$3,$G64:$BQ64))),"""")"),"")</f>
        <v/>
      </c>
      <c r="CE64" s="207">
        <f>IFERROR(__xludf.DUMMYFUNCTION("AVERAGE(ARRAYFORMULA(XLOOKUP(FILTER(INDIRECT(""'""&amp;CE$1&amp;""'!$C$4:$C$66""),INDIRECT(""'""&amp;CE$1&amp;""'!$D$4:$D$66"")=CE$2),$G$3:$BQ$3,$G64:$BQ64)))"),0.1269616335483871)</f>
        <v>0.1269616335</v>
      </c>
      <c r="CF64" s="207" t="str">
        <f>IFERROR(__xludf.DUMMYFUNCTION("IF(OR(CE64&gt;$BS64+$BT64*$BT$2,CE64&lt;$BS64-$BT64*$BT$2),AVEDEV(ARRAYFORMULA(XLOOKUP(FILTER(INDIRECT(""'""&amp;CE$1&amp;""'!$C$4:$C$66""),INDIRECT(""'""&amp;CE$1&amp;""'!$D$4:$D$66"")=CE$2),$G$3:$BQ$3,$G64:$BQ64))),"""")"),"")</f>
        <v/>
      </c>
      <c r="CG64" s="207">
        <f>IFERROR(__xludf.DUMMYFUNCTION("AVERAGE(ARRAYFORMULA(XLOOKUP(FILTER(INDIRECT(""'""&amp;CG$1&amp;""'!$C$4:$C$66""),INDIRECT(""'""&amp;CG$1&amp;""'!$D$4:$D$66"")=CG$2),$G$3:$BQ$3,$G64:$BQ64)))"),-0.48581082000000003)</f>
        <v>-0.48581082</v>
      </c>
      <c r="CH64" s="207" t="str">
        <f>IFERROR(__xludf.DUMMYFUNCTION("IF(OR(CG64&gt;$BS64+$BT64*$BT$2,CG64&lt;$BS64-$BT64*$BT$2),AVEDEV(ARRAYFORMULA(XLOOKUP(FILTER(INDIRECT(""'""&amp;CG$1&amp;""'!$C$4:$C$66""),INDIRECT(""'""&amp;CG$1&amp;""'!$D$4:$D$66"")=CG$2),$G$3:$BQ$3,$G64:$BQ64))),"""")"),"")</f>
        <v/>
      </c>
      <c r="CI64" s="206"/>
      <c r="CJ64" s="251">
        <f>IFERROR(__xludf.DUMMYFUNCTION("AVERAGE(ARRAYFORMULA(XLOOKUP(FILTER(INDIRECT(""'""&amp;CJ$1&amp;""'!$C$4:$C$66""),INDIRECT(""'""&amp;CJ$1&amp;""'!$D$4:$D$66"")=CJ$2),$G$3:$BQ$3,$G64:$BQ64)))"),0.052815316000000015)</f>
        <v>0.052815316</v>
      </c>
      <c r="CK64" s="207" t="str">
        <f>IFERROR(__xludf.DUMMYFUNCTION("IF(OR(CJ64&gt;$BS64+$BT64*$BT$2,CJ64&lt;$BS64-$BT64*$BT$2),AVEDEV(ARRAYFORMULA(XLOOKUP(FILTER(INDIRECT(""'""&amp;CJ$1&amp;""'!$C$4:$C$66""),INDIRECT(""'""&amp;CJ$1&amp;""'!$D$4:$D$66"")=CJ$2),$G$3:$BQ$3,$G64:$BQ64))),"""")"),"")</f>
        <v/>
      </c>
      <c r="CL64" s="251">
        <f>IFERROR(__xludf.DUMMYFUNCTION("AVERAGE(ARRAYFORMULA(XLOOKUP(FILTER(INDIRECT(""'""&amp;CL$1&amp;""'!$C$4:$C$66""),INDIRECT(""'""&amp;CL$1&amp;""'!$D$4:$D$66"")=CL$2),$G$3:$BQ$3,$G64:$BQ64)))"),0.241554046923077)</f>
        <v>0.2415540469</v>
      </c>
      <c r="CM64" s="207" t="str">
        <f>IFERROR(__xludf.DUMMYFUNCTION("IF(OR(CL64&gt;$BS64+$BT64*$BT$2,CL64&lt;$BS64-$BT64*$BT$2),AVEDEV(ARRAYFORMULA(XLOOKUP(FILTER(INDIRECT(""'""&amp;CL$1&amp;""'!$C$4:$C$66""),INDIRECT(""'""&amp;CL$1&amp;""'!$D$4:$D$66"")=CL$2),$G$3:$BQ$3,$G64:$BQ64))),"""")"),"")</f>
        <v/>
      </c>
      <c r="CN64" s="251">
        <f>IFERROR(__xludf.DUMMYFUNCTION("AVERAGE(ARRAYFORMULA(XLOOKUP(FILTER(INDIRECT(""'""&amp;CN$1&amp;""'!$C$4:$C$66""),INDIRECT(""'""&amp;CN$1&amp;""'!$D$4:$D$66"")=CN$2),$G$3:$BQ$3,$G64:$BQ64)))"),-0.48581082000000003)</f>
        <v>-0.48581082</v>
      </c>
      <c r="CO64" s="207" t="str">
        <f>IFERROR(__xludf.DUMMYFUNCTION("IF(OR(CN64&gt;$BS64+$BT64*$BT$2,CN64&lt;$BS64-$BT64*$BT$2),AVEDEV(ARRAYFORMULA(XLOOKUP(FILTER(INDIRECT(""'""&amp;CN$1&amp;""'!$C$4:$C$66""),INDIRECT(""'""&amp;CN$1&amp;""'!$D$4:$D$66"")=CN$2),$G$3:$BQ$3,$G64:$BQ64))),"""")"),"")</f>
        <v/>
      </c>
      <c r="CP64" s="252"/>
      <c r="CQ64" s="251">
        <f>IFERROR(__xludf.DUMMYFUNCTION("AVERAGE(ARRAYFORMULA(XLOOKUP(FILTER(INDIRECT(""'""&amp;CQ$1&amp;""'!$C$4:$C$66""),INDIRECT(""'""&amp;CQ$1&amp;""'!$D$4:$D$66"")=CQ$2),$G$3:$BQ$3,$G64:$BQ64)))"),0.14008204142857142)</f>
        <v>0.1400820414</v>
      </c>
      <c r="CR64" s="207" t="str">
        <f>IFERROR(__xludf.DUMMYFUNCTION("IF(OR(CQ64&gt;$BS64+$BT64*$BT$2,CQ64&lt;$BS64-$BT64*$BT$2),AVEDEV(ARRAYFORMULA(XLOOKUP(FILTER(INDIRECT(""'""&amp;CQ$1&amp;""'!$C$4:$C$66""),INDIRECT(""'""&amp;CQ$1&amp;""'!$D$4:$D$66"")=CQ$2),$G$3:$BQ$3,$G64:$BQ64))),"""")"),"")</f>
        <v/>
      </c>
      <c r="CS64" s="251">
        <f>IFERROR(__xludf.DUMMYFUNCTION("AVERAGE(ARRAYFORMULA(XLOOKUP(FILTER(INDIRECT(""'""&amp;CS$1&amp;""'!$C$4:$C$66""),INDIRECT(""'""&amp;CS$1&amp;""'!$D$4:$D$66"")=CS$2),$G$3:$BQ$3,$G64:$BQ64)))"),-0.3813813944444444)</f>
        <v>-0.3813813944</v>
      </c>
      <c r="CT64" s="207" t="str">
        <f>IFERROR(__xludf.DUMMYFUNCTION("IF(OR(CS64&gt;$BS64+$BT64*$BT$2,CS64&lt;$BS64-$BT64*$BT$2),AVEDEV(ARRAYFORMULA(XLOOKUP(FILTER(INDIRECT(""'""&amp;CS$1&amp;""'!$C$4:$C$66""),INDIRECT(""'""&amp;CS$1&amp;""'!$D$4:$D$66"")=CS$2),$G$3:$BQ$3,$G64:$BQ64))),"""")"),"")</f>
        <v/>
      </c>
      <c r="CU64" s="251">
        <f>IFERROR(__xludf.DUMMYFUNCTION("AVERAGE(ARRAYFORMULA(XLOOKUP(FILTER(INDIRECT(""'""&amp;CU$1&amp;""'!$C$4:$C$66""),INDIRECT(""'""&amp;CU$1&amp;""'!$D$4:$D$66"")=CU$2),$G$3:$BQ$3,$G64:$BQ64)))"),0.30021498727272733)</f>
        <v>0.3002149873</v>
      </c>
      <c r="CV64" s="207" t="str">
        <f>IFERROR(__xludf.DUMMYFUNCTION("IF(OR(CU64&gt;$BS64+$BT64*$BT$2,CU64&lt;$BS64-$BT64*$BT$2),AVEDEV(ARRAYFORMULA(XLOOKUP(FILTER(INDIRECT(""'""&amp;CU$1&amp;""'!$C$4:$C$66""),INDIRECT(""'""&amp;CU$1&amp;""'!$D$4:$D$66"")=CU$2),$G$3:$BQ$3,$G64:$BQ64))),"""")"),"")</f>
        <v/>
      </c>
      <c r="CW64" s="251">
        <f>IFERROR(__xludf.DUMMYFUNCTION("AVERAGE(ARRAYFORMULA(XLOOKUP(FILTER(INDIRECT(""'""&amp;CW$1&amp;""'!$C$4:$C$66""),INDIRECT(""'""&amp;CW$1&amp;""'!$D$4:$D$66"")=CW$2),$G$3:$BQ$3,$G64:$BQ64)))"),0.352195945)</f>
        <v>0.352195945</v>
      </c>
      <c r="CX64" s="207" t="str">
        <f>IFERROR(__xludf.DUMMYFUNCTION("IF(OR(CW64&gt;$BS64+$BT64*$BT$2,CW64&lt;$BS64-$BT64*$BT$2),AVEDEV(ARRAYFORMULA(XLOOKUP(FILTER(INDIRECT(""'""&amp;CW$1&amp;""'!$C$4:$C$66""),INDIRECT(""'""&amp;CW$1&amp;""'!$D$4:$D$66"")=CW$2),$G$3:$BQ$3,$G64:$BQ64))),"""")"),"")</f>
        <v/>
      </c>
      <c r="CY64" s="251">
        <f>IFERROR(__xludf.DUMMYFUNCTION("AVERAGE(ARRAYFORMULA(XLOOKUP(FILTER(INDIRECT(""'""&amp;CY$1&amp;""'!$C$4:$C$66""),INDIRECT(""'""&amp;CY$1&amp;""'!$D$4:$D$66"")=CY$2),$G$3:$BQ$3,$G64:$BQ64)))"),0.14092663428571423)</f>
        <v>0.1409266343</v>
      </c>
      <c r="CZ64" s="207" t="str">
        <f>IFERROR(__xludf.DUMMYFUNCTION("IF(OR(CY64&gt;$BS64+$BT64*$BT$2,CY64&lt;$BS64-$BT64*$BT$2),AVEDEV(ARRAYFORMULA(XLOOKUP(FILTER(INDIRECT(""'""&amp;CY$1&amp;""'!$C$4:$C$66""),INDIRECT(""'""&amp;CY$1&amp;""'!$D$4:$D$66"")=CY$2),$G$3:$BQ$3,$G64:$BQ64))),"""")"),"")</f>
        <v/>
      </c>
      <c r="DA64" s="252"/>
      <c r="DB64" s="251">
        <f>IFERROR(__xludf.DUMMYFUNCTION("AVERAGE(ARRAYFORMULA(XLOOKUP(FILTER(INDIRECT(""'""&amp;DB$1&amp;""'!$C$4:$C$66""),INDIRECT(""'""&amp;DB$1&amp;""'!$D$4:$D$66"")=DB$2),$G$3:$BQ$3,$G64:$BQ64)))"),0.005349098000000002)</f>
        <v>0.005349098</v>
      </c>
      <c r="DC64" s="207" t="str">
        <f>IFERROR(__xludf.DUMMYFUNCTION("IF(OR(DB64&gt;$BS64+$BT64*$BT$2,DB64&lt;$BS64-$BT64*$BT$2),AVEDEV(ARRAYFORMULA(XLOOKUP(FILTER(INDIRECT(""'""&amp;DB$1&amp;""'!$C$4:$C$66""),INDIRECT(""'""&amp;DB$1&amp;""'!$D$4:$D$66"")=DB$2),$G$3:$BQ$3,$G64:$BQ64))),"""")"),"")</f>
        <v/>
      </c>
      <c r="DD64" s="251">
        <f>IFERROR(__xludf.DUMMYFUNCTION("AVERAGE(ARRAYFORMULA(XLOOKUP(FILTER(INDIRECT(""'""&amp;DD$1&amp;""'!$C$4:$C$66""),INDIRECT(""'""&amp;DD$1&amp;""'!$D$4:$D$66"")=DD$2),$G$3:$BQ$3,$G64:$BQ64)))"),-0.4757883055555555)</f>
        <v>-0.4757883056</v>
      </c>
      <c r="DE64" s="207" t="str">
        <f>IFERROR(__xludf.DUMMYFUNCTION("IF(OR(DD64&gt;$BS64+$BT64*$BT$2,DD64&lt;$BS64-$BT64*$BT$2),AVEDEV(ARRAYFORMULA(XLOOKUP(FILTER(INDIRECT(""'""&amp;DD$1&amp;""'!$C$4:$C$66""),INDIRECT(""'""&amp;DD$1&amp;""'!$D$4:$D$66"")=DD$2),$G$3:$BQ$3,$G64:$BQ64))),"""")"),"")</f>
        <v/>
      </c>
      <c r="DF64" s="251">
        <f>IFERROR(__xludf.DUMMYFUNCTION("AVERAGE(ARRAYFORMULA(XLOOKUP(FILTER(INDIRECT(""'""&amp;DF$1&amp;""'!$C$4:$C$66""),INDIRECT(""'""&amp;DF$1&amp;""'!$D$4:$D$66"")=DF$2),$G$3:$BQ$3,$G64:$BQ64)))"),0.67103039625)</f>
        <v>0.6710303963</v>
      </c>
      <c r="DG64" s="207" t="str">
        <f>IFERROR(__xludf.DUMMYFUNCTION("IF(OR(DF64&gt;$BS64+$BT64*$BT$2,DF64&lt;$BS64-$BT64*$BT$2),AVEDEV(ARRAYFORMULA(XLOOKUP(FILTER(INDIRECT(""'""&amp;DF$1&amp;""'!$C$4:$C$66""),INDIRECT(""'""&amp;DF$1&amp;""'!$D$4:$D$66"")=DF$2),$G$3:$BQ$3,$G64:$BQ64))),"""")"),"")</f>
        <v/>
      </c>
      <c r="DH64" s="251">
        <f>IFERROR(__xludf.DUMMYFUNCTION("AVERAGE(ARRAYFORMULA(XLOOKUP(FILTER(INDIRECT(""'""&amp;DH$1&amp;""'!$C$4:$C$66""),INDIRECT(""'""&amp;DH$1&amp;""'!$D$4:$D$66"")=DH$2),$G$3:$BQ$3,$G64:$BQ64)))"),0.21565314777777778)</f>
        <v>0.2156531478</v>
      </c>
      <c r="DI64" s="207" t="str">
        <f>IFERROR(__xludf.DUMMYFUNCTION("IF(OR(DH64&gt;$BS64+$BT64*$BT$2,DH64&lt;$BS64-$BT64*$BT$2),AVEDEV(ARRAYFORMULA(XLOOKUP(FILTER(INDIRECT(""'""&amp;DH$1&amp;""'!$C$4:$C$66""),INDIRECT(""'""&amp;DH$1&amp;""'!$D$4:$D$66"")=DH$2),$G$3:$BQ$3,$G64:$BQ64))),"""")"),"")</f>
        <v/>
      </c>
      <c r="DJ64" s="243"/>
    </row>
    <row r="65">
      <c r="A65" s="2"/>
      <c r="B65" s="204">
        <v>61.0</v>
      </c>
      <c r="C65" s="204" t="s">
        <v>482</v>
      </c>
      <c r="D65" s="204" t="s">
        <v>505</v>
      </c>
      <c r="E65" s="205" t="b">
        <f>VLOOKUP(D65,'Feature Set List'!A62:C246,2,0)</f>
        <v>1</v>
      </c>
      <c r="F65" s="205" t="b">
        <f>VLOOKUP(D65,'Feature Set List'!A62:C246,3,0)</f>
        <v>1</v>
      </c>
      <c r="G65" s="205">
        <v>-0.7959572</v>
      </c>
      <c r="H65" s="205">
        <v>0.22116528</v>
      </c>
      <c r="I65" s="205">
        <v>-1.4387634</v>
      </c>
      <c r="J65" s="205">
        <v>0.41854935</v>
      </c>
      <c r="K65" s="205">
        <v>-1.2235434</v>
      </c>
      <c r="L65" s="205">
        <v>0.0</v>
      </c>
      <c r="M65" s="205">
        <v>0.00475624</v>
      </c>
      <c r="N65" s="205">
        <v>0.56123662</v>
      </c>
      <c r="O65" s="205">
        <v>1.09393579</v>
      </c>
      <c r="P65" s="205">
        <v>1.34601665</v>
      </c>
      <c r="Q65" s="205">
        <v>0.0665874</v>
      </c>
      <c r="R65" s="205">
        <v>0.80856124</v>
      </c>
      <c r="S65" s="205">
        <v>0.74435196</v>
      </c>
      <c r="T65" s="205">
        <v>0.0451843</v>
      </c>
      <c r="U65" s="205">
        <v>-1.4311534</v>
      </c>
      <c r="V65" s="205">
        <v>0.79429251</v>
      </c>
      <c r="W65" s="205">
        <v>-0.2306778</v>
      </c>
      <c r="X65" s="205">
        <v>4.31629013</v>
      </c>
      <c r="Y65" s="205">
        <v>-1.1959572</v>
      </c>
      <c r="Z65" s="205">
        <v>0.14982164</v>
      </c>
      <c r="AA65" s="205">
        <v>-0.059453</v>
      </c>
      <c r="AB65" s="205">
        <v>-0.4589774</v>
      </c>
      <c r="AC65" s="205">
        <v>-0.6461356</v>
      </c>
      <c r="AD65" s="205">
        <v>-0.2116528</v>
      </c>
      <c r="AE65" s="205">
        <v>-0.2734839</v>
      </c>
      <c r="AF65" s="205">
        <v>0.15219976</v>
      </c>
      <c r="AG65" s="205">
        <v>-0.0118906</v>
      </c>
      <c r="AH65" s="205">
        <v>-0.7543401</v>
      </c>
      <c r="AI65" s="205">
        <v>0.32104637</v>
      </c>
      <c r="AJ65" s="205">
        <v>0.11890606</v>
      </c>
      <c r="AK65" s="205">
        <v>0.40665874</v>
      </c>
      <c r="AL65" s="205">
        <v>-0.6760999</v>
      </c>
      <c r="AM65" s="205">
        <v>0.07134364</v>
      </c>
      <c r="AN65" s="205">
        <v>-0.0642093</v>
      </c>
      <c r="AO65" s="205">
        <v>0.5136742</v>
      </c>
      <c r="AP65" s="205">
        <v>-0.0903686</v>
      </c>
      <c r="AQ65" s="205">
        <v>-0.0689655</v>
      </c>
      <c r="AR65" s="205">
        <v>3.3412604</v>
      </c>
      <c r="AS65" s="205">
        <v>0.16409037</v>
      </c>
      <c r="AT65" s="205">
        <v>-0.0998811</v>
      </c>
      <c r="AU65" s="205">
        <v>3.38644471</v>
      </c>
      <c r="AV65" s="205">
        <v>-0.1117717</v>
      </c>
      <c r="AW65" s="205">
        <v>1.60047562</v>
      </c>
      <c r="AX65" s="205">
        <v>1.11058264</v>
      </c>
      <c r="AY65" s="205">
        <v>7.07491082</v>
      </c>
      <c r="AZ65" s="205">
        <v>1.17241379</v>
      </c>
      <c r="BA65" s="205">
        <v>-0.4042806</v>
      </c>
      <c r="BB65" s="205">
        <v>-1.4033294</v>
      </c>
      <c r="BC65" s="205">
        <v>0.90130797</v>
      </c>
      <c r="BD65" s="205">
        <v>-0.9426873</v>
      </c>
      <c r="BE65" s="205">
        <v>0.43995244</v>
      </c>
      <c r="BF65" s="205">
        <v>-1.0763377</v>
      </c>
      <c r="BG65" s="205">
        <v>-0.8806183</v>
      </c>
      <c r="BH65" s="205">
        <v>-0.4661118</v>
      </c>
      <c r="BI65" s="205">
        <v>1.38644471</v>
      </c>
      <c r="BJ65" s="205">
        <v>3.10820452</v>
      </c>
      <c r="BK65" s="205">
        <v>0.12366231</v>
      </c>
      <c r="BL65" s="205">
        <v>-0.7828775</v>
      </c>
      <c r="BM65" s="205">
        <v>-1.1117717</v>
      </c>
      <c r="BN65" s="205">
        <v>-0.1950059</v>
      </c>
      <c r="BO65" s="205">
        <v>-0.8901308</v>
      </c>
      <c r="BP65" s="205">
        <v>-0.0047562</v>
      </c>
      <c r="BQ65" s="205">
        <v>-0.0142687</v>
      </c>
      <c r="BR65" s="206"/>
      <c r="BS65" s="250">
        <f t="shared" si="1"/>
        <v>0.2849027044</v>
      </c>
      <c r="BT65" s="250">
        <f t="shared" si="2"/>
        <v>0.9163064885</v>
      </c>
      <c r="BU65" s="206"/>
      <c r="BV65" s="207">
        <f>IFERROR(__xludf.DUMMYFUNCTION("AVERAGE(ARRAYFORMULA(XLOOKUP(FILTER(INDIRECT(""'""&amp;BV$1&amp;""'!$C$4:$C$66""),INDIRECT(""'""&amp;BV$1&amp;""'!$D$4:$D$66"")=BV$2),$G$3:$BQ$3,$G65:$BQ65)))"),1.2467810414285714)</f>
        <v>1.246781041</v>
      </c>
      <c r="BW65" s="207">
        <f>IFERROR(__xludf.DUMMYFUNCTION("IF(OR(BV65&gt;$BS65+$BT65*$BT$2,BV65&lt;$BS65-$BT65*$BT$2),AVEDEV(ARRAYFORMULA(XLOOKUP(FILTER(INDIRECT(""'""&amp;BV$1&amp;""'!$C$4:$C$66""),INDIRECT(""'""&amp;BV$1&amp;""'!$D$4:$D$66"")=BV$2),$G$3:$BQ$3,$G65:$BQ65))),"""")"),2.5421825334693877)</f>
        <v>2.542182533</v>
      </c>
      <c r="BX65" s="207">
        <f>IFERROR(__xludf.DUMMYFUNCTION("AVERAGE(ARRAYFORMULA(XLOOKUP(FILTER(INDIRECT(""'""&amp;BX$1&amp;""'!$C$4:$C$66""),INDIRECT(""'""&amp;BX$1&amp;""'!$D$4:$D$66"")=BX$2),$G$3:$BQ$3,$G65:$BQ65)))"),0.21986863904761905)</f>
        <v>0.219868639</v>
      </c>
      <c r="BY65" s="207" t="str">
        <f>IFERROR(__xludf.DUMMYFUNCTION("IF(OR(BX65&gt;$BS65+$BT65*$BT$2,BX65&lt;$BS65-$BT65*$BT$2),AVEDEV(ARRAYFORMULA(XLOOKUP(FILTER(INDIRECT(""'""&amp;BX$1&amp;""'!$C$4:$C$66""),INDIRECT(""'""&amp;BX$1&amp;""'!$D$4:$D$66"")=BX$2),$G$3:$BQ$3,$G65:$BQ65))),"""")"),"")</f>
        <v/>
      </c>
      <c r="BZ65" s="207">
        <f>IFERROR(__xludf.DUMMYFUNCTION("AVERAGE(ARRAYFORMULA(XLOOKUP(FILTER(INDIRECT(""'""&amp;BZ$1&amp;""'!$C$4:$C$66""),INDIRECT(""'""&amp;BZ$1&amp;""'!$D$4:$D$66"")=BZ$2),$G$3:$BQ$3,$G65:$BQ65)))"),-0.09255216000000002)</f>
        <v>-0.09255216</v>
      </c>
      <c r="CA65" s="207" t="str">
        <f>IFERROR(__xludf.DUMMYFUNCTION("IF(OR(BZ65&gt;$BS65+$BT65*$BT$2,BZ65&lt;$BS65-$BT65*$BT$2),AVEDEV(ARRAYFORMULA(XLOOKUP(FILTER(INDIRECT(""'""&amp;BZ$1&amp;""'!$C$4:$C$66""),INDIRECT(""'""&amp;BZ$1&amp;""'!$D$4:$D$66"")=BZ$2),$G$3:$BQ$3,$G65:$BQ65))),"""")"),"")</f>
        <v/>
      </c>
      <c r="CB65" s="209"/>
      <c r="CC65" s="207">
        <f>IFERROR(__xludf.DUMMYFUNCTION("AVERAGE(ARRAYFORMULA(XLOOKUP(FILTER(INDIRECT(""'""&amp;CC$1&amp;""'!$C$4:$C$66""),INDIRECT(""'""&amp;CC$1&amp;""'!$D$4:$D$66"")=CC$2),$G$3:$BQ$3,$G65:$BQ65)))"),-0.084720569375)</f>
        <v>-0.08472056938</v>
      </c>
      <c r="CD65" s="207" t="str">
        <f>IFERROR(__xludf.DUMMYFUNCTION("IF(OR(CC65&gt;$BS65+$BT65*$BT$2,CC65&lt;$BS65-$BT65*$BT$2),AVEDEV(ARRAYFORMULA(XLOOKUP(FILTER(INDIRECT(""'""&amp;CC$1&amp;""'!$C$4:$C$66""),INDIRECT(""'""&amp;CC$1&amp;""'!$D$4:$D$66"")=CC$2),$G$3:$BQ$3,$G65:$BQ65))),"""")"),"")</f>
        <v/>
      </c>
      <c r="CE65" s="207">
        <f>IFERROR(__xludf.DUMMYFUNCTION("AVERAGE(ARRAYFORMULA(XLOOKUP(FILTER(INDIRECT(""'""&amp;CE$1&amp;""'!$C$4:$C$66""),INDIRECT(""'""&amp;CE$1&amp;""'!$D$4:$D$66"")=CE$2),$G$3:$BQ$3,$G65:$BQ65)))"),0.39767557709677415)</f>
        <v>0.3976755771</v>
      </c>
      <c r="CF65" s="207" t="str">
        <f>IFERROR(__xludf.DUMMYFUNCTION("IF(OR(CE65&gt;$BS65+$BT65*$BT$2,CE65&lt;$BS65-$BT65*$BT$2),AVEDEV(ARRAYFORMULA(XLOOKUP(FILTER(INDIRECT(""'""&amp;CE$1&amp;""'!$C$4:$C$66""),INDIRECT(""'""&amp;CE$1&amp;""'!$D$4:$D$66"")=CE$2),$G$3:$BQ$3,$G65:$BQ65))),"""")"),"")</f>
        <v/>
      </c>
      <c r="CG65" s="207">
        <f>IFERROR(__xludf.DUMMYFUNCTION("AVERAGE(ARRAYFORMULA(XLOOKUP(FILTER(INDIRECT(""'""&amp;CG$1&amp;""'!$C$4:$C$66""),INDIRECT(""'""&amp;CG$1&amp;""'!$D$4:$D$66"")=CG$2),$G$3:$BQ$3,$G65:$BQ65)))"),0.054078483999999996)</f>
        <v>0.054078484</v>
      </c>
      <c r="CH65" s="207" t="str">
        <f>IFERROR(__xludf.DUMMYFUNCTION("IF(OR(CG65&gt;$BS65+$BT65*$BT$2,CG65&lt;$BS65-$BT65*$BT$2),AVEDEV(ARRAYFORMULA(XLOOKUP(FILTER(INDIRECT(""'""&amp;CG$1&amp;""'!$C$4:$C$66""),INDIRECT(""'""&amp;CG$1&amp;""'!$D$4:$D$66"")=CG$2),$G$3:$BQ$3,$G65:$BQ65))),"""")"),"")</f>
        <v/>
      </c>
      <c r="CI65" s="206"/>
      <c r="CJ65" s="251">
        <f>IFERROR(__xludf.DUMMYFUNCTION("AVERAGE(ARRAYFORMULA(XLOOKUP(FILTER(INDIRECT(""'""&amp;CJ$1&amp;""'!$C$4:$C$66""),INDIRECT(""'""&amp;CJ$1&amp;""'!$D$4:$D$66"")=CJ$2),$G$3:$BQ$3,$G65:$BQ65)))"),-0.2535394406666668)</f>
        <v>-0.2535394407</v>
      </c>
      <c r="CK65" s="207" t="str">
        <f>IFERROR(__xludf.DUMMYFUNCTION("IF(OR(CJ65&gt;$BS65+$BT65*$BT$2,CJ65&lt;$BS65-$BT65*$BT$2),AVEDEV(ARRAYFORMULA(XLOOKUP(FILTER(INDIRECT(""'""&amp;CJ$1&amp;""'!$C$4:$C$66""),INDIRECT(""'""&amp;CJ$1&amp;""'!$D$4:$D$66"")=CJ$2),$G$3:$BQ$3,$G65:$BQ65))),"""")"),"")</f>
        <v/>
      </c>
      <c r="CL65" s="251">
        <f>IFERROR(__xludf.DUMMYFUNCTION("AVERAGE(ARRAYFORMULA(XLOOKUP(FILTER(INDIRECT(""'""&amp;CL$1&amp;""'!$C$4:$C$66""),INDIRECT(""'""&amp;CL$1&amp;""'!$D$4:$D$66"")=CL$2),$G$3:$BQ$3,$G65:$BQ65)))"),0.5451141810256409)</f>
        <v>0.545114181</v>
      </c>
      <c r="CM65" s="207" t="str">
        <f>IFERROR(__xludf.DUMMYFUNCTION("IF(OR(CL65&gt;$BS65+$BT65*$BT$2,CL65&lt;$BS65-$BT65*$BT$2),AVEDEV(ARRAYFORMULA(XLOOKUP(FILTER(INDIRECT(""'""&amp;CL$1&amp;""'!$C$4:$C$66""),INDIRECT(""'""&amp;CL$1&amp;""'!$D$4:$D$66"")=CL$2),$G$3:$BQ$3,$G65:$BQ65))),"""")"),"")</f>
        <v/>
      </c>
      <c r="CN65" s="251">
        <f>IFERROR(__xludf.DUMMYFUNCTION("AVERAGE(ARRAYFORMULA(XLOOKUP(FILTER(INDIRECT(""'""&amp;CN$1&amp;""'!$C$4:$C$66""),INDIRECT(""'""&amp;CN$1&amp;""'!$D$4:$D$66"")=CN$2),$G$3:$BQ$3,$G65:$BQ65)))"),0.054078483999999996)</f>
        <v>0.054078484</v>
      </c>
      <c r="CO65" s="207" t="str">
        <f>IFERROR(__xludf.DUMMYFUNCTION("IF(OR(CN65&gt;$BS65+$BT65*$BT$2,CN65&lt;$BS65-$BT65*$BT$2),AVEDEV(ARRAYFORMULA(XLOOKUP(FILTER(INDIRECT(""'""&amp;CN$1&amp;""'!$C$4:$C$66""),INDIRECT(""'""&amp;CN$1&amp;""'!$D$4:$D$66"")=CN$2),$G$3:$BQ$3,$G65:$BQ65))),"""")"),"")</f>
        <v/>
      </c>
      <c r="CP65" s="252"/>
      <c r="CQ65" s="251">
        <f>IFERROR(__xludf.DUMMYFUNCTION("AVERAGE(ARRAYFORMULA(XLOOKUP(FILTER(INDIRECT(""'""&amp;CQ$1&amp;""'!$C$4:$C$66""),INDIRECT(""'""&amp;CQ$1&amp;""'!$D$4:$D$66"")=CQ$2),$G$3:$BQ$3,$G65:$BQ65)))"),0.16071004285714288)</f>
        <v>0.1607100429</v>
      </c>
      <c r="CR65" s="207" t="str">
        <f>IFERROR(__xludf.DUMMYFUNCTION("IF(OR(CQ65&gt;$BS65+$BT65*$BT$2,CQ65&lt;$BS65-$BT65*$BT$2),AVEDEV(ARRAYFORMULA(XLOOKUP(FILTER(INDIRECT(""'""&amp;CQ$1&amp;""'!$C$4:$C$66""),INDIRECT(""'""&amp;CQ$1&amp;""'!$D$4:$D$66"")=CQ$2),$G$3:$BQ$3,$G65:$BQ65))),"""")"),"")</f>
        <v/>
      </c>
      <c r="CS65" s="251">
        <f>IFERROR(__xludf.DUMMYFUNCTION("AVERAGE(ARRAYFORMULA(XLOOKUP(FILTER(INDIRECT(""'""&amp;CS$1&amp;""'!$C$4:$C$66""),INDIRECT(""'""&amp;CS$1&amp;""'!$D$4:$D$66"")=CS$2),$G$3:$BQ$3,$G65:$BQ65)))"),-0.1198573166666667)</f>
        <v>-0.1198573167</v>
      </c>
      <c r="CT65" s="207" t="str">
        <f>IFERROR(__xludf.DUMMYFUNCTION("IF(OR(CS65&gt;$BS65+$BT65*$BT$2,CS65&lt;$BS65-$BT65*$BT$2),AVEDEV(ARRAYFORMULA(XLOOKUP(FILTER(INDIRECT(""'""&amp;CS$1&amp;""'!$C$4:$C$66""),INDIRECT(""'""&amp;CS$1&amp;""'!$D$4:$D$66"")=CS$2),$G$3:$BQ$3,$G65:$BQ65))),"""")"),"")</f>
        <v/>
      </c>
      <c r="CU65" s="251">
        <f>IFERROR(__xludf.DUMMYFUNCTION("AVERAGE(ARRAYFORMULA(XLOOKUP(FILTER(INDIRECT(""'""&amp;CU$1&amp;""'!$C$4:$C$66""),INDIRECT(""'""&amp;CU$1&amp;""'!$D$4:$D$66"")=CU$2),$G$3:$BQ$3,$G65:$BQ65)))"),-0.17392714636363635)</f>
        <v>-0.1739271464</v>
      </c>
      <c r="CV65" s="207" t="str">
        <f>IFERROR(__xludf.DUMMYFUNCTION("IF(OR(CU65&gt;$BS65+$BT65*$BT$2,CU65&lt;$BS65-$BT65*$BT$2),AVEDEV(ARRAYFORMULA(XLOOKUP(FILTER(INDIRECT(""'""&amp;CU$1&amp;""'!$C$4:$C$66""),INDIRECT(""'""&amp;CU$1&amp;""'!$D$4:$D$66"")=CU$2),$G$3:$BQ$3,$G65:$BQ65))),"""")"),"")</f>
        <v/>
      </c>
      <c r="CW65" s="251">
        <f>IFERROR(__xludf.DUMMYFUNCTION("AVERAGE(ARRAYFORMULA(XLOOKUP(FILTER(INDIRECT(""'""&amp;CW$1&amp;""'!$C$4:$C$66""),INDIRECT(""'""&amp;CW$1&amp;""'!$D$4:$D$66"")=CW$2),$G$3:$BQ$3,$G65:$BQ65)))"),-0.3388823)</f>
        <v>-0.3388823</v>
      </c>
      <c r="CX65" s="207" t="str">
        <f>IFERROR(__xludf.DUMMYFUNCTION("IF(OR(CW65&gt;$BS65+$BT65*$BT$2,CW65&lt;$BS65-$BT65*$BT$2),AVEDEV(ARRAYFORMULA(XLOOKUP(FILTER(INDIRECT(""'""&amp;CW$1&amp;""'!$C$4:$C$66""),INDIRECT(""'""&amp;CW$1&amp;""'!$D$4:$D$66"")=CW$2),$G$3:$BQ$3,$G65:$BQ65))),"""")"),"")</f>
        <v/>
      </c>
      <c r="CY65" s="251">
        <f>IFERROR(__xludf.DUMMYFUNCTION("AVERAGE(ARRAYFORMULA(XLOOKUP(FILTER(INDIRECT(""'""&amp;CY$1&amp;""'!$C$4:$C$66""),INDIRECT(""'""&amp;CY$1&amp;""'!$D$4:$D$66"")=CY$2),$G$3:$BQ$3,$G65:$BQ65)))"),0.8433837335714286)</f>
        <v>0.8433837336</v>
      </c>
      <c r="CZ65" s="207" t="str">
        <f>IFERROR(__xludf.DUMMYFUNCTION("IF(OR(CY65&gt;$BS65+$BT65*$BT$2,CY65&lt;$BS65-$BT65*$BT$2),AVEDEV(ARRAYFORMULA(XLOOKUP(FILTER(INDIRECT(""'""&amp;CY$1&amp;""'!$C$4:$C$66""),INDIRECT(""'""&amp;CY$1&amp;""'!$D$4:$D$66"")=CY$2),$G$3:$BQ$3,$G65:$BQ65))),"""")"),"")</f>
        <v/>
      </c>
      <c r="DA65" s="252"/>
      <c r="DB65" s="251">
        <f>IFERROR(__xludf.DUMMYFUNCTION("AVERAGE(ARRAYFORMULA(XLOOKUP(FILTER(INDIRECT(""'""&amp;DB$1&amp;""'!$C$4:$C$66""),INDIRECT(""'""&amp;DB$1&amp;""'!$D$4:$D$66"")=DB$2),$G$3:$BQ$3,$G65:$BQ65)))"),0.07541022666666665)</f>
        <v>0.07541022667</v>
      </c>
      <c r="DC65" s="207" t="str">
        <f>IFERROR(__xludf.DUMMYFUNCTION("IF(OR(DB65&gt;$BS65+$BT65*$BT$2,DB65&lt;$BS65-$BT65*$BT$2),AVEDEV(ARRAYFORMULA(XLOOKUP(FILTER(INDIRECT(""'""&amp;DB$1&amp;""'!$C$4:$C$66""),INDIRECT(""'""&amp;DB$1&amp;""'!$D$4:$D$66"")=DB$2),$G$3:$BQ$3,$G65:$BQ65))),"""")"),"")</f>
        <v/>
      </c>
      <c r="DD65" s="251">
        <f>IFERROR(__xludf.DUMMYFUNCTION("AVERAGE(ARRAYFORMULA(XLOOKUP(FILTER(INDIRECT(""'""&amp;DD$1&amp;""'!$C$4:$C$66""),INDIRECT(""'""&amp;DD$1&amp;""'!$D$4:$D$66"")=DD$2),$G$3:$BQ$3,$G65:$BQ65)))"),-0.13983353444444446)</f>
        <v>-0.1398335344</v>
      </c>
      <c r="DE65" s="207" t="str">
        <f>IFERROR(__xludf.DUMMYFUNCTION("IF(OR(DD65&gt;$BS65+$BT65*$BT$2,DD65&lt;$BS65-$BT65*$BT$2),AVEDEV(ARRAYFORMULA(XLOOKUP(FILTER(INDIRECT(""'""&amp;DD$1&amp;""'!$C$4:$C$66""),INDIRECT(""'""&amp;DD$1&amp;""'!$D$4:$D$66"")=DD$2),$G$3:$BQ$3,$G65:$BQ65))),"""")"),"")</f>
        <v/>
      </c>
      <c r="DF65" s="251">
        <f>IFERROR(__xludf.DUMMYFUNCTION("AVERAGE(ARRAYFORMULA(XLOOKUP(FILTER(INDIRECT(""'""&amp;DF$1&amp;""'!$C$4:$C$66""),INDIRECT(""'""&amp;DF$1&amp;""'!$D$4:$D$66"")=DF$2),$G$3:$BQ$3,$G65:$BQ65)))"),1.1903091575000002)</f>
        <v>1.190309158</v>
      </c>
      <c r="DG65" s="207" t="str">
        <f>IFERROR(__xludf.DUMMYFUNCTION("IF(OR(DF65&gt;$BS65+$BT65*$BT$2,DF65&lt;$BS65-$BT65*$BT$2),AVEDEV(ARRAYFORMULA(XLOOKUP(FILTER(INDIRECT(""'""&amp;DF$1&amp;""'!$C$4:$C$66""),INDIRECT(""'""&amp;DF$1&amp;""'!$D$4:$D$66"")=DF$2),$G$3:$BQ$3,$G65:$BQ65))),"""")"),"")</f>
        <v/>
      </c>
      <c r="DH65" s="251">
        <f>IFERROR(__xludf.DUMMYFUNCTION("AVERAGE(ARRAYFORMULA(XLOOKUP(FILTER(INDIRECT(""'""&amp;DH$1&amp;""'!$C$4:$C$66""),INDIRECT(""'""&amp;DH$1&amp;""'!$D$4:$D$66"")=DH$2),$G$3:$BQ$3,$G65:$BQ65)))"),-0.10786101222222222)</f>
        <v>-0.1078610122</v>
      </c>
      <c r="DI65" s="207" t="str">
        <f>IFERROR(__xludf.DUMMYFUNCTION("IF(OR(DH65&gt;$BS65+$BT65*$BT$2,DH65&lt;$BS65-$BT65*$BT$2),AVEDEV(ARRAYFORMULA(XLOOKUP(FILTER(INDIRECT(""'""&amp;DH$1&amp;""'!$C$4:$C$66""),INDIRECT(""'""&amp;DH$1&amp;""'!$D$4:$D$66"")=DH$2),$G$3:$BQ$3,$G65:$BQ65))),"""")"),"")</f>
        <v/>
      </c>
      <c r="DJ65" s="243"/>
    </row>
    <row r="66">
      <c r="A66" s="2"/>
      <c r="B66" s="204">
        <v>62.0</v>
      </c>
      <c r="C66" s="204" t="s">
        <v>482</v>
      </c>
      <c r="D66" s="204" t="s">
        <v>506</v>
      </c>
      <c r="E66" s="205" t="b">
        <f>VLOOKUP(D66,'Feature Set List'!A63:C246,2,0)</f>
        <v>1</v>
      </c>
      <c r="F66" s="205" t="b">
        <f>VLOOKUP(D66,'Feature Set List'!A63:C246,3,0)</f>
        <v>1</v>
      </c>
      <c r="G66" s="205">
        <v>-0.2017336</v>
      </c>
      <c r="H66" s="205">
        <v>-0.4034673</v>
      </c>
      <c r="I66" s="205">
        <v>-0.5279748</v>
      </c>
      <c r="J66" s="205">
        <v>-0.4869976</v>
      </c>
      <c r="K66" s="205">
        <v>0.7178881</v>
      </c>
      <c r="L66" s="205">
        <v>0.73364854</v>
      </c>
      <c r="M66" s="205">
        <v>0.50197006</v>
      </c>
      <c r="N66" s="205">
        <v>-0.6753349</v>
      </c>
      <c r="O66" s="205">
        <v>0.06461781</v>
      </c>
      <c r="P66" s="205">
        <v>0.25925926</v>
      </c>
      <c r="Q66" s="205">
        <v>0.54215918</v>
      </c>
      <c r="R66" s="205">
        <v>0.43892829</v>
      </c>
      <c r="S66" s="205">
        <v>-0.7777778</v>
      </c>
      <c r="T66" s="205">
        <v>0.67297084</v>
      </c>
      <c r="U66" s="205">
        <v>0.15839243</v>
      </c>
      <c r="V66" s="205">
        <v>-0.0583136</v>
      </c>
      <c r="W66" s="205">
        <v>0.07171001</v>
      </c>
      <c r="X66" s="205">
        <v>-1.2947203</v>
      </c>
      <c r="Y66" s="205">
        <v>0.32072498</v>
      </c>
      <c r="Z66" s="205">
        <v>-0.6107171</v>
      </c>
      <c r="AA66" s="205">
        <v>-0.285264</v>
      </c>
      <c r="AB66" s="205">
        <v>-0.8022065</v>
      </c>
      <c r="AC66" s="205">
        <v>-0.3995272</v>
      </c>
      <c r="AD66" s="205">
        <v>-0.0803783</v>
      </c>
      <c r="AE66" s="205">
        <v>-0.8037825</v>
      </c>
      <c r="AF66" s="205">
        <v>0.96532703</v>
      </c>
      <c r="AG66" s="205">
        <v>-1.0086682</v>
      </c>
      <c r="AH66" s="205">
        <v>-0.5382191</v>
      </c>
      <c r="AI66" s="205">
        <v>0.29787234</v>
      </c>
      <c r="AJ66" s="205">
        <v>0.03546099</v>
      </c>
      <c r="AK66" s="205">
        <v>0.85815603</v>
      </c>
      <c r="AL66" s="205">
        <v>-0.0031521</v>
      </c>
      <c r="AM66" s="205">
        <v>1.71946414</v>
      </c>
      <c r="AN66" s="205">
        <v>-0.0141844</v>
      </c>
      <c r="AO66" s="205">
        <v>0.41292356</v>
      </c>
      <c r="AP66" s="205">
        <v>0.72734437</v>
      </c>
      <c r="AQ66" s="205">
        <v>-0.5382191</v>
      </c>
      <c r="AR66" s="205">
        <v>0.49487786</v>
      </c>
      <c r="AS66" s="205">
        <v>0.0</v>
      </c>
      <c r="AT66" s="205">
        <v>-0.5634358</v>
      </c>
      <c r="AU66" s="205">
        <v>0.22379827</v>
      </c>
      <c r="AV66" s="205">
        <v>-0.7628054</v>
      </c>
      <c r="AW66" s="205">
        <v>1.54609929</v>
      </c>
      <c r="AX66" s="205">
        <v>0.17257683</v>
      </c>
      <c r="AY66" s="205">
        <v>-1.2616233</v>
      </c>
      <c r="AZ66" s="205">
        <v>-0.6264775</v>
      </c>
      <c r="BA66" s="205">
        <v>0.0748621</v>
      </c>
      <c r="BB66" s="205">
        <v>-0.6501182</v>
      </c>
      <c r="BC66" s="205">
        <v>-0.2624113</v>
      </c>
      <c r="BD66" s="205">
        <v>0.01812451</v>
      </c>
      <c r="BE66" s="205">
        <v>-1.1977935</v>
      </c>
      <c r="BF66" s="205">
        <v>-0.0425532</v>
      </c>
      <c r="BG66" s="205">
        <v>-0.5232467</v>
      </c>
      <c r="BH66" s="205">
        <v>0.01103231</v>
      </c>
      <c r="BI66" s="205">
        <v>0.34042553</v>
      </c>
      <c r="BJ66" s="205">
        <v>-0.9669031</v>
      </c>
      <c r="BK66" s="205">
        <v>0.8999212</v>
      </c>
      <c r="BL66" s="205">
        <v>-0.3530339</v>
      </c>
      <c r="BM66" s="205">
        <v>-0.0417652</v>
      </c>
      <c r="BN66" s="205">
        <v>0.73364854</v>
      </c>
      <c r="BO66" s="205">
        <v>0.6178093</v>
      </c>
      <c r="BP66" s="205">
        <v>0.91016548</v>
      </c>
      <c r="BQ66" s="205">
        <v>0.69503546</v>
      </c>
      <c r="BR66" s="206"/>
      <c r="BS66" s="250">
        <f t="shared" si="1"/>
        <v>-0.008343029524</v>
      </c>
      <c r="BT66" s="250">
        <f t="shared" si="2"/>
        <v>0.5241067465</v>
      </c>
      <c r="BU66" s="206"/>
      <c r="BV66" s="207">
        <f>IFERROR(__xludf.DUMMYFUNCTION("AVERAGE(ARRAYFORMULA(XLOOKUP(FILTER(INDIRECT(""'""&amp;BV$1&amp;""'!$C$4:$C$66""),INDIRECT(""'""&amp;BV$1&amp;""'!$D$4:$D$66"")=BV$2),$G$3:$BQ$3,$G66:$BQ66)))"),-0.5979961728571429)</f>
        <v>-0.5979961729</v>
      </c>
      <c r="BW66" s="207">
        <f>IFERROR(__xludf.DUMMYFUNCTION("IF(OR(BV66&gt;$BS66+$BT66*$BT$2,BV66&lt;$BS66-$BT66*$BT$2),AVEDEV(ARRAYFORMULA(XLOOKUP(FILTER(INDIRECT(""'""&amp;BV$1&amp;""'!$C$4:$C$66""),INDIRECT(""'""&amp;BV$1&amp;""'!$D$4:$D$66"")=BV$2),$G$3:$BQ$3,$G66:$BQ66))),"""")"),0.5749344595918366)</f>
        <v>0.5749344596</v>
      </c>
      <c r="BX66" s="207">
        <f>IFERROR(__xludf.DUMMYFUNCTION("AVERAGE(ARRAYFORMULA(XLOOKUP(FILTER(INDIRECT(""'""&amp;BX$1&amp;""'!$C$4:$C$66""),INDIRECT(""'""&amp;BX$1&amp;""'!$D$4:$D$66"")=BX$2),$G$3:$BQ$3,$G66:$BQ66)))"),0.028950425000000002)</f>
        <v>0.028950425</v>
      </c>
      <c r="BY66" s="207" t="str">
        <f>IFERROR(__xludf.DUMMYFUNCTION("IF(OR(BX66&gt;$BS66+$BT66*$BT$2,BX66&lt;$BS66-$BT66*$BT$2),AVEDEV(ARRAYFORMULA(XLOOKUP(FILTER(INDIRECT(""'""&amp;BX$1&amp;""'!$C$4:$C$66""),INDIRECT(""'""&amp;BX$1&amp;""'!$D$4:$D$66"")=BX$2),$G$3:$BQ$3,$G66:$BQ66))),"""")"),"")</f>
        <v/>
      </c>
      <c r="BZ66" s="207">
        <f>IFERROR(__xludf.DUMMYFUNCTION("AVERAGE(ARRAYFORMULA(XLOOKUP(FILTER(INDIRECT(""'""&amp;BZ$1&amp;""'!$C$4:$C$66""),INDIRECT(""'""&amp;BZ$1&amp;""'!$D$4:$D$66"")=BZ$2),$G$3:$BQ$3,$G66:$BQ66)))"),0.24822695636363637)</f>
        <v>0.2482269564</v>
      </c>
      <c r="CA66" s="207" t="str">
        <f>IFERROR(__xludf.DUMMYFUNCTION("IF(OR(BZ66&gt;$BS66+$BT66*$BT$2,BZ66&lt;$BS66-$BT66*$BT$2),AVEDEV(ARRAYFORMULA(XLOOKUP(FILTER(INDIRECT(""'""&amp;BZ$1&amp;""'!$C$4:$C$66""),INDIRECT(""'""&amp;BZ$1&amp;""'!$D$4:$D$66"")=BZ$2),$G$3:$BQ$3,$G66:$BQ66))),"""")"),"")</f>
        <v/>
      </c>
      <c r="CB66" s="209"/>
      <c r="CC66" s="207">
        <f>IFERROR(__xludf.DUMMYFUNCTION("AVERAGE(ARRAYFORMULA(XLOOKUP(FILTER(INDIRECT(""'""&amp;CC$1&amp;""'!$C$4:$C$66""),INDIRECT(""'""&amp;CC$1&amp;""'!$D$4:$D$66"")=CC$2),$G$3:$BQ$3,$G66:$BQ66)))"),-0.05782111499999999)</f>
        <v>-0.057821115</v>
      </c>
      <c r="CD66" s="207" t="str">
        <f>IFERROR(__xludf.DUMMYFUNCTION("IF(OR(CC66&gt;$BS66+$BT66*$BT$2,CC66&lt;$BS66-$BT66*$BT$2),AVEDEV(ARRAYFORMULA(XLOOKUP(FILTER(INDIRECT(""'""&amp;CC$1&amp;""'!$C$4:$C$66""),INDIRECT(""'""&amp;CC$1&amp;""'!$D$4:$D$66"")=CC$2),$G$3:$BQ$3,$G66:$BQ66))),"""")"),"")</f>
        <v/>
      </c>
      <c r="CE66" s="207">
        <f>IFERROR(__xludf.DUMMYFUNCTION("AVERAGE(ARRAYFORMULA(XLOOKUP(FILTER(INDIRECT(""'""&amp;CE$1&amp;""'!$C$4:$C$66""),INDIRECT(""'""&amp;CE$1&amp;""'!$D$4:$D$66"")=CE$2),$G$3:$BQ$3,$G66:$BQ66)))"),0.012735449999999988)</f>
        <v>0.01273545</v>
      </c>
      <c r="CF66" s="207" t="str">
        <f>IFERROR(__xludf.DUMMYFUNCTION("IF(OR(CE66&gt;$BS66+$BT66*$BT$2,CE66&lt;$BS66-$BT66*$BT$2),AVEDEV(ARRAYFORMULA(XLOOKUP(FILTER(INDIRECT(""'""&amp;CE$1&amp;""'!$C$4:$C$66""),INDIRECT(""'""&amp;CE$1&amp;""'!$D$4:$D$66"")=CE$2),$G$3:$BQ$3,$G66:$BQ66))),"""")"),"")</f>
        <v/>
      </c>
      <c r="CG66" s="207">
        <f>IFERROR(__xludf.DUMMYFUNCTION("AVERAGE(ARRAYFORMULA(XLOOKUP(FILTER(INDIRECT(""'""&amp;CG$1&amp;""'!$C$4:$C$66""),INDIRECT(""'""&amp;CG$1&amp;""'!$D$4:$D$66"")=CG$2),$G$3:$BQ$3,$G66:$BQ66)))"),0.09676910000000001)</f>
        <v>0.0967691</v>
      </c>
      <c r="CH66" s="207" t="str">
        <f>IFERROR(__xludf.DUMMYFUNCTION("IF(OR(CG66&gt;$BS66+$BT66*$BT$2,CG66&lt;$BS66-$BT66*$BT$2),AVEDEV(ARRAYFORMULA(XLOOKUP(FILTER(INDIRECT(""'""&amp;CG$1&amp;""'!$C$4:$C$66""),INDIRECT(""'""&amp;CG$1&amp;""'!$D$4:$D$66"")=CG$2),$G$3:$BQ$3,$G66:$BQ66))),"""")"),"")</f>
        <v/>
      </c>
      <c r="CI66" s="206"/>
      <c r="CJ66" s="251">
        <f>IFERROR(__xludf.DUMMYFUNCTION("AVERAGE(ARRAYFORMULA(XLOOKUP(FILTER(INDIRECT(""'""&amp;CJ$1&amp;""'!$C$4:$C$66""),INDIRECT(""'""&amp;CJ$1&amp;""'!$D$4:$D$66"")=CJ$2),$G$3:$BQ$3,$G66:$BQ66)))"),-0.42379827266666664)</f>
        <v>-0.4237982727</v>
      </c>
      <c r="CK66" s="207" t="str">
        <f>IFERROR(__xludf.DUMMYFUNCTION("IF(OR(CJ66&gt;$BS66+$BT66*$BT$2,CJ66&lt;$BS66-$BT66*$BT$2),AVEDEV(ARRAYFORMULA(XLOOKUP(FILTER(INDIRECT(""'""&amp;CJ$1&amp;""'!$C$4:$C$66""),INDIRECT(""'""&amp;CJ$1&amp;""'!$D$4:$D$66"")=CJ$2),$G$3:$BQ$3,$G66:$BQ66))),"""")"),"")</f>
        <v/>
      </c>
      <c r="CL66" s="251">
        <f>IFERROR(__xludf.DUMMYFUNCTION("AVERAGE(ARRAYFORMULA(XLOOKUP(FILTER(INDIRECT(""'""&amp;CL$1&amp;""'!$C$4:$C$66""),INDIRECT(""'""&amp;CL$1&amp;""'!$D$4:$D$66"")=CL$2),$G$3:$BQ$3,$G66:$BQ66)))"),0.15350265769230764)</f>
        <v>0.1535026577</v>
      </c>
      <c r="CM66" s="207" t="str">
        <f>IFERROR(__xludf.DUMMYFUNCTION("IF(OR(CL66&gt;$BS66+$BT66*$BT$2,CL66&lt;$BS66-$BT66*$BT$2),AVEDEV(ARRAYFORMULA(XLOOKUP(FILTER(INDIRECT(""'""&amp;CL$1&amp;""'!$C$4:$C$66""),INDIRECT(""'""&amp;CL$1&amp;""'!$D$4:$D$66"")=CL$2),$G$3:$BQ$3,$G66:$BQ66))),"""")"),"")</f>
        <v/>
      </c>
      <c r="CN66" s="254">
        <f>IFERROR(__xludf.DUMMYFUNCTION("AVERAGE(ARRAYFORMULA(XLOOKUP(FILTER(INDIRECT(""'""&amp;CN$1&amp;""'!$C$4:$C$66""),INDIRECT(""'""&amp;CN$1&amp;""'!$D$4:$D$66"")=CN$2),$G$3:$BQ$3,$G66:$BQ66)))"),0.09676910000000001)</f>
        <v>0.0967691</v>
      </c>
      <c r="CO66" s="207" t="str">
        <f>IFERROR(__xludf.DUMMYFUNCTION("IF(OR(CN66&gt;$BS66+$BT66*$BT$2,CN66&lt;$BS66-$BT66*$BT$2),AVEDEV(ARRAYFORMULA(XLOOKUP(FILTER(INDIRECT(""'""&amp;CN$1&amp;""'!$C$4:$C$66""),INDIRECT(""'""&amp;CN$1&amp;""'!$D$4:$D$66"")=CN$2),$G$3:$BQ$3,$G66:$BQ66))),"""")"),"")</f>
        <v/>
      </c>
      <c r="CP66" s="252"/>
      <c r="CQ66" s="251">
        <f>IFERROR(__xludf.DUMMYFUNCTION("AVERAGE(ARRAYFORMULA(XLOOKUP(FILTER(INDIRECT(""'""&amp;CQ$1&amp;""'!$C$4:$C$66""),INDIRECT(""'""&amp;CQ$1&amp;""'!$D$4:$D$66"")=CQ$2),$G$3:$BQ$3,$G66:$BQ66)))"),0.022064623571428583)</f>
        <v>0.02206462357</v>
      </c>
      <c r="CR66" s="207" t="str">
        <f>IFERROR(__xludf.DUMMYFUNCTION("IF(OR(CQ66&gt;$BS66+$BT66*$BT$2,CQ66&lt;$BS66-$BT66*$BT$2),AVEDEV(ARRAYFORMULA(XLOOKUP(FILTER(INDIRECT(""'""&amp;CQ$1&amp;""'!$C$4:$C$66""),INDIRECT(""'""&amp;CQ$1&amp;""'!$D$4:$D$66"")=CQ$2),$G$3:$BQ$3,$G66:$BQ66))),"""")"),"")</f>
        <v/>
      </c>
      <c r="CS66" s="251">
        <f>IFERROR(__xludf.DUMMYFUNCTION("AVERAGE(ARRAYFORMULA(XLOOKUP(FILTER(INDIRECT(""'""&amp;CS$1&amp;""'!$C$4:$C$66""),INDIRECT(""'""&amp;CS$1&amp;""'!$D$4:$D$66"")=CS$2),$G$3:$BQ$3,$G66:$BQ66)))"),0.3776376911111112)</f>
        <v>0.3776376911</v>
      </c>
      <c r="CT66" s="207" t="str">
        <f>IFERROR(__xludf.DUMMYFUNCTION("IF(OR(CS66&gt;$BS66+$BT66*$BT$2,CS66&lt;$BS66-$BT66*$BT$2),AVEDEV(ARRAYFORMULA(XLOOKUP(FILTER(INDIRECT(""'""&amp;CS$1&amp;""'!$C$4:$C$66""),INDIRECT(""'""&amp;CS$1&amp;""'!$D$4:$D$66"")=CS$2),$G$3:$BQ$3,$G66:$BQ66))),"""")"),"")</f>
        <v/>
      </c>
      <c r="CU66" s="251">
        <f>IFERROR(__xludf.DUMMYFUNCTION("AVERAGE(ARRAYFORMULA(XLOOKUP(FILTER(INDIRECT(""'""&amp;CU$1&amp;""'!$C$4:$C$66""),INDIRECT(""'""&amp;CU$1&amp;""'!$D$4:$D$66"")=CU$2),$G$3:$BQ$3,$G66:$BQ66)))"),-0.26742605090909083)</f>
        <v>-0.2674260509</v>
      </c>
      <c r="CV66" s="207" t="str">
        <f>IFERROR(__xludf.DUMMYFUNCTION("IF(OR(CU66&gt;$BS66+$BT66*$BT$2,CU66&lt;$BS66-$BT66*$BT$2),AVEDEV(ARRAYFORMULA(XLOOKUP(FILTER(INDIRECT(""'""&amp;CU$1&amp;""'!$C$4:$C$66""),INDIRECT(""'""&amp;CU$1&amp;""'!$D$4:$D$66"")=CU$2),$G$3:$BQ$3,$G66:$BQ66))),"""")"),"")</f>
        <v/>
      </c>
      <c r="CW66" s="251">
        <f>IFERROR(__xludf.DUMMYFUNCTION("AVERAGE(ARRAYFORMULA(XLOOKUP(FILTER(INDIRECT(""'""&amp;CW$1&amp;""'!$C$4:$C$66""),INDIRECT(""'""&amp;CW$1&amp;""'!$D$4:$D$66"")=CW$2),$G$3:$BQ$3,$G66:$BQ66)))"),-0.034672995)</f>
        <v>-0.034672995</v>
      </c>
      <c r="CX66" s="207" t="str">
        <f>IFERROR(__xludf.DUMMYFUNCTION("IF(OR(CW66&gt;$BS66+$BT66*$BT$2,CW66&lt;$BS66-$BT66*$BT$2),AVEDEV(ARRAYFORMULA(XLOOKUP(FILTER(INDIRECT(""'""&amp;CW$1&amp;""'!$C$4:$C$66""),INDIRECT(""'""&amp;CW$1&amp;""'!$D$4:$D$66"")=CW$2),$G$3:$BQ$3,$G66:$BQ66))),"""")"),"")</f>
        <v/>
      </c>
      <c r="CY66" s="254">
        <f>IFERROR(__xludf.DUMMYFUNCTION("AVERAGE(ARRAYFORMULA(XLOOKUP(FILTER(INDIRECT(""'""&amp;CY$1&amp;""'!$C$4:$C$66""),INDIRECT(""'""&amp;CY$1&amp;""'!$D$4:$D$66"")=CY$2),$G$3:$BQ$3,$G66:$BQ66)))"),0.18383429071428567)</f>
        <v>0.1838342907</v>
      </c>
      <c r="CZ66" s="207" t="str">
        <f>IFERROR(__xludf.DUMMYFUNCTION("IF(OR(CY66&gt;$BS66+$BT66*$BT$2,CY66&lt;$BS66-$BT66*$BT$2),AVEDEV(ARRAYFORMULA(XLOOKUP(FILTER(INDIRECT(""'""&amp;CY$1&amp;""'!$C$4:$C$66""),INDIRECT(""'""&amp;CY$1&amp;""'!$D$4:$D$66"")=CY$2),$G$3:$BQ$3,$G66:$BQ66))),"""")"),"")</f>
        <v/>
      </c>
      <c r="DA66" s="252"/>
      <c r="DB66" s="251">
        <f>IFERROR(__xludf.DUMMYFUNCTION("AVERAGE(ARRAYFORMULA(XLOOKUP(FILTER(INDIRECT(""'""&amp;DB$1&amp;""'!$C$4:$C$66""),INDIRECT(""'""&amp;DB$1&amp;""'!$D$4:$D$66"")=DB$2),$G$3:$BQ$3,$G66:$BQ66)))"),-0.146256896)</f>
        <v>-0.146256896</v>
      </c>
      <c r="DC66" s="207" t="str">
        <f>IFERROR(__xludf.DUMMYFUNCTION("IF(OR(DB66&gt;$BS66+$BT66*$BT$2,DB66&lt;$BS66-$BT66*$BT$2),AVEDEV(ARRAYFORMULA(XLOOKUP(FILTER(INDIRECT(""'""&amp;DB$1&amp;""'!$C$4:$C$66""),INDIRECT(""'""&amp;DB$1&amp;""'!$D$4:$D$66"")=DB$2),$G$3:$BQ$3,$G66:$BQ66))),"""")"),"")</f>
        <v/>
      </c>
      <c r="DD66" s="251">
        <f>IFERROR(__xludf.DUMMYFUNCTION("AVERAGE(ARRAYFORMULA(XLOOKUP(FILTER(INDIRECT(""'""&amp;DD$1&amp;""'!$C$4:$C$66""),INDIRECT(""'""&amp;DD$1&amp;""'!$D$4:$D$66"")=DD$2),$G$3:$BQ$3,$G66:$BQ66)))"),0.14534629000000004)</f>
        <v>0.14534629</v>
      </c>
      <c r="DE66" s="207" t="str">
        <f>IFERROR(__xludf.DUMMYFUNCTION("IF(OR(DD66&gt;$BS66+$BT66*$BT$2,DD66&lt;$BS66-$BT66*$BT$2),AVEDEV(ARRAYFORMULA(XLOOKUP(FILTER(INDIRECT(""'""&amp;DD$1&amp;""'!$C$4:$C$66""),INDIRECT(""'""&amp;DD$1&amp;""'!$D$4:$D$66"")=DD$2),$G$3:$BQ$3,$G66:$BQ66))),"""")"),"")</f>
        <v/>
      </c>
      <c r="DF66" s="251">
        <f>IFERROR(__xludf.DUMMYFUNCTION("AVERAGE(ARRAYFORMULA(XLOOKUP(FILTER(INDIRECT(""'""&amp;DF$1&amp;""'!$C$4:$C$66""),INDIRECT(""'""&amp;DF$1&amp;""'!$D$4:$D$66"")=DF$2),$G$3:$BQ$3,$G66:$BQ66)))"),-0.281717885)</f>
        <v>-0.281717885</v>
      </c>
      <c r="DG66" s="207" t="str">
        <f>IFERROR(__xludf.DUMMYFUNCTION("IF(OR(DF66&gt;$BS66+$BT66*$BT$2,DF66&lt;$BS66-$BT66*$BT$2),AVEDEV(ARRAYFORMULA(XLOOKUP(FILTER(INDIRECT(""'""&amp;DF$1&amp;""'!$C$4:$C$66""),INDIRECT(""'""&amp;DF$1&amp;""'!$D$4:$D$66"")=DF$2),$G$3:$BQ$3,$G66:$BQ66))),"""")"),"")</f>
        <v/>
      </c>
      <c r="DH66" s="251">
        <f>IFERROR(__xludf.DUMMYFUNCTION("AVERAGE(ARRAYFORMULA(XLOOKUP(FILTER(INDIRECT(""'""&amp;DH$1&amp;""'!$C$4:$C$66""),INDIRECT(""'""&amp;DH$1&amp;""'!$D$4:$D$66"")=DH$2),$G$3:$BQ$3,$G66:$BQ66)))"),0.6481919211111111)</f>
        <v>0.6481919211</v>
      </c>
      <c r="DI66" s="207">
        <f>IFERROR(__xludf.DUMMYFUNCTION("IF(OR(DH66&gt;$BS66+$BT66*$BT$2,DH66&lt;$BS66-$BT66*$BT$2),AVEDEV(ARRAYFORMULA(XLOOKUP(FILTER(INDIRECT(""'""&amp;DH$1&amp;""'!$C$4:$C$66""),INDIRECT(""'""&amp;DH$1&amp;""'!$D$4:$D$66"")=DH$2),$G$3:$BQ$3,$G66:$BQ66))),"""")"),0.527060292345679)</f>
        <v>0.5270602923</v>
      </c>
      <c r="DJ66" s="243"/>
    </row>
    <row r="67">
      <c r="A67" s="2"/>
      <c r="B67" s="204">
        <v>63.0</v>
      </c>
      <c r="C67" s="204" t="s">
        <v>507</v>
      </c>
      <c r="D67" s="204" t="s">
        <v>508</v>
      </c>
      <c r="E67" s="205" t="b">
        <f>VLOOKUP(D67,'Feature Set List'!A64:C246,2,0)</f>
        <v>1</v>
      </c>
      <c r="F67" s="205" t="b">
        <f>VLOOKUP(D67,'Feature Set List'!A64:C246,3,0)</f>
        <v>1</v>
      </c>
      <c r="G67" s="205">
        <v>0.8814078</v>
      </c>
      <c r="H67" s="205">
        <v>0.25401683</v>
      </c>
      <c r="I67" s="205">
        <v>-0.8247896</v>
      </c>
      <c r="J67" s="205">
        <v>-0.1162969</v>
      </c>
      <c r="K67" s="205">
        <v>0.63504208</v>
      </c>
      <c r="L67" s="205">
        <v>-0.1224178</v>
      </c>
      <c r="M67" s="205">
        <v>-0.0061209</v>
      </c>
      <c r="N67" s="205">
        <v>-1.0130069</v>
      </c>
      <c r="O67" s="205">
        <v>0.64728386</v>
      </c>
      <c r="P67" s="205">
        <v>-1.1338944</v>
      </c>
      <c r="Q67" s="205">
        <v>0.30298393</v>
      </c>
      <c r="R67" s="205">
        <v>-0.123948</v>
      </c>
      <c r="S67" s="205">
        <v>0.14078041</v>
      </c>
      <c r="T67" s="205">
        <v>-0.2417751</v>
      </c>
      <c r="U67" s="205">
        <v>-2.0321347</v>
      </c>
      <c r="V67" s="205">
        <v>0.14384086</v>
      </c>
      <c r="W67" s="205">
        <v>-0.165264</v>
      </c>
      <c r="X67" s="205">
        <v>-1.1920428</v>
      </c>
      <c r="Y67" s="205">
        <v>0.80183627</v>
      </c>
      <c r="Z67" s="205">
        <v>-0.0382555</v>
      </c>
      <c r="AA67" s="205">
        <v>-0.6870696</v>
      </c>
      <c r="AB67" s="205">
        <v>-0.7146136</v>
      </c>
      <c r="AC67" s="205">
        <v>0.19739862</v>
      </c>
      <c r="AD67" s="205">
        <v>0.55700077</v>
      </c>
      <c r="AE67" s="205">
        <v>-0.5692425</v>
      </c>
      <c r="AF67" s="205">
        <v>0.48661056</v>
      </c>
      <c r="AG67" s="205">
        <v>-0.503443</v>
      </c>
      <c r="AH67" s="205">
        <v>-0.5218057</v>
      </c>
      <c r="AI67" s="205">
        <v>-0.0015302</v>
      </c>
      <c r="AJ67" s="205">
        <v>0.0</v>
      </c>
      <c r="AK67" s="205">
        <v>-0.0856924</v>
      </c>
      <c r="AL67" s="205">
        <v>0.42234124</v>
      </c>
      <c r="AM67" s="205">
        <v>0.2096404</v>
      </c>
      <c r="AN67" s="205">
        <v>0.67482785</v>
      </c>
      <c r="AO67" s="205">
        <v>-1.7827085</v>
      </c>
      <c r="AP67" s="205">
        <v>-0.9120122</v>
      </c>
      <c r="AQ67" s="205">
        <v>0.70696251</v>
      </c>
      <c r="AR67" s="205">
        <v>0.85692425</v>
      </c>
      <c r="AS67" s="205">
        <v>0.08875287</v>
      </c>
      <c r="AT67" s="205">
        <v>-0.0030604</v>
      </c>
      <c r="AU67" s="205">
        <v>-0.4560061</v>
      </c>
      <c r="AV67" s="205">
        <v>0.90436113</v>
      </c>
      <c r="AW67" s="205">
        <v>-0.3672533</v>
      </c>
      <c r="AX67" s="205">
        <v>0.0627391</v>
      </c>
      <c r="AY67" s="205">
        <v>-0.096404</v>
      </c>
      <c r="AZ67" s="205">
        <v>0.24330528</v>
      </c>
      <c r="BA67" s="205">
        <v>-0.7498087</v>
      </c>
      <c r="BB67" s="205">
        <v>-1.8301454</v>
      </c>
      <c r="BC67" s="205">
        <v>1.27467483</v>
      </c>
      <c r="BD67" s="205">
        <v>0.27390972</v>
      </c>
      <c r="BE67" s="205">
        <v>-1.6419281</v>
      </c>
      <c r="BF67" s="205">
        <v>0.33358837</v>
      </c>
      <c r="BG67" s="205">
        <v>-0.6993114</v>
      </c>
      <c r="BH67" s="205">
        <v>0.63351186</v>
      </c>
      <c r="BI67" s="205">
        <v>0.07345065</v>
      </c>
      <c r="BJ67" s="205">
        <v>0.81713849</v>
      </c>
      <c r="BK67" s="205">
        <v>0.32593726</v>
      </c>
      <c r="BL67" s="205">
        <v>-2.0994644</v>
      </c>
      <c r="BM67" s="205">
        <v>-1.2838562</v>
      </c>
      <c r="BN67" s="205">
        <v>0.53710788</v>
      </c>
      <c r="BO67" s="205">
        <v>1.65570008</v>
      </c>
      <c r="BP67" s="205">
        <v>0.11323642</v>
      </c>
      <c r="BQ67" s="205">
        <v>0.86763581</v>
      </c>
      <c r="BR67" s="206"/>
      <c r="BS67" s="250">
        <f t="shared" si="1"/>
        <v>-0.09351356048</v>
      </c>
      <c r="BT67" s="250">
        <f t="shared" si="2"/>
        <v>0.6174377882</v>
      </c>
      <c r="BU67" s="206"/>
      <c r="BV67" s="207">
        <f>IFERROR(__xludf.DUMMYFUNCTION("AVERAGE(ARRAYFORMULA(XLOOKUP(FILTER(INDIRECT(""'""&amp;BV$1&amp;""'!$C$4:$C$66""),INDIRECT(""'""&amp;BV$1&amp;""'!$D$4:$D$66"")=BV$2),$G$3:$BQ$3,$G67:$BQ67)))"),-1.5249754142857141)</f>
        <v>-1.524975414</v>
      </c>
      <c r="BW67" s="207">
        <f>IFERROR(__xludf.DUMMYFUNCTION("IF(OR(BV67&gt;$BS67+$BT67*$BT$2,BV67&lt;$BS67-$BT67*$BT$2),AVEDEV(ARRAYFORMULA(XLOOKUP(FILTER(INDIRECT(""'""&amp;BV$1&amp;""'!$C$4:$C$66""),INDIRECT(""'""&amp;BV$1&amp;""'!$D$4:$D$66"")=BV$2),$G$3:$BQ$3,$G67:$BQ67))),"""")"),0.5032868653061225)</f>
        <v>0.5032868653</v>
      </c>
      <c r="BX67" s="207">
        <f>IFERROR(__xludf.DUMMYFUNCTION("AVERAGE(ARRAYFORMULA(XLOOKUP(FILTER(INDIRECT(""'""&amp;BX$1&amp;""'!$C$4:$C$66""),INDIRECT(""'""&amp;BX$1&amp;""'!$D$4:$D$66"")=BX$2),$G$3:$BQ$3,$G67:$BQ67)))"),0.16857944666666666)</f>
        <v>0.1685794467</v>
      </c>
      <c r="BY67" s="207" t="str">
        <f>IFERROR(__xludf.DUMMYFUNCTION("IF(OR(BX67&gt;$BS67+$BT67*$BT$2,BX67&lt;$BS67-$BT67*$BT$2),AVEDEV(ARRAYFORMULA(XLOOKUP(FILTER(INDIRECT(""'""&amp;BX$1&amp;""'!$C$4:$C$66""),INDIRECT(""'""&amp;BX$1&amp;""'!$D$4:$D$66"")=BX$2),$G$3:$BQ$3,$G67:$BQ67))),"""")"),"")</f>
        <v/>
      </c>
      <c r="BZ67" s="207">
        <f>IFERROR(__xludf.DUMMYFUNCTION("AVERAGE(ARRAYFORMULA(XLOOKUP(FILTER(INDIRECT(""'""&amp;BZ$1&amp;""'!$C$4:$C$66""),INDIRECT(""'""&amp;BZ$1&amp;""'!$D$4:$D$66"")=BZ$2),$G$3:$BQ$3,$G67:$BQ67)))"),-0.11727065363636364)</f>
        <v>-0.1172706536</v>
      </c>
      <c r="CA67" s="207" t="str">
        <f>IFERROR(__xludf.DUMMYFUNCTION("IF(OR(BZ67&gt;$BS67+$BT67*$BT$2,BZ67&lt;$BS67-$BT67*$BT$2),AVEDEV(ARRAYFORMULA(XLOOKUP(FILTER(INDIRECT(""'""&amp;BZ$1&amp;""'!$C$4:$C$66""),INDIRECT(""'""&amp;BZ$1&amp;""'!$D$4:$D$66"")=BZ$2),$G$3:$BQ$3,$G67:$BQ67))),"""")"),"")</f>
        <v/>
      </c>
      <c r="CB67" s="209"/>
      <c r="CC67" s="207">
        <f>IFERROR(__xludf.DUMMYFUNCTION("AVERAGE(ARRAYFORMULA(XLOOKUP(FILTER(INDIRECT(""'""&amp;CC$1&amp;""'!$C$4:$C$66""),INDIRECT(""'""&amp;CC$1&amp;""'!$D$4:$D$66"")=CC$2),$G$3:$BQ$3,$G67:$BQ67)))"),-0.33502295312499997)</f>
        <v>-0.3350229531</v>
      </c>
      <c r="CD67" s="207" t="str">
        <f>IFERROR(__xludf.DUMMYFUNCTION("IF(OR(CC67&gt;$BS67+$BT67*$BT$2,CC67&lt;$BS67-$BT67*$BT$2),AVEDEV(ARRAYFORMULA(XLOOKUP(FILTER(INDIRECT(""'""&amp;CC$1&amp;""'!$C$4:$C$66""),INDIRECT(""'""&amp;CC$1&amp;""'!$D$4:$D$66"")=CC$2),$G$3:$BQ$3,$G67:$BQ67))),"""")"),"")</f>
        <v/>
      </c>
      <c r="CE67" s="207">
        <f>IFERROR(__xludf.DUMMYFUNCTION("AVERAGE(ARRAYFORMULA(XLOOKUP(FILTER(INDIRECT(""'""&amp;CE$1&amp;""'!$C$4:$C$66""),INDIRECT(""'""&amp;CE$1&amp;""'!$D$4:$D$66"")=CE$2),$G$3:$BQ$3,$G67:$BQ67)))"),0.1972011716129032)</f>
        <v>0.1972011716</v>
      </c>
      <c r="CF67" s="207" t="str">
        <f>IFERROR(__xludf.DUMMYFUNCTION("IF(OR(CE67&gt;$BS67+$BT67*$BT$2,CE67&lt;$BS67-$BT67*$BT$2),AVEDEV(ARRAYFORMULA(XLOOKUP(FILTER(INDIRECT(""'""&amp;CE$1&amp;""'!$C$4:$C$66""),INDIRECT(""'""&amp;CE$1&amp;""'!$D$4:$D$66"")=CE$2),$G$3:$BQ$3,$G67:$BQ67))),"""")"),"")</f>
        <v/>
      </c>
      <c r="CG67" s="207">
        <f>IFERROR(__xludf.DUMMYFUNCTION("AVERAGE(ARRAYFORMULA(XLOOKUP(FILTER(INDIRECT(""'""&amp;CG$1&amp;""'!$C$4:$C$66""),INDIRECT(""'""&amp;CG$1&amp;""'!$D$4:$D$66"")=CG$2),$G$3:$BQ$3,$G67:$BQ67)))"),-0.547207346)</f>
        <v>-0.547207346</v>
      </c>
      <c r="CH67" s="207" t="str">
        <f>IFERROR(__xludf.DUMMYFUNCTION("IF(OR(CG67&gt;$BS67+$BT67*$BT$2,CG67&lt;$BS67-$BT67*$BT$2),AVEDEV(ARRAYFORMULA(XLOOKUP(FILTER(INDIRECT(""'""&amp;CG$1&amp;""'!$C$4:$C$66""),INDIRECT(""'""&amp;CG$1&amp;""'!$D$4:$D$66"")=CG$2),$G$3:$BQ$3,$G67:$BQ67))),"""")"),"")</f>
        <v/>
      </c>
      <c r="CI67" s="206"/>
      <c r="CJ67" s="251">
        <f>IFERROR(__xludf.DUMMYFUNCTION("AVERAGE(ARRAYFORMULA(XLOOKUP(FILTER(INDIRECT(""'""&amp;CJ$1&amp;""'!$C$4:$C$66""),INDIRECT(""'""&amp;CJ$1&amp;""'!$D$4:$D$66"")=CJ$2),$G$3:$BQ$3,$G67:$BQ67)))"),-0.5301708753333332)</f>
        <v>-0.5301708753</v>
      </c>
      <c r="CK67" s="207" t="str">
        <f>IFERROR(__xludf.DUMMYFUNCTION("IF(OR(CJ67&gt;$BS67+$BT67*$BT$2,CJ67&lt;$BS67-$BT67*$BT$2),AVEDEV(ARRAYFORMULA(XLOOKUP(FILTER(INDIRECT(""'""&amp;CJ$1&amp;""'!$C$4:$C$66""),INDIRECT(""'""&amp;CJ$1&amp;""'!$D$4:$D$66"")=CJ$2),$G$3:$BQ$3,$G67:$BQ67))),"""")"),"")</f>
        <v/>
      </c>
      <c r="CL67" s="251">
        <f>IFERROR(__xludf.DUMMYFUNCTION("AVERAGE(ARRAYFORMULA(XLOOKUP(FILTER(INDIRECT(""'""&amp;CL$1&amp;""'!$C$4:$C$66""),INDIRECT(""'""&amp;CL$1&amp;""'!$D$4:$D$66"")=CL$2),$G$3:$BQ$3,$G67:$BQ67)))"),0.20265630589743588)</f>
        <v>0.2026563059</v>
      </c>
      <c r="CM67" s="207" t="str">
        <f>IFERROR(__xludf.DUMMYFUNCTION("IF(OR(CL67&gt;$BS67+$BT67*$BT$2,CL67&lt;$BS67-$BT67*$BT$2),AVEDEV(ARRAYFORMULA(XLOOKUP(FILTER(INDIRECT(""'""&amp;CL$1&amp;""'!$C$4:$C$66""),INDIRECT(""'""&amp;CL$1&amp;""'!$D$4:$D$66"")=CL$2),$G$3:$BQ$3,$G67:$BQ67))),"""")"),"")</f>
        <v/>
      </c>
      <c r="CN67" s="251">
        <f>IFERROR(__xludf.DUMMYFUNCTION("AVERAGE(ARRAYFORMULA(XLOOKUP(FILTER(INDIRECT(""'""&amp;CN$1&amp;""'!$C$4:$C$66""),INDIRECT(""'""&amp;CN$1&amp;""'!$D$4:$D$66"")=CN$2),$G$3:$BQ$3,$G67:$BQ67)))"),-0.547207346)</f>
        <v>-0.547207346</v>
      </c>
      <c r="CO67" s="207" t="str">
        <f>IFERROR(__xludf.DUMMYFUNCTION("IF(OR(CN67&gt;$BS67+$BT67*$BT$2,CN67&lt;$BS67-$BT67*$BT$2),AVEDEV(ARRAYFORMULA(XLOOKUP(FILTER(INDIRECT(""'""&amp;CN$1&amp;""'!$C$4:$C$66""),INDIRECT(""'""&amp;CN$1&amp;""'!$D$4:$D$66"")=CN$2),$G$3:$BQ$3,$G67:$BQ67))),"""")"),"")</f>
        <v/>
      </c>
      <c r="CP67" s="252"/>
      <c r="CQ67" s="251">
        <f>IFERROR(__xludf.DUMMYFUNCTION("AVERAGE(ARRAYFORMULA(XLOOKUP(FILTER(INDIRECT(""'""&amp;CQ$1&amp;""'!$C$4:$C$66""),INDIRECT(""'""&amp;CQ$1&amp;""'!$D$4:$D$66"")=CQ$2),$G$3:$BQ$3,$G67:$BQ67)))"),-0.09869930928571428)</f>
        <v>-0.09869930929</v>
      </c>
      <c r="CR67" s="207" t="str">
        <f>IFERROR(__xludf.DUMMYFUNCTION("IF(OR(CQ67&gt;$BS67+$BT67*$BT$2,CQ67&lt;$BS67-$BT67*$BT$2),AVEDEV(ARRAYFORMULA(XLOOKUP(FILTER(INDIRECT(""'""&amp;CQ$1&amp;""'!$C$4:$C$66""),INDIRECT(""'""&amp;CQ$1&amp;""'!$D$4:$D$66"")=CQ$2),$G$3:$BQ$3,$G67:$BQ67))),"""")"),"")</f>
        <v/>
      </c>
      <c r="CS67" s="251">
        <f>IFERROR(__xludf.DUMMYFUNCTION("AVERAGE(ARRAYFORMULA(XLOOKUP(FILTER(INDIRECT(""'""&amp;CS$1&amp;""'!$C$4:$C$66""),INDIRECT(""'""&amp;CS$1&amp;""'!$D$4:$D$66"")=CS$2),$G$3:$BQ$3,$G67:$BQ67)))"),-0.027714030000000018)</f>
        <v>-0.02771403</v>
      </c>
      <c r="CT67" s="207" t="str">
        <f>IFERROR(__xludf.DUMMYFUNCTION("IF(OR(CS67&gt;$BS67+$BT67*$BT$2,CS67&lt;$BS67-$BT67*$BT$2),AVEDEV(ARRAYFORMULA(XLOOKUP(FILTER(INDIRECT(""'""&amp;CS$1&amp;""'!$C$4:$C$66""),INDIRECT(""'""&amp;CS$1&amp;""'!$D$4:$D$66"")=CS$2),$G$3:$BQ$3,$G67:$BQ67))),"""")"),"")</f>
        <v/>
      </c>
      <c r="CU67" s="251">
        <f>IFERROR(__xludf.DUMMYFUNCTION("AVERAGE(ARRAYFORMULA(XLOOKUP(FILTER(INDIRECT(""'""&amp;CU$1&amp;""'!$C$4:$C$66""),INDIRECT(""'""&amp;CU$1&amp;""'!$D$4:$D$66"")=CU$2),$G$3:$BQ$3,$G67:$BQ67)))"),0.06593865636363637)</f>
        <v>0.06593865636</v>
      </c>
      <c r="CV67" s="207" t="str">
        <f>IFERROR(__xludf.DUMMYFUNCTION("IF(OR(CU67&gt;$BS67+$BT67*$BT$2,CU67&lt;$BS67-$BT67*$BT$2),AVEDEV(ARRAYFORMULA(XLOOKUP(FILTER(INDIRECT(""'""&amp;CU$1&amp;""'!$C$4:$C$66""),INDIRECT(""'""&amp;CU$1&amp;""'!$D$4:$D$66"")=CU$2),$G$3:$BQ$3,$G67:$BQ67))),"""")"),"")</f>
        <v/>
      </c>
      <c r="CW67" s="251">
        <f>IFERROR(__xludf.DUMMYFUNCTION("AVERAGE(ARRAYFORMULA(XLOOKUP(FILTER(INDIRECT(""'""&amp;CW$1&amp;""'!$C$4:$C$66""),INDIRECT(""'""&amp;CW$1&amp;""'!$D$4:$D$66"")=CW$2),$G$3:$BQ$3,$G67:$BQ67)))"),0.5952563150000001)</f>
        <v>0.595256315</v>
      </c>
      <c r="CX67" s="207">
        <f>IFERROR(__xludf.DUMMYFUNCTION("IF(OR(CW67&gt;$BS67+$BT67*$BT$2,CW67&lt;$BS67-$BT67*$BT$2),AVEDEV(ARRAYFORMULA(XLOOKUP(FILTER(INDIRECT(""'""&amp;CW$1&amp;""'!$C$4:$C$66""),INDIRECT(""'""&amp;CW$1&amp;""'!$D$4:$D$66"")=CW$2),$G$3:$BQ$3,$G67:$BQ67))),"""")"),0.038255545)</f>
        <v>0.038255545</v>
      </c>
      <c r="CY67" s="251">
        <f>IFERROR(__xludf.DUMMYFUNCTION("AVERAGE(ARRAYFORMULA(XLOOKUP(FILTER(INDIRECT(""'""&amp;CY$1&amp;""'!$C$4:$C$66""),INDIRECT(""'""&amp;CY$1&amp;""'!$D$4:$D$66"")=CY$2),$G$3:$BQ$3,$G67:$BQ67)))"),0.4332713978571428)</f>
        <v>0.4332713979</v>
      </c>
      <c r="CZ67" s="207" t="str">
        <f>IFERROR(__xludf.DUMMYFUNCTION("IF(OR(CY67&gt;$BS67+$BT67*$BT$2,CY67&lt;$BS67-$BT67*$BT$2),AVEDEV(ARRAYFORMULA(XLOOKUP(FILTER(INDIRECT(""'""&amp;CY$1&amp;""'!$C$4:$C$66""),INDIRECT(""'""&amp;CY$1&amp;""'!$D$4:$D$66"")=CY$2),$G$3:$BQ$3,$G67:$BQ67))),"""")"),"")</f>
        <v/>
      </c>
      <c r="DA67" s="252"/>
      <c r="DB67" s="251">
        <f>IFERROR(__xludf.DUMMYFUNCTION("AVERAGE(ARRAYFORMULA(XLOOKUP(FILTER(INDIRECT(""'""&amp;DB$1&amp;""'!$C$4:$C$66""),INDIRECT(""'""&amp;DB$1&amp;""'!$D$4:$D$66"")=DB$2),$G$3:$BQ$3,$G67:$BQ67)))"),-0.04815097833333333)</f>
        <v>-0.04815097833</v>
      </c>
      <c r="DC67" s="207" t="str">
        <f>IFERROR(__xludf.DUMMYFUNCTION("IF(OR(DB67&gt;$BS67+$BT67*$BT$2,DB67&lt;$BS67-$BT67*$BT$2),AVEDEV(ARRAYFORMULA(XLOOKUP(FILTER(INDIRECT(""'""&amp;DB$1&amp;""'!$C$4:$C$66""),INDIRECT(""'""&amp;DB$1&amp;""'!$D$4:$D$66"")=DB$2),$G$3:$BQ$3,$G67:$BQ67))),"""")"),"")</f>
        <v/>
      </c>
      <c r="DD67" s="251">
        <f>IFERROR(__xludf.DUMMYFUNCTION("AVERAGE(ARRAYFORMULA(XLOOKUP(FILTER(INDIRECT(""'""&amp;DD$1&amp;""'!$C$4:$C$66""),INDIRECT(""'""&amp;DD$1&amp;""'!$D$4:$D$66"")=DD$2),$G$3:$BQ$3,$G67:$BQ67)))"),-0.2130409077777778)</f>
        <v>-0.2130409078</v>
      </c>
      <c r="DE67" s="207" t="str">
        <f>IFERROR(__xludf.DUMMYFUNCTION("IF(OR(DD67&gt;$BS67+$BT67*$BT$2,DD67&lt;$BS67-$BT67*$BT$2),AVEDEV(ARRAYFORMULA(XLOOKUP(FILTER(INDIRECT(""'""&amp;DD$1&amp;""'!$C$4:$C$66""),INDIRECT(""'""&amp;DD$1&amp;""'!$D$4:$D$66"")=DD$2),$G$3:$BQ$3,$G67:$BQ67))),"""")"),"")</f>
        <v/>
      </c>
      <c r="DF67" s="251">
        <f>IFERROR(__xludf.DUMMYFUNCTION("AVERAGE(ARRAYFORMULA(XLOOKUP(FILTER(INDIRECT(""'""&amp;DF$1&amp;""'!$C$4:$C$66""),INDIRECT(""'""&amp;DF$1&amp;""'!$D$4:$D$66"")=DF$2),$G$3:$BQ$3,$G67:$BQ67)))"),-0.23852334374999992)</f>
        <v>-0.2385233438</v>
      </c>
      <c r="DG67" s="207" t="str">
        <f>IFERROR(__xludf.DUMMYFUNCTION("IF(OR(DF67&gt;$BS67+$BT67*$BT$2,DF67&lt;$BS67-$BT67*$BT$2),AVEDEV(ARRAYFORMULA(XLOOKUP(FILTER(INDIRECT(""'""&amp;DF$1&amp;""'!$C$4:$C$66""),INDIRECT(""'""&amp;DF$1&amp;""'!$D$4:$D$66"")=DF$2),$G$3:$BQ$3,$G67:$BQ67))),"""")"),"")</f>
        <v/>
      </c>
      <c r="DH67" s="251">
        <f>IFERROR(__xludf.DUMMYFUNCTION("AVERAGE(ARRAYFORMULA(XLOOKUP(FILTER(INDIRECT(""'""&amp;DH$1&amp;""'!$C$4:$C$66""),INDIRECT(""'""&amp;DH$1&amp;""'!$D$4:$D$66"")=DH$2),$G$3:$BQ$3,$G67:$BQ67)))"),0.5114341544444445)</f>
        <v>0.5114341544</v>
      </c>
      <c r="DI67" s="207" t="str">
        <f>IFERROR(__xludf.DUMMYFUNCTION("IF(OR(DH67&gt;$BS67+$BT67*$BT$2,DH67&lt;$BS67-$BT67*$BT$2),AVEDEV(ARRAYFORMULA(XLOOKUP(FILTER(INDIRECT(""'""&amp;DH$1&amp;""'!$C$4:$C$66""),INDIRECT(""'""&amp;DH$1&amp;""'!$D$4:$D$66"")=DH$2),$G$3:$BQ$3,$G67:$BQ67))),"""")"),"")</f>
        <v/>
      </c>
      <c r="DJ67" s="243"/>
    </row>
    <row r="68">
      <c r="A68" s="2"/>
      <c r="B68" s="204">
        <v>64.0</v>
      </c>
      <c r="C68" s="204" t="s">
        <v>507</v>
      </c>
      <c r="D68" s="204" t="s">
        <v>509</v>
      </c>
      <c r="E68" s="205" t="b">
        <f>VLOOKUP(D68,'Feature Set List'!A65:C246,2,0)</f>
        <v>1</v>
      </c>
      <c r="F68" s="205" t="b">
        <f>VLOOKUP(D68,'Feature Set List'!A65:C246,3,0)</f>
        <v>1</v>
      </c>
      <c r="G68" s="205">
        <v>0.47234416</v>
      </c>
      <c r="H68" s="205">
        <v>0.71817384</v>
      </c>
      <c r="I68" s="205">
        <v>7.06877378</v>
      </c>
      <c r="J68" s="205">
        <v>2.06438396</v>
      </c>
      <c r="K68" s="205">
        <v>-0.3769388</v>
      </c>
      <c r="L68" s="205">
        <v>-0.2124671</v>
      </c>
      <c r="M68" s="205">
        <v>0.01112087</v>
      </c>
      <c r="N68" s="205">
        <v>0.48405034</v>
      </c>
      <c r="O68" s="205">
        <v>1.30933567</v>
      </c>
      <c r="P68" s="205">
        <v>1.52004682</v>
      </c>
      <c r="Q68" s="205">
        <v>-0.8124085</v>
      </c>
      <c r="R68" s="205">
        <v>-0.3623061</v>
      </c>
      <c r="S68" s="205">
        <v>0.40210711</v>
      </c>
      <c r="T68" s="205">
        <v>0.07023705</v>
      </c>
      <c r="U68" s="205">
        <v>-1.36494</v>
      </c>
      <c r="V68" s="205">
        <v>0.30845771</v>
      </c>
      <c r="W68" s="205">
        <v>0.46649107</v>
      </c>
      <c r="X68" s="205">
        <v>-1.253146</v>
      </c>
      <c r="Y68" s="205">
        <v>-0.2183202</v>
      </c>
      <c r="Z68" s="205">
        <v>-1.0061457</v>
      </c>
      <c r="AA68" s="205">
        <v>-1.0927714</v>
      </c>
      <c r="AB68" s="205">
        <v>-0.2879719</v>
      </c>
      <c r="AC68" s="205">
        <v>0.24407375</v>
      </c>
      <c r="AD68" s="205">
        <v>-1.9268364</v>
      </c>
      <c r="AE68" s="205">
        <v>0.34942932</v>
      </c>
      <c r="AF68" s="205">
        <v>0.27333919</v>
      </c>
      <c r="AG68" s="205">
        <v>1.84196664</v>
      </c>
      <c r="AH68" s="205">
        <v>0.3143108</v>
      </c>
      <c r="AI68" s="205">
        <v>1.99414691</v>
      </c>
      <c r="AJ68" s="205">
        <v>-2.6707638</v>
      </c>
      <c r="AK68" s="205">
        <v>-0.191396</v>
      </c>
      <c r="AL68" s="205">
        <v>-0.0456541</v>
      </c>
      <c r="AM68" s="205">
        <v>0.4547849</v>
      </c>
      <c r="AN68" s="205">
        <v>-1.3110916</v>
      </c>
      <c r="AO68" s="205">
        <v>-0.3763535</v>
      </c>
      <c r="AP68" s="205">
        <v>-0.2089552</v>
      </c>
      <c r="AQ68" s="205">
        <v>1.52589991</v>
      </c>
      <c r="AR68" s="205">
        <v>-2.1369622</v>
      </c>
      <c r="AS68" s="205">
        <v>1.78343576</v>
      </c>
      <c r="AT68" s="205">
        <v>2.13462101</v>
      </c>
      <c r="AU68" s="205">
        <v>-1.5557507</v>
      </c>
      <c r="AV68" s="205">
        <v>0.11823237</v>
      </c>
      <c r="AW68" s="205">
        <v>-0.0813579</v>
      </c>
      <c r="AX68" s="205">
        <v>-1.975417</v>
      </c>
      <c r="AY68" s="205">
        <v>-1.1460345</v>
      </c>
      <c r="AZ68" s="205">
        <v>0.0</v>
      </c>
      <c r="BA68" s="205">
        <v>2.83699151</v>
      </c>
      <c r="BB68" s="205">
        <v>-0.6532046</v>
      </c>
      <c r="BC68" s="205">
        <v>-0.3172373</v>
      </c>
      <c r="BD68" s="205">
        <v>-0.3646474</v>
      </c>
      <c r="BE68" s="205">
        <v>0.10242903</v>
      </c>
      <c r="BF68" s="205">
        <v>1.80684811</v>
      </c>
      <c r="BG68" s="205">
        <v>2.59701493</v>
      </c>
      <c r="BH68" s="205">
        <v>-1.4328358</v>
      </c>
      <c r="BI68" s="205">
        <v>-0.4395669</v>
      </c>
      <c r="BJ68" s="205">
        <v>1.11618379</v>
      </c>
      <c r="BK68" s="205">
        <v>1.50834065</v>
      </c>
      <c r="BL68" s="205">
        <v>-0.5923325</v>
      </c>
      <c r="BM68" s="205">
        <v>-1.2958736</v>
      </c>
      <c r="BN68" s="205">
        <v>-0.0269242</v>
      </c>
      <c r="BO68" s="205">
        <v>0.26163301</v>
      </c>
      <c r="BP68" s="205">
        <v>0.48405034</v>
      </c>
      <c r="BQ68" s="205">
        <v>-0.3822066</v>
      </c>
      <c r="BR68" s="206"/>
      <c r="BS68" s="250">
        <f t="shared" si="1"/>
        <v>0.1670545525</v>
      </c>
      <c r="BT68" s="250">
        <f t="shared" si="2"/>
        <v>1.010500383</v>
      </c>
      <c r="BU68" s="206"/>
      <c r="BV68" s="207">
        <f>IFERROR(__xludf.DUMMYFUNCTION("AVERAGE(ARRAYFORMULA(XLOOKUP(FILTER(INDIRECT(""'""&amp;BV$1&amp;""'!$C$4:$C$66""),INDIRECT(""'""&amp;BV$1&amp;""'!$D$4:$D$66"")=BV$2),$G$3:$BQ$3,$G68:$BQ68)))"),-0.7547974385714287)</f>
        <v>-0.7547974386</v>
      </c>
      <c r="BW68" s="207" t="str">
        <f>IFERROR(__xludf.DUMMYFUNCTION("IF(OR(BV68&gt;$BS68+$BT68*$BT$2,BV68&lt;$BS68-$BT68*$BT$2),AVEDEV(ARRAYFORMULA(XLOOKUP(FILTER(INDIRECT(""'""&amp;BV$1&amp;""'!$C$4:$C$66""),INDIRECT(""'""&amp;BV$1&amp;""'!$D$4:$D$66"")=BV$2),$G$3:$BQ$3,$G68:$BQ68))),"""")"),"")</f>
        <v/>
      </c>
      <c r="BX68" s="207">
        <f>IFERROR(__xludf.DUMMYFUNCTION("AVERAGE(ARRAYFORMULA(XLOOKUP(FILTER(INDIRECT(""'""&amp;BX$1&amp;""'!$C$4:$C$66""),INDIRECT(""'""&amp;BX$1&amp;""'!$D$4:$D$66"")=BX$2),$G$3:$BQ$3,$G68:$BQ68)))"),0.16037460547619056)</f>
        <v>0.1603746055</v>
      </c>
      <c r="BY68" s="207" t="str">
        <f>IFERROR(__xludf.DUMMYFUNCTION("IF(OR(BX68&gt;$BS68+$BT68*$BT$2,BX68&lt;$BS68-$BT68*$BT$2),AVEDEV(ARRAYFORMULA(XLOOKUP(FILTER(INDIRECT(""'""&amp;BX$1&amp;""'!$C$4:$C$66""),INDIRECT(""'""&amp;BX$1&amp;""'!$D$4:$D$66"")=BX$2),$G$3:$BQ$3,$G68:$BQ68))),"""")"),"")</f>
        <v/>
      </c>
      <c r="BZ68" s="207">
        <f>IFERROR(__xludf.DUMMYFUNCTION("AVERAGE(ARRAYFORMULA(XLOOKUP(FILTER(INDIRECT(""'""&amp;BZ$1&amp;""'!$C$4:$C$66""),INDIRECT(""'""&amp;BZ$1&amp;""'!$D$4:$D$66"")=BZ$2),$G$3:$BQ$3,$G68:$BQ68)))"),0.35671906999999997)</f>
        <v>0.35671907</v>
      </c>
      <c r="CA68" s="207" t="str">
        <f>IFERROR(__xludf.DUMMYFUNCTION("IF(OR(BZ68&gt;$BS68+$BT68*$BT$2,BZ68&lt;$BS68-$BT68*$BT$2),AVEDEV(ARRAYFORMULA(XLOOKUP(FILTER(INDIRECT(""'""&amp;BZ$1&amp;""'!$C$4:$C$66""),INDIRECT(""'""&amp;BZ$1&amp;""'!$D$4:$D$66"")=BZ$2),$G$3:$BQ$3,$G68:$BQ68))),"""")"),"")</f>
        <v/>
      </c>
      <c r="CB68" s="209"/>
      <c r="CC68" s="207">
        <f>IFERROR(__xludf.DUMMYFUNCTION("AVERAGE(ARRAYFORMULA(XLOOKUP(FILTER(INDIRECT(""'""&amp;CC$1&amp;""'!$C$4:$C$66""),INDIRECT(""'""&amp;CC$1&amp;""'!$D$4:$D$66"")=CC$2),$G$3:$BQ$3,$G68:$BQ68)))"),0.646949078125)</f>
        <v>0.6469490781</v>
      </c>
      <c r="CD68" s="207" t="str">
        <f>IFERROR(__xludf.DUMMYFUNCTION("IF(OR(CC68&gt;$BS68+$BT68*$BT$2,CC68&lt;$BS68-$BT68*$BT$2),AVEDEV(ARRAYFORMULA(XLOOKUP(FILTER(INDIRECT(""'""&amp;CC$1&amp;""'!$C$4:$C$66""),INDIRECT(""'""&amp;CC$1&amp;""'!$D$4:$D$66"")=CC$2),$G$3:$BQ$3,$G68:$BQ68))),"""")"),"")</f>
        <v/>
      </c>
      <c r="CE68" s="207">
        <f>IFERROR(__xludf.DUMMYFUNCTION("AVERAGE(ARRAYFORMULA(XLOOKUP(FILTER(INDIRECT(""'""&amp;CE$1&amp;""'!$C$4:$C$66""),INDIRECT(""'""&amp;CE$1&amp;""'!$D$4:$D$66"")=CE$2),$G$3:$BQ$3,$G68:$BQ68)))"),-0.22215298580645162)</f>
        <v>-0.2221529858</v>
      </c>
      <c r="CF68" s="207" t="str">
        <f>IFERROR(__xludf.DUMMYFUNCTION("IF(OR(CE68&gt;$BS68+$BT68*$BT$2,CE68&lt;$BS68-$BT68*$BT$2),AVEDEV(ARRAYFORMULA(XLOOKUP(FILTER(INDIRECT(""'""&amp;CE$1&amp;""'!$C$4:$C$66""),INDIRECT(""'""&amp;CE$1&amp;""'!$D$4:$D$66"")=CE$2),$G$3:$BQ$3,$G68:$BQ68))),"""")"),"")</f>
        <v/>
      </c>
      <c r="CG68" s="207">
        <f>IFERROR(__xludf.DUMMYFUNCTION("AVERAGE(ARRAYFORMULA(XLOOKUP(FILTER(INDIRECT(""'""&amp;CG$1&amp;""'!$C$4:$C$66""),INDIRECT(""'""&amp;CG$1&amp;""'!$D$4:$D$66"")=CG$2),$G$3:$BQ$3,$G68:$BQ68)))"),1.7615452139999999)</f>
        <v>1.761545214</v>
      </c>
      <c r="CH68" s="207">
        <f>IFERROR(__xludf.DUMMYFUNCTION("IF(OR(CG68&gt;$BS68+$BT68*$BT$2,CG68&lt;$BS68-$BT68*$BT$2),AVEDEV(ARRAYFORMULA(XLOOKUP(FILTER(INDIRECT(""'""&amp;CG$1&amp;""'!$C$4:$C$66""),INDIRECT(""'""&amp;CG$1&amp;""'!$D$4:$D$66"")=CG$2),$G$3:$BQ$3,$G68:$BQ68))),"""")"),0.7731226232)</f>
        <v>0.7731226232</v>
      </c>
      <c r="CI68" s="206"/>
      <c r="CJ68" s="251">
        <f>IFERROR(__xludf.DUMMYFUNCTION("AVERAGE(ARRAYFORMULA(XLOOKUP(FILTER(INDIRECT(""'""&amp;CJ$1&amp;""'!$C$4:$C$66""),INDIRECT(""'""&amp;CJ$1&amp;""'!$D$4:$D$66"")=CJ$2),$G$3:$BQ$3,$G68:$BQ68)))"),-0.12022241866666665)</f>
        <v>-0.1202224187</v>
      </c>
      <c r="CK68" s="207" t="str">
        <f>IFERROR(__xludf.DUMMYFUNCTION("IF(OR(CJ68&gt;$BS68+$BT68*$BT$2,CJ68&lt;$BS68-$BT68*$BT$2),AVEDEV(ARRAYFORMULA(XLOOKUP(FILTER(INDIRECT(""'""&amp;CJ$1&amp;""'!$C$4:$C$66""),INDIRECT(""'""&amp;CJ$1&amp;""'!$D$4:$D$66"")=CJ$2),$G$3:$BQ$3,$G68:$BQ68))),"""")"),"")</f>
        <v/>
      </c>
      <c r="CL68" s="251">
        <f>IFERROR(__xludf.DUMMYFUNCTION("AVERAGE(ARRAYFORMULA(XLOOKUP(FILTER(INDIRECT(""'""&amp;CL$1&amp;""'!$C$4:$C$66""),INDIRECT(""'""&amp;CL$1&amp;""'!$D$4:$D$66"")=CL$2),$G$3:$BQ$3,$G68:$BQ68)))"),-0.026564004102564133)</f>
        <v>-0.0265640041</v>
      </c>
      <c r="CM68" s="207" t="str">
        <f>IFERROR(__xludf.DUMMYFUNCTION("IF(OR(CL68&gt;$BS68+$BT68*$BT$2,CL68&lt;$BS68-$BT68*$BT$2),AVEDEV(ARRAYFORMULA(XLOOKUP(FILTER(INDIRECT(""'""&amp;CL$1&amp;""'!$C$4:$C$66""),INDIRECT(""'""&amp;CL$1&amp;""'!$D$4:$D$66"")=CL$2),$G$3:$BQ$3,$G68:$BQ68))),"""")"),"")</f>
        <v/>
      </c>
      <c r="CN68" s="251">
        <f>IFERROR(__xludf.DUMMYFUNCTION("AVERAGE(ARRAYFORMULA(XLOOKUP(FILTER(INDIRECT(""'""&amp;CN$1&amp;""'!$C$4:$C$66""),INDIRECT(""'""&amp;CN$1&amp;""'!$D$4:$D$66"")=CN$2),$G$3:$BQ$3,$G68:$BQ68)))"),1.7615452139999999)</f>
        <v>1.761545214</v>
      </c>
      <c r="CO68" s="207">
        <f>IFERROR(__xludf.DUMMYFUNCTION("IF(OR(CN68&gt;$BS68+$BT68*$BT$2,CN68&lt;$BS68-$BT68*$BT$2),AVEDEV(ARRAYFORMULA(XLOOKUP(FILTER(INDIRECT(""'""&amp;CN$1&amp;""'!$C$4:$C$66""),INDIRECT(""'""&amp;CN$1&amp;""'!$D$4:$D$66"")=CN$2),$G$3:$BQ$3,$G68:$BQ68))),"""")"),0.7731226232)</f>
        <v>0.7731226232</v>
      </c>
      <c r="CP68" s="252"/>
      <c r="CQ68" s="251">
        <f>IFERROR(__xludf.DUMMYFUNCTION("AVERAGE(ARRAYFORMULA(XLOOKUP(FILTER(INDIRECT(""'""&amp;CQ$1&amp;""'!$C$4:$C$66""),INDIRECT(""'""&amp;CQ$1&amp;""'!$D$4:$D$66"")=CQ$2),$G$3:$BQ$3,$G68:$BQ68)))"),0.8624524421428571)</f>
        <v>0.8624524421</v>
      </c>
      <c r="CR68" s="207" t="str">
        <f>IFERROR(__xludf.DUMMYFUNCTION("IF(OR(CQ68&gt;$BS68+$BT68*$BT$2,CQ68&lt;$BS68-$BT68*$BT$2),AVEDEV(ARRAYFORMULA(XLOOKUP(FILTER(INDIRECT(""'""&amp;CQ$1&amp;""'!$C$4:$C$66""),INDIRECT(""'""&amp;CQ$1&amp;""'!$D$4:$D$66"")=CQ$2),$G$3:$BQ$3,$G68:$BQ68))),"""")"),"")</f>
        <v/>
      </c>
      <c r="CS68" s="251">
        <f>IFERROR(__xludf.DUMMYFUNCTION("AVERAGE(ARRAYFORMULA(XLOOKUP(FILTER(INDIRECT(""'""&amp;CS$1&amp;""'!$C$4:$C$66""),INDIRECT(""'""&amp;CS$1&amp;""'!$D$4:$D$66"")=CS$2),$G$3:$BQ$3,$G68:$BQ68)))"),0.57997593)</f>
        <v>0.57997593</v>
      </c>
      <c r="CT68" s="207" t="str">
        <f>IFERROR(__xludf.DUMMYFUNCTION("IF(OR(CS68&gt;$BS68+$BT68*$BT$2,CS68&lt;$BS68-$BT68*$BT$2),AVEDEV(ARRAYFORMULA(XLOOKUP(FILTER(INDIRECT(""'""&amp;CS$1&amp;""'!$C$4:$C$66""),INDIRECT(""'""&amp;CS$1&amp;""'!$D$4:$D$66"")=CS$2),$G$3:$BQ$3,$G68:$BQ68))),"""")"),"")</f>
        <v/>
      </c>
      <c r="CU68" s="251">
        <f>IFERROR(__xludf.DUMMYFUNCTION("AVERAGE(ARRAYFORMULA(XLOOKUP(FILTER(INDIRECT(""'""&amp;CU$1&amp;""'!$C$4:$C$66""),INDIRECT(""'""&amp;CU$1&amp;""'!$D$4:$D$66"")=CU$2),$G$3:$BQ$3,$G68:$BQ68)))"),0.4678213254545454)</f>
        <v>0.4678213255</v>
      </c>
      <c r="CV68" s="207" t="str">
        <f>IFERROR(__xludf.DUMMYFUNCTION("IF(OR(CU68&gt;$BS68+$BT68*$BT$2,CU68&lt;$BS68-$BT68*$BT$2),AVEDEV(ARRAYFORMULA(XLOOKUP(FILTER(INDIRECT(""'""&amp;CU$1&amp;""'!$C$4:$C$66""),INDIRECT(""'""&amp;CU$1&amp;""'!$D$4:$D$66"")=CU$2),$G$3:$BQ$3,$G68:$BQ68))),"""")"),"")</f>
        <v/>
      </c>
      <c r="CW68" s="251">
        <f>IFERROR(__xludf.DUMMYFUNCTION("AVERAGE(ARRAYFORMULA(XLOOKUP(FILTER(INDIRECT(""'""&amp;CW$1&amp;""'!$C$4:$C$66""),INDIRECT(""'""&amp;CW$1&amp;""'!$D$4:$D$66"")=CW$2),$G$3:$BQ$3,$G68:$BQ68)))"),-1.6798361000000002)</f>
        <v>-1.6798361</v>
      </c>
      <c r="CX68" s="207">
        <f>IFERROR(__xludf.DUMMYFUNCTION("IF(OR(CW68&gt;$BS68+$BT68*$BT$2,CW68&lt;$BS68-$BT68*$BT$2),AVEDEV(ARRAYFORMULA(XLOOKUP(FILTER(INDIRECT(""'""&amp;CW$1&amp;""'!$C$4:$C$66""),INDIRECT(""'""&amp;CW$1&amp;""'!$D$4:$D$66"")=CW$2),$G$3:$BQ$3,$G68:$BQ68))),"""")"),0.24700029999999995)</f>
        <v>0.2470003</v>
      </c>
      <c r="CY68" s="251">
        <f>IFERROR(__xludf.DUMMYFUNCTION("AVERAGE(ARRAYFORMULA(XLOOKUP(FILTER(INDIRECT(""'""&amp;CY$1&amp;""'!$C$4:$C$66""),INDIRECT(""'""&amp;CY$1&amp;""'!$D$4:$D$66"")=CY$2),$G$3:$BQ$3,$G68:$BQ68)))"),-0.6093900071428572)</f>
        <v>-0.6093900071</v>
      </c>
      <c r="CZ68" s="207" t="str">
        <f>IFERROR(__xludf.DUMMYFUNCTION("IF(OR(CY68&gt;$BS68+$BT68*$BT$2,CY68&lt;$BS68-$BT68*$BT$2),AVEDEV(ARRAYFORMULA(XLOOKUP(FILTER(INDIRECT(""'""&amp;CY$1&amp;""'!$C$4:$C$66""),INDIRECT(""'""&amp;CY$1&amp;""'!$D$4:$D$66"")=CY$2),$G$3:$BQ$3,$G68:$BQ68))),"""")"),"")</f>
        <v/>
      </c>
      <c r="DA68" s="252"/>
      <c r="DB68" s="251">
        <f>IFERROR(__xludf.DUMMYFUNCTION("AVERAGE(ARRAYFORMULA(XLOOKUP(FILTER(INDIRECT(""'""&amp;DB$1&amp;""'!$C$4:$C$66""),INDIRECT(""'""&amp;DB$1&amp;""'!$D$4:$D$66"")=DB$2),$G$3:$BQ$3,$G68:$BQ68)))"),0.3862062280000001)</f>
        <v>0.386206228</v>
      </c>
      <c r="DC68" s="207" t="str">
        <f>IFERROR(__xludf.DUMMYFUNCTION("IF(OR(DB68&gt;$BS68+$BT68*$BT$2,DB68&lt;$BS68-$BT68*$BT$2),AVEDEV(ARRAYFORMULA(XLOOKUP(FILTER(INDIRECT(""'""&amp;DB$1&amp;""'!$C$4:$C$66""),INDIRECT(""'""&amp;DB$1&amp;""'!$D$4:$D$66"")=DB$2),$G$3:$BQ$3,$G68:$BQ68))),"""")"),"")</f>
        <v/>
      </c>
      <c r="DD68" s="251">
        <f>IFERROR(__xludf.DUMMYFUNCTION("AVERAGE(ARRAYFORMULA(XLOOKUP(FILTER(INDIRECT(""'""&amp;DD$1&amp;""'!$C$4:$C$66""),INDIRECT(""'""&amp;DD$1&amp;""'!$D$4:$D$66"")=DD$2),$G$3:$BQ$3,$G68:$BQ68)))"),0.4430136833333333)</f>
        <v>0.4430136833</v>
      </c>
      <c r="DE68" s="207" t="str">
        <f>IFERROR(__xludf.DUMMYFUNCTION("IF(OR(DD68&gt;$BS68+$BT68*$BT$2,DD68&lt;$BS68-$BT68*$BT$2),AVEDEV(ARRAYFORMULA(XLOOKUP(FILTER(INDIRECT(""'""&amp;DD$1&amp;""'!$C$4:$C$66""),INDIRECT(""'""&amp;DD$1&amp;""'!$D$4:$D$66"")=DD$2),$G$3:$BQ$3,$G68:$BQ68))),"""")"),"")</f>
        <v/>
      </c>
      <c r="DF68" s="251">
        <f>IFERROR(__xludf.DUMMYFUNCTION("AVERAGE(ARRAYFORMULA(XLOOKUP(FILTER(INDIRECT(""'""&amp;DF$1&amp;""'!$C$4:$C$66""),INDIRECT(""'""&amp;DF$1&amp;""'!$D$4:$D$66"")=DF$2),$G$3:$BQ$3,$G68:$BQ68)))"),-0.6156716275)</f>
        <v>-0.6156716275</v>
      </c>
      <c r="DG68" s="207" t="str">
        <f>IFERROR(__xludf.DUMMYFUNCTION("IF(OR(DF68&gt;$BS68+$BT68*$BT$2,DF68&lt;$BS68-$BT68*$BT$2),AVEDEV(ARRAYFORMULA(XLOOKUP(FILTER(INDIRECT(""'""&amp;DF$1&amp;""'!$C$4:$C$66""),INDIRECT(""'""&amp;DF$1&amp;""'!$D$4:$D$66"")=DF$2),$G$3:$BQ$3,$G68:$BQ68))),"""")"),"")</f>
        <v/>
      </c>
      <c r="DH68" s="251">
        <f>IFERROR(__xludf.DUMMYFUNCTION("AVERAGE(ARRAYFORMULA(XLOOKUP(FILTER(INDIRECT(""'""&amp;DH$1&amp;""'!$C$4:$C$66""),INDIRECT(""'""&amp;DH$1&amp;""'!$D$4:$D$66"")=DH$2),$G$3:$BQ$3,$G68:$BQ68)))"),-0.1014535155555556)</f>
        <v>-0.1014535156</v>
      </c>
      <c r="DI68" s="207" t="str">
        <f>IFERROR(__xludf.DUMMYFUNCTION("IF(OR(DH68&gt;$BS68+$BT68*$BT$2,DH68&lt;$BS68-$BT68*$BT$2),AVEDEV(ARRAYFORMULA(XLOOKUP(FILTER(INDIRECT(""'""&amp;DH$1&amp;""'!$C$4:$C$66""),INDIRECT(""'""&amp;DH$1&amp;""'!$D$4:$D$66"")=DH$2),$G$3:$BQ$3,$G68:$BQ68))),"""")"),"")</f>
        <v/>
      </c>
      <c r="DJ68" s="243"/>
    </row>
    <row r="69">
      <c r="A69" s="2"/>
      <c r="B69" s="204">
        <v>65.0</v>
      </c>
      <c r="C69" s="204" t="s">
        <v>507</v>
      </c>
      <c r="D69" s="204" t="s">
        <v>510</v>
      </c>
      <c r="E69" s="205" t="b">
        <f>VLOOKUP(D69,'Feature Set List'!A66:C246,2,0)</f>
        <v>1</v>
      </c>
      <c r="F69" s="205" t="b">
        <f>VLOOKUP(D69,'Feature Set List'!A66:C246,3,0)</f>
        <v>1</v>
      </c>
      <c r="G69" s="205">
        <v>0.57940992</v>
      </c>
      <c r="H69" s="205">
        <v>0.52291274</v>
      </c>
      <c r="I69" s="205">
        <v>-0.9127433</v>
      </c>
      <c r="J69" s="205">
        <v>-0.2868801</v>
      </c>
      <c r="K69" s="205">
        <v>0.85185185</v>
      </c>
      <c r="L69" s="205">
        <v>0.01192718</v>
      </c>
      <c r="M69" s="205">
        <v>-0.386064</v>
      </c>
      <c r="N69" s="205">
        <v>-0.393597</v>
      </c>
      <c r="O69" s="205">
        <v>0.46704331</v>
      </c>
      <c r="P69" s="205">
        <v>-1.0721908</v>
      </c>
      <c r="Q69" s="205">
        <v>0.22912743</v>
      </c>
      <c r="R69" s="205">
        <v>-0.0213434</v>
      </c>
      <c r="S69" s="205">
        <v>0.84243566</v>
      </c>
      <c r="T69" s="205">
        <v>-0.2780917</v>
      </c>
      <c r="U69" s="205">
        <v>-1.4883867</v>
      </c>
      <c r="V69" s="205">
        <v>-0.13371</v>
      </c>
      <c r="W69" s="205">
        <v>-0.2040176</v>
      </c>
      <c r="X69" s="205">
        <v>-0.6603892</v>
      </c>
      <c r="Y69" s="205">
        <v>1.10483365</v>
      </c>
      <c r="Z69" s="205">
        <v>-0.002511</v>
      </c>
      <c r="AA69" s="205">
        <v>-0.180791</v>
      </c>
      <c r="AB69" s="205">
        <v>-0.7457627</v>
      </c>
      <c r="AC69" s="205">
        <v>0.24482109</v>
      </c>
      <c r="AD69" s="205">
        <v>-0.1111111</v>
      </c>
      <c r="AE69" s="205">
        <v>0.24293785</v>
      </c>
      <c r="AF69" s="205">
        <v>0.43565599</v>
      </c>
      <c r="AG69" s="205">
        <v>-0.8311362</v>
      </c>
      <c r="AH69" s="205">
        <v>-0.2881356</v>
      </c>
      <c r="AI69" s="205">
        <v>0.0</v>
      </c>
      <c r="AJ69" s="205">
        <v>-0.826742</v>
      </c>
      <c r="AK69" s="205">
        <v>-0.5605775</v>
      </c>
      <c r="AL69" s="205">
        <v>0.22912743</v>
      </c>
      <c r="AM69" s="205">
        <v>0.36032643</v>
      </c>
      <c r="AN69" s="205">
        <v>0.61770245</v>
      </c>
      <c r="AO69" s="205">
        <v>-1.6371626</v>
      </c>
      <c r="AP69" s="205">
        <v>-0.7809165</v>
      </c>
      <c r="AQ69" s="205">
        <v>0.2529818</v>
      </c>
      <c r="AR69" s="205">
        <v>1.71563089</v>
      </c>
      <c r="AS69" s="205">
        <v>0.13182674</v>
      </c>
      <c r="AT69" s="205">
        <v>0.38669178</v>
      </c>
      <c r="AU69" s="205">
        <v>-1.0558694</v>
      </c>
      <c r="AV69" s="205">
        <v>1.30131827</v>
      </c>
      <c r="AW69" s="205">
        <v>0.01506591</v>
      </c>
      <c r="AX69" s="205">
        <v>0.38794727</v>
      </c>
      <c r="AY69" s="205">
        <v>-0.4921532</v>
      </c>
      <c r="AZ69" s="205">
        <v>0.48022599</v>
      </c>
      <c r="BA69" s="205">
        <v>-0.6377903</v>
      </c>
      <c r="BB69" s="205">
        <v>-1.2109228</v>
      </c>
      <c r="BC69" s="205">
        <v>0.96170747</v>
      </c>
      <c r="BD69" s="205">
        <v>-0.0062775</v>
      </c>
      <c r="BE69" s="205">
        <v>-1.3176397</v>
      </c>
      <c r="BF69" s="205">
        <v>0.25800377</v>
      </c>
      <c r="BG69" s="205">
        <v>-0.4664156</v>
      </c>
      <c r="BH69" s="205">
        <v>-0.0847458</v>
      </c>
      <c r="BI69" s="205">
        <v>0.82360326</v>
      </c>
      <c r="BJ69" s="205">
        <v>0.96233522</v>
      </c>
      <c r="BK69" s="205">
        <v>0.54613936</v>
      </c>
      <c r="BL69" s="205">
        <v>-1.6007533</v>
      </c>
      <c r="BM69" s="205">
        <v>-1.1217828</v>
      </c>
      <c r="BN69" s="205">
        <v>1.89014438</v>
      </c>
      <c r="BO69" s="205">
        <v>0.98807282</v>
      </c>
      <c r="BP69" s="205">
        <v>0.35655995</v>
      </c>
      <c r="BQ69" s="205">
        <v>1.30257376</v>
      </c>
      <c r="BR69" s="206"/>
      <c r="BS69" s="250">
        <f t="shared" si="1"/>
        <v>-0.004693155238</v>
      </c>
      <c r="BT69" s="250">
        <f t="shared" si="2"/>
        <v>0.6239144363</v>
      </c>
      <c r="BU69" s="206"/>
      <c r="BV69" s="207">
        <f>IFERROR(__xludf.DUMMYFUNCTION("AVERAGE(ARRAYFORMULA(XLOOKUP(FILTER(INDIRECT(""'""&amp;BV$1&amp;""'!$C$4:$C$66""),INDIRECT(""'""&amp;BV$1&amp;""'!$D$4:$D$66"")=BV$2),$G$3:$BQ$3,$G69:$BQ69)))"),-1.201058214285714)</f>
        <v>-1.201058214</v>
      </c>
      <c r="BW69" s="207">
        <f>IFERROR(__xludf.DUMMYFUNCTION("IF(OR(BV69&gt;$BS69+$BT69*$BT$2,BV69&lt;$BS69-$BT69*$BT$2),AVEDEV(ARRAYFORMULA(XLOOKUP(FILTER(INDIRECT(""'""&amp;BV$1&amp;""'!$C$4:$C$66""),INDIRECT(""'""&amp;BV$1&amp;""'!$D$4:$D$66"")=BV$2),$G$3:$BQ$3,$G69:$BQ69))),"""")"),0.35702115102040827)</f>
        <v>0.357021151</v>
      </c>
      <c r="BX69" s="207">
        <f>IFERROR(__xludf.DUMMYFUNCTION("AVERAGE(ARRAYFORMULA(XLOOKUP(FILTER(INDIRECT(""'""&amp;BX$1&amp;""'!$C$4:$C$66""),INDIRECT(""'""&amp;BX$1&amp;""'!$D$4:$D$66"")=BX$2),$G$3:$BQ$3,$G69:$BQ69)))"),0.26605984261904775)</f>
        <v>0.2660598426</v>
      </c>
      <c r="BY69" s="207" t="str">
        <f>IFERROR(__xludf.DUMMYFUNCTION("IF(OR(BX69&gt;$BS69+$BT69*$BT$2,BX69&lt;$BS69-$BT69*$BT$2),AVEDEV(ARRAYFORMULA(XLOOKUP(FILTER(INDIRECT(""'""&amp;BX$1&amp;""'!$C$4:$C$66""),INDIRECT(""'""&amp;BX$1&amp;""'!$D$4:$D$66"")=BX$2),$G$3:$BQ$3,$G69:$BQ69))),"""")"),"")</f>
        <v/>
      </c>
      <c r="BZ69" s="207">
        <f>IFERROR(__xludf.DUMMYFUNCTION("AVERAGE(ARRAYFORMULA(XLOOKUP(FILTER(INDIRECT(""'""&amp;BZ$1&amp;""'!$C$4:$C$66""),INDIRECT(""'""&amp;BZ$1&amp;""'!$D$4:$D$66"")=BZ$2),$G$3:$BQ$3,$G69:$BQ69)))"),-0.09889858818181821)</f>
        <v>-0.09889858818</v>
      </c>
      <c r="CA69" s="207" t="str">
        <f>IFERROR(__xludf.DUMMYFUNCTION("IF(OR(BZ69&gt;$BS69+$BT69*$BT$2,BZ69&lt;$BS69-$BT69*$BT$2),AVEDEV(ARRAYFORMULA(XLOOKUP(FILTER(INDIRECT(""'""&amp;BZ$1&amp;""'!$C$4:$C$66""),INDIRECT(""'""&amp;BZ$1&amp;""'!$D$4:$D$66"")=BZ$2),$G$3:$BQ$3,$G69:$BQ69))),"""")"),"")</f>
        <v/>
      </c>
      <c r="CB69" s="209"/>
      <c r="CC69" s="207">
        <f>IFERROR(__xludf.DUMMYFUNCTION("AVERAGE(ARRAYFORMULA(XLOOKUP(FILTER(INDIRECT(""'""&amp;CC$1&amp;""'!$C$4:$C$66""),INDIRECT(""'""&amp;CC$1&amp;""'!$D$4:$D$66"")=CC$2),$G$3:$BQ$3,$G69:$BQ69)))"),-0.19723006875000004)</f>
        <v>-0.1972300688</v>
      </c>
      <c r="CD69" s="207" t="str">
        <f>IFERROR(__xludf.DUMMYFUNCTION("IF(OR(CC69&gt;$BS69+$BT69*$BT$2,CC69&lt;$BS69-$BT69*$BT$2),AVEDEV(ARRAYFORMULA(XLOOKUP(FILTER(INDIRECT(""'""&amp;CC$1&amp;""'!$C$4:$C$66""),INDIRECT(""'""&amp;CC$1&amp;""'!$D$4:$D$66"")=CC$2),$G$3:$BQ$3,$G69:$BQ69))),"""")"),"")</f>
        <v/>
      </c>
      <c r="CE69" s="207">
        <f>IFERROR(__xludf.DUMMYFUNCTION("AVERAGE(ARRAYFORMULA(XLOOKUP(FILTER(INDIRECT(""'""&amp;CE$1&amp;""'!$C$4:$C$66""),INDIRECT(""'""&amp;CE$1&amp;""'!$D$4:$D$66"")=CE$2),$G$3:$BQ$3,$G69:$BQ69)))"),0.27440616709677423)</f>
        <v>0.2744061671</v>
      </c>
      <c r="CF69" s="207" t="str">
        <f>IFERROR(__xludf.DUMMYFUNCTION("IF(OR(CE69&gt;$BS69+$BT69*$BT$2,CE69&lt;$BS69-$BT69*$BT$2),AVEDEV(ARRAYFORMULA(XLOOKUP(FILTER(INDIRECT(""'""&amp;CE$1&amp;""'!$C$4:$C$66""),INDIRECT(""'""&amp;CE$1&amp;""'!$D$4:$D$66"")=CE$2),$G$3:$BQ$3,$G69:$BQ69))),"""")"),"")</f>
        <v/>
      </c>
      <c r="CG69" s="207">
        <f>IFERROR(__xludf.DUMMYFUNCTION("AVERAGE(ARRAYFORMULA(XLOOKUP(FILTER(INDIRECT(""'""&amp;CG$1&amp;""'!$C$4:$C$66""),INDIRECT(""'""&amp;CG$1&amp;""'!$D$4:$D$66"")=CG$2),$G$3:$BQ$3,$G69:$BQ69)))"),-0.464532332)</f>
        <v>-0.464532332</v>
      </c>
      <c r="CH69" s="207" t="str">
        <f>IFERROR(__xludf.DUMMYFUNCTION("IF(OR(CG69&gt;$BS69+$BT69*$BT$2,CG69&lt;$BS69-$BT69*$BT$2),AVEDEV(ARRAYFORMULA(XLOOKUP(FILTER(INDIRECT(""'""&amp;CG$1&amp;""'!$C$4:$C$66""),INDIRECT(""'""&amp;CG$1&amp;""'!$D$4:$D$66"")=CG$2),$G$3:$BQ$3,$G69:$BQ69))),"""")"),"")</f>
        <v/>
      </c>
      <c r="CI69" s="206"/>
      <c r="CJ69" s="251">
        <f>IFERROR(__xludf.DUMMYFUNCTION("AVERAGE(ARRAYFORMULA(XLOOKUP(FILTER(INDIRECT(""'""&amp;CJ$1&amp;""'!$C$4:$C$66""),INDIRECT(""'""&amp;CJ$1&amp;""'!$D$4:$D$66"")=CJ$2),$G$3:$BQ$3,$G69:$BQ69)))"),-0.2573760260000001)</f>
        <v>-0.257376026</v>
      </c>
      <c r="CK69" s="207" t="str">
        <f>IFERROR(__xludf.DUMMYFUNCTION("IF(OR(CJ69&gt;$BS69+$BT69*$BT$2,CJ69&lt;$BS69-$BT69*$BT$2),AVEDEV(ARRAYFORMULA(XLOOKUP(FILTER(INDIRECT(""'""&amp;CJ$1&amp;""'!$C$4:$C$66""),INDIRECT(""'""&amp;CJ$1&amp;""'!$D$4:$D$66"")=CJ$2),$G$3:$BQ$3,$G69:$BQ69))),"""")"),"")</f>
        <v/>
      </c>
      <c r="CL69" s="251">
        <f>IFERROR(__xludf.DUMMYFUNCTION("AVERAGE(ARRAYFORMULA(XLOOKUP(FILTER(INDIRECT(""'""&amp;CL$1&amp;""'!$C$4:$C$66""),INDIRECT(""'""&amp;CL$1&amp;""'!$D$4:$D$66"")=CL$2),$G$3:$BQ$3,$G69:$BQ69)))"),0.24264812230769237)</f>
        <v>0.2426481223</v>
      </c>
      <c r="CM69" s="207" t="str">
        <f>IFERROR(__xludf.DUMMYFUNCTION("IF(OR(CL69&gt;$BS69+$BT69*$BT$2,CL69&lt;$BS69-$BT69*$BT$2),AVEDEV(ARRAYFORMULA(XLOOKUP(FILTER(INDIRECT(""'""&amp;CL$1&amp;""'!$C$4:$C$66""),INDIRECT(""'""&amp;CL$1&amp;""'!$D$4:$D$66"")=CL$2),$G$3:$BQ$3,$G69:$BQ69))),"""")"),"")</f>
        <v/>
      </c>
      <c r="CN69" s="253">
        <f>IFERROR(__xludf.DUMMYFUNCTION("AVERAGE(ARRAYFORMULA(XLOOKUP(FILTER(INDIRECT(""'""&amp;CN$1&amp;""'!$C$4:$C$66""),INDIRECT(""'""&amp;CN$1&amp;""'!$D$4:$D$66"")=CN$2),$G$3:$BQ$3,$G69:$BQ69)))"),-0.464532332)</f>
        <v>-0.464532332</v>
      </c>
      <c r="CO69" s="207" t="str">
        <f>IFERROR(__xludf.DUMMYFUNCTION("IF(OR(CN69&gt;$BS69+$BT69*$BT$2,CN69&lt;$BS69-$BT69*$BT$2),AVEDEV(ARRAYFORMULA(XLOOKUP(FILTER(INDIRECT(""'""&amp;CN$1&amp;""'!$C$4:$C$66""),INDIRECT(""'""&amp;CN$1&amp;""'!$D$4:$D$66"")=CN$2),$G$3:$BQ$3,$G69:$BQ69))),"""")"),"")</f>
        <v/>
      </c>
      <c r="CP69" s="252"/>
      <c r="CQ69" s="251">
        <f>IFERROR(__xludf.DUMMYFUNCTION("AVERAGE(ARRAYFORMULA(XLOOKUP(FILTER(INDIRECT(""'""&amp;CQ$1&amp;""'!$C$4:$C$66""),INDIRECT(""'""&amp;CQ$1&amp;""'!$D$4:$D$66"")=CQ$2),$G$3:$BQ$3,$G69:$BQ69)))"),-0.06568917428571429)</f>
        <v>-0.06568917429</v>
      </c>
      <c r="CR69" s="207" t="str">
        <f>IFERROR(__xludf.DUMMYFUNCTION("IF(OR(CQ69&gt;$BS69+$BT69*$BT$2,CQ69&lt;$BS69-$BT69*$BT$2),AVEDEV(ARRAYFORMULA(XLOOKUP(FILTER(INDIRECT(""'""&amp;CQ$1&amp;""'!$C$4:$C$66""),INDIRECT(""'""&amp;CQ$1&amp;""'!$D$4:$D$66"")=CQ$2),$G$3:$BQ$3,$G69:$BQ69))),"""")"),"")</f>
        <v/>
      </c>
      <c r="CS69" s="251">
        <f>IFERROR(__xludf.DUMMYFUNCTION("AVERAGE(ARRAYFORMULA(XLOOKUP(FILTER(INDIRECT(""'""&amp;CS$1&amp;""'!$C$4:$C$66""),INDIRECT(""'""&amp;CS$1&amp;""'!$D$4:$D$66"")=CS$2),$G$3:$BQ$3,$G69:$BQ69)))"),-0.04959196222222224)</f>
        <v>-0.04959196222</v>
      </c>
      <c r="CT69" s="207" t="str">
        <f>IFERROR(__xludf.DUMMYFUNCTION("IF(OR(CS69&gt;$BS69+$BT69*$BT$2,CS69&lt;$BS69-$BT69*$BT$2),AVEDEV(ARRAYFORMULA(XLOOKUP(FILTER(INDIRECT(""'""&amp;CS$1&amp;""'!$C$4:$C$66""),INDIRECT(""'""&amp;CS$1&amp;""'!$D$4:$D$66"")=CS$2),$G$3:$BQ$3,$G69:$BQ69))),"""")"),"")</f>
        <v/>
      </c>
      <c r="CU69" s="251">
        <f>IFERROR(__xludf.DUMMYFUNCTION("AVERAGE(ARRAYFORMULA(XLOOKUP(FILTER(INDIRECT(""'""&amp;CU$1&amp;""'!$C$4:$C$66""),INDIRECT(""'""&amp;CU$1&amp;""'!$D$4:$D$66"")=CU$2),$G$3:$BQ$3,$G69:$BQ69)))"),0.26570792181818187)</f>
        <v>0.2657079218</v>
      </c>
      <c r="CV69" s="207" t="str">
        <f>IFERROR(__xludf.DUMMYFUNCTION("IF(OR(CU69&gt;$BS69+$BT69*$BT$2,CU69&lt;$BS69-$BT69*$BT$2),AVEDEV(ARRAYFORMULA(XLOOKUP(FILTER(INDIRECT(""'""&amp;CU$1&amp;""'!$C$4:$C$66""),INDIRECT(""'""&amp;CU$1&amp;""'!$D$4:$D$66"")=CU$2),$G$3:$BQ$3,$G69:$BQ69))),"""")"),"")</f>
        <v/>
      </c>
      <c r="CW69" s="251">
        <f>IFERROR(__xludf.DUMMYFUNCTION("AVERAGE(ARRAYFORMULA(XLOOKUP(FILTER(INDIRECT(""'""&amp;CW$1&amp;""'!$C$4:$C$66""),INDIRECT(""'""&amp;CW$1&amp;""'!$D$4:$D$66"")=CW$2),$G$3:$BQ$3,$G69:$BQ69)))"),-0.09792845)</f>
        <v>-0.09792845</v>
      </c>
      <c r="CX69" s="207" t="str">
        <f>IFERROR(__xludf.DUMMYFUNCTION("IF(OR(CW69&gt;$BS69+$BT69*$BT$2,CW69&lt;$BS69-$BT69*$BT$2),AVEDEV(ARRAYFORMULA(XLOOKUP(FILTER(INDIRECT(""'""&amp;CW$1&amp;""'!$C$4:$C$66""),INDIRECT(""'""&amp;CW$1&amp;""'!$D$4:$D$66"")=CW$2),$G$3:$BQ$3,$G69:$BQ69))),"""")"),"")</f>
        <v/>
      </c>
      <c r="CY69" s="253">
        <f>IFERROR(__xludf.DUMMYFUNCTION("AVERAGE(ARRAYFORMULA(XLOOKUP(FILTER(INDIRECT(""'""&amp;CY$1&amp;""'!$C$4:$C$66""),INDIRECT(""'""&amp;CY$1&amp;""'!$D$4:$D$66"")=CY$2),$G$3:$BQ$3,$G69:$BQ69)))"),0.6331270707142858)</f>
        <v>0.6331270707</v>
      </c>
      <c r="CZ69" s="207">
        <f>IFERROR(__xludf.DUMMYFUNCTION("IF(OR(CY69&gt;$BS69+$BT69*$BT$2,CY69&lt;$BS69-$BT69*$BT$2),AVEDEV(ARRAYFORMULA(XLOOKUP(FILTER(INDIRECT(""'""&amp;CY$1&amp;""'!$C$4:$C$66""),INDIRECT(""'""&amp;CY$1&amp;""'!$D$4:$D$66"")=CY$2),$G$3:$BQ$3,$G69:$BQ69))),"""")"),0.551033222244898)</f>
        <v>0.5510332222</v>
      </c>
      <c r="DA69" s="252"/>
      <c r="DB69" s="251">
        <f>IFERROR(__xludf.DUMMYFUNCTION("AVERAGE(ARRAYFORMULA(XLOOKUP(FILTER(INDIRECT(""'""&amp;DB$1&amp;""'!$C$4:$C$66""),INDIRECT(""'""&amp;DB$1&amp;""'!$D$4:$D$66"")=DB$2),$G$3:$BQ$3,$G69:$BQ69)))"),0.07196065933333333)</f>
        <v>0.07196065933</v>
      </c>
      <c r="DC69" s="207" t="str">
        <f>IFERROR(__xludf.DUMMYFUNCTION("IF(OR(DB69&gt;$BS69+$BT69*$BT$2,DB69&lt;$BS69-$BT69*$BT$2),AVEDEV(ARRAYFORMULA(XLOOKUP(FILTER(INDIRECT(""'""&amp;DB$1&amp;""'!$C$4:$C$66""),INDIRECT(""'""&amp;DB$1&amp;""'!$D$4:$D$66"")=DB$2),$G$3:$BQ$3,$G69:$BQ69))),"""")"),"")</f>
        <v/>
      </c>
      <c r="DD69" s="251">
        <f>IFERROR(__xludf.DUMMYFUNCTION("AVERAGE(ARRAYFORMULA(XLOOKUP(FILTER(INDIRECT(""'""&amp;DD$1&amp;""'!$C$4:$C$66""),INDIRECT(""'""&amp;DD$1&amp;""'!$D$4:$D$66"")=DD$2),$G$3:$BQ$3,$G69:$BQ69)))"),-0.2008090922222222)</f>
        <v>-0.2008090922</v>
      </c>
      <c r="DE69" s="207" t="str">
        <f>IFERROR(__xludf.DUMMYFUNCTION("IF(OR(DD69&gt;$BS69+$BT69*$BT$2,DD69&lt;$BS69-$BT69*$BT$2),AVEDEV(ARRAYFORMULA(XLOOKUP(FILTER(INDIRECT(""'""&amp;DD$1&amp;""'!$C$4:$C$66""),INDIRECT(""'""&amp;DD$1&amp;""'!$D$4:$D$66"")=DD$2),$G$3:$BQ$3,$G69:$BQ69))),"""")"),"")</f>
        <v/>
      </c>
      <c r="DF69" s="251">
        <f>IFERROR(__xludf.DUMMYFUNCTION("AVERAGE(ARRAYFORMULA(XLOOKUP(FILTER(INDIRECT(""'""&amp;DF$1&amp;""'!$C$4:$C$66""),INDIRECT(""'""&amp;DF$1&amp;""'!$D$4:$D$66"")=DF$2),$G$3:$BQ$3,$G69:$BQ69)))"),-0.1524639175)</f>
        <v>-0.1524639175</v>
      </c>
      <c r="DG69" s="207" t="str">
        <f>IFERROR(__xludf.DUMMYFUNCTION("IF(OR(DF69&gt;$BS69+$BT69*$BT$2,DF69&lt;$BS69-$BT69*$BT$2),AVEDEV(ARRAYFORMULA(XLOOKUP(FILTER(INDIRECT(""'""&amp;DF$1&amp;""'!$C$4:$C$66""),INDIRECT(""'""&amp;DF$1&amp;""'!$D$4:$D$66"")=DF$2),$G$3:$BQ$3,$G69:$BQ69))),"""")"),"")</f>
        <v/>
      </c>
      <c r="DH69" s="251">
        <f>IFERROR(__xludf.DUMMYFUNCTION("AVERAGE(ARRAYFORMULA(XLOOKUP(FILTER(INDIRECT(""'""&amp;DH$1&amp;""'!$C$4:$C$66""),INDIRECT(""'""&amp;DH$1&amp;""'!$D$4:$D$66"")=DH$2),$G$3:$BQ$3,$G69:$BQ69)))"),0.5255632244444445)</f>
        <v>0.5255632244</v>
      </c>
      <c r="DI69" s="207" t="str">
        <f>IFERROR(__xludf.DUMMYFUNCTION("IF(OR(DH69&gt;$BS69+$BT69*$BT$2,DH69&lt;$BS69-$BT69*$BT$2),AVEDEV(ARRAYFORMULA(XLOOKUP(FILTER(INDIRECT(""'""&amp;DH$1&amp;""'!$C$4:$C$66""),INDIRECT(""'""&amp;DH$1&amp;""'!$D$4:$D$66"")=DH$2),$G$3:$BQ$3,$G69:$BQ69))),"""")"),"")</f>
        <v/>
      </c>
      <c r="DJ69" s="243"/>
    </row>
    <row r="70">
      <c r="A70" s="2"/>
      <c r="B70" s="204">
        <v>66.0</v>
      </c>
      <c r="C70" s="204" t="s">
        <v>507</v>
      </c>
      <c r="D70" s="204" t="s">
        <v>511</v>
      </c>
      <c r="E70" s="205" t="b">
        <f>VLOOKUP(D70,'Feature Set List'!A67:C246,2,0)</f>
        <v>1</v>
      </c>
      <c r="F70" s="205" t="b">
        <f>VLOOKUP(D70,'Feature Set List'!A67:C246,3,0)</f>
        <v>1</v>
      </c>
      <c r="G70" s="205">
        <v>-0.2868069</v>
      </c>
      <c r="H70" s="205">
        <v>0.49075844</v>
      </c>
      <c r="I70" s="205">
        <v>1.9987253</v>
      </c>
      <c r="J70" s="205">
        <v>0.03951562</v>
      </c>
      <c r="K70" s="205">
        <v>0.43339707</v>
      </c>
      <c r="L70" s="205">
        <v>-0.2498407</v>
      </c>
      <c r="M70" s="205">
        <v>-0.4244742</v>
      </c>
      <c r="N70" s="205">
        <v>0.43212237</v>
      </c>
      <c r="O70" s="205">
        <v>0.43849586</v>
      </c>
      <c r="P70" s="205">
        <v>0.22689611</v>
      </c>
      <c r="Q70" s="205">
        <v>-0.5481198</v>
      </c>
      <c r="R70" s="205">
        <v>-0.6156788</v>
      </c>
      <c r="S70" s="205">
        <v>0.65391969</v>
      </c>
      <c r="T70" s="205">
        <v>0.57361377</v>
      </c>
      <c r="U70" s="205">
        <v>-0.8413002</v>
      </c>
      <c r="V70" s="205">
        <v>-0.3556405</v>
      </c>
      <c r="W70" s="205">
        <v>0.25876354</v>
      </c>
      <c r="X70" s="205">
        <v>-0.724028</v>
      </c>
      <c r="Y70" s="205">
        <v>-0.4244742</v>
      </c>
      <c r="Z70" s="205">
        <v>-0.4601657</v>
      </c>
      <c r="AA70" s="205">
        <v>-0.0191205</v>
      </c>
      <c r="AB70" s="205">
        <v>0.0012747</v>
      </c>
      <c r="AC70" s="205">
        <v>-0.0994264</v>
      </c>
      <c r="AD70" s="205">
        <v>-0.8132569</v>
      </c>
      <c r="AE70" s="205">
        <v>0.68578713</v>
      </c>
      <c r="AF70" s="205">
        <v>0.03569152</v>
      </c>
      <c r="AG70" s="205">
        <v>0.0</v>
      </c>
      <c r="AH70" s="205">
        <v>0.22052263</v>
      </c>
      <c r="AI70" s="205">
        <v>0.68833652</v>
      </c>
      <c r="AJ70" s="205">
        <v>-1.098789</v>
      </c>
      <c r="AK70" s="205">
        <v>-0.2128744</v>
      </c>
      <c r="AL70" s="205">
        <v>0.02294455</v>
      </c>
      <c r="AM70" s="205">
        <v>-0.0879541</v>
      </c>
      <c r="AN70" s="205">
        <v>-0.6297004</v>
      </c>
      <c r="AO70" s="205">
        <v>-0.5863607</v>
      </c>
      <c r="AP70" s="205">
        <v>0.08922881</v>
      </c>
      <c r="AQ70" s="205">
        <v>0.27533461</v>
      </c>
      <c r="AR70" s="205">
        <v>-0.846399</v>
      </c>
      <c r="AS70" s="205">
        <v>0.87826641</v>
      </c>
      <c r="AT70" s="205">
        <v>1.27469726</v>
      </c>
      <c r="AU70" s="205">
        <v>-1.2882091</v>
      </c>
      <c r="AV70" s="205">
        <v>0.6054812</v>
      </c>
      <c r="AW70" s="205">
        <v>0.03569152</v>
      </c>
      <c r="AX70" s="205">
        <v>-0.5608668</v>
      </c>
      <c r="AY70" s="205">
        <v>-1.0172084</v>
      </c>
      <c r="AZ70" s="205">
        <v>-0.307202</v>
      </c>
      <c r="BA70" s="205">
        <v>0.96494583</v>
      </c>
      <c r="BB70" s="205">
        <v>-0.5634162</v>
      </c>
      <c r="BC70" s="205">
        <v>-0.3811345</v>
      </c>
      <c r="BD70" s="205">
        <v>-0.345443</v>
      </c>
      <c r="BE70" s="205">
        <v>-0.2676864</v>
      </c>
      <c r="BF70" s="205">
        <v>0.64754621</v>
      </c>
      <c r="BG70" s="205">
        <v>0.44996813</v>
      </c>
      <c r="BH70" s="205">
        <v>-0.7214786</v>
      </c>
      <c r="BI70" s="205">
        <v>0.78648821</v>
      </c>
      <c r="BJ70" s="205">
        <v>0.98789038</v>
      </c>
      <c r="BK70" s="205">
        <v>0.79796048</v>
      </c>
      <c r="BL70" s="205">
        <v>-0.8999363</v>
      </c>
      <c r="BM70" s="205">
        <v>-0.8221797</v>
      </c>
      <c r="BN70" s="205">
        <v>0.81580625</v>
      </c>
      <c r="BO70" s="205">
        <v>-0.5111536</v>
      </c>
      <c r="BP70" s="205">
        <v>0.73295092</v>
      </c>
      <c r="BQ70" s="205">
        <v>0.03314213</v>
      </c>
      <c r="BR70" s="206"/>
      <c r="BS70" s="250">
        <f t="shared" si="1"/>
        <v>-0.006891457619</v>
      </c>
      <c r="BT70" s="250">
        <f t="shared" si="2"/>
        <v>0.5332282481</v>
      </c>
      <c r="BU70" s="206"/>
      <c r="BV70" s="207">
        <f>IFERROR(__xludf.DUMMYFUNCTION("AVERAGE(ARRAYFORMULA(XLOOKUP(FILTER(INDIRECT(""'""&amp;BV$1&amp;""'!$C$4:$C$66""),INDIRECT(""'""&amp;BV$1&amp;""'!$D$4:$D$66"")=BV$2),$G$3:$BQ$3,$G70:$BQ70)))"),-0.6999908857142857)</f>
        <v>-0.6999908857</v>
      </c>
      <c r="BW70" s="207">
        <f>IFERROR(__xludf.DUMMYFUNCTION("IF(OR(BV70&gt;$BS70+$BT70*$BT$2,BV70&lt;$BS70-$BT70*$BT$2),AVEDEV(ARRAYFORMULA(XLOOKUP(FILTER(INDIRECT(""'""&amp;BV$1&amp;""'!$C$4:$C$66""),INDIRECT(""'""&amp;BV$1&amp;""'!$D$4:$D$66"")=BV$2),$G$3:$BQ$3,$G70:$BQ70))),"""")"),0.19500267346938777)</f>
        <v>0.1950026735</v>
      </c>
      <c r="BX70" s="207">
        <f>IFERROR(__xludf.DUMMYFUNCTION("AVERAGE(ARRAYFORMULA(XLOOKUP(FILTER(INDIRECT(""'""&amp;BX$1&amp;""'!$C$4:$C$66""),INDIRECT(""'""&amp;BX$1&amp;""'!$D$4:$D$66"")=BX$2),$G$3:$BQ$3,$G70:$BQ70)))"),0.10847066904761908)</f>
        <v>0.108470669</v>
      </c>
      <c r="BY70" s="207" t="str">
        <f>IFERROR(__xludf.DUMMYFUNCTION("IF(OR(BX70&gt;$BS70+$BT70*$BT$2,BX70&lt;$BS70-$BT70*$BT$2),AVEDEV(ARRAYFORMULA(XLOOKUP(FILTER(INDIRECT(""'""&amp;BX$1&amp;""'!$C$4:$C$66""),INDIRECT(""'""&amp;BX$1&amp;""'!$D$4:$D$66"")=BX$2),$G$3:$BQ$3,$G70:$BQ70))),"""")"),"")</f>
        <v/>
      </c>
      <c r="BZ70" s="207">
        <f>IFERROR(__xludf.DUMMYFUNCTION("AVERAGE(ARRAYFORMULA(XLOOKUP(FILTER(INDIRECT(""'""&amp;BZ$1&amp;""'!$C$4:$C$66""),INDIRECT(""'""&amp;BZ$1&amp;""'!$D$4:$D$66"")=BZ$2),$G$3:$BQ$3,$G70:$BQ70)))"),-0.041369720909090905)</f>
        <v>-0.04136972091</v>
      </c>
      <c r="CA70" s="207" t="str">
        <f>IFERROR(__xludf.DUMMYFUNCTION("IF(OR(BZ70&gt;$BS70+$BT70*$BT$2,BZ70&lt;$BS70-$BT70*$BT$2),AVEDEV(ARRAYFORMULA(XLOOKUP(FILTER(INDIRECT(""'""&amp;BZ$1&amp;""'!$C$4:$C$66""),INDIRECT(""'""&amp;BZ$1&amp;""'!$D$4:$D$66"")=BZ$2),$G$3:$BQ$3,$G70:$BQ70))),"""")"),"")</f>
        <v/>
      </c>
      <c r="CB70" s="209"/>
      <c r="CC70" s="207">
        <f>IFERROR(__xludf.DUMMYFUNCTION("AVERAGE(ARRAYFORMULA(XLOOKUP(FILTER(INDIRECT(""'""&amp;CC$1&amp;""'!$C$4:$C$66""),INDIRECT(""'""&amp;CC$1&amp;""'!$D$4:$D$66"")=CC$2),$G$3:$BQ$3,$G70:$BQ70)))"),0.19494901624999997)</f>
        <v>0.1949490163</v>
      </c>
      <c r="CD70" s="207" t="str">
        <f>IFERROR(__xludf.DUMMYFUNCTION("IF(OR(CC70&gt;$BS70+$BT70*$BT$2,CC70&lt;$BS70-$BT70*$BT$2),AVEDEV(ARRAYFORMULA(XLOOKUP(FILTER(INDIRECT(""'""&amp;CC$1&amp;""'!$C$4:$C$66""),INDIRECT(""'""&amp;CC$1&amp;""'!$D$4:$D$66"")=CC$2),$G$3:$BQ$3,$G70:$BQ70))),"""")"),"")</f>
        <v/>
      </c>
      <c r="CE70" s="207">
        <f>IFERROR(__xludf.DUMMYFUNCTION("AVERAGE(ARRAYFORMULA(XLOOKUP(FILTER(INDIRECT(""'""&amp;CE$1&amp;""'!$C$4:$C$66""),INDIRECT(""'""&amp;CE$1&amp;""'!$D$4:$D$66"")=CE$2),$G$3:$BQ$3,$G70:$BQ70)))"),-0.057238017419354865)</f>
        <v>-0.05723801742</v>
      </c>
      <c r="CF70" s="207" t="str">
        <f>IFERROR(__xludf.DUMMYFUNCTION("IF(OR(CE70&gt;$BS70+$BT70*$BT$2,CE70&lt;$BS70-$BT70*$BT$2),AVEDEV(ARRAYFORMULA(XLOOKUP(FILTER(INDIRECT(""'""&amp;CE$1&amp;""'!$C$4:$C$66""),INDIRECT(""'""&amp;CE$1&amp;""'!$D$4:$D$66"")=CE$2),$G$3:$BQ$3,$G70:$BQ70))),"""")"),"")</f>
        <v/>
      </c>
      <c r="CG70" s="207">
        <f>IFERROR(__xludf.DUMMYFUNCTION("AVERAGE(ARRAYFORMULA(XLOOKUP(FILTER(INDIRECT(""'""&amp;CG$1&amp;""'!$C$4:$C$66""),INDIRECT(""'""&amp;CG$1&amp;""'!$D$4:$D$66"")=CG$2),$G$3:$BQ$3,$G70:$BQ70)))"),0.6187380499999999)</f>
        <v>0.61873805</v>
      </c>
      <c r="CH70" s="207">
        <f>IFERROR(__xludf.DUMMYFUNCTION("IF(OR(CG70&gt;$BS70+$BT70*$BT$2,CG70&lt;$BS70-$BT70*$BT$2),AVEDEV(ARRAYFORMULA(XLOOKUP(FILTER(INDIRECT(""'""&amp;CG$1&amp;""'!$C$4:$C$66""),INDIRECT(""'""&amp;CG$1&amp;""'!$D$4:$D$66"")=CG$2),$G$3:$BQ$3,$G70:$BQ70))),"""")"),0.242294456)</f>
        <v>0.242294456</v>
      </c>
      <c r="CI70" s="206"/>
      <c r="CJ70" s="251">
        <f>IFERROR(__xludf.DUMMYFUNCTION("AVERAGE(ARRAYFORMULA(XLOOKUP(FILTER(INDIRECT(""'""&amp;CJ$1&amp;""'!$C$4:$C$66""),INDIRECT(""'""&amp;CJ$1&amp;""'!$D$4:$D$66"")=CJ$2),$G$3:$BQ$3,$G70:$BQ70)))"),-0.1296792006666667)</f>
        <v>-0.1296792007</v>
      </c>
      <c r="CK70" s="207" t="str">
        <f>IFERROR(__xludf.DUMMYFUNCTION("IF(OR(CJ70&gt;$BS70+$BT70*$BT$2,CJ70&lt;$BS70-$BT70*$BT$2),AVEDEV(ARRAYFORMULA(XLOOKUP(FILTER(INDIRECT(""'""&amp;CJ$1&amp;""'!$C$4:$C$66""),INDIRECT(""'""&amp;CJ$1&amp;""'!$D$4:$D$66"")=CJ$2),$G$3:$BQ$3,$G70:$BQ70))),"""")"),"")</f>
        <v/>
      </c>
      <c r="CL70" s="251">
        <f>IFERROR(__xludf.DUMMYFUNCTION("AVERAGE(ARRAYFORMULA(XLOOKUP(FILTER(INDIRECT(""'""&amp;CL$1&amp;""'!$C$4:$C$66""),INDIRECT(""'""&amp;CL$1&amp;""'!$D$4:$D$66"")=CL$2),$G$3:$BQ$3,$G70:$BQ70)))"),-0.026866691538461527)</f>
        <v>-0.02686669154</v>
      </c>
      <c r="CM70" s="207" t="str">
        <f>IFERROR(__xludf.DUMMYFUNCTION("IF(OR(CL70&gt;$BS70+$BT70*$BT$2,CL70&lt;$BS70-$BT70*$BT$2),AVEDEV(ARRAYFORMULA(XLOOKUP(FILTER(INDIRECT(""'""&amp;CL$1&amp;""'!$C$4:$C$66""),INDIRECT(""'""&amp;CL$1&amp;""'!$D$4:$D$66"")=CL$2),$G$3:$BQ$3,$G70:$BQ70))),"""")"),"")</f>
        <v/>
      </c>
      <c r="CN70" s="251">
        <f>IFERROR(__xludf.DUMMYFUNCTION("AVERAGE(ARRAYFORMULA(XLOOKUP(FILTER(INDIRECT(""'""&amp;CN$1&amp;""'!$C$4:$C$66""),INDIRECT(""'""&amp;CN$1&amp;""'!$D$4:$D$66"")=CN$2),$G$3:$BQ$3,$G70:$BQ70)))"),0.6187380499999999)</f>
        <v>0.61873805</v>
      </c>
      <c r="CO70" s="207">
        <f>IFERROR(__xludf.DUMMYFUNCTION("IF(OR(CN70&gt;$BS70+$BT70*$BT$2,CN70&lt;$BS70-$BT70*$BT$2),AVEDEV(ARRAYFORMULA(XLOOKUP(FILTER(INDIRECT(""'""&amp;CN$1&amp;""'!$C$4:$C$66""),INDIRECT(""'""&amp;CN$1&amp;""'!$D$4:$D$66"")=CN$2),$G$3:$BQ$3,$G70:$BQ70))),"""")"),0.242294456)</f>
        <v>0.242294456</v>
      </c>
      <c r="CP70" s="252"/>
      <c r="CQ70" s="251">
        <f>IFERROR(__xludf.DUMMYFUNCTION("AVERAGE(ARRAYFORMULA(XLOOKUP(FILTER(INDIRECT(""'""&amp;CQ$1&amp;""'!$C$4:$C$66""),INDIRECT(""'""&amp;CQ$1&amp;""'!$D$4:$D$66"")=CQ$2),$G$3:$BQ$3,$G70:$BQ70)))"),0.25976509714285717)</f>
        <v>0.2597650971</v>
      </c>
      <c r="CR70" s="207" t="str">
        <f>IFERROR(__xludf.DUMMYFUNCTION("IF(OR(CQ70&gt;$BS70+$BT70*$BT$2,CQ70&lt;$BS70-$BT70*$BT$2),AVEDEV(ARRAYFORMULA(XLOOKUP(FILTER(INDIRECT(""'""&amp;CQ$1&amp;""'!$C$4:$C$66""),INDIRECT(""'""&amp;CQ$1&amp;""'!$D$4:$D$66"")=CQ$2),$G$3:$BQ$3,$G70:$BQ70))),"""")"),"")</f>
        <v/>
      </c>
      <c r="CS70" s="251">
        <f>IFERROR(__xludf.DUMMYFUNCTION("AVERAGE(ARRAYFORMULA(XLOOKUP(FILTER(INDIRECT(""'""&amp;CS$1&amp;""'!$C$4:$C$66""),INDIRECT(""'""&amp;CS$1&amp;""'!$D$4:$D$66"")=CS$2),$G$3:$BQ$3,$G70:$BQ70)))"),0.07492386333333333)</f>
        <v>0.07492386333</v>
      </c>
      <c r="CT70" s="207" t="str">
        <f>IFERROR(__xludf.DUMMYFUNCTION("IF(OR(CS70&gt;$BS70+$BT70*$BT$2,CS70&lt;$BS70-$BT70*$BT$2),AVEDEV(ARRAYFORMULA(XLOOKUP(FILTER(INDIRECT(""'""&amp;CS$1&amp;""'!$C$4:$C$66""),INDIRECT(""'""&amp;CS$1&amp;""'!$D$4:$D$66"")=CS$2),$G$3:$BQ$3,$G70:$BQ70))),"""")"),"")</f>
        <v/>
      </c>
      <c r="CU70" s="251">
        <f>IFERROR(__xludf.DUMMYFUNCTION("AVERAGE(ARRAYFORMULA(XLOOKUP(FILTER(INDIRECT(""'""&amp;CU$1&amp;""'!$C$4:$C$66""),INDIRECT(""'""&amp;CU$1&amp;""'!$D$4:$D$66"")=CU$2),$G$3:$BQ$3,$G70:$BQ70)))"),0.19827336454545452)</f>
        <v>0.1982733645</v>
      </c>
      <c r="CV70" s="207" t="str">
        <f>IFERROR(__xludf.DUMMYFUNCTION("IF(OR(CU70&gt;$BS70+$BT70*$BT$2,CU70&lt;$BS70-$BT70*$BT$2),AVEDEV(ARRAYFORMULA(XLOOKUP(FILTER(INDIRECT(""'""&amp;CU$1&amp;""'!$C$4:$C$66""),INDIRECT(""'""&amp;CU$1&amp;""'!$D$4:$D$66"")=CU$2),$G$3:$BQ$3,$G70:$BQ70))),"""")"),"")</f>
        <v/>
      </c>
      <c r="CW70" s="251">
        <f>IFERROR(__xludf.DUMMYFUNCTION("AVERAGE(ARRAYFORMULA(XLOOKUP(FILTER(INDIRECT(""'""&amp;CW$1&amp;""'!$C$4:$C$66""),INDIRECT(""'""&amp;CW$1&amp;""'!$D$4:$D$66"")=CW$2),$G$3:$BQ$3,$G70:$BQ70)))"),-0.76736775)</f>
        <v>-0.76736775</v>
      </c>
      <c r="CX70" s="207">
        <f>IFERROR(__xludf.DUMMYFUNCTION("IF(OR(CW70&gt;$BS70+$BT70*$BT$2,CW70&lt;$BS70-$BT70*$BT$2),AVEDEV(ARRAYFORMULA(XLOOKUP(FILTER(INDIRECT(""'""&amp;CW$1&amp;""'!$C$4:$C$66""),INDIRECT(""'""&amp;CW$1&amp;""'!$D$4:$D$66"")=CW$2),$G$3:$BQ$3,$G70:$BQ70))),"""")"),0.04588914999999999)</f>
        <v>0.04588915</v>
      </c>
      <c r="CY70" s="251">
        <f>IFERROR(__xludf.DUMMYFUNCTION("AVERAGE(ARRAYFORMULA(XLOOKUP(FILTER(INDIRECT(""'""&amp;CY$1&amp;""'!$C$4:$C$66""),INDIRECT(""'""&amp;CY$1&amp;""'!$D$4:$D$66"")=CY$2),$G$3:$BQ$3,$G70:$BQ70)))"),-0.09614858928571428)</f>
        <v>-0.09614858929</v>
      </c>
      <c r="CZ70" s="207" t="str">
        <f>IFERROR(__xludf.DUMMYFUNCTION("IF(OR(CY70&gt;$BS70+$BT70*$BT$2,CY70&lt;$BS70-$BT70*$BT$2),AVEDEV(ARRAYFORMULA(XLOOKUP(FILTER(INDIRECT(""'""&amp;CY$1&amp;""'!$C$4:$C$66""),INDIRECT(""'""&amp;CY$1&amp;""'!$D$4:$D$66"")=CY$2),$G$3:$BQ$3,$G70:$BQ70))),"""")"),"")</f>
        <v/>
      </c>
      <c r="DA70" s="252"/>
      <c r="DB70" s="251">
        <f>IFERROR(__xludf.DUMMYFUNCTION("AVERAGE(ARRAYFORMULA(XLOOKUP(FILTER(INDIRECT(""'""&amp;DB$1&amp;""'!$C$4:$C$66""),INDIRECT(""'""&amp;DB$1&amp;""'!$D$4:$D$66"")=DB$2),$G$3:$BQ$3,$G70:$BQ70)))"),0.16702783566666668)</f>
        <v>0.1670278357</v>
      </c>
      <c r="DC70" s="207" t="str">
        <f>IFERROR(__xludf.DUMMYFUNCTION("IF(OR(DB70&gt;$BS70+$BT70*$BT$2,DB70&lt;$BS70-$BT70*$BT$2),AVEDEV(ARRAYFORMULA(XLOOKUP(FILTER(INDIRECT(""'""&amp;DB$1&amp;""'!$C$4:$C$66""),INDIRECT(""'""&amp;DB$1&amp;""'!$D$4:$D$66"")=DB$2),$G$3:$BQ$3,$G70:$BQ70))),"""")"),"")</f>
        <v/>
      </c>
      <c r="DD70" s="251">
        <f>IFERROR(__xludf.DUMMYFUNCTION("AVERAGE(ARRAYFORMULA(XLOOKUP(FILTER(INDIRECT(""'""&amp;DD$1&amp;""'!$C$4:$C$66""),INDIRECT(""'""&amp;DD$1&amp;""'!$D$4:$D$66"")=DD$2),$G$3:$BQ$3,$G70:$BQ70)))"),0.09404432777777778)</f>
        <v>0.09404432778</v>
      </c>
      <c r="DE70" s="207" t="str">
        <f>IFERROR(__xludf.DUMMYFUNCTION("IF(OR(DD70&gt;$BS70+$BT70*$BT$2,DD70&lt;$BS70-$BT70*$BT$2),AVEDEV(ARRAYFORMULA(XLOOKUP(FILTER(INDIRECT(""'""&amp;DD$1&amp;""'!$C$4:$C$66""),INDIRECT(""'""&amp;DD$1&amp;""'!$D$4:$D$66"")=DD$2),$G$3:$BQ$3,$G70:$BQ70))),"""")"),"")</f>
        <v/>
      </c>
      <c r="DF70" s="251">
        <f>IFERROR(__xludf.DUMMYFUNCTION("AVERAGE(ARRAYFORMULA(XLOOKUP(FILTER(INDIRECT(""'""&amp;DF$1&amp;""'!$C$4:$C$66""),INDIRECT(""'""&amp;DF$1&amp;""'!$D$4:$D$66"")=DF$2),$G$3:$BQ$3,$G70:$BQ70)))"),-0.35086041874999996)</f>
        <v>-0.3508604188</v>
      </c>
      <c r="DG70" s="207" t="str">
        <f>IFERROR(__xludf.DUMMYFUNCTION("IF(OR(DF70&gt;$BS70+$BT70*$BT$2,DF70&lt;$BS70-$BT70*$BT$2),AVEDEV(ARRAYFORMULA(XLOOKUP(FILTER(INDIRECT(""'""&amp;DF$1&amp;""'!$C$4:$C$66""),INDIRECT(""'""&amp;DF$1&amp;""'!$D$4:$D$66"")=DF$2),$G$3:$BQ$3,$G70:$BQ70))),"""")"),"")</f>
        <v/>
      </c>
      <c r="DH70" s="251">
        <f>IFERROR(__xludf.DUMMYFUNCTION("AVERAGE(ARRAYFORMULA(XLOOKUP(FILTER(INDIRECT(""'""&amp;DH$1&amp;""'!$C$4:$C$66""),INDIRECT(""'""&amp;DH$1&amp;""'!$D$4:$D$66"")=DH$2),$G$3:$BQ$3,$G70:$BQ70)))"),-0.08809574444444444)</f>
        <v>-0.08809574444</v>
      </c>
      <c r="DI70" s="207" t="str">
        <f>IFERROR(__xludf.DUMMYFUNCTION("IF(OR(DH70&gt;$BS70+$BT70*$BT$2,DH70&lt;$BS70-$BT70*$BT$2),AVEDEV(ARRAYFORMULA(XLOOKUP(FILTER(INDIRECT(""'""&amp;DH$1&amp;""'!$C$4:$C$66""),INDIRECT(""'""&amp;DH$1&amp;""'!$D$4:$D$66"")=DH$2),$G$3:$BQ$3,$G70:$BQ70))),"""")"),"")</f>
        <v/>
      </c>
      <c r="DJ70" s="243"/>
    </row>
    <row r="71">
      <c r="A71" s="2"/>
      <c r="B71" s="204">
        <v>67.0</v>
      </c>
      <c r="C71" s="204" t="s">
        <v>507</v>
      </c>
      <c r="D71" s="204" t="s">
        <v>512</v>
      </c>
      <c r="E71" s="205" t="b">
        <f>VLOOKUP(D71,'Feature Set List'!A68:C246,2,0)</f>
        <v>1</v>
      </c>
      <c r="F71" s="205" t="b">
        <f>VLOOKUP(D71,'Feature Set List'!A68:C246,3,0)</f>
        <v>1</v>
      </c>
      <c r="G71" s="205">
        <v>0.0</v>
      </c>
      <c r="H71" s="205">
        <v>0.0</v>
      </c>
      <c r="I71" s="205">
        <v>0.0</v>
      </c>
      <c r="J71" s="205">
        <v>0.0</v>
      </c>
      <c r="K71" s="205">
        <v>0.0</v>
      </c>
      <c r="L71" s="205">
        <v>0.0</v>
      </c>
      <c r="M71" s="205">
        <v>0.0</v>
      </c>
      <c r="N71" s="205">
        <v>0.0</v>
      </c>
      <c r="O71" s="205">
        <v>0.0</v>
      </c>
      <c r="P71" s="205">
        <v>0.0</v>
      </c>
      <c r="Q71" s="205">
        <v>0.0</v>
      </c>
      <c r="R71" s="205">
        <v>0.0</v>
      </c>
      <c r="S71" s="205">
        <v>0.0</v>
      </c>
      <c r="T71" s="205">
        <v>0.0</v>
      </c>
      <c r="U71" s="205">
        <v>0.0</v>
      </c>
      <c r="V71" s="205">
        <v>0.0</v>
      </c>
      <c r="W71" s="205">
        <v>0.0</v>
      </c>
      <c r="X71" s="205">
        <v>0.0</v>
      </c>
      <c r="Y71" s="205">
        <v>0.0</v>
      </c>
      <c r="Z71" s="205">
        <v>0.0</v>
      </c>
      <c r="AA71" s="205">
        <v>0.0</v>
      </c>
      <c r="AB71" s="205">
        <v>0.0</v>
      </c>
      <c r="AC71" s="205">
        <v>0.0</v>
      </c>
      <c r="AD71" s="205">
        <v>0.0</v>
      </c>
      <c r="AE71" s="205">
        <v>0.0</v>
      </c>
      <c r="AF71" s="205">
        <v>0.0</v>
      </c>
      <c r="AG71" s="205">
        <v>0.0</v>
      </c>
      <c r="AH71" s="205">
        <v>0.0</v>
      </c>
      <c r="AI71" s="205">
        <v>0.0</v>
      </c>
      <c r="AJ71" s="205">
        <v>0.0</v>
      </c>
      <c r="AK71" s="205">
        <v>0.0</v>
      </c>
      <c r="AL71" s="205">
        <v>0.0</v>
      </c>
      <c r="AM71" s="205">
        <v>0.0</v>
      </c>
      <c r="AN71" s="205">
        <v>0.0</v>
      </c>
      <c r="AO71" s="205">
        <v>0.0</v>
      </c>
      <c r="AP71" s="205">
        <v>0.0</v>
      </c>
      <c r="AQ71" s="205">
        <v>0.0</v>
      </c>
      <c r="AR71" s="205">
        <v>0.0</v>
      </c>
      <c r="AS71" s="205">
        <v>0.0</v>
      </c>
      <c r="AT71" s="205">
        <v>0.0</v>
      </c>
      <c r="AU71" s="205">
        <v>0.0</v>
      </c>
      <c r="AV71" s="205">
        <v>0.0</v>
      </c>
      <c r="AW71" s="205">
        <v>0.0</v>
      </c>
      <c r="AX71" s="205">
        <v>0.0</v>
      </c>
      <c r="AY71" s="205">
        <v>0.0</v>
      </c>
      <c r="AZ71" s="205">
        <v>0.0</v>
      </c>
      <c r="BA71" s="205">
        <v>0.0</v>
      </c>
      <c r="BB71" s="205">
        <v>0.0</v>
      </c>
      <c r="BC71" s="205">
        <v>0.0</v>
      </c>
      <c r="BD71" s="205">
        <v>0.0</v>
      </c>
      <c r="BE71" s="205">
        <v>0.0</v>
      </c>
      <c r="BF71" s="205">
        <v>0.0</v>
      </c>
      <c r="BG71" s="205">
        <v>0.0</v>
      </c>
      <c r="BH71" s="205">
        <v>0.0</v>
      </c>
      <c r="BI71" s="205">
        <v>0.0</v>
      </c>
      <c r="BJ71" s="205">
        <v>0.0</v>
      </c>
      <c r="BK71" s="205">
        <v>0.0</v>
      </c>
      <c r="BL71" s="205">
        <v>0.0</v>
      </c>
      <c r="BM71" s="205">
        <v>7.0</v>
      </c>
      <c r="BN71" s="205">
        <v>0.0</v>
      </c>
      <c r="BO71" s="205">
        <v>0.0</v>
      </c>
      <c r="BP71" s="205">
        <v>0.0</v>
      </c>
      <c r="BQ71" s="205">
        <v>0.0</v>
      </c>
      <c r="BR71" s="206"/>
      <c r="BS71" s="250">
        <f t="shared" si="1"/>
        <v>0.1111111111</v>
      </c>
      <c r="BT71" s="250">
        <f t="shared" si="2"/>
        <v>0.2186948854</v>
      </c>
      <c r="BU71" s="206"/>
      <c r="BV71" s="207">
        <f>IFERROR(__xludf.DUMMYFUNCTION("AVERAGE(ARRAYFORMULA(XLOOKUP(FILTER(INDIRECT(""'""&amp;BV$1&amp;""'!$C$4:$C$66""),INDIRECT(""'""&amp;BV$1&amp;""'!$D$4:$D$66"")=BV$2),$G$3:$BQ$3,$G71:$BQ71)))"),0.0)</f>
        <v>0</v>
      </c>
      <c r="BW71" s="207" t="str">
        <f>IFERROR(__xludf.DUMMYFUNCTION("IF(OR(BV71&gt;$BS71+$BT71*$BT$2,BV71&lt;$BS71-$BT71*$BT$2),AVEDEV(ARRAYFORMULA(XLOOKUP(FILTER(INDIRECT(""'""&amp;BV$1&amp;""'!$C$4:$C$66""),INDIRECT(""'""&amp;BV$1&amp;""'!$D$4:$D$66"")=BV$2),$G$3:$BQ$3,$G71:$BQ71))),"""")"),"")</f>
        <v/>
      </c>
      <c r="BX71" s="207">
        <f>IFERROR(__xludf.DUMMYFUNCTION("AVERAGE(ARRAYFORMULA(XLOOKUP(FILTER(INDIRECT(""'""&amp;BX$1&amp;""'!$C$4:$C$66""),INDIRECT(""'""&amp;BX$1&amp;""'!$D$4:$D$66"")=BX$2),$G$3:$BQ$3,$G71:$BQ71)))"),0.0)</f>
        <v>0</v>
      </c>
      <c r="BY71" s="207" t="str">
        <f>IFERROR(__xludf.DUMMYFUNCTION("IF(OR(BX71&gt;$BS71+$BT71*$BT$2,BX71&lt;$BS71-$BT71*$BT$2),AVEDEV(ARRAYFORMULA(XLOOKUP(FILTER(INDIRECT(""'""&amp;BX$1&amp;""'!$C$4:$C$66""),INDIRECT(""'""&amp;BX$1&amp;""'!$D$4:$D$66"")=BX$2),$G$3:$BQ$3,$G71:$BQ71))),"""")"),"")</f>
        <v/>
      </c>
      <c r="BZ71" s="207">
        <f>IFERROR(__xludf.DUMMYFUNCTION("AVERAGE(ARRAYFORMULA(XLOOKUP(FILTER(INDIRECT(""'""&amp;BZ$1&amp;""'!$C$4:$C$66""),INDIRECT(""'""&amp;BZ$1&amp;""'!$D$4:$D$66"")=BZ$2),$G$3:$BQ$3,$G71:$BQ71)))"),0.6363636363636364)</f>
        <v>0.6363636364</v>
      </c>
      <c r="CA71" s="207">
        <f>IFERROR(__xludf.DUMMYFUNCTION("IF(OR(BZ71&gt;$BS71+$BT71*$BT$2,BZ71&lt;$BS71-$BT71*$BT$2),AVEDEV(ARRAYFORMULA(XLOOKUP(FILTER(INDIRECT(""'""&amp;BZ$1&amp;""'!$C$4:$C$66""),INDIRECT(""'""&amp;BZ$1&amp;""'!$D$4:$D$66"")=BZ$2),$G$3:$BQ$3,$G71:$BQ71))),"""")"),1.1570247933884301)</f>
        <v>1.157024793</v>
      </c>
      <c r="CB71" s="209"/>
      <c r="CC71" s="207">
        <f>IFERROR(__xludf.DUMMYFUNCTION("AVERAGE(ARRAYFORMULA(XLOOKUP(FILTER(INDIRECT(""'""&amp;CC$1&amp;""'!$C$4:$C$66""),INDIRECT(""'""&amp;CC$1&amp;""'!$D$4:$D$66"")=CC$2),$G$3:$BQ$3,$G71:$BQ71)))"),0.0)</f>
        <v>0</v>
      </c>
      <c r="CD71" s="207" t="str">
        <f>IFERROR(__xludf.DUMMYFUNCTION("IF(OR(CC71&gt;$BS71+$BT71*$BT$2,CC71&lt;$BS71-$BT71*$BT$2),AVEDEV(ARRAYFORMULA(XLOOKUP(FILTER(INDIRECT(""'""&amp;CC$1&amp;""'!$C$4:$C$66""),INDIRECT(""'""&amp;CC$1&amp;""'!$D$4:$D$66"")=CC$2),$G$3:$BQ$3,$G71:$BQ71))),"""")"),"")</f>
        <v/>
      </c>
      <c r="CE71" s="207">
        <f>IFERROR(__xludf.DUMMYFUNCTION("AVERAGE(ARRAYFORMULA(XLOOKUP(FILTER(INDIRECT(""'""&amp;CE$1&amp;""'!$C$4:$C$66""),INDIRECT(""'""&amp;CE$1&amp;""'!$D$4:$D$66"")=CE$2),$G$3:$BQ$3,$G71:$BQ71)))"),0.0)</f>
        <v>0</v>
      </c>
      <c r="CF71" s="207" t="str">
        <f>IFERROR(__xludf.DUMMYFUNCTION("IF(OR(CE71&gt;$BS71+$BT71*$BT$2,CE71&lt;$BS71-$BT71*$BT$2),AVEDEV(ARRAYFORMULA(XLOOKUP(FILTER(INDIRECT(""'""&amp;CE$1&amp;""'!$C$4:$C$66""),INDIRECT(""'""&amp;CE$1&amp;""'!$D$4:$D$66"")=CE$2),$G$3:$BQ$3,$G71:$BQ71))),"""")"),"")</f>
        <v/>
      </c>
      <c r="CG71" s="207">
        <f>IFERROR(__xludf.DUMMYFUNCTION("AVERAGE(ARRAYFORMULA(XLOOKUP(FILTER(INDIRECT(""'""&amp;CG$1&amp;""'!$C$4:$C$66""),INDIRECT(""'""&amp;CG$1&amp;""'!$D$4:$D$66"")=CG$2),$G$3:$BQ$3,$G71:$BQ71)))"),0.0)</f>
        <v>0</v>
      </c>
      <c r="CH71" s="207" t="str">
        <f>IFERROR(__xludf.DUMMYFUNCTION("IF(OR(CG71&gt;$BS71+$BT71*$BT$2,CG71&lt;$BS71-$BT71*$BT$2),AVEDEV(ARRAYFORMULA(XLOOKUP(FILTER(INDIRECT(""'""&amp;CG$1&amp;""'!$C$4:$C$66""),INDIRECT(""'""&amp;CG$1&amp;""'!$D$4:$D$66"")=CG$2),$G$3:$BQ$3,$G71:$BQ71))),"""")"),"")</f>
        <v/>
      </c>
      <c r="CI71" s="206"/>
      <c r="CJ71" s="251">
        <f>IFERROR(__xludf.DUMMYFUNCTION("AVERAGE(ARRAYFORMULA(XLOOKUP(FILTER(INDIRECT(""'""&amp;CJ$1&amp;""'!$C$4:$C$66""),INDIRECT(""'""&amp;CJ$1&amp;""'!$D$4:$D$66"")=CJ$2),$G$3:$BQ$3,$G71:$BQ71)))"),0.4666666666666667)</f>
        <v>0.4666666667</v>
      </c>
      <c r="CK71" s="207">
        <f>IFERROR(__xludf.DUMMYFUNCTION("IF(OR(CJ71&gt;$BS71+$BT71*$BT$2,CJ71&lt;$BS71-$BT71*$BT$2),AVEDEV(ARRAYFORMULA(XLOOKUP(FILTER(INDIRECT(""'""&amp;CJ$1&amp;""'!$C$4:$C$66""),INDIRECT(""'""&amp;CJ$1&amp;""'!$D$4:$D$66"")=CJ$2),$G$3:$BQ$3,$G71:$BQ71))),"""")"),0.8711111111111112)</f>
        <v>0.8711111111</v>
      </c>
      <c r="CL71" s="251">
        <f>IFERROR(__xludf.DUMMYFUNCTION("AVERAGE(ARRAYFORMULA(XLOOKUP(FILTER(INDIRECT(""'""&amp;CL$1&amp;""'!$C$4:$C$66""),INDIRECT(""'""&amp;CL$1&amp;""'!$D$4:$D$66"")=CL$2),$G$3:$BQ$3,$G71:$BQ71)))"),0.0)</f>
        <v>0</v>
      </c>
      <c r="CM71" s="207" t="str">
        <f>IFERROR(__xludf.DUMMYFUNCTION("IF(OR(CL71&gt;$BS71+$BT71*$BT$2,CL71&lt;$BS71-$BT71*$BT$2),AVEDEV(ARRAYFORMULA(XLOOKUP(FILTER(INDIRECT(""'""&amp;CL$1&amp;""'!$C$4:$C$66""),INDIRECT(""'""&amp;CL$1&amp;""'!$D$4:$D$66"")=CL$2),$G$3:$BQ$3,$G71:$BQ71))),"""")"),"")</f>
        <v/>
      </c>
      <c r="CN71" s="251">
        <f>IFERROR(__xludf.DUMMYFUNCTION("AVERAGE(ARRAYFORMULA(XLOOKUP(FILTER(INDIRECT(""'""&amp;CN$1&amp;""'!$C$4:$C$66""),INDIRECT(""'""&amp;CN$1&amp;""'!$D$4:$D$66"")=CN$2),$G$3:$BQ$3,$G71:$BQ71)))"),0.0)</f>
        <v>0</v>
      </c>
      <c r="CO71" s="207" t="str">
        <f>IFERROR(__xludf.DUMMYFUNCTION("IF(OR(CN71&gt;$BS71+$BT71*$BT$2,CN71&lt;$BS71-$BT71*$BT$2),AVEDEV(ARRAYFORMULA(XLOOKUP(FILTER(INDIRECT(""'""&amp;CN$1&amp;""'!$C$4:$C$66""),INDIRECT(""'""&amp;CN$1&amp;""'!$D$4:$D$66"")=CN$2),$G$3:$BQ$3,$G71:$BQ71))),"""")"),"")</f>
        <v/>
      </c>
      <c r="CP71" s="252"/>
      <c r="CQ71" s="251">
        <f>IFERROR(__xludf.DUMMYFUNCTION("AVERAGE(ARRAYFORMULA(XLOOKUP(FILTER(INDIRECT(""'""&amp;CQ$1&amp;""'!$C$4:$C$66""),INDIRECT(""'""&amp;CQ$1&amp;""'!$D$4:$D$66"")=CQ$2),$G$3:$BQ$3,$G71:$BQ71)))"),0.0)</f>
        <v>0</v>
      </c>
      <c r="CR71" s="207" t="str">
        <f>IFERROR(__xludf.DUMMYFUNCTION("IF(OR(CQ71&gt;$BS71+$BT71*$BT$2,CQ71&lt;$BS71-$BT71*$BT$2),AVEDEV(ARRAYFORMULA(XLOOKUP(FILTER(INDIRECT(""'""&amp;CQ$1&amp;""'!$C$4:$C$66""),INDIRECT(""'""&amp;CQ$1&amp;""'!$D$4:$D$66"")=CQ$2),$G$3:$BQ$3,$G71:$BQ71))),"""")"),"")</f>
        <v/>
      </c>
      <c r="CS71" s="251">
        <f>IFERROR(__xludf.DUMMYFUNCTION("AVERAGE(ARRAYFORMULA(XLOOKUP(FILTER(INDIRECT(""'""&amp;CS$1&amp;""'!$C$4:$C$66""),INDIRECT(""'""&amp;CS$1&amp;""'!$D$4:$D$66"")=CS$2),$G$3:$BQ$3,$G71:$BQ71)))"),0.0)</f>
        <v>0</v>
      </c>
      <c r="CT71" s="207" t="str">
        <f>IFERROR(__xludf.DUMMYFUNCTION("IF(OR(CS71&gt;$BS71+$BT71*$BT$2,CS71&lt;$BS71-$BT71*$BT$2),AVEDEV(ARRAYFORMULA(XLOOKUP(FILTER(INDIRECT(""'""&amp;CS$1&amp;""'!$C$4:$C$66""),INDIRECT(""'""&amp;CS$1&amp;""'!$D$4:$D$66"")=CS$2),$G$3:$BQ$3,$G71:$BQ71))),"""")"),"")</f>
        <v/>
      </c>
      <c r="CU71" s="251">
        <f>IFERROR(__xludf.DUMMYFUNCTION("AVERAGE(ARRAYFORMULA(XLOOKUP(FILTER(INDIRECT(""'""&amp;CU$1&amp;""'!$C$4:$C$66""),INDIRECT(""'""&amp;CU$1&amp;""'!$D$4:$D$66"")=CU$2),$G$3:$BQ$3,$G71:$BQ71)))"),0.0)</f>
        <v>0</v>
      </c>
      <c r="CV71" s="207" t="str">
        <f>IFERROR(__xludf.DUMMYFUNCTION("IF(OR(CU71&gt;$BS71+$BT71*$BT$2,CU71&lt;$BS71-$BT71*$BT$2),AVEDEV(ARRAYFORMULA(XLOOKUP(FILTER(INDIRECT(""'""&amp;CU$1&amp;""'!$C$4:$C$66""),INDIRECT(""'""&amp;CU$1&amp;""'!$D$4:$D$66"")=CU$2),$G$3:$BQ$3,$G71:$BQ71))),"""")"),"")</f>
        <v/>
      </c>
      <c r="CW71" s="251">
        <f>IFERROR(__xludf.DUMMYFUNCTION("AVERAGE(ARRAYFORMULA(XLOOKUP(FILTER(INDIRECT(""'""&amp;CW$1&amp;""'!$C$4:$C$66""),INDIRECT(""'""&amp;CW$1&amp;""'!$D$4:$D$66"")=CW$2),$G$3:$BQ$3,$G71:$BQ71)))"),0.0)</f>
        <v>0</v>
      </c>
      <c r="CX71" s="207" t="str">
        <f>IFERROR(__xludf.DUMMYFUNCTION("IF(OR(CW71&gt;$BS71+$BT71*$BT$2,CW71&lt;$BS71-$BT71*$BT$2),AVEDEV(ARRAYFORMULA(XLOOKUP(FILTER(INDIRECT(""'""&amp;CW$1&amp;""'!$C$4:$C$66""),INDIRECT(""'""&amp;CW$1&amp;""'!$D$4:$D$66"")=CW$2),$G$3:$BQ$3,$G71:$BQ71))),"""")"),"")</f>
        <v/>
      </c>
      <c r="CY71" s="251">
        <f>IFERROR(__xludf.DUMMYFUNCTION("AVERAGE(ARRAYFORMULA(XLOOKUP(FILTER(INDIRECT(""'""&amp;CY$1&amp;""'!$C$4:$C$66""),INDIRECT(""'""&amp;CY$1&amp;""'!$D$4:$D$66"")=CY$2),$G$3:$BQ$3,$G71:$BQ71)))"),0.0)</f>
        <v>0</v>
      </c>
      <c r="CZ71" s="207" t="str">
        <f>IFERROR(__xludf.DUMMYFUNCTION("IF(OR(CY71&gt;$BS71+$BT71*$BT$2,CY71&lt;$BS71-$BT71*$BT$2),AVEDEV(ARRAYFORMULA(XLOOKUP(FILTER(INDIRECT(""'""&amp;CY$1&amp;""'!$C$4:$C$66""),INDIRECT(""'""&amp;CY$1&amp;""'!$D$4:$D$66"")=CY$2),$G$3:$BQ$3,$G71:$BQ71))),"""")"),"")</f>
        <v/>
      </c>
      <c r="DA71" s="252"/>
      <c r="DB71" s="251">
        <f>IFERROR(__xludf.DUMMYFUNCTION("AVERAGE(ARRAYFORMULA(XLOOKUP(FILTER(INDIRECT(""'""&amp;DB$1&amp;""'!$C$4:$C$66""),INDIRECT(""'""&amp;DB$1&amp;""'!$D$4:$D$66"")=DB$2),$G$3:$BQ$3,$G71:$BQ71)))"),0.0)</f>
        <v>0</v>
      </c>
      <c r="DC71" s="207" t="str">
        <f>IFERROR(__xludf.DUMMYFUNCTION("IF(OR(DB71&gt;$BS71+$BT71*$BT$2,DB71&lt;$BS71-$BT71*$BT$2),AVEDEV(ARRAYFORMULA(XLOOKUP(FILTER(INDIRECT(""'""&amp;DB$1&amp;""'!$C$4:$C$66""),INDIRECT(""'""&amp;DB$1&amp;""'!$D$4:$D$66"")=DB$2),$G$3:$BQ$3,$G71:$BQ71))),"""")"),"")</f>
        <v/>
      </c>
      <c r="DD71" s="251">
        <f>IFERROR(__xludf.DUMMYFUNCTION("AVERAGE(ARRAYFORMULA(XLOOKUP(FILTER(INDIRECT(""'""&amp;DD$1&amp;""'!$C$4:$C$66""),INDIRECT(""'""&amp;DD$1&amp;""'!$D$4:$D$66"")=DD$2),$G$3:$BQ$3,$G71:$BQ71)))"),0.7777777777777778)</f>
        <v>0.7777777778</v>
      </c>
      <c r="DE71" s="207">
        <f>IFERROR(__xludf.DUMMYFUNCTION("IF(OR(DD71&gt;$BS71+$BT71*$BT$2,DD71&lt;$BS71-$BT71*$BT$2),AVEDEV(ARRAYFORMULA(XLOOKUP(FILTER(INDIRECT(""'""&amp;DD$1&amp;""'!$C$4:$C$66""),INDIRECT(""'""&amp;DD$1&amp;""'!$D$4:$D$66"")=DD$2),$G$3:$BQ$3,$G71:$BQ71))),"""")"),1.3827160493827164)</f>
        <v>1.382716049</v>
      </c>
      <c r="DF71" s="251">
        <f>IFERROR(__xludf.DUMMYFUNCTION("AVERAGE(ARRAYFORMULA(XLOOKUP(FILTER(INDIRECT(""'""&amp;DF$1&amp;""'!$C$4:$C$66""),INDIRECT(""'""&amp;DF$1&amp;""'!$D$4:$D$66"")=DF$2),$G$3:$BQ$3,$G71:$BQ71)))"),0.0)</f>
        <v>0</v>
      </c>
      <c r="DG71" s="207" t="str">
        <f>IFERROR(__xludf.DUMMYFUNCTION("IF(OR(DF71&gt;$BS71+$BT71*$BT$2,DF71&lt;$BS71-$BT71*$BT$2),AVEDEV(ARRAYFORMULA(XLOOKUP(FILTER(INDIRECT(""'""&amp;DF$1&amp;""'!$C$4:$C$66""),INDIRECT(""'""&amp;DF$1&amp;""'!$D$4:$D$66"")=DF$2),$G$3:$BQ$3,$G71:$BQ71))),"""")"),"")</f>
        <v/>
      </c>
      <c r="DH71" s="251">
        <f>IFERROR(__xludf.DUMMYFUNCTION("AVERAGE(ARRAYFORMULA(XLOOKUP(FILTER(INDIRECT(""'""&amp;DH$1&amp;""'!$C$4:$C$66""),INDIRECT(""'""&amp;DH$1&amp;""'!$D$4:$D$66"")=DH$2),$G$3:$BQ$3,$G71:$BQ71)))"),0.0)</f>
        <v>0</v>
      </c>
      <c r="DI71" s="207" t="str">
        <f>IFERROR(__xludf.DUMMYFUNCTION("IF(OR(DH71&gt;$BS71+$BT71*$BT$2,DH71&lt;$BS71-$BT71*$BT$2),AVEDEV(ARRAYFORMULA(XLOOKUP(FILTER(INDIRECT(""'""&amp;DH$1&amp;""'!$C$4:$C$66""),INDIRECT(""'""&amp;DH$1&amp;""'!$D$4:$D$66"")=DH$2),$G$3:$BQ$3,$G71:$BQ71))),"""")"),"")</f>
        <v/>
      </c>
      <c r="DJ71" s="243"/>
    </row>
    <row r="72">
      <c r="A72" s="2"/>
      <c r="B72" s="204">
        <v>68.0</v>
      </c>
      <c r="C72" s="204" t="s">
        <v>507</v>
      </c>
      <c r="D72" s="204" t="s">
        <v>513</v>
      </c>
      <c r="E72" s="205" t="b">
        <f>VLOOKUP(D72,'Feature Set List'!A69:C246,2,0)</f>
        <v>1</v>
      </c>
      <c r="F72" s="205" t="b">
        <f>VLOOKUP(D72,'Feature Set List'!A69:C246,3,0)</f>
        <v>1</v>
      </c>
      <c r="G72" s="205">
        <v>0.0</v>
      </c>
      <c r="H72" s="205">
        <v>0.0</v>
      </c>
      <c r="I72" s="205">
        <v>-2.0</v>
      </c>
      <c r="J72" s="205">
        <v>0.0</v>
      </c>
      <c r="K72" s="205">
        <v>0.0</v>
      </c>
      <c r="L72" s="205">
        <v>0.0</v>
      </c>
      <c r="M72" s="205">
        <v>-3.0</v>
      </c>
      <c r="N72" s="205">
        <v>0.0</v>
      </c>
      <c r="O72" s="205">
        <v>0.0</v>
      </c>
      <c r="P72" s="205">
        <v>0.0</v>
      </c>
      <c r="Q72" s="205">
        <v>0.0</v>
      </c>
      <c r="R72" s="205">
        <v>0.0</v>
      </c>
      <c r="S72" s="205">
        <v>0.0</v>
      </c>
      <c r="T72" s="205">
        <v>0.0</v>
      </c>
      <c r="U72" s="205">
        <v>0.0</v>
      </c>
      <c r="V72" s="205">
        <v>0.0</v>
      </c>
      <c r="W72" s="205">
        <v>0.0</v>
      </c>
      <c r="X72" s="205">
        <v>0.0</v>
      </c>
      <c r="Y72" s="205">
        <v>0.0</v>
      </c>
      <c r="Z72" s="205">
        <v>-3.0</v>
      </c>
      <c r="AA72" s="205">
        <v>0.0</v>
      </c>
      <c r="AB72" s="205">
        <v>0.0</v>
      </c>
      <c r="AC72" s="205">
        <v>0.0</v>
      </c>
      <c r="AD72" s="205">
        <v>0.0</v>
      </c>
      <c r="AE72" s="205">
        <v>0.0</v>
      </c>
      <c r="AF72" s="205">
        <v>0.0</v>
      </c>
      <c r="AG72" s="205">
        <v>-4.0</v>
      </c>
      <c r="AH72" s="205">
        <v>0.0</v>
      </c>
      <c r="AI72" s="205">
        <v>0.0</v>
      </c>
      <c r="AJ72" s="205">
        <v>0.0</v>
      </c>
      <c r="AK72" s="205">
        <v>-4.0</v>
      </c>
      <c r="AL72" s="205">
        <v>0.0</v>
      </c>
      <c r="AM72" s="205">
        <v>0.0</v>
      </c>
      <c r="AN72" s="205">
        <v>0.0</v>
      </c>
      <c r="AO72" s="205">
        <v>-4.0</v>
      </c>
      <c r="AP72" s="205">
        <v>0.0</v>
      </c>
      <c r="AQ72" s="205">
        <v>0.0</v>
      </c>
      <c r="AR72" s="205">
        <v>0.0</v>
      </c>
      <c r="AS72" s="205">
        <v>0.0</v>
      </c>
      <c r="AT72" s="205">
        <v>0.0</v>
      </c>
      <c r="AU72" s="205">
        <v>0.0</v>
      </c>
      <c r="AV72" s="205">
        <v>0.0</v>
      </c>
      <c r="AW72" s="205">
        <v>0.0</v>
      </c>
      <c r="AX72" s="205">
        <v>-3.0</v>
      </c>
      <c r="AY72" s="205">
        <v>0.0</v>
      </c>
      <c r="AZ72" s="205">
        <v>0.0</v>
      </c>
      <c r="BA72" s="205">
        <v>0.0</v>
      </c>
      <c r="BB72" s="205">
        <v>0.0</v>
      </c>
      <c r="BC72" s="205">
        <v>0.0</v>
      </c>
      <c r="BD72" s="205">
        <v>-3.0</v>
      </c>
      <c r="BE72" s="205">
        <v>-3.0</v>
      </c>
      <c r="BF72" s="205">
        <v>0.0</v>
      </c>
      <c r="BG72" s="205">
        <v>0.0</v>
      </c>
      <c r="BH72" s="205">
        <v>0.0</v>
      </c>
      <c r="BI72" s="205">
        <v>0.0</v>
      </c>
      <c r="BJ72" s="205">
        <v>0.0</v>
      </c>
      <c r="BK72" s="205">
        <v>0.0</v>
      </c>
      <c r="BL72" s="205">
        <v>2.0</v>
      </c>
      <c r="BM72" s="205">
        <v>-7.0</v>
      </c>
      <c r="BN72" s="205">
        <v>0.0</v>
      </c>
      <c r="BO72" s="205">
        <v>0.0</v>
      </c>
      <c r="BP72" s="205">
        <v>0.0</v>
      </c>
      <c r="BQ72" s="205">
        <v>-2.0</v>
      </c>
      <c r="BR72" s="206"/>
      <c r="BS72" s="250">
        <f t="shared" si="1"/>
        <v>-0.5714285714</v>
      </c>
      <c r="BT72" s="250">
        <f t="shared" si="2"/>
        <v>1.006802721</v>
      </c>
      <c r="BU72" s="206"/>
      <c r="BV72" s="207">
        <f>IFERROR(__xludf.DUMMYFUNCTION("AVERAGE(ARRAYFORMULA(XLOOKUP(FILTER(INDIRECT(""'""&amp;BV$1&amp;""'!$C$4:$C$66""),INDIRECT(""'""&amp;BV$1&amp;""'!$D$4:$D$66"")=BV$2),$G$3:$BQ$3,$G72:$BQ72)))"),-0.7142857142857143)</f>
        <v>-0.7142857143</v>
      </c>
      <c r="BW72" s="207" t="str">
        <f>IFERROR(__xludf.DUMMYFUNCTION("IF(OR(BV72&gt;$BS72+$BT72*$BT$2,BV72&lt;$BS72-$BT72*$BT$2),AVEDEV(ARRAYFORMULA(XLOOKUP(FILTER(INDIRECT(""'""&amp;BV$1&amp;""'!$C$4:$C$66""),INDIRECT(""'""&amp;BV$1&amp;""'!$D$4:$D$66"")=BV$2),$G$3:$BQ$3,$G72:$BQ72))),"""")"),"")</f>
        <v/>
      </c>
      <c r="BX72" s="207">
        <f>IFERROR(__xludf.DUMMYFUNCTION("AVERAGE(ARRAYFORMULA(XLOOKUP(FILTER(INDIRECT(""'""&amp;BX$1&amp;""'!$C$4:$C$66""),INDIRECT(""'""&amp;BX$1&amp;""'!$D$4:$D$66"")=BX$2),$G$3:$BQ$3,$G72:$BQ72)))"),-0.38095238095238093)</f>
        <v>-0.380952381</v>
      </c>
      <c r="BY72" s="207" t="str">
        <f>IFERROR(__xludf.DUMMYFUNCTION("IF(OR(BX72&gt;$BS72+$BT72*$BT$2,BX72&lt;$BS72-$BT72*$BT$2),AVEDEV(ARRAYFORMULA(XLOOKUP(FILTER(INDIRECT(""'""&amp;BX$1&amp;""'!$C$4:$C$66""),INDIRECT(""'""&amp;BX$1&amp;""'!$D$4:$D$66"")=BX$2),$G$3:$BQ$3,$G72:$BQ72))),"""")"),"")</f>
        <v/>
      </c>
      <c r="BZ72" s="207">
        <f>IFERROR(__xludf.DUMMYFUNCTION("AVERAGE(ARRAYFORMULA(XLOOKUP(FILTER(INDIRECT(""'""&amp;BZ$1&amp;""'!$C$4:$C$66""),INDIRECT(""'""&amp;BZ$1&amp;""'!$D$4:$D$66"")=BZ$2),$G$3:$BQ$3,$G72:$BQ72)))"),-0.9090909090909091)</f>
        <v>-0.9090909091</v>
      </c>
      <c r="CA72" s="207" t="str">
        <f>IFERROR(__xludf.DUMMYFUNCTION("IF(OR(BZ72&gt;$BS72+$BT72*$BT$2,BZ72&lt;$BS72-$BT72*$BT$2),AVEDEV(ARRAYFORMULA(XLOOKUP(FILTER(INDIRECT(""'""&amp;BZ$1&amp;""'!$C$4:$C$66""),INDIRECT(""'""&amp;BZ$1&amp;""'!$D$4:$D$66"")=BZ$2),$G$3:$BQ$3,$G72:$BQ72))),"""")"),"")</f>
        <v/>
      </c>
      <c r="CB72" s="209"/>
      <c r="CC72" s="207">
        <f>IFERROR(__xludf.DUMMYFUNCTION("AVERAGE(ARRAYFORMULA(XLOOKUP(FILTER(INDIRECT(""'""&amp;CC$1&amp;""'!$C$4:$C$66""),INDIRECT(""'""&amp;CC$1&amp;""'!$D$4:$D$66"")=CC$2),$G$3:$BQ$3,$G72:$BQ72)))"),-0.5)</f>
        <v>-0.5</v>
      </c>
      <c r="CD72" s="207" t="str">
        <f>IFERROR(__xludf.DUMMYFUNCTION("IF(OR(CC72&gt;$BS72+$BT72*$BT$2,CC72&lt;$BS72-$BT72*$BT$2),AVEDEV(ARRAYFORMULA(XLOOKUP(FILTER(INDIRECT(""'""&amp;CC$1&amp;""'!$C$4:$C$66""),INDIRECT(""'""&amp;CC$1&amp;""'!$D$4:$D$66"")=CC$2),$G$3:$BQ$3,$G72:$BQ72))),"""")"),"")</f>
        <v/>
      </c>
      <c r="CE72" s="207">
        <f>IFERROR(__xludf.DUMMYFUNCTION("AVERAGE(ARRAYFORMULA(XLOOKUP(FILTER(INDIRECT(""'""&amp;CE$1&amp;""'!$C$4:$C$66""),INDIRECT(""'""&amp;CE$1&amp;""'!$D$4:$D$66"")=CE$2),$G$3:$BQ$3,$G72:$BQ72)))"),-0.3548387096774194)</f>
        <v>-0.3548387097</v>
      </c>
      <c r="CF72" s="207" t="str">
        <f>IFERROR(__xludf.DUMMYFUNCTION("IF(OR(CE72&gt;$BS72+$BT72*$BT$2,CE72&lt;$BS72-$BT72*$BT$2),AVEDEV(ARRAYFORMULA(XLOOKUP(FILTER(INDIRECT(""'""&amp;CE$1&amp;""'!$C$4:$C$66""),INDIRECT(""'""&amp;CE$1&amp;""'!$D$4:$D$66"")=CE$2),$G$3:$BQ$3,$G72:$BQ72))),"""")"),"")</f>
        <v/>
      </c>
      <c r="CG72" s="207">
        <f>IFERROR(__xludf.DUMMYFUNCTION("AVERAGE(ARRAYFORMULA(XLOOKUP(FILTER(INDIRECT(""'""&amp;CG$1&amp;""'!$C$4:$C$66""),INDIRECT(""'""&amp;CG$1&amp;""'!$D$4:$D$66"")=CG$2),$G$3:$BQ$3,$G72:$BQ72)))"),0.0)</f>
        <v>0</v>
      </c>
      <c r="CH72" s="207" t="str">
        <f>IFERROR(__xludf.DUMMYFUNCTION("IF(OR(CG72&gt;$BS72+$BT72*$BT$2,CG72&lt;$BS72-$BT72*$BT$2),AVEDEV(ARRAYFORMULA(XLOOKUP(FILTER(INDIRECT(""'""&amp;CG$1&amp;""'!$C$4:$C$66""),INDIRECT(""'""&amp;CG$1&amp;""'!$D$4:$D$66"")=CG$2),$G$3:$BQ$3,$G72:$BQ72))),"""")"),"")</f>
        <v/>
      </c>
      <c r="CI72" s="206"/>
      <c r="CJ72" s="251">
        <f>IFERROR(__xludf.DUMMYFUNCTION("AVERAGE(ARRAYFORMULA(XLOOKUP(FILTER(INDIRECT(""'""&amp;CJ$1&amp;""'!$C$4:$C$66""),INDIRECT(""'""&amp;CJ$1&amp;""'!$D$4:$D$66"")=CJ$2),$G$3:$BQ$3,$G72:$BQ72)))"),-0.6666666666666666)</f>
        <v>-0.6666666667</v>
      </c>
      <c r="CK72" s="207" t="str">
        <f>IFERROR(__xludf.DUMMYFUNCTION("IF(OR(CJ72&gt;$BS72+$BT72*$BT$2,CJ72&lt;$BS72-$BT72*$BT$2),AVEDEV(ARRAYFORMULA(XLOOKUP(FILTER(INDIRECT(""'""&amp;CJ$1&amp;""'!$C$4:$C$66""),INDIRECT(""'""&amp;CJ$1&amp;""'!$D$4:$D$66"")=CJ$2),$G$3:$BQ$3,$G72:$BQ72))),"""")"),"")</f>
        <v/>
      </c>
      <c r="CL72" s="251">
        <f>IFERROR(__xludf.DUMMYFUNCTION("AVERAGE(ARRAYFORMULA(XLOOKUP(FILTER(INDIRECT(""'""&amp;CL$1&amp;""'!$C$4:$C$66""),INDIRECT(""'""&amp;CL$1&amp;""'!$D$4:$D$66"")=CL$2),$G$3:$BQ$3,$G72:$BQ72)))"),-0.5897435897435898)</f>
        <v>-0.5897435897</v>
      </c>
      <c r="CM72" s="207" t="str">
        <f>IFERROR(__xludf.DUMMYFUNCTION("IF(OR(CL72&gt;$BS72+$BT72*$BT$2,CL72&lt;$BS72-$BT72*$BT$2),AVEDEV(ARRAYFORMULA(XLOOKUP(FILTER(INDIRECT(""'""&amp;CL$1&amp;""'!$C$4:$C$66""),INDIRECT(""'""&amp;CL$1&amp;""'!$D$4:$D$66"")=CL$2),$G$3:$BQ$3,$G72:$BQ72))),"""")"),"")</f>
        <v/>
      </c>
      <c r="CN72" s="253">
        <f>IFERROR(__xludf.DUMMYFUNCTION("AVERAGE(ARRAYFORMULA(XLOOKUP(FILTER(INDIRECT(""'""&amp;CN$1&amp;""'!$C$4:$C$66""),INDIRECT(""'""&amp;CN$1&amp;""'!$D$4:$D$66"")=CN$2),$G$3:$BQ$3,$G72:$BQ72)))"),0.0)</f>
        <v>0</v>
      </c>
      <c r="CO72" s="207" t="str">
        <f>IFERROR(__xludf.DUMMYFUNCTION("IF(OR(CN72&gt;$BS72+$BT72*$BT$2,CN72&lt;$BS72-$BT72*$BT$2),AVEDEV(ARRAYFORMULA(XLOOKUP(FILTER(INDIRECT(""'""&amp;CN$1&amp;""'!$C$4:$C$66""),INDIRECT(""'""&amp;CN$1&amp;""'!$D$4:$D$66"")=CN$2),$G$3:$BQ$3,$G72:$BQ72))),"""")"),"")</f>
        <v/>
      </c>
      <c r="CP72" s="252"/>
      <c r="CQ72" s="251">
        <f>IFERROR(__xludf.DUMMYFUNCTION("AVERAGE(ARRAYFORMULA(XLOOKUP(FILTER(INDIRECT(""'""&amp;CQ$1&amp;""'!$C$4:$C$66""),INDIRECT(""'""&amp;CQ$1&amp;""'!$D$4:$D$66"")=CQ$2),$G$3:$BQ$3,$G72:$BQ72)))"),-0.5714285714285714)</f>
        <v>-0.5714285714</v>
      </c>
      <c r="CR72" s="207" t="str">
        <f>IFERROR(__xludf.DUMMYFUNCTION("IF(OR(CQ72&gt;$BS72+$BT72*$BT$2,CQ72&lt;$BS72-$BT72*$BT$2),AVEDEV(ARRAYFORMULA(XLOOKUP(FILTER(INDIRECT(""'""&amp;CQ$1&amp;""'!$C$4:$C$66""),INDIRECT(""'""&amp;CQ$1&amp;""'!$D$4:$D$66"")=CQ$2),$G$3:$BQ$3,$G72:$BQ72))),"""")"),"")</f>
        <v/>
      </c>
      <c r="CS72" s="251">
        <f>IFERROR(__xludf.DUMMYFUNCTION("AVERAGE(ARRAYFORMULA(XLOOKUP(FILTER(INDIRECT(""'""&amp;CS$1&amp;""'!$C$4:$C$66""),INDIRECT(""'""&amp;CS$1&amp;""'!$D$4:$D$66"")=CS$2),$G$3:$BQ$3,$G72:$BQ72)))"),-0.3333333333333333)</f>
        <v>-0.3333333333</v>
      </c>
      <c r="CT72" s="207" t="str">
        <f>IFERROR(__xludf.DUMMYFUNCTION("IF(OR(CS72&gt;$BS72+$BT72*$BT$2,CS72&lt;$BS72-$BT72*$BT$2),AVEDEV(ARRAYFORMULA(XLOOKUP(FILTER(INDIRECT(""'""&amp;CS$1&amp;""'!$C$4:$C$66""),INDIRECT(""'""&amp;CS$1&amp;""'!$D$4:$D$66"")=CS$2),$G$3:$BQ$3,$G72:$BQ72))),"""")"),"")</f>
        <v/>
      </c>
      <c r="CU72" s="251">
        <f>IFERROR(__xludf.DUMMYFUNCTION("AVERAGE(ARRAYFORMULA(XLOOKUP(FILTER(INDIRECT(""'""&amp;CU$1&amp;""'!$C$4:$C$66""),INDIRECT(""'""&amp;CU$1&amp;""'!$D$4:$D$66"")=CU$2),$G$3:$BQ$3,$G72:$BQ72)))"),0.0)</f>
        <v>0</v>
      </c>
      <c r="CV72" s="207" t="str">
        <f>IFERROR(__xludf.DUMMYFUNCTION("IF(OR(CU72&gt;$BS72+$BT72*$BT$2,CU72&lt;$BS72-$BT72*$BT$2),AVEDEV(ARRAYFORMULA(XLOOKUP(FILTER(INDIRECT(""'""&amp;CU$1&amp;""'!$C$4:$C$66""),INDIRECT(""'""&amp;CU$1&amp;""'!$D$4:$D$66"")=CU$2),$G$3:$BQ$3,$G72:$BQ72))),"""")"),"")</f>
        <v/>
      </c>
      <c r="CW72" s="251">
        <f>IFERROR(__xludf.DUMMYFUNCTION("AVERAGE(ARRAYFORMULA(XLOOKUP(FILTER(INDIRECT(""'""&amp;CW$1&amp;""'!$C$4:$C$66""),INDIRECT(""'""&amp;CW$1&amp;""'!$D$4:$D$66"")=CW$2),$G$3:$BQ$3,$G72:$BQ72)))"),0.0)</f>
        <v>0</v>
      </c>
      <c r="CX72" s="207" t="str">
        <f>IFERROR(__xludf.DUMMYFUNCTION("IF(OR(CW72&gt;$BS72+$BT72*$BT$2,CW72&lt;$BS72-$BT72*$BT$2),AVEDEV(ARRAYFORMULA(XLOOKUP(FILTER(INDIRECT(""'""&amp;CW$1&amp;""'!$C$4:$C$66""),INDIRECT(""'""&amp;CW$1&amp;""'!$D$4:$D$66"")=CW$2),$G$3:$BQ$3,$G72:$BQ72))),"""")"),"")</f>
        <v/>
      </c>
      <c r="CY72" s="253">
        <f>IFERROR(__xludf.DUMMYFUNCTION("AVERAGE(ARRAYFORMULA(XLOOKUP(FILTER(INDIRECT(""'""&amp;CY$1&amp;""'!$C$4:$C$66""),INDIRECT(""'""&amp;CY$1&amp;""'!$D$4:$D$66"")=CY$2),$G$3:$BQ$3,$G72:$BQ72)))"),-0.5714285714285714)</f>
        <v>-0.5714285714</v>
      </c>
      <c r="CZ72" s="207" t="str">
        <f>IFERROR(__xludf.DUMMYFUNCTION("IF(OR(CY72&gt;$BS72+$BT72*$BT$2,CY72&lt;$BS72-$BT72*$BT$2),AVEDEV(ARRAYFORMULA(XLOOKUP(FILTER(INDIRECT(""'""&amp;CY$1&amp;""'!$C$4:$C$66""),INDIRECT(""'""&amp;CY$1&amp;""'!$D$4:$D$66"")=CY$2),$G$3:$BQ$3,$G72:$BQ72))),"""")"),"")</f>
        <v/>
      </c>
      <c r="DA72" s="252"/>
      <c r="DB72" s="251">
        <f>IFERROR(__xludf.DUMMYFUNCTION("AVERAGE(ARRAYFORMULA(XLOOKUP(FILTER(INDIRECT(""'""&amp;DB$1&amp;""'!$C$4:$C$66""),INDIRECT(""'""&amp;DB$1&amp;""'!$D$4:$D$66"")=DB$2),$G$3:$BQ$3,$G72:$BQ72)))"),-0.6333333333333333)</f>
        <v>-0.6333333333</v>
      </c>
      <c r="DC72" s="207" t="str">
        <f>IFERROR(__xludf.DUMMYFUNCTION("IF(OR(DB72&gt;$BS72+$BT72*$BT$2,DB72&lt;$BS72-$BT72*$BT$2),AVEDEV(ARRAYFORMULA(XLOOKUP(FILTER(INDIRECT(""'""&amp;DB$1&amp;""'!$C$4:$C$66""),INDIRECT(""'""&amp;DB$1&amp;""'!$D$4:$D$66"")=DB$2),$G$3:$BQ$3,$G72:$BQ72))),"""")"),"")</f>
        <v/>
      </c>
      <c r="DD72" s="251">
        <f>IFERROR(__xludf.DUMMYFUNCTION("AVERAGE(ARRAYFORMULA(XLOOKUP(FILTER(INDIRECT(""'""&amp;DD$1&amp;""'!$C$4:$C$66""),INDIRECT(""'""&amp;DD$1&amp;""'!$D$4:$D$66"")=DD$2),$G$3:$BQ$3,$G72:$BQ72)))"),-1.1111111111111112)</f>
        <v>-1.111111111</v>
      </c>
      <c r="DE72" s="207" t="str">
        <f>IFERROR(__xludf.DUMMYFUNCTION("IF(OR(DD72&gt;$BS72+$BT72*$BT$2,DD72&lt;$BS72-$BT72*$BT$2),AVEDEV(ARRAYFORMULA(XLOOKUP(FILTER(INDIRECT(""'""&amp;DD$1&amp;""'!$C$4:$C$66""),INDIRECT(""'""&amp;DD$1&amp;""'!$D$4:$D$66"")=DD$2),$G$3:$BQ$3,$G72:$BQ72))),"""")"),"")</f>
        <v/>
      </c>
      <c r="DF72" s="251">
        <f>IFERROR(__xludf.DUMMYFUNCTION("AVERAGE(ARRAYFORMULA(XLOOKUP(FILTER(INDIRECT(""'""&amp;DF$1&amp;""'!$C$4:$C$66""),INDIRECT(""'""&amp;DF$1&amp;""'!$D$4:$D$66"")=DF$2),$G$3:$BQ$3,$G72:$BQ72)))"),0.0)</f>
        <v>0</v>
      </c>
      <c r="DG72" s="207" t="str">
        <f>IFERROR(__xludf.DUMMYFUNCTION("IF(OR(DF72&gt;$BS72+$BT72*$BT$2,DF72&lt;$BS72-$BT72*$BT$2),AVEDEV(ARRAYFORMULA(XLOOKUP(FILTER(INDIRECT(""'""&amp;DF$1&amp;""'!$C$4:$C$66""),INDIRECT(""'""&amp;DF$1&amp;""'!$D$4:$D$66"")=DF$2),$G$3:$BQ$3,$G72:$BQ72))),"""")"),"")</f>
        <v/>
      </c>
      <c r="DH72" s="251">
        <f>IFERROR(__xludf.DUMMYFUNCTION("AVERAGE(ARRAYFORMULA(XLOOKUP(FILTER(INDIRECT(""'""&amp;DH$1&amp;""'!$C$4:$C$66""),INDIRECT(""'""&amp;DH$1&amp;""'!$D$4:$D$66"")=DH$2),$G$3:$BQ$3,$G72:$BQ72)))"),0.0)</f>
        <v>0</v>
      </c>
      <c r="DI72" s="207" t="str">
        <f>IFERROR(__xludf.DUMMYFUNCTION("IF(OR(DH72&gt;$BS72+$BT72*$BT$2,DH72&lt;$BS72-$BT72*$BT$2),AVEDEV(ARRAYFORMULA(XLOOKUP(FILTER(INDIRECT(""'""&amp;DH$1&amp;""'!$C$4:$C$66""),INDIRECT(""'""&amp;DH$1&amp;""'!$D$4:$D$66"")=DH$2),$G$3:$BQ$3,$G72:$BQ72))),"""")"),"")</f>
        <v/>
      </c>
      <c r="DJ72" s="243"/>
    </row>
    <row r="73">
      <c r="A73" s="2"/>
      <c r="B73" s="204">
        <v>69.0</v>
      </c>
      <c r="C73" s="204" t="s">
        <v>507</v>
      </c>
      <c r="D73" s="204" t="s">
        <v>514</v>
      </c>
      <c r="E73" s="205" t="b">
        <f>VLOOKUP(D73,'Feature Set List'!A70:C246,2,0)</f>
        <v>1</v>
      </c>
      <c r="F73" s="205" t="b">
        <f>VLOOKUP(D73,'Feature Set List'!A70:C246,3,0)</f>
        <v>1</v>
      </c>
      <c r="G73" s="205">
        <v>0.0</v>
      </c>
      <c r="H73" s="205">
        <v>0.0</v>
      </c>
      <c r="I73" s="205">
        <v>-2.0</v>
      </c>
      <c r="J73" s="205">
        <v>0.0</v>
      </c>
      <c r="K73" s="205">
        <v>0.0</v>
      </c>
      <c r="L73" s="205">
        <v>0.0</v>
      </c>
      <c r="M73" s="205">
        <v>-3.0</v>
      </c>
      <c r="N73" s="205">
        <v>0.0</v>
      </c>
      <c r="O73" s="205">
        <v>0.0</v>
      </c>
      <c r="P73" s="205">
        <v>0.0</v>
      </c>
      <c r="Q73" s="205">
        <v>0.0</v>
      </c>
      <c r="R73" s="205">
        <v>0.0</v>
      </c>
      <c r="S73" s="205">
        <v>0.0</v>
      </c>
      <c r="T73" s="205">
        <v>0.0</v>
      </c>
      <c r="U73" s="205">
        <v>0.0</v>
      </c>
      <c r="V73" s="205">
        <v>0.0</v>
      </c>
      <c r="W73" s="205">
        <v>0.0</v>
      </c>
      <c r="X73" s="205">
        <v>0.0</v>
      </c>
      <c r="Y73" s="205">
        <v>0.0</v>
      </c>
      <c r="Z73" s="205">
        <v>-3.0</v>
      </c>
      <c r="AA73" s="205">
        <v>0.0</v>
      </c>
      <c r="AB73" s="205">
        <v>0.0</v>
      </c>
      <c r="AC73" s="205">
        <v>0.0</v>
      </c>
      <c r="AD73" s="205">
        <v>0.0</v>
      </c>
      <c r="AE73" s="205">
        <v>0.0</v>
      </c>
      <c r="AF73" s="205">
        <v>0.0</v>
      </c>
      <c r="AG73" s="205">
        <v>-4.0</v>
      </c>
      <c r="AH73" s="205">
        <v>0.0</v>
      </c>
      <c r="AI73" s="205">
        <v>0.0</v>
      </c>
      <c r="AJ73" s="205">
        <v>0.0</v>
      </c>
      <c r="AK73" s="205">
        <v>-4.0</v>
      </c>
      <c r="AL73" s="205">
        <v>0.0</v>
      </c>
      <c r="AM73" s="205">
        <v>0.0</v>
      </c>
      <c r="AN73" s="205">
        <v>0.0</v>
      </c>
      <c r="AO73" s="205">
        <v>-4.0</v>
      </c>
      <c r="AP73" s="205">
        <v>0.0</v>
      </c>
      <c r="AQ73" s="205">
        <v>0.0</v>
      </c>
      <c r="AR73" s="205">
        <v>0.0</v>
      </c>
      <c r="AS73" s="205">
        <v>0.0</v>
      </c>
      <c r="AT73" s="205">
        <v>0.0</v>
      </c>
      <c r="AU73" s="205">
        <v>0.0</v>
      </c>
      <c r="AV73" s="205">
        <v>0.0</v>
      </c>
      <c r="AW73" s="205">
        <v>0.0</v>
      </c>
      <c r="AX73" s="205">
        <v>-3.0</v>
      </c>
      <c r="AY73" s="205">
        <v>0.0</v>
      </c>
      <c r="AZ73" s="205">
        <v>0.0</v>
      </c>
      <c r="BA73" s="205">
        <v>0.0</v>
      </c>
      <c r="BB73" s="205">
        <v>0.0</v>
      </c>
      <c r="BC73" s="205">
        <v>0.0</v>
      </c>
      <c r="BD73" s="205">
        <v>-3.0</v>
      </c>
      <c r="BE73" s="205">
        <v>-3.0</v>
      </c>
      <c r="BF73" s="205">
        <v>0.0</v>
      </c>
      <c r="BG73" s="205">
        <v>0.0</v>
      </c>
      <c r="BH73" s="205">
        <v>0.0</v>
      </c>
      <c r="BI73" s="205">
        <v>0.0</v>
      </c>
      <c r="BJ73" s="205">
        <v>0.0</v>
      </c>
      <c r="BK73" s="205">
        <v>0.0</v>
      </c>
      <c r="BL73" s="205">
        <v>2.0</v>
      </c>
      <c r="BM73" s="205">
        <v>0.0</v>
      </c>
      <c r="BN73" s="205">
        <v>0.0</v>
      </c>
      <c r="BO73" s="205">
        <v>0.0</v>
      </c>
      <c r="BP73" s="205">
        <v>0.0</v>
      </c>
      <c r="BQ73" s="205">
        <v>-2.0</v>
      </c>
      <c r="BR73" s="206"/>
      <c r="BS73" s="250">
        <f t="shared" si="1"/>
        <v>-0.4603174603</v>
      </c>
      <c r="BT73" s="250">
        <f t="shared" si="2"/>
        <v>0.837994457</v>
      </c>
      <c r="BU73" s="206"/>
      <c r="BV73" s="207">
        <f>IFERROR(__xludf.DUMMYFUNCTION("AVERAGE(ARRAYFORMULA(XLOOKUP(FILTER(INDIRECT(""'""&amp;BV$1&amp;""'!$C$4:$C$66""),INDIRECT(""'""&amp;BV$1&amp;""'!$D$4:$D$66"")=BV$2),$G$3:$BQ$3,$G73:$BQ73)))"),-0.7142857142857143)</f>
        <v>-0.7142857143</v>
      </c>
      <c r="BW73" s="207" t="str">
        <f>IFERROR(__xludf.DUMMYFUNCTION("IF(OR(BV73&gt;$BS73+$BT73*$BT$2,BV73&lt;$BS73-$BT73*$BT$2),AVEDEV(ARRAYFORMULA(XLOOKUP(FILTER(INDIRECT(""'""&amp;BV$1&amp;""'!$C$4:$C$66""),INDIRECT(""'""&amp;BV$1&amp;""'!$D$4:$D$66"")=BV$2),$G$3:$BQ$3,$G73:$BQ73))),"""")"),"")</f>
        <v/>
      </c>
      <c r="BX73" s="207">
        <f>IFERROR(__xludf.DUMMYFUNCTION("AVERAGE(ARRAYFORMULA(XLOOKUP(FILTER(INDIRECT(""'""&amp;BX$1&amp;""'!$C$4:$C$66""),INDIRECT(""'""&amp;BX$1&amp;""'!$D$4:$D$66"")=BX$2),$G$3:$BQ$3,$G73:$BQ73)))"),-0.38095238095238093)</f>
        <v>-0.380952381</v>
      </c>
      <c r="BY73" s="207" t="str">
        <f>IFERROR(__xludf.DUMMYFUNCTION("IF(OR(BX73&gt;$BS73+$BT73*$BT$2,BX73&lt;$BS73-$BT73*$BT$2),AVEDEV(ARRAYFORMULA(XLOOKUP(FILTER(INDIRECT(""'""&amp;BX$1&amp;""'!$C$4:$C$66""),INDIRECT(""'""&amp;BX$1&amp;""'!$D$4:$D$66"")=BX$2),$G$3:$BQ$3,$G73:$BQ73))),"""")"),"")</f>
        <v/>
      </c>
      <c r="BZ73" s="207">
        <f>IFERROR(__xludf.DUMMYFUNCTION("AVERAGE(ARRAYFORMULA(XLOOKUP(FILTER(INDIRECT(""'""&amp;BZ$1&amp;""'!$C$4:$C$66""),INDIRECT(""'""&amp;BZ$1&amp;""'!$D$4:$D$66"")=BZ$2),$G$3:$BQ$3,$G73:$BQ73)))"),-0.2727272727272727)</f>
        <v>-0.2727272727</v>
      </c>
      <c r="CA73" s="207" t="str">
        <f>IFERROR(__xludf.DUMMYFUNCTION("IF(OR(BZ73&gt;$BS73+$BT73*$BT$2,BZ73&lt;$BS73-$BT73*$BT$2),AVEDEV(ARRAYFORMULA(XLOOKUP(FILTER(INDIRECT(""'""&amp;BZ$1&amp;""'!$C$4:$C$66""),INDIRECT(""'""&amp;BZ$1&amp;""'!$D$4:$D$66"")=BZ$2),$G$3:$BQ$3,$G73:$BQ73))),"""")"),"")</f>
        <v/>
      </c>
      <c r="CB73" s="209"/>
      <c r="CC73" s="207">
        <f>IFERROR(__xludf.DUMMYFUNCTION("AVERAGE(ARRAYFORMULA(XLOOKUP(FILTER(INDIRECT(""'""&amp;CC$1&amp;""'!$C$4:$C$66""),INDIRECT(""'""&amp;CC$1&amp;""'!$D$4:$D$66"")=CC$2),$G$3:$BQ$3,$G73:$BQ73)))"),-0.5)</f>
        <v>-0.5</v>
      </c>
      <c r="CD73" s="207" t="str">
        <f>IFERROR(__xludf.DUMMYFUNCTION("IF(OR(CC73&gt;$BS73+$BT73*$BT$2,CC73&lt;$BS73-$BT73*$BT$2),AVEDEV(ARRAYFORMULA(XLOOKUP(FILTER(INDIRECT(""'""&amp;CC$1&amp;""'!$C$4:$C$66""),INDIRECT(""'""&amp;CC$1&amp;""'!$D$4:$D$66"")=CC$2),$G$3:$BQ$3,$G73:$BQ73))),"""")"),"")</f>
        <v/>
      </c>
      <c r="CE73" s="207">
        <f>IFERROR(__xludf.DUMMYFUNCTION("AVERAGE(ARRAYFORMULA(XLOOKUP(FILTER(INDIRECT(""'""&amp;CE$1&amp;""'!$C$4:$C$66""),INDIRECT(""'""&amp;CE$1&amp;""'!$D$4:$D$66"")=CE$2),$G$3:$BQ$3,$G73:$BQ73)))"),-0.3548387096774194)</f>
        <v>-0.3548387097</v>
      </c>
      <c r="CF73" s="207" t="str">
        <f>IFERROR(__xludf.DUMMYFUNCTION("IF(OR(CE73&gt;$BS73+$BT73*$BT$2,CE73&lt;$BS73-$BT73*$BT$2),AVEDEV(ARRAYFORMULA(XLOOKUP(FILTER(INDIRECT(""'""&amp;CE$1&amp;""'!$C$4:$C$66""),INDIRECT(""'""&amp;CE$1&amp;""'!$D$4:$D$66"")=CE$2),$G$3:$BQ$3,$G73:$BQ73))),"""")"),"")</f>
        <v/>
      </c>
      <c r="CG73" s="207">
        <f>IFERROR(__xludf.DUMMYFUNCTION("AVERAGE(ARRAYFORMULA(XLOOKUP(FILTER(INDIRECT(""'""&amp;CG$1&amp;""'!$C$4:$C$66""),INDIRECT(""'""&amp;CG$1&amp;""'!$D$4:$D$66"")=CG$2),$G$3:$BQ$3,$G73:$BQ73)))"),0.0)</f>
        <v>0</v>
      </c>
      <c r="CH73" s="207" t="str">
        <f>IFERROR(__xludf.DUMMYFUNCTION("IF(OR(CG73&gt;$BS73+$BT73*$BT$2,CG73&lt;$BS73-$BT73*$BT$2),AVEDEV(ARRAYFORMULA(XLOOKUP(FILTER(INDIRECT(""'""&amp;CG$1&amp;""'!$C$4:$C$66""),INDIRECT(""'""&amp;CG$1&amp;""'!$D$4:$D$66"")=CG$2),$G$3:$BQ$3,$G73:$BQ73))),"""")"),"")</f>
        <v/>
      </c>
      <c r="CI73" s="206"/>
      <c r="CJ73" s="251">
        <f>IFERROR(__xludf.DUMMYFUNCTION("AVERAGE(ARRAYFORMULA(XLOOKUP(FILTER(INDIRECT(""'""&amp;CJ$1&amp;""'!$C$4:$C$66""),INDIRECT(""'""&amp;CJ$1&amp;""'!$D$4:$D$66"")=CJ$2),$G$3:$BQ$3,$G73:$BQ73)))"),-0.2)</f>
        <v>-0.2</v>
      </c>
      <c r="CK73" s="207" t="str">
        <f>IFERROR(__xludf.DUMMYFUNCTION("IF(OR(CJ73&gt;$BS73+$BT73*$BT$2,CJ73&lt;$BS73-$BT73*$BT$2),AVEDEV(ARRAYFORMULA(XLOOKUP(FILTER(INDIRECT(""'""&amp;CJ$1&amp;""'!$C$4:$C$66""),INDIRECT(""'""&amp;CJ$1&amp;""'!$D$4:$D$66"")=CJ$2),$G$3:$BQ$3,$G73:$BQ73))),"""")"),"")</f>
        <v/>
      </c>
      <c r="CL73" s="251">
        <f>IFERROR(__xludf.DUMMYFUNCTION("AVERAGE(ARRAYFORMULA(XLOOKUP(FILTER(INDIRECT(""'""&amp;CL$1&amp;""'!$C$4:$C$66""),INDIRECT(""'""&amp;CL$1&amp;""'!$D$4:$D$66"")=CL$2),$G$3:$BQ$3,$G73:$BQ73)))"),-0.5897435897435898)</f>
        <v>-0.5897435897</v>
      </c>
      <c r="CM73" s="207" t="str">
        <f>IFERROR(__xludf.DUMMYFUNCTION("IF(OR(CL73&gt;$BS73+$BT73*$BT$2,CL73&lt;$BS73-$BT73*$BT$2),AVEDEV(ARRAYFORMULA(XLOOKUP(FILTER(INDIRECT(""'""&amp;CL$1&amp;""'!$C$4:$C$66""),INDIRECT(""'""&amp;CL$1&amp;""'!$D$4:$D$66"")=CL$2),$G$3:$BQ$3,$G73:$BQ73))),"""")"),"")</f>
        <v/>
      </c>
      <c r="CN73" s="251">
        <f>IFERROR(__xludf.DUMMYFUNCTION("AVERAGE(ARRAYFORMULA(XLOOKUP(FILTER(INDIRECT(""'""&amp;CN$1&amp;""'!$C$4:$C$66""),INDIRECT(""'""&amp;CN$1&amp;""'!$D$4:$D$66"")=CN$2),$G$3:$BQ$3,$G73:$BQ73)))"),0.0)</f>
        <v>0</v>
      </c>
      <c r="CO73" s="207" t="str">
        <f>IFERROR(__xludf.DUMMYFUNCTION("IF(OR(CN73&gt;$BS73+$BT73*$BT$2,CN73&lt;$BS73-$BT73*$BT$2),AVEDEV(ARRAYFORMULA(XLOOKUP(FILTER(INDIRECT(""'""&amp;CN$1&amp;""'!$C$4:$C$66""),INDIRECT(""'""&amp;CN$1&amp;""'!$D$4:$D$66"")=CN$2),$G$3:$BQ$3,$G73:$BQ73))),"""")"),"")</f>
        <v/>
      </c>
      <c r="CP73" s="252"/>
      <c r="CQ73" s="251">
        <f>IFERROR(__xludf.DUMMYFUNCTION("AVERAGE(ARRAYFORMULA(XLOOKUP(FILTER(INDIRECT(""'""&amp;CQ$1&amp;""'!$C$4:$C$66""),INDIRECT(""'""&amp;CQ$1&amp;""'!$D$4:$D$66"")=CQ$2),$G$3:$BQ$3,$G73:$BQ73)))"),-0.5714285714285714)</f>
        <v>-0.5714285714</v>
      </c>
      <c r="CR73" s="207" t="str">
        <f>IFERROR(__xludf.DUMMYFUNCTION("IF(OR(CQ73&gt;$BS73+$BT73*$BT$2,CQ73&lt;$BS73-$BT73*$BT$2),AVEDEV(ARRAYFORMULA(XLOOKUP(FILTER(INDIRECT(""'""&amp;CQ$1&amp;""'!$C$4:$C$66""),INDIRECT(""'""&amp;CQ$1&amp;""'!$D$4:$D$66"")=CQ$2),$G$3:$BQ$3,$G73:$BQ73))),"""")"),"")</f>
        <v/>
      </c>
      <c r="CS73" s="251">
        <f>IFERROR(__xludf.DUMMYFUNCTION("AVERAGE(ARRAYFORMULA(XLOOKUP(FILTER(INDIRECT(""'""&amp;CS$1&amp;""'!$C$4:$C$66""),INDIRECT(""'""&amp;CS$1&amp;""'!$D$4:$D$66"")=CS$2),$G$3:$BQ$3,$G73:$BQ73)))"),-0.3333333333333333)</f>
        <v>-0.3333333333</v>
      </c>
      <c r="CT73" s="207" t="str">
        <f>IFERROR(__xludf.DUMMYFUNCTION("IF(OR(CS73&gt;$BS73+$BT73*$BT$2,CS73&lt;$BS73-$BT73*$BT$2),AVEDEV(ARRAYFORMULA(XLOOKUP(FILTER(INDIRECT(""'""&amp;CS$1&amp;""'!$C$4:$C$66""),INDIRECT(""'""&amp;CS$1&amp;""'!$D$4:$D$66"")=CS$2),$G$3:$BQ$3,$G73:$BQ73))),"""")"),"")</f>
        <v/>
      </c>
      <c r="CU73" s="251">
        <f>IFERROR(__xludf.DUMMYFUNCTION("AVERAGE(ARRAYFORMULA(XLOOKUP(FILTER(INDIRECT(""'""&amp;CU$1&amp;""'!$C$4:$C$66""),INDIRECT(""'""&amp;CU$1&amp;""'!$D$4:$D$66"")=CU$2),$G$3:$BQ$3,$G73:$BQ73)))"),0.0)</f>
        <v>0</v>
      </c>
      <c r="CV73" s="207" t="str">
        <f>IFERROR(__xludf.DUMMYFUNCTION("IF(OR(CU73&gt;$BS73+$BT73*$BT$2,CU73&lt;$BS73-$BT73*$BT$2),AVEDEV(ARRAYFORMULA(XLOOKUP(FILTER(INDIRECT(""'""&amp;CU$1&amp;""'!$C$4:$C$66""),INDIRECT(""'""&amp;CU$1&amp;""'!$D$4:$D$66"")=CU$2),$G$3:$BQ$3,$G73:$BQ73))),"""")"),"")</f>
        <v/>
      </c>
      <c r="CW73" s="251">
        <f>IFERROR(__xludf.DUMMYFUNCTION("AVERAGE(ARRAYFORMULA(XLOOKUP(FILTER(INDIRECT(""'""&amp;CW$1&amp;""'!$C$4:$C$66""),INDIRECT(""'""&amp;CW$1&amp;""'!$D$4:$D$66"")=CW$2),$G$3:$BQ$3,$G73:$BQ73)))"),0.0)</f>
        <v>0</v>
      </c>
      <c r="CX73" s="207" t="str">
        <f>IFERROR(__xludf.DUMMYFUNCTION("IF(OR(CW73&gt;$BS73+$BT73*$BT$2,CW73&lt;$BS73-$BT73*$BT$2),AVEDEV(ARRAYFORMULA(XLOOKUP(FILTER(INDIRECT(""'""&amp;CW$1&amp;""'!$C$4:$C$66""),INDIRECT(""'""&amp;CW$1&amp;""'!$D$4:$D$66"")=CW$2),$G$3:$BQ$3,$G73:$BQ73))),"""")"),"")</f>
        <v/>
      </c>
      <c r="CY73" s="251">
        <f>IFERROR(__xludf.DUMMYFUNCTION("AVERAGE(ARRAYFORMULA(XLOOKUP(FILTER(INDIRECT(""'""&amp;CY$1&amp;""'!$C$4:$C$66""),INDIRECT(""'""&amp;CY$1&amp;""'!$D$4:$D$66"")=CY$2),$G$3:$BQ$3,$G73:$BQ73)))"),-0.5714285714285714)</f>
        <v>-0.5714285714</v>
      </c>
      <c r="CZ73" s="207" t="str">
        <f>IFERROR(__xludf.DUMMYFUNCTION("IF(OR(CY73&gt;$BS73+$BT73*$BT$2,CY73&lt;$BS73-$BT73*$BT$2),AVEDEV(ARRAYFORMULA(XLOOKUP(FILTER(INDIRECT(""'""&amp;CY$1&amp;""'!$C$4:$C$66""),INDIRECT(""'""&amp;CY$1&amp;""'!$D$4:$D$66"")=CY$2),$G$3:$BQ$3,$G73:$BQ73))),"""")"),"")</f>
        <v/>
      </c>
      <c r="DA73" s="252"/>
      <c r="DB73" s="251">
        <f>IFERROR(__xludf.DUMMYFUNCTION("AVERAGE(ARRAYFORMULA(XLOOKUP(FILTER(INDIRECT(""'""&amp;DB$1&amp;""'!$C$4:$C$66""),INDIRECT(""'""&amp;DB$1&amp;""'!$D$4:$D$66"")=DB$2),$G$3:$BQ$3,$G73:$BQ73)))"),-0.6333333333333333)</f>
        <v>-0.6333333333</v>
      </c>
      <c r="DC73" s="207" t="str">
        <f>IFERROR(__xludf.DUMMYFUNCTION("IF(OR(DB73&gt;$BS73+$BT73*$BT$2,DB73&lt;$BS73-$BT73*$BT$2),AVEDEV(ARRAYFORMULA(XLOOKUP(FILTER(INDIRECT(""'""&amp;DB$1&amp;""'!$C$4:$C$66""),INDIRECT(""'""&amp;DB$1&amp;""'!$D$4:$D$66"")=DB$2),$G$3:$BQ$3,$G73:$BQ73))),"""")"),"")</f>
        <v/>
      </c>
      <c r="DD73" s="251">
        <f>IFERROR(__xludf.DUMMYFUNCTION("AVERAGE(ARRAYFORMULA(XLOOKUP(FILTER(INDIRECT(""'""&amp;DD$1&amp;""'!$C$4:$C$66""),INDIRECT(""'""&amp;DD$1&amp;""'!$D$4:$D$66"")=DD$2),$G$3:$BQ$3,$G73:$BQ73)))"),-0.3333333333333333)</f>
        <v>-0.3333333333</v>
      </c>
      <c r="DE73" s="207" t="str">
        <f>IFERROR(__xludf.DUMMYFUNCTION("IF(OR(DD73&gt;$BS73+$BT73*$BT$2,DD73&lt;$BS73-$BT73*$BT$2),AVEDEV(ARRAYFORMULA(XLOOKUP(FILTER(INDIRECT(""'""&amp;DD$1&amp;""'!$C$4:$C$66""),INDIRECT(""'""&amp;DD$1&amp;""'!$D$4:$D$66"")=DD$2),$G$3:$BQ$3,$G73:$BQ73))),"""")"),"")</f>
        <v/>
      </c>
      <c r="DF73" s="251">
        <f>IFERROR(__xludf.DUMMYFUNCTION("AVERAGE(ARRAYFORMULA(XLOOKUP(FILTER(INDIRECT(""'""&amp;DF$1&amp;""'!$C$4:$C$66""),INDIRECT(""'""&amp;DF$1&amp;""'!$D$4:$D$66"")=DF$2),$G$3:$BQ$3,$G73:$BQ73)))"),0.0)</f>
        <v>0</v>
      </c>
      <c r="DG73" s="207" t="str">
        <f>IFERROR(__xludf.DUMMYFUNCTION("IF(OR(DF73&gt;$BS73+$BT73*$BT$2,DF73&lt;$BS73-$BT73*$BT$2),AVEDEV(ARRAYFORMULA(XLOOKUP(FILTER(INDIRECT(""'""&amp;DF$1&amp;""'!$C$4:$C$66""),INDIRECT(""'""&amp;DF$1&amp;""'!$D$4:$D$66"")=DF$2),$G$3:$BQ$3,$G73:$BQ73))),"""")"),"")</f>
        <v/>
      </c>
      <c r="DH73" s="251">
        <f>IFERROR(__xludf.DUMMYFUNCTION("AVERAGE(ARRAYFORMULA(XLOOKUP(FILTER(INDIRECT(""'""&amp;DH$1&amp;""'!$C$4:$C$66""),INDIRECT(""'""&amp;DH$1&amp;""'!$D$4:$D$66"")=DH$2),$G$3:$BQ$3,$G73:$BQ73)))"),0.0)</f>
        <v>0</v>
      </c>
      <c r="DI73" s="207" t="str">
        <f>IFERROR(__xludf.DUMMYFUNCTION("IF(OR(DH73&gt;$BS73+$BT73*$BT$2,DH73&lt;$BS73-$BT73*$BT$2),AVEDEV(ARRAYFORMULA(XLOOKUP(FILTER(INDIRECT(""'""&amp;DH$1&amp;""'!$C$4:$C$66""),INDIRECT(""'""&amp;DH$1&amp;""'!$D$4:$D$66"")=DH$2),$G$3:$BQ$3,$G73:$BQ73))),"""")"),"")</f>
        <v/>
      </c>
      <c r="DJ73" s="243"/>
    </row>
    <row r="74">
      <c r="A74" s="2"/>
      <c r="B74" s="204">
        <v>70.0</v>
      </c>
      <c r="C74" s="204" t="s">
        <v>507</v>
      </c>
      <c r="D74" s="204" t="s">
        <v>515</v>
      </c>
      <c r="E74" s="205" t="b">
        <f>VLOOKUP(D74,'Feature Set List'!A71:C246,2,0)</f>
        <v>1</v>
      </c>
      <c r="F74" s="205" t="b">
        <f>VLOOKUP(D74,'Feature Set List'!A71:C246,3,0)</f>
        <v>1</v>
      </c>
      <c r="G74" s="205">
        <v>-0.9686305</v>
      </c>
      <c r="H74" s="205">
        <v>-0.2096404</v>
      </c>
      <c r="I74" s="205">
        <v>-2.4452946</v>
      </c>
      <c r="J74" s="205">
        <v>0.42387146</v>
      </c>
      <c r="K74" s="205">
        <v>-0.5768936</v>
      </c>
      <c r="L74" s="205">
        <v>0.30145371</v>
      </c>
      <c r="M74" s="205">
        <v>-1.2593726</v>
      </c>
      <c r="N74" s="205">
        <v>2.05508799</v>
      </c>
      <c r="O74" s="205">
        <v>0.2723795</v>
      </c>
      <c r="P74" s="205">
        <v>-0.2280031</v>
      </c>
      <c r="Q74" s="205">
        <v>0.12700842</v>
      </c>
      <c r="R74" s="205">
        <v>1.36495792</v>
      </c>
      <c r="S74" s="205">
        <v>0.5386381</v>
      </c>
      <c r="T74" s="205">
        <v>0.2448355</v>
      </c>
      <c r="U74" s="205">
        <v>3.78729916</v>
      </c>
      <c r="V74" s="205">
        <v>-0.0091813</v>
      </c>
      <c r="W74" s="205">
        <v>0.2448355</v>
      </c>
      <c r="X74" s="205">
        <v>3.00382555</v>
      </c>
      <c r="Y74" s="205">
        <v>-0.2586075</v>
      </c>
      <c r="Z74" s="205">
        <v>0.1958684</v>
      </c>
      <c r="AA74" s="205">
        <v>0.74674828</v>
      </c>
      <c r="AB74" s="205">
        <v>-0.1453711</v>
      </c>
      <c r="AC74" s="205">
        <v>0.31063504</v>
      </c>
      <c r="AD74" s="205">
        <v>-0.0979342</v>
      </c>
      <c r="AE74" s="205">
        <v>1.47513389</v>
      </c>
      <c r="AF74" s="205">
        <v>0.31828615</v>
      </c>
      <c r="AG74" s="205">
        <v>-0.3917368</v>
      </c>
      <c r="AH74" s="205">
        <v>1.08951798</v>
      </c>
      <c r="AI74" s="205">
        <v>0.0</v>
      </c>
      <c r="AJ74" s="205">
        <v>-1.2609028</v>
      </c>
      <c r="AK74" s="205">
        <v>-0.5876052</v>
      </c>
      <c r="AL74" s="205">
        <v>-0.1545524</v>
      </c>
      <c r="AM74" s="205">
        <v>0.63198164</v>
      </c>
      <c r="AN74" s="205">
        <v>0.07192043</v>
      </c>
      <c r="AO74" s="205">
        <v>-0.558531</v>
      </c>
      <c r="AP74" s="205">
        <v>0.7620505</v>
      </c>
      <c r="AQ74" s="205">
        <v>-0.7008416</v>
      </c>
      <c r="AR74" s="205">
        <v>-0.5677123</v>
      </c>
      <c r="AS74" s="205">
        <v>-0.4560061</v>
      </c>
      <c r="AT74" s="205">
        <v>0.03060444</v>
      </c>
      <c r="AU74" s="205">
        <v>0.95026779</v>
      </c>
      <c r="AV74" s="205">
        <v>-0.5554705</v>
      </c>
      <c r="AW74" s="205">
        <v>0.61361897</v>
      </c>
      <c r="AX74" s="205">
        <v>0.73756695</v>
      </c>
      <c r="AY74" s="205">
        <v>-0.123948</v>
      </c>
      <c r="AZ74" s="205">
        <v>0.04743688</v>
      </c>
      <c r="BA74" s="205">
        <v>-0.2524866</v>
      </c>
      <c r="BB74" s="205">
        <v>1.00229533</v>
      </c>
      <c r="BC74" s="205">
        <v>-0.3091048</v>
      </c>
      <c r="BD74" s="205">
        <v>-0.0657995</v>
      </c>
      <c r="BE74" s="205">
        <v>0.95179801</v>
      </c>
      <c r="BF74" s="205">
        <v>-0.5768936</v>
      </c>
      <c r="BG74" s="205">
        <v>-0.0566182</v>
      </c>
      <c r="BH74" s="205">
        <v>-1.3986228</v>
      </c>
      <c r="BI74" s="205">
        <v>0.21270084</v>
      </c>
      <c r="BJ74" s="205">
        <v>-0.558531</v>
      </c>
      <c r="BK74" s="205">
        <v>0.24330528</v>
      </c>
      <c r="BL74" s="205">
        <v>4.2938026</v>
      </c>
      <c r="BM74" s="205">
        <v>0.67635807</v>
      </c>
      <c r="BN74" s="205">
        <v>-0.0780413</v>
      </c>
      <c r="BO74" s="205">
        <v>-0.8538638</v>
      </c>
      <c r="BP74" s="205">
        <v>-0.6074981</v>
      </c>
      <c r="BQ74" s="205">
        <v>-0.1606733</v>
      </c>
      <c r="BR74" s="206"/>
      <c r="BS74" s="250">
        <f t="shared" si="1"/>
        <v>0.1785987568</v>
      </c>
      <c r="BT74" s="250">
        <f t="shared" si="2"/>
        <v>0.7183159897</v>
      </c>
      <c r="BU74" s="206"/>
      <c r="BV74" s="207">
        <f>IFERROR(__xludf.DUMMYFUNCTION("AVERAGE(ARRAYFORMULA(XLOOKUP(FILTER(INDIRECT(""'""&amp;BV$1&amp;""'!$C$4:$C$66""),INDIRECT(""'""&amp;BV$1&amp;""'!$D$4:$D$66"")=BV$2),$G$3:$BQ$3,$G74:$BQ74)))"),1.7652202357142854)</f>
        <v>1.765220236</v>
      </c>
      <c r="BW74" s="207">
        <f>IFERROR(__xludf.DUMMYFUNCTION("IF(OR(BV74&gt;$BS74+$BT74*$BT$2,BV74&lt;$BS74-$BT74*$BT$2),AVEDEV(ARRAYFORMULA(XLOOKUP(FILTER(INDIRECT(""'""&amp;BV$1&amp;""'!$C$4:$C$66""),INDIRECT(""'""&amp;BV$1&amp;""'!$D$4:$D$66"")=BV$2),$G$3:$BQ$3,$G74:$BQ74))),"""")"),1.654076172244898)</f>
        <v>1.654076172</v>
      </c>
      <c r="BX74" s="207">
        <f>IFERROR(__xludf.DUMMYFUNCTION("AVERAGE(ARRAYFORMULA(XLOOKUP(FILTER(INDIRECT(""'""&amp;BX$1&amp;""'!$C$4:$C$66""),INDIRECT(""'""&amp;BX$1&amp;""'!$D$4:$D$66"")=BX$2),$G$3:$BQ$3,$G74:$BQ74)))"),0.03785478166666667)</f>
        <v>0.03785478167</v>
      </c>
      <c r="BY74" s="207" t="str">
        <f>IFERROR(__xludf.DUMMYFUNCTION("IF(OR(BX74&gt;$BS74+$BT74*$BT$2,BX74&lt;$BS74-$BT74*$BT$2),AVEDEV(ARRAYFORMULA(XLOOKUP(FILTER(INDIRECT(""'""&amp;BX$1&amp;""'!$C$4:$C$66""),INDIRECT(""'""&amp;BX$1&amp;""'!$D$4:$D$66"")=BX$2),$G$3:$BQ$3,$G74:$BQ74))),"""")"),"")</f>
        <v/>
      </c>
      <c r="BZ74" s="207">
        <f>IFERROR(__xludf.DUMMYFUNCTION("AVERAGE(ARRAYFORMULA(XLOOKUP(FILTER(INDIRECT(""'""&amp;BZ$1&amp;""'!$C$4:$C$66""),INDIRECT(""'""&amp;BZ$1&amp;""'!$D$4:$D$66"")=BZ$2),$G$3:$BQ$3,$G74:$BQ74)))"),-0.10308131727272726)</f>
        <v>-0.1030813173</v>
      </c>
      <c r="CA74" s="207" t="str">
        <f>IFERROR(__xludf.DUMMYFUNCTION("IF(OR(BZ74&gt;$BS74+$BT74*$BT$2,BZ74&lt;$BS74-$BT74*$BT$2),AVEDEV(ARRAYFORMULA(XLOOKUP(FILTER(INDIRECT(""'""&amp;BZ$1&amp;""'!$C$4:$C$66""),INDIRECT(""'""&amp;BZ$1&amp;""'!$D$4:$D$66"")=BZ$2),$G$3:$BQ$3,$G74:$BQ74))),"""")"),"")</f>
        <v/>
      </c>
      <c r="CB74" s="209"/>
      <c r="CC74" s="207">
        <f>IFERROR(__xludf.DUMMYFUNCTION("AVERAGE(ARRAYFORMULA(XLOOKUP(FILTER(INDIRECT(""'""&amp;CC$1&amp;""'!$C$4:$C$66""),INDIRECT(""'""&amp;CC$1&amp;""'!$D$4:$D$66"")=CC$2),$G$3:$BQ$3,$G74:$BQ74)))"),0.4435730775000001)</f>
        <v>0.4435730775</v>
      </c>
      <c r="CD74" s="207" t="str">
        <f>IFERROR(__xludf.DUMMYFUNCTION("IF(OR(CC74&gt;$BS74+$BT74*$BT$2,CC74&lt;$BS74-$BT74*$BT$2),AVEDEV(ARRAYFORMULA(XLOOKUP(FILTER(INDIRECT(""'""&amp;CC$1&amp;""'!$C$4:$C$66""),INDIRECT(""'""&amp;CC$1&amp;""'!$D$4:$D$66"")=CC$2),$G$3:$BQ$3,$G74:$BQ74))),"""")"),"")</f>
        <v/>
      </c>
      <c r="CE74" s="207">
        <f>IFERROR(__xludf.DUMMYFUNCTION("AVERAGE(ARRAYFORMULA(XLOOKUP(FILTER(INDIRECT(""'""&amp;CE$1&amp;""'!$C$4:$C$66""),INDIRECT(""'""&amp;CE$1&amp;""'!$D$4:$D$66"")=CE$2),$G$3:$BQ$3,$G74:$BQ74)))"),0.022607796129032277)</f>
        <v>0.02260779613</v>
      </c>
      <c r="CF74" s="207" t="str">
        <f>IFERROR(__xludf.DUMMYFUNCTION("IF(OR(CE74&gt;$BS74+$BT74*$BT$2,CE74&lt;$BS74-$BT74*$BT$2),AVEDEV(ARRAYFORMULA(XLOOKUP(FILTER(INDIRECT(""'""&amp;CE$1&amp;""'!$C$4:$C$66""),INDIRECT(""'""&amp;CE$1&amp;""'!$D$4:$D$66"")=CE$2),$G$3:$BQ$3,$G74:$BQ74))),"""")"),"")</f>
        <v/>
      </c>
      <c r="CG74" s="207">
        <f>IFERROR(__xludf.DUMMYFUNCTION("AVERAGE(ARRAYFORMULA(XLOOKUP(FILTER(INDIRECT(""'""&amp;CG$1&amp;""'!$C$4:$C$66""),INDIRECT(""'""&amp;CG$1&amp;""'!$D$4:$D$66"")=CG$2),$G$3:$BQ$3,$G74:$BQ74)))"),-0.1496557)</f>
        <v>-0.1496557</v>
      </c>
      <c r="CH74" s="207" t="str">
        <f>IFERROR(__xludf.DUMMYFUNCTION("IF(OR(CG74&gt;$BS74+$BT74*$BT$2,CG74&lt;$BS74-$BT74*$BT$2),AVEDEV(ARRAYFORMULA(XLOOKUP(FILTER(INDIRECT(""'""&amp;CG$1&amp;""'!$C$4:$C$66""),INDIRECT(""'""&amp;CG$1&amp;""'!$D$4:$D$66"")=CG$2),$G$3:$BQ$3,$G74:$BQ74))),"""")"),"")</f>
        <v/>
      </c>
      <c r="CI74" s="206"/>
      <c r="CJ74" s="251">
        <f>IFERROR(__xludf.DUMMYFUNCTION("AVERAGE(ARRAYFORMULA(XLOOKUP(FILTER(INDIRECT(""'""&amp;CJ$1&amp;""'!$C$4:$C$66""),INDIRECT(""'""&amp;CJ$1&amp;""'!$D$4:$D$66"")=CJ$2),$G$3:$BQ$3,$G74:$BQ74)))"),0.8601887226666666)</f>
        <v>0.8601887227</v>
      </c>
      <c r="CK74" s="207" t="str">
        <f>IFERROR(__xludf.DUMMYFUNCTION("IF(OR(CJ74&gt;$BS74+$BT74*$BT$2,CJ74&lt;$BS74-$BT74*$BT$2),AVEDEV(ARRAYFORMULA(XLOOKUP(FILTER(INDIRECT(""'""&amp;CJ$1&amp;""'!$C$4:$C$66""),INDIRECT(""'""&amp;CJ$1&amp;""'!$D$4:$D$66"")=CJ$2),$G$3:$BQ$3,$G74:$BQ74))),"""")"),"")</f>
        <v/>
      </c>
      <c r="CL74" s="251">
        <f>IFERROR(__xludf.DUMMYFUNCTION("AVERAGE(ARRAYFORMULA(XLOOKUP(FILTER(INDIRECT(""'""&amp;CL$1&amp;""'!$C$4:$C$66""),INDIRECT(""'""&amp;CL$1&amp;""'!$D$4:$D$66"")=CL$2),$G$3:$BQ$3,$G74:$BQ74)))"),-0.09322581923076924)</f>
        <v>-0.09322581923</v>
      </c>
      <c r="CM74" s="207" t="str">
        <f>IFERROR(__xludf.DUMMYFUNCTION("IF(OR(CL74&gt;$BS74+$BT74*$BT$2,CL74&lt;$BS74-$BT74*$BT$2),AVEDEV(ARRAYFORMULA(XLOOKUP(FILTER(INDIRECT(""'""&amp;CL$1&amp;""'!$C$4:$C$66""),INDIRECT(""'""&amp;CL$1&amp;""'!$D$4:$D$66"")=CL$2),$G$3:$BQ$3,$G74:$BQ74))),"""")"),"")</f>
        <v/>
      </c>
      <c r="CN74" s="251">
        <f>IFERROR(__xludf.DUMMYFUNCTION("AVERAGE(ARRAYFORMULA(XLOOKUP(FILTER(INDIRECT(""'""&amp;CN$1&amp;""'!$C$4:$C$66""),INDIRECT(""'""&amp;CN$1&amp;""'!$D$4:$D$66"")=CN$2),$G$3:$BQ$3,$G74:$BQ74)))"),-0.1496557)</f>
        <v>-0.1496557</v>
      </c>
      <c r="CO74" s="207" t="str">
        <f>IFERROR(__xludf.DUMMYFUNCTION("IF(OR(CN74&gt;$BS74+$BT74*$BT$2,CN74&lt;$BS74-$BT74*$BT$2),AVEDEV(ARRAYFORMULA(XLOOKUP(FILTER(INDIRECT(""'""&amp;CN$1&amp;""'!$C$4:$C$66""),INDIRECT(""'""&amp;CN$1&amp;""'!$D$4:$D$66"")=CN$2),$G$3:$BQ$3,$G74:$BQ74))),"""")"),"")</f>
        <v/>
      </c>
      <c r="CP74" s="252"/>
      <c r="CQ74" s="251">
        <f>IFERROR(__xludf.DUMMYFUNCTION("AVERAGE(ARRAYFORMULA(XLOOKUP(FILTER(INDIRECT(""'""&amp;CQ$1&amp;""'!$C$4:$C$66""),INDIRECT(""'""&amp;CQ$1&amp;""'!$D$4:$D$66"")=CQ$2),$G$3:$BQ$3,$G74:$BQ74)))"),0.21018691357142857)</f>
        <v>0.2101869136</v>
      </c>
      <c r="CR74" s="207" t="str">
        <f>IFERROR(__xludf.DUMMYFUNCTION("IF(OR(CQ74&gt;$BS74+$BT74*$BT$2,CQ74&lt;$BS74-$BT74*$BT$2),AVEDEV(ARRAYFORMULA(XLOOKUP(FILTER(INDIRECT(""'""&amp;CQ$1&amp;""'!$C$4:$C$66""),INDIRECT(""'""&amp;CQ$1&amp;""'!$D$4:$D$66"")=CQ$2),$G$3:$BQ$3,$G74:$BQ74))),"""")"),"")</f>
        <v/>
      </c>
      <c r="CS74" s="251">
        <f>IFERROR(__xludf.DUMMYFUNCTION("AVERAGE(ARRAYFORMULA(XLOOKUP(FILTER(INDIRECT(""'""&amp;CS$1&amp;""'!$C$4:$C$66""),INDIRECT(""'""&amp;CS$1&amp;""'!$D$4:$D$66"")=CS$2),$G$3:$BQ$3,$G74:$BQ74)))"),-0.2064099377777778)</f>
        <v>-0.2064099378</v>
      </c>
      <c r="CT74" s="207" t="str">
        <f>IFERROR(__xludf.DUMMYFUNCTION("IF(OR(CS74&gt;$BS74+$BT74*$BT$2,CS74&lt;$BS74-$BT74*$BT$2),AVEDEV(ARRAYFORMULA(XLOOKUP(FILTER(INDIRECT(""'""&amp;CS$1&amp;""'!$C$4:$C$66""),INDIRECT(""'""&amp;CS$1&amp;""'!$D$4:$D$66"")=CS$2),$G$3:$BQ$3,$G74:$BQ74))),"""")"),"")</f>
        <v/>
      </c>
      <c r="CU74" s="251">
        <f>IFERROR(__xludf.DUMMYFUNCTION("AVERAGE(ARRAYFORMULA(XLOOKUP(FILTER(INDIRECT(""'""&amp;CU$1&amp;""'!$C$4:$C$66""),INDIRECT(""'""&amp;CU$1&amp;""'!$D$4:$D$66"")=CU$2),$G$3:$BQ$3,$G74:$BQ74)))"),0.16220352363636364)</f>
        <v>0.1622035236</v>
      </c>
      <c r="CV74" s="207" t="str">
        <f>IFERROR(__xludf.DUMMYFUNCTION("IF(OR(CU74&gt;$BS74+$BT74*$BT$2,CU74&lt;$BS74-$BT74*$BT$2),AVEDEV(ARRAYFORMULA(XLOOKUP(FILTER(INDIRECT(""'""&amp;CU$1&amp;""'!$C$4:$C$66""),INDIRECT(""'""&amp;CU$1&amp;""'!$D$4:$D$66"")=CU$2),$G$3:$BQ$3,$G74:$BQ74))),"""")"),"")</f>
        <v/>
      </c>
      <c r="CW74" s="251">
        <f>IFERROR(__xludf.DUMMYFUNCTION("AVERAGE(ARRAYFORMULA(XLOOKUP(FILTER(INDIRECT(""'""&amp;CW$1&amp;""'!$C$4:$C$66""),INDIRECT(""'""&amp;CW$1&amp;""'!$D$4:$D$66"")=CW$2),$G$3:$BQ$3,$G74:$BQ74)))"),-0.7482785000000001)</f>
        <v>-0.7482785</v>
      </c>
      <c r="CX74" s="207">
        <f>IFERROR(__xludf.DUMMYFUNCTION("IF(OR(CW74&gt;$BS74+$BT74*$BT$2,CW74&lt;$BS74-$BT74*$BT$2),AVEDEV(ARRAYFORMULA(XLOOKUP(FILTER(INDIRECT(""'""&amp;CW$1&amp;""'!$C$4:$C$66""),INDIRECT(""'""&amp;CW$1&amp;""'!$D$4:$D$66"")=CW$2),$G$3:$BQ$3,$G74:$BQ74))),"""")"),0.6503443)</f>
        <v>0.6503443</v>
      </c>
      <c r="CY74" s="251">
        <f>IFERROR(__xludf.DUMMYFUNCTION("AVERAGE(ARRAYFORMULA(XLOOKUP(FILTER(INDIRECT(""'""&amp;CY$1&amp;""'!$C$4:$C$66""),INDIRECT(""'""&amp;CY$1&amp;""'!$D$4:$D$66"")=CY$2),$G$3:$BQ$3,$G74:$BQ74)))"),-0.04000436714285715)</f>
        <v>-0.04000436714</v>
      </c>
      <c r="CZ74" s="207" t="str">
        <f>IFERROR(__xludf.DUMMYFUNCTION("IF(OR(CY74&gt;$BS74+$BT74*$BT$2,CY74&lt;$BS74-$BT74*$BT$2),AVEDEV(ARRAYFORMULA(XLOOKUP(FILTER(INDIRECT(""'""&amp;CY$1&amp;""'!$C$4:$C$66""),INDIRECT(""'""&amp;CY$1&amp;""'!$D$4:$D$66"")=CY$2),$G$3:$BQ$3,$G74:$BQ74))),"""")"),"")</f>
        <v/>
      </c>
      <c r="DA74" s="252"/>
      <c r="DB74" s="251">
        <f>IFERROR(__xludf.DUMMYFUNCTION("AVERAGE(ARRAYFORMULA(XLOOKUP(FILTER(INDIRECT(""'""&amp;DB$1&amp;""'!$C$4:$C$66""),INDIRECT(""'""&amp;DB$1&amp;""'!$D$4:$D$66"")=DB$2),$G$3:$BQ$3,$G74:$BQ74)))"),0.15480745199999998)</f>
        <v>0.154807452</v>
      </c>
      <c r="DC74" s="207" t="str">
        <f>IFERROR(__xludf.DUMMYFUNCTION("IF(OR(DB74&gt;$BS74+$BT74*$BT$2,DB74&lt;$BS74-$BT74*$BT$2),AVEDEV(ARRAYFORMULA(XLOOKUP(FILTER(INDIRECT(""'""&amp;DB$1&amp;""'!$C$4:$C$66""),INDIRECT(""'""&amp;DB$1&amp;""'!$D$4:$D$66"")=DB$2),$G$3:$BQ$3,$G74:$BQ74))),"""")"),"")</f>
        <v/>
      </c>
      <c r="DD74" s="251">
        <f>IFERROR(__xludf.DUMMYFUNCTION("AVERAGE(ARRAYFORMULA(XLOOKUP(FILTER(INDIRECT(""'""&amp;DD$1&amp;""'!$C$4:$C$66""),INDIRECT(""'""&amp;DD$1&amp;""'!$D$4:$D$66"")=DD$2),$G$3:$BQ$3,$G74:$BQ74)))"),-0.19960894666666668)</f>
        <v>-0.1996089467</v>
      </c>
      <c r="DE74" s="207" t="str">
        <f>IFERROR(__xludf.DUMMYFUNCTION("IF(OR(DD74&gt;$BS74+$BT74*$BT$2,DD74&lt;$BS74-$BT74*$BT$2),AVEDEV(ARRAYFORMULA(XLOOKUP(FILTER(INDIRECT(""'""&amp;DD$1&amp;""'!$C$4:$C$66""),INDIRECT(""'""&amp;DD$1&amp;""'!$D$4:$D$66"")=DD$2),$G$3:$BQ$3,$G74:$BQ74))),"""")"),"")</f>
        <v/>
      </c>
      <c r="DF74" s="251">
        <f>IFERROR(__xludf.DUMMYFUNCTION("AVERAGE(ARRAYFORMULA(XLOOKUP(FILTER(INDIRECT(""'""&amp;DF$1&amp;""'!$C$4:$C$66""),INDIRECT(""'""&amp;DF$1&amp;""'!$D$4:$D$66"")=DF$2),$G$3:$BQ$3,$G74:$BQ74)))"),0.6715761299999999)</f>
        <v>0.67157613</v>
      </c>
      <c r="DG74" s="207" t="str">
        <f>IFERROR(__xludf.DUMMYFUNCTION("IF(OR(DF74&gt;$BS74+$BT74*$BT$2,DF74&lt;$BS74-$BT74*$BT$2),AVEDEV(ARRAYFORMULA(XLOOKUP(FILTER(INDIRECT(""'""&amp;DF$1&amp;""'!$C$4:$C$66""),INDIRECT(""'""&amp;DF$1&amp;""'!$D$4:$D$66"")=DF$2),$G$3:$BQ$3,$G74:$BQ74))),"""")"),"")</f>
        <v/>
      </c>
      <c r="DH74" s="251">
        <f>IFERROR(__xludf.DUMMYFUNCTION("AVERAGE(ARRAYFORMULA(XLOOKUP(FILTER(INDIRECT(""'""&amp;DH$1&amp;""'!$C$4:$C$66""),INDIRECT(""'""&amp;DH$1&amp;""'!$D$4:$D$66"")=DH$2),$G$3:$BQ$3,$G74:$BQ74)))"),-0.17546543777777776)</f>
        <v>-0.1754654378</v>
      </c>
      <c r="DI74" s="207" t="str">
        <f>IFERROR(__xludf.DUMMYFUNCTION("IF(OR(DH74&gt;$BS74+$BT74*$BT$2,DH74&lt;$BS74-$BT74*$BT$2),AVEDEV(ARRAYFORMULA(XLOOKUP(FILTER(INDIRECT(""'""&amp;DH$1&amp;""'!$C$4:$C$66""),INDIRECT(""'""&amp;DH$1&amp;""'!$D$4:$D$66"")=DH$2),$G$3:$BQ$3,$G74:$BQ74))),"""")"),"")</f>
        <v/>
      </c>
      <c r="DJ74" s="243"/>
    </row>
    <row r="75">
      <c r="A75" s="2"/>
      <c r="B75" s="204">
        <v>71.0</v>
      </c>
      <c r="C75" s="204" t="s">
        <v>507</v>
      </c>
      <c r="D75" s="204" t="s">
        <v>516</v>
      </c>
      <c r="E75" s="205" t="b">
        <f>VLOOKUP(D75,'Feature Set List'!A72:C246,2,0)</f>
        <v>1</v>
      </c>
      <c r="F75" s="205" t="b">
        <f>VLOOKUP(D75,'Feature Set List'!A72:C246,3,0)</f>
        <v>1</v>
      </c>
      <c r="G75" s="205">
        <v>0.42772861</v>
      </c>
      <c r="H75" s="205">
        <v>0.02654867</v>
      </c>
      <c r="I75" s="205">
        <v>-0.7020649</v>
      </c>
      <c r="J75" s="205">
        <v>-0.3569322</v>
      </c>
      <c r="K75" s="205">
        <v>-0.0884956</v>
      </c>
      <c r="L75" s="205">
        <v>0.07374631</v>
      </c>
      <c r="M75" s="205">
        <v>0.68141593</v>
      </c>
      <c r="N75" s="205">
        <v>0.69911504</v>
      </c>
      <c r="O75" s="205">
        <v>-0.2477876</v>
      </c>
      <c r="P75" s="205">
        <v>0.48672566</v>
      </c>
      <c r="Q75" s="205">
        <v>-0.0324484</v>
      </c>
      <c r="R75" s="205">
        <v>0.94100295</v>
      </c>
      <c r="S75" s="205">
        <v>0.75811209</v>
      </c>
      <c r="T75" s="205">
        <v>0.53687316</v>
      </c>
      <c r="U75" s="205">
        <v>-1.0619469</v>
      </c>
      <c r="V75" s="205">
        <v>-0.0884956</v>
      </c>
      <c r="W75" s="205">
        <v>-0.3834808</v>
      </c>
      <c r="X75" s="205">
        <v>3.10324484</v>
      </c>
      <c r="Y75" s="205">
        <v>-0.1858407</v>
      </c>
      <c r="Z75" s="205">
        <v>0.53982301</v>
      </c>
      <c r="AA75" s="205">
        <v>3.43952802</v>
      </c>
      <c r="AB75" s="205">
        <v>1.68731563</v>
      </c>
      <c r="AC75" s="205">
        <v>0.43657817</v>
      </c>
      <c r="AD75" s="205">
        <v>-0.300885</v>
      </c>
      <c r="AE75" s="205">
        <v>0.93510324</v>
      </c>
      <c r="AF75" s="205">
        <v>0.09734513</v>
      </c>
      <c r="AG75" s="205">
        <v>1.01474926</v>
      </c>
      <c r="AH75" s="205">
        <v>1.33923304</v>
      </c>
      <c r="AI75" s="205">
        <v>-0.7699115</v>
      </c>
      <c r="AJ75" s="205">
        <v>0.89380531</v>
      </c>
      <c r="AK75" s="205">
        <v>-0.3746313</v>
      </c>
      <c r="AL75" s="205">
        <v>-0.7020649</v>
      </c>
      <c r="AM75" s="205">
        <v>-0.5427729</v>
      </c>
      <c r="AN75" s="205">
        <v>-0.1297935</v>
      </c>
      <c r="AO75" s="205">
        <v>1.25663717</v>
      </c>
      <c r="AP75" s="205">
        <v>-0.1533923</v>
      </c>
      <c r="AQ75" s="205">
        <v>0.71386431</v>
      </c>
      <c r="AR75" s="205">
        <v>0.59292035</v>
      </c>
      <c r="AS75" s="205">
        <v>0.7640118</v>
      </c>
      <c r="AT75" s="205">
        <v>0.63126844</v>
      </c>
      <c r="AU75" s="205">
        <v>-0.1917404</v>
      </c>
      <c r="AV75" s="205">
        <v>-0.359882</v>
      </c>
      <c r="AW75" s="205">
        <v>0.33333333</v>
      </c>
      <c r="AX75" s="205">
        <v>0.23303835</v>
      </c>
      <c r="AY75" s="205">
        <v>-0.0678466</v>
      </c>
      <c r="AZ75" s="205">
        <v>1.51622419</v>
      </c>
      <c r="BA75" s="205">
        <v>-0.4572271</v>
      </c>
      <c r="BB75" s="205">
        <v>0.88495575</v>
      </c>
      <c r="BC75" s="205">
        <v>0.0</v>
      </c>
      <c r="BD75" s="205">
        <v>-0.5988201</v>
      </c>
      <c r="BE75" s="205">
        <v>-0.5044248</v>
      </c>
      <c r="BF75" s="205">
        <v>-0.719764</v>
      </c>
      <c r="BG75" s="205">
        <v>-0.0029499</v>
      </c>
      <c r="BH75" s="205">
        <v>0.12684366</v>
      </c>
      <c r="BI75" s="205">
        <v>-0.1032448</v>
      </c>
      <c r="BJ75" s="205">
        <v>-0.120944</v>
      </c>
      <c r="BK75" s="205">
        <v>-0.1268437</v>
      </c>
      <c r="BL75" s="205">
        <v>-2.0283186</v>
      </c>
      <c r="BM75" s="205">
        <v>5.38348083</v>
      </c>
      <c r="BN75" s="205">
        <v>-0.0265487</v>
      </c>
      <c r="BO75" s="205">
        <v>0.35988201</v>
      </c>
      <c r="BP75" s="205">
        <v>-0.3185841</v>
      </c>
      <c r="BQ75" s="205">
        <v>-0.3923304</v>
      </c>
      <c r="BR75" s="206"/>
      <c r="BS75" s="250">
        <f t="shared" si="1"/>
        <v>0.2980006502</v>
      </c>
      <c r="BT75" s="250">
        <f t="shared" si="2"/>
        <v>0.7177433408</v>
      </c>
      <c r="BU75" s="206"/>
      <c r="BV75" s="207">
        <f>IFERROR(__xludf.DUMMYFUNCTION("AVERAGE(ARRAYFORMULA(XLOOKUP(FILTER(INDIRECT(""'""&amp;BV$1&amp;""'!$C$4:$C$66""),INDIRECT(""'""&amp;BV$1&amp;""'!$D$4:$D$66"")=BV$2),$G$3:$BQ$3,$G75:$BQ75)))"),0.22604297999999998)</f>
        <v>0.22604298</v>
      </c>
      <c r="BW75" s="207" t="str">
        <f>IFERROR(__xludf.DUMMYFUNCTION("IF(OR(BV75&gt;$BS75+$BT75*$BT$2,BV75&lt;$BS75-$BT75*$BT$2),AVEDEV(ARRAYFORMULA(XLOOKUP(FILTER(INDIRECT(""'""&amp;BV$1&amp;""'!$C$4:$C$66""),INDIRECT(""'""&amp;BV$1&amp;""'!$D$4:$D$66"")=BV$2),$G$3:$BQ$3,$G75:$BQ75))),"""")"),"")</f>
        <v/>
      </c>
      <c r="BX75" s="207">
        <f>IFERROR(__xludf.DUMMYFUNCTION("AVERAGE(ARRAYFORMULA(XLOOKUP(FILTER(INDIRECT(""'""&amp;BX$1&amp;""'!$C$4:$C$66""),INDIRECT(""'""&amp;BX$1&amp;""'!$D$4:$D$66"")=BX$2),$G$3:$BQ$3,$G75:$BQ75)))"),0.2501755780952381)</f>
        <v>0.2501755781</v>
      </c>
      <c r="BY75" s="207" t="str">
        <f>IFERROR(__xludf.DUMMYFUNCTION("IF(OR(BX75&gt;$BS75+$BT75*$BT$2,BX75&lt;$BS75-$BT75*$BT$2),AVEDEV(ARRAYFORMULA(XLOOKUP(FILTER(INDIRECT(""'""&amp;BX$1&amp;""'!$C$4:$C$66""),INDIRECT(""'""&amp;BX$1&amp;""'!$D$4:$D$66"")=BX$2),$G$3:$BQ$3,$G75:$BQ75))),"""")"),"")</f>
        <v/>
      </c>
      <c r="BZ75" s="207">
        <f>IFERROR(__xludf.DUMMYFUNCTION("AVERAGE(ARRAYFORMULA(XLOOKUP(FILTER(INDIRECT(""'""&amp;BZ$1&amp;""'!$C$4:$C$66""),INDIRECT(""'""&amp;BZ$1&amp;""'!$D$4:$D$66"")=BZ$2),$G$3:$BQ$3,$G75:$BQ75)))"),0.7433628381818181)</f>
        <v>0.7433628382</v>
      </c>
      <c r="CA75" s="207" t="str">
        <f>IFERROR(__xludf.DUMMYFUNCTION("IF(OR(BZ75&gt;$BS75+$BT75*$BT$2,BZ75&lt;$BS75-$BT75*$BT$2),AVEDEV(ARRAYFORMULA(XLOOKUP(FILTER(INDIRECT(""'""&amp;BZ$1&amp;""'!$C$4:$C$66""),INDIRECT(""'""&amp;BZ$1&amp;""'!$D$4:$D$66"")=BZ$2),$G$3:$BQ$3,$G75:$BQ75))),"""")"),"")</f>
        <v/>
      </c>
      <c r="CB75" s="209"/>
      <c r="CC75" s="207">
        <f>IFERROR(__xludf.DUMMYFUNCTION("AVERAGE(ARRAYFORMULA(XLOOKUP(FILTER(INDIRECT(""'""&amp;CC$1&amp;""'!$C$4:$C$66""),INDIRECT(""'""&amp;CC$1&amp;""'!$D$4:$D$66"")=CC$2),$G$3:$BQ$3,$G75:$BQ75)))"),0.10158554000000002)</f>
        <v>0.10158554</v>
      </c>
      <c r="CD75" s="207" t="str">
        <f>IFERROR(__xludf.DUMMYFUNCTION("IF(OR(CC75&gt;$BS75+$BT75*$BT$2,CC75&lt;$BS75-$BT75*$BT$2),AVEDEV(ARRAYFORMULA(XLOOKUP(FILTER(INDIRECT(""'""&amp;CC$1&amp;""'!$C$4:$C$66""),INDIRECT(""'""&amp;CC$1&amp;""'!$D$4:$D$66"")=CC$2),$G$3:$BQ$3,$G75:$BQ75))),"""")"),"")</f>
        <v/>
      </c>
      <c r="CE75" s="207">
        <f>IFERROR(__xludf.DUMMYFUNCTION("AVERAGE(ARRAYFORMULA(XLOOKUP(FILTER(INDIRECT(""'""&amp;CE$1&amp;""'!$C$4:$C$66""),INDIRECT(""'""&amp;CE$1&amp;""'!$D$4:$D$66"")=CE$2),$G$3:$BQ$3,$G75:$BQ75)))"),0.25758872709677433)</f>
        <v>0.2575887271</v>
      </c>
      <c r="CF75" s="207" t="str">
        <f>IFERROR(__xludf.DUMMYFUNCTION("IF(OR(CE75&gt;$BS75+$BT75*$BT$2,CE75&lt;$BS75-$BT75*$BT$2),AVEDEV(ARRAYFORMULA(XLOOKUP(FILTER(INDIRECT(""'""&amp;CE$1&amp;""'!$C$4:$C$66""),INDIRECT(""'""&amp;CE$1&amp;""'!$D$4:$D$66"")=CE$2),$G$3:$BQ$3,$G75:$BQ75))),"""")"),"")</f>
        <v/>
      </c>
      <c r="CG75" s="207">
        <f>IFERROR(__xludf.DUMMYFUNCTION("AVERAGE(ARRAYFORMULA(XLOOKUP(FILTER(INDIRECT(""'""&amp;CG$1&amp;""'!$C$4:$C$66""),INDIRECT(""'""&amp;CG$1&amp;""'!$D$4:$D$66"")=CG$2),$G$3:$BQ$3,$G75:$BQ75)))"),0.26548672399999995)</f>
        <v>0.265486724</v>
      </c>
      <c r="CH75" s="207" t="str">
        <f>IFERROR(__xludf.DUMMYFUNCTION("IF(OR(CG75&gt;$BS75+$BT75*$BT$2,CG75&lt;$BS75-$BT75*$BT$2),AVEDEV(ARRAYFORMULA(XLOOKUP(FILTER(INDIRECT(""'""&amp;CG$1&amp;""'!$C$4:$C$66""),INDIRECT(""'""&amp;CG$1&amp;""'!$D$4:$D$66"")=CG$2),$G$3:$BQ$3,$G75:$BQ75))),"""")"),"")</f>
        <v/>
      </c>
      <c r="CI75" s="206"/>
      <c r="CJ75" s="251">
        <f>IFERROR(__xludf.DUMMYFUNCTION("AVERAGE(ARRAYFORMULA(XLOOKUP(FILTER(INDIRECT(""'""&amp;CJ$1&amp;""'!$C$4:$C$66""),INDIRECT(""'""&amp;CJ$1&amp;""'!$D$4:$D$66"")=CJ$2),$G$3:$BQ$3,$G75:$BQ75)))"),1.1716814146666665)</f>
        <v>1.171681415</v>
      </c>
      <c r="CK75" s="207">
        <f>IFERROR(__xludf.DUMMYFUNCTION("IF(OR(CJ75&gt;$BS75+$BT75*$BT$2,CJ75&lt;$BS75-$BT75*$BT$2),AVEDEV(ARRAYFORMULA(XLOOKUP(FILTER(INDIRECT(""'""&amp;CJ$1&amp;""'!$C$4:$C$66""),INDIRECT(""'""&amp;CJ$1&amp;""'!$D$4:$D$66"")=CJ$2),$G$3:$BQ$3,$G75:$BQ75))),"""")"),1.2125860382222224)</f>
        <v>1.212586038</v>
      </c>
      <c r="CL75" s="251">
        <f>IFERROR(__xludf.DUMMYFUNCTION("AVERAGE(ARRAYFORMULA(XLOOKUP(FILTER(INDIRECT(""'""&amp;CL$1&amp;""'!$C$4:$C$66""),INDIRECT(""'""&amp;CL$1&amp;""'!$D$4:$D$66"")=CL$2),$G$3:$BQ$3,$G75:$BQ75)))"),0.08698282358974359)</f>
        <v>0.08698282359</v>
      </c>
      <c r="CM75" s="207" t="str">
        <f>IFERROR(__xludf.DUMMYFUNCTION("IF(OR(CL75&gt;$BS75+$BT75*$BT$2,CL75&lt;$BS75-$BT75*$BT$2),AVEDEV(ARRAYFORMULA(XLOOKUP(FILTER(INDIRECT(""'""&amp;CL$1&amp;""'!$C$4:$C$66""),INDIRECT(""'""&amp;CL$1&amp;""'!$D$4:$D$66"")=CL$2),$G$3:$BQ$3,$G75:$BQ75))),"""")"),"")</f>
        <v/>
      </c>
      <c r="CN75" s="251">
        <f>IFERROR(__xludf.DUMMYFUNCTION("AVERAGE(ARRAYFORMULA(XLOOKUP(FILTER(INDIRECT(""'""&amp;CN$1&amp;""'!$C$4:$C$66""),INDIRECT(""'""&amp;CN$1&amp;""'!$D$4:$D$66"")=CN$2),$G$3:$BQ$3,$G75:$BQ75)))"),0.26548672399999995)</f>
        <v>0.265486724</v>
      </c>
      <c r="CO75" s="207" t="str">
        <f>IFERROR(__xludf.DUMMYFUNCTION("IF(OR(CN75&gt;$BS75+$BT75*$BT$2,CN75&lt;$BS75-$BT75*$BT$2),AVEDEV(ARRAYFORMULA(XLOOKUP(FILTER(INDIRECT(""'""&amp;CN$1&amp;""'!$C$4:$C$66""),INDIRECT(""'""&amp;CN$1&amp;""'!$D$4:$D$66"")=CN$2),$G$3:$BQ$3,$G75:$BQ75))),"""")"),"")</f>
        <v/>
      </c>
      <c r="CP75" s="252"/>
      <c r="CQ75" s="251">
        <f>IFERROR(__xludf.DUMMYFUNCTION("AVERAGE(ARRAYFORMULA(XLOOKUP(FILTER(INDIRECT(""'""&amp;CQ$1&amp;""'!$C$4:$C$66""),INDIRECT(""'""&amp;CQ$1&amp;""'!$D$4:$D$66"")=CQ$2),$G$3:$BQ$3,$G75:$BQ75)))"),0.030762739285714293)</f>
        <v>0.03076273929</v>
      </c>
      <c r="CR75" s="207" t="str">
        <f>IFERROR(__xludf.DUMMYFUNCTION("IF(OR(CQ75&gt;$BS75+$BT75*$BT$2,CQ75&lt;$BS75-$BT75*$BT$2),AVEDEV(ARRAYFORMULA(XLOOKUP(FILTER(INDIRECT(""'""&amp;CQ$1&amp;""'!$C$4:$C$66""),INDIRECT(""'""&amp;CQ$1&amp;""'!$D$4:$D$66"")=CQ$2),$G$3:$BQ$3,$G75:$BQ75))),"""")"),"")</f>
        <v/>
      </c>
      <c r="CS75" s="251">
        <f>IFERROR(__xludf.DUMMYFUNCTION("AVERAGE(ARRAYFORMULA(XLOOKUP(FILTER(INDIRECT(""'""&amp;CS$1&amp;""'!$C$4:$C$66""),INDIRECT(""'""&amp;CS$1&amp;""'!$D$4:$D$66"")=CS$2),$G$3:$BQ$3,$G75:$BQ75)))"),0.14192068888888887)</f>
        <v>0.1419206889</v>
      </c>
      <c r="CT75" s="207" t="str">
        <f>IFERROR(__xludf.DUMMYFUNCTION("IF(OR(CS75&gt;$BS75+$BT75*$BT$2,CS75&lt;$BS75-$BT75*$BT$2),AVEDEV(ARRAYFORMULA(XLOOKUP(FILTER(INDIRECT(""'""&amp;CS$1&amp;""'!$C$4:$C$66""),INDIRECT(""'""&amp;CS$1&amp;""'!$D$4:$D$66"")=CS$2),$G$3:$BQ$3,$G75:$BQ75))),"""")"),"")</f>
        <v/>
      </c>
      <c r="CU75" s="251">
        <f>IFERROR(__xludf.DUMMYFUNCTION("AVERAGE(ARRAYFORMULA(XLOOKUP(FILTER(INDIRECT(""'""&amp;CU$1&amp;""'!$C$4:$C$66""),INDIRECT(""'""&amp;CU$1&amp;""'!$D$4:$D$66"")=CU$2),$G$3:$BQ$3,$G75:$BQ75)))"),0.8420487990909092)</f>
        <v>0.8420487991</v>
      </c>
      <c r="CV75" s="207" t="str">
        <f>IFERROR(__xludf.DUMMYFUNCTION("IF(OR(CU75&gt;$BS75+$BT75*$BT$2,CU75&lt;$BS75-$BT75*$BT$2),AVEDEV(ARRAYFORMULA(XLOOKUP(FILTER(INDIRECT(""'""&amp;CU$1&amp;""'!$C$4:$C$66""),INDIRECT(""'""&amp;CU$1&amp;""'!$D$4:$D$66"")=CU$2),$G$3:$BQ$3,$G75:$BQ75))),"""")"),"")</f>
        <v/>
      </c>
      <c r="CW75" s="251">
        <f>IFERROR(__xludf.DUMMYFUNCTION("AVERAGE(ARRAYFORMULA(XLOOKUP(FILTER(INDIRECT(""'""&amp;CW$1&amp;""'!$C$4:$C$66""),INDIRECT(""'""&amp;CW$1&amp;""'!$D$4:$D$66"")=CW$2),$G$3:$BQ$3,$G75:$BQ75)))"),-0.08702067000000001)</f>
        <v>-0.08702067</v>
      </c>
      <c r="CX75" s="207" t="str">
        <f>IFERROR(__xludf.DUMMYFUNCTION("IF(OR(CW75&gt;$BS75+$BT75*$BT$2,CW75&lt;$BS75-$BT75*$BT$2),AVEDEV(ARRAYFORMULA(XLOOKUP(FILTER(INDIRECT(""'""&amp;CW$1&amp;""'!$C$4:$C$66""),INDIRECT(""'""&amp;CW$1&amp;""'!$D$4:$D$66"")=CW$2),$G$3:$BQ$3,$G75:$BQ75))),"""")"),"")</f>
        <v/>
      </c>
      <c r="CY75" s="251">
        <f>IFERROR(__xludf.DUMMYFUNCTION("AVERAGE(ARRAYFORMULA(XLOOKUP(FILTER(INDIRECT(""'""&amp;CY$1&amp;""'!$C$4:$C$66""),INDIRECT(""'""&amp;CY$1&amp;""'!$D$4:$D$66"")=CY$2),$G$3:$BQ$3,$G75:$BQ75)))"),0.13063631928571426)</f>
        <v>0.1306363193</v>
      </c>
      <c r="CZ75" s="207" t="str">
        <f>IFERROR(__xludf.DUMMYFUNCTION("IF(OR(CY75&gt;$BS75+$BT75*$BT$2,CY75&lt;$BS75-$BT75*$BT$2),AVEDEV(ARRAYFORMULA(XLOOKUP(FILTER(INDIRECT(""'""&amp;CY$1&amp;""'!$C$4:$C$66""),INDIRECT(""'""&amp;CY$1&amp;""'!$D$4:$D$66"")=CY$2),$G$3:$BQ$3,$G75:$BQ75))),"""")"),"")</f>
        <v/>
      </c>
      <c r="DA75" s="252"/>
      <c r="DB75" s="251">
        <f>IFERROR(__xludf.DUMMYFUNCTION("AVERAGE(ARRAYFORMULA(XLOOKUP(FILTER(INDIRECT(""'""&amp;DB$1&amp;""'!$C$4:$C$66""),INDIRECT(""'""&amp;DB$1&amp;""'!$D$4:$D$66"")=DB$2),$G$3:$BQ$3,$G75:$BQ75)))"),0.1385447303333334)</f>
        <v>0.1385447303</v>
      </c>
      <c r="DC75" s="207" t="str">
        <f>IFERROR(__xludf.DUMMYFUNCTION("IF(OR(DB75&gt;$BS75+$BT75*$BT$2,DB75&lt;$BS75-$BT75*$BT$2),AVEDEV(ARRAYFORMULA(XLOOKUP(FILTER(INDIRECT(""'""&amp;DB$1&amp;""'!$C$4:$C$66""),INDIRECT(""'""&amp;DB$1&amp;""'!$D$4:$D$66"")=DB$2),$G$3:$BQ$3,$G75:$BQ75))),"""")"),"")</f>
        <v/>
      </c>
      <c r="DD75" s="251">
        <f>IFERROR(__xludf.DUMMYFUNCTION("AVERAGE(ARRAYFORMULA(XLOOKUP(FILTER(INDIRECT(""'""&amp;DD$1&amp;""'!$C$4:$C$66""),INDIRECT(""'""&amp;DD$1&amp;""'!$D$4:$D$66"")=DD$2),$G$3:$BQ$3,$G75:$BQ75)))"),0.7099311777777778)</f>
        <v>0.7099311778</v>
      </c>
      <c r="DE75" s="207" t="str">
        <f>IFERROR(__xludf.DUMMYFUNCTION("IF(OR(DD75&gt;$BS75+$BT75*$BT$2,DD75&lt;$BS75-$BT75*$BT$2),AVEDEV(ARRAYFORMULA(XLOOKUP(FILTER(INDIRECT(""'""&amp;DD$1&amp;""'!$C$4:$C$66""),INDIRECT(""'""&amp;DD$1&amp;""'!$D$4:$D$66"")=DD$2),$G$3:$BQ$3,$G75:$BQ75))),"""")"),"")</f>
        <v/>
      </c>
      <c r="DF75" s="251">
        <f>IFERROR(__xludf.DUMMYFUNCTION("AVERAGE(ARRAYFORMULA(XLOOKUP(FILTER(INDIRECT(""'""&amp;DF$1&amp;""'!$C$4:$C$66""),INDIRECT(""'""&amp;DF$1&amp;""'!$D$4:$D$66"")=DF$2),$G$3:$BQ$3,$G75:$BQ75)))"),0.7713864325)</f>
        <v>0.7713864325</v>
      </c>
      <c r="DG75" s="207" t="str">
        <f>IFERROR(__xludf.DUMMYFUNCTION("IF(OR(DF75&gt;$BS75+$BT75*$BT$2,DF75&lt;$BS75-$BT75*$BT$2),AVEDEV(ARRAYFORMULA(XLOOKUP(FILTER(INDIRECT(""'""&amp;DF$1&amp;""'!$C$4:$C$66""),INDIRECT(""'""&amp;DF$1&amp;""'!$D$4:$D$66"")=DF$2),$G$3:$BQ$3,$G75:$BQ75))),"""")"),"")</f>
        <v/>
      </c>
      <c r="DH75" s="251">
        <f>IFERROR(__xludf.DUMMYFUNCTION("AVERAGE(ARRAYFORMULA(XLOOKUP(FILTER(INDIRECT(""'""&amp;DH$1&amp;""'!$C$4:$C$66""),INDIRECT(""'""&amp;DH$1&amp;""'!$D$4:$D$66"")=DH$2),$G$3:$BQ$3,$G75:$BQ75)))"),0.06948540333333335)</f>
        <v>0.06948540333</v>
      </c>
      <c r="DI75" s="207" t="str">
        <f>IFERROR(__xludf.DUMMYFUNCTION("IF(OR(DH75&gt;$BS75+$BT75*$BT$2,DH75&lt;$BS75-$BT75*$BT$2),AVEDEV(ARRAYFORMULA(XLOOKUP(FILTER(INDIRECT(""'""&amp;DH$1&amp;""'!$C$4:$C$66""),INDIRECT(""'""&amp;DH$1&amp;""'!$D$4:$D$66"")=DH$2),$G$3:$BQ$3,$G75:$BQ75))),"""")"),"")</f>
        <v/>
      </c>
      <c r="DJ75" s="243"/>
    </row>
    <row r="76">
      <c r="A76" s="2"/>
      <c r="B76" s="204">
        <v>72.0</v>
      </c>
      <c r="C76" s="204" t="s">
        <v>507</v>
      </c>
      <c r="D76" s="204" t="s">
        <v>517</v>
      </c>
      <c r="E76" s="205" t="b">
        <f>VLOOKUP(D76,'Feature Set List'!A73:C246,2,0)</f>
        <v>1</v>
      </c>
      <c r="F76" s="205" t="b">
        <f>VLOOKUP(D76,'Feature Set List'!A73:C246,3,0)</f>
        <v>1</v>
      </c>
      <c r="G76" s="205">
        <v>1.68999571</v>
      </c>
      <c r="H76" s="205">
        <v>0.19235723</v>
      </c>
      <c r="I76" s="205">
        <v>3.67196222</v>
      </c>
      <c r="J76" s="205">
        <v>-0.7531129</v>
      </c>
      <c r="K76" s="205">
        <v>0.50493774</v>
      </c>
      <c r="L76" s="205">
        <v>-0.2662087</v>
      </c>
      <c r="M76" s="205">
        <v>2.5770717</v>
      </c>
      <c r="N76" s="205">
        <v>-0.9944182</v>
      </c>
      <c r="O76" s="205">
        <v>-0.5349936</v>
      </c>
      <c r="P76" s="205">
        <v>0.68269644</v>
      </c>
      <c r="Q76" s="205">
        <v>-0.2052383</v>
      </c>
      <c r="R76" s="205">
        <v>-0.3941606</v>
      </c>
      <c r="S76" s="205">
        <v>0.12451696</v>
      </c>
      <c r="T76" s="205">
        <v>0.20953199</v>
      </c>
      <c r="U76" s="205">
        <v>-2.6784027</v>
      </c>
      <c r="V76" s="205">
        <v>-0.1279519</v>
      </c>
      <c r="W76" s="205">
        <v>-0.6346071</v>
      </c>
      <c r="X76" s="205">
        <v>-0.0377845</v>
      </c>
      <c r="Y76" s="205">
        <v>0.02662087</v>
      </c>
      <c r="Z76" s="205">
        <v>0.26191498</v>
      </c>
      <c r="AA76" s="205">
        <v>2.17518248</v>
      </c>
      <c r="AB76" s="205">
        <v>1.78273937</v>
      </c>
      <c r="AC76" s="205">
        <v>0.05495921</v>
      </c>
      <c r="AD76" s="205">
        <v>-0.2498927</v>
      </c>
      <c r="AE76" s="205">
        <v>-0.4748819</v>
      </c>
      <c r="AF76" s="205">
        <v>-0.2601975</v>
      </c>
      <c r="AG76" s="205">
        <v>1.44611421</v>
      </c>
      <c r="AH76" s="205">
        <v>0.12022327</v>
      </c>
      <c r="AI76" s="205">
        <v>-0.7994848</v>
      </c>
      <c r="AJ76" s="205">
        <v>2.86303134</v>
      </c>
      <c r="AK76" s="205">
        <v>0.1983684</v>
      </c>
      <c r="AL76" s="205">
        <v>-0.5959639</v>
      </c>
      <c r="AM76" s="205">
        <v>-1.0656934</v>
      </c>
      <c r="AN76" s="205">
        <v>-0.2473164</v>
      </c>
      <c r="AO76" s="205">
        <v>1.96307428</v>
      </c>
      <c r="AP76" s="205">
        <v>-0.8286818</v>
      </c>
      <c r="AQ76" s="205">
        <v>1.58093602</v>
      </c>
      <c r="AR76" s="205">
        <v>1.24602834</v>
      </c>
      <c r="AS76" s="205">
        <v>1.27007299</v>
      </c>
      <c r="AT76" s="205">
        <v>0.52554745</v>
      </c>
      <c r="AU76" s="205">
        <v>-0.988407</v>
      </c>
      <c r="AV76" s="205">
        <v>0.17775869</v>
      </c>
      <c r="AW76" s="205">
        <v>-0.3039931</v>
      </c>
      <c r="AX76" s="205">
        <v>-0.487763</v>
      </c>
      <c r="AY76" s="205">
        <v>0.00772864</v>
      </c>
      <c r="AZ76" s="205">
        <v>1.35508802</v>
      </c>
      <c r="BA76" s="205">
        <v>-0.2550451</v>
      </c>
      <c r="BB76" s="205">
        <v>-0.1648776</v>
      </c>
      <c r="BC76" s="205">
        <v>0.27737226</v>
      </c>
      <c r="BD76" s="205">
        <v>-0.5744955</v>
      </c>
      <c r="BE76" s="205">
        <v>-1.2408759</v>
      </c>
      <c r="BF76" s="205">
        <v>-0.1966509</v>
      </c>
      <c r="BG76" s="205">
        <v>0.0</v>
      </c>
      <c r="BH76" s="205">
        <v>2.11936453</v>
      </c>
      <c r="BI76" s="205">
        <v>-0.350365</v>
      </c>
      <c r="BJ76" s="205">
        <v>0.44568484</v>
      </c>
      <c r="BK76" s="205">
        <v>-0.3975955</v>
      </c>
      <c r="BL76" s="205">
        <v>-3.2726492</v>
      </c>
      <c r="BM76" s="205">
        <v>3.90725633</v>
      </c>
      <c r="BN76" s="205">
        <v>-0.0017175</v>
      </c>
      <c r="BO76" s="205">
        <v>1.41605839</v>
      </c>
      <c r="BP76" s="205">
        <v>0.28767711</v>
      </c>
      <c r="BQ76" s="205">
        <v>-0.2825247</v>
      </c>
      <c r="BR76" s="206"/>
      <c r="BS76" s="250">
        <f t="shared" si="1"/>
        <v>0.2459670017</v>
      </c>
      <c r="BT76" s="250">
        <f t="shared" si="2"/>
        <v>0.9091597686</v>
      </c>
      <c r="BU76" s="206"/>
      <c r="BV76" s="207">
        <f>IFERROR(__xludf.DUMMYFUNCTION("AVERAGE(ARRAYFORMULA(XLOOKUP(FILTER(INDIRECT(""'""&amp;BV$1&amp;""'!$C$4:$C$66""),INDIRECT(""'""&amp;BV$1&amp;""'!$D$4:$D$66"")=BV$2),$G$3:$BQ$3,$G76:$BQ76)))"),-0.7748267114285714)</f>
        <v>-0.7748267114</v>
      </c>
      <c r="BW76" s="207">
        <f>IFERROR(__xludf.DUMMYFUNCTION("IF(OR(BV76&gt;$BS76+$BT76*$BT$2,BV76&lt;$BS76-$BT76*$BT$2),AVEDEV(ARRAYFORMULA(XLOOKUP(FILTER(INDIRECT(""'""&amp;BV$1&amp;""'!$C$4:$C$66""),INDIRECT(""'""&amp;BV$1&amp;""'!$D$4:$D$66"")=BV$2),$G$3:$BQ$3,$G76:$BQ76))),"""")"),1.3906993330612245)</f>
        <v>1.390699333</v>
      </c>
      <c r="BX76" s="207">
        <f>IFERROR(__xludf.DUMMYFUNCTION("AVERAGE(ARRAYFORMULA(XLOOKUP(FILTER(INDIRECT(""'""&amp;BX$1&amp;""'!$C$4:$C$66""),INDIRECT(""'""&amp;BX$1&amp;""'!$D$4:$D$66"")=BX$2),$G$3:$BQ$3,$G76:$BQ76)))"),0.232820135952381)</f>
        <v>0.232820136</v>
      </c>
      <c r="BY76" s="207" t="str">
        <f>IFERROR(__xludf.DUMMYFUNCTION("IF(OR(BX76&gt;$BS76+$BT76*$BT$2,BX76&lt;$BS76-$BT76*$BT$2),AVEDEV(ARRAYFORMULA(XLOOKUP(FILTER(INDIRECT(""'""&amp;BX$1&amp;""'!$C$4:$C$66""),INDIRECT(""'""&amp;BX$1&amp;""'!$D$4:$D$66"")=BX$2),$G$3:$BQ$3,$G76:$BQ76))),"""")"),"")</f>
        <v/>
      </c>
      <c r="BZ76" s="207">
        <f>IFERROR(__xludf.DUMMYFUNCTION("AVERAGE(ARRAYFORMULA(XLOOKUP(FILTER(INDIRECT(""'""&amp;BZ$1&amp;""'!$C$4:$C$66""),INDIRECT(""'""&amp;BZ$1&amp;""'!$D$4:$D$66"")=BZ$2),$G$3:$BQ$3,$G76:$BQ76)))"),0.8211093327272727)</f>
        <v>0.8211093327</v>
      </c>
      <c r="CA76" s="207" t="str">
        <f>IFERROR(__xludf.DUMMYFUNCTION("IF(OR(BZ76&gt;$BS76+$BT76*$BT$2,BZ76&lt;$BS76-$BT76*$BT$2),AVEDEV(ARRAYFORMULA(XLOOKUP(FILTER(INDIRECT(""'""&amp;BZ$1&amp;""'!$C$4:$C$66""),INDIRECT(""'""&amp;BZ$1&amp;""'!$D$4:$D$66"")=BZ$2),$G$3:$BQ$3,$G76:$BQ76))),"""")"),"")</f>
        <v/>
      </c>
      <c r="CB76" s="209"/>
      <c r="CC76" s="207">
        <f>IFERROR(__xludf.DUMMYFUNCTION("AVERAGE(ARRAYFORMULA(XLOOKUP(FILTER(INDIRECT(""'""&amp;CC$1&amp;""'!$C$4:$C$66""),INDIRECT(""'""&amp;CC$1&amp;""'!$D$4:$D$66"")=CC$2),$G$3:$BQ$3,$G76:$BQ76)))"),-0.179637171875)</f>
        <v>-0.1796371719</v>
      </c>
      <c r="CD76" s="207" t="str">
        <f>IFERROR(__xludf.DUMMYFUNCTION("IF(OR(CC76&gt;$BS76+$BT76*$BT$2,CC76&lt;$BS76-$BT76*$BT$2),AVEDEV(ARRAYFORMULA(XLOOKUP(FILTER(INDIRECT(""'""&amp;CC$1&amp;""'!$C$4:$C$66""),INDIRECT(""'""&amp;CC$1&amp;""'!$D$4:$D$66"")=CC$2),$G$3:$BQ$3,$G76:$BQ76))),"""")"),"")</f>
        <v/>
      </c>
      <c r="CE76" s="207">
        <f>IFERROR(__xludf.DUMMYFUNCTION("AVERAGE(ARRAYFORMULA(XLOOKUP(FILTER(INDIRECT(""'""&amp;CE$1&amp;""'!$C$4:$C$66""),INDIRECT(""'""&amp;CE$1&amp;""'!$D$4:$D$66"")=CE$2),$G$3:$BQ$3,$G76:$BQ76)))"),0.2557930151612903)</f>
        <v>0.2557930152</v>
      </c>
      <c r="CF76" s="207" t="str">
        <f>IFERROR(__xludf.DUMMYFUNCTION("IF(OR(CE76&gt;$BS76+$BT76*$BT$2,CE76&lt;$BS76-$BT76*$BT$2),AVEDEV(ARRAYFORMULA(XLOOKUP(FILTER(INDIRECT(""'""&amp;CE$1&amp;""'!$C$4:$C$66""),INDIRECT(""'""&amp;CE$1&amp;""'!$D$4:$D$66"")=CE$2),$G$3:$BQ$3,$G76:$BQ76))),"""")"),"")</f>
        <v/>
      </c>
      <c r="CG76" s="207">
        <f>IFERROR(__xludf.DUMMYFUNCTION("AVERAGE(ARRAYFORMULA(XLOOKUP(FILTER(INDIRECT(""'""&amp;CG$1&amp;""'!$C$4:$C$66""),INDIRECT(""'""&amp;CG$1&amp;""'!$D$4:$D$66"")=CG$2),$G$3:$BQ$3,$G76:$BQ76)))"),0.381451264)</f>
        <v>0.381451264</v>
      </c>
      <c r="CH76" s="207" t="str">
        <f>IFERROR(__xludf.DUMMYFUNCTION("IF(OR(CG76&gt;$BS76+$BT76*$BT$2,CG76&lt;$BS76-$BT76*$BT$2),AVEDEV(ARRAYFORMULA(XLOOKUP(FILTER(INDIRECT(""'""&amp;CG$1&amp;""'!$C$4:$C$66""),INDIRECT(""'""&amp;CG$1&amp;""'!$D$4:$D$66"")=CG$2),$G$3:$BQ$3,$G76:$BQ76))),"""")"),"")</f>
        <v/>
      </c>
      <c r="CI76" s="206"/>
      <c r="CJ76" s="251">
        <f>IFERROR(__xludf.DUMMYFUNCTION("AVERAGE(ARRAYFORMULA(XLOOKUP(FILTER(INDIRECT(""'""&amp;CJ$1&amp;""'!$C$4:$C$66""),INDIRECT(""'""&amp;CJ$1&amp;""'!$D$4:$D$66"")=CJ$2),$G$3:$BQ$3,$G76:$BQ76)))"),0.40715615200000005)</f>
        <v>0.407156152</v>
      </c>
      <c r="CK76" s="207" t="str">
        <f>IFERROR(__xludf.DUMMYFUNCTION("IF(OR(CJ76&gt;$BS76+$BT76*$BT$2,CJ76&lt;$BS76-$BT76*$BT$2),AVEDEV(ARRAYFORMULA(XLOOKUP(FILTER(INDIRECT(""'""&amp;CJ$1&amp;""'!$C$4:$C$66""),INDIRECT(""'""&amp;CJ$1&amp;""'!$D$4:$D$66"")=CJ$2),$G$3:$BQ$3,$G76:$BQ76))),"""")"),"")</f>
        <v/>
      </c>
      <c r="CL76" s="251">
        <f>IFERROR(__xludf.DUMMYFUNCTION("AVERAGE(ARRAYFORMULA(XLOOKUP(FILTER(INDIRECT(""'""&amp;CL$1&amp;""'!$C$4:$C$66""),INDIRECT(""'""&amp;CL$1&amp;""'!$D$4:$D$66"")=CL$2),$G$3:$BQ$3,$G76:$BQ76)))"),0.22166441)</f>
        <v>0.22166441</v>
      </c>
      <c r="CM76" s="207" t="str">
        <f>IFERROR(__xludf.DUMMYFUNCTION("IF(OR(CL76&gt;$BS76+$BT76*$BT$2,CL76&lt;$BS76-$BT76*$BT$2),AVEDEV(ARRAYFORMULA(XLOOKUP(FILTER(INDIRECT(""'""&amp;CL$1&amp;""'!$C$4:$C$66""),INDIRECT(""'""&amp;CL$1&amp;""'!$D$4:$D$66"")=CL$2),$G$3:$BQ$3,$G76:$BQ76))),"""")"),"")</f>
        <v/>
      </c>
      <c r="CN76" s="251">
        <f>IFERROR(__xludf.DUMMYFUNCTION("AVERAGE(ARRAYFORMULA(XLOOKUP(FILTER(INDIRECT(""'""&amp;CN$1&amp;""'!$C$4:$C$66""),INDIRECT(""'""&amp;CN$1&amp;""'!$D$4:$D$66"")=CN$2),$G$3:$BQ$3,$G76:$BQ76)))"),0.381451264)</f>
        <v>0.381451264</v>
      </c>
      <c r="CO76" s="207" t="str">
        <f>IFERROR(__xludf.DUMMYFUNCTION("IF(OR(CN76&gt;$BS76+$BT76*$BT$2,CN76&lt;$BS76-$BT76*$BT$2),AVEDEV(ARRAYFORMULA(XLOOKUP(FILTER(INDIRECT(""'""&amp;CN$1&amp;""'!$C$4:$C$66""),INDIRECT(""'""&amp;CN$1&amp;""'!$D$4:$D$66"")=CN$2),$G$3:$BQ$3,$G76:$BQ76))),"""")"),"")</f>
        <v/>
      </c>
      <c r="CP76" s="252"/>
      <c r="CQ76" s="251">
        <f>IFERROR(__xludf.DUMMYFUNCTION("AVERAGE(ARRAYFORMULA(XLOOKUP(FILTER(INDIRECT(""'""&amp;CQ$1&amp;""'!$C$4:$C$66""),INDIRECT(""'""&amp;CQ$1&amp;""'!$D$4:$D$66"")=CQ$2),$G$3:$BQ$3,$G76:$BQ76)))"),-0.1467827885714286)</f>
        <v>-0.1467827886</v>
      </c>
      <c r="CR76" s="207" t="str">
        <f>IFERROR(__xludf.DUMMYFUNCTION("IF(OR(CQ76&gt;$BS76+$BT76*$BT$2,CQ76&lt;$BS76-$BT76*$BT$2),AVEDEV(ARRAYFORMULA(XLOOKUP(FILTER(INDIRECT(""'""&amp;CQ$1&amp;""'!$C$4:$C$66""),INDIRECT(""'""&amp;CQ$1&amp;""'!$D$4:$D$66"")=CQ$2),$G$3:$BQ$3,$G76:$BQ76))),"""")"),"")</f>
        <v/>
      </c>
      <c r="CS76" s="251">
        <f>IFERROR(__xludf.DUMMYFUNCTION("AVERAGE(ARRAYFORMULA(XLOOKUP(FILTER(INDIRECT(""'""&amp;CS$1&amp;""'!$C$4:$C$66""),INDIRECT(""'""&amp;CS$1&amp;""'!$D$4:$D$66"")=CS$2),$G$3:$BQ$3,$G76:$BQ76)))"),0.4188731455555555)</f>
        <v>0.4188731456</v>
      </c>
      <c r="CT76" s="207" t="str">
        <f>IFERROR(__xludf.DUMMYFUNCTION("IF(OR(CS76&gt;$BS76+$BT76*$BT$2,CS76&lt;$BS76-$BT76*$BT$2),AVEDEV(ARRAYFORMULA(XLOOKUP(FILTER(INDIRECT(""'""&amp;CS$1&amp;""'!$C$4:$C$66""),INDIRECT(""'""&amp;CS$1&amp;""'!$D$4:$D$66"")=CS$2),$G$3:$BQ$3,$G76:$BQ76))),"""")"),"")</f>
        <v/>
      </c>
      <c r="CU76" s="251">
        <f>IFERROR(__xludf.DUMMYFUNCTION("AVERAGE(ARRAYFORMULA(XLOOKUP(FILTER(INDIRECT(""'""&amp;CU$1&amp;""'!$C$4:$C$66""),INDIRECT(""'""&amp;CU$1&amp;""'!$D$4:$D$66"")=CU$2),$G$3:$BQ$3,$G76:$BQ76)))"),0.6060345854545455)</f>
        <v>0.6060345855</v>
      </c>
      <c r="CV76" s="207" t="str">
        <f>IFERROR(__xludf.DUMMYFUNCTION("IF(OR(CU76&gt;$BS76+$BT76*$BT$2,CU76&lt;$BS76-$BT76*$BT$2),AVEDEV(ARRAYFORMULA(XLOOKUP(FILTER(INDIRECT(""'""&amp;CU$1&amp;""'!$C$4:$C$66""),INDIRECT(""'""&amp;CU$1&amp;""'!$D$4:$D$66"")=CU$2),$G$3:$BQ$3,$G76:$BQ76))),"""")"),"")</f>
        <v/>
      </c>
      <c r="CW76" s="251">
        <f>IFERROR(__xludf.DUMMYFUNCTION("AVERAGE(ARRAYFORMULA(XLOOKUP(FILTER(INDIRECT(""'""&amp;CW$1&amp;""'!$C$4:$C$66""),INDIRECT(""'""&amp;CW$1&amp;""'!$D$4:$D$66"")=CW$2),$G$3:$BQ$3,$G76:$BQ76)))"),0.934735915)</f>
        <v>0.934735915</v>
      </c>
      <c r="CX76" s="207" t="str">
        <f>IFERROR(__xludf.DUMMYFUNCTION("IF(OR(CW76&gt;$BS76+$BT76*$BT$2,CW76&lt;$BS76-$BT76*$BT$2),AVEDEV(ARRAYFORMULA(XLOOKUP(FILTER(INDIRECT(""'""&amp;CW$1&amp;""'!$C$4:$C$66""),INDIRECT(""'""&amp;CW$1&amp;""'!$D$4:$D$66"")=CW$2),$G$3:$BQ$3,$G76:$BQ76))),"""")"),"")</f>
        <v/>
      </c>
      <c r="CY76" s="251">
        <f>IFERROR(__xludf.DUMMYFUNCTION("AVERAGE(ARRAYFORMULA(XLOOKUP(FILTER(INDIRECT(""'""&amp;CY$1&amp;""'!$C$4:$C$66""),INDIRECT(""'""&amp;CY$1&amp;""'!$D$4:$D$66"")=CY$2),$G$3:$BQ$3,$G76:$BQ76)))"),0.20554498357142856)</f>
        <v>0.2055449836</v>
      </c>
      <c r="CZ76" s="207" t="str">
        <f>IFERROR(__xludf.DUMMYFUNCTION("IF(OR(CY76&gt;$BS76+$BT76*$BT$2,CY76&lt;$BS76-$BT76*$BT$2),AVEDEV(ARRAYFORMULA(XLOOKUP(FILTER(INDIRECT(""'""&amp;CY$1&amp;""'!$C$4:$C$66""),INDIRECT(""'""&amp;CY$1&amp;""'!$D$4:$D$66"")=CY$2),$G$3:$BQ$3,$G76:$BQ76))),"""")"),"")</f>
        <v/>
      </c>
      <c r="DA76" s="252"/>
      <c r="DB76" s="251">
        <f>IFERROR(__xludf.DUMMYFUNCTION("AVERAGE(ARRAYFORMULA(XLOOKUP(FILTER(INDIRECT(""'""&amp;DB$1&amp;""'!$C$4:$C$66""),INDIRECT(""'""&amp;DB$1&amp;""'!$D$4:$D$66"")=DB$2),$G$3:$BQ$3,$G76:$BQ76)))"),-0.015629020333333323)</f>
        <v>-0.01562902033</v>
      </c>
      <c r="DC76" s="207" t="str">
        <f>IFERROR(__xludf.DUMMYFUNCTION("IF(OR(DB76&gt;$BS76+$BT76*$BT$2,DB76&lt;$BS76-$BT76*$BT$2),AVEDEV(ARRAYFORMULA(XLOOKUP(FILTER(INDIRECT(""'""&amp;DB$1&amp;""'!$C$4:$C$66""),INDIRECT(""'""&amp;DB$1&amp;""'!$D$4:$D$66"")=DB$2),$G$3:$BQ$3,$G76:$BQ76))),"""")"),"")</f>
        <v/>
      </c>
      <c r="DD76" s="251">
        <f>IFERROR(__xludf.DUMMYFUNCTION("AVERAGE(ARRAYFORMULA(XLOOKUP(FILTER(INDIRECT(""'""&amp;DD$1&amp;""'!$C$4:$C$66""),INDIRECT(""'""&amp;DD$1&amp;""'!$D$4:$D$66"")=DD$2),$G$3:$BQ$3,$G76:$BQ76)))"),0.898716662222222)</f>
        <v>0.8987166622</v>
      </c>
      <c r="DE76" s="207" t="str">
        <f>IFERROR(__xludf.DUMMYFUNCTION("IF(OR(DD76&gt;$BS76+$BT76*$BT$2,DD76&lt;$BS76-$BT76*$BT$2),AVEDEV(ARRAYFORMULA(XLOOKUP(FILTER(INDIRECT(""'""&amp;DD$1&amp;""'!$C$4:$C$66""),INDIRECT(""'""&amp;DD$1&amp;""'!$D$4:$D$66"")=DD$2),$G$3:$BQ$3,$G76:$BQ76))),"""")"),"")</f>
        <v/>
      </c>
      <c r="DF76" s="251">
        <f>IFERROR(__xludf.DUMMYFUNCTION("AVERAGE(ARRAYFORMULA(XLOOKUP(FILTER(INDIRECT(""'""&amp;DF$1&amp;""'!$C$4:$C$66""),INDIRECT(""'""&amp;DF$1&amp;""'!$D$4:$D$66"")=DF$2),$G$3:$BQ$3,$G76:$BQ76)))"),0.3647488175)</f>
        <v>0.3647488175</v>
      </c>
      <c r="DG76" s="207" t="str">
        <f>IFERROR(__xludf.DUMMYFUNCTION("IF(OR(DF76&gt;$BS76+$BT76*$BT$2,DF76&lt;$BS76-$BT76*$BT$2),AVEDEV(ARRAYFORMULA(XLOOKUP(FILTER(INDIRECT(""'""&amp;DF$1&amp;""'!$C$4:$C$66""),INDIRECT(""'""&amp;DF$1&amp;""'!$D$4:$D$66"")=DF$2),$G$3:$BQ$3,$G76:$BQ76))),"""")"),"")</f>
        <v/>
      </c>
      <c r="DH76" s="251">
        <f>IFERROR(__xludf.DUMMYFUNCTION("AVERAGE(ARRAYFORMULA(XLOOKUP(FILTER(INDIRECT(""'""&amp;DH$1&amp;""'!$C$4:$C$66""),INDIRECT(""'""&amp;DH$1&amp;""'!$D$4:$D$66"")=DH$2),$G$3:$BQ$3,$G76:$BQ76)))"),0.32784695333333325)</f>
        <v>0.3278469533</v>
      </c>
      <c r="DI76" s="207" t="str">
        <f>IFERROR(__xludf.DUMMYFUNCTION("IF(OR(DH76&gt;$BS76+$BT76*$BT$2,DH76&lt;$BS76-$BT76*$BT$2),AVEDEV(ARRAYFORMULA(XLOOKUP(FILTER(INDIRECT(""'""&amp;DH$1&amp;""'!$C$4:$C$66""),INDIRECT(""'""&amp;DH$1&amp;""'!$D$4:$D$66"")=DH$2),$G$3:$BQ$3,$G76:$BQ76))),"""")"),"")</f>
        <v/>
      </c>
      <c r="DJ76" s="243"/>
    </row>
    <row r="77">
      <c r="A77" s="2"/>
      <c r="B77" s="204">
        <v>73.0</v>
      </c>
      <c r="C77" s="204" t="s">
        <v>507</v>
      </c>
      <c r="D77" s="204" t="s">
        <v>518</v>
      </c>
      <c r="E77" s="205" t="b">
        <f>VLOOKUP(D77,'Feature Set List'!A74:C246,2,0)</f>
        <v>1</v>
      </c>
      <c r="F77" s="205" t="b">
        <f>VLOOKUP(D77,'Feature Set List'!A74:C246,3,0)</f>
        <v>1</v>
      </c>
      <c r="G77" s="205">
        <v>-0.8637917</v>
      </c>
      <c r="H77" s="205">
        <v>-1.105969</v>
      </c>
      <c r="I77" s="205">
        <v>-1.6689456</v>
      </c>
      <c r="J77" s="205">
        <v>0.75072311</v>
      </c>
      <c r="K77" s="205">
        <v>-1.2271891</v>
      </c>
      <c r="L77" s="205">
        <v>-0.1246384</v>
      </c>
      <c r="M77" s="205">
        <v>-1.068893</v>
      </c>
      <c r="N77" s="205">
        <v>1.3449908</v>
      </c>
      <c r="O77" s="205">
        <v>1.21088614</v>
      </c>
      <c r="P77" s="205">
        <v>-0.327899</v>
      </c>
      <c r="Q77" s="205">
        <v>-0.1872206</v>
      </c>
      <c r="R77" s="205">
        <v>2.23639232</v>
      </c>
      <c r="S77" s="205">
        <v>0.39389955</v>
      </c>
      <c r="T77" s="205">
        <v>0.13804891</v>
      </c>
      <c r="U77" s="205">
        <v>3.1724954</v>
      </c>
      <c r="V77" s="205">
        <v>-0.3252695</v>
      </c>
      <c r="W77" s="205">
        <v>0.87693926</v>
      </c>
      <c r="X77" s="205">
        <v>1.94977649</v>
      </c>
      <c r="Y77" s="205">
        <v>0.41020247</v>
      </c>
      <c r="Z77" s="205">
        <v>-0.1601367</v>
      </c>
      <c r="AA77" s="205">
        <v>-1.1866947</v>
      </c>
      <c r="AB77" s="205">
        <v>-0.6841967</v>
      </c>
      <c r="AC77" s="205">
        <v>-0.2810939</v>
      </c>
      <c r="AD77" s="205">
        <v>2.37838549</v>
      </c>
      <c r="AE77" s="205">
        <v>-0.0447016</v>
      </c>
      <c r="AF77" s="205">
        <v>0.46673679</v>
      </c>
      <c r="AG77" s="205">
        <v>0.40941362</v>
      </c>
      <c r="AH77" s="205">
        <v>1.12411254</v>
      </c>
      <c r="AI77" s="205">
        <v>0.20326058</v>
      </c>
      <c r="AJ77" s="205">
        <v>0.04680515</v>
      </c>
      <c r="AK77" s="205">
        <v>0.78227715</v>
      </c>
      <c r="AL77" s="205">
        <v>0.67183802</v>
      </c>
      <c r="AM77" s="205">
        <v>0.74809361</v>
      </c>
      <c r="AN77" s="205">
        <v>0.76124113</v>
      </c>
      <c r="AO77" s="205">
        <v>-1.746253</v>
      </c>
      <c r="AP77" s="205">
        <v>1.44228241</v>
      </c>
      <c r="AQ77" s="205">
        <v>-0.3647121</v>
      </c>
      <c r="AR77" s="205">
        <v>-0.6731528</v>
      </c>
      <c r="AS77" s="205">
        <v>-0.6836708</v>
      </c>
      <c r="AT77" s="205">
        <v>0.03996845</v>
      </c>
      <c r="AU77" s="205">
        <v>4.49776492</v>
      </c>
      <c r="AV77" s="205">
        <v>-0.2269261</v>
      </c>
      <c r="AW77" s="205">
        <v>0.174599</v>
      </c>
      <c r="AX77" s="205">
        <v>0.80594268</v>
      </c>
      <c r="AY77" s="205">
        <v>-0.6923481</v>
      </c>
      <c r="AZ77" s="205">
        <v>-0.3250066</v>
      </c>
      <c r="BA77" s="205">
        <v>-0.1982645</v>
      </c>
      <c r="BB77" s="205">
        <v>-1.7772811</v>
      </c>
      <c r="BC77" s="205">
        <v>0.63502498</v>
      </c>
      <c r="BD77" s="205">
        <v>-0.0168288</v>
      </c>
      <c r="BE77" s="205">
        <v>0.08125164</v>
      </c>
      <c r="BF77" s="205">
        <v>-0.4722587</v>
      </c>
      <c r="BG77" s="205">
        <v>0.0</v>
      </c>
      <c r="BH77" s="205">
        <v>-0.3284249</v>
      </c>
      <c r="BI77" s="205">
        <v>-0.1993163</v>
      </c>
      <c r="BJ77" s="205">
        <v>-0.0602156</v>
      </c>
      <c r="BK77" s="205">
        <v>0.08098869</v>
      </c>
      <c r="BL77" s="205">
        <v>0.63502498</v>
      </c>
      <c r="BM77" s="205">
        <v>0.20536419</v>
      </c>
      <c r="BN77" s="205">
        <v>-0.8159348</v>
      </c>
      <c r="BO77" s="205">
        <v>-0.0102551</v>
      </c>
      <c r="BP77" s="205">
        <v>-0.5684986</v>
      </c>
      <c r="BQ77" s="205">
        <v>0.45884828</v>
      </c>
      <c r="BR77" s="206"/>
      <c r="BS77" s="250">
        <f t="shared" si="1"/>
        <v>0.1701204976</v>
      </c>
      <c r="BT77" s="250">
        <f t="shared" si="2"/>
        <v>0.772170888</v>
      </c>
      <c r="BU77" s="206"/>
      <c r="BV77" s="207">
        <f>IFERROR(__xludf.DUMMYFUNCTION("AVERAGE(ARRAYFORMULA(XLOOKUP(FILTER(INDIRECT(""'""&amp;BV$1&amp;""'!$C$4:$C$66""),INDIRECT(""'""&amp;BV$1&amp;""'!$D$4:$D$66"")=BV$2),$G$3:$BQ$3,$G77:$BQ77)))"),0.23180947285714285)</f>
        <v>0.2318094729</v>
      </c>
      <c r="BW77" s="207" t="str">
        <f>IFERROR(__xludf.DUMMYFUNCTION("IF(OR(BV77&gt;$BS77+$BT77*$BT$2,BV77&lt;$BS77-$BT77*$BT$2),AVEDEV(ARRAYFORMULA(XLOOKUP(FILTER(INDIRECT(""'""&amp;BV$1&amp;""'!$C$4:$C$66""),INDIRECT(""'""&amp;BV$1&amp;""'!$D$4:$D$66"")=BV$2),$G$3:$BQ$3,$G77:$BQ77))),"""")"),"")</f>
        <v/>
      </c>
      <c r="BX77" s="207">
        <f>IFERROR(__xludf.DUMMYFUNCTION("AVERAGE(ARRAYFORMULA(XLOOKUP(FILTER(INDIRECT(""'""&amp;BX$1&amp;""'!$C$4:$C$66""),INDIRECT(""'""&amp;BX$1&amp;""'!$D$4:$D$66"")=BX$2),$G$3:$BQ$3,$G77:$BQ77)))"),0.1689080023809524)</f>
        <v>0.1689080024</v>
      </c>
      <c r="BY77" s="207" t="str">
        <f>IFERROR(__xludf.DUMMYFUNCTION("IF(OR(BX77&gt;$BS77+$BT77*$BT$2,BX77&lt;$BS77-$BT77*$BT$2),AVEDEV(ARRAYFORMULA(XLOOKUP(FILTER(INDIRECT(""'""&amp;BX$1&amp;""'!$C$4:$C$66""),INDIRECT(""'""&amp;BX$1&amp;""'!$D$4:$D$66"")=BX$2),$G$3:$BQ$3,$G77:$BQ77))),"""")"),"")</f>
        <v/>
      </c>
      <c r="BZ77" s="207">
        <f>IFERROR(__xludf.DUMMYFUNCTION("AVERAGE(ARRAYFORMULA(XLOOKUP(FILTER(INDIRECT(""'""&amp;BZ$1&amp;""'!$C$4:$C$66""),INDIRECT(""'""&amp;BZ$1&amp;""'!$D$4:$D$66"")=BZ$2),$G$3:$BQ$3,$G77:$BQ77)))"),-0.0737455981818182)</f>
        <v>-0.07374559818</v>
      </c>
      <c r="CA77" s="207" t="str">
        <f>IFERROR(__xludf.DUMMYFUNCTION("IF(OR(BZ77&gt;$BS77+$BT77*$BT$2,BZ77&lt;$BS77-$BT77*$BT$2),AVEDEV(ARRAYFORMULA(XLOOKUP(FILTER(INDIRECT(""'""&amp;BZ$1&amp;""'!$C$4:$C$66""),INDIRECT(""'""&amp;BZ$1&amp;""'!$D$4:$D$66"")=BZ$2),$G$3:$BQ$3,$G77:$BQ77))),"""")"),"")</f>
        <v/>
      </c>
      <c r="CB77" s="209"/>
      <c r="CC77" s="207">
        <f>IFERROR(__xludf.DUMMYFUNCTION("AVERAGE(ARRAYFORMULA(XLOOKUP(FILTER(INDIRECT(""'""&amp;CC$1&amp;""'!$C$4:$C$66""),INDIRECT(""'""&amp;CC$1&amp;""'!$D$4:$D$66"")=CC$2),$G$3:$BQ$3,$G77:$BQ77)))"),0.18766433875)</f>
        <v>0.1876643388</v>
      </c>
      <c r="CD77" s="207" t="str">
        <f>IFERROR(__xludf.DUMMYFUNCTION("IF(OR(CC77&gt;$BS77+$BT77*$BT$2,CC77&lt;$BS77-$BT77*$BT$2),AVEDEV(ARRAYFORMULA(XLOOKUP(FILTER(INDIRECT(""'""&amp;CC$1&amp;""'!$C$4:$C$66""),INDIRECT(""'""&amp;CC$1&amp;""'!$D$4:$D$66"")=CC$2),$G$3:$BQ$3,$G77:$BQ77))),"""")"),"")</f>
        <v/>
      </c>
      <c r="CE77" s="207">
        <f>IFERROR(__xludf.DUMMYFUNCTION("AVERAGE(ARRAYFORMULA(XLOOKUP(FILTER(INDIRECT(""'""&amp;CE$1&amp;""'!$C$4:$C$66""),INDIRECT(""'""&amp;CE$1&amp;""'!$D$4:$D$66"")=CE$2),$G$3:$BQ$3,$G77:$BQ77)))"),0.18297100193548382)</f>
        <v>0.1829710019</v>
      </c>
      <c r="CF77" s="207" t="str">
        <f>IFERROR(__xludf.DUMMYFUNCTION("IF(OR(CE77&gt;$BS77+$BT77*$BT$2,CE77&lt;$BS77-$BT77*$BT$2),AVEDEV(ARRAYFORMULA(XLOOKUP(FILTER(INDIRECT(""'""&amp;CE$1&amp;""'!$C$4:$C$66""),INDIRECT(""'""&amp;CE$1&amp;""'!$D$4:$D$66"")=CE$2),$G$3:$BQ$3,$G77:$BQ77))),"""")"),"")</f>
        <v/>
      </c>
      <c r="CG77" s="207">
        <f>IFERROR(__xludf.DUMMYFUNCTION("AVERAGE(ARRAYFORMULA(XLOOKUP(FILTER(INDIRECT(""'""&amp;CG$1&amp;""'!$C$4:$C$66""),INDIRECT(""'""&amp;CG$1&amp;""'!$D$4:$D$66"")=CG$2),$G$3:$BQ$3,$G77:$BQ77)))"),-0.214357078)</f>
        <v>-0.214357078</v>
      </c>
      <c r="CH77" s="207" t="str">
        <f>IFERROR(__xludf.DUMMYFUNCTION("IF(OR(CG77&gt;$BS77+$BT77*$BT$2,CG77&lt;$BS77-$BT77*$BT$2),AVEDEV(ARRAYFORMULA(XLOOKUP(FILTER(INDIRECT(""'""&amp;CG$1&amp;""'!$C$4:$C$66""),INDIRECT(""'""&amp;CG$1&amp;""'!$D$4:$D$66"")=CG$2),$G$3:$BQ$3,$G77:$BQ77))),"""")"),"")</f>
        <v/>
      </c>
      <c r="CI77" s="206"/>
      <c r="CJ77" s="251">
        <f>IFERROR(__xludf.DUMMYFUNCTION("AVERAGE(ARRAYFORMULA(XLOOKUP(FILTER(INDIRECT(""'""&amp;CJ$1&amp;""'!$C$4:$C$66""),INDIRECT(""'""&amp;CJ$1&amp;""'!$D$4:$D$66"")=CJ$2),$G$3:$BQ$3,$G77:$BQ77)))"),0.23200981199999995)</f>
        <v>0.232009812</v>
      </c>
      <c r="CK77" s="207" t="str">
        <f>IFERROR(__xludf.DUMMYFUNCTION("IF(OR(CJ77&gt;$BS77+$BT77*$BT$2,CJ77&lt;$BS77-$BT77*$BT$2),AVEDEV(ARRAYFORMULA(XLOOKUP(FILTER(INDIRECT(""'""&amp;CJ$1&amp;""'!$C$4:$C$66""),INDIRECT(""'""&amp;CJ$1&amp;""'!$D$4:$D$66"")=CJ$2),$G$3:$BQ$3,$G77:$BQ77))),"""")"),"")</f>
        <v/>
      </c>
      <c r="CL77" s="251">
        <f>IFERROR(__xludf.DUMMYFUNCTION("AVERAGE(ARRAYFORMULA(XLOOKUP(FILTER(INDIRECT(""'""&amp;CL$1&amp;""'!$C$4:$C$66""),INDIRECT(""'""&amp;CL$1&amp;""'!$D$4:$D$66"")=CL$2),$G$3:$BQ$3,$G77:$BQ77)))"),0.12467215538461535)</f>
        <v>0.1246721554</v>
      </c>
      <c r="CM77" s="207" t="str">
        <f>IFERROR(__xludf.DUMMYFUNCTION("IF(OR(CL77&gt;$BS77+$BT77*$BT$2,CL77&lt;$BS77-$BT77*$BT$2),AVEDEV(ARRAYFORMULA(XLOOKUP(FILTER(INDIRECT(""'""&amp;CL$1&amp;""'!$C$4:$C$66""),INDIRECT(""'""&amp;CL$1&amp;""'!$D$4:$D$66"")=CL$2),$G$3:$BQ$3,$G77:$BQ77))),"""")"),"")</f>
        <v/>
      </c>
      <c r="CN77" s="251">
        <f>IFERROR(__xludf.DUMMYFUNCTION("AVERAGE(ARRAYFORMULA(XLOOKUP(FILTER(INDIRECT(""'""&amp;CN$1&amp;""'!$C$4:$C$66""),INDIRECT(""'""&amp;CN$1&amp;""'!$D$4:$D$66"")=CN$2),$G$3:$BQ$3,$G77:$BQ77)))"),-0.214357078)</f>
        <v>-0.214357078</v>
      </c>
      <c r="CO77" s="207" t="str">
        <f>IFERROR(__xludf.DUMMYFUNCTION("IF(OR(CN77&gt;$BS77+$BT77*$BT$2,CN77&lt;$BS77-$BT77*$BT$2),AVEDEV(ARRAYFORMULA(XLOOKUP(FILTER(INDIRECT(""'""&amp;CN$1&amp;""'!$C$4:$C$66""),INDIRECT(""'""&amp;CN$1&amp;""'!$D$4:$D$66"")=CN$2),$G$3:$BQ$3,$G77:$BQ77))),"""")"),"")</f>
        <v/>
      </c>
      <c r="CP77" s="252"/>
      <c r="CQ77" s="251">
        <f>IFERROR(__xludf.DUMMYFUNCTION("AVERAGE(ARRAYFORMULA(XLOOKUP(FILTER(INDIRECT(""'""&amp;CQ$1&amp;""'!$C$4:$C$66""),INDIRECT(""'""&amp;CQ$1&amp;""'!$D$4:$D$66"")=CQ$2),$G$3:$BQ$3,$G77:$BQ77)))"),0.25339017714285716)</f>
        <v>0.2533901771</v>
      </c>
      <c r="CR77" s="207" t="str">
        <f>IFERROR(__xludf.DUMMYFUNCTION("IF(OR(CQ77&gt;$BS77+$BT77*$BT$2,CQ77&lt;$BS77-$BT77*$BT$2),AVEDEV(ARRAYFORMULA(XLOOKUP(FILTER(INDIRECT(""'""&amp;CQ$1&amp;""'!$C$4:$C$66""),INDIRECT(""'""&amp;CQ$1&amp;""'!$D$4:$D$66"")=CQ$2),$G$3:$BQ$3,$G77:$BQ77))),"""")"),"")</f>
        <v/>
      </c>
      <c r="CS77" s="251">
        <f>IFERROR(__xludf.DUMMYFUNCTION("AVERAGE(ARRAYFORMULA(XLOOKUP(FILTER(INDIRECT(""'""&amp;CS$1&amp;""'!$C$4:$C$66""),INDIRECT(""'""&amp;CS$1&amp;""'!$D$4:$D$66"")=CS$2),$G$3:$BQ$3,$G77:$BQ77)))"),-0.07683990777777779)</f>
        <v>-0.07683990778</v>
      </c>
      <c r="CT77" s="207" t="str">
        <f>IFERROR(__xludf.DUMMYFUNCTION("IF(OR(CS77&gt;$BS77+$BT77*$BT$2,CS77&lt;$BS77-$BT77*$BT$2),AVEDEV(ARRAYFORMULA(XLOOKUP(FILTER(INDIRECT(""'""&amp;CS$1&amp;""'!$C$4:$C$66""),INDIRECT(""'""&amp;CS$1&amp;""'!$D$4:$D$66"")=CS$2),$G$3:$BQ$3,$G77:$BQ77))),"""")"),"")</f>
        <v/>
      </c>
      <c r="CU77" s="251">
        <f>IFERROR(__xludf.DUMMYFUNCTION("AVERAGE(ARRAYFORMULA(XLOOKUP(FILTER(INDIRECT(""'""&amp;CU$1&amp;""'!$C$4:$C$66""),INDIRECT(""'""&amp;CU$1&amp;""'!$D$4:$D$66"")=CU$2),$G$3:$BQ$3,$G77:$BQ77)))"),-0.03709990454545458)</f>
        <v>-0.03709990455</v>
      </c>
      <c r="CV77" s="207" t="str">
        <f>IFERROR(__xludf.DUMMYFUNCTION("IF(OR(CU77&gt;$BS77+$BT77*$BT$2,CU77&lt;$BS77-$BT77*$BT$2),AVEDEV(ARRAYFORMULA(XLOOKUP(FILTER(INDIRECT(""'""&amp;CU$1&amp;""'!$C$4:$C$66""),INDIRECT(""'""&amp;CU$1&amp;""'!$D$4:$D$66"")=CU$2),$G$3:$BQ$3,$G77:$BQ77))),"""")"),"")</f>
        <v/>
      </c>
      <c r="CW77" s="251">
        <f>IFERROR(__xludf.DUMMYFUNCTION("AVERAGE(ARRAYFORMULA(XLOOKUP(FILTER(INDIRECT(""'""&amp;CW$1&amp;""'!$C$4:$C$66""),INDIRECT(""'""&amp;CW$1&amp;""'!$D$4:$D$66"")=CW$2),$G$3:$BQ$3,$G77:$BQ77)))"),1.024980295)</f>
        <v>1.024980295</v>
      </c>
      <c r="CX77" s="207">
        <f>IFERROR(__xludf.DUMMYFUNCTION("IF(OR(CW77&gt;$BS77+$BT77*$BT$2,CW77&lt;$BS77-$BT77*$BT$2),AVEDEV(ARRAYFORMULA(XLOOKUP(FILTER(INDIRECT(""'""&amp;CW$1&amp;""'!$C$4:$C$66""),INDIRECT(""'""&amp;CW$1&amp;""'!$D$4:$D$66"")=CW$2),$G$3:$BQ$3,$G77:$BQ77))),"""")"),1.3534051950000001)</f>
        <v>1.353405195</v>
      </c>
      <c r="CY77" s="251">
        <f>IFERROR(__xludf.DUMMYFUNCTION("AVERAGE(ARRAYFORMULA(XLOOKUP(FILTER(INDIRECT(""'""&amp;CY$1&amp;""'!$C$4:$C$66""),INDIRECT(""'""&amp;CY$1&amp;""'!$D$4:$D$66"")=CY$2),$G$3:$BQ$3,$G77:$BQ77)))"),0.24933323428571433)</f>
        <v>0.2493332343</v>
      </c>
      <c r="CZ77" s="207" t="str">
        <f>IFERROR(__xludf.DUMMYFUNCTION("IF(OR(CY77&gt;$BS77+$BT77*$BT$2,CY77&lt;$BS77-$BT77*$BT$2),AVEDEV(ARRAYFORMULA(XLOOKUP(FILTER(INDIRECT(""'""&amp;CY$1&amp;""'!$C$4:$C$66""),INDIRECT(""'""&amp;CY$1&amp;""'!$D$4:$D$66"")=CY$2),$G$3:$BQ$3,$G77:$BQ77))),"""")"),"")</f>
        <v/>
      </c>
      <c r="DA77" s="252"/>
      <c r="DB77" s="251">
        <f>IFERROR(__xludf.DUMMYFUNCTION("AVERAGE(ARRAYFORMULA(XLOOKUP(FILTER(INDIRECT(""'""&amp;DB$1&amp;""'!$C$4:$C$66""),INDIRECT(""'""&amp;DB$1&amp;""'!$D$4:$D$66"")=DB$2),$G$3:$BQ$3,$G77:$BQ77)))"),0.07113681933333332)</f>
        <v>0.07113681933</v>
      </c>
      <c r="DC77" s="207" t="str">
        <f>IFERROR(__xludf.DUMMYFUNCTION("IF(OR(DB77&gt;$BS77+$BT77*$BT$2,DB77&lt;$BS77-$BT77*$BT$2),AVEDEV(ARRAYFORMULA(XLOOKUP(FILTER(INDIRECT(""'""&amp;DB$1&amp;""'!$C$4:$C$66""),INDIRECT(""'""&amp;DB$1&amp;""'!$D$4:$D$66"")=DB$2),$G$3:$BQ$3,$G77:$BQ77))),"""")"),"")</f>
        <v/>
      </c>
      <c r="DD77" s="251">
        <f>IFERROR(__xludf.DUMMYFUNCTION("AVERAGE(ARRAYFORMULA(XLOOKUP(FILTER(INDIRECT(""'""&amp;DD$1&amp;""'!$C$4:$C$66""),INDIRECT(""'""&amp;DD$1&amp;""'!$D$4:$D$66"")=DD$2),$G$3:$BQ$3,$G77:$BQ77)))"),-0.17667337111111114)</f>
        <v>-0.1766733711</v>
      </c>
      <c r="DE77" s="207" t="str">
        <f>IFERROR(__xludf.DUMMYFUNCTION("IF(OR(DD77&gt;$BS77+$BT77*$BT$2,DD77&lt;$BS77-$BT77*$BT$2),AVEDEV(ARRAYFORMULA(XLOOKUP(FILTER(INDIRECT(""'""&amp;DD$1&amp;""'!$C$4:$C$66""),INDIRECT(""'""&amp;DD$1&amp;""'!$D$4:$D$66"")=DD$2),$G$3:$BQ$3,$G77:$BQ77))),"""")"),"")</f>
        <v/>
      </c>
      <c r="DF77" s="251">
        <f>IFERROR(__xludf.DUMMYFUNCTION("AVERAGE(ARRAYFORMULA(XLOOKUP(FILTER(INDIRECT(""'""&amp;DF$1&amp;""'!$C$4:$C$66""),INDIRECT(""'""&amp;DF$1&amp;""'!$D$4:$D$66"")=DF$2),$G$3:$BQ$3,$G77:$BQ77)))"),0.6070536449999999)</f>
        <v>0.607053645</v>
      </c>
      <c r="DG77" s="207" t="str">
        <f>IFERROR(__xludf.DUMMYFUNCTION("IF(OR(DF77&gt;$BS77+$BT77*$BT$2,DF77&lt;$BS77-$BT77*$BT$2),AVEDEV(ARRAYFORMULA(XLOOKUP(FILTER(INDIRECT(""'""&amp;DF$1&amp;""'!$C$4:$C$66""),INDIRECT(""'""&amp;DF$1&amp;""'!$D$4:$D$66"")=DF$2),$G$3:$BQ$3,$G77:$BQ77))),"""")"),"")</f>
        <v/>
      </c>
      <c r="DH77" s="251">
        <f>IFERROR(__xludf.DUMMYFUNCTION("AVERAGE(ARRAYFORMULA(XLOOKUP(FILTER(INDIRECT(""'""&amp;DH$1&amp;""'!$C$4:$C$66""),INDIRECT(""'""&amp;DH$1&amp;""'!$D$4:$D$66"")=DH$2),$G$3:$BQ$3,$G77:$BQ77)))"),0.2599701955555555)</f>
        <v>0.2599701956</v>
      </c>
      <c r="DI77" s="207" t="str">
        <f>IFERROR(__xludf.DUMMYFUNCTION("IF(OR(DH77&gt;$BS77+$BT77*$BT$2,DH77&lt;$BS77-$BT77*$BT$2),AVEDEV(ARRAYFORMULA(XLOOKUP(FILTER(INDIRECT(""'""&amp;DH$1&amp;""'!$C$4:$C$66""),INDIRECT(""'""&amp;DH$1&amp;""'!$D$4:$D$66"")=DH$2),$G$3:$BQ$3,$G77:$BQ77))),"""")"),"")</f>
        <v/>
      </c>
      <c r="DJ77" s="243"/>
    </row>
    <row r="78">
      <c r="A78" s="2"/>
      <c r="B78" s="204">
        <v>74.0</v>
      </c>
      <c r="C78" s="204" t="s">
        <v>507</v>
      </c>
      <c r="D78" s="204" t="s">
        <v>519</v>
      </c>
      <c r="E78" s="205" t="b">
        <f>VLOOKUP(D78,'Feature Set List'!A75:C246,2,0)</f>
        <v>1</v>
      </c>
      <c r="F78" s="205" t="b">
        <f>VLOOKUP(D78,'Feature Set List'!A75:C246,3,0)</f>
        <v>1</v>
      </c>
      <c r="G78" s="205">
        <v>-0.0070033</v>
      </c>
      <c r="H78" s="205">
        <v>1.00356309</v>
      </c>
      <c r="I78" s="205">
        <v>6.75488389</v>
      </c>
      <c r="J78" s="205">
        <v>1.29721096</v>
      </c>
      <c r="K78" s="205">
        <v>0.60547979</v>
      </c>
      <c r="L78" s="205">
        <v>-0.2013761</v>
      </c>
      <c r="M78" s="205">
        <v>0.57353483</v>
      </c>
      <c r="N78" s="205">
        <v>1.53556948</v>
      </c>
      <c r="O78" s="205">
        <v>3.25445386</v>
      </c>
      <c r="P78" s="205">
        <v>0.2995454</v>
      </c>
      <c r="Q78" s="205">
        <v>-0.3222755</v>
      </c>
      <c r="R78" s="205">
        <v>-0.2876275</v>
      </c>
      <c r="S78" s="205">
        <v>-0.4140558</v>
      </c>
      <c r="T78" s="205">
        <v>0.5280747</v>
      </c>
      <c r="U78" s="205">
        <v>-0.2523652</v>
      </c>
      <c r="V78" s="205">
        <v>0.0</v>
      </c>
      <c r="W78" s="205">
        <v>-0.2145227</v>
      </c>
      <c r="X78" s="205">
        <v>-0.5625998</v>
      </c>
      <c r="Y78" s="205">
        <v>-0.3611009</v>
      </c>
      <c r="Z78" s="205">
        <v>-0.3182209</v>
      </c>
      <c r="AA78" s="205">
        <v>-0.2518737</v>
      </c>
      <c r="AB78" s="205">
        <v>-0.7671704</v>
      </c>
      <c r="AC78" s="205">
        <v>0.3302617</v>
      </c>
      <c r="AD78" s="205">
        <v>-0.0831798</v>
      </c>
      <c r="AE78" s="205">
        <v>1.16328787</v>
      </c>
      <c r="AF78" s="205">
        <v>-0.0868657</v>
      </c>
      <c r="AG78" s="205">
        <v>0.08354835</v>
      </c>
      <c r="AH78" s="205">
        <v>-0.2691977</v>
      </c>
      <c r="AI78" s="205">
        <v>-0.3399681</v>
      </c>
      <c r="AJ78" s="205">
        <v>-0.1699226</v>
      </c>
      <c r="AK78" s="205">
        <v>0.09423762</v>
      </c>
      <c r="AL78" s="205">
        <v>1.30335422</v>
      </c>
      <c r="AM78" s="205">
        <v>0.18859811</v>
      </c>
      <c r="AN78" s="205">
        <v>-0.1078757</v>
      </c>
      <c r="AO78" s="205">
        <v>0.7541467</v>
      </c>
      <c r="AP78" s="205">
        <v>-0.2973338</v>
      </c>
      <c r="AQ78" s="205">
        <v>1.51345374</v>
      </c>
      <c r="AR78" s="205">
        <v>-0.6178892</v>
      </c>
      <c r="AS78" s="205">
        <v>-0.0923946</v>
      </c>
      <c r="AT78" s="205">
        <v>1.45939305</v>
      </c>
      <c r="AU78" s="205">
        <v>-1.0151124</v>
      </c>
      <c r="AV78" s="205">
        <v>-0.1433837</v>
      </c>
      <c r="AW78" s="205">
        <v>0.08047672</v>
      </c>
      <c r="AX78" s="205">
        <v>-0.4953926</v>
      </c>
      <c r="AY78" s="205">
        <v>-0.9705738</v>
      </c>
      <c r="AZ78" s="205">
        <v>-0.2596142</v>
      </c>
      <c r="BA78" s="205">
        <v>0.8389237</v>
      </c>
      <c r="BB78" s="205">
        <v>1.97296965</v>
      </c>
      <c r="BC78" s="205">
        <v>1.90539378</v>
      </c>
      <c r="BD78" s="205">
        <v>0.29340214</v>
      </c>
      <c r="BE78" s="205">
        <v>-0.1263054</v>
      </c>
      <c r="BF78" s="205">
        <v>0.09018307</v>
      </c>
      <c r="BG78" s="205">
        <v>1.01830692</v>
      </c>
      <c r="BH78" s="205">
        <v>0.88438383</v>
      </c>
      <c r="BI78" s="205">
        <v>-0.4292911</v>
      </c>
      <c r="BJ78" s="205">
        <v>1.33529918</v>
      </c>
      <c r="BK78" s="205">
        <v>0.15616169</v>
      </c>
      <c r="BL78" s="205">
        <v>-0.5877872</v>
      </c>
      <c r="BM78" s="205">
        <v>0.2172257</v>
      </c>
      <c r="BN78" s="205">
        <v>-0.0019658</v>
      </c>
      <c r="BO78" s="205">
        <v>0.68902814</v>
      </c>
      <c r="BP78" s="205">
        <v>-0.4939182</v>
      </c>
      <c r="BQ78" s="205">
        <v>0.27988696</v>
      </c>
      <c r="BR78" s="206"/>
      <c r="BS78" s="250">
        <f t="shared" si="1"/>
        <v>0.348509134</v>
      </c>
      <c r="BT78" s="250">
        <f t="shared" si="2"/>
        <v>0.7435088476</v>
      </c>
      <c r="BU78" s="206"/>
      <c r="BV78" s="207">
        <f>IFERROR(__xludf.DUMMYFUNCTION("AVERAGE(ARRAYFORMULA(XLOOKUP(FILTER(INDIRECT(""'""&amp;BV$1&amp;""'!$C$4:$C$66""),INDIRECT(""'""&amp;BV$1&amp;""'!$D$4:$D$66"")=BV$2),$G$3:$BQ$3,$G78:$BQ78)))"),0.03249784999999999)</f>
        <v>0.03249785</v>
      </c>
      <c r="BW78" s="207" t="str">
        <f>IFERROR(__xludf.DUMMYFUNCTION("IF(OR(BV78&gt;$BS78+$BT78*$BT$2,BV78&lt;$BS78-$BT78*$BT$2),AVEDEV(ARRAYFORMULA(XLOOKUP(FILTER(INDIRECT(""'""&amp;BV$1&amp;""'!$C$4:$C$66""),INDIRECT(""'""&amp;BV$1&amp;""'!$D$4:$D$66"")=BV$2),$G$3:$BQ$3,$G78:$BQ78))),"""")"),"")</f>
        <v/>
      </c>
      <c r="BX78" s="207">
        <f>IFERROR(__xludf.DUMMYFUNCTION("AVERAGE(ARRAYFORMULA(XLOOKUP(FILTER(INDIRECT(""'""&amp;BX$1&amp;""'!$C$4:$C$66""),INDIRECT(""'""&amp;BX$1&amp;""'!$D$4:$D$66"")=BX$2),$G$3:$BQ$3,$G78:$BQ78)))"),0.3421094149999999)</f>
        <v>0.342109415</v>
      </c>
      <c r="BY78" s="207" t="str">
        <f>IFERROR(__xludf.DUMMYFUNCTION("IF(OR(BX78&gt;$BS78+$BT78*$BT$2,BX78&lt;$BS78-$BT78*$BT$2),AVEDEV(ARRAYFORMULA(XLOOKUP(FILTER(INDIRECT(""'""&amp;BX$1&amp;""'!$C$4:$C$66""),INDIRECT(""'""&amp;BX$1&amp;""'!$D$4:$D$66"")=BX$2),$G$3:$BQ$3,$G78:$BQ78))),"""")"),"")</f>
        <v/>
      </c>
      <c r="BZ78" s="207">
        <f>IFERROR(__xludf.DUMMYFUNCTION("AVERAGE(ARRAYFORMULA(XLOOKUP(FILTER(INDIRECT(""'""&amp;BZ$1&amp;""'!$C$4:$C$66""),INDIRECT(""'""&amp;BZ$1&amp;""'!$D$4:$D$66"")=BZ$2),$G$3:$BQ$3,$G78:$BQ78)))"),0.12062013)</f>
        <v>0.12062013</v>
      </c>
      <c r="CA78" s="207" t="str">
        <f>IFERROR(__xludf.DUMMYFUNCTION("IF(OR(BZ78&gt;$BS78+$BT78*$BT$2,BZ78&lt;$BS78-$BT78*$BT$2),AVEDEV(ARRAYFORMULA(XLOOKUP(FILTER(INDIRECT(""'""&amp;BZ$1&amp;""'!$C$4:$C$66""),INDIRECT(""'""&amp;BZ$1&amp;""'!$D$4:$D$66"")=BZ$2),$G$3:$BQ$3,$G78:$BQ78))),"""")"),"")</f>
        <v/>
      </c>
      <c r="CB78" s="209"/>
      <c r="CC78" s="207">
        <f>IFERROR(__xludf.DUMMYFUNCTION("AVERAGE(ARRAYFORMULA(XLOOKUP(FILTER(INDIRECT(""'""&amp;CC$1&amp;""'!$C$4:$C$66""),INDIRECT(""'""&amp;CC$1&amp;""'!$D$4:$D$66"")=CC$2),$G$3:$BQ$3,$G78:$BQ78)))"),0.625606643125)</f>
        <v>0.6256066431</v>
      </c>
      <c r="CD78" s="207" t="str">
        <f>IFERROR(__xludf.DUMMYFUNCTION("IF(OR(CC78&gt;$BS78+$BT78*$BT$2,CC78&lt;$BS78-$BT78*$BT$2),AVEDEV(ARRAYFORMULA(XLOOKUP(FILTER(INDIRECT(""'""&amp;CC$1&amp;""'!$C$4:$C$66""),INDIRECT(""'""&amp;CC$1&amp;""'!$D$4:$D$66"")=CC$2),$G$3:$BQ$3,$G78:$BQ78))),"""")"),"")</f>
        <v/>
      </c>
      <c r="CE78" s="207">
        <f>IFERROR(__xludf.DUMMYFUNCTION("AVERAGE(ARRAYFORMULA(XLOOKUP(FILTER(INDIRECT(""'""&amp;CE$1&amp;""'!$C$4:$C$66""),INDIRECT(""'""&amp;CE$1&amp;""'!$D$4:$D$66"")=CE$2),$G$3:$BQ$3,$G78:$BQ78)))"),0.1268068051612903)</f>
        <v>0.1268068052</v>
      </c>
      <c r="CF78" s="207" t="str">
        <f>IFERROR(__xludf.DUMMYFUNCTION("IF(OR(CE78&gt;$BS78+$BT78*$BT$2,CE78&lt;$BS78-$BT78*$BT$2),AVEDEV(ARRAYFORMULA(XLOOKUP(FILTER(INDIRECT(""'""&amp;CE$1&amp;""'!$C$4:$C$66""),INDIRECT(""'""&amp;CE$1&amp;""'!$D$4:$D$66"")=CE$2),$G$3:$BQ$3,$G78:$BQ78))),"""")"),"")</f>
        <v/>
      </c>
      <c r="CG78" s="207">
        <f>IFERROR(__xludf.DUMMYFUNCTION("AVERAGE(ARRAYFORMULA(XLOOKUP(FILTER(INDIRECT(""'""&amp;CG$1&amp;""'!$C$4:$C$66""),INDIRECT(""'""&amp;CG$1&amp;""'!$D$4:$D$66"")=CG$2),$G$3:$BQ$3,$G78:$BQ78)))"),0.5184912239999999)</f>
        <v>0.518491224</v>
      </c>
      <c r="CH78" s="207" t="str">
        <f>IFERROR(__xludf.DUMMYFUNCTION("IF(OR(CG78&gt;$BS78+$BT78*$BT$2,CG78&lt;$BS78-$BT78*$BT$2),AVEDEV(ARRAYFORMULA(XLOOKUP(FILTER(INDIRECT(""'""&amp;CG$1&amp;""'!$C$4:$C$66""),INDIRECT(""'""&amp;CG$1&amp;""'!$D$4:$D$66"")=CG$2),$G$3:$BQ$3,$G78:$BQ78))),"""")"),"")</f>
        <v/>
      </c>
      <c r="CI78" s="206"/>
      <c r="CJ78" s="251">
        <f>IFERROR(__xludf.DUMMYFUNCTION("AVERAGE(ARRAYFORMULA(XLOOKUP(FILTER(INDIRECT(""'""&amp;CJ$1&amp;""'!$C$4:$C$66""),INDIRECT(""'""&amp;CJ$1&amp;""'!$D$4:$D$66"")=CJ$2),$G$3:$BQ$3,$G78:$BQ78)))"),0.31800794600000004)</f>
        <v>0.318007946</v>
      </c>
      <c r="CK78" s="207" t="str">
        <f>IFERROR(__xludf.DUMMYFUNCTION("IF(OR(CJ78&gt;$BS78+$BT78*$BT$2,CJ78&lt;$BS78-$BT78*$BT$2),AVEDEV(ARRAYFORMULA(XLOOKUP(FILTER(INDIRECT(""'""&amp;CJ$1&amp;""'!$C$4:$C$66""),INDIRECT(""'""&amp;CJ$1&amp;""'!$D$4:$D$66"")=CJ$2),$G$3:$BQ$3,$G78:$BQ78))),"""")"),"")</f>
        <v/>
      </c>
      <c r="CL78" s="251">
        <f>IFERROR(__xludf.DUMMYFUNCTION("AVERAGE(ARRAYFORMULA(XLOOKUP(FILTER(INDIRECT(""'""&amp;CL$1&amp;""'!$C$4:$C$66""),INDIRECT(""'""&amp;CL$1&amp;""'!$D$4:$D$66"")=CL$2),$G$3:$BQ$3,$G78:$BQ78)))"),0.2345670179487179)</f>
        <v>0.2345670179</v>
      </c>
      <c r="CM78" s="207" t="str">
        <f>IFERROR(__xludf.DUMMYFUNCTION("IF(OR(CL78&gt;$BS78+$BT78*$BT$2,CL78&lt;$BS78-$BT78*$BT$2),AVEDEV(ARRAYFORMULA(XLOOKUP(FILTER(INDIRECT(""'""&amp;CL$1&amp;""'!$C$4:$C$66""),INDIRECT(""'""&amp;CL$1&amp;""'!$D$4:$D$66"")=CL$2),$G$3:$BQ$3,$G78:$BQ78))),"""")"),"")</f>
        <v/>
      </c>
      <c r="CN78" s="251">
        <f>IFERROR(__xludf.DUMMYFUNCTION("AVERAGE(ARRAYFORMULA(XLOOKUP(FILTER(INDIRECT(""'""&amp;CN$1&amp;""'!$C$4:$C$66""),INDIRECT(""'""&amp;CN$1&amp;""'!$D$4:$D$66"")=CN$2),$G$3:$BQ$3,$G78:$BQ78)))"),0.5184912239999999)</f>
        <v>0.518491224</v>
      </c>
      <c r="CO78" s="207" t="str">
        <f>IFERROR(__xludf.DUMMYFUNCTION("IF(OR(CN78&gt;$BS78+$BT78*$BT$2,CN78&lt;$BS78-$BT78*$BT$2),AVEDEV(ARRAYFORMULA(XLOOKUP(FILTER(INDIRECT(""'""&amp;CN$1&amp;""'!$C$4:$C$66""),INDIRECT(""'""&amp;CN$1&amp;""'!$D$4:$D$66"")=CN$2),$G$3:$BQ$3,$G78:$BQ78))),"""")"),"")</f>
        <v/>
      </c>
      <c r="CP78" s="252"/>
      <c r="CQ78" s="251">
        <f>IFERROR(__xludf.DUMMYFUNCTION("AVERAGE(ARRAYFORMULA(XLOOKUP(FILTER(INDIRECT(""'""&amp;CQ$1&amp;""'!$C$4:$C$66""),INDIRECT(""'""&amp;CQ$1&amp;""'!$D$4:$D$66"")=CQ$2),$G$3:$BQ$3,$G78:$BQ78)))"),0.5488389221428571)</f>
        <v>0.5488389221</v>
      </c>
      <c r="CR78" s="207" t="str">
        <f>IFERROR(__xludf.DUMMYFUNCTION("IF(OR(CQ78&gt;$BS78+$BT78*$BT$2,CQ78&lt;$BS78-$BT78*$BT$2),AVEDEV(ARRAYFORMULA(XLOOKUP(FILTER(INDIRECT(""'""&amp;CQ$1&amp;""'!$C$4:$C$66""),INDIRECT(""'""&amp;CQ$1&amp;""'!$D$4:$D$66"")=CQ$2),$G$3:$BQ$3,$G78:$BQ78))),"""")"),"")</f>
        <v/>
      </c>
      <c r="CS78" s="251">
        <f>IFERROR(__xludf.DUMMYFUNCTION("AVERAGE(ARRAYFORMULA(XLOOKUP(FILTER(INDIRECT(""'""&amp;CS$1&amp;""'!$C$4:$C$66""),INDIRECT(""'""&amp;CS$1&amp;""'!$D$4:$D$66"")=CS$2),$G$3:$BQ$3,$G78:$BQ78)))"),0.15213443666666668)</f>
        <v>0.1521344367</v>
      </c>
      <c r="CT78" s="207" t="str">
        <f>IFERROR(__xludf.DUMMYFUNCTION("IF(OR(CS78&gt;$BS78+$BT78*$BT$2,CS78&lt;$BS78-$BT78*$BT$2),AVEDEV(ARRAYFORMULA(XLOOKUP(FILTER(INDIRECT(""'""&amp;CS$1&amp;""'!$C$4:$C$66""),INDIRECT(""'""&amp;CS$1&amp;""'!$D$4:$D$66"")=CS$2),$G$3:$BQ$3,$G78:$BQ78))),"""")"),"")</f>
        <v/>
      </c>
      <c r="CU78" s="251">
        <f>IFERROR(__xludf.DUMMYFUNCTION("AVERAGE(ARRAYFORMULA(XLOOKUP(FILTER(INDIRECT(""'""&amp;CU$1&amp;""'!$C$4:$C$66""),INDIRECT(""'""&amp;CU$1&amp;""'!$D$4:$D$66"")=CU$2),$G$3:$BQ$3,$G78:$BQ78)))"),0.1436629472727273)</f>
        <v>0.1436629473</v>
      </c>
      <c r="CV78" s="207" t="str">
        <f>IFERROR(__xludf.DUMMYFUNCTION("IF(OR(CU78&gt;$BS78+$BT78*$BT$2,CU78&lt;$BS78-$BT78*$BT$2),AVEDEV(ARRAYFORMULA(XLOOKUP(FILTER(INDIRECT(""'""&amp;CU$1&amp;""'!$C$4:$C$66""),INDIRECT(""'""&amp;CU$1&amp;""'!$D$4:$D$66"")=CU$2),$G$3:$BQ$3,$G78:$BQ78))),"""")"),"")</f>
        <v/>
      </c>
      <c r="CW78" s="251">
        <f>IFERROR(__xludf.DUMMYFUNCTION("AVERAGE(ARRAYFORMULA(XLOOKUP(FILTER(INDIRECT(""'""&amp;CW$1&amp;""'!$C$4:$C$66""),INDIRECT(""'""&amp;CW$1&amp;""'!$D$4:$D$66"")=CW$2),$G$3:$BQ$3,$G78:$BQ78)))"),0.400602015)</f>
        <v>0.400602015</v>
      </c>
      <c r="CX78" s="207" t="str">
        <f>IFERROR(__xludf.DUMMYFUNCTION("IF(OR(CW78&gt;$BS78+$BT78*$BT$2,CW78&lt;$BS78-$BT78*$BT$2),AVEDEV(ARRAYFORMULA(XLOOKUP(FILTER(INDIRECT(""'""&amp;CW$1&amp;""'!$C$4:$C$66""),INDIRECT(""'""&amp;CW$1&amp;""'!$D$4:$D$66"")=CW$2),$G$3:$BQ$3,$G78:$BQ78))),"""")"),"")</f>
        <v/>
      </c>
      <c r="CY78" s="251">
        <f>IFERROR(__xludf.DUMMYFUNCTION("AVERAGE(ARRAYFORMULA(XLOOKUP(FILTER(INDIRECT(""'""&amp;CY$1&amp;""'!$C$4:$C$66""),INDIRECT(""'""&amp;CY$1&amp;""'!$D$4:$D$66"")=CY$2),$G$3:$BQ$3,$G78:$BQ78)))"),0.25218961999999995)</f>
        <v>0.25218962</v>
      </c>
      <c r="CZ78" s="207" t="str">
        <f>IFERROR(__xludf.DUMMYFUNCTION("IF(OR(CY78&gt;$BS78+$BT78*$BT$2,CY78&lt;$BS78-$BT78*$BT$2),AVEDEV(ARRAYFORMULA(XLOOKUP(FILTER(INDIRECT(""'""&amp;CY$1&amp;""'!$C$4:$C$66""),INDIRECT(""'""&amp;CY$1&amp;""'!$D$4:$D$66"")=CY$2),$G$3:$BQ$3,$G78:$BQ78))),"""")"),"")</f>
        <v/>
      </c>
      <c r="DA78" s="252"/>
      <c r="DB78" s="251">
        <f>IFERROR(__xludf.DUMMYFUNCTION("AVERAGE(ARRAYFORMULA(XLOOKUP(FILTER(INDIRECT(""'""&amp;DB$1&amp;""'!$C$4:$C$66""),INDIRECT(""'""&amp;DB$1&amp;""'!$D$4:$D$66"")=DB$2),$G$3:$BQ$3,$G78:$BQ78)))"),0.439353724)</f>
        <v>0.439353724</v>
      </c>
      <c r="DC78" s="207" t="str">
        <f>IFERROR(__xludf.DUMMYFUNCTION("IF(OR(DB78&gt;$BS78+$BT78*$BT$2,DB78&lt;$BS78-$BT78*$BT$2),AVEDEV(ARRAYFORMULA(XLOOKUP(FILTER(INDIRECT(""'""&amp;DB$1&amp;""'!$C$4:$C$66""),INDIRECT(""'""&amp;DB$1&amp;""'!$D$4:$D$66"")=DB$2),$G$3:$BQ$3,$G78:$BQ78))),"""")"),"")</f>
        <v/>
      </c>
      <c r="DD78" s="251">
        <f>IFERROR(__xludf.DUMMYFUNCTION("AVERAGE(ARRAYFORMULA(XLOOKUP(FILTER(INDIRECT(""'""&amp;DD$1&amp;""'!$C$4:$C$66""),INDIRECT(""'""&amp;DD$1&amp;""'!$D$4:$D$66"")=DD$2),$G$3:$BQ$3,$G78:$BQ78)))"),0.21011316999999996)</f>
        <v>0.21011317</v>
      </c>
      <c r="DE78" s="207" t="str">
        <f>IFERROR(__xludf.DUMMYFUNCTION("IF(OR(DD78&gt;$BS78+$BT78*$BT$2,DD78&lt;$BS78-$BT78*$BT$2),AVEDEV(ARRAYFORMULA(XLOOKUP(FILTER(INDIRECT(""'""&amp;DD$1&amp;""'!$C$4:$C$66""),INDIRECT(""'""&amp;DD$1&amp;""'!$D$4:$D$66"")=DD$2),$G$3:$BQ$3,$G78:$BQ78))),"""")"),"")</f>
        <v/>
      </c>
      <c r="DF78" s="251">
        <f>IFERROR(__xludf.DUMMYFUNCTION("AVERAGE(ARRAYFORMULA(XLOOKUP(FILTER(INDIRECT(""'""&amp;DF$1&amp;""'!$C$4:$C$66""),INDIRECT(""'""&amp;DF$1&amp;""'!$D$4:$D$66"")=DF$2),$G$3:$BQ$3,$G78:$BQ78)))"),0.08105263249999999)</f>
        <v>0.0810526325</v>
      </c>
      <c r="DG78" s="207" t="str">
        <f>IFERROR(__xludf.DUMMYFUNCTION("IF(OR(DF78&gt;$BS78+$BT78*$BT$2,DF78&lt;$BS78-$BT78*$BT$2),AVEDEV(ARRAYFORMULA(XLOOKUP(FILTER(INDIRECT(""'""&amp;DF$1&amp;""'!$C$4:$C$66""),INDIRECT(""'""&amp;DF$1&amp;""'!$D$4:$D$66"")=DF$2),$G$3:$BQ$3,$G78:$BQ78))),"""")"),"")</f>
        <v/>
      </c>
      <c r="DH78" s="251">
        <f>IFERROR(__xludf.DUMMYFUNCTION("AVERAGE(ARRAYFORMULA(XLOOKUP(FILTER(INDIRECT(""'""&amp;DH$1&amp;""'!$C$4:$C$66""),INDIRECT(""'""&amp;DH$1&amp;""'!$D$4:$D$66"")=DH$2),$G$3:$BQ$3,$G78:$BQ78)))"),0.13522)</f>
        <v>0.13522</v>
      </c>
      <c r="DI78" s="207" t="str">
        <f>IFERROR(__xludf.DUMMYFUNCTION("IF(OR(DH78&gt;$BS78+$BT78*$BT$2,DH78&lt;$BS78-$BT78*$BT$2),AVEDEV(ARRAYFORMULA(XLOOKUP(FILTER(INDIRECT(""'""&amp;DH$1&amp;""'!$C$4:$C$66""),INDIRECT(""'""&amp;DH$1&amp;""'!$D$4:$D$66"")=DH$2),$G$3:$BQ$3,$G78:$BQ78))),"""")"),"")</f>
        <v/>
      </c>
      <c r="DJ78" s="243"/>
    </row>
    <row r="79">
      <c r="A79" s="2"/>
      <c r="B79" s="204">
        <v>75.0</v>
      </c>
      <c r="C79" s="204" t="s">
        <v>507</v>
      </c>
      <c r="D79" s="204" t="s">
        <v>520</v>
      </c>
      <c r="E79" s="205" t="b">
        <f>VLOOKUP(D79,'Feature Set List'!A76:C246,2,0)</f>
        <v>1</v>
      </c>
      <c r="F79" s="205" t="b">
        <f>VLOOKUP(D79,'Feature Set List'!A76:C246,3,0)</f>
        <v>1</v>
      </c>
      <c r="G79" s="205">
        <v>0.51153846</v>
      </c>
      <c r="H79" s="205">
        <v>0.44423077</v>
      </c>
      <c r="I79" s="205">
        <v>-0.2403846</v>
      </c>
      <c r="J79" s="205">
        <v>0.37884615</v>
      </c>
      <c r="K79" s="205">
        <v>0.88846154</v>
      </c>
      <c r="L79" s="205">
        <v>0.15384615</v>
      </c>
      <c r="M79" s="205">
        <v>0.82884615</v>
      </c>
      <c r="N79" s="205">
        <v>-1.9173077</v>
      </c>
      <c r="O79" s="205">
        <v>-0.5057692</v>
      </c>
      <c r="P79" s="205">
        <v>0.93076923</v>
      </c>
      <c r="Q79" s="205">
        <v>0.44807692</v>
      </c>
      <c r="R79" s="205">
        <v>-1.675</v>
      </c>
      <c r="S79" s="205">
        <v>-0.9576923</v>
      </c>
      <c r="T79" s="205">
        <v>-0.05</v>
      </c>
      <c r="U79" s="205">
        <v>-2.4563462</v>
      </c>
      <c r="V79" s="205">
        <v>1.03269231</v>
      </c>
      <c r="W79" s="205">
        <v>-0.1557692</v>
      </c>
      <c r="X79" s="205">
        <v>-2.7453846</v>
      </c>
      <c r="Y79" s="205">
        <v>0.37115385</v>
      </c>
      <c r="Z79" s="205">
        <v>0.09230769</v>
      </c>
      <c r="AA79" s="205">
        <v>-2.0557692</v>
      </c>
      <c r="AB79" s="205">
        <v>0.24423077</v>
      </c>
      <c r="AC79" s="205">
        <v>-0.9307692</v>
      </c>
      <c r="AD79" s="205">
        <v>0.81538462</v>
      </c>
      <c r="AE79" s="205">
        <v>-1.4769231</v>
      </c>
      <c r="AF79" s="205">
        <v>0.14615385</v>
      </c>
      <c r="AG79" s="205">
        <v>1.66923077</v>
      </c>
      <c r="AH79" s="205">
        <v>-1.4846154</v>
      </c>
      <c r="AI79" s="205">
        <v>0.11730769</v>
      </c>
      <c r="AJ79" s="205">
        <v>2.76346154</v>
      </c>
      <c r="AK79" s="205">
        <v>1.04230769</v>
      </c>
      <c r="AL79" s="205">
        <v>0.62884615</v>
      </c>
      <c r="AM79" s="205">
        <v>-0.3288462</v>
      </c>
      <c r="AN79" s="205">
        <v>0.24230769</v>
      </c>
      <c r="AO79" s="205">
        <v>1.91538462</v>
      </c>
      <c r="AP79" s="205">
        <v>0.43653846</v>
      </c>
      <c r="AQ79" s="205">
        <v>-0.3673077</v>
      </c>
      <c r="AR79" s="205">
        <v>1.34423077</v>
      </c>
      <c r="AS79" s="205">
        <v>0.37307692</v>
      </c>
      <c r="AT79" s="205">
        <v>-0.7346154</v>
      </c>
      <c r="AU79" s="205">
        <v>1.32884615</v>
      </c>
      <c r="AV79" s="205">
        <v>0.0</v>
      </c>
      <c r="AW79" s="205">
        <v>-0.0269231</v>
      </c>
      <c r="AX79" s="205">
        <v>0.48076923</v>
      </c>
      <c r="AY79" s="205">
        <v>-0.2923077</v>
      </c>
      <c r="AZ79" s="205">
        <v>-0.9615385</v>
      </c>
      <c r="BA79" s="205">
        <v>0.25961538</v>
      </c>
      <c r="BB79" s="205">
        <v>-1.5673077</v>
      </c>
      <c r="BC79" s="205">
        <v>-0.0846154</v>
      </c>
      <c r="BD79" s="205">
        <v>0.27884615</v>
      </c>
      <c r="BE79" s="205">
        <v>-0.3711538</v>
      </c>
      <c r="BF79" s="205">
        <v>-0.1673077</v>
      </c>
      <c r="BG79" s="205">
        <v>-0.3346154</v>
      </c>
      <c r="BH79" s="205">
        <v>1.23846154</v>
      </c>
      <c r="BI79" s="205">
        <v>0.00961538</v>
      </c>
      <c r="BJ79" s="205">
        <v>-0.5653846</v>
      </c>
      <c r="BK79" s="205">
        <v>-0.6057692</v>
      </c>
      <c r="BL79" s="205">
        <v>-2.0923077</v>
      </c>
      <c r="BM79" s="205">
        <v>-3.0344231</v>
      </c>
      <c r="BN79" s="205">
        <v>-0.2307692</v>
      </c>
      <c r="BO79" s="205">
        <v>-0.2019231</v>
      </c>
      <c r="BP79" s="205">
        <v>0.71538462</v>
      </c>
      <c r="BQ79" s="205">
        <v>-0.1596154</v>
      </c>
      <c r="BR79" s="206"/>
      <c r="BS79" s="250">
        <f t="shared" si="1"/>
        <v>-0.1055189268</v>
      </c>
      <c r="BT79" s="250">
        <f t="shared" si="2"/>
        <v>0.8146791476</v>
      </c>
      <c r="BU79" s="206"/>
      <c r="BV79" s="207">
        <f>IFERROR(__xludf.DUMMYFUNCTION("AVERAGE(ARRAYFORMULA(XLOOKUP(FILTER(INDIRECT(""'""&amp;BV$1&amp;""'!$C$4:$C$66""),INDIRECT(""'""&amp;BV$1&amp;""'!$D$4:$D$66"")=BV$2),$G$3:$BQ$3,$G79:$BQ79)))"),-1.0870604400000001)</f>
        <v>-1.08706044</v>
      </c>
      <c r="BW79" s="207">
        <f>IFERROR(__xludf.DUMMYFUNCTION("IF(OR(BV79&gt;$BS79+$BT79*$BT$2,BV79&lt;$BS79-$BT79*$BT$2),AVEDEV(ARRAYFORMULA(XLOOKUP(FILTER(INDIRECT(""'""&amp;BV$1&amp;""'!$C$4:$C$66""),INDIRECT(""'""&amp;BV$1&amp;""'!$D$4:$D$66"")=BV$2),$G$3:$BQ$3,$G79:$BQ79))),"""")"),1.2894584114285712)</f>
        <v>1.289458411</v>
      </c>
      <c r="BX79" s="207">
        <f>IFERROR(__xludf.DUMMYFUNCTION("AVERAGE(ARRAYFORMULA(XLOOKUP(FILTER(INDIRECT(""'""&amp;BX$1&amp;""'!$C$4:$C$66""),INDIRECT(""'""&amp;BX$1&amp;""'!$D$4:$D$66"")=BX$2),$G$3:$BQ$3,$G79:$BQ79)))"),0.014148350476190437)</f>
        <v>0.01414835048</v>
      </c>
      <c r="BY79" s="207" t="str">
        <f>IFERROR(__xludf.DUMMYFUNCTION("IF(OR(BX79&gt;$BS79+$BT79*$BT$2,BX79&lt;$BS79-$BT79*$BT$2),AVEDEV(ARRAYFORMULA(XLOOKUP(FILTER(INDIRECT(""'""&amp;BX$1&amp;""'!$C$4:$C$66""),INDIRECT(""'""&amp;BX$1&amp;""'!$D$4:$D$66"")=BX$2),$G$3:$BQ$3,$G79:$BQ79))),"""")"),"")</f>
        <v/>
      </c>
      <c r="BZ79" s="207">
        <f>IFERROR(__xludf.DUMMYFUNCTION("AVERAGE(ARRAYFORMULA(XLOOKUP(FILTER(INDIRECT(""'""&amp;BZ$1&amp;""'!$C$4:$C$66""),INDIRECT(""'""&amp;BZ$1&amp;""'!$D$4:$D$66"")=BZ$2),$G$3:$BQ$3,$G79:$BQ79)))"),-0.09089161181818182)</f>
        <v>-0.09089161182</v>
      </c>
      <c r="CA79" s="207" t="str">
        <f>IFERROR(__xludf.DUMMYFUNCTION("IF(OR(BZ79&gt;$BS79+$BT79*$BT$2,BZ79&lt;$BS79-$BT79*$BT$2),AVEDEV(ARRAYFORMULA(XLOOKUP(FILTER(INDIRECT(""'""&amp;BZ$1&amp;""'!$C$4:$C$66""),INDIRECT(""'""&amp;BZ$1&amp;""'!$D$4:$D$66"")=BZ$2),$G$3:$BQ$3,$G79:$BQ79))),"""")"),"")</f>
        <v/>
      </c>
      <c r="CB79" s="209"/>
      <c r="CC79" s="207">
        <f>IFERROR(__xludf.DUMMYFUNCTION("AVERAGE(ARRAYFORMULA(XLOOKUP(FILTER(INDIRECT(""'""&amp;CC$1&amp;""'!$C$4:$C$66""),INDIRECT(""'""&amp;CC$1&amp;""'!$D$4:$D$66"")=CC$2),$G$3:$BQ$3,$G79:$BQ79)))"),-0.16902645125000007)</f>
        <v>-0.1690264513</v>
      </c>
      <c r="CD79" s="207" t="str">
        <f>IFERROR(__xludf.DUMMYFUNCTION("IF(OR(CC79&gt;$BS79+$BT79*$BT$2,CC79&lt;$BS79-$BT79*$BT$2),AVEDEV(ARRAYFORMULA(XLOOKUP(FILTER(INDIRECT(""'""&amp;CC$1&amp;""'!$C$4:$C$66""),INDIRECT(""'""&amp;CC$1&amp;""'!$D$4:$D$66"")=CC$2),$G$3:$BQ$3,$G79:$BQ79))),"""")"),"")</f>
        <v/>
      </c>
      <c r="CE79" s="207">
        <f>IFERROR(__xludf.DUMMYFUNCTION("AVERAGE(ARRAYFORMULA(XLOOKUP(FILTER(INDIRECT(""'""&amp;CE$1&amp;""'!$C$4:$C$66""),INDIRECT(""'""&amp;CE$1&amp;""'!$D$4:$D$66"")=CE$2),$G$3:$BQ$3,$G79:$BQ79)))"),-0.08604218000000005)</f>
        <v>-0.08604218</v>
      </c>
      <c r="CF79" s="207" t="str">
        <f>IFERROR(__xludf.DUMMYFUNCTION("IF(OR(CE79&gt;$BS79+$BT79*$BT$2,CE79&lt;$BS79-$BT79*$BT$2),AVEDEV(ARRAYFORMULA(XLOOKUP(FILTER(INDIRECT(""'""&amp;CE$1&amp;""'!$C$4:$C$66""),INDIRECT(""'""&amp;CE$1&amp;""'!$D$4:$D$66"")=CE$2),$G$3:$BQ$3,$G79:$BQ79))),"""")"),"")</f>
        <v/>
      </c>
      <c r="CG79" s="207">
        <f>IFERROR(__xludf.DUMMYFUNCTION("AVERAGE(ARRAYFORMULA(XLOOKUP(FILTER(INDIRECT(""'""&amp;CG$1&amp;""'!$C$4:$C$66""),INDIRECT(""'""&amp;CG$1&amp;""'!$D$4:$D$66"")=CG$2),$G$3:$BQ$3,$G79:$BQ79)))"),0.23576922599999994)</f>
        <v>0.235769226</v>
      </c>
      <c r="CH79" s="207" t="str">
        <f>IFERROR(__xludf.DUMMYFUNCTION("IF(OR(CG79&gt;$BS79+$BT79*$BT$2,CG79&lt;$BS79-$BT79*$BT$2),AVEDEV(ARRAYFORMULA(XLOOKUP(FILTER(INDIRECT(""'""&amp;CG$1&amp;""'!$C$4:$C$66""),INDIRECT(""'""&amp;CG$1&amp;""'!$D$4:$D$66"")=CG$2),$G$3:$BQ$3,$G79:$BQ79))),"""")"),"")</f>
        <v/>
      </c>
      <c r="CI79" s="206"/>
      <c r="CJ79" s="251">
        <f>IFERROR(__xludf.DUMMYFUNCTION("AVERAGE(ARRAYFORMULA(XLOOKUP(FILTER(INDIRECT(""'""&amp;CJ$1&amp;""'!$C$4:$C$66""),INDIRECT(""'""&amp;CJ$1&amp;""'!$D$4:$D$66"")=CJ$2),$G$3:$BQ$3,$G79:$BQ79)))"),-1.1899743613333333)</f>
        <v>-1.189974361</v>
      </c>
      <c r="CK79" s="207">
        <f>IFERROR(__xludf.DUMMYFUNCTION("IF(OR(CJ79&gt;$BS79+$BT79*$BT$2,CJ79&lt;$BS79-$BT79*$BT$2),AVEDEV(ARRAYFORMULA(XLOOKUP(FILTER(INDIRECT(""'""&amp;CJ$1&amp;""'!$C$4:$C$66""),INDIRECT(""'""&amp;CJ$1&amp;""'!$D$4:$D$66"")=CJ$2),$G$3:$BQ$3,$G79:$BQ79))),"""")"),0.9624376145777779)</f>
        <v>0.9624376146</v>
      </c>
      <c r="CL79" s="251">
        <f>IFERROR(__xludf.DUMMYFUNCTION("AVERAGE(ARRAYFORMULA(XLOOKUP(FILTER(INDIRECT(""'""&amp;CL$1&amp;""'!$C$4:$C$66""),INDIRECT(""'""&amp;CL$1&amp;""'!$D$4:$D$66"")=CL$2),$G$3:$BQ$3,$G79:$BQ79)))"),0.27559171538461535)</f>
        <v>0.2755917154</v>
      </c>
      <c r="CM79" s="207" t="str">
        <f>IFERROR(__xludf.DUMMYFUNCTION("IF(OR(CL79&gt;$BS79+$BT79*$BT$2,CL79&lt;$BS79-$BT79*$BT$2),AVEDEV(ARRAYFORMULA(XLOOKUP(FILTER(INDIRECT(""'""&amp;CL$1&amp;""'!$C$4:$C$66""),INDIRECT(""'""&amp;CL$1&amp;""'!$D$4:$D$66"")=CL$2),$G$3:$BQ$3,$G79:$BQ79))),"""")"),"")</f>
        <v/>
      </c>
      <c r="CN79" s="251">
        <f>IFERROR(__xludf.DUMMYFUNCTION("AVERAGE(ARRAYFORMULA(XLOOKUP(FILTER(INDIRECT(""'""&amp;CN$1&amp;""'!$C$4:$C$66""),INDIRECT(""'""&amp;CN$1&amp;""'!$D$4:$D$66"")=CN$2),$G$3:$BQ$3,$G79:$BQ79)))"),0.23576922599999994)</f>
        <v>0.235769226</v>
      </c>
      <c r="CO79" s="207" t="str">
        <f>IFERROR(__xludf.DUMMYFUNCTION("IF(OR(CN79&gt;$BS79+$BT79*$BT$2,CN79&lt;$BS79-$BT79*$BT$2),AVEDEV(ARRAYFORMULA(XLOOKUP(FILTER(INDIRECT(""'""&amp;CN$1&amp;""'!$C$4:$C$66""),INDIRECT(""'""&amp;CN$1&amp;""'!$D$4:$D$66"")=CN$2),$G$3:$BQ$3,$G79:$BQ79))),"""")"),"")</f>
        <v/>
      </c>
      <c r="CP79" s="252"/>
      <c r="CQ79" s="251">
        <f>IFERROR(__xludf.DUMMYFUNCTION("AVERAGE(ARRAYFORMULA(XLOOKUP(FILTER(INDIRECT(""'""&amp;CQ$1&amp;""'!$C$4:$C$66""),INDIRECT(""'""&amp;CQ$1&amp;""'!$D$4:$D$66"")=CQ$2),$G$3:$BQ$3,$G79:$BQ79)))"),0.08489010642857141)</f>
        <v>0.08489010643</v>
      </c>
      <c r="CR79" s="207" t="str">
        <f>IFERROR(__xludf.DUMMYFUNCTION("IF(OR(CQ79&gt;$BS79+$BT79*$BT$2,CQ79&lt;$BS79-$BT79*$BT$2),AVEDEV(ARRAYFORMULA(XLOOKUP(FILTER(INDIRECT(""'""&amp;CQ$1&amp;""'!$C$4:$C$66""),INDIRECT(""'""&amp;CQ$1&amp;""'!$D$4:$D$66"")=CQ$2),$G$3:$BQ$3,$G79:$BQ79))),"""")"),"")</f>
        <v/>
      </c>
      <c r="CS79" s="251">
        <f>IFERROR(__xludf.DUMMYFUNCTION("AVERAGE(ARRAYFORMULA(XLOOKUP(FILTER(INDIRECT(""'""&amp;CS$1&amp;""'!$C$4:$C$66""),INDIRECT(""'""&amp;CS$1&amp;""'!$D$4:$D$66"")=CS$2),$G$3:$BQ$3,$G79:$BQ79)))"),0.3329059855555556)</f>
        <v>0.3329059856</v>
      </c>
      <c r="CT79" s="207" t="str">
        <f>IFERROR(__xludf.DUMMYFUNCTION("IF(OR(CS79&gt;$BS79+$BT79*$BT$2,CS79&lt;$BS79-$BT79*$BT$2),AVEDEV(ARRAYFORMULA(XLOOKUP(FILTER(INDIRECT(""'""&amp;CS$1&amp;""'!$C$4:$C$66""),INDIRECT(""'""&amp;CS$1&amp;""'!$D$4:$D$66"")=CS$2),$G$3:$BQ$3,$G79:$BQ79))),"""")"),"")</f>
        <v/>
      </c>
      <c r="CU79" s="251">
        <f>IFERROR(__xludf.DUMMYFUNCTION("AVERAGE(ARRAYFORMULA(XLOOKUP(FILTER(INDIRECT(""'""&amp;CU$1&amp;""'!$C$4:$C$66""),INDIRECT(""'""&amp;CU$1&amp;""'!$D$4:$D$66"")=CU$2),$G$3:$BQ$3,$G79:$BQ79)))"),-0.7041958118181818)</f>
        <v>-0.7041958118</v>
      </c>
      <c r="CV79" s="207" t="str">
        <f>IFERROR(__xludf.DUMMYFUNCTION("IF(OR(CU79&gt;$BS79+$BT79*$BT$2,CU79&lt;$BS79-$BT79*$BT$2),AVEDEV(ARRAYFORMULA(XLOOKUP(FILTER(INDIRECT(""'""&amp;CU$1&amp;""'!$C$4:$C$66""),INDIRECT(""'""&amp;CU$1&amp;""'!$D$4:$D$66"")=CU$2),$G$3:$BQ$3,$G79:$BQ79))),"""")"),"")</f>
        <v/>
      </c>
      <c r="CW79" s="251">
        <f>IFERROR(__xludf.DUMMYFUNCTION("AVERAGE(ARRAYFORMULA(XLOOKUP(FILTER(INDIRECT(""'""&amp;CW$1&amp;""'!$C$4:$C$66""),INDIRECT(""'""&amp;CW$1&amp;""'!$D$4:$D$66"")=CW$2),$G$3:$BQ$3,$G79:$BQ79)))"),1.02692308)</f>
        <v>1.02692308</v>
      </c>
      <c r="CX79" s="207">
        <f>IFERROR(__xludf.DUMMYFUNCTION("IF(OR(CW79&gt;$BS79+$BT79*$BT$2,CW79&lt;$BS79-$BT79*$BT$2),AVEDEV(ARRAYFORMULA(XLOOKUP(FILTER(INDIRECT(""'""&amp;CW$1&amp;""'!$C$4:$C$66""),INDIRECT(""'""&amp;CW$1&amp;""'!$D$4:$D$66"")=CW$2),$G$3:$BQ$3,$G79:$BQ79))),"""")"),0.21153846000000004)</f>
        <v>0.21153846</v>
      </c>
      <c r="CY79" s="251">
        <f>IFERROR(__xludf.DUMMYFUNCTION("AVERAGE(ARRAYFORMULA(XLOOKUP(FILTER(INDIRECT(""'""&amp;CY$1&amp;""'!$C$4:$C$66""),INDIRECT(""'""&amp;CY$1&amp;""'!$D$4:$D$66"")=CY$2),$G$3:$BQ$3,$G79:$BQ79)))"),0.20535714571428573)</f>
        <v>0.2053571457</v>
      </c>
      <c r="CZ79" s="207" t="str">
        <f>IFERROR(__xludf.DUMMYFUNCTION("IF(OR(CY79&gt;$BS79+$BT79*$BT$2,CY79&lt;$BS79-$BT79*$BT$2),AVEDEV(ARRAYFORMULA(XLOOKUP(FILTER(INDIRECT(""'""&amp;CY$1&amp;""'!$C$4:$C$66""),INDIRECT(""'""&amp;CY$1&amp;""'!$D$4:$D$66"")=CY$2),$G$3:$BQ$3,$G79:$BQ79))),"""")"),"")</f>
        <v/>
      </c>
      <c r="DA79" s="252"/>
      <c r="DB79" s="251">
        <f>IFERROR(__xludf.DUMMYFUNCTION("AVERAGE(ARRAYFORMULA(XLOOKUP(FILTER(INDIRECT(""'""&amp;DB$1&amp;""'!$C$4:$C$66""),INDIRECT(""'""&amp;DB$1&amp;""'!$D$4:$D$66"")=DB$2),$G$3:$BQ$3,$G79:$BQ79)))"),-0.063205129)</f>
        <v>-0.063205129</v>
      </c>
      <c r="DC79" s="207" t="str">
        <f>IFERROR(__xludf.DUMMYFUNCTION("IF(OR(DB79&gt;$BS79+$BT79*$BT$2,DB79&lt;$BS79-$BT79*$BT$2),AVEDEV(ARRAYFORMULA(XLOOKUP(FILTER(INDIRECT(""'""&amp;DB$1&amp;""'!$C$4:$C$66""),INDIRECT(""'""&amp;DB$1&amp;""'!$D$4:$D$66"")=DB$2),$G$3:$BQ$3,$G79:$BQ79))),"""")"),"")</f>
        <v/>
      </c>
      <c r="DD79" s="251">
        <f>IFERROR(__xludf.DUMMYFUNCTION("AVERAGE(ARRAYFORMULA(XLOOKUP(FILTER(INDIRECT(""'""&amp;DD$1&amp;""'!$C$4:$C$66""),INDIRECT(""'""&amp;DD$1&amp;""'!$D$4:$D$66"")=DD$2),$G$3:$BQ$3,$G79:$BQ79)))"),-0.06173077000000003)</f>
        <v>-0.06173077</v>
      </c>
      <c r="DE79" s="207" t="str">
        <f>IFERROR(__xludf.DUMMYFUNCTION("IF(OR(DD79&gt;$BS79+$BT79*$BT$2,DD79&lt;$BS79-$BT79*$BT$2),AVEDEV(ARRAYFORMULA(XLOOKUP(FILTER(INDIRECT(""'""&amp;DD$1&amp;""'!$C$4:$C$66""),INDIRECT(""'""&amp;DD$1&amp;""'!$D$4:$D$66"")=DD$2),$G$3:$BQ$3,$G79:$BQ79))),"""")"),"")</f>
        <v/>
      </c>
      <c r="DF79" s="251">
        <f>IFERROR(__xludf.DUMMYFUNCTION("AVERAGE(ARRAYFORMULA(XLOOKUP(FILTER(INDIRECT(""'""&amp;DF$1&amp;""'!$C$4:$C$66""),INDIRECT(""'""&amp;DF$1&amp;""'!$D$4:$D$66"")=DF$2),$G$3:$BQ$3,$G79:$BQ79)))"),-0.7676201950000001)</f>
        <v>-0.767620195</v>
      </c>
      <c r="DG79" s="207" t="str">
        <f>IFERROR(__xludf.DUMMYFUNCTION("IF(OR(DF79&gt;$BS79+$BT79*$BT$2,DF79&lt;$BS79-$BT79*$BT$2),AVEDEV(ARRAYFORMULA(XLOOKUP(FILTER(INDIRECT(""'""&amp;DF$1&amp;""'!$C$4:$C$66""),INDIRECT(""'""&amp;DF$1&amp;""'!$D$4:$D$66"")=DF$2),$G$3:$BQ$3,$G79:$BQ79))),"""")"),"")</f>
        <v/>
      </c>
      <c r="DH79" s="251">
        <f>IFERROR(__xludf.DUMMYFUNCTION("AVERAGE(ARRAYFORMULA(XLOOKUP(FILTER(INDIRECT(""'""&amp;DH$1&amp;""'!$C$4:$C$66""),INDIRECT(""'""&amp;DH$1&amp;""'!$D$4:$D$66"")=DH$2),$G$3:$BQ$3,$G79:$BQ79)))"),0.2395299088888889)</f>
        <v>0.2395299089</v>
      </c>
      <c r="DI79" s="207" t="str">
        <f>IFERROR(__xludf.DUMMYFUNCTION("IF(OR(DH79&gt;$BS79+$BT79*$BT$2,DH79&lt;$BS79-$BT79*$BT$2),AVEDEV(ARRAYFORMULA(XLOOKUP(FILTER(INDIRECT(""'""&amp;DH$1&amp;""'!$C$4:$C$66""),INDIRECT(""'""&amp;DH$1&amp;""'!$D$4:$D$66"")=DH$2),$G$3:$BQ$3,$G79:$BQ79))),"""")"),"")</f>
        <v/>
      </c>
      <c r="DJ79" s="243"/>
    </row>
    <row r="80">
      <c r="A80" s="2"/>
      <c r="B80" s="204">
        <v>76.0</v>
      </c>
      <c r="C80" s="204" t="s">
        <v>507</v>
      </c>
      <c r="D80" s="204" t="s">
        <v>521</v>
      </c>
      <c r="E80" s="205" t="b">
        <f>VLOOKUP(D80,'Feature Set List'!A77:C246,2,0)</f>
        <v>1</v>
      </c>
      <c r="F80" s="205" t="b">
        <f>VLOOKUP(D80,'Feature Set List'!A77:C246,3,0)</f>
        <v>1</v>
      </c>
      <c r="G80" s="205">
        <v>-0.3036372</v>
      </c>
      <c r="H80" s="205">
        <v>0.9063893</v>
      </c>
      <c r="I80" s="205">
        <v>2.2843853</v>
      </c>
      <c r="J80" s="205">
        <v>1.01169326</v>
      </c>
      <c r="K80" s="205">
        <v>0.98262162</v>
      </c>
      <c r="L80" s="205">
        <v>0.2067317</v>
      </c>
      <c r="M80" s="205">
        <v>-0.1117643</v>
      </c>
      <c r="N80" s="205">
        <v>0.30686737</v>
      </c>
      <c r="O80" s="205">
        <v>0.07558628</v>
      </c>
      <c r="P80" s="205">
        <v>0.10207378</v>
      </c>
      <c r="Q80" s="205">
        <v>-0.3792881</v>
      </c>
      <c r="R80" s="205">
        <v>-0.1699076</v>
      </c>
      <c r="S80" s="205">
        <v>-0.5613412</v>
      </c>
      <c r="T80" s="205">
        <v>0.72162284</v>
      </c>
      <c r="U80" s="205">
        <v>-0.3945345</v>
      </c>
      <c r="V80" s="205">
        <v>1.54338136</v>
      </c>
      <c r="W80" s="205">
        <v>-0.4082305</v>
      </c>
      <c r="X80" s="205">
        <v>-0.6919052</v>
      </c>
      <c r="Y80" s="205">
        <v>-0.541314</v>
      </c>
      <c r="Z80" s="205">
        <v>-0.5719362</v>
      </c>
      <c r="AA80" s="205">
        <v>-0.5319465</v>
      </c>
      <c r="AB80" s="205">
        <v>-0.6348601</v>
      </c>
      <c r="AC80" s="205">
        <v>-0.3692099</v>
      </c>
      <c r="AD80" s="205">
        <v>-0.7318948</v>
      </c>
      <c r="AE80" s="205">
        <v>0.22352865</v>
      </c>
      <c r="AF80" s="205">
        <v>0.1130564</v>
      </c>
      <c r="AG80" s="205">
        <v>4.15530719</v>
      </c>
      <c r="AH80" s="205">
        <v>-0.3494412</v>
      </c>
      <c r="AI80" s="205">
        <v>0.59047742</v>
      </c>
      <c r="AJ80" s="205">
        <v>-0.6300795</v>
      </c>
      <c r="AK80" s="205">
        <v>0.89282253</v>
      </c>
      <c r="AL80" s="205">
        <v>0.98197558</v>
      </c>
      <c r="AM80" s="205">
        <v>-0.3002778</v>
      </c>
      <c r="AN80" s="205">
        <v>-0.0155049</v>
      </c>
      <c r="AO80" s="205">
        <v>1.9859164</v>
      </c>
      <c r="AP80" s="205">
        <v>-0.4493184</v>
      </c>
      <c r="AQ80" s="205">
        <v>0.24678597</v>
      </c>
      <c r="AR80" s="205">
        <v>-0.4960269</v>
      </c>
      <c r="AS80" s="205">
        <v>0.63569998</v>
      </c>
      <c r="AT80" s="205">
        <v>0.17766006</v>
      </c>
      <c r="AU80" s="205">
        <v>0.03488597</v>
      </c>
      <c r="AV80" s="205">
        <v>0.76296918</v>
      </c>
      <c r="AW80" s="205">
        <v>0.0</v>
      </c>
      <c r="AX80" s="205">
        <v>-0.4312294</v>
      </c>
      <c r="AY80" s="205">
        <v>0.22869694</v>
      </c>
      <c r="AZ80" s="205">
        <v>-0.3765101</v>
      </c>
      <c r="BA80" s="205">
        <v>0.66218748</v>
      </c>
      <c r="BB80" s="205">
        <v>-0.3423994</v>
      </c>
      <c r="BC80" s="205">
        <v>0.30105304</v>
      </c>
      <c r="BD80" s="205">
        <v>0.47806706</v>
      </c>
      <c r="BE80" s="205">
        <v>-0.2320563</v>
      </c>
      <c r="BF80" s="205">
        <v>1.52335422</v>
      </c>
      <c r="BG80" s="205">
        <v>1.32049874</v>
      </c>
      <c r="BH80" s="205">
        <v>-0.2028555</v>
      </c>
      <c r="BI80" s="205">
        <v>0.08204664</v>
      </c>
      <c r="BJ80" s="205">
        <v>0.86375089</v>
      </c>
      <c r="BK80" s="205">
        <v>-0.0051683</v>
      </c>
      <c r="BL80" s="205">
        <v>-0.8356347</v>
      </c>
      <c r="BM80" s="205">
        <v>-0.6849926</v>
      </c>
      <c r="BN80" s="205">
        <v>-0.0219652</v>
      </c>
      <c r="BO80" s="205">
        <v>-0.5670909</v>
      </c>
      <c r="BP80" s="205">
        <v>-0.3492474</v>
      </c>
      <c r="BQ80" s="205">
        <v>0.12339298</v>
      </c>
      <c r="BR80" s="206"/>
      <c r="BS80" s="250">
        <f t="shared" si="1"/>
        <v>0.1878399608</v>
      </c>
      <c r="BT80" s="250">
        <f t="shared" si="2"/>
        <v>0.612972221</v>
      </c>
      <c r="BU80" s="206"/>
      <c r="BV80" s="207">
        <f>IFERROR(__xludf.DUMMYFUNCTION("AVERAGE(ARRAYFORMULA(XLOOKUP(FILTER(INDIRECT(""'""&amp;BV$1&amp;""'!$C$4:$C$66""),INDIRECT(""'""&amp;BV$1&amp;""'!$D$4:$D$66"")=BV$2),$G$3:$BQ$3,$G80:$BQ80)))"),-0.04027382285714284)</f>
        <v>-0.04027382286</v>
      </c>
      <c r="BW80" s="207" t="str">
        <f>IFERROR(__xludf.DUMMYFUNCTION("IF(OR(BV80&gt;$BS80+$BT80*$BT$2,BV80&lt;$BS80-$BT80*$BT$2),AVEDEV(ARRAYFORMULA(XLOOKUP(FILTER(INDIRECT(""'""&amp;BV$1&amp;""'!$C$4:$C$66""),INDIRECT(""'""&amp;BV$1&amp;""'!$D$4:$D$66"")=BV$2),$G$3:$BQ$3,$G80:$BQ80))),"""")"),"")</f>
        <v/>
      </c>
      <c r="BX80" s="207">
        <f>IFERROR(__xludf.DUMMYFUNCTION("AVERAGE(ARRAYFORMULA(XLOOKUP(FILTER(INDIRECT(""'""&amp;BX$1&amp;""'!$C$4:$C$66""),INDIRECT(""'""&amp;BX$1&amp;""'!$D$4:$D$66"")=BX$2),$G$3:$BQ$3,$G80:$BQ80)))"),0.23664934428571427)</f>
        <v>0.2366493443</v>
      </c>
      <c r="BY80" s="207" t="str">
        <f>IFERROR(__xludf.DUMMYFUNCTION("IF(OR(BX80&gt;$BS80+$BT80*$BT$2,BX80&lt;$BS80-$BT80*$BT$2),AVEDEV(ARRAYFORMULA(XLOOKUP(FILTER(INDIRECT(""'""&amp;BX$1&amp;""'!$C$4:$C$66""),INDIRECT(""'""&amp;BX$1&amp;""'!$D$4:$D$66"")=BX$2),$G$3:$BQ$3,$G80:$BQ80))),"""")"),"")</f>
        <v/>
      </c>
      <c r="BZ80" s="207">
        <f>IFERROR(__xludf.DUMMYFUNCTION("AVERAGE(ARRAYFORMULA(XLOOKUP(FILTER(INDIRECT(""'""&amp;BZ$1&amp;""'!$C$4:$C$66""),INDIRECT(""'""&amp;BZ$1&amp;""'!$D$4:$D$66"")=BZ$2),$G$3:$BQ$3,$G80:$BQ80)))"),-0.05643422727272726)</f>
        <v>-0.05643422727</v>
      </c>
      <c r="CA80" s="207" t="str">
        <f>IFERROR(__xludf.DUMMYFUNCTION("IF(OR(BZ80&gt;$BS80+$BT80*$BT$2,BZ80&lt;$BS80-$BT80*$BT$2),AVEDEV(ARRAYFORMULA(XLOOKUP(FILTER(INDIRECT(""'""&amp;BZ$1&amp;""'!$C$4:$C$66""),INDIRECT(""'""&amp;BZ$1&amp;""'!$D$4:$D$66"")=BZ$2),$G$3:$BQ$3,$G80:$BQ80))),"""")"),"")</f>
        <v/>
      </c>
      <c r="CB80" s="209"/>
      <c r="CC80" s="207">
        <f>IFERROR(__xludf.DUMMYFUNCTION("AVERAGE(ARRAYFORMULA(XLOOKUP(FILTER(INDIRECT(""'""&amp;CC$1&amp;""'!$C$4:$C$66""),INDIRECT(""'""&amp;CC$1&amp;""'!$D$4:$D$66"")=CC$2),$G$3:$BQ$3,$G80:$BQ80)))"),0.710914790625)</f>
        <v>0.7109147906</v>
      </c>
      <c r="CD80" s="207" t="str">
        <f>IFERROR(__xludf.DUMMYFUNCTION("IF(OR(CC80&gt;$BS80+$BT80*$BT$2,CC80&lt;$BS80-$BT80*$BT$2),AVEDEV(ARRAYFORMULA(XLOOKUP(FILTER(INDIRECT(""'""&amp;CC$1&amp;""'!$C$4:$C$66""),INDIRECT(""'""&amp;CC$1&amp;""'!$D$4:$D$66"")=CC$2),$G$3:$BQ$3,$G80:$BQ80))),"""")"),"")</f>
        <v/>
      </c>
      <c r="CE80" s="207">
        <f>IFERROR(__xludf.DUMMYFUNCTION("AVERAGE(ARRAYFORMULA(XLOOKUP(FILTER(INDIRECT(""'""&amp;CE$1&amp;""'!$C$4:$C$66""),INDIRECT(""'""&amp;CE$1&amp;""'!$D$4:$D$66"")=CE$2),$G$3:$BQ$3,$G80:$BQ80)))"),-0.12114644419354838)</f>
        <v>-0.1211464442</v>
      </c>
      <c r="CF80" s="207" t="str">
        <f>IFERROR(__xludf.DUMMYFUNCTION("IF(OR(CE80&gt;$BS80+$BT80*$BT$2,CE80&lt;$BS80-$BT80*$BT$2),AVEDEV(ARRAYFORMULA(XLOOKUP(FILTER(INDIRECT(""'""&amp;CE$1&amp;""'!$C$4:$C$66""),INDIRECT(""'""&amp;CE$1&amp;""'!$D$4:$D$66"")=CE$2),$G$3:$BQ$3,$G80:$BQ80))),"""")"),"")</f>
        <v/>
      </c>
      <c r="CG80" s="207">
        <f>IFERROR(__xludf.DUMMYFUNCTION("AVERAGE(ARRAYFORMULA(XLOOKUP(FILTER(INDIRECT(""'""&amp;CG$1&amp;""'!$C$4:$C$66""),INDIRECT(""'""&amp;CG$1&amp;""'!$D$4:$D$66"")=CG$2),$G$3:$BQ$3,$G80:$BQ80)))"),0.688416564)</f>
        <v>0.688416564</v>
      </c>
      <c r="CH80" s="207" t="str">
        <f>IFERROR(__xludf.DUMMYFUNCTION("IF(OR(CG80&gt;$BS80+$BT80*$BT$2,CG80&lt;$BS80-$BT80*$BT$2),AVEDEV(ARRAYFORMULA(XLOOKUP(FILTER(INDIRECT(""'""&amp;CG$1&amp;""'!$C$4:$C$66""),INDIRECT(""'""&amp;CG$1&amp;""'!$D$4:$D$66"")=CG$2),$G$3:$BQ$3,$G80:$BQ80))),"""")"),"")</f>
        <v/>
      </c>
      <c r="CI80" s="206"/>
      <c r="CJ80" s="251">
        <f>IFERROR(__xludf.DUMMYFUNCTION("AVERAGE(ARRAYFORMULA(XLOOKUP(FILTER(INDIRECT(""'""&amp;CJ$1&amp;""'!$C$4:$C$66""),INDIRECT(""'""&amp;CJ$1&amp;""'!$D$4:$D$66"")=CJ$2),$G$3:$BQ$3,$G80:$BQ80)))"),-0.32902211466666664)</f>
        <v>-0.3290221147</v>
      </c>
      <c r="CK80" s="207" t="str">
        <f>IFERROR(__xludf.DUMMYFUNCTION("IF(OR(CJ80&gt;$BS80+$BT80*$BT$2,CJ80&lt;$BS80-$BT80*$BT$2),AVEDEV(ARRAYFORMULA(XLOOKUP(FILTER(INDIRECT(""'""&amp;CJ$1&amp;""'!$C$4:$C$66""),INDIRECT(""'""&amp;CJ$1&amp;""'!$D$4:$D$66"")=CJ$2),$G$3:$BQ$3,$G80:$BQ80))),"""")"),"")</f>
        <v/>
      </c>
      <c r="CL80" s="251">
        <f>IFERROR(__xludf.DUMMYFUNCTION("AVERAGE(ARRAYFORMULA(XLOOKUP(FILTER(INDIRECT(""'""&amp;CL$1&amp;""'!$C$4:$C$66""),INDIRECT(""'""&amp;CL$1&amp;""'!$D$4:$D$66"")=CL$2),$G$3:$BQ$3,$G80:$BQ80)))"),0.291422123076923)</f>
        <v>0.2914221231</v>
      </c>
      <c r="CM80" s="207" t="str">
        <f>IFERROR(__xludf.DUMMYFUNCTION("IF(OR(CL80&gt;$BS80+$BT80*$BT$2,CL80&lt;$BS80-$BT80*$BT$2),AVEDEV(ARRAYFORMULA(XLOOKUP(FILTER(INDIRECT(""'""&amp;CL$1&amp;""'!$C$4:$C$66""),INDIRECT(""'""&amp;CL$1&amp;""'!$D$4:$D$66"")=CL$2),$G$3:$BQ$3,$G80:$BQ80))),"""")"),"")</f>
        <v/>
      </c>
      <c r="CN80" s="251">
        <f>IFERROR(__xludf.DUMMYFUNCTION("AVERAGE(ARRAYFORMULA(XLOOKUP(FILTER(INDIRECT(""'""&amp;CN$1&amp;""'!$C$4:$C$66""),INDIRECT(""'""&amp;CN$1&amp;""'!$D$4:$D$66"")=CN$2),$G$3:$BQ$3,$G80:$BQ80)))"),0.688416564)</f>
        <v>0.688416564</v>
      </c>
      <c r="CO80" s="207" t="str">
        <f>IFERROR(__xludf.DUMMYFUNCTION("IF(OR(CN80&gt;$BS80+$BT80*$BT$2,CN80&lt;$BS80-$BT80*$BT$2),AVEDEV(ARRAYFORMULA(XLOOKUP(FILTER(INDIRECT(""'""&amp;CN$1&amp;""'!$C$4:$C$66""),INDIRECT(""'""&amp;CN$1&amp;""'!$D$4:$D$66"")=CN$2),$G$3:$BQ$3,$G80:$BQ80))),"""")"),"")</f>
        <v/>
      </c>
      <c r="CP80" s="252"/>
      <c r="CQ80" s="251">
        <f>IFERROR(__xludf.DUMMYFUNCTION("AVERAGE(ARRAYFORMULA(XLOOKUP(FILTER(INDIRECT(""'""&amp;CQ$1&amp;""'!$C$4:$C$66""),INDIRECT(""'""&amp;CQ$1&amp;""'!$D$4:$D$66"")=CQ$2),$G$3:$BQ$3,$G80:$BQ80)))"),0.8520068678571429)</f>
        <v>0.8520068679</v>
      </c>
      <c r="CR80" s="207">
        <f>IFERROR(__xludf.DUMMYFUNCTION("IF(OR(CQ80&gt;$BS80+$BT80*$BT$2,CQ80&lt;$BS80-$BT80*$BT$2),AVEDEV(ARRAYFORMULA(XLOOKUP(FILTER(INDIRECT(""'""&amp;CQ$1&amp;""'!$C$4:$C$66""),INDIRECT(""'""&amp;CQ$1&amp;""'!$D$4:$D$66"")=CQ$2),$G$3:$BQ$3,$G80:$BQ80))),"""")"),0.7215536235714286)</f>
        <v>0.7215536236</v>
      </c>
      <c r="CS80" s="251">
        <f>IFERROR(__xludf.DUMMYFUNCTION("AVERAGE(ARRAYFORMULA(XLOOKUP(FILTER(INDIRECT(""'""&amp;CS$1&amp;""'!$C$4:$C$66""),INDIRECT(""'""&amp;CS$1&amp;""'!$D$4:$D$66"")=CS$2),$G$3:$BQ$3,$G80:$BQ80)))"),0.04896957777777777)</f>
        <v>0.04896957778</v>
      </c>
      <c r="CT80" s="207" t="str">
        <f>IFERROR(__xludf.DUMMYFUNCTION("IF(OR(CS80&gt;$BS80+$BT80*$BT$2,CS80&lt;$BS80-$BT80*$BT$2),AVEDEV(ARRAYFORMULA(XLOOKUP(FILTER(INDIRECT(""'""&amp;CS$1&amp;""'!$C$4:$C$66""),INDIRECT(""'""&amp;CS$1&amp;""'!$D$4:$D$66"")=CS$2),$G$3:$BQ$3,$G80:$BQ80))),"""")"),"")</f>
        <v/>
      </c>
      <c r="CU80" s="251">
        <f>IFERROR(__xludf.DUMMYFUNCTION("AVERAGE(ARRAYFORMULA(XLOOKUP(FILTER(INDIRECT(""'""&amp;CU$1&amp;""'!$C$4:$C$66""),INDIRECT(""'""&amp;CU$1&amp;""'!$D$4:$D$66"")=CU$2),$G$3:$BQ$3,$G80:$BQ80)))"),-0.12995906545454544)</f>
        <v>-0.1299590655</v>
      </c>
      <c r="CV80" s="207" t="str">
        <f>IFERROR(__xludf.DUMMYFUNCTION("IF(OR(CU80&gt;$BS80+$BT80*$BT$2,CU80&lt;$BS80-$BT80*$BT$2),AVEDEV(ARRAYFORMULA(XLOOKUP(FILTER(INDIRECT(""'""&amp;CU$1&amp;""'!$C$4:$C$66""),INDIRECT(""'""&amp;CU$1&amp;""'!$D$4:$D$66"")=CU$2),$G$3:$BQ$3,$G80:$BQ80))),"""")"),"")</f>
        <v/>
      </c>
      <c r="CW80" s="251">
        <f>IFERROR(__xludf.DUMMYFUNCTION("AVERAGE(ARRAYFORMULA(XLOOKUP(FILTER(INDIRECT(""'""&amp;CW$1&amp;""'!$C$4:$C$66""),INDIRECT(""'""&amp;CW$1&amp;""'!$D$4:$D$66"")=CW$2),$G$3:$BQ$3,$G80:$BQ80)))"),-0.46737514999999996)</f>
        <v>-0.46737515</v>
      </c>
      <c r="CX80" s="207">
        <f>IFERROR(__xludf.DUMMYFUNCTION("IF(OR(CW80&gt;$BS80+$BT80*$BT$2,CW80&lt;$BS80-$BT80*$BT$2),AVEDEV(ARRAYFORMULA(XLOOKUP(FILTER(INDIRECT(""'""&amp;CW$1&amp;""'!$C$4:$C$66""),INDIRECT(""'""&amp;CW$1&amp;""'!$D$4:$D$66"")=CW$2),$G$3:$BQ$3,$G80:$BQ80))),"""")"),0.26451965)</f>
        <v>0.26451965</v>
      </c>
      <c r="CY80" s="251">
        <f>IFERROR(__xludf.DUMMYFUNCTION("AVERAGE(ARRAYFORMULA(XLOOKUP(FILTER(INDIRECT(""'""&amp;CY$1&amp;""'!$C$4:$C$66""),INDIRECT(""'""&amp;CY$1&amp;""'!$D$4:$D$66"")=CY$2),$G$3:$BQ$3,$G80:$BQ80)))"),-0.11566824071428572)</f>
        <v>-0.1156682407</v>
      </c>
      <c r="CZ80" s="207" t="str">
        <f>IFERROR(__xludf.DUMMYFUNCTION("IF(OR(CY80&gt;$BS80+$BT80*$BT$2,CY80&lt;$BS80-$BT80*$BT$2),AVEDEV(ARRAYFORMULA(XLOOKUP(FILTER(INDIRECT(""'""&amp;CY$1&amp;""'!$C$4:$C$66""),INDIRECT(""'""&amp;CY$1&amp;""'!$D$4:$D$66"")=CY$2),$G$3:$BQ$3,$G80:$BQ80))),"""")"),"")</f>
        <v/>
      </c>
      <c r="DA80" s="252"/>
      <c r="DB80" s="251">
        <f>IFERROR(__xludf.DUMMYFUNCTION("AVERAGE(ARRAYFORMULA(XLOOKUP(FILTER(INDIRECT(""'""&amp;DB$1&amp;""'!$C$4:$C$66""),INDIRECT(""'""&amp;DB$1&amp;""'!$D$4:$D$66"")=DB$2),$G$3:$BQ$3,$G80:$BQ80)))"),0.40346490733333334)</f>
        <v>0.4034649073</v>
      </c>
      <c r="DC80" s="207" t="str">
        <f>IFERROR(__xludf.DUMMYFUNCTION("IF(OR(DB80&gt;$BS80+$BT80*$BT$2,DB80&lt;$BS80-$BT80*$BT$2),AVEDEV(ARRAYFORMULA(XLOOKUP(FILTER(INDIRECT(""'""&amp;DB$1&amp;""'!$C$4:$C$66""),INDIRECT(""'""&amp;DB$1&amp;""'!$D$4:$D$66"")=DB$2),$G$3:$BQ$3,$G80:$BQ80))),"""")"),"")</f>
        <v/>
      </c>
      <c r="DD80" s="251">
        <f>IFERROR(__xludf.DUMMYFUNCTION("AVERAGE(ARRAYFORMULA(XLOOKUP(FILTER(INDIRECT(""'""&amp;DD$1&amp;""'!$C$4:$C$66""),INDIRECT(""'""&amp;DD$1&amp;""'!$D$4:$D$66"")=DD$2),$G$3:$BQ$3,$G80:$BQ80)))"),0.10521782000000002)</f>
        <v>0.10521782</v>
      </c>
      <c r="DE80" s="207" t="str">
        <f>IFERROR(__xludf.DUMMYFUNCTION("IF(OR(DD80&gt;$BS80+$BT80*$BT$2,DD80&lt;$BS80-$BT80*$BT$2),AVEDEV(ARRAYFORMULA(XLOOKUP(FILTER(INDIRECT(""'""&amp;DD$1&amp;""'!$C$4:$C$66""),INDIRECT(""'""&amp;DD$1&amp;""'!$D$4:$D$66"")=DD$2),$G$3:$BQ$3,$G80:$BQ80))),"""")"),"")</f>
        <v/>
      </c>
      <c r="DF80" s="251">
        <f>IFERROR(__xludf.DUMMYFUNCTION("AVERAGE(ARRAYFORMULA(XLOOKUP(FILTER(INDIRECT(""'""&amp;DF$1&amp;""'!$C$4:$C$66""),INDIRECT(""'""&amp;DF$1&amp;""'!$D$4:$D$66"")=DF$2),$G$3:$BQ$3,$G80:$BQ80)))"),-0.2950045225)</f>
        <v>-0.2950045225</v>
      </c>
      <c r="DG80" s="207" t="str">
        <f>IFERROR(__xludf.DUMMYFUNCTION("IF(OR(DF80&gt;$BS80+$BT80*$BT$2,DF80&lt;$BS80-$BT80*$BT$2),AVEDEV(ARRAYFORMULA(XLOOKUP(FILTER(INDIRECT(""'""&amp;DF$1&amp;""'!$C$4:$C$66""),INDIRECT(""'""&amp;DF$1&amp;""'!$D$4:$D$66"")=DF$2),$G$3:$BQ$3,$G80:$BQ80))),"""")"),"")</f>
        <v/>
      </c>
      <c r="DH80" s="251">
        <f>IFERROR(__xludf.DUMMYFUNCTION("AVERAGE(ARRAYFORMULA(XLOOKUP(FILTER(INDIRECT(""'""&amp;DH$1&amp;""'!$C$4:$C$66""),INDIRECT(""'""&amp;DH$1&amp;""'!$D$4:$D$66"")=DH$2),$G$3:$BQ$3,$G80:$BQ80)))"),-0.17962686888888885)</f>
        <v>-0.1796268689</v>
      </c>
      <c r="DI80" s="207" t="str">
        <f>IFERROR(__xludf.DUMMYFUNCTION("IF(OR(DH80&gt;$BS80+$BT80*$BT$2,DH80&lt;$BS80-$BT80*$BT$2),AVEDEV(ARRAYFORMULA(XLOOKUP(FILTER(INDIRECT(""'""&amp;DH$1&amp;""'!$C$4:$C$66""),INDIRECT(""'""&amp;DH$1&amp;""'!$D$4:$D$66"")=DH$2),$G$3:$BQ$3,$G80:$BQ80))),"""")"),"")</f>
        <v/>
      </c>
      <c r="DJ80" s="243"/>
    </row>
    <row r="81">
      <c r="A81" s="2"/>
      <c r="B81" s="204">
        <v>77.0</v>
      </c>
      <c r="C81" s="204" t="s">
        <v>507</v>
      </c>
      <c r="D81" s="204" t="s">
        <v>522</v>
      </c>
      <c r="E81" s="205" t="b">
        <f>VLOOKUP(D81,'Feature Set List'!A78:C246,2,0)</f>
        <v>1</v>
      </c>
      <c r="F81" s="205" t="b">
        <f>VLOOKUP(D81,'Feature Set List'!A78:C246,3,0)</f>
        <v>1</v>
      </c>
      <c r="G81" s="205">
        <v>0.30777325</v>
      </c>
      <c r="H81" s="205">
        <v>-0.6673681</v>
      </c>
      <c r="I81" s="205">
        <v>0.8233592</v>
      </c>
      <c r="J81" s="205">
        <v>-1.0272261</v>
      </c>
      <c r="K81" s="205">
        <v>-0.8230961</v>
      </c>
      <c r="L81" s="205">
        <v>-0.1210049</v>
      </c>
      <c r="M81" s="205">
        <v>0.74707352</v>
      </c>
      <c r="N81" s="205">
        <v>0.32092595</v>
      </c>
      <c r="O81" s="205">
        <v>0.14204919</v>
      </c>
      <c r="P81" s="205">
        <v>-0.798106</v>
      </c>
      <c r="Q81" s="205">
        <v>-0.2217546</v>
      </c>
      <c r="R81" s="205">
        <v>0.79705379</v>
      </c>
      <c r="S81" s="205">
        <v>0.64448244</v>
      </c>
      <c r="T81" s="205">
        <v>-0.8123109</v>
      </c>
      <c r="U81" s="205">
        <v>-0.2517427</v>
      </c>
      <c r="V81" s="205">
        <v>-1.245824</v>
      </c>
      <c r="W81" s="205">
        <v>0.50506379</v>
      </c>
      <c r="X81" s="205">
        <v>-1.0230172</v>
      </c>
      <c r="Y81" s="205">
        <v>0.40510325</v>
      </c>
      <c r="Z81" s="205">
        <v>0.81283704</v>
      </c>
      <c r="AA81" s="205">
        <v>0.93121136</v>
      </c>
      <c r="AB81" s="205">
        <v>0.27094568</v>
      </c>
      <c r="AC81" s="205">
        <v>0.84440352</v>
      </c>
      <c r="AD81" s="205">
        <v>0.22622649</v>
      </c>
      <c r="AE81" s="205">
        <v>0.65763514</v>
      </c>
      <c r="AF81" s="205">
        <v>-0.5808234</v>
      </c>
      <c r="AG81" s="205">
        <v>-1.5738524</v>
      </c>
      <c r="AH81" s="205">
        <v>0.6286992</v>
      </c>
      <c r="AI81" s="205">
        <v>-0.1825595</v>
      </c>
      <c r="AJ81" s="205">
        <v>-0.2196501</v>
      </c>
      <c r="AK81" s="205">
        <v>-0.2796265</v>
      </c>
      <c r="AL81" s="205">
        <v>-0.379587</v>
      </c>
      <c r="AM81" s="205">
        <v>0.07628568</v>
      </c>
      <c r="AN81" s="205">
        <v>-0.1299487</v>
      </c>
      <c r="AO81" s="205">
        <v>-1.231356</v>
      </c>
      <c r="AP81" s="205">
        <v>0.05524135</v>
      </c>
      <c r="AQ81" s="205">
        <v>0.49980271</v>
      </c>
      <c r="AR81" s="205">
        <v>-0.5784559</v>
      </c>
      <c r="AS81" s="205">
        <v>-0.9617256</v>
      </c>
      <c r="AT81" s="205">
        <v>0.58661055</v>
      </c>
      <c r="AU81" s="205">
        <v>-0.9109562</v>
      </c>
      <c r="AV81" s="205">
        <v>0.0</v>
      </c>
      <c r="AW81" s="205">
        <v>-0.7539129</v>
      </c>
      <c r="AX81" s="205">
        <v>-0.219124</v>
      </c>
      <c r="AY81" s="205">
        <v>0.80757596</v>
      </c>
      <c r="AZ81" s="205">
        <v>0.57871893</v>
      </c>
      <c r="BA81" s="205">
        <v>-0.4166776</v>
      </c>
      <c r="BB81" s="205">
        <v>-1.4575825</v>
      </c>
      <c r="BC81" s="205">
        <v>0.27094568</v>
      </c>
      <c r="BD81" s="205">
        <v>-0.063133</v>
      </c>
      <c r="BE81" s="205">
        <v>0.49717217</v>
      </c>
      <c r="BF81" s="205">
        <v>-0.0131527</v>
      </c>
      <c r="BG81" s="205">
        <v>-0.0868078</v>
      </c>
      <c r="BH81" s="205">
        <v>0.40510325</v>
      </c>
      <c r="BI81" s="205">
        <v>-0.0157832</v>
      </c>
      <c r="BJ81" s="205">
        <v>0.04998027</v>
      </c>
      <c r="BK81" s="205">
        <v>0.55504406</v>
      </c>
      <c r="BL81" s="205">
        <v>-1.3744575</v>
      </c>
      <c r="BM81" s="205">
        <v>-0.209128</v>
      </c>
      <c r="BN81" s="205">
        <v>0.27094568</v>
      </c>
      <c r="BO81" s="205">
        <v>0.62606866</v>
      </c>
      <c r="BP81" s="205">
        <v>0.28146784</v>
      </c>
      <c r="BQ81" s="205">
        <v>1.09956596</v>
      </c>
      <c r="BR81" s="206"/>
      <c r="BS81" s="250">
        <f t="shared" si="1"/>
        <v>-0.04610126254</v>
      </c>
      <c r="BT81" s="250">
        <f t="shared" si="2"/>
        <v>0.5480596377</v>
      </c>
      <c r="BU81" s="206"/>
      <c r="BV81" s="207">
        <f>IFERROR(__xludf.DUMMYFUNCTION("AVERAGE(ARRAYFORMULA(XLOOKUP(FILTER(INDIRECT(""'""&amp;BV$1&amp;""'!$C$4:$C$66""),INDIRECT(""'""&amp;BV$1&amp;""'!$D$4:$D$66"")=BV$2),$G$3:$BQ$3,$G81:$BQ81)))"),-0.5762011100000001)</f>
        <v>-0.57620111</v>
      </c>
      <c r="BW81" s="207" t="str">
        <f>IFERROR(__xludf.DUMMYFUNCTION("IF(OR(BV81&gt;$BS81+$BT81*$BT$2,BV81&lt;$BS81-$BT81*$BT$2),AVEDEV(ARRAYFORMULA(XLOOKUP(FILTER(INDIRECT(""'""&amp;BV$1&amp;""'!$C$4:$C$66""),INDIRECT(""'""&amp;BV$1&amp;""'!$D$4:$D$66"")=BV$2),$G$3:$BQ$3,$G81:$BQ81))),"""")"),"")</f>
        <v/>
      </c>
      <c r="BX81" s="207">
        <f>IFERROR(__xludf.DUMMYFUNCTION("AVERAGE(ARRAYFORMULA(XLOOKUP(FILTER(INDIRECT(""'""&amp;BX$1&amp;""'!$C$4:$C$66""),INDIRECT(""'""&amp;BX$1&amp;""'!$D$4:$D$66"")=BX$2),$G$3:$BQ$3,$G81:$BQ81)))"),0.03985895928571429)</f>
        <v>0.03985895929</v>
      </c>
      <c r="BY81" s="207" t="str">
        <f>IFERROR(__xludf.DUMMYFUNCTION("IF(OR(BX81&gt;$BS81+$BT81*$BT$2,BX81&lt;$BS81-$BT81*$BT$2),AVEDEV(ARRAYFORMULA(XLOOKUP(FILTER(INDIRECT(""'""&amp;BX$1&amp;""'!$C$4:$C$66""),INDIRECT(""'""&amp;BX$1&amp;""'!$D$4:$D$66"")=BX$2),$G$3:$BQ$3,$G81:$BQ81))),"""")"),"")</f>
        <v/>
      </c>
      <c r="BZ81" s="207">
        <f>IFERROR(__xludf.DUMMYFUNCTION("AVERAGE(ARRAYFORMULA(XLOOKUP(FILTER(INDIRECT(""'""&amp;BZ$1&amp;""'!$C$4:$C$66""),INDIRECT(""'""&amp;BZ$1&amp;""'!$D$4:$D$66"")=BZ$2),$G$3:$BQ$3,$G81:$BQ81)))"),-0.035847096363636345)</f>
        <v>-0.03584709636</v>
      </c>
      <c r="CA81" s="207" t="str">
        <f>IFERROR(__xludf.DUMMYFUNCTION("IF(OR(BZ81&gt;$BS81+$BT81*$BT$2,BZ81&lt;$BS81-$BT81*$BT$2),AVEDEV(ARRAYFORMULA(XLOOKUP(FILTER(INDIRECT(""'""&amp;BZ$1&amp;""'!$C$4:$C$66""),INDIRECT(""'""&amp;BZ$1&amp;""'!$D$4:$D$66"")=BZ$2),$G$3:$BQ$3,$G81:$BQ81))),"""")"),"")</f>
        <v/>
      </c>
      <c r="CB81" s="209"/>
      <c r="CC81" s="207">
        <f>IFERROR(__xludf.DUMMYFUNCTION("AVERAGE(ARRAYFORMULA(XLOOKUP(FILTER(INDIRECT(""'""&amp;CC$1&amp;""'!$C$4:$C$66""),INDIRECT(""'""&amp;CC$1&amp;""'!$D$4:$D$66"")=CC$2),$G$3:$BQ$3,$G81:$BQ81)))"),-0.3847329875)</f>
        <v>-0.3847329875</v>
      </c>
      <c r="CD81" s="207" t="str">
        <f>IFERROR(__xludf.DUMMYFUNCTION("IF(OR(CC81&gt;$BS81+$BT81*$BT$2,CC81&lt;$BS81-$BT81*$BT$2),AVEDEV(ARRAYFORMULA(XLOOKUP(FILTER(INDIRECT(""'""&amp;CC$1&amp;""'!$C$4:$C$66""),INDIRECT(""'""&amp;CC$1&amp;""'!$D$4:$D$66"")=CC$2),$G$3:$BQ$3,$G81:$BQ81))),"""")"),"")</f>
        <v/>
      </c>
      <c r="CE81" s="207">
        <f>IFERROR(__xludf.DUMMYFUNCTION("AVERAGE(ARRAYFORMULA(XLOOKUP(FILTER(INDIRECT(""'""&amp;CE$1&amp;""'!$C$4:$C$66""),INDIRECT(""'""&amp;CE$1&amp;""'!$D$4:$D$66"")=CE$2),$G$3:$BQ$3,$G81:$BQ81)))"),0.32836783387096763)</f>
        <v>0.3283678339</v>
      </c>
      <c r="CF81" s="207" t="str">
        <f>IFERROR(__xludf.DUMMYFUNCTION("IF(OR(CE81&gt;$BS81+$BT81*$BT$2,CE81&lt;$BS81-$BT81*$BT$2),AVEDEV(ARRAYFORMULA(XLOOKUP(FILTER(INDIRECT(""'""&amp;CE$1&amp;""'!$C$4:$C$66""),INDIRECT(""'""&amp;CE$1&amp;""'!$D$4:$D$66"")=CE$2),$G$3:$BQ$3,$G81:$BQ81))),"""")"),"")</f>
        <v/>
      </c>
      <c r="CG81" s="207">
        <f>IFERROR(__xludf.DUMMYFUNCTION("AVERAGE(ARRAYFORMULA(XLOOKUP(FILTER(INDIRECT(""'""&amp;CG$1&amp;""'!$C$4:$C$66""),INDIRECT(""'""&amp;CG$1&amp;""'!$D$4:$D$66"")=CG$2),$G$3:$BQ$3,$G81:$BQ81)))"),-0.61512558)</f>
        <v>-0.61512558</v>
      </c>
      <c r="CH81" s="207">
        <f>IFERROR(__xludf.DUMMYFUNCTION("IF(OR(CG81&gt;$BS81+$BT81*$BT$2,CG81&lt;$BS81-$BT81*$BT$2),AVEDEV(ARRAYFORMULA(XLOOKUP(FILTER(INDIRECT(""'""&amp;CG$1&amp;""'!$C$4:$C$66""),INDIRECT(""'""&amp;CG$1&amp;""'!$D$4:$D$66"")=CG$2),$G$3:$BQ$3,$G81:$BQ81))),"""")"),0.29070630399999997)</f>
        <v>0.290706304</v>
      </c>
      <c r="CI81" s="206"/>
      <c r="CJ81" s="251">
        <f>IFERROR(__xludf.DUMMYFUNCTION("AVERAGE(ARRAYFORMULA(XLOOKUP(FILTER(INDIRECT(""'""&amp;CJ$1&amp;""'!$C$4:$C$66""),INDIRECT(""'""&amp;CJ$1&amp;""'!$D$4:$D$66"")=CJ$2),$G$3:$BQ$3,$G81:$BQ81)))"),0.20900522200000002)</f>
        <v>0.209005222</v>
      </c>
      <c r="CK81" s="207" t="str">
        <f>IFERROR(__xludf.DUMMYFUNCTION("IF(OR(CJ81&gt;$BS81+$BT81*$BT$2,CJ81&lt;$BS81-$BT81*$BT$2),AVEDEV(ARRAYFORMULA(XLOOKUP(FILTER(INDIRECT(""'""&amp;CJ$1&amp;""'!$C$4:$C$66""),INDIRECT(""'""&amp;CJ$1&amp;""'!$D$4:$D$66"")=CJ$2),$G$3:$BQ$3,$G81:$BQ81))),"""")"),"")</f>
        <v/>
      </c>
      <c r="CL81" s="251">
        <f>IFERROR(__xludf.DUMMYFUNCTION("AVERAGE(ARRAYFORMULA(XLOOKUP(FILTER(INDIRECT(""'""&amp;CL$1&amp;""'!$C$4:$C$66""),INDIRECT(""'""&amp;CL$1&amp;""'!$D$4:$D$66"")=CL$2),$G$3:$BQ$3,$G81:$BQ81)))"),-0.036888268461538455)</f>
        <v>-0.03688826846</v>
      </c>
      <c r="CM81" s="207" t="str">
        <f>IFERROR(__xludf.DUMMYFUNCTION("IF(OR(CL81&gt;$BS81+$BT81*$BT$2,CL81&lt;$BS81-$BT81*$BT$2),AVEDEV(ARRAYFORMULA(XLOOKUP(FILTER(INDIRECT(""'""&amp;CL$1&amp;""'!$C$4:$C$66""),INDIRECT(""'""&amp;CL$1&amp;""'!$D$4:$D$66"")=CL$2),$G$3:$BQ$3,$G81:$BQ81))),"""")"),"")</f>
        <v/>
      </c>
      <c r="CN81" s="251">
        <f>IFERROR(__xludf.DUMMYFUNCTION("AVERAGE(ARRAYFORMULA(XLOOKUP(FILTER(INDIRECT(""'""&amp;CN$1&amp;""'!$C$4:$C$66""),INDIRECT(""'""&amp;CN$1&amp;""'!$D$4:$D$66"")=CN$2),$G$3:$BQ$3,$G81:$BQ81)))"),-0.61512558)</f>
        <v>-0.61512558</v>
      </c>
      <c r="CO81" s="207">
        <f>IFERROR(__xludf.DUMMYFUNCTION("IF(OR(CN81&gt;$BS81+$BT81*$BT$2,CN81&lt;$BS81-$BT81*$BT$2),AVEDEV(ARRAYFORMULA(XLOOKUP(FILTER(INDIRECT(""'""&amp;CN$1&amp;""'!$C$4:$C$66""),INDIRECT(""'""&amp;CN$1&amp;""'!$D$4:$D$66"")=CN$2),$G$3:$BQ$3,$G81:$BQ81))),"""")"),0.29070630399999997)</f>
        <v>0.290706304</v>
      </c>
      <c r="CP81" s="252"/>
      <c r="CQ81" s="251">
        <f>IFERROR(__xludf.DUMMYFUNCTION("AVERAGE(ARRAYFORMULA(XLOOKUP(FILTER(INDIRECT(""'""&amp;CQ$1&amp;""'!$C$4:$C$66""),INDIRECT(""'""&amp;CQ$1&amp;""'!$D$4:$D$66"")=CQ$2),$G$3:$BQ$3,$G81:$BQ81)))"),-0.28817571357142857)</f>
        <v>-0.2881757136</v>
      </c>
      <c r="CR81" s="207" t="str">
        <f>IFERROR(__xludf.DUMMYFUNCTION("IF(OR(CQ81&gt;$BS81+$BT81*$BT$2,CQ81&lt;$BS81-$BT81*$BT$2),AVEDEV(ARRAYFORMULA(XLOOKUP(FILTER(INDIRECT(""'""&amp;CQ$1&amp;""'!$C$4:$C$66""),INDIRECT(""'""&amp;CQ$1&amp;""'!$D$4:$D$66"")=CQ$2),$G$3:$BQ$3,$G81:$BQ81))),"""")"),"")</f>
        <v/>
      </c>
      <c r="CS81" s="251">
        <f>IFERROR(__xludf.DUMMYFUNCTION("AVERAGE(ARRAYFORMULA(XLOOKUP(FILTER(INDIRECT(""'""&amp;CS$1&amp;""'!$C$4:$C$66""),INDIRECT(""'""&amp;CS$1&amp;""'!$D$4:$D$66"")=CS$2),$G$3:$BQ$3,$G81:$BQ81)))"),-0.08487877666666664)</f>
        <v>-0.08487877667</v>
      </c>
      <c r="CT81" s="207" t="str">
        <f>IFERROR(__xludf.DUMMYFUNCTION("IF(OR(CS81&gt;$BS81+$BT81*$BT$2,CS81&lt;$BS81-$BT81*$BT$2),AVEDEV(ARRAYFORMULA(XLOOKUP(FILTER(INDIRECT(""'""&amp;CS$1&amp;""'!$C$4:$C$66""),INDIRECT(""'""&amp;CS$1&amp;""'!$D$4:$D$66"")=CS$2),$G$3:$BQ$3,$G81:$BQ81))),"""")"),"")</f>
        <v/>
      </c>
      <c r="CU81" s="251">
        <f>IFERROR(__xludf.DUMMYFUNCTION("AVERAGE(ARRAYFORMULA(XLOOKUP(FILTER(INDIRECT(""'""&amp;CU$1&amp;""'!$C$4:$C$66""),INDIRECT(""'""&amp;CU$1&amp;""'!$D$4:$D$66"")=CU$2),$G$3:$BQ$3,$G81:$BQ81)))"),0.4636925654545454)</f>
        <v>0.4636925655</v>
      </c>
      <c r="CV81" s="207" t="str">
        <f>IFERROR(__xludf.DUMMYFUNCTION("IF(OR(CU81&gt;$BS81+$BT81*$BT$2,CU81&lt;$BS81-$BT81*$BT$2),AVEDEV(ARRAYFORMULA(XLOOKUP(FILTER(INDIRECT(""'""&amp;CU$1&amp;""'!$C$4:$C$66""),INDIRECT(""'""&amp;CU$1&amp;""'!$D$4:$D$66"")=CU$2),$G$3:$BQ$3,$G81:$BQ81))),"""")"),"")</f>
        <v/>
      </c>
      <c r="CW81" s="251">
        <f>IFERROR(__xludf.DUMMYFUNCTION("AVERAGE(ARRAYFORMULA(XLOOKUP(FILTER(INDIRECT(""'""&amp;CW$1&amp;""'!$C$4:$C$66""),INDIRECT(""'""&amp;CW$1&amp;""'!$D$4:$D$66"")=CW$2),$G$3:$BQ$3,$G81:$BQ81)))"),0.31566487)</f>
        <v>0.31566487</v>
      </c>
      <c r="CX81" s="207" t="str">
        <f>IFERROR(__xludf.DUMMYFUNCTION("IF(OR(CW81&gt;$BS81+$BT81*$BT$2,CW81&lt;$BS81-$BT81*$BT$2),AVEDEV(ARRAYFORMULA(XLOOKUP(FILTER(INDIRECT(""'""&amp;CW$1&amp;""'!$C$4:$C$66""),INDIRECT(""'""&amp;CW$1&amp;""'!$D$4:$D$66"")=CW$2),$G$3:$BQ$3,$G81:$BQ81))),"""")"),"")</f>
        <v/>
      </c>
      <c r="CY81" s="251">
        <f>IFERROR(__xludf.DUMMYFUNCTION("AVERAGE(ARRAYFORMULA(XLOOKUP(FILTER(INDIRECT(""'""&amp;CY$1&amp;""'!$C$4:$C$66""),INDIRECT(""'""&amp;CY$1&amp;""'!$D$4:$D$66"")=CY$2),$G$3:$BQ$3,$G81:$BQ81)))"),0.16715206785714284)</f>
        <v>0.1671520679</v>
      </c>
      <c r="CZ81" s="207" t="str">
        <f>IFERROR(__xludf.DUMMYFUNCTION("IF(OR(CY81&gt;$BS81+$BT81*$BT$2,CY81&lt;$BS81-$BT81*$BT$2),AVEDEV(ARRAYFORMULA(XLOOKUP(FILTER(INDIRECT(""'""&amp;CY$1&amp;""'!$C$4:$C$66""),INDIRECT(""'""&amp;CY$1&amp;""'!$D$4:$D$66"")=CY$2),$G$3:$BQ$3,$G81:$BQ81))),"""")"),"")</f>
        <v/>
      </c>
      <c r="DA81" s="252"/>
      <c r="DB81" s="251">
        <f>IFERROR(__xludf.DUMMYFUNCTION("AVERAGE(ARRAYFORMULA(XLOOKUP(FILTER(INDIRECT(""'""&amp;DB$1&amp;""'!$C$4:$C$66""),INDIRECT(""'""&amp;DB$1&amp;""'!$D$4:$D$66"")=DB$2),$G$3:$BQ$3,$G81:$BQ81)))"),-0.029733869333333336)</f>
        <v>-0.02973386933</v>
      </c>
      <c r="DC81" s="207" t="str">
        <f>IFERROR(__xludf.DUMMYFUNCTION("IF(OR(DB81&gt;$BS81+$BT81*$BT$2,DB81&lt;$BS81-$BT81*$BT$2),AVEDEV(ARRAYFORMULA(XLOOKUP(FILTER(INDIRECT(""'""&amp;DB$1&amp;""'!$C$4:$C$66""),INDIRECT(""'""&amp;DB$1&amp;""'!$D$4:$D$66"")=DB$2),$G$3:$BQ$3,$G81:$BQ81))),"""")"),"")</f>
        <v/>
      </c>
      <c r="DD81" s="251">
        <f>IFERROR(__xludf.DUMMYFUNCTION("AVERAGE(ARRAYFORMULA(XLOOKUP(FILTER(INDIRECT(""'""&amp;DD$1&amp;""'!$C$4:$C$66""),INDIRECT(""'""&amp;DD$1&amp;""'!$D$4:$D$66"")=DD$2),$G$3:$BQ$3,$G81:$BQ81)))"),-0.08859075999999996)</f>
        <v>-0.08859076</v>
      </c>
      <c r="DE81" s="207" t="str">
        <f>IFERROR(__xludf.DUMMYFUNCTION("IF(OR(DD81&gt;$BS81+$BT81*$BT$2,DD81&lt;$BS81-$BT81*$BT$2),AVEDEV(ARRAYFORMULA(XLOOKUP(FILTER(INDIRECT(""'""&amp;DD$1&amp;""'!$C$4:$C$66""),INDIRECT(""'""&amp;DD$1&amp;""'!$D$4:$D$66"")=DD$2),$G$3:$BQ$3,$G81:$BQ81))),"""")"),"")</f>
        <v/>
      </c>
      <c r="DF81" s="251">
        <f>IFERROR(__xludf.DUMMYFUNCTION("AVERAGE(ARRAYFORMULA(XLOOKUP(FILTER(INDIRECT(""'""&amp;DF$1&amp;""'!$C$4:$C$66""),INDIRECT(""'""&amp;DF$1&amp;""'!$D$4:$D$66"")=DF$2),$G$3:$BQ$3,$G81:$BQ81)))"),0.42871235874999997)</f>
        <v>0.4287123588</v>
      </c>
      <c r="DG81" s="207" t="str">
        <f>IFERROR(__xludf.DUMMYFUNCTION("IF(OR(DF81&gt;$BS81+$BT81*$BT$2,DF81&lt;$BS81-$BT81*$BT$2),AVEDEV(ARRAYFORMULA(XLOOKUP(FILTER(INDIRECT(""'""&amp;DF$1&amp;""'!$C$4:$C$66""),INDIRECT(""'""&amp;DF$1&amp;""'!$D$4:$D$66"")=DF$2),$G$3:$BQ$3,$G81:$BQ81))),"""")"),"")</f>
        <v/>
      </c>
      <c r="DH81" s="251">
        <f>IFERROR(__xludf.DUMMYFUNCTION("AVERAGE(ARRAYFORMULA(XLOOKUP(FILTER(INDIRECT(""'""&amp;DH$1&amp;""'!$C$4:$C$66""),INDIRECT(""'""&amp;DH$1&amp;""'!$D$4:$D$66"")=DH$2),$G$3:$BQ$3,$G81:$BQ81)))"),-0.03185876555555553)</f>
        <v>-0.03185876556</v>
      </c>
      <c r="DI81" s="207" t="str">
        <f>IFERROR(__xludf.DUMMYFUNCTION("IF(OR(DH81&gt;$BS81+$BT81*$BT$2,DH81&lt;$BS81-$BT81*$BT$2),AVEDEV(ARRAYFORMULA(XLOOKUP(FILTER(INDIRECT(""'""&amp;DH$1&amp;""'!$C$4:$C$66""),INDIRECT(""'""&amp;DH$1&amp;""'!$D$4:$D$66"")=DH$2),$G$3:$BQ$3,$G81:$BQ81))),"""")"),"")</f>
        <v/>
      </c>
      <c r="DJ81" s="243"/>
    </row>
    <row r="82">
      <c r="A82" s="2"/>
      <c r="B82" s="204">
        <v>78.0</v>
      </c>
      <c r="C82" s="204" t="s">
        <v>507</v>
      </c>
      <c r="D82" s="204" t="s">
        <v>523</v>
      </c>
      <c r="E82" s="205" t="b">
        <f>VLOOKUP(D82,'Feature Set List'!A79:C246,2,0)</f>
        <v>1</v>
      </c>
      <c r="F82" s="205" t="b">
        <f>VLOOKUP(D82,'Feature Set List'!A79:C246,3,0)</f>
        <v>1</v>
      </c>
      <c r="G82" s="205">
        <v>0.53674121</v>
      </c>
      <c r="H82" s="205">
        <v>0.10223642</v>
      </c>
      <c r="I82" s="205">
        <v>-2.5047923</v>
      </c>
      <c r="J82" s="205">
        <v>-0.313099</v>
      </c>
      <c r="K82" s="205">
        <v>-0.0223642</v>
      </c>
      <c r="L82" s="205">
        <v>0.15335463</v>
      </c>
      <c r="M82" s="205">
        <v>-0.313099</v>
      </c>
      <c r="N82" s="205">
        <v>0.83067093</v>
      </c>
      <c r="O82" s="205">
        <v>-0.1948882</v>
      </c>
      <c r="P82" s="205">
        <v>0.60063898</v>
      </c>
      <c r="Q82" s="205">
        <v>0.03833866</v>
      </c>
      <c r="R82" s="205">
        <v>1.09265176</v>
      </c>
      <c r="S82" s="205">
        <v>0.89456869</v>
      </c>
      <c r="T82" s="205">
        <v>0.65495208</v>
      </c>
      <c r="U82" s="205">
        <v>-1.0766773</v>
      </c>
      <c r="V82" s="205">
        <v>-0.0223642</v>
      </c>
      <c r="W82" s="205">
        <v>-0.341853</v>
      </c>
      <c r="X82" s="205">
        <v>3.43450479</v>
      </c>
      <c r="Y82" s="205">
        <v>-0.1277955</v>
      </c>
      <c r="Z82" s="205">
        <v>0.33546326</v>
      </c>
      <c r="AA82" s="205">
        <v>3.79872204</v>
      </c>
      <c r="AB82" s="205">
        <v>1.90095847</v>
      </c>
      <c r="AC82" s="205">
        <v>0.54632588</v>
      </c>
      <c r="AD82" s="205">
        <v>-0.2523962</v>
      </c>
      <c r="AE82" s="205">
        <v>1.08626198</v>
      </c>
      <c r="AF82" s="205">
        <v>0.17891374</v>
      </c>
      <c r="AG82" s="205">
        <v>-0.5047923</v>
      </c>
      <c r="AH82" s="205">
        <v>1.52396166</v>
      </c>
      <c r="AI82" s="205">
        <v>-0.7603834</v>
      </c>
      <c r="AJ82" s="205">
        <v>1.04153355</v>
      </c>
      <c r="AK82" s="205">
        <v>-0.6805112</v>
      </c>
      <c r="AL82" s="205">
        <v>-0.686901</v>
      </c>
      <c r="AM82" s="205">
        <v>-0.514377</v>
      </c>
      <c r="AN82" s="205">
        <v>-0.0670927</v>
      </c>
      <c r="AO82" s="205">
        <v>-0.428115</v>
      </c>
      <c r="AP82" s="205">
        <v>-0.0926518</v>
      </c>
      <c r="AQ82" s="205">
        <v>0.84664537</v>
      </c>
      <c r="AR82" s="205">
        <v>0.71565495</v>
      </c>
      <c r="AS82" s="205">
        <v>0.90095847</v>
      </c>
      <c r="AT82" s="205">
        <v>0.7571885</v>
      </c>
      <c r="AU82" s="205">
        <v>-0.1341853</v>
      </c>
      <c r="AV82" s="205">
        <v>-0.3162939</v>
      </c>
      <c r="AW82" s="205">
        <v>0.43450479</v>
      </c>
      <c r="AX82" s="205">
        <v>-0.2875399</v>
      </c>
      <c r="AY82" s="205">
        <v>0.0</v>
      </c>
      <c r="AZ82" s="205">
        <v>1.71565495</v>
      </c>
      <c r="BA82" s="205">
        <v>-0.4217252</v>
      </c>
      <c r="BB82" s="205">
        <v>1.03194888</v>
      </c>
      <c r="BC82" s="205">
        <v>0.07348243</v>
      </c>
      <c r="BD82" s="205">
        <v>-0.6517572</v>
      </c>
      <c r="BE82" s="205">
        <v>-0.5047923</v>
      </c>
      <c r="BF82" s="205">
        <v>-0.7060703</v>
      </c>
      <c r="BG82" s="205">
        <v>0.07028754</v>
      </c>
      <c r="BH82" s="205">
        <v>0.21086262</v>
      </c>
      <c r="BI82" s="205">
        <v>-0.0383387</v>
      </c>
      <c r="BJ82" s="205">
        <v>-0.057508</v>
      </c>
      <c r="BK82" s="205">
        <v>-0.0638978</v>
      </c>
      <c r="BL82" s="205">
        <v>-2.8600639</v>
      </c>
      <c r="BM82" s="205">
        <v>5.98402556</v>
      </c>
      <c r="BN82" s="205">
        <v>0.04472843</v>
      </c>
      <c r="BO82" s="205">
        <v>0.46325879</v>
      </c>
      <c r="BP82" s="205">
        <v>-0.2715655</v>
      </c>
      <c r="BQ82" s="205">
        <v>-0.6453674</v>
      </c>
      <c r="BR82" s="206"/>
      <c r="BS82" s="250">
        <f t="shared" si="1"/>
        <v>0.256138751</v>
      </c>
      <c r="BT82" s="250">
        <f t="shared" si="2"/>
        <v>0.8011620403</v>
      </c>
      <c r="BU82" s="206"/>
      <c r="BV82" s="207">
        <f>IFERROR(__xludf.DUMMYFUNCTION("AVERAGE(ARRAYFORMULA(XLOOKUP(FILTER(INDIRECT(""'""&amp;BV$1&amp;""'!$C$4:$C$66""),INDIRECT(""'""&amp;BV$1&amp;""'!$D$4:$D$66"")=BV$2),$G$3:$BQ$3,$G82:$BQ82)))"),-0.057599261428571476)</f>
        <v>-0.05759926143</v>
      </c>
      <c r="BW82" s="207" t="str">
        <f>IFERROR(__xludf.DUMMYFUNCTION("IF(OR(BV82&gt;$BS82+$BT82*$BT$2,BV82&lt;$BS82-$BT82*$BT$2),AVEDEV(ARRAYFORMULA(XLOOKUP(FILTER(INDIRECT(""'""&amp;BV$1&amp;""'!$C$4:$C$66""),INDIRECT(""'""&amp;BV$1&amp;""'!$D$4:$D$66"")=BV$2),$G$3:$BQ$3,$G82:$BQ82))),"""")"),"")</f>
        <v/>
      </c>
      <c r="BX82" s="207">
        <f>IFERROR(__xludf.DUMMYFUNCTION("AVERAGE(ARRAYFORMULA(XLOOKUP(FILTER(INDIRECT(""'""&amp;BX$1&amp;""'!$C$4:$C$66""),INDIRECT(""'""&amp;BX$1&amp;""'!$D$4:$D$66"")=BX$2),$G$3:$BQ$3,$G82:$BQ82)))"),0.2669252973809524)</f>
        <v>0.2669252974</v>
      </c>
      <c r="BY82" s="207" t="str">
        <f>IFERROR(__xludf.DUMMYFUNCTION("IF(OR(BX82&gt;$BS82+$BT82*$BT$2,BX82&lt;$BS82-$BT82*$BT$2),AVEDEV(ARRAYFORMULA(XLOOKUP(FILTER(INDIRECT(""'""&amp;BX$1&amp;""'!$C$4:$C$66""),INDIRECT(""'""&amp;BX$1&amp;""'!$D$4:$D$66"")=BX$2),$G$3:$BQ$3,$G82:$BQ82))),"""")"),"")</f>
        <v/>
      </c>
      <c r="BZ82" s="207">
        <f>IFERROR(__xludf.DUMMYFUNCTION("AVERAGE(ARRAYFORMULA(XLOOKUP(FILTER(INDIRECT(""'""&amp;BZ$1&amp;""'!$C$4:$C$66""),INDIRECT(""'""&amp;BZ$1&amp;""'!$D$4:$D$66"")=BZ$2),$G$3:$BQ$3,$G82:$BQ82)))"),0.7836189499999999)</f>
        <v>0.78361895</v>
      </c>
      <c r="CA82" s="207" t="str">
        <f>IFERROR(__xludf.DUMMYFUNCTION("IF(OR(BZ82&gt;$BS82+$BT82*$BT$2,BZ82&lt;$BS82-$BT82*$BT$2),AVEDEV(ARRAYFORMULA(XLOOKUP(FILTER(INDIRECT(""'""&amp;BZ$1&amp;""'!$C$4:$C$66""),INDIRECT(""'""&amp;BZ$1&amp;""'!$D$4:$D$66"")=BZ$2),$G$3:$BQ$3,$G82:$BQ82))),"""")"),"")</f>
        <v/>
      </c>
      <c r="CB82" s="209"/>
      <c r="CC82" s="207">
        <f>IFERROR(__xludf.DUMMYFUNCTION("AVERAGE(ARRAYFORMULA(XLOOKUP(FILTER(INDIRECT(""'""&amp;CC$1&amp;""'!$C$4:$C$66""),INDIRECT(""'""&amp;CC$1&amp;""'!$D$4:$D$66"")=CC$2),$G$3:$BQ$3,$G82:$BQ82)))"),0.056908948125000004)</f>
        <v>0.05690894813</v>
      </c>
      <c r="CD82" s="207" t="str">
        <f>IFERROR(__xludf.DUMMYFUNCTION("IF(OR(CC82&gt;$BS82+$BT82*$BT$2,CC82&lt;$BS82-$BT82*$BT$2),AVEDEV(ARRAYFORMULA(XLOOKUP(FILTER(INDIRECT(""'""&amp;CC$1&amp;""'!$C$4:$C$66""),INDIRECT(""'""&amp;CC$1&amp;""'!$D$4:$D$66"")=CC$2),$G$3:$BQ$3,$G82:$BQ82))),"""")"),"")</f>
        <v/>
      </c>
      <c r="CE82" s="207">
        <f>IFERROR(__xludf.DUMMYFUNCTION("AVERAGE(ARRAYFORMULA(XLOOKUP(FILTER(INDIRECT(""'""&amp;CE$1&amp;""'!$C$4:$C$66""),INDIRECT(""'""&amp;CE$1&amp;""'!$D$4:$D$66"")=CE$2),$G$3:$BQ$3,$G82:$BQ82)))"),0.2952695022580645)</f>
        <v>0.2952695023</v>
      </c>
      <c r="CF82" s="207" t="str">
        <f>IFERROR(__xludf.DUMMYFUNCTION("IF(OR(CE82&gt;$BS82+$BT82*$BT$2,CE82&lt;$BS82-$BT82*$BT$2),AVEDEV(ARRAYFORMULA(XLOOKUP(FILTER(INDIRECT(""'""&amp;CE$1&amp;""'!$C$4:$C$66""),INDIRECT(""'""&amp;CE$1&amp;""'!$D$4:$D$66"")=CE$2),$G$3:$BQ$3,$G82:$BQ82))),"""")"),"")</f>
        <v/>
      </c>
      <c r="CG82" s="207">
        <f>IFERROR(__xludf.DUMMYFUNCTION("AVERAGE(ARRAYFORMULA(XLOOKUP(FILTER(INDIRECT(""'""&amp;CG$1&amp;""'!$C$4:$C$66""),INDIRECT(""'""&amp;CG$1&amp;""'!$D$4:$D$66"")=CG$2),$G$3:$BQ$3,$G82:$BQ82)))"),0.361022374)</f>
        <v>0.361022374</v>
      </c>
      <c r="CH82" s="207" t="str">
        <f>IFERROR(__xludf.DUMMYFUNCTION("IF(OR(CG82&gt;$BS82+$BT82*$BT$2,CG82&lt;$BS82-$BT82*$BT$2),AVEDEV(ARRAYFORMULA(XLOOKUP(FILTER(INDIRECT(""'""&amp;CG$1&amp;""'!$C$4:$C$66""),INDIRECT(""'""&amp;CG$1&amp;""'!$D$4:$D$66"")=CG$2),$G$3:$BQ$3,$G82:$BQ82))),"""")"),"")</f>
        <v/>
      </c>
      <c r="CI82" s="206"/>
      <c r="CJ82" s="251">
        <f>IFERROR(__xludf.DUMMYFUNCTION("AVERAGE(ARRAYFORMULA(XLOOKUP(FILTER(INDIRECT(""'""&amp;CJ$1&amp;""'!$C$4:$C$66""),INDIRECT(""'""&amp;CJ$1&amp;""'!$D$4:$D$66"")=CJ$2),$G$3:$BQ$3,$G82:$BQ82)))"),1.3456869060000003)</f>
        <v>1.345686906</v>
      </c>
      <c r="CK82" s="207">
        <f>IFERROR(__xludf.DUMMYFUNCTION("IF(OR(CJ82&gt;$BS82+$BT82*$BT$2,CJ82&lt;$BS82-$BT82*$BT$2),AVEDEV(ARRAYFORMULA(XLOOKUP(FILTER(INDIRECT(""'""&amp;CJ$1&amp;""'!$C$4:$C$66""),INDIRECT(""'""&amp;CJ$1&amp;""'!$D$4:$D$66"")=CJ$2),$G$3:$BQ$3,$G82:$BQ82))),"""")"),1.321831732)</f>
        <v>1.321831732</v>
      </c>
      <c r="CL82" s="251">
        <f>IFERROR(__xludf.DUMMYFUNCTION("AVERAGE(ARRAYFORMULA(XLOOKUP(FILTER(INDIRECT(""'""&amp;CL$1&amp;""'!$C$4:$C$66""),INDIRECT(""'""&amp;CL$1&amp;""'!$D$4:$D$66"")=CL$2),$G$3:$BQ$3,$G82:$BQ82)))"),0.007618578205128192)</f>
        <v>0.007618578205</v>
      </c>
      <c r="CM82" s="207" t="str">
        <f>IFERROR(__xludf.DUMMYFUNCTION("IF(OR(CL82&gt;$BS82+$BT82*$BT$2,CL82&lt;$BS82-$BT82*$BT$2),AVEDEV(ARRAYFORMULA(XLOOKUP(FILTER(INDIRECT(""'""&amp;CL$1&amp;""'!$C$4:$C$66""),INDIRECT(""'""&amp;CL$1&amp;""'!$D$4:$D$66"")=CL$2),$G$3:$BQ$3,$G82:$BQ82))),"""")"),"")</f>
        <v/>
      </c>
      <c r="CN82" s="251">
        <f>IFERROR(__xludf.DUMMYFUNCTION("AVERAGE(ARRAYFORMULA(XLOOKUP(FILTER(INDIRECT(""'""&amp;CN$1&amp;""'!$C$4:$C$66""),INDIRECT(""'""&amp;CN$1&amp;""'!$D$4:$D$66"")=CN$2),$G$3:$BQ$3,$G82:$BQ82)))"),0.361022374)</f>
        <v>0.361022374</v>
      </c>
      <c r="CO82" s="207" t="str">
        <f>IFERROR(__xludf.DUMMYFUNCTION("IF(OR(CN82&gt;$BS82+$BT82*$BT$2,CN82&lt;$BS82-$BT82*$BT$2),AVEDEV(ARRAYFORMULA(XLOOKUP(FILTER(INDIRECT(""'""&amp;CN$1&amp;""'!$C$4:$C$66""),INDIRECT(""'""&amp;CN$1&amp;""'!$D$4:$D$66"")=CN$2),$G$3:$BQ$3,$G82:$BQ82))),"""")"),"")</f>
        <v/>
      </c>
      <c r="CP82" s="252"/>
      <c r="CQ82" s="251">
        <f>IFERROR(__xludf.DUMMYFUNCTION("AVERAGE(ARRAYFORMULA(XLOOKUP(FILTER(INDIRECT(""'""&amp;CQ$1&amp;""'!$C$4:$C$66""),INDIRECT(""'""&amp;CQ$1&amp;""'!$D$4:$D$66"")=CQ$2),$G$3:$BQ$3,$G82:$BQ82)))"),-0.037882250714285734)</f>
        <v>-0.03788225071</v>
      </c>
      <c r="CR82" s="207" t="str">
        <f>IFERROR(__xludf.DUMMYFUNCTION("IF(OR(CQ82&gt;$BS82+$BT82*$BT$2,CQ82&lt;$BS82-$BT82*$BT$2),AVEDEV(ARRAYFORMULA(XLOOKUP(FILTER(INDIRECT(""'""&amp;CQ$1&amp;""'!$C$4:$C$66""),INDIRECT(""'""&amp;CQ$1&amp;""'!$D$4:$D$66"")=CQ$2),$G$3:$BQ$3,$G82:$BQ82))),"""")"),"")</f>
        <v/>
      </c>
      <c r="CS82" s="251">
        <f>IFERROR(__xludf.DUMMYFUNCTION("AVERAGE(ARRAYFORMULA(XLOOKUP(FILTER(INDIRECT(""'""&amp;CS$1&amp;""'!$C$4:$C$66""),INDIRECT(""'""&amp;CS$1&amp;""'!$D$4:$D$66"")=CS$2),$G$3:$BQ$3,$G82:$BQ82)))"),0.10223643777777777)</f>
        <v>0.1022364378</v>
      </c>
      <c r="CT82" s="207" t="str">
        <f>IFERROR(__xludf.DUMMYFUNCTION("IF(OR(CS82&gt;$BS82+$BT82*$BT$2,CS82&lt;$BS82-$BT82*$BT$2),AVEDEV(ARRAYFORMULA(XLOOKUP(FILTER(INDIRECT(""'""&amp;CS$1&amp;""'!$C$4:$C$66""),INDIRECT(""'""&amp;CS$1&amp;""'!$D$4:$D$66"")=CS$2),$G$3:$BQ$3,$G82:$BQ82))),"""")"),"")</f>
        <v/>
      </c>
      <c r="CU82" s="251">
        <f>IFERROR(__xludf.DUMMYFUNCTION("AVERAGE(ARRAYFORMULA(XLOOKUP(FILTER(INDIRECT(""'""&amp;CU$1&amp;""'!$C$4:$C$66""),INDIRECT(""'""&amp;CU$1&amp;""'!$D$4:$D$66"")=CU$2),$G$3:$BQ$3,$G82:$BQ82)))"),0.9854777836363637)</f>
        <v>0.9854777836</v>
      </c>
      <c r="CV82" s="207" t="str">
        <f>IFERROR(__xludf.DUMMYFUNCTION("IF(OR(CU82&gt;$BS82+$BT82*$BT$2,CU82&lt;$BS82-$BT82*$BT$2),AVEDEV(ARRAYFORMULA(XLOOKUP(FILTER(INDIRECT(""'""&amp;CU$1&amp;""'!$C$4:$C$66""),INDIRECT(""'""&amp;CU$1&amp;""'!$D$4:$D$66"")=CU$2),$G$3:$BQ$3,$G82:$BQ82))),"""")"),"")</f>
        <v/>
      </c>
      <c r="CW82" s="251">
        <f>IFERROR(__xludf.DUMMYFUNCTION("AVERAGE(ARRAYFORMULA(XLOOKUP(FILTER(INDIRECT(""'""&amp;CW$1&amp;""'!$C$4:$C$66""),INDIRECT(""'""&amp;CW$1&amp;""'!$D$4:$D$66"")=CW$2),$G$3:$BQ$3,$G82:$BQ82)))"),-0.020766790000000007)</f>
        <v>-0.02076679</v>
      </c>
      <c r="CX82" s="207" t="str">
        <f>IFERROR(__xludf.DUMMYFUNCTION("IF(OR(CW82&gt;$BS82+$BT82*$BT$2,CW82&lt;$BS82-$BT82*$BT$2),AVEDEV(ARRAYFORMULA(XLOOKUP(FILTER(INDIRECT(""'""&amp;CW$1&amp;""'!$C$4:$C$66""),INDIRECT(""'""&amp;CW$1&amp;""'!$D$4:$D$66"")=CW$2),$G$3:$BQ$3,$G82:$BQ82))),"""")"),"")</f>
        <v/>
      </c>
      <c r="CY82" s="251">
        <f>IFERROR(__xludf.DUMMYFUNCTION("AVERAGE(ARRAYFORMULA(XLOOKUP(FILTER(INDIRECT(""'""&amp;CY$1&amp;""'!$C$4:$C$66""),INDIRECT(""'""&amp;CY$1&amp;""'!$D$4:$D$66"")=CY$2),$G$3:$BQ$3,$G82:$BQ82)))"),0.12711090285714285)</f>
        <v>0.1271109029</v>
      </c>
      <c r="CZ82" s="207" t="str">
        <f>IFERROR(__xludf.DUMMYFUNCTION("IF(OR(CY82&gt;$BS82+$BT82*$BT$2,CY82&lt;$BS82-$BT82*$BT$2),AVEDEV(ARRAYFORMULA(XLOOKUP(FILTER(INDIRECT(""'""&amp;CY$1&amp;""'!$C$4:$C$66""),INDIRECT(""'""&amp;CY$1&amp;""'!$D$4:$D$66"")=CY$2),$G$3:$BQ$3,$G82:$BQ82))),"""")"),"")</f>
        <v/>
      </c>
      <c r="DA82" s="252"/>
      <c r="DB82" s="251">
        <f>IFERROR(__xludf.DUMMYFUNCTION("AVERAGE(ARRAYFORMULA(XLOOKUP(FILTER(INDIRECT(""'""&amp;DB$1&amp;""'!$C$4:$C$66""),INDIRECT(""'""&amp;DB$1&amp;""'!$D$4:$D$66"")=DB$2),$G$3:$BQ$3,$G82:$BQ82)))"),0.11395100933333334)</f>
        <v>0.1139510093</v>
      </c>
      <c r="DC82" s="207" t="str">
        <f>IFERROR(__xludf.DUMMYFUNCTION("IF(OR(DB82&gt;$BS82+$BT82*$BT$2,DB82&lt;$BS82-$BT82*$BT$2),AVEDEV(ARRAYFORMULA(XLOOKUP(FILTER(INDIRECT(""'""&amp;DB$1&amp;""'!$C$4:$C$66""),INDIRECT(""'""&amp;DB$1&amp;""'!$D$4:$D$66"")=DB$2),$G$3:$BQ$3,$G82:$BQ82))),"""")"),"")</f>
        <v/>
      </c>
      <c r="DD82" s="251">
        <f>IFERROR(__xludf.DUMMYFUNCTION("AVERAGE(ARRAYFORMULA(XLOOKUP(FILTER(INDIRECT(""'""&amp;DD$1&amp;""'!$C$4:$C$66""),INDIRECT(""'""&amp;DD$1&amp;""'!$D$4:$D$66"")=DD$2),$G$3:$BQ$3,$G82:$BQ82)))"),0.7263045955555555)</f>
        <v>0.7263045956</v>
      </c>
      <c r="DE82" s="207" t="str">
        <f>IFERROR(__xludf.DUMMYFUNCTION("IF(OR(DD82&gt;$BS82+$BT82*$BT$2,DD82&lt;$BS82-$BT82*$BT$2),AVEDEV(ARRAYFORMULA(XLOOKUP(FILTER(INDIRECT(""'""&amp;DD$1&amp;""'!$C$4:$C$66""),INDIRECT(""'""&amp;DD$1&amp;""'!$D$4:$D$66"")=DD$2),$G$3:$BQ$3,$G82:$BQ82))),"""")"),"")</f>
        <v/>
      </c>
      <c r="DF82" s="251">
        <f>IFERROR(__xludf.DUMMYFUNCTION("AVERAGE(ARRAYFORMULA(XLOOKUP(FILTER(INDIRECT(""'""&amp;DF$1&amp;""'!$C$4:$C$66""),INDIRECT(""'""&amp;DF$1&amp;""'!$D$4:$D$66"")=DF$2),$G$3:$BQ$3,$G82:$BQ82)))"),0.90894568625)</f>
        <v>0.9089456863</v>
      </c>
      <c r="DG82" s="207" t="str">
        <f>IFERROR(__xludf.DUMMYFUNCTION("IF(OR(DF82&gt;$BS82+$BT82*$BT$2,DF82&lt;$BS82-$BT82*$BT$2),AVEDEV(ARRAYFORMULA(XLOOKUP(FILTER(INDIRECT(""'""&amp;DF$1&amp;""'!$C$4:$C$66""),INDIRECT(""'""&amp;DF$1&amp;""'!$D$4:$D$66"")=DF$2),$G$3:$BQ$3,$G82:$BQ82))),"""")"),"")</f>
        <v/>
      </c>
      <c r="DH82" s="251">
        <f>IFERROR(__xludf.DUMMYFUNCTION("AVERAGE(ARRAYFORMULA(XLOOKUP(FILTER(INDIRECT(""'""&amp;DH$1&amp;""'!$C$4:$C$66""),INDIRECT(""'""&amp;DH$1&amp;""'!$D$4:$D$66"")=DH$2),$G$3:$BQ$3,$G82:$BQ82)))"),0.14873979333333331)</f>
        <v>0.1487397933</v>
      </c>
      <c r="DI82" s="207" t="str">
        <f>IFERROR(__xludf.DUMMYFUNCTION("IF(OR(DH82&gt;$BS82+$BT82*$BT$2,DH82&lt;$BS82-$BT82*$BT$2),AVEDEV(ARRAYFORMULA(XLOOKUP(FILTER(INDIRECT(""'""&amp;DH$1&amp;""'!$C$4:$C$66""),INDIRECT(""'""&amp;DH$1&amp;""'!$D$4:$D$66"")=DH$2),$G$3:$BQ$3,$G82:$BQ82))),"""")"),"")</f>
        <v/>
      </c>
      <c r="DJ82" s="243"/>
    </row>
    <row r="83">
      <c r="A83" s="2"/>
      <c r="B83" s="204">
        <v>79.0</v>
      </c>
      <c r="C83" s="204" t="s">
        <v>507</v>
      </c>
      <c r="D83" s="204" t="s">
        <v>524</v>
      </c>
      <c r="E83" s="205" t="b">
        <f>VLOOKUP(D83,'Feature Set List'!A80:C246,2,0)</f>
        <v>1</v>
      </c>
      <c r="F83" s="205" t="b">
        <f>VLOOKUP(D83,'Feature Set List'!A80:C246,3,0)</f>
        <v>1</v>
      </c>
      <c r="G83" s="205">
        <v>1.1490613</v>
      </c>
      <c r="H83" s="205">
        <v>0.11309658</v>
      </c>
      <c r="I83" s="205">
        <v>-0.0814295</v>
      </c>
      <c r="J83" s="205">
        <v>-0.7781045</v>
      </c>
      <c r="K83" s="205">
        <v>1.18072834</v>
      </c>
      <c r="L83" s="205">
        <v>0.0859534</v>
      </c>
      <c r="M83" s="205">
        <v>2.42479077</v>
      </c>
      <c r="N83" s="205">
        <v>-1.9425469</v>
      </c>
      <c r="O83" s="205">
        <v>0.19452613</v>
      </c>
      <c r="P83" s="205">
        <v>-1.1544899</v>
      </c>
      <c r="Q83" s="205">
        <v>-0.3578376</v>
      </c>
      <c r="R83" s="205">
        <v>-1.1192038</v>
      </c>
      <c r="S83" s="205">
        <v>-0.4736485</v>
      </c>
      <c r="T83" s="205">
        <v>-0.2384076</v>
      </c>
      <c r="U83" s="205">
        <v>-1.8828319</v>
      </c>
      <c r="V83" s="205">
        <v>-0.7930333</v>
      </c>
      <c r="W83" s="205">
        <v>0.80072382</v>
      </c>
      <c r="X83" s="205">
        <v>-2.4668627</v>
      </c>
      <c r="Y83" s="205">
        <v>1.4204931</v>
      </c>
      <c r="Z83" s="205">
        <v>0.17643067</v>
      </c>
      <c r="AA83" s="205">
        <v>-2.4066953</v>
      </c>
      <c r="AB83" s="205">
        <v>0.09047727</v>
      </c>
      <c r="AC83" s="205">
        <v>-0.1583352</v>
      </c>
      <c r="AD83" s="205">
        <v>0.14023976</v>
      </c>
      <c r="AE83" s="205">
        <v>-1.1608233</v>
      </c>
      <c r="AF83" s="205">
        <v>-0.3800045</v>
      </c>
      <c r="AG83" s="205">
        <v>-0.9852974</v>
      </c>
      <c r="AH83" s="205">
        <v>-0.8545578</v>
      </c>
      <c r="AI83" s="205">
        <v>0.0</v>
      </c>
      <c r="AJ83" s="205">
        <v>0.35738521</v>
      </c>
      <c r="AK83" s="205">
        <v>0.2352409</v>
      </c>
      <c r="AL83" s="205">
        <v>0.37548066</v>
      </c>
      <c r="AM83" s="205">
        <v>-0.0950011</v>
      </c>
      <c r="AN83" s="205">
        <v>0.77358064</v>
      </c>
      <c r="AO83" s="205">
        <v>0.27595567</v>
      </c>
      <c r="AP83" s="205">
        <v>0.00452386</v>
      </c>
      <c r="AQ83" s="205">
        <v>0.15833522</v>
      </c>
      <c r="AR83" s="205">
        <v>-0.0452386</v>
      </c>
      <c r="AS83" s="205">
        <v>-1.1612757</v>
      </c>
      <c r="AT83" s="205">
        <v>0.17643067</v>
      </c>
      <c r="AU83" s="205">
        <v>-1.0395838</v>
      </c>
      <c r="AV83" s="205">
        <v>0.48405338</v>
      </c>
      <c r="AW83" s="205">
        <v>-1.026917</v>
      </c>
      <c r="AX83" s="205">
        <v>0.9138204</v>
      </c>
      <c r="AY83" s="205">
        <v>-0.4329337</v>
      </c>
      <c r="AZ83" s="205">
        <v>-0.5505542</v>
      </c>
      <c r="BA83" s="205">
        <v>-0.3062656</v>
      </c>
      <c r="BB83" s="205">
        <v>-0.71658</v>
      </c>
      <c r="BC83" s="205">
        <v>-0.0769057</v>
      </c>
      <c r="BD83" s="205">
        <v>0.75096132</v>
      </c>
      <c r="BE83" s="205">
        <v>0.26238408</v>
      </c>
      <c r="BF83" s="205">
        <v>0.30309885</v>
      </c>
      <c r="BG83" s="205">
        <v>-0.4234336</v>
      </c>
      <c r="BH83" s="205">
        <v>0.42976702</v>
      </c>
      <c r="BI83" s="205">
        <v>0.71929428</v>
      </c>
      <c r="BJ83" s="205">
        <v>0.54738747</v>
      </c>
      <c r="BK83" s="205">
        <v>-0.1176204</v>
      </c>
      <c r="BL83" s="205">
        <v>0.29405112</v>
      </c>
      <c r="BM83" s="205">
        <v>-2.4139335</v>
      </c>
      <c r="BN83" s="205">
        <v>0.97263063</v>
      </c>
      <c r="BO83" s="205">
        <v>-0.2759557</v>
      </c>
      <c r="BP83" s="205">
        <v>2.08097715</v>
      </c>
      <c r="BQ83" s="205">
        <v>1.60144764</v>
      </c>
      <c r="BR83" s="206"/>
      <c r="BS83" s="250">
        <f t="shared" si="1"/>
        <v>-0.1019520792</v>
      </c>
      <c r="BT83" s="250">
        <f t="shared" si="2"/>
        <v>0.7258738813</v>
      </c>
      <c r="BU83" s="206"/>
      <c r="BV83" s="207">
        <f>IFERROR(__xludf.DUMMYFUNCTION("AVERAGE(ARRAYFORMULA(XLOOKUP(FILTER(INDIRECT(""'""&amp;BV$1&amp;""'!$C$4:$C$66""),INDIRECT(""'""&amp;BV$1&amp;""'!$D$4:$D$66"")=BV$2),$G$3:$BQ$3,$G83:$BQ83)))"),-0.6666882042857143)</f>
        <v>-0.6666882043</v>
      </c>
      <c r="BW83" s="207" t="str">
        <f>IFERROR(__xludf.DUMMYFUNCTION("IF(OR(BV83&gt;$BS83+$BT83*$BT$2,BV83&lt;$BS83-$BT83*$BT$2),AVEDEV(ARRAYFORMULA(XLOOKUP(FILTER(INDIRECT(""'""&amp;BV$1&amp;""'!$C$4:$C$66""),INDIRECT(""'""&amp;BV$1&amp;""'!$D$4:$D$66"")=BV$2),$G$3:$BQ$3,$G83:$BQ83))),"""")"),"")</f>
        <v/>
      </c>
      <c r="BX83" s="207">
        <f>IFERROR(__xludf.DUMMYFUNCTION("AVERAGE(ARRAYFORMULA(XLOOKUP(FILTER(INDIRECT(""'""&amp;BX$1&amp;""'!$C$4:$C$66""),INDIRECT(""'""&amp;BX$1&amp;""'!$D$4:$D$66"")=BX$2),$G$3:$BQ$3,$G83:$BQ83)))"),-0.05293996833333333)</f>
        <v>-0.05293996833</v>
      </c>
      <c r="BY83" s="207" t="str">
        <f>IFERROR(__xludf.DUMMYFUNCTION("IF(OR(BX83&gt;$BS83+$BT83*$BT$2,BX83&lt;$BS83-$BT83*$BT$2),AVEDEV(ARRAYFORMULA(XLOOKUP(FILTER(INDIRECT(""'""&amp;BX$1&amp;""'!$C$4:$C$66""),INDIRECT(""'""&amp;BX$1&amp;""'!$D$4:$D$66"")=BX$2),$G$3:$BQ$3,$G83:$BQ83))),"""")"),"")</f>
        <v/>
      </c>
      <c r="BZ83" s="207">
        <f>IFERROR(__xludf.DUMMYFUNCTION("AVERAGE(ARRAYFORMULA(XLOOKUP(FILTER(INDIRECT(""'""&amp;BZ$1&amp;""'!$C$4:$C$66""),INDIRECT(""'""&amp;BZ$1&amp;""'!$D$4:$D$66"")=BZ$2),$G$3:$BQ$3,$G83:$BQ83)))"),0.07612428090909087)</f>
        <v>0.07612428091</v>
      </c>
      <c r="CA83" s="207" t="str">
        <f>IFERROR(__xludf.DUMMYFUNCTION("IF(OR(BZ83&gt;$BS83+$BT83*$BT$2,BZ83&lt;$BS83-$BT83*$BT$2),AVEDEV(ARRAYFORMULA(XLOOKUP(FILTER(INDIRECT(""'""&amp;BZ$1&amp;""'!$C$4:$C$66""),INDIRECT(""'""&amp;BZ$1&amp;""'!$D$4:$D$66"")=BZ$2),$G$3:$BQ$3,$G83:$BQ83))),"""")"),"")</f>
        <v/>
      </c>
      <c r="CB83" s="209"/>
      <c r="CC83" s="207">
        <f>IFERROR(__xludf.DUMMYFUNCTION("AVERAGE(ARRAYFORMULA(XLOOKUP(FILTER(INDIRECT(""'""&amp;CC$1&amp;""'!$C$4:$C$66""),INDIRECT(""'""&amp;CC$1&amp;""'!$D$4:$D$66"")=CC$2),$G$3:$BQ$3,$G83:$BQ83)))"),-0.44466749250000004)</f>
        <v>-0.4446674925</v>
      </c>
      <c r="CD83" s="207" t="str">
        <f>IFERROR(__xludf.DUMMYFUNCTION("IF(OR(CC83&gt;$BS83+$BT83*$BT$2,CC83&lt;$BS83-$BT83*$BT$2),AVEDEV(ARRAYFORMULA(XLOOKUP(FILTER(INDIRECT(""'""&amp;CC$1&amp;""'!$C$4:$C$66""),INDIRECT(""'""&amp;CC$1&amp;""'!$D$4:$D$66"")=CC$2),$G$3:$BQ$3,$G83:$BQ83))),"""")"),"")</f>
        <v/>
      </c>
      <c r="CE83" s="207">
        <f>IFERROR(__xludf.DUMMYFUNCTION("AVERAGE(ARRAYFORMULA(XLOOKUP(FILTER(INDIRECT(""'""&amp;CE$1&amp;""'!$C$4:$C$66""),INDIRECT(""'""&amp;CE$1&amp;""'!$D$4:$D$66"")=CE$2),$G$3:$BQ$3,$G83:$BQ83)))"),0.22305565419354836)</f>
        <v>0.2230556542</v>
      </c>
      <c r="CF83" s="207" t="str">
        <f>IFERROR(__xludf.DUMMYFUNCTION("IF(OR(CE83&gt;$BS83+$BT83*$BT$2,CE83&lt;$BS83-$BT83*$BT$2),AVEDEV(ARRAYFORMULA(XLOOKUP(FILTER(INDIRECT(""'""&amp;CE$1&amp;""'!$C$4:$C$66""),INDIRECT(""'""&amp;CE$1&amp;""'!$D$4:$D$66"")=CE$2),$G$3:$BQ$3,$G83:$BQ83))),"""")"),"")</f>
        <v/>
      </c>
      <c r="CG83" s="207">
        <f>IFERROR(__xludf.DUMMYFUNCTION("AVERAGE(ARRAYFORMULA(XLOOKUP(FILTER(INDIRECT(""'""&amp;CG$1&amp;""'!$C$4:$C$66""),INDIRECT(""'""&amp;CG$1&amp;""'!$D$4:$D$66"")=CG$2),$G$3:$BQ$3,$G83:$BQ83)))"),-0.6567744799999999)</f>
        <v>-0.65677448</v>
      </c>
      <c r="CH83" s="207" t="str">
        <f>IFERROR(__xludf.DUMMYFUNCTION("IF(OR(CG83&gt;$BS83+$BT83*$BT$2,CG83&lt;$BS83-$BT83*$BT$2),AVEDEV(ARRAYFORMULA(XLOOKUP(FILTER(INDIRECT(""'""&amp;CG$1&amp;""'!$C$4:$C$66""),INDIRECT(""'""&amp;CG$1&amp;""'!$D$4:$D$66"")=CG$2),$G$3:$BQ$3,$G83:$BQ83))),"""")"),"")</f>
        <v/>
      </c>
      <c r="CI83" s="206"/>
      <c r="CJ83" s="251">
        <f>IFERROR(__xludf.DUMMYFUNCTION("AVERAGE(ARRAYFORMULA(XLOOKUP(FILTER(INDIRECT(""'""&amp;CJ$1&amp;""'!$C$4:$C$66""),INDIRECT(""'""&amp;CJ$1&amp;""'!$D$4:$D$66"")=CJ$2),$G$3:$BQ$3,$G83:$BQ83)))"),-0.7453517253333335)</f>
        <v>-0.7453517253</v>
      </c>
      <c r="CK83" s="207" t="str">
        <f>IFERROR(__xludf.DUMMYFUNCTION("IF(OR(CJ83&gt;$BS83+$BT83*$BT$2,CJ83&lt;$BS83-$BT83*$BT$2),AVEDEV(ARRAYFORMULA(XLOOKUP(FILTER(INDIRECT(""'""&amp;CJ$1&amp;""'!$C$4:$C$66""),INDIRECT(""'""&amp;CJ$1&amp;""'!$D$4:$D$66"")=CJ$2),$G$3:$BQ$3,$G83:$BQ83))),"""")"),"")</f>
        <v/>
      </c>
      <c r="CL83" s="251">
        <f>IFERROR(__xludf.DUMMYFUNCTION("AVERAGE(ARRAYFORMULA(XLOOKUP(FILTER(INDIRECT(""'""&amp;CL$1&amp;""'!$C$4:$C$66""),INDIRECT(""'""&amp;CL$1&amp;""'!$D$4:$D$66"")=CL$2),$G$3:$BQ$3,$G83:$BQ83)))"),0.2081325166666666)</f>
        <v>0.2081325167</v>
      </c>
      <c r="CM83" s="207" t="str">
        <f>IFERROR(__xludf.DUMMYFUNCTION("IF(OR(CL83&gt;$BS83+$BT83*$BT$2,CL83&lt;$BS83-$BT83*$BT$2),AVEDEV(ARRAYFORMULA(XLOOKUP(FILTER(INDIRECT(""'""&amp;CL$1&amp;""'!$C$4:$C$66""),INDIRECT(""'""&amp;CL$1&amp;""'!$D$4:$D$66"")=CL$2),$G$3:$BQ$3,$G83:$BQ83))),"""")"),"")</f>
        <v/>
      </c>
      <c r="CN83" s="251">
        <f>IFERROR(__xludf.DUMMYFUNCTION("AVERAGE(ARRAYFORMULA(XLOOKUP(FILTER(INDIRECT(""'""&amp;CN$1&amp;""'!$C$4:$C$66""),INDIRECT(""'""&amp;CN$1&amp;""'!$D$4:$D$66"")=CN$2),$G$3:$BQ$3,$G83:$BQ83)))"),-0.6567744799999999)</f>
        <v>-0.65677448</v>
      </c>
      <c r="CO83" s="207" t="str">
        <f>IFERROR(__xludf.DUMMYFUNCTION("IF(OR(CN83&gt;$BS83+$BT83*$BT$2,CN83&lt;$BS83-$BT83*$BT$2),AVEDEV(ARRAYFORMULA(XLOOKUP(FILTER(INDIRECT(""'""&amp;CN$1&amp;""'!$C$4:$C$66""),INDIRECT(""'""&amp;CN$1&amp;""'!$D$4:$D$66"")=CN$2),$G$3:$BQ$3,$G83:$BQ83))),"""")"),"")</f>
        <v/>
      </c>
      <c r="CP83" s="252"/>
      <c r="CQ83" s="251">
        <f>IFERROR(__xludf.DUMMYFUNCTION("AVERAGE(ARRAYFORMULA(XLOOKUP(FILTER(INDIRECT(""'""&amp;CQ$1&amp;""'!$C$4:$C$66""),INDIRECT(""'""&amp;CQ$1&amp;""'!$D$4:$D$66"")=CQ$2),$G$3:$BQ$3,$G83:$BQ83)))"),-0.4010404807142857)</f>
        <v>-0.4010404807</v>
      </c>
      <c r="CR83" s="207" t="str">
        <f>IFERROR(__xludf.DUMMYFUNCTION("IF(OR(CQ83&gt;$BS83+$BT83*$BT$2,CQ83&lt;$BS83-$BT83*$BT$2),AVEDEV(ARRAYFORMULA(XLOOKUP(FILTER(INDIRECT(""'""&amp;CQ$1&amp;""'!$C$4:$C$66""),INDIRECT(""'""&amp;CQ$1&amp;""'!$D$4:$D$66"")=CQ$2),$G$3:$BQ$3,$G83:$BQ83))),"""")"),"")</f>
        <v/>
      </c>
      <c r="CS83" s="251">
        <f>IFERROR(__xludf.DUMMYFUNCTION("AVERAGE(ARRAYFORMULA(XLOOKUP(FILTER(INDIRECT(""'""&amp;CS$1&amp;""'!$C$4:$C$66""),INDIRECT(""'""&amp;CS$1&amp;""'!$D$4:$D$66"")=CS$2),$G$3:$BQ$3,$G83:$BQ83)))"),0.42242831000000003)</f>
        <v>0.42242831</v>
      </c>
      <c r="CT83" s="207" t="str">
        <f>IFERROR(__xludf.DUMMYFUNCTION("IF(OR(CS83&gt;$BS83+$BT83*$BT$2,CS83&lt;$BS83-$BT83*$BT$2),AVEDEV(ARRAYFORMULA(XLOOKUP(FILTER(INDIRECT(""'""&amp;CS$1&amp;""'!$C$4:$C$66""),INDIRECT(""'""&amp;CS$1&amp;""'!$D$4:$D$66"")=CS$2),$G$3:$BQ$3,$G83:$BQ83))),"""")"),"")</f>
        <v/>
      </c>
      <c r="CU83" s="251">
        <f>IFERROR(__xludf.DUMMYFUNCTION("AVERAGE(ARRAYFORMULA(XLOOKUP(FILTER(INDIRECT(""'""&amp;CU$1&amp;""'!$C$4:$C$66""),INDIRECT(""'""&amp;CU$1&amp;""'!$D$4:$D$66"")=CU$2),$G$3:$BQ$3,$G83:$BQ83)))"),-0.4079290981818182)</f>
        <v>-0.4079290982</v>
      </c>
      <c r="CV83" s="207" t="str">
        <f>IFERROR(__xludf.DUMMYFUNCTION("IF(OR(CU83&gt;$BS83+$BT83*$BT$2,CU83&lt;$BS83-$BT83*$BT$2),AVEDEV(ARRAYFORMULA(XLOOKUP(FILTER(INDIRECT(""'""&amp;CU$1&amp;""'!$C$4:$C$66""),INDIRECT(""'""&amp;CU$1&amp;""'!$D$4:$D$66"")=CU$2),$G$3:$BQ$3,$G83:$BQ83))),"""")"),"")</f>
        <v/>
      </c>
      <c r="CW83" s="251">
        <f>IFERROR(__xludf.DUMMYFUNCTION("AVERAGE(ARRAYFORMULA(XLOOKUP(FILTER(INDIRECT(""'""&amp;CW$1&amp;""'!$C$4:$C$66""),INDIRECT(""'""&amp;CW$1&amp;""'!$D$4:$D$66"")=CW$2),$G$3:$BQ$3,$G83:$BQ83)))"),0.28500338999999997)</f>
        <v>0.28500339</v>
      </c>
      <c r="CX83" s="207" t="str">
        <f>IFERROR(__xludf.DUMMYFUNCTION("IF(OR(CW83&gt;$BS83+$BT83*$BT$2,CW83&lt;$BS83-$BT83*$BT$2),AVEDEV(ARRAYFORMULA(XLOOKUP(FILTER(INDIRECT(""'""&amp;CW$1&amp;""'!$C$4:$C$66""),INDIRECT(""'""&amp;CW$1&amp;""'!$D$4:$D$66"")=CW$2),$G$3:$BQ$3,$G83:$BQ83))),"""")"),"")</f>
        <v/>
      </c>
      <c r="CY83" s="251">
        <f>IFERROR(__xludf.DUMMYFUNCTION("AVERAGE(ARRAYFORMULA(XLOOKUP(FILTER(INDIRECT(""'""&amp;CY$1&amp;""'!$C$4:$C$66""),INDIRECT(""'""&amp;CY$1&amp;""'!$D$4:$D$66"")=CY$2),$G$3:$BQ$3,$G83:$BQ83)))"),0.48130675142857143)</f>
        <v>0.4813067514</v>
      </c>
      <c r="CZ83" s="207" t="str">
        <f>IFERROR(__xludf.DUMMYFUNCTION("IF(OR(CY83&gt;$BS83+$BT83*$BT$2,CY83&lt;$BS83-$BT83*$BT$2),AVEDEV(ARRAYFORMULA(XLOOKUP(FILTER(INDIRECT(""'""&amp;CY$1&amp;""'!$C$4:$C$66""),INDIRECT(""'""&amp;CY$1&amp;""'!$D$4:$D$66"")=CY$2),$G$3:$BQ$3,$G83:$BQ83))),"""")"),"")</f>
        <v/>
      </c>
      <c r="DA83" s="252"/>
      <c r="DB83" s="251">
        <f>IFERROR(__xludf.DUMMYFUNCTION("AVERAGE(ARRAYFORMULA(XLOOKUP(FILTER(INDIRECT(""'""&amp;DB$1&amp;""'!$C$4:$C$66""),INDIRECT(""'""&amp;DB$1&amp;""'!$D$4:$D$66"")=DB$2),$G$3:$BQ$3,$G83:$BQ83)))"),0.044921966)</f>
        <v>0.044921966</v>
      </c>
      <c r="DC83" s="207" t="str">
        <f>IFERROR(__xludf.DUMMYFUNCTION("IF(OR(DB83&gt;$BS83+$BT83*$BT$2,DB83&lt;$BS83-$BT83*$BT$2),AVEDEV(ARRAYFORMULA(XLOOKUP(FILTER(INDIRECT(""'""&amp;DB$1&amp;""'!$C$4:$C$66""),INDIRECT(""'""&amp;DB$1&amp;""'!$D$4:$D$66"")=DB$2),$G$3:$BQ$3,$G83:$BQ83))),"""")"),"")</f>
        <v/>
      </c>
      <c r="DD83" s="251">
        <f>IFERROR(__xludf.DUMMYFUNCTION("AVERAGE(ARRAYFORMULA(XLOOKUP(FILTER(INDIRECT(""'""&amp;DD$1&amp;""'!$C$4:$C$66""),INDIRECT(""'""&amp;DD$1&amp;""'!$D$4:$D$66"")=DD$2),$G$3:$BQ$3,$G83:$BQ83)))"),0.09238734111111113)</f>
        <v>0.09238734111</v>
      </c>
      <c r="DE83" s="207" t="str">
        <f>IFERROR(__xludf.DUMMYFUNCTION("IF(OR(DD83&gt;$BS83+$BT83*$BT$2,DD83&lt;$BS83-$BT83*$BT$2),AVEDEV(ARRAYFORMULA(XLOOKUP(FILTER(INDIRECT(""'""&amp;DD$1&amp;""'!$C$4:$C$66""),INDIRECT(""'""&amp;DD$1&amp;""'!$D$4:$D$66"")=DD$2),$G$3:$BQ$3,$G83:$BQ83))),"""")"),"")</f>
        <v/>
      </c>
      <c r="DF83" s="251">
        <f>IFERROR(__xludf.DUMMYFUNCTION("AVERAGE(ARRAYFORMULA(XLOOKUP(FILTER(INDIRECT(""'""&amp;DF$1&amp;""'!$C$4:$C$66""),INDIRECT(""'""&amp;DF$1&amp;""'!$D$4:$D$66"")=DF$2),$G$3:$BQ$3,$G83:$BQ83)))"),-0.7892445074999999)</f>
        <v>-0.7892445075</v>
      </c>
      <c r="DG83" s="207" t="str">
        <f>IFERROR(__xludf.DUMMYFUNCTION("IF(OR(DF83&gt;$BS83+$BT83*$BT$2,DF83&lt;$BS83-$BT83*$BT$2),AVEDEV(ARRAYFORMULA(XLOOKUP(FILTER(INDIRECT(""'""&amp;DF$1&amp;""'!$C$4:$C$66""),INDIRECT(""'""&amp;DF$1&amp;""'!$D$4:$D$66"")=DF$2),$G$3:$BQ$3,$G83:$BQ83))),"""")"),"")</f>
        <v/>
      </c>
      <c r="DH83" s="251">
        <f>IFERROR(__xludf.DUMMYFUNCTION("AVERAGE(ARRAYFORMULA(XLOOKUP(FILTER(INDIRECT(""'""&amp;DH$1&amp;""'!$C$4:$C$66""),INDIRECT(""'""&amp;DH$1&amp;""'!$D$4:$D$66"")=DH$2),$G$3:$BQ$3,$G83:$BQ83)))"),0.0026640566666666734)</f>
        <v>0.002664056667</v>
      </c>
      <c r="DI83" s="207" t="str">
        <f>IFERROR(__xludf.DUMMYFUNCTION("IF(OR(DH83&gt;$BS83+$BT83*$BT$2,DH83&lt;$BS83-$BT83*$BT$2),AVEDEV(ARRAYFORMULA(XLOOKUP(FILTER(INDIRECT(""'""&amp;DH$1&amp;""'!$C$4:$C$66""),INDIRECT(""'""&amp;DH$1&amp;""'!$D$4:$D$66"")=DH$2),$G$3:$BQ$3,$G83:$BQ83))),"""")"),"")</f>
        <v/>
      </c>
      <c r="DJ83" s="243"/>
    </row>
    <row r="84">
      <c r="A84" s="2"/>
      <c r="B84" s="204">
        <v>80.0</v>
      </c>
      <c r="C84" s="204" t="s">
        <v>507</v>
      </c>
      <c r="D84" s="204" t="s">
        <v>525</v>
      </c>
      <c r="E84" s="205" t="b">
        <f>VLOOKUP(D84,'Feature Set List'!A81:C246,2,0)</f>
        <v>1</v>
      </c>
      <c r="F84" s="205" t="b">
        <f>VLOOKUP(D84,'Feature Set List'!A81:C246,3,0)</f>
        <v>1</v>
      </c>
      <c r="G84" s="205">
        <v>0.24534005</v>
      </c>
      <c r="H84" s="205">
        <v>0.302267</v>
      </c>
      <c r="I84" s="205">
        <v>5.41259446</v>
      </c>
      <c r="J84" s="205">
        <v>0.86448363</v>
      </c>
      <c r="K84" s="205">
        <v>-0.0040302</v>
      </c>
      <c r="L84" s="205">
        <v>-0.4403023</v>
      </c>
      <c r="M84" s="205">
        <v>-0.4277078</v>
      </c>
      <c r="N84" s="205">
        <v>-0.5596977</v>
      </c>
      <c r="O84" s="205">
        <v>-0.1309824</v>
      </c>
      <c r="P84" s="205">
        <v>0.45088161</v>
      </c>
      <c r="Q84" s="205">
        <v>0.74609572</v>
      </c>
      <c r="R84" s="205">
        <v>-0.7949622</v>
      </c>
      <c r="S84" s="205">
        <v>-0.1380353</v>
      </c>
      <c r="T84" s="205">
        <v>0.04735516</v>
      </c>
      <c r="U84" s="205">
        <v>-0.1329975</v>
      </c>
      <c r="V84" s="205">
        <v>0.51133501</v>
      </c>
      <c r="W84" s="205">
        <v>-0.2483627</v>
      </c>
      <c r="X84" s="205">
        <v>-0.9395466</v>
      </c>
      <c r="Y84" s="205">
        <v>-0.9088161</v>
      </c>
      <c r="Z84" s="205">
        <v>-0.590932</v>
      </c>
      <c r="AA84" s="205">
        <v>-0.8926952</v>
      </c>
      <c r="AB84" s="205">
        <v>-1.3133501</v>
      </c>
      <c r="AC84" s="205">
        <v>0.13450882</v>
      </c>
      <c r="AD84" s="205">
        <v>-0.6498741</v>
      </c>
      <c r="AE84" s="205">
        <v>-0.9435768</v>
      </c>
      <c r="AF84" s="205">
        <v>0.44030227</v>
      </c>
      <c r="AG84" s="205">
        <v>0.37229219</v>
      </c>
      <c r="AH84" s="205">
        <v>-0.5491184</v>
      </c>
      <c r="AI84" s="205">
        <v>0.59949622</v>
      </c>
      <c r="AJ84" s="205">
        <v>-1.8359194</v>
      </c>
      <c r="AK84" s="205">
        <v>0.34206549</v>
      </c>
      <c r="AL84" s="205">
        <v>0.1743073</v>
      </c>
      <c r="AM84" s="205">
        <v>0.28866499</v>
      </c>
      <c r="AN84" s="205">
        <v>-0.8352645</v>
      </c>
      <c r="AO84" s="205">
        <v>0.0</v>
      </c>
      <c r="AP84" s="205">
        <v>-1.2629723</v>
      </c>
      <c r="AQ84" s="205">
        <v>0.76171285</v>
      </c>
      <c r="AR84" s="205">
        <v>1.05390428</v>
      </c>
      <c r="AS84" s="205">
        <v>1.83375315</v>
      </c>
      <c r="AT84" s="205">
        <v>-0.2483627</v>
      </c>
      <c r="AU84" s="205">
        <v>-0.8584383</v>
      </c>
      <c r="AV84" s="205">
        <v>0.14911839</v>
      </c>
      <c r="AW84" s="205">
        <v>0.22770781</v>
      </c>
      <c r="AX84" s="205">
        <v>-1.2453401</v>
      </c>
      <c r="AY84" s="205">
        <v>-0.4161209</v>
      </c>
      <c r="AZ84" s="205">
        <v>0.36523929</v>
      </c>
      <c r="BA84" s="205">
        <v>1.18740554</v>
      </c>
      <c r="BB84" s="205">
        <v>1.35214106</v>
      </c>
      <c r="BC84" s="205">
        <v>0.28866499</v>
      </c>
      <c r="BD84" s="205">
        <v>-0.3667506</v>
      </c>
      <c r="BE84" s="205">
        <v>-0.7360202</v>
      </c>
      <c r="BF84" s="205">
        <v>1.67002519</v>
      </c>
      <c r="BG84" s="205">
        <v>0.41662469</v>
      </c>
      <c r="BH84" s="205">
        <v>-0.1471033</v>
      </c>
      <c r="BI84" s="205">
        <v>-0.3047859</v>
      </c>
      <c r="BJ84" s="205">
        <v>0.6836272</v>
      </c>
      <c r="BK84" s="205">
        <v>0.62720403</v>
      </c>
      <c r="BL84" s="205">
        <v>-0.4176322</v>
      </c>
      <c r="BM84" s="205">
        <v>0.90478589</v>
      </c>
      <c r="BN84" s="205">
        <v>0.35415617</v>
      </c>
      <c r="BO84" s="205">
        <v>1.05037783</v>
      </c>
      <c r="BP84" s="205">
        <v>-1.3234257</v>
      </c>
      <c r="BQ84" s="205">
        <v>-0.520403</v>
      </c>
      <c r="BR84" s="206"/>
      <c r="BS84" s="250">
        <f t="shared" si="1"/>
        <v>0.05833193302</v>
      </c>
      <c r="BT84" s="250">
        <f t="shared" si="2"/>
        <v>0.7003531787</v>
      </c>
      <c r="BU84" s="206"/>
      <c r="BV84" s="207">
        <f>IFERROR(__xludf.DUMMYFUNCTION("AVERAGE(ARRAYFORMULA(XLOOKUP(FILTER(INDIRECT(""'""&amp;BV$1&amp;""'!$C$4:$C$66""),INDIRECT(""'""&amp;BV$1&amp;""'!$D$4:$D$66"")=BV$2),$G$3:$BQ$3,$G84:$BQ84)))"),-0.18431090571428574)</f>
        <v>-0.1843109057</v>
      </c>
      <c r="BW84" s="207" t="str">
        <f>IFERROR(__xludf.DUMMYFUNCTION("IF(OR(BV84&gt;$BS84+$BT84*$BT$2,BV84&lt;$BS84-$BT84*$BT$2),AVEDEV(ARRAYFORMULA(XLOOKUP(FILTER(INDIRECT(""'""&amp;BV$1&amp;""'!$C$4:$C$66""),INDIRECT(""'""&amp;BV$1&amp;""'!$D$4:$D$66"")=BV$2),$G$3:$BQ$3,$G84:$BQ84))),"""")"),"")</f>
        <v/>
      </c>
      <c r="BX84" s="207">
        <f>IFERROR(__xludf.DUMMYFUNCTION("AVERAGE(ARRAYFORMULA(XLOOKUP(FILTER(INDIRECT(""'""&amp;BX$1&amp;""'!$C$4:$C$66""),INDIRECT(""'""&amp;BX$1&amp;""'!$D$4:$D$66"")=BX$2),$G$3:$BQ$3,$G84:$BQ84)))"),-0.01996281785714285)</f>
        <v>-0.01996281786</v>
      </c>
      <c r="BY84" s="207" t="str">
        <f>IFERROR(__xludf.DUMMYFUNCTION("IF(OR(BX84&gt;$BS84+$BT84*$BT$2,BX84&lt;$BS84-$BT84*$BT$2),AVEDEV(ARRAYFORMULA(XLOOKUP(FILTER(INDIRECT(""'""&amp;BX$1&amp;""'!$C$4:$C$66""),INDIRECT(""'""&amp;BX$1&amp;""'!$D$4:$D$66"")=BX$2),$G$3:$BQ$3,$G84:$BQ84))),"""")"),"")</f>
        <v/>
      </c>
      <c r="BZ84" s="207">
        <f>IFERROR(__xludf.DUMMYFUNCTION("AVERAGE(ARRAYFORMULA(XLOOKUP(FILTER(INDIRECT(""'""&amp;BZ$1&amp;""'!$C$4:$C$66""),INDIRECT(""'""&amp;BZ$1&amp;""'!$D$4:$D$66"")=BZ$2),$G$3:$BQ$3,$G84:$BQ84)))"),0.14692008272727275)</f>
        <v>0.1469200827</v>
      </c>
      <c r="CA84" s="207" t="str">
        <f>IFERROR(__xludf.DUMMYFUNCTION("IF(OR(BZ84&gt;$BS84+$BT84*$BT$2,BZ84&lt;$BS84-$BT84*$BT$2),AVEDEV(ARRAYFORMULA(XLOOKUP(FILTER(INDIRECT(""'""&amp;BZ$1&amp;""'!$C$4:$C$66""),INDIRECT(""'""&amp;BZ$1&amp;""'!$D$4:$D$66"")=BZ$2),$G$3:$BQ$3,$G84:$BQ84))),"""")"),"")</f>
        <v/>
      </c>
      <c r="CB84" s="209"/>
      <c r="CC84" s="207">
        <f>IFERROR(__xludf.DUMMYFUNCTION("AVERAGE(ARRAYFORMULA(XLOOKUP(FILTER(INDIRECT(""'""&amp;CC$1&amp;""'!$C$4:$C$66""),INDIRECT(""'""&amp;CC$1&amp;""'!$D$4:$D$66"")=CC$2),$G$3:$BQ$3,$G84:$BQ84)))"),0.24074307812500004)</f>
        <v>0.2407430781</v>
      </c>
      <c r="CD84" s="207" t="str">
        <f>IFERROR(__xludf.DUMMYFUNCTION("IF(OR(CC84&gt;$BS84+$BT84*$BT$2,CC84&lt;$BS84-$BT84*$BT$2),AVEDEV(ARRAYFORMULA(XLOOKUP(FILTER(INDIRECT(""'""&amp;CC$1&amp;""'!$C$4:$C$66""),INDIRECT(""'""&amp;CC$1&amp;""'!$D$4:$D$66"")=CC$2),$G$3:$BQ$3,$G84:$BQ84))),"""")"),"")</f>
        <v/>
      </c>
      <c r="CE84" s="207">
        <f>IFERROR(__xludf.DUMMYFUNCTION("AVERAGE(ARRAYFORMULA(XLOOKUP(FILTER(INDIRECT(""'""&amp;CE$1&amp;""'!$C$4:$C$66""),INDIRECT(""'""&amp;CE$1&amp;""'!$D$4:$D$66"")=CE$2),$G$3:$BQ$3,$G84:$BQ84)))"),-0.28878362354838716)</f>
        <v>-0.2887836235</v>
      </c>
      <c r="CF84" s="207" t="str">
        <f>IFERROR(__xludf.DUMMYFUNCTION("IF(OR(CE84&gt;$BS84+$BT84*$BT$2,CE84&lt;$BS84-$BT84*$BT$2),AVEDEV(ARRAYFORMULA(XLOOKUP(FILTER(INDIRECT(""'""&amp;CE$1&amp;""'!$C$4:$C$66""),INDIRECT(""'""&amp;CE$1&amp;""'!$D$4:$D$66"")=CE$2),$G$3:$BQ$3,$G84:$BQ84))),"""")"),"")</f>
        <v/>
      </c>
      <c r="CG84" s="207">
        <f>IFERROR(__xludf.DUMMYFUNCTION("AVERAGE(ARRAYFORMULA(XLOOKUP(FILTER(INDIRECT(""'""&amp;CG$1&amp;""'!$C$4:$C$66""),INDIRECT(""'""&amp;CG$1&amp;""'!$D$4:$D$66"")=CG$2),$G$3:$BQ$3,$G84:$BQ84)))"),0.7872040299999999)</f>
        <v>0.78720403</v>
      </c>
      <c r="CH84" s="207">
        <f>IFERROR(__xludf.DUMMYFUNCTION("IF(OR(CG84&gt;$BS84+$BT84*$BT$2,CG84&lt;$BS84-$BT84*$BT$2),AVEDEV(ARRAYFORMULA(XLOOKUP(FILTER(INDIRECT(""'""&amp;CG$1&amp;""'!$C$4:$C$66""),INDIRECT(""'""&amp;CG$1&amp;""'!$D$4:$D$66"")=CG$2),$G$3:$BQ$3,$G84:$BQ84))),"""")"),0.578700252)</f>
        <v>0.578700252</v>
      </c>
      <c r="CI84" s="206"/>
      <c r="CJ84" s="251">
        <f>IFERROR(__xludf.DUMMYFUNCTION("AVERAGE(ARRAYFORMULA(XLOOKUP(FILTER(INDIRECT(""'""&amp;CJ$1&amp;""'!$C$4:$C$66""),INDIRECT(""'""&amp;CJ$1&amp;""'!$D$4:$D$66"")=CJ$2),$G$3:$BQ$3,$G84:$BQ84)))"),-0.23580184333333334)</f>
        <v>-0.2358018433</v>
      </c>
      <c r="CK84" s="207" t="str">
        <f>IFERROR(__xludf.DUMMYFUNCTION("IF(OR(CJ84&gt;$BS84+$BT84*$BT$2,CJ84&lt;$BS84-$BT84*$BT$2),AVEDEV(ARRAYFORMULA(XLOOKUP(FILTER(INDIRECT(""'""&amp;CJ$1&amp;""'!$C$4:$C$66""),INDIRECT(""'""&amp;CJ$1&amp;""'!$D$4:$D$66"")=CJ$2),$G$3:$BQ$3,$G84:$BQ84))),"""")"),"")</f>
        <v/>
      </c>
      <c r="CL84" s="251">
        <f>IFERROR(__xludf.DUMMYFUNCTION("AVERAGE(ARRAYFORMULA(XLOOKUP(FILTER(INDIRECT(""'""&amp;CL$1&amp;""'!$C$4:$C$66""),INDIRECT(""'""&amp;CL$1&amp;""'!$D$4:$D$66"")=CL$2),$G$3:$BQ$3,$G84:$BQ84)))"),-0.012662925128205122)</f>
        <v>-0.01266292513</v>
      </c>
      <c r="CM84" s="207" t="str">
        <f>IFERROR(__xludf.DUMMYFUNCTION("IF(OR(CL84&gt;$BS84+$BT84*$BT$2,CL84&lt;$BS84-$BT84*$BT$2),AVEDEV(ARRAYFORMULA(XLOOKUP(FILTER(INDIRECT(""'""&amp;CL$1&amp;""'!$C$4:$C$66""),INDIRECT(""'""&amp;CL$1&amp;""'!$D$4:$D$66"")=CL$2),$G$3:$BQ$3,$G84:$BQ84))),"""")"),"")</f>
        <v/>
      </c>
      <c r="CN84" s="251">
        <f>IFERROR(__xludf.DUMMYFUNCTION("AVERAGE(ARRAYFORMULA(XLOOKUP(FILTER(INDIRECT(""'""&amp;CN$1&amp;""'!$C$4:$C$66""),INDIRECT(""'""&amp;CN$1&amp;""'!$D$4:$D$66"")=CN$2),$G$3:$BQ$3,$G84:$BQ84)))"),0.7872040299999999)</f>
        <v>0.78720403</v>
      </c>
      <c r="CO84" s="207">
        <f>IFERROR(__xludf.DUMMYFUNCTION("IF(OR(CN84&gt;$BS84+$BT84*$BT$2,CN84&lt;$BS84-$BT84*$BT$2),AVEDEV(ARRAYFORMULA(XLOOKUP(FILTER(INDIRECT(""'""&amp;CN$1&amp;""'!$C$4:$C$66""),INDIRECT(""'""&amp;CN$1&amp;""'!$D$4:$D$66"")=CN$2),$G$3:$BQ$3,$G84:$BQ84))),"""")"),0.578700252)</f>
        <v>0.578700252</v>
      </c>
      <c r="CP84" s="252"/>
      <c r="CQ84" s="251">
        <f>IFERROR(__xludf.DUMMYFUNCTION("AVERAGE(ARRAYFORMULA(XLOOKUP(FILTER(INDIRECT(""'""&amp;CQ$1&amp;""'!$C$4:$C$66""),INDIRECT(""'""&amp;CQ$1&amp;""'!$D$4:$D$66"")=CQ$2),$G$3:$BQ$3,$G84:$BQ84)))"),0.2633321371428572)</f>
        <v>0.2633321371</v>
      </c>
      <c r="CR84" s="207" t="str">
        <f>IFERROR(__xludf.DUMMYFUNCTION("IF(OR(CQ84&gt;$BS84+$BT84*$BT$2,CQ84&lt;$BS84-$BT84*$BT$2),AVEDEV(ARRAYFORMULA(XLOOKUP(FILTER(INDIRECT(""'""&amp;CQ$1&amp;""'!$C$4:$C$66""),INDIRECT(""'""&amp;CQ$1&amp;""'!$D$4:$D$66"")=CQ$2),$G$3:$BQ$3,$G84:$BQ84))),"""")"),"")</f>
        <v/>
      </c>
      <c r="CS84" s="251">
        <f>IFERROR(__xludf.DUMMYFUNCTION("AVERAGE(ARRAYFORMULA(XLOOKUP(FILTER(INDIRECT(""'""&amp;CS$1&amp;""'!$C$4:$C$66""),INDIRECT(""'""&amp;CS$1&amp;""'!$D$4:$D$66"")=CS$2),$G$3:$BQ$3,$G84:$BQ84)))"),0.0384550811111111)</f>
        <v>0.03845508111</v>
      </c>
      <c r="CT84" s="207" t="str">
        <f>IFERROR(__xludf.DUMMYFUNCTION("IF(OR(CS84&gt;$BS84+$BT84*$BT$2,CS84&lt;$BS84-$BT84*$BT$2),AVEDEV(ARRAYFORMULA(XLOOKUP(FILTER(INDIRECT(""'""&amp;CS$1&amp;""'!$C$4:$C$66""),INDIRECT(""'""&amp;CS$1&amp;""'!$D$4:$D$66"")=CS$2),$G$3:$BQ$3,$G84:$BQ84))),"""")"),"")</f>
        <v/>
      </c>
      <c r="CU84" s="251">
        <f>IFERROR(__xludf.DUMMYFUNCTION("AVERAGE(ARRAYFORMULA(XLOOKUP(FILTER(INDIRECT(""'""&amp;CU$1&amp;""'!$C$4:$C$66""),INDIRECT(""'""&amp;CU$1&amp;""'!$D$4:$D$66"")=CU$2),$G$3:$BQ$3,$G84:$BQ84)))"),-0.06700251727272728)</f>
        <v>-0.06700251727</v>
      </c>
      <c r="CV84" s="207" t="str">
        <f>IFERROR(__xludf.DUMMYFUNCTION("IF(OR(CU84&gt;$BS84+$BT84*$BT$2,CU84&lt;$BS84-$BT84*$BT$2),AVEDEV(ARRAYFORMULA(XLOOKUP(FILTER(INDIRECT(""'""&amp;CU$1&amp;""'!$C$4:$C$66""),INDIRECT(""'""&amp;CU$1&amp;""'!$D$4:$D$66"")=CU$2),$G$3:$BQ$3,$G84:$BQ84))),"""")"),"")</f>
        <v/>
      </c>
      <c r="CW84" s="251">
        <f>IFERROR(__xludf.DUMMYFUNCTION("AVERAGE(ARRAYFORMULA(XLOOKUP(FILTER(INDIRECT(""'""&amp;CW$1&amp;""'!$C$4:$C$66""),INDIRECT(""'""&amp;CW$1&amp;""'!$D$4:$D$66"")=CW$2),$G$3:$BQ$3,$G84:$BQ84)))"),-0.39848870000000003)</f>
        <v>-0.3984887</v>
      </c>
      <c r="CX84" s="207" t="str">
        <f>IFERROR(__xludf.DUMMYFUNCTION("IF(OR(CW84&gt;$BS84+$BT84*$BT$2,CW84&lt;$BS84-$BT84*$BT$2),AVEDEV(ARRAYFORMULA(XLOOKUP(FILTER(INDIRECT(""'""&amp;CW$1&amp;""'!$C$4:$C$66""),INDIRECT(""'""&amp;CW$1&amp;""'!$D$4:$D$66"")=CW$2),$G$3:$BQ$3,$G84:$BQ84))),"""")"),"")</f>
        <v/>
      </c>
      <c r="CY84" s="251">
        <f>IFERROR(__xludf.DUMMYFUNCTION("AVERAGE(ARRAYFORMULA(XLOOKUP(FILTER(INDIRECT(""'""&amp;CY$1&amp;""'!$C$4:$C$66""),INDIRECT(""'""&amp;CY$1&amp;""'!$D$4:$D$66"")=CY$2),$G$3:$BQ$3,$G84:$BQ84)))"),-0.31825477428571425)</f>
        <v>-0.3182547743</v>
      </c>
      <c r="CZ84" s="207" t="str">
        <f>IFERROR(__xludf.DUMMYFUNCTION("IF(OR(CY84&gt;$BS84+$BT84*$BT$2,CY84&lt;$BS84-$BT84*$BT$2),AVEDEV(ARRAYFORMULA(XLOOKUP(FILTER(INDIRECT(""'""&amp;CY$1&amp;""'!$C$4:$C$66""),INDIRECT(""'""&amp;CY$1&amp;""'!$D$4:$D$66"")=CY$2),$G$3:$BQ$3,$G84:$BQ84))),"""")"),"")</f>
        <v/>
      </c>
      <c r="DA84" s="252"/>
      <c r="DB84" s="251">
        <f>IFERROR(__xludf.DUMMYFUNCTION("AVERAGE(ARRAYFORMULA(XLOOKUP(FILTER(INDIRECT(""'""&amp;DB$1&amp;""'!$C$4:$C$66""),INDIRECT(""'""&amp;DB$1&amp;""'!$D$4:$D$66"")=DB$2),$G$3:$BQ$3,$G84:$BQ84)))"),-0.019680940333333334)</f>
        <v>-0.01968094033</v>
      </c>
      <c r="DC84" s="207" t="str">
        <f>IFERROR(__xludf.DUMMYFUNCTION("IF(OR(DB84&gt;$BS84+$BT84*$BT$2,DB84&lt;$BS84-$BT84*$BT$2),AVEDEV(ARRAYFORMULA(XLOOKUP(FILTER(INDIRECT(""'""&amp;DB$1&amp;""'!$C$4:$C$66""),INDIRECT(""'""&amp;DB$1&amp;""'!$D$4:$D$66"")=DB$2),$G$3:$BQ$3,$G84:$BQ84))),"""")"),"")</f>
        <v/>
      </c>
      <c r="DD84" s="251">
        <f>IFERROR(__xludf.DUMMYFUNCTION("AVERAGE(ARRAYFORMULA(XLOOKUP(FILTER(INDIRECT(""'""&amp;DD$1&amp;""'!$C$4:$C$66""),INDIRECT(""'""&amp;DD$1&amp;""'!$D$4:$D$66"")=DD$2),$G$3:$BQ$3,$G84:$BQ84)))"),0.20761264888888892)</f>
        <v>0.2076126489</v>
      </c>
      <c r="DE84" s="207" t="str">
        <f>IFERROR(__xludf.DUMMYFUNCTION("IF(OR(DD84&gt;$BS84+$BT84*$BT$2,DD84&lt;$BS84-$BT84*$BT$2),AVEDEV(ARRAYFORMULA(XLOOKUP(FILTER(INDIRECT(""'""&amp;DD$1&amp;""'!$C$4:$C$66""),INDIRECT(""'""&amp;DD$1&amp;""'!$D$4:$D$66"")=DD$2),$G$3:$BQ$3,$G84:$BQ84))),"""")"),"")</f>
        <v/>
      </c>
      <c r="DF84" s="251">
        <f>IFERROR(__xludf.DUMMYFUNCTION("AVERAGE(ARRAYFORMULA(XLOOKUP(FILTER(INDIRECT(""'""&amp;DF$1&amp;""'!$C$4:$C$66""),INDIRECT(""'""&amp;DF$1&amp;""'!$D$4:$D$66"")=DF$2),$G$3:$BQ$3,$G84:$BQ84)))"),-0.49705920125)</f>
        <v>-0.4970592013</v>
      </c>
      <c r="DG84" s="207" t="str">
        <f>IFERROR(__xludf.DUMMYFUNCTION("IF(OR(DF84&gt;$BS84+$BT84*$BT$2,DF84&lt;$BS84-$BT84*$BT$2),AVEDEV(ARRAYFORMULA(XLOOKUP(FILTER(INDIRECT(""'""&amp;DF$1&amp;""'!$C$4:$C$66""),INDIRECT(""'""&amp;DF$1&amp;""'!$D$4:$D$66"")=DF$2),$G$3:$BQ$3,$G84:$BQ84))),"""")"),"")</f>
        <v/>
      </c>
      <c r="DH84" s="251">
        <f>IFERROR(__xludf.DUMMYFUNCTION("AVERAGE(ARRAYFORMULA(XLOOKUP(FILTER(INDIRECT(""'""&amp;DH$1&amp;""'!$C$4:$C$66""),INDIRECT(""'""&amp;DH$1&amp;""'!$D$4:$D$66"")=DH$2),$G$3:$BQ$3,$G84:$BQ84)))"),0.27657430222222223)</f>
        <v>0.2765743022</v>
      </c>
      <c r="DI84" s="207" t="str">
        <f>IFERROR(__xludf.DUMMYFUNCTION("IF(OR(DH84&gt;$BS84+$BT84*$BT$2,DH84&lt;$BS84-$BT84*$BT$2),AVEDEV(ARRAYFORMULA(XLOOKUP(FILTER(INDIRECT(""'""&amp;DH$1&amp;""'!$C$4:$C$66""),INDIRECT(""'""&amp;DH$1&amp;""'!$D$4:$D$66"")=DH$2),$G$3:$BQ$3,$G84:$BQ84))),"""")"),"")</f>
        <v/>
      </c>
      <c r="DJ84" s="243"/>
    </row>
    <row r="85">
      <c r="A85" s="2"/>
      <c r="B85" s="204">
        <v>81.0</v>
      </c>
      <c r="C85" s="204" t="s">
        <v>507</v>
      </c>
      <c r="D85" s="204" t="s">
        <v>526</v>
      </c>
      <c r="E85" s="205" t="b">
        <f>VLOOKUP(D85,'Feature Set List'!A82:C246,2,0)</f>
        <v>1</v>
      </c>
      <c r="F85" s="205" t="b">
        <f>VLOOKUP(D85,'Feature Set List'!A82:C246,3,0)</f>
        <v>1</v>
      </c>
      <c r="G85" s="205">
        <v>-0.6052889</v>
      </c>
      <c r="H85" s="205">
        <v>0.54848188</v>
      </c>
      <c r="I85" s="205">
        <v>-1.8961802</v>
      </c>
      <c r="J85" s="205">
        <v>-0.0254652</v>
      </c>
      <c r="K85" s="205">
        <v>0.16650343</v>
      </c>
      <c r="L85" s="205">
        <v>0.47012733</v>
      </c>
      <c r="M85" s="205">
        <v>-0.8246817</v>
      </c>
      <c r="N85" s="205">
        <v>1.61998041</v>
      </c>
      <c r="O85" s="205">
        <v>-0.5621939</v>
      </c>
      <c r="P85" s="205">
        <v>-0.0568071</v>
      </c>
      <c r="Q85" s="205">
        <v>0.29382958</v>
      </c>
      <c r="R85" s="205">
        <v>0.07443683</v>
      </c>
      <c r="S85" s="205">
        <v>0.38785504</v>
      </c>
      <c r="T85" s="205">
        <v>0.20176298</v>
      </c>
      <c r="U85" s="205">
        <v>2.47796278</v>
      </c>
      <c r="V85" s="205">
        <v>0.22135162</v>
      </c>
      <c r="W85" s="205">
        <v>-0.3486778</v>
      </c>
      <c r="X85" s="205">
        <v>2.38393732</v>
      </c>
      <c r="Y85" s="205">
        <v>-0.6444662</v>
      </c>
      <c r="Z85" s="205">
        <v>0.36238981</v>
      </c>
      <c r="AA85" s="205">
        <v>1.82957884</v>
      </c>
      <c r="AB85" s="205">
        <v>0.31341822</v>
      </c>
      <c r="AC85" s="205">
        <v>0.59745348</v>
      </c>
      <c r="AD85" s="205">
        <v>-1.9059745</v>
      </c>
      <c r="AE85" s="205">
        <v>1.91185113</v>
      </c>
      <c r="AF85" s="205">
        <v>0.05093046</v>
      </c>
      <c r="AG85" s="205">
        <v>-0.8148874</v>
      </c>
      <c r="AH85" s="205">
        <v>0.55044074</v>
      </c>
      <c r="AI85" s="205">
        <v>-0.158668</v>
      </c>
      <c r="AJ85" s="205">
        <v>-1.6571988</v>
      </c>
      <c r="AK85" s="205">
        <v>-1.3437806</v>
      </c>
      <c r="AL85" s="205">
        <v>-0.7071499</v>
      </c>
      <c r="AM85" s="205">
        <v>0.24289912</v>
      </c>
      <c r="AN85" s="205">
        <v>-0.4838394</v>
      </c>
      <c r="AO85" s="205">
        <v>0.57590597</v>
      </c>
      <c r="AP85" s="205">
        <v>-0.1077375</v>
      </c>
      <c r="AQ85" s="205">
        <v>-0.6346719</v>
      </c>
      <c r="AR85" s="205">
        <v>-0.2350637</v>
      </c>
      <c r="AS85" s="205">
        <v>-0.0842311</v>
      </c>
      <c r="AT85" s="205">
        <v>0.0</v>
      </c>
      <c r="AU85" s="205">
        <v>-2.1429971</v>
      </c>
      <c r="AV85" s="205">
        <v>-0.5504407</v>
      </c>
      <c r="AW85" s="205">
        <v>0.64642507</v>
      </c>
      <c r="AX85" s="205">
        <v>0.33300686</v>
      </c>
      <c r="AY85" s="205">
        <v>0.34867777</v>
      </c>
      <c r="AZ85" s="205">
        <v>0.29382958</v>
      </c>
      <c r="BA85" s="205">
        <v>-0.1841332</v>
      </c>
      <c r="BB85" s="205">
        <v>2.59745348</v>
      </c>
      <c r="BC85" s="205">
        <v>-0.877571</v>
      </c>
      <c r="BD85" s="205">
        <v>-0.0803134</v>
      </c>
      <c r="BE85" s="205">
        <v>1.14789422</v>
      </c>
      <c r="BF85" s="205">
        <v>-0.3956905</v>
      </c>
      <c r="BG85" s="205">
        <v>-0.0803134</v>
      </c>
      <c r="BH85" s="205">
        <v>-1.5553379</v>
      </c>
      <c r="BI85" s="205">
        <v>0.41136141</v>
      </c>
      <c r="BJ85" s="205">
        <v>-0.6797258</v>
      </c>
      <c r="BK85" s="205">
        <v>0.24094025</v>
      </c>
      <c r="BL85" s="205">
        <v>5.01469148</v>
      </c>
      <c r="BM85" s="205">
        <v>0.65621939</v>
      </c>
      <c r="BN85" s="205">
        <v>0.49951028</v>
      </c>
      <c r="BO85" s="205">
        <v>-1.0950049</v>
      </c>
      <c r="BP85" s="205">
        <v>-0.3623898</v>
      </c>
      <c r="BQ85" s="205">
        <v>-0.5563173</v>
      </c>
      <c r="BR85" s="206"/>
      <c r="BS85" s="250">
        <f t="shared" si="1"/>
        <v>0.09228425333</v>
      </c>
      <c r="BT85" s="250">
        <f t="shared" si="2"/>
        <v>0.7831586071</v>
      </c>
      <c r="BU85" s="206"/>
      <c r="BV85" s="207">
        <f>IFERROR(__xludf.DUMMYFUNCTION("AVERAGE(ARRAYFORMULA(XLOOKUP(FILTER(INDIRECT(""'""&amp;BV$1&amp;""'!$C$4:$C$66""),INDIRECT(""'""&amp;BV$1&amp;""'!$D$4:$D$66"")=BV$2),$G$3:$BQ$3,$G85:$BQ85)))"),2.078074717142857)</f>
        <v>2.078074717</v>
      </c>
      <c r="BW85" s="207">
        <f>IFERROR(__xludf.DUMMYFUNCTION("IF(OR(BV85&gt;$BS85+$BT85*$BT$2,BV85&lt;$BS85-$BT85*$BT$2),AVEDEV(ARRAYFORMULA(XLOOKUP(FILTER(INDIRECT(""'""&amp;BV$1&amp;""'!$C$4:$C$66""),INDIRECT(""'""&amp;BV$1&amp;""'!$D$4:$D$66"")=BV$2),$G$3:$BQ$3,$G85:$BQ85))),"""")"),1.1890703404081633)</f>
        <v>1.18907034</v>
      </c>
      <c r="BX85" s="207">
        <f>IFERROR(__xludf.DUMMYFUNCTION("AVERAGE(ARRAYFORMULA(XLOOKUP(FILTER(INDIRECT(""'""&amp;BX$1&amp;""'!$C$4:$C$66""),INDIRECT(""'""&amp;BX$1&amp;""'!$D$4:$D$66"")=BX$2),$G$3:$BQ$3,$G85:$BQ85)))"),-0.08623664761904763)</f>
        <v>-0.08623664762</v>
      </c>
      <c r="BY85" s="207" t="str">
        <f>IFERROR(__xludf.DUMMYFUNCTION("IF(OR(BX85&gt;$BS85+$BT85*$BT$2,BX85&lt;$BS85-$BT85*$BT$2),AVEDEV(ARRAYFORMULA(XLOOKUP(FILTER(INDIRECT(""'""&amp;BX$1&amp;""'!$C$4:$C$66""),INDIRECT(""'""&amp;BX$1&amp;""'!$D$4:$D$66"")=BX$2),$G$3:$BQ$3,$G85:$BQ85))),"""")"),"")</f>
        <v/>
      </c>
      <c r="BZ85" s="207">
        <f>IFERROR(__xludf.DUMMYFUNCTION("AVERAGE(ARRAYFORMULA(XLOOKUP(FILTER(INDIRECT(""'""&amp;BZ$1&amp;""'!$C$4:$C$66""),INDIRECT(""'""&amp;BZ$1&amp;""'!$D$4:$D$66"")=BZ$2),$G$3:$BQ$3,$G85:$BQ85)))"),-0.09010774181818182)</f>
        <v>-0.09010774182</v>
      </c>
      <c r="CA85" s="207" t="str">
        <f>IFERROR(__xludf.DUMMYFUNCTION("IF(OR(BZ85&gt;$BS85+$BT85*$BT$2,BZ85&lt;$BS85-$BT85*$BT$2),AVEDEV(ARRAYFORMULA(XLOOKUP(FILTER(INDIRECT(""'""&amp;BZ$1&amp;""'!$C$4:$C$66""),INDIRECT(""'""&amp;BZ$1&amp;""'!$D$4:$D$66"")=BZ$2),$G$3:$BQ$3,$G85:$BQ85))),"""")"),"")</f>
        <v/>
      </c>
      <c r="CB85" s="209"/>
      <c r="CC85" s="207">
        <f>IFERROR(__xludf.DUMMYFUNCTION("AVERAGE(ARRAYFORMULA(XLOOKUP(FILTER(INDIRECT(""'""&amp;CC$1&amp;""'!$C$4:$C$66""),INDIRECT(""'""&amp;CC$1&amp;""'!$D$4:$D$66"")=CC$2),$G$3:$BQ$3,$G85:$BQ85)))"),0.41931929375)</f>
        <v>0.4193192938</v>
      </c>
      <c r="CD85" s="207" t="str">
        <f>IFERROR(__xludf.DUMMYFUNCTION("IF(OR(CC85&gt;$BS85+$BT85*$BT$2,CC85&lt;$BS85-$BT85*$BT$2),AVEDEV(ARRAYFORMULA(XLOOKUP(FILTER(INDIRECT(""'""&amp;CC$1&amp;""'!$C$4:$C$66""),INDIRECT(""'""&amp;CC$1&amp;""'!$D$4:$D$66"")=CC$2),$G$3:$BQ$3,$G85:$BQ85))),"""")"),"")</f>
        <v/>
      </c>
      <c r="CE85" s="207">
        <f>IFERROR(__xludf.DUMMYFUNCTION("AVERAGE(ARRAYFORMULA(XLOOKUP(FILTER(INDIRECT(""'""&amp;CE$1&amp;""'!$C$4:$C$66""),INDIRECT(""'""&amp;CE$1&amp;""'!$D$4:$D$66"")=CE$2),$G$3:$BQ$3,$G85:$BQ85)))"),-0.1161416690322581)</f>
        <v>-0.116141669</v>
      </c>
      <c r="CF85" s="207" t="str">
        <f>IFERROR(__xludf.DUMMYFUNCTION("IF(OR(CE85&gt;$BS85+$BT85*$BT$2,CE85&lt;$BS85-$BT85*$BT$2),AVEDEV(ARRAYFORMULA(XLOOKUP(FILTER(INDIRECT(""'""&amp;CE$1&amp;""'!$C$4:$C$66""),INDIRECT(""'""&amp;CE$1&amp;""'!$D$4:$D$66"")=CE$2),$G$3:$BQ$3,$G85:$BQ85))),"""")"),"")</f>
        <v/>
      </c>
      <c r="CG85" s="207">
        <f>IFERROR(__xludf.DUMMYFUNCTION("AVERAGE(ARRAYFORMULA(XLOOKUP(FILTER(INDIRECT(""'""&amp;CG$1&amp;""'!$C$4:$C$66""),INDIRECT(""'""&amp;CG$1&amp;""'!$D$4:$D$66"")=CG$2),$G$3:$BQ$3,$G85:$BQ85)))"),-0.040744364)</f>
        <v>-0.040744364</v>
      </c>
      <c r="CH85" s="207" t="str">
        <f>IFERROR(__xludf.DUMMYFUNCTION("IF(OR(CG85&gt;$BS85+$BT85*$BT$2,CG85&lt;$BS85-$BT85*$BT$2),AVEDEV(ARRAYFORMULA(XLOOKUP(FILTER(INDIRECT(""'""&amp;CG$1&amp;""'!$C$4:$C$66""),INDIRECT(""'""&amp;CG$1&amp;""'!$D$4:$D$66"")=CG$2),$G$3:$BQ$3,$G85:$BQ85))),"""")"),"")</f>
        <v/>
      </c>
      <c r="CI85" s="206"/>
      <c r="CJ85" s="251">
        <f>IFERROR(__xludf.DUMMYFUNCTION("AVERAGE(ARRAYFORMULA(XLOOKUP(FILTER(INDIRECT(""'""&amp;CJ$1&amp;""'!$C$4:$C$66""),INDIRECT(""'""&amp;CJ$1&amp;""'!$D$4:$D$66"")=CJ$2),$G$3:$BQ$3,$G85:$BQ85)))"),0.9160953340000001)</f>
        <v>0.916095334</v>
      </c>
      <c r="CK85" s="207">
        <f>IFERROR(__xludf.DUMMYFUNCTION("IF(OR(CJ85&gt;$BS85+$BT85*$BT$2,CJ85&lt;$BS85-$BT85*$BT$2),AVEDEV(ARRAYFORMULA(XLOOKUP(FILTER(INDIRECT(""'""&amp;CJ$1&amp;""'!$C$4:$C$66""),INDIRECT(""'""&amp;CJ$1&amp;""'!$D$4:$D$66"")=CJ$2),$G$3:$BQ$3,$G85:$BQ85))),"""")"),1.0074654456)</f>
        <v>1.007465446</v>
      </c>
      <c r="CL85" s="251">
        <f>IFERROR(__xludf.DUMMYFUNCTION("AVERAGE(ARRAYFORMULA(XLOOKUP(FILTER(INDIRECT(""'""&amp;CL$1&amp;""'!$C$4:$C$66""),INDIRECT(""'""&amp;CL$1&amp;""'!$D$4:$D$66"")=CL$2),$G$3:$BQ$3,$G85:$BQ85)))"),-0.22100002589743595)</f>
        <v>-0.2210000259</v>
      </c>
      <c r="CM85" s="207" t="str">
        <f>IFERROR(__xludf.DUMMYFUNCTION("IF(OR(CL85&gt;$BS85+$BT85*$BT$2,CL85&lt;$BS85-$BT85*$BT$2),AVEDEV(ARRAYFORMULA(XLOOKUP(FILTER(INDIRECT(""'""&amp;CL$1&amp;""'!$C$4:$C$66""),INDIRECT(""'""&amp;CL$1&amp;""'!$D$4:$D$66"")=CL$2),$G$3:$BQ$3,$G85:$BQ85))),"""")"),"")</f>
        <v/>
      </c>
      <c r="CN85" s="251">
        <f>IFERROR(__xludf.DUMMYFUNCTION("AVERAGE(ARRAYFORMULA(XLOOKUP(FILTER(INDIRECT(""'""&amp;CN$1&amp;""'!$C$4:$C$66""),INDIRECT(""'""&amp;CN$1&amp;""'!$D$4:$D$66"")=CN$2),$G$3:$BQ$3,$G85:$BQ85)))"),-0.040744364)</f>
        <v>-0.040744364</v>
      </c>
      <c r="CO85" s="207" t="str">
        <f>IFERROR(__xludf.DUMMYFUNCTION("IF(OR(CN85&gt;$BS85+$BT85*$BT$2,CN85&lt;$BS85-$BT85*$BT$2),AVEDEV(ARRAYFORMULA(XLOOKUP(FILTER(INDIRECT(""'""&amp;CN$1&amp;""'!$C$4:$C$66""),INDIRECT(""'""&amp;CN$1&amp;""'!$D$4:$D$66"")=CN$2),$G$3:$BQ$3,$G85:$BQ85))),"""")"),"")</f>
        <v/>
      </c>
      <c r="CP85" s="252"/>
      <c r="CQ85" s="251">
        <f>IFERROR(__xludf.DUMMYFUNCTION("AVERAGE(ARRAYFORMULA(XLOOKUP(FILTER(INDIRECT(""'""&amp;CQ$1&amp;""'!$C$4:$C$66""),INDIRECT(""'""&amp;CQ$1&amp;""'!$D$4:$D$66"")=CQ$2),$G$3:$BQ$3,$G85:$BQ85)))"),0.0714985257142857)</f>
        <v>0.07149852571</v>
      </c>
      <c r="CR85" s="207" t="str">
        <f>IFERROR(__xludf.DUMMYFUNCTION("IF(OR(CQ85&gt;$BS85+$BT85*$BT$2,CQ85&lt;$BS85-$BT85*$BT$2),AVEDEV(ARRAYFORMULA(XLOOKUP(FILTER(INDIRECT(""'""&amp;CQ$1&amp;""'!$C$4:$C$66""),INDIRECT(""'""&amp;CQ$1&amp;""'!$D$4:$D$66"")=CQ$2),$G$3:$BQ$3,$G85:$BQ85))),"""")"),"")</f>
        <v/>
      </c>
      <c r="CS85" s="251">
        <f>IFERROR(__xludf.DUMMYFUNCTION("AVERAGE(ARRAYFORMULA(XLOOKUP(FILTER(INDIRECT(""'""&amp;CS$1&amp;""'!$C$4:$C$66""),INDIRECT(""'""&amp;CS$1&amp;""'!$D$4:$D$66"")=CS$2),$G$3:$BQ$3,$G85:$BQ85)))"),-0.2156926811111111)</f>
        <v>-0.2156926811</v>
      </c>
      <c r="CT85" s="207" t="str">
        <f>IFERROR(__xludf.DUMMYFUNCTION("IF(OR(CS85&gt;$BS85+$BT85*$BT$2,CS85&lt;$BS85-$BT85*$BT$2),AVEDEV(ARRAYFORMULA(XLOOKUP(FILTER(INDIRECT(""'""&amp;CS$1&amp;""'!$C$4:$C$66""),INDIRECT(""'""&amp;CS$1&amp;""'!$D$4:$D$66"")=CS$2),$G$3:$BQ$3,$G85:$BQ85))),"""")"),"")</f>
        <v/>
      </c>
      <c r="CU85" s="251">
        <f>IFERROR(__xludf.DUMMYFUNCTION("AVERAGE(ARRAYFORMULA(XLOOKUP(FILTER(INDIRECT(""'""&amp;CU$1&amp;""'!$C$4:$C$66""),INDIRECT(""'""&amp;CU$1&amp;""'!$D$4:$D$66"")=CU$2),$G$3:$BQ$3,$G85:$BQ85)))"),0.22633782000000002)</f>
        <v>0.22633782</v>
      </c>
      <c r="CV85" s="207" t="str">
        <f>IFERROR(__xludf.DUMMYFUNCTION("IF(OR(CU85&gt;$BS85+$BT85*$BT$2,CU85&lt;$BS85-$BT85*$BT$2),AVEDEV(ARRAYFORMULA(XLOOKUP(FILTER(INDIRECT(""'""&amp;CU$1&amp;""'!$C$4:$C$66""),INDIRECT(""'""&amp;CU$1&amp;""'!$D$4:$D$66"")=CU$2),$G$3:$BQ$3,$G85:$BQ85))),"""")"),"")</f>
        <v/>
      </c>
      <c r="CW85" s="251">
        <f>IFERROR(__xludf.DUMMYFUNCTION("AVERAGE(ARRAYFORMULA(XLOOKUP(FILTER(INDIRECT(""'""&amp;CW$1&amp;""'!$C$4:$C$66""),INDIRECT(""'""&amp;CW$1&amp;""'!$D$4:$D$66"")=CW$2),$G$3:$BQ$3,$G85:$BQ85)))"),-1.7306561999999999)</f>
        <v>-1.7306562</v>
      </c>
      <c r="CX85" s="207">
        <f>IFERROR(__xludf.DUMMYFUNCTION("IF(OR(CW85&gt;$BS85+$BT85*$BT$2,CW85&lt;$BS85-$BT85*$BT$2),AVEDEV(ARRAYFORMULA(XLOOKUP(FILTER(INDIRECT(""'""&amp;CW$1&amp;""'!$C$4:$C$66""),INDIRECT(""'""&amp;CW$1&amp;""'!$D$4:$D$66"")=CW$2),$G$3:$BQ$3,$G85:$BQ85))),"""")"),0.17531829999999993)</f>
        <v>0.1753183</v>
      </c>
      <c r="CY85" s="251">
        <f>IFERROR(__xludf.DUMMYFUNCTION("AVERAGE(ARRAYFORMULA(XLOOKUP(FILTER(INDIRECT(""'""&amp;CY$1&amp;""'!$C$4:$C$66""),INDIRECT(""'""&amp;CY$1&amp;""'!$D$4:$D$66"")=CY$2),$G$3:$BQ$3,$G85:$BQ85)))"),-0.245697495)</f>
        <v>-0.245697495</v>
      </c>
      <c r="CZ85" s="207" t="str">
        <f>IFERROR(__xludf.DUMMYFUNCTION("IF(OR(CY85&gt;$BS85+$BT85*$BT$2,CY85&lt;$BS85-$BT85*$BT$2),AVEDEV(ARRAYFORMULA(XLOOKUP(FILTER(INDIRECT(""'""&amp;CY$1&amp;""'!$C$4:$C$66""),INDIRECT(""'""&amp;CY$1&amp;""'!$D$4:$D$66"")=CY$2),$G$3:$BQ$3,$G85:$BQ85))),"""")"),"")</f>
        <v/>
      </c>
      <c r="DA85" s="252"/>
      <c r="DB85" s="251">
        <f>IFERROR(__xludf.DUMMYFUNCTION("AVERAGE(ARRAYFORMULA(XLOOKUP(FILTER(INDIRECT(""'""&amp;DB$1&amp;""'!$C$4:$C$66""),INDIRECT(""'""&amp;DB$1&amp;""'!$D$4:$D$66"")=DB$2),$G$3:$BQ$3,$G85:$BQ85)))"),0.13627162733333337)</f>
        <v>0.1362716273</v>
      </c>
      <c r="DC85" s="207" t="str">
        <f>IFERROR(__xludf.DUMMYFUNCTION("IF(OR(DB85&gt;$BS85+$BT85*$BT$2,DB85&lt;$BS85-$BT85*$BT$2),AVEDEV(ARRAYFORMULA(XLOOKUP(FILTER(INDIRECT(""'""&amp;DB$1&amp;""'!$C$4:$C$66""),INDIRECT(""'""&amp;DB$1&amp;""'!$D$4:$D$66"")=DB$2),$G$3:$BQ$3,$G85:$BQ85))),"""")"),"")</f>
        <v/>
      </c>
      <c r="DD85" s="251">
        <f>IFERROR(__xludf.DUMMYFUNCTION("AVERAGE(ARRAYFORMULA(XLOOKUP(FILTER(INDIRECT(""'""&amp;DD$1&amp;""'!$C$4:$C$66""),INDIRECT(""'""&amp;DD$1&amp;""'!$D$4:$D$66"")=DD$2),$G$3:$BQ$3,$G85:$BQ85)))"),-0.1379910777777778)</f>
        <v>-0.1379910778</v>
      </c>
      <c r="DE85" s="207" t="str">
        <f>IFERROR(__xludf.DUMMYFUNCTION("IF(OR(DD85&gt;$BS85+$BT85*$BT$2,DD85&lt;$BS85-$BT85*$BT$2),AVEDEV(ARRAYFORMULA(XLOOKUP(FILTER(INDIRECT(""'""&amp;DD$1&amp;""'!$C$4:$C$66""),INDIRECT(""'""&amp;DD$1&amp;""'!$D$4:$D$66"")=DD$2),$G$3:$BQ$3,$G85:$BQ85))),"""")"),"")</f>
        <v/>
      </c>
      <c r="DF85" s="251">
        <f>IFERROR(__xludf.DUMMYFUNCTION("AVERAGE(ARRAYFORMULA(XLOOKUP(FILTER(INDIRECT(""'""&amp;DF$1&amp;""'!$C$4:$C$66""),INDIRECT(""'""&amp;DF$1&amp;""'!$D$4:$D$66"")=DF$2),$G$3:$BQ$3,$G85:$BQ85)))"),0.39911851750000005)</f>
        <v>0.3991185175</v>
      </c>
      <c r="DG85" s="207" t="str">
        <f>IFERROR(__xludf.DUMMYFUNCTION("IF(OR(DF85&gt;$BS85+$BT85*$BT$2,DF85&lt;$BS85-$BT85*$BT$2),AVEDEV(ARRAYFORMULA(XLOOKUP(FILTER(INDIRECT(""'""&amp;DF$1&amp;""'!$C$4:$C$66""),INDIRECT(""'""&amp;DF$1&amp;""'!$D$4:$D$66"")=DF$2),$G$3:$BQ$3,$G85:$BQ85))),"""")"),"")</f>
        <v/>
      </c>
      <c r="DH85" s="251">
        <f>IFERROR(__xludf.DUMMYFUNCTION("AVERAGE(ARRAYFORMULA(XLOOKUP(FILTER(INDIRECT(""'""&amp;DH$1&amp;""'!$C$4:$C$66""),INDIRECT(""'""&amp;DH$1&amp;""'!$D$4:$D$66"")=DH$2),$G$3:$BQ$3,$G85:$BQ85)))"),-0.42724996333333326)</f>
        <v>-0.4272499633</v>
      </c>
      <c r="DI85" s="207" t="str">
        <f>IFERROR(__xludf.DUMMYFUNCTION("IF(OR(DH85&gt;$BS85+$BT85*$BT$2,DH85&lt;$BS85-$BT85*$BT$2),AVEDEV(ARRAYFORMULA(XLOOKUP(FILTER(INDIRECT(""'""&amp;DH$1&amp;""'!$C$4:$C$66""),INDIRECT(""'""&amp;DH$1&amp;""'!$D$4:$D$66"")=DH$2),$G$3:$BQ$3,$G85:$BQ85))),"""")"),"")</f>
        <v/>
      </c>
      <c r="DJ85" s="243"/>
    </row>
    <row r="86">
      <c r="A86" s="2"/>
      <c r="B86" s="204">
        <v>82.0</v>
      </c>
      <c r="C86" s="204" t="s">
        <v>507</v>
      </c>
      <c r="D86" s="204" t="s">
        <v>527</v>
      </c>
      <c r="E86" s="205" t="b">
        <f>VLOOKUP(D86,'Feature Set List'!A83:C246,2,0)</f>
        <v>1</v>
      </c>
      <c r="F86" s="205" t="b">
        <f>VLOOKUP(D86,'Feature Set List'!A83:C246,3,0)</f>
        <v>1</v>
      </c>
      <c r="G86" s="205">
        <v>-0.4585538</v>
      </c>
      <c r="H86" s="205">
        <v>-0.4714874</v>
      </c>
      <c r="I86" s="205">
        <v>-2.4832451</v>
      </c>
      <c r="J86" s="205">
        <v>-0.2986479</v>
      </c>
      <c r="K86" s="205">
        <v>-0.8700764</v>
      </c>
      <c r="L86" s="205">
        <v>0.18342152</v>
      </c>
      <c r="M86" s="205">
        <v>-0.7995297</v>
      </c>
      <c r="N86" s="205">
        <v>1.9776602</v>
      </c>
      <c r="O86" s="205">
        <v>0.15049971</v>
      </c>
      <c r="P86" s="205">
        <v>-0.3609641</v>
      </c>
      <c r="Q86" s="205">
        <v>-0.0376249</v>
      </c>
      <c r="R86" s="205">
        <v>1.75778954</v>
      </c>
      <c r="S86" s="205">
        <v>0.98059965</v>
      </c>
      <c r="T86" s="205">
        <v>0.01410935</v>
      </c>
      <c r="U86" s="205">
        <v>2.35038213</v>
      </c>
      <c r="V86" s="205">
        <v>-0.6219871</v>
      </c>
      <c r="W86" s="205">
        <v>0.23750735</v>
      </c>
      <c r="X86" s="205">
        <v>3.06407995</v>
      </c>
      <c r="Y86" s="205">
        <v>-0.1152263</v>
      </c>
      <c r="Z86" s="205">
        <v>0.5867137</v>
      </c>
      <c r="AA86" s="205">
        <v>2.33744856</v>
      </c>
      <c r="AB86" s="205">
        <v>0.65843621</v>
      </c>
      <c r="AC86" s="205">
        <v>0.76660788</v>
      </c>
      <c r="AD86" s="205">
        <v>-0.1175779</v>
      </c>
      <c r="AE86" s="205">
        <v>1.776602</v>
      </c>
      <c r="AF86" s="205">
        <v>0.0</v>
      </c>
      <c r="AG86" s="205">
        <v>-1.2416226</v>
      </c>
      <c r="AH86" s="205">
        <v>1.62845385</v>
      </c>
      <c r="AI86" s="205">
        <v>-0.4115226</v>
      </c>
      <c r="AJ86" s="205">
        <v>-0.7336861</v>
      </c>
      <c r="AK86" s="205">
        <v>-0.8771311</v>
      </c>
      <c r="AL86" s="205">
        <v>-0.5914168</v>
      </c>
      <c r="AM86" s="205">
        <v>0.27983539</v>
      </c>
      <c r="AN86" s="205">
        <v>-0.0776014</v>
      </c>
      <c r="AO86" s="205">
        <v>-1.1875367</v>
      </c>
      <c r="AP86" s="205">
        <v>0.52557319</v>
      </c>
      <c r="AQ86" s="205">
        <v>-0.0540858</v>
      </c>
      <c r="AR86" s="205">
        <v>-0.4820694</v>
      </c>
      <c r="AS86" s="205">
        <v>-0.4997061</v>
      </c>
      <c r="AT86" s="205">
        <v>0.5138154</v>
      </c>
      <c r="AU86" s="205">
        <v>0.223398</v>
      </c>
      <c r="AV86" s="205">
        <v>-0.5925926</v>
      </c>
      <c r="AW86" s="205">
        <v>0.24338624</v>
      </c>
      <c r="AX86" s="205">
        <v>0.3127572</v>
      </c>
      <c r="AY86" s="205">
        <v>0.21516755</v>
      </c>
      <c r="AZ86" s="205">
        <v>0.87595532</v>
      </c>
      <c r="BA86" s="205">
        <v>-0.5855379</v>
      </c>
      <c r="BB86" s="205">
        <v>0.44797178</v>
      </c>
      <c r="BC86" s="205">
        <v>-0.1399177</v>
      </c>
      <c r="BD86" s="205">
        <v>-0.3691946</v>
      </c>
      <c r="BE86" s="205">
        <v>0.71722516</v>
      </c>
      <c r="BF86" s="205">
        <v>-0.760729</v>
      </c>
      <c r="BG86" s="205">
        <v>-0.1069959</v>
      </c>
      <c r="BH86" s="205">
        <v>-0.8665491</v>
      </c>
      <c r="BI86" s="205">
        <v>0.09171076</v>
      </c>
      <c r="BJ86" s="205">
        <v>-0.478542</v>
      </c>
      <c r="BK86" s="205">
        <v>0.36096414</v>
      </c>
      <c r="BL86" s="205">
        <v>1.58142269</v>
      </c>
      <c r="BM86" s="205">
        <v>2.54908877</v>
      </c>
      <c r="BN86" s="205">
        <v>0.02704292</v>
      </c>
      <c r="BO86" s="205">
        <v>-0.2563198</v>
      </c>
      <c r="BP86" s="205">
        <v>-0.4902998</v>
      </c>
      <c r="BQ86" s="205">
        <v>0.07995297</v>
      </c>
      <c r="BR86" s="206"/>
      <c r="BS86" s="250">
        <f t="shared" si="1"/>
        <v>0.1599619283</v>
      </c>
      <c r="BT86" s="250">
        <f t="shared" si="2"/>
        <v>0.7299445472</v>
      </c>
      <c r="BU86" s="206"/>
      <c r="BV86" s="207">
        <f>IFERROR(__xludf.DUMMYFUNCTION("AVERAGE(ARRAYFORMULA(XLOOKUP(FILTER(INDIRECT(""'""&amp;BV$1&amp;""'!$C$4:$C$66""),INDIRECT(""'""&amp;BV$1&amp;""'!$D$4:$D$66"")=BV$2),$G$3:$BQ$3,$G86:$BQ86)))"),1.0269589371428571)</f>
        <v>1.026958937</v>
      </c>
      <c r="BW86" s="207">
        <f>IFERROR(__xludf.DUMMYFUNCTION("IF(OR(BV86&gt;$BS86+$BT86*$BT$2,BV86&lt;$BS86-$BT86*$BT$2),AVEDEV(ARRAYFORMULA(XLOOKUP(FILTER(INDIRECT(""'""&amp;BV$1&amp;""'!$C$4:$C$66""),INDIRECT(""'""&amp;BV$1&amp;""'!$D$4:$D$66"")=BV$2),$G$3:$BQ$3,$G86:$BQ86))),"""")"),1.1185737024489795)</f>
        <v>1.118573702</v>
      </c>
      <c r="BX86" s="207">
        <f>IFERROR(__xludf.DUMMYFUNCTION("AVERAGE(ARRAYFORMULA(XLOOKUP(FILTER(INDIRECT(""'""&amp;BX$1&amp;""'!$C$4:$C$66""),INDIRECT(""'""&amp;BX$1&amp;""'!$D$4:$D$66"")=BX$2),$G$3:$BQ$3,$G86:$BQ86)))"),0.09470619309523805)</f>
        <v>0.0947061931</v>
      </c>
      <c r="BY86" s="207" t="str">
        <f>IFERROR(__xludf.DUMMYFUNCTION("IF(OR(BX86&gt;$BS86+$BT86*$BT$2,BX86&lt;$BS86-$BT86*$BT$2),AVEDEV(ARRAYFORMULA(XLOOKUP(FILTER(INDIRECT(""'""&amp;BX$1&amp;""'!$C$4:$C$66""),INDIRECT(""'""&amp;BX$1&amp;""'!$D$4:$D$66"")=BX$2),$G$3:$BQ$3,$G86:$BQ86))),"""")"),"")</f>
        <v/>
      </c>
      <c r="BZ86" s="207">
        <f>IFERROR(__xludf.DUMMYFUNCTION("AVERAGE(ARRAYFORMULA(XLOOKUP(FILTER(INDIRECT(""'""&amp;BZ$1&amp;""'!$C$4:$C$66""),INDIRECT(""'""&amp;BZ$1&amp;""'!$D$4:$D$66"")=BZ$2),$G$3:$BQ$3,$G86:$BQ86)))"),0.14002459181818186)</f>
        <v>0.1400245918</v>
      </c>
      <c r="CA86" s="207" t="str">
        <f>IFERROR(__xludf.DUMMYFUNCTION("IF(OR(BZ86&gt;$BS86+$BT86*$BT$2,BZ86&lt;$BS86-$BT86*$BT$2),AVEDEV(ARRAYFORMULA(XLOOKUP(FILTER(INDIRECT(""'""&amp;BZ$1&amp;""'!$C$4:$C$66""),INDIRECT(""'""&amp;BZ$1&amp;""'!$D$4:$D$66"")=BZ$2),$G$3:$BQ$3,$G86:$BQ86))),"""")"),"")</f>
        <v/>
      </c>
      <c r="CB86" s="209"/>
      <c r="CC86" s="207">
        <f>IFERROR(__xludf.DUMMYFUNCTION("AVERAGE(ARRAYFORMULA(XLOOKUP(FILTER(INDIRECT(""'""&amp;CC$1&amp;""'!$C$4:$C$66""),INDIRECT(""'""&amp;CC$1&amp;""'!$D$4:$D$66"")=CC$2),$G$3:$BQ$3,$G86:$BQ86)))"),0.13925631499999996)</f>
        <v>0.139256315</v>
      </c>
      <c r="CD86" s="207" t="str">
        <f>IFERROR(__xludf.DUMMYFUNCTION("IF(OR(CC86&gt;$BS86+$BT86*$BT$2,CC86&lt;$BS86-$BT86*$BT$2),AVEDEV(ARRAYFORMULA(XLOOKUP(FILTER(INDIRECT(""'""&amp;CC$1&amp;""'!$C$4:$C$66""),INDIRECT(""'""&amp;CC$1&amp;""'!$D$4:$D$66"")=CC$2),$G$3:$BQ$3,$G86:$BQ86))),"""")"),"")</f>
        <v/>
      </c>
      <c r="CE86" s="207">
        <f>IFERROR(__xludf.DUMMYFUNCTION("AVERAGE(ARRAYFORMULA(XLOOKUP(FILTER(INDIRECT(""'""&amp;CE$1&amp;""'!$C$4:$C$66""),INDIRECT(""'""&amp;CE$1&amp;""'!$D$4:$D$66"")=CE$2),$G$3:$BQ$3,$G86:$BQ86)))"),0.2224118670967742)</f>
        <v>0.2224118671</v>
      </c>
      <c r="CF86" s="207" t="str">
        <f>IFERROR(__xludf.DUMMYFUNCTION("IF(OR(CE86&gt;$BS86+$BT86*$BT$2,CE86&lt;$BS86-$BT86*$BT$2),AVEDEV(ARRAYFORMULA(XLOOKUP(FILTER(INDIRECT(""'""&amp;CE$1&amp;""'!$C$4:$C$66""),INDIRECT(""'""&amp;CE$1&amp;""'!$D$4:$D$66"")=CE$2),$G$3:$BQ$3,$G86:$BQ86))),"""")"),"")</f>
        <v/>
      </c>
      <c r="CG86" s="207">
        <f>IFERROR(__xludf.DUMMYFUNCTION("AVERAGE(ARRAYFORMULA(XLOOKUP(FILTER(INDIRECT(""'""&amp;CG$1&amp;""'!$C$4:$C$66""),INDIRECT(""'""&amp;CG$1&amp;""'!$D$4:$D$66"")=CG$2),$G$3:$BQ$3,$G86:$BQ86)))"),-0.30781893)</f>
        <v>-0.30781893</v>
      </c>
      <c r="CH86" s="207" t="str">
        <f>IFERROR(__xludf.DUMMYFUNCTION("IF(OR(CG86&gt;$BS86+$BT86*$BT$2,CG86&lt;$BS86-$BT86*$BT$2),AVEDEV(ARRAYFORMULA(XLOOKUP(FILTER(INDIRECT(""'""&amp;CG$1&amp;""'!$C$4:$C$66""),INDIRECT(""'""&amp;CG$1&amp;""'!$D$4:$D$66"")=CG$2),$G$3:$BQ$3,$G86:$BQ86))),"""")"),"")</f>
        <v/>
      </c>
      <c r="CI86" s="206"/>
      <c r="CJ86" s="253">
        <f>IFERROR(__xludf.DUMMYFUNCTION("AVERAGE(ARRAYFORMULA(XLOOKUP(FILTER(INDIRECT(""'""&amp;CJ$1&amp;""'!$C$4:$C$66""),INDIRECT(""'""&amp;CJ$1&amp;""'!$D$4:$D$66"")=CJ$2),$G$3:$BQ$3,$G86:$BQ86)))"),1.1971781326666666)</f>
        <v>1.197178133</v>
      </c>
      <c r="CK86" s="207">
        <f>IFERROR(__xludf.DUMMYFUNCTION("IF(OR(CJ86&gt;$BS86+$BT86*$BT$2,CJ86&lt;$BS86-$BT86*$BT$2),AVEDEV(ARRAYFORMULA(XLOOKUP(FILTER(INDIRECT(""'""&amp;CJ$1&amp;""'!$C$4:$C$66""),INDIRECT(""'""&amp;CJ$1&amp;""'!$D$4:$D$66"")=CJ$2),$G$3:$BQ$3,$G86:$BQ86))),"""")"),0.9737958041777777)</f>
        <v>0.9737958042</v>
      </c>
      <c r="CL86" s="251">
        <f>IFERROR(__xludf.DUMMYFUNCTION("AVERAGE(ARRAYFORMULA(XLOOKUP(FILTER(INDIRECT(""'""&amp;CL$1&amp;""'!$C$4:$C$66""),INDIRECT(""'""&amp;CL$1&amp;""'!$D$4:$D$66"")=CL$2),$G$3:$BQ$3,$G86:$BQ86)))"),-0.13572709871794875)</f>
        <v>-0.1357270987</v>
      </c>
      <c r="CM86" s="207" t="str">
        <f>IFERROR(__xludf.DUMMYFUNCTION("IF(OR(CL86&gt;$BS86+$BT86*$BT$2,CL86&lt;$BS86-$BT86*$BT$2),AVEDEV(ARRAYFORMULA(XLOOKUP(FILTER(INDIRECT(""'""&amp;CL$1&amp;""'!$C$4:$C$66""),INDIRECT(""'""&amp;CL$1&amp;""'!$D$4:$D$66"")=CL$2),$G$3:$BQ$3,$G86:$BQ86))),"""")"),"")</f>
        <v/>
      </c>
      <c r="CN86" s="251">
        <f>IFERROR(__xludf.DUMMYFUNCTION("AVERAGE(ARRAYFORMULA(XLOOKUP(FILTER(INDIRECT(""'""&amp;CN$1&amp;""'!$C$4:$C$66""),INDIRECT(""'""&amp;CN$1&amp;""'!$D$4:$D$66"")=CN$2),$G$3:$BQ$3,$G86:$BQ86)))"),-0.30781893)</f>
        <v>-0.30781893</v>
      </c>
      <c r="CO86" s="207" t="str">
        <f>IFERROR(__xludf.DUMMYFUNCTION("IF(OR(CN86&gt;$BS86+$BT86*$BT$2,CN86&lt;$BS86-$BT86*$BT$2),AVEDEV(ARRAYFORMULA(XLOOKUP(FILTER(INDIRECT(""'""&amp;CN$1&amp;""'!$C$4:$C$66""),INDIRECT(""'""&amp;CN$1&amp;""'!$D$4:$D$66"")=CN$2),$G$3:$BQ$3,$G86:$BQ86))),"""")"),"")</f>
        <v/>
      </c>
      <c r="CP86" s="252"/>
      <c r="CQ86" s="253">
        <f>IFERROR(__xludf.DUMMYFUNCTION("AVERAGE(ARRAYFORMULA(XLOOKUP(FILTER(INDIRECT(""'""&amp;CQ$1&amp;""'!$C$4:$C$66""),INDIRECT(""'""&amp;CQ$1&amp;""'!$D$4:$D$66"")=CQ$2),$G$3:$BQ$3,$G86:$BQ86)))"),-0.03174603785714284)</f>
        <v>-0.03174603786</v>
      </c>
      <c r="CR86" s="207" t="str">
        <f>IFERROR(__xludf.DUMMYFUNCTION("IF(OR(CQ86&gt;$BS86+$BT86*$BT$2,CQ86&lt;$BS86-$BT86*$BT$2),AVEDEV(ARRAYFORMULA(XLOOKUP(FILTER(INDIRECT(""'""&amp;CQ$1&amp;""'!$C$4:$C$66""),INDIRECT(""'""&amp;CQ$1&amp;""'!$D$4:$D$66"")=CQ$2),$G$3:$BQ$3,$G86:$BQ86))),"""")"),"")</f>
        <v/>
      </c>
      <c r="CS86" s="251">
        <f>IFERROR(__xludf.DUMMYFUNCTION("AVERAGE(ARRAYFORMULA(XLOOKUP(FILTER(INDIRECT(""'""&amp;CS$1&amp;""'!$C$4:$C$66""),INDIRECT(""'""&amp;CS$1&amp;""'!$D$4:$D$66"")=CS$2),$G$3:$BQ$3,$G86:$BQ86)))"),-0.20941928666666668)</f>
        <v>-0.2094192867</v>
      </c>
      <c r="CT86" s="207" t="str">
        <f>IFERROR(__xludf.DUMMYFUNCTION("IF(OR(CS86&gt;$BS86+$BT86*$BT$2,CS86&lt;$BS86-$BT86*$BT$2),AVEDEV(ARRAYFORMULA(XLOOKUP(FILTER(INDIRECT(""'""&amp;CS$1&amp;""'!$C$4:$C$66""),INDIRECT(""'""&amp;CS$1&amp;""'!$D$4:$D$66"")=CS$2),$G$3:$BQ$3,$G86:$BQ86))),"""")"),"")</f>
        <v/>
      </c>
      <c r="CU86" s="251">
        <f>IFERROR(__xludf.DUMMYFUNCTION("AVERAGE(ARRAYFORMULA(XLOOKUP(FILTER(INDIRECT(""'""&amp;CU$1&amp;""'!$C$4:$C$66""),INDIRECT(""'""&amp;CU$1&amp;""'!$D$4:$D$66"")=CU$2),$G$3:$BQ$3,$G86:$BQ86)))"),0.6441130872727272)</f>
        <v>0.6441130873</v>
      </c>
      <c r="CV86" s="207" t="str">
        <f>IFERROR(__xludf.DUMMYFUNCTION("IF(OR(CU86&gt;$BS86+$BT86*$BT$2,CU86&lt;$BS86-$BT86*$BT$2),AVEDEV(ARRAYFORMULA(XLOOKUP(FILTER(INDIRECT(""'""&amp;CU$1&amp;""'!$C$4:$C$66""),INDIRECT(""'""&amp;CU$1&amp;""'!$D$4:$D$66"")=CU$2),$G$3:$BQ$3,$G86:$BQ86))),"""")"),"")</f>
        <v/>
      </c>
      <c r="CW86" s="251">
        <f>IFERROR(__xludf.DUMMYFUNCTION("AVERAGE(ARRAYFORMULA(XLOOKUP(FILTER(INDIRECT(""'""&amp;CW$1&amp;""'!$C$4:$C$66""),INDIRECT(""'""&amp;CW$1&amp;""'!$D$4:$D$66"")=CW$2),$G$3:$BQ$3,$G86:$BQ86)))"),-0.4920635)</f>
        <v>-0.4920635</v>
      </c>
      <c r="CX86" s="207" t="str">
        <f>IFERROR(__xludf.DUMMYFUNCTION("IF(OR(CW86&gt;$BS86+$BT86*$BT$2,CW86&lt;$BS86-$BT86*$BT$2),AVEDEV(ARRAYFORMULA(XLOOKUP(FILTER(INDIRECT(""'""&amp;CW$1&amp;""'!$C$4:$C$66""),INDIRECT(""'""&amp;CW$1&amp;""'!$D$4:$D$66"")=CW$2),$G$3:$BQ$3,$G86:$BQ86))),"""")"),"")</f>
        <v/>
      </c>
      <c r="CY86" s="251">
        <f>IFERROR(__xludf.DUMMYFUNCTION("AVERAGE(ARRAYFORMULA(XLOOKUP(FILTER(INDIRECT(""'""&amp;CY$1&amp;""'!$C$4:$C$66""),INDIRECT(""'""&amp;CY$1&amp;""'!$D$4:$D$66"")=CY$2),$G$3:$BQ$3,$G86:$BQ86)))"),0.04048039285714285)</f>
        <v>0.04048039286</v>
      </c>
      <c r="CZ86" s="207" t="str">
        <f>IFERROR(__xludf.DUMMYFUNCTION("IF(OR(CY86&gt;$BS86+$BT86*$BT$2,CY86&lt;$BS86-$BT86*$BT$2),AVEDEV(ARRAYFORMULA(XLOOKUP(FILTER(INDIRECT(""'""&amp;CY$1&amp;""'!$C$4:$C$66""),INDIRECT(""'""&amp;CY$1&amp;""'!$D$4:$D$66"")=CY$2),$G$3:$BQ$3,$G86:$BQ86))),"""")"),"")</f>
        <v/>
      </c>
      <c r="DA86" s="252"/>
      <c r="DB86" s="253">
        <f>IFERROR(__xludf.DUMMYFUNCTION("AVERAGE(ARRAYFORMULA(XLOOKUP(FILTER(INDIRECT(""'""&amp;DB$1&amp;""'!$C$4:$C$66""),INDIRECT(""'""&amp;DB$1&amp;""'!$D$4:$D$66"")=DB$2),$G$3:$BQ$3,$G86:$BQ86)))"),0.09715853466666671)</f>
        <v>0.09715853467</v>
      </c>
      <c r="DC86" s="207" t="str">
        <f>IFERROR(__xludf.DUMMYFUNCTION("IF(OR(DB86&gt;$BS86+$BT86*$BT$2,DB86&lt;$BS86-$BT86*$BT$2),AVEDEV(ARRAYFORMULA(XLOOKUP(FILTER(INDIRECT(""'""&amp;DB$1&amp;""'!$C$4:$C$66""),INDIRECT(""'""&amp;DB$1&amp;""'!$D$4:$D$66"")=DB$2),$G$3:$BQ$3,$G86:$BQ86))),"""")"),"")</f>
        <v/>
      </c>
      <c r="DD86" s="251">
        <f>IFERROR(__xludf.DUMMYFUNCTION("AVERAGE(ARRAYFORMULA(XLOOKUP(FILTER(INDIRECT(""'""&amp;DD$1&amp;""'!$C$4:$C$66""),INDIRECT(""'""&amp;DD$1&amp;""'!$D$4:$D$66"")=DD$2),$G$3:$BQ$3,$G86:$BQ86)))"),0.020772098888888927)</f>
        <v>0.02077209889</v>
      </c>
      <c r="DE86" s="207" t="str">
        <f>IFERROR(__xludf.DUMMYFUNCTION("IF(OR(DD86&gt;$BS86+$BT86*$BT$2,DD86&lt;$BS86-$BT86*$BT$2),AVEDEV(ARRAYFORMULA(XLOOKUP(FILTER(INDIRECT(""'""&amp;DD$1&amp;""'!$C$4:$C$66""),INDIRECT(""'""&amp;DD$1&amp;""'!$D$4:$D$66"")=DD$2),$G$3:$BQ$3,$G86:$BQ86))),"""")"),"")</f>
        <v/>
      </c>
      <c r="DF86" s="251">
        <f>IFERROR(__xludf.DUMMYFUNCTION("AVERAGE(ARRAYFORMULA(XLOOKUP(FILTER(INDIRECT(""'""&amp;DF$1&amp;""'!$C$4:$C$66""),INDIRECT(""'""&amp;DF$1&amp;""'!$D$4:$D$66"")=DF$2),$G$3:$BQ$3,$G86:$BQ86)))"),0.9917695450000001)</f>
        <v>0.991769545</v>
      </c>
      <c r="DG86" s="207">
        <f>IFERROR(__xludf.DUMMYFUNCTION("IF(OR(DF86&gt;$BS86+$BT86*$BT$2,DF86&lt;$BS86-$BT86*$BT$2),AVEDEV(ARRAYFORMULA(XLOOKUP(FILTER(INDIRECT(""'""&amp;DF$1&amp;""'!$C$4:$C$66""),INDIRECT(""'""&amp;DF$1&amp;""'!$D$4:$D$66"")=DF$2),$G$3:$BQ$3,$G86:$BQ86))),"""")"),0.86757789875)</f>
        <v>0.8675778988</v>
      </c>
      <c r="DH86" s="251">
        <f>IFERROR(__xludf.DUMMYFUNCTION("AVERAGE(ARRAYFORMULA(XLOOKUP(FILTER(INDIRECT(""'""&amp;DH$1&amp;""'!$C$4:$C$66""),INDIRECT(""'""&amp;DH$1&amp;""'!$D$4:$D$66"")=DH$2),$G$3:$BQ$3,$G86:$BQ86)))"),-0.1450127388888889)</f>
        <v>-0.1450127389</v>
      </c>
      <c r="DI86" s="207" t="str">
        <f>IFERROR(__xludf.DUMMYFUNCTION("IF(OR(DH86&gt;$BS86+$BT86*$BT$2,DH86&lt;$BS86-$BT86*$BT$2),AVEDEV(ARRAYFORMULA(XLOOKUP(FILTER(INDIRECT(""'""&amp;DH$1&amp;""'!$C$4:$C$66""),INDIRECT(""'""&amp;DH$1&amp;""'!$D$4:$D$66"")=DH$2),$G$3:$BQ$3,$G86:$BQ86))),"""")"),"")</f>
        <v/>
      </c>
      <c r="DJ86" s="243"/>
    </row>
    <row r="87">
      <c r="A87" s="2"/>
      <c r="B87" s="204">
        <v>83.0</v>
      </c>
      <c r="C87" s="204" t="s">
        <v>507</v>
      </c>
      <c r="D87" s="204" t="s">
        <v>528</v>
      </c>
      <c r="E87" s="205" t="b">
        <f>VLOOKUP(D87,'Feature Set List'!A84:C246,2,0)</f>
        <v>1</v>
      </c>
      <c r="F87" s="205" t="b">
        <f>VLOOKUP(D87,'Feature Set List'!A84:C246,3,0)</f>
        <v>1</v>
      </c>
      <c r="G87" s="205">
        <v>-0.0745342</v>
      </c>
      <c r="H87" s="205">
        <v>0.51180124</v>
      </c>
      <c r="I87" s="205">
        <v>6.65010352</v>
      </c>
      <c r="J87" s="205">
        <v>0.69730849</v>
      </c>
      <c r="K87" s="205">
        <v>0.23188406</v>
      </c>
      <c r="L87" s="205">
        <v>-0.3296066</v>
      </c>
      <c r="M87" s="205">
        <v>-0.3945342</v>
      </c>
      <c r="N87" s="205">
        <v>-0.3312629</v>
      </c>
      <c r="O87" s="205">
        <v>0.39585921</v>
      </c>
      <c r="P87" s="205">
        <v>0.36438923</v>
      </c>
      <c r="Q87" s="205">
        <v>-0.0596273</v>
      </c>
      <c r="R87" s="205">
        <v>-0.5720911</v>
      </c>
      <c r="S87" s="205">
        <v>-0.2832298</v>
      </c>
      <c r="T87" s="205">
        <v>0.34120083</v>
      </c>
      <c r="U87" s="205">
        <v>-0.4321325</v>
      </c>
      <c r="V87" s="205">
        <v>0.56149068</v>
      </c>
      <c r="W87" s="205">
        <v>-0.4152381</v>
      </c>
      <c r="X87" s="205">
        <v>-1.0615321</v>
      </c>
      <c r="Y87" s="205">
        <v>-0.6353623</v>
      </c>
      <c r="Z87" s="205">
        <v>-0.9735818</v>
      </c>
      <c r="AA87" s="205">
        <v>-0.5918012</v>
      </c>
      <c r="AB87" s="205">
        <v>-1.1956936</v>
      </c>
      <c r="AC87" s="205">
        <v>-0.0811594</v>
      </c>
      <c r="AD87" s="205">
        <v>-0.52853</v>
      </c>
      <c r="AE87" s="205">
        <v>-0.78294</v>
      </c>
      <c r="AF87" s="205">
        <v>0.21532091</v>
      </c>
      <c r="AG87" s="205">
        <v>1.10310559</v>
      </c>
      <c r="AH87" s="205">
        <v>-0.6648447</v>
      </c>
      <c r="AI87" s="205">
        <v>0.83478261</v>
      </c>
      <c r="AJ87" s="205">
        <v>-1.5281159</v>
      </c>
      <c r="AK87" s="205">
        <v>0.52505176</v>
      </c>
      <c r="AL87" s="205">
        <v>0.39751553</v>
      </c>
      <c r="AM87" s="205">
        <v>0.09937888</v>
      </c>
      <c r="AN87" s="205">
        <v>-0.2799172</v>
      </c>
      <c r="AO87" s="205">
        <v>0.09772257</v>
      </c>
      <c r="AP87" s="205">
        <v>-1.1387164</v>
      </c>
      <c r="AQ87" s="205">
        <v>0.63933747</v>
      </c>
      <c r="AR87" s="205">
        <v>-0.3774741</v>
      </c>
      <c r="AS87" s="205">
        <v>1.29689441</v>
      </c>
      <c r="AT87" s="205">
        <v>0.0</v>
      </c>
      <c r="AU87" s="205">
        <v>-1.0944928</v>
      </c>
      <c r="AV87" s="205">
        <v>1.08322981</v>
      </c>
      <c r="AW87" s="205">
        <v>0.2699793</v>
      </c>
      <c r="AX87" s="205">
        <v>-1.2160663</v>
      </c>
      <c r="AY87" s="205">
        <v>0.33623188</v>
      </c>
      <c r="AZ87" s="205">
        <v>-0.0596273</v>
      </c>
      <c r="BA87" s="205">
        <v>1.15942029</v>
      </c>
      <c r="BB87" s="205">
        <v>1.55031056</v>
      </c>
      <c r="BC87" s="205">
        <v>0.5863354</v>
      </c>
      <c r="BD87" s="205">
        <v>0.20207039</v>
      </c>
      <c r="BE87" s="205">
        <v>-0.7607453</v>
      </c>
      <c r="BF87" s="205">
        <v>1.73250518</v>
      </c>
      <c r="BG87" s="205">
        <v>0.99378882</v>
      </c>
      <c r="BH87" s="205">
        <v>0.19378882</v>
      </c>
      <c r="BI87" s="205">
        <v>-0.3047619</v>
      </c>
      <c r="BJ87" s="205">
        <v>1.51884058</v>
      </c>
      <c r="BK87" s="205">
        <v>0.27163561</v>
      </c>
      <c r="BL87" s="205">
        <v>-0.4645963</v>
      </c>
      <c r="BM87" s="205">
        <v>0.07784679</v>
      </c>
      <c r="BN87" s="205">
        <v>-0.0513458</v>
      </c>
      <c r="BO87" s="205">
        <v>1.05175983</v>
      </c>
      <c r="BP87" s="205">
        <v>-0.6461284</v>
      </c>
      <c r="BQ87" s="205">
        <v>-0.4985507</v>
      </c>
      <c r="BR87" s="206"/>
      <c r="BS87" s="250">
        <f t="shared" si="1"/>
        <v>0.1295658738</v>
      </c>
      <c r="BT87" s="250">
        <f t="shared" si="2"/>
        <v>0.7012094458</v>
      </c>
      <c r="BU87" s="206"/>
      <c r="BV87" s="207">
        <f>IFERROR(__xludf.DUMMYFUNCTION("AVERAGE(ARRAYFORMULA(XLOOKUP(FILTER(INDIRECT(""'""&amp;BV$1&amp;""'!$C$4:$C$66""),INDIRECT(""'""&amp;BV$1&amp;""'!$D$4:$D$66"")=BV$2),$G$3:$BQ$3,$G87:$BQ87)))"),-0.10496302714285714)</f>
        <v>-0.1049630271</v>
      </c>
      <c r="BW87" s="207" t="str">
        <f>IFERROR(__xludf.DUMMYFUNCTION("IF(OR(BV87&gt;$BS87+$BT87*$BT$2,BV87&lt;$BS87-$BT87*$BT$2),AVEDEV(ARRAYFORMULA(XLOOKUP(FILTER(INDIRECT(""'""&amp;BV$1&amp;""'!$C$4:$C$66""),INDIRECT(""'""&amp;BV$1&amp;""'!$D$4:$D$66"")=BV$2),$G$3:$BQ$3,$G87:$BQ87))),"""")"),"")</f>
        <v/>
      </c>
      <c r="BX87" s="207">
        <f>IFERROR(__xludf.DUMMYFUNCTION("AVERAGE(ARRAYFORMULA(XLOOKUP(FILTER(INDIRECT(""'""&amp;BX$1&amp;""'!$C$4:$C$66""),INDIRECT(""'""&amp;BX$1&amp;""'!$D$4:$D$66"")=BX$2),$G$3:$BQ$3,$G87:$BQ87)))"),0.06881987571428574)</f>
        <v>0.06881987571</v>
      </c>
      <c r="BY87" s="207" t="str">
        <f>IFERROR(__xludf.DUMMYFUNCTION("IF(OR(BX87&gt;$BS87+$BT87*$BT$2,BX87&lt;$BS87-$BT87*$BT$2),AVEDEV(ARRAYFORMULA(XLOOKUP(FILTER(INDIRECT(""'""&amp;BX$1&amp;""'!$C$4:$C$66""),INDIRECT(""'""&amp;BX$1&amp;""'!$D$4:$D$66"")=BX$2),$G$3:$BQ$3,$G87:$BQ87))),"""")"),"")</f>
        <v/>
      </c>
      <c r="BZ87" s="207">
        <f>IFERROR(__xludf.DUMMYFUNCTION("AVERAGE(ARRAYFORMULA(XLOOKUP(FILTER(INDIRECT(""'""&amp;BZ$1&amp;""'!$C$4:$C$66""),INDIRECT(""'""&amp;BZ$1&amp;""'!$D$4:$D$66"")=BZ$2),$G$3:$BQ$3,$G87:$BQ87)))"),0.022661395454545433)</f>
        <v>0.02266139545</v>
      </c>
      <c r="CA87" s="207" t="str">
        <f>IFERROR(__xludf.DUMMYFUNCTION("IF(OR(BZ87&gt;$BS87+$BT87*$BT$2,BZ87&lt;$BS87-$BT87*$BT$2),AVEDEV(ARRAYFORMULA(XLOOKUP(FILTER(INDIRECT(""'""&amp;BZ$1&amp;""'!$C$4:$C$66""),INDIRECT(""'""&amp;BZ$1&amp;""'!$D$4:$D$66"")=BZ$2),$G$3:$BQ$3,$G87:$BQ87))),"""")"),"")</f>
        <v/>
      </c>
      <c r="CB87" s="209"/>
      <c r="CC87" s="207">
        <f>IFERROR(__xludf.DUMMYFUNCTION("AVERAGE(ARRAYFORMULA(XLOOKUP(FILTER(INDIRECT(""'""&amp;CC$1&amp;""'!$C$4:$C$66""),INDIRECT(""'""&amp;CC$1&amp;""'!$D$4:$D$66"")=CC$2),$G$3:$BQ$3,$G87:$BQ87)))"),0.37328157125)</f>
        <v>0.3732815713</v>
      </c>
      <c r="CD87" s="207" t="str">
        <f>IFERROR(__xludf.DUMMYFUNCTION("IF(OR(CC87&gt;$BS87+$BT87*$BT$2,CC87&lt;$BS87-$BT87*$BT$2),AVEDEV(ARRAYFORMULA(XLOOKUP(FILTER(INDIRECT(""'""&amp;CC$1&amp;""'!$C$4:$C$66""),INDIRECT(""'""&amp;CC$1&amp;""'!$D$4:$D$66"")=CC$2),$G$3:$BQ$3,$G87:$BQ87))),"""")"),"")</f>
        <v/>
      </c>
      <c r="CE87" s="207">
        <f>IFERROR(__xludf.DUMMYFUNCTION("AVERAGE(ARRAYFORMULA(XLOOKUP(FILTER(INDIRECT(""'""&amp;CE$1&amp;""'!$C$4:$C$66""),INDIRECT(""'""&amp;CE$1&amp;""'!$D$4:$D$66"")=CE$2),$G$3:$BQ$3,$G87:$BQ87)))"),-0.1856889022580645)</f>
        <v>-0.1856889023</v>
      </c>
      <c r="CF87" s="207" t="str">
        <f>IFERROR(__xludf.DUMMYFUNCTION("IF(OR(CE87&gt;$BS87+$BT87*$BT$2,CE87&lt;$BS87-$BT87*$BT$2),AVEDEV(ARRAYFORMULA(XLOOKUP(FILTER(INDIRECT(""'""&amp;CE$1&amp;""'!$C$4:$C$66""),INDIRECT(""'""&amp;CE$1&amp;""'!$D$4:$D$66"")=CE$2),$G$3:$BQ$3,$G87:$BQ87))),"""")"),"")</f>
        <v/>
      </c>
      <c r="CG87" s="207">
        <f>IFERROR(__xludf.DUMMYFUNCTION("AVERAGE(ARRAYFORMULA(XLOOKUP(FILTER(INDIRECT(""'""&amp;CG$1&amp;""'!$C$4:$C$66""),INDIRECT(""'""&amp;CG$1&amp;""'!$D$4:$D$66"")=CG$2),$G$3:$BQ$3,$G87:$BQ87)))"),0.8311387159999999)</f>
        <v>0.831138716</v>
      </c>
      <c r="CH87" s="207">
        <f>IFERROR(__xludf.DUMMYFUNCTION("IF(OR(CG87&gt;$BS87+$BT87*$BT$2,CG87&lt;$BS87-$BT87*$BT$2),AVEDEV(ARRAYFORMULA(XLOOKUP(FILTER(INDIRECT(""'""&amp;CG$1&amp;""'!$C$4:$C$66""),INDIRECT(""'""&amp;CG$1&amp;""'!$D$4:$D$66"")=CG$2),$G$3:$BQ$3,$G87:$BQ87))),"""")"),0.38267494879999997)</f>
        <v>0.3826749488</v>
      </c>
      <c r="CI87" s="206"/>
      <c r="CJ87" s="251">
        <f>IFERROR(__xludf.DUMMYFUNCTION("AVERAGE(ARRAYFORMULA(XLOOKUP(FILTER(INDIRECT(""'""&amp;CJ$1&amp;""'!$C$4:$C$66""),INDIRECT(""'""&amp;CJ$1&amp;""'!$D$4:$D$66"")=CJ$2),$G$3:$BQ$3,$G87:$BQ87)))"),-0.2621394013333333)</f>
        <v>-0.2621394013</v>
      </c>
      <c r="CK87" s="207" t="str">
        <f>IFERROR(__xludf.DUMMYFUNCTION("IF(OR(CJ87&gt;$BS87+$BT87*$BT$2,CJ87&lt;$BS87-$BT87*$BT$2),AVEDEV(ARRAYFORMULA(XLOOKUP(FILTER(INDIRECT(""'""&amp;CJ$1&amp;""'!$C$4:$C$66""),INDIRECT(""'""&amp;CJ$1&amp;""'!$D$4:$D$66"")=CJ$2),$G$3:$BQ$3,$G87:$BQ87))),"""")"),"")</f>
        <v/>
      </c>
      <c r="CL87" s="251">
        <f>IFERROR(__xludf.DUMMYFUNCTION("AVERAGE(ARRAYFORMULA(XLOOKUP(FILTER(INDIRECT(""'""&amp;CL$1&amp;""'!$C$4:$C$66""),INDIRECT(""'""&amp;CL$1&amp;""'!$D$4:$D$66"")=CL$2),$G$3:$BQ$3,$G87:$BQ87)))"),0.06784519692307692)</f>
        <v>0.06784519692</v>
      </c>
      <c r="CM87" s="207" t="str">
        <f>IFERROR(__xludf.DUMMYFUNCTION("IF(OR(CL87&gt;$BS87+$BT87*$BT$2,CL87&lt;$BS87-$BT87*$BT$2),AVEDEV(ARRAYFORMULA(XLOOKUP(FILTER(INDIRECT(""'""&amp;CL$1&amp;""'!$C$4:$C$66""),INDIRECT(""'""&amp;CL$1&amp;""'!$D$4:$D$66"")=CL$2),$G$3:$BQ$3,$G87:$BQ87))),"""")"),"")</f>
        <v/>
      </c>
      <c r="CN87" s="251">
        <f>IFERROR(__xludf.DUMMYFUNCTION("AVERAGE(ARRAYFORMULA(XLOOKUP(FILTER(INDIRECT(""'""&amp;CN$1&amp;""'!$C$4:$C$66""),INDIRECT(""'""&amp;CN$1&amp;""'!$D$4:$D$66"")=CN$2),$G$3:$BQ$3,$G87:$BQ87)))"),0.8311387159999999)</f>
        <v>0.831138716</v>
      </c>
      <c r="CO87" s="207">
        <f>IFERROR(__xludf.DUMMYFUNCTION("IF(OR(CN87&gt;$BS87+$BT87*$BT$2,CN87&lt;$BS87-$BT87*$BT$2),AVEDEV(ARRAYFORMULA(XLOOKUP(FILTER(INDIRECT(""'""&amp;CN$1&amp;""'!$C$4:$C$66""),INDIRECT(""'""&amp;CN$1&amp;""'!$D$4:$D$66"")=CN$2),$G$3:$BQ$3,$G87:$BQ87))),"""")"),0.38267494879999997)</f>
        <v>0.3826749488</v>
      </c>
      <c r="CP87" s="252"/>
      <c r="CQ87" s="251">
        <f>IFERROR(__xludf.DUMMYFUNCTION("AVERAGE(ARRAYFORMULA(XLOOKUP(FILTER(INDIRECT(""'""&amp;CQ$1&amp;""'!$C$4:$C$66""),INDIRECT(""'""&amp;CQ$1&amp;""'!$D$4:$D$66"")=CQ$2),$G$3:$BQ$3,$G87:$BQ87)))"),0.3779710114285715)</f>
        <v>0.3779710114</v>
      </c>
      <c r="CR87" s="207" t="str">
        <f>IFERROR(__xludf.DUMMYFUNCTION("IF(OR(CQ87&gt;$BS87+$BT87*$BT$2,CQ87&lt;$BS87-$BT87*$BT$2),AVEDEV(ARRAYFORMULA(XLOOKUP(FILTER(INDIRECT(""'""&amp;CQ$1&amp;""'!$C$4:$C$66""),INDIRECT(""'""&amp;CQ$1&amp;""'!$D$4:$D$66"")=CQ$2),$G$3:$BQ$3,$G87:$BQ87))),"""")"),"")</f>
        <v/>
      </c>
      <c r="CS87" s="251">
        <f>IFERROR(__xludf.DUMMYFUNCTION("AVERAGE(ARRAYFORMULA(XLOOKUP(FILTER(INDIRECT(""'""&amp;CS$1&amp;""'!$C$4:$C$66""),INDIRECT(""'""&amp;CS$1&amp;""'!$D$4:$D$66"")=CS$2),$G$3:$BQ$3,$G87:$BQ87)))"),0.02567287333333332)</f>
        <v>0.02567287333</v>
      </c>
      <c r="CT87" s="207" t="str">
        <f>IFERROR(__xludf.DUMMYFUNCTION("IF(OR(CS87&gt;$BS87+$BT87*$BT$2,CS87&lt;$BS87-$BT87*$BT$2),AVEDEV(ARRAYFORMULA(XLOOKUP(FILTER(INDIRECT(""'""&amp;CS$1&amp;""'!$C$4:$C$66""),INDIRECT(""'""&amp;CS$1&amp;""'!$D$4:$D$66"")=CS$2),$G$3:$BQ$3,$G87:$BQ87))),"""")"),"")</f>
        <v/>
      </c>
      <c r="CU87" s="251">
        <f>IFERROR(__xludf.DUMMYFUNCTION("AVERAGE(ARRAYFORMULA(XLOOKUP(FILTER(INDIRECT(""'""&amp;CU$1&amp;""'!$C$4:$C$66""),INDIRECT(""'""&amp;CU$1&amp;""'!$D$4:$D$66"")=CU$2),$G$3:$BQ$3,$G87:$BQ87)))"),0.03198193999999999)</f>
        <v>0.03198194</v>
      </c>
      <c r="CV87" s="207" t="str">
        <f>IFERROR(__xludf.DUMMYFUNCTION("IF(OR(CU87&gt;$BS87+$BT87*$BT$2,CU87&lt;$BS87-$BT87*$BT$2),AVEDEV(ARRAYFORMULA(XLOOKUP(FILTER(INDIRECT(""'""&amp;CU$1&amp;""'!$C$4:$C$66""),INDIRECT(""'""&amp;CU$1&amp;""'!$D$4:$D$66"")=CU$2),$G$3:$BQ$3,$G87:$BQ87))),"""")"),"")</f>
        <v/>
      </c>
      <c r="CW87" s="251">
        <f>IFERROR(__xludf.DUMMYFUNCTION("AVERAGE(ARRAYFORMULA(XLOOKUP(FILTER(INDIRECT(""'""&amp;CW$1&amp;""'!$C$4:$C$66""),INDIRECT(""'""&amp;CW$1&amp;""'!$D$4:$D$66"")=CW$2),$G$3:$BQ$3,$G87:$BQ87)))"),-0.16737059000000004)</f>
        <v>-0.16737059</v>
      </c>
      <c r="CX87" s="207" t="str">
        <f>IFERROR(__xludf.DUMMYFUNCTION("IF(OR(CW87&gt;$BS87+$BT87*$BT$2,CW87&lt;$BS87-$BT87*$BT$2),AVEDEV(ARRAYFORMULA(XLOOKUP(FILTER(INDIRECT(""'""&amp;CW$1&amp;""'!$C$4:$C$66""),INDIRECT(""'""&amp;CW$1&amp;""'!$D$4:$D$66"")=CW$2),$G$3:$BQ$3,$G87:$BQ87))),"""")"),"")</f>
        <v/>
      </c>
      <c r="CY87" s="251">
        <f>IFERROR(__xludf.DUMMYFUNCTION("AVERAGE(ARRAYFORMULA(XLOOKUP(FILTER(INDIRECT(""'""&amp;CY$1&amp;""'!$C$4:$C$66""),INDIRECT(""'""&amp;CY$1&amp;""'!$D$4:$D$66"")=CY$2),$G$3:$BQ$3,$G87:$BQ87)))"),-0.2861875221428572)</f>
        <v>-0.2861875221</v>
      </c>
      <c r="CZ87" s="207" t="str">
        <f>IFERROR(__xludf.DUMMYFUNCTION("IF(OR(CY87&gt;$BS87+$BT87*$BT$2,CY87&lt;$BS87-$BT87*$BT$2),AVEDEV(ARRAYFORMULA(XLOOKUP(FILTER(INDIRECT(""'""&amp;CY$1&amp;""'!$C$4:$C$66""),INDIRECT(""'""&amp;CY$1&amp;""'!$D$4:$D$66"")=CY$2),$G$3:$BQ$3,$G87:$BQ87))),"""")"),"")</f>
        <v/>
      </c>
      <c r="DA87" s="252"/>
      <c r="DB87" s="251">
        <f>IFERROR(__xludf.DUMMYFUNCTION("AVERAGE(ARRAYFORMULA(XLOOKUP(FILTER(INDIRECT(""'""&amp;DB$1&amp;""'!$C$4:$C$66""),INDIRECT(""'""&amp;DB$1&amp;""'!$D$4:$D$66"")=DB$2),$G$3:$BQ$3,$G87:$BQ87)))"),0.10738992266666667)</f>
        <v>0.1073899227</v>
      </c>
      <c r="DC87" s="207" t="str">
        <f>IFERROR(__xludf.DUMMYFUNCTION("IF(OR(DB87&gt;$BS87+$BT87*$BT$2,DB87&lt;$BS87-$BT87*$BT$2),AVEDEV(ARRAYFORMULA(XLOOKUP(FILTER(INDIRECT(""'""&amp;DB$1&amp;""'!$C$4:$C$66""),INDIRECT(""'""&amp;DB$1&amp;""'!$D$4:$D$66"")=DB$2),$G$3:$BQ$3,$G87:$BQ87))),"""")"),"")</f>
        <v/>
      </c>
      <c r="DD87" s="251">
        <f>IFERROR(__xludf.DUMMYFUNCTION("AVERAGE(ARRAYFORMULA(XLOOKUP(FILTER(INDIRECT(""'""&amp;DD$1&amp;""'!$C$4:$C$66""),INDIRECT(""'""&amp;DD$1&amp;""'!$D$4:$D$66"")=DD$2),$G$3:$BQ$3,$G87:$BQ87)))"),0.20135264999999997)</f>
        <v>0.20135265</v>
      </c>
      <c r="DE87" s="207" t="str">
        <f>IFERROR(__xludf.DUMMYFUNCTION("IF(OR(DD87&gt;$BS87+$BT87*$BT$2,DD87&lt;$BS87-$BT87*$BT$2),AVEDEV(ARRAYFORMULA(XLOOKUP(FILTER(INDIRECT(""'""&amp;DD$1&amp;""'!$C$4:$C$66""),INDIRECT(""'""&amp;DD$1&amp;""'!$D$4:$D$66"")=DD$2),$G$3:$BQ$3,$G87:$BQ87))),"""")"),"")</f>
        <v/>
      </c>
      <c r="DF87" s="251">
        <f>IFERROR(__xludf.DUMMYFUNCTION("AVERAGE(ARRAYFORMULA(XLOOKUP(FILTER(INDIRECT(""'""&amp;DF$1&amp;""'!$C$4:$C$66""),INDIRECT(""'""&amp;DF$1&amp;""'!$D$4:$D$66"")=DF$2),$G$3:$BQ$3,$G87:$BQ87)))"),-0.34186333874999997)</f>
        <v>-0.3418633388</v>
      </c>
      <c r="DG87" s="207" t="str">
        <f>IFERROR(__xludf.DUMMYFUNCTION("IF(OR(DF87&gt;$BS87+$BT87*$BT$2,DF87&lt;$BS87-$BT87*$BT$2),AVEDEV(ARRAYFORMULA(XLOOKUP(FILTER(INDIRECT(""'""&amp;DF$1&amp;""'!$C$4:$C$66""),INDIRECT(""'""&amp;DF$1&amp;""'!$D$4:$D$66"")=DF$2),$G$3:$BQ$3,$G87:$BQ87))),"""")"),"")</f>
        <v/>
      </c>
      <c r="DH87" s="251">
        <f>IFERROR(__xludf.DUMMYFUNCTION("AVERAGE(ARRAYFORMULA(XLOOKUP(FILTER(INDIRECT(""'""&amp;DH$1&amp;""'!$C$4:$C$66""),INDIRECT(""'""&amp;DH$1&amp;""'!$D$4:$D$66"")=DH$2),$G$3:$BQ$3,$G87:$BQ87)))"),0.21243156111111108)</f>
        <v>0.2124315611</v>
      </c>
      <c r="DI87" s="207" t="str">
        <f>IFERROR(__xludf.DUMMYFUNCTION("IF(OR(DH87&gt;$BS87+$BT87*$BT$2,DH87&lt;$BS87-$BT87*$BT$2),AVEDEV(ARRAYFORMULA(XLOOKUP(FILTER(INDIRECT(""'""&amp;DH$1&amp;""'!$C$4:$C$66""),INDIRECT(""'""&amp;DH$1&amp;""'!$D$4:$D$66"")=DH$2),$G$3:$BQ$3,$G87:$BQ87))),"""")"),"")</f>
        <v/>
      </c>
      <c r="DJ87" s="243"/>
    </row>
    <row r="88">
      <c r="A88" s="2"/>
      <c r="B88" s="204">
        <v>84.0</v>
      </c>
      <c r="C88" s="204" t="s">
        <v>507</v>
      </c>
      <c r="D88" s="204" t="s">
        <v>529</v>
      </c>
      <c r="E88" s="205" t="b">
        <f>VLOOKUP(D88,'Feature Set List'!A85:C246,2,0)</f>
        <v>1</v>
      </c>
      <c r="F88" s="205" t="b">
        <f>VLOOKUP(D88,'Feature Set List'!A85:C246,3,0)</f>
        <v>1</v>
      </c>
      <c r="G88" s="205">
        <v>0.46222607</v>
      </c>
      <c r="H88" s="205">
        <v>0.51816609</v>
      </c>
      <c r="I88" s="205">
        <v>-0.6522491</v>
      </c>
      <c r="J88" s="205">
        <v>-0.0671857</v>
      </c>
      <c r="K88" s="205">
        <v>0.76326413</v>
      </c>
      <c r="L88" s="205">
        <v>0.09890427</v>
      </c>
      <c r="M88" s="205">
        <v>-0.6366782</v>
      </c>
      <c r="N88" s="205">
        <v>-0.7413495</v>
      </c>
      <c r="O88" s="205">
        <v>0.27018454</v>
      </c>
      <c r="P88" s="205">
        <v>-0.4645329</v>
      </c>
      <c r="Q88" s="205">
        <v>0.53489043</v>
      </c>
      <c r="R88" s="205">
        <v>-1.1107266</v>
      </c>
      <c r="S88" s="205">
        <v>0.07814302</v>
      </c>
      <c r="T88" s="205">
        <v>-0.2811419</v>
      </c>
      <c r="U88" s="205">
        <v>-1.2448097</v>
      </c>
      <c r="V88" s="205">
        <v>0.43079585</v>
      </c>
      <c r="W88" s="205">
        <v>-0.2658593</v>
      </c>
      <c r="X88" s="205">
        <v>-1.2805652</v>
      </c>
      <c r="Y88" s="205">
        <v>1.05882353</v>
      </c>
      <c r="Z88" s="205">
        <v>-0.5746828</v>
      </c>
      <c r="AA88" s="205">
        <v>-0.9405998</v>
      </c>
      <c r="AB88" s="205">
        <v>-0.5348904</v>
      </c>
      <c r="AC88" s="205">
        <v>0.0</v>
      </c>
      <c r="AD88" s="205">
        <v>0.84400231</v>
      </c>
      <c r="AE88" s="205">
        <v>-0.3318916</v>
      </c>
      <c r="AF88" s="205">
        <v>0.37399077</v>
      </c>
      <c r="AG88" s="205">
        <v>0.0227797</v>
      </c>
      <c r="AH88" s="205">
        <v>-0.843714</v>
      </c>
      <c r="AI88" s="205">
        <v>0.16955017</v>
      </c>
      <c r="AJ88" s="205">
        <v>0.54469435</v>
      </c>
      <c r="AK88" s="205">
        <v>0.17185698</v>
      </c>
      <c r="AL88" s="205">
        <v>0.69434833</v>
      </c>
      <c r="AM88" s="205">
        <v>0.35611303</v>
      </c>
      <c r="AN88" s="205">
        <v>0.50980392</v>
      </c>
      <c r="AO88" s="205">
        <v>-0.8079585</v>
      </c>
      <c r="AP88" s="205">
        <v>-0.2589389</v>
      </c>
      <c r="AQ88" s="205">
        <v>-0.0902537</v>
      </c>
      <c r="AR88" s="205">
        <v>0.99567474</v>
      </c>
      <c r="AS88" s="205">
        <v>-0.0213379</v>
      </c>
      <c r="AT88" s="205">
        <v>-0.2851788</v>
      </c>
      <c r="AU88" s="205">
        <v>-0.0037486</v>
      </c>
      <c r="AV88" s="205">
        <v>0.64734717</v>
      </c>
      <c r="AW88" s="205">
        <v>-0.1536909</v>
      </c>
      <c r="AX88" s="205">
        <v>-0.0648789</v>
      </c>
      <c r="AY88" s="205">
        <v>-0.599481</v>
      </c>
      <c r="AZ88" s="205">
        <v>-0.1805075</v>
      </c>
      <c r="BA88" s="205">
        <v>-0.4244521</v>
      </c>
      <c r="BB88" s="205">
        <v>-1.2791234</v>
      </c>
      <c r="BC88" s="205">
        <v>0.73673587</v>
      </c>
      <c r="BD88" s="205">
        <v>0.33737024</v>
      </c>
      <c r="BE88" s="205">
        <v>-1.0844867</v>
      </c>
      <c r="BF88" s="205">
        <v>0.32410611</v>
      </c>
      <c r="BG88" s="205">
        <v>-0.4930796</v>
      </c>
      <c r="BH88" s="205">
        <v>0.8399654</v>
      </c>
      <c r="BI88" s="205">
        <v>0.16262976</v>
      </c>
      <c r="BJ88" s="205">
        <v>0.36937716</v>
      </c>
      <c r="BK88" s="205">
        <v>0.24625144</v>
      </c>
      <c r="BL88" s="205">
        <v>-1.4933679</v>
      </c>
      <c r="BM88" s="205">
        <v>-1.2618224</v>
      </c>
      <c r="BN88" s="205">
        <v>0.66032295</v>
      </c>
      <c r="BO88" s="205">
        <v>1.05420992</v>
      </c>
      <c r="BP88" s="205">
        <v>0.57439446</v>
      </c>
      <c r="BQ88" s="205">
        <v>0.71828143</v>
      </c>
      <c r="BR88" s="206"/>
      <c r="BS88" s="250">
        <f t="shared" si="1"/>
        <v>-0.04609491048</v>
      </c>
      <c r="BT88" s="250">
        <f t="shared" si="2"/>
        <v>0.5432172888</v>
      </c>
      <c r="BU88" s="206"/>
      <c r="BV88" s="207">
        <f>IFERROR(__xludf.DUMMYFUNCTION("AVERAGE(ARRAYFORMULA(XLOOKUP(FILTER(INDIRECT(""'""&amp;BV$1&amp;""'!$C$4:$C$66""),INDIRECT(""'""&amp;BV$1&amp;""'!$D$4:$D$66"")=BV$2),$G$3:$BQ$3,$G88:$BQ88)))"),-1.1128274857142857)</f>
        <v>-1.112827486</v>
      </c>
      <c r="BW88" s="207">
        <f>IFERROR(__xludf.DUMMYFUNCTION("IF(OR(BV88&gt;$BS88+$BT88*$BT$2,BV88&lt;$BS88-$BT88*$BT$2),AVEDEV(ARRAYFORMULA(XLOOKUP(FILTER(INDIRECT(""'""&amp;BV$1&amp;""'!$C$4:$C$66""),INDIRECT(""'""&amp;BV$1&amp;""'!$D$4:$D$66"")=BV$2),$G$3:$BQ$3,$G88:$BQ88))),"""")"),0.2418732163265306)</f>
        <v>0.2418732163</v>
      </c>
      <c r="BX88" s="207">
        <f>IFERROR(__xludf.DUMMYFUNCTION("AVERAGE(ARRAYFORMULA(XLOOKUP(FILTER(INDIRECT(""'""&amp;BX$1&amp;""'!$C$4:$C$66""),INDIRECT(""'""&amp;BX$1&amp;""'!$D$4:$D$66"")=BX$2),$G$3:$BQ$3,$G88:$BQ88)))"),0.1601307180952381)</f>
        <v>0.1601307181</v>
      </c>
      <c r="BY88" s="207" t="str">
        <f>IFERROR(__xludf.DUMMYFUNCTION("IF(OR(BX88&gt;$BS88+$BT88*$BT$2,BX88&lt;$BS88-$BT88*$BT$2),AVEDEV(ARRAYFORMULA(XLOOKUP(FILTER(INDIRECT(""'""&amp;BX$1&amp;""'!$C$4:$C$66""),INDIRECT(""'""&amp;BX$1&amp;""'!$D$4:$D$66"")=BX$2),$G$3:$BQ$3,$G88:$BQ88))),"""")"),"")</f>
        <v/>
      </c>
      <c r="BZ88" s="207">
        <f>IFERROR(__xludf.DUMMYFUNCTION("AVERAGE(ARRAYFORMULA(XLOOKUP(FILTER(INDIRECT(""'""&amp;BZ$1&amp;""'!$C$4:$C$66""),INDIRECT(""'""&amp;BZ$1&amp;""'!$D$4:$D$66"")=BZ$2),$G$3:$BQ$3,$G88:$BQ88)))"),-0.13827724181818185)</f>
        <v>-0.1382772418</v>
      </c>
      <c r="CA88" s="207" t="str">
        <f>IFERROR(__xludf.DUMMYFUNCTION("IF(OR(BZ88&gt;$BS88+$BT88*$BT$2,BZ88&lt;$BS88-$BT88*$BT$2),AVEDEV(ARRAYFORMULA(XLOOKUP(FILTER(INDIRECT(""'""&amp;BZ$1&amp;""'!$C$4:$C$66""),INDIRECT(""'""&amp;BZ$1&amp;""'!$D$4:$D$66"")=BZ$2),$G$3:$BQ$3,$G88:$BQ88))),"""")"),"")</f>
        <v/>
      </c>
      <c r="CB88" s="209"/>
      <c r="CC88" s="207">
        <f>IFERROR(__xludf.DUMMYFUNCTION("AVERAGE(ARRAYFORMULA(XLOOKUP(FILTER(INDIRECT(""'""&amp;CC$1&amp;""'!$C$4:$C$66""),INDIRECT(""'""&amp;CC$1&amp;""'!$D$4:$D$66"")=CC$2),$G$3:$BQ$3,$G88:$BQ88)))"),-0.128243948125)</f>
        <v>-0.1282439481</v>
      </c>
      <c r="CD88" s="207" t="str">
        <f>IFERROR(__xludf.DUMMYFUNCTION("IF(OR(CC88&gt;$BS88+$BT88*$BT$2,CC88&lt;$BS88-$BT88*$BT$2),AVEDEV(ARRAYFORMULA(XLOOKUP(FILTER(INDIRECT(""'""&amp;CC$1&amp;""'!$C$4:$C$66""),INDIRECT(""'""&amp;CC$1&amp;""'!$D$4:$D$66"")=CC$2),$G$3:$BQ$3,$G88:$BQ88))),"""")"),"")</f>
        <v/>
      </c>
      <c r="CE88" s="207">
        <f>IFERROR(__xludf.DUMMYFUNCTION("AVERAGE(ARRAYFORMULA(XLOOKUP(FILTER(INDIRECT(""'""&amp;CE$1&amp;""'!$C$4:$C$66""),INDIRECT(""'""&amp;CE$1&amp;""'!$D$4:$D$66"")=CE$2),$G$3:$BQ$3,$G88:$BQ88)))"),0.11443799483870967)</f>
        <v>0.1144379948</v>
      </c>
      <c r="CF88" s="207" t="str">
        <f>IFERROR(__xludf.DUMMYFUNCTION("IF(OR(CE88&gt;$BS88+$BT88*$BT$2,CE88&lt;$BS88-$BT88*$BT$2),AVEDEV(ARRAYFORMULA(XLOOKUP(FILTER(INDIRECT(""'""&amp;CE$1&amp;""'!$C$4:$C$66""),INDIRECT(""'""&amp;CE$1&amp;""'!$D$4:$D$66"")=CE$2),$G$3:$BQ$3,$G88:$BQ88))),"""")"),"")</f>
        <v/>
      </c>
      <c r="CG88" s="207">
        <f>IFERROR(__xludf.DUMMYFUNCTION("AVERAGE(ARRAYFORMULA(XLOOKUP(FILTER(INDIRECT(""'""&amp;CG$1&amp;""'!$C$4:$C$66""),INDIRECT(""'""&amp;CG$1&amp;""'!$D$4:$D$66"")=CG$2),$G$3:$BQ$3,$G88:$BQ88)))"),-0.33690888)</f>
        <v>-0.33690888</v>
      </c>
      <c r="CH88" s="207" t="str">
        <f>IFERROR(__xludf.DUMMYFUNCTION("IF(OR(CG88&gt;$BS88+$BT88*$BT$2,CG88&lt;$BS88-$BT88*$BT$2),AVEDEV(ARRAYFORMULA(XLOOKUP(FILTER(INDIRECT(""'""&amp;CG$1&amp;""'!$C$4:$C$66""),INDIRECT(""'""&amp;CG$1&amp;""'!$D$4:$D$66"")=CG$2),$G$3:$BQ$3,$G88:$BQ88))),"""")"),"")</f>
        <v/>
      </c>
      <c r="CI88" s="206"/>
      <c r="CJ88" s="251">
        <f>IFERROR(__xludf.DUMMYFUNCTION("AVERAGE(ARRAYFORMULA(XLOOKUP(FILTER(INDIRECT(""'""&amp;CJ$1&amp;""'!$C$4:$C$66""),INDIRECT(""'""&amp;CJ$1&amp;""'!$D$4:$D$66"")=CJ$2),$G$3:$BQ$3,$G88:$BQ88)))"),-0.4835447986666667)</f>
        <v>-0.4835447987</v>
      </c>
      <c r="CK88" s="207" t="str">
        <f>IFERROR(__xludf.DUMMYFUNCTION("IF(OR(CJ88&gt;$BS88+$BT88*$BT$2,CJ88&lt;$BS88-$BT88*$BT$2),AVEDEV(ARRAYFORMULA(XLOOKUP(FILTER(INDIRECT(""'""&amp;CJ$1&amp;""'!$C$4:$C$66""),INDIRECT(""'""&amp;CJ$1&amp;""'!$D$4:$D$66"")=CJ$2),$G$3:$BQ$3,$G88:$BQ88))),"""")"),"")</f>
        <v/>
      </c>
      <c r="CL88" s="251">
        <f>IFERROR(__xludf.DUMMYFUNCTION("AVERAGE(ARRAYFORMULA(XLOOKUP(FILTER(INDIRECT(""'""&amp;CL$1&amp;""'!$C$4:$C$66""),INDIRECT(""'""&amp;CL$1&amp;""'!$D$4:$D$66"")=CL$2),$G$3:$BQ$3,$G88:$BQ88)))"),0.20117262512820516)</f>
        <v>0.2011726251</v>
      </c>
      <c r="CM88" s="207" t="str">
        <f>IFERROR(__xludf.DUMMYFUNCTION("IF(OR(CL88&gt;$BS88+$BT88*$BT$2,CL88&lt;$BS88-$BT88*$BT$2),AVEDEV(ARRAYFORMULA(XLOOKUP(FILTER(INDIRECT(""'""&amp;CL$1&amp;""'!$C$4:$C$66""),INDIRECT(""'""&amp;CL$1&amp;""'!$D$4:$D$66"")=CL$2),$G$3:$BQ$3,$G88:$BQ88))),"""")"),"")</f>
        <v/>
      </c>
      <c r="CN88" s="251">
        <f>IFERROR(__xludf.DUMMYFUNCTION("AVERAGE(ARRAYFORMULA(XLOOKUP(FILTER(INDIRECT(""'""&amp;CN$1&amp;""'!$C$4:$C$66""),INDIRECT(""'""&amp;CN$1&amp;""'!$D$4:$D$66"")=CN$2),$G$3:$BQ$3,$G88:$BQ88)))"),-0.33690888)</f>
        <v>-0.33690888</v>
      </c>
      <c r="CO88" s="207" t="str">
        <f>IFERROR(__xludf.DUMMYFUNCTION("IF(OR(CN88&gt;$BS88+$BT88*$BT$2,CN88&lt;$BS88-$BT88*$BT$2),AVEDEV(ARRAYFORMULA(XLOOKUP(FILTER(INDIRECT(""'""&amp;CN$1&amp;""'!$C$4:$C$66""),INDIRECT(""'""&amp;CN$1&amp;""'!$D$4:$D$66"")=CN$2),$G$3:$BQ$3,$G88:$BQ88))),"""")"),"")</f>
        <v/>
      </c>
      <c r="CP88" s="252"/>
      <c r="CQ88" s="251">
        <f>IFERROR(__xludf.DUMMYFUNCTION("AVERAGE(ARRAYFORMULA(XLOOKUP(FILTER(INDIRECT(""'""&amp;CQ$1&amp;""'!$C$4:$C$66""),INDIRECT(""'""&amp;CQ$1&amp;""'!$D$4:$D$66"")=CQ$2),$G$3:$BQ$3,$G88:$BQ88)))"),0.06675316928571429)</f>
        <v>0.06675316929</v>
      </c>
      <c r="CR88" s="207" t="str">
        <f>IFERROR(__xludf.DUMMYFUNCTION("IF(OR(CQ88&gt;$BS88+$BT88*$BT$2,CQ88&lt;$BS88-$BT88*$BT$2),AVEDEV(ARRAYFORMULA(XLOOKUP(FILTER(INDIRECT(""'""&amp;CQ$1&amp;""'!$C$4:$C$66""),INDIRECT(""'""&amp;CQ$1&amp;""'!$D$4:$D$66"")=CQ$2),$G$3:$BQ$3,$G88:$BQ88))),"""")"),"")</f>
        <v/>
      </c>
      <c r="CS88" s="251">
        <f>IFERROR(__xludf.DUMMYFUNCTION("AVERAGE(ARRAYFORMULA(XLOOKUP(FILTER(INDIRECT(""'""&amp;CS$1&amp;""'!$C$4:$C$66""),INDIRECT(""'""&amp;CS$1&amp;""'!$D$4:$D$66"")=CS$2),$G$3:$BQ$3,$G88:$BQ88)))"),-0.008746640000000003)</f>
        <v>-0.00874664</v>
      </c>
      <c r="CT88" s="207" t="str">
        <f>IFERROR(__xludf.DUMMYFUNCTION("IF(OR(CS88&gt;$BS88+$BT88*$BT$2,CS88&lt;$BS88-$BT88*$BT$2),AVEDEV(ARRAYFORMULA(XLOOKUP(FILTER(INDIRECT(""'""&amp;CS$1&amp;""'!$C$4:$C$66""),INDIRECT(""'""&amp;CS$1&amp;""'!$D$4:$D$66"")=CS$2),$G$3:$BQ$3,$G88:$BQ88))),"""")"),"")</f>
        <v/>
      </c>
      <c r="CU88" s="251">
        <f>IFERROR(__xludf.DUMMYFUNCTION("AVERAGE(ARRAYFORMULA(XLOOKUP(FILTER(INDIRECT(""'""&amp;CU$1&amp;""'!$C$4:$C$66""),INDIRECT(""'""&amp;CU$1&amp;""'!$D$4:$D$66"")=CU$2),$G$3:$BQ$3,$G88:$BQ88)))"),-0.10383245090909093)</f>
        <v>-0.1038324509</v>
      </c>
      <c r="CV88" s="207" t="str">
        <f>IFERROR(__xludf.DUMMYFUNCTION("IF(OR(CU88&gt;$BS88+$BT88*$BT$2,CU88&lt;$BS88-$BT88*$BT$2),AVEDEV(ARRAYFORMULA(XLOOKUP(FILTER(INDIRECT(""'""&amp;CU$1&amp;""'!$C$4:$C$66""),INDIRECT(""'""&amp;CU$1&amp;""'!$D$4:$D$66"")=CU$2),$G$3:$BQ$3,$G88:$BQ88))),"""")"),"")</f>
        <v/>
      </c>
      <c r="CW88" s="251">
        <f>IFERROR(__xludf.DUMMYFUNCTION("AVERAGE(ARRAYFORMULA(XLOOKUP(FILTER(INDIRECT(""'""&amp;CW$1&amp;""'!$C$4:$C$66""),INDIRECT(""'""&amp;CW$1&amp;""'!$D$4:$D$66"")=CW$2),$G$3:$BQ$3,$G88:$BQ88)))"),0.8419838550000001)</f>
        <v>0.841983855</v>
      </c>
      <c r="CX88" s="207">
        <f>IFERROR(__xludf.DUMMYFUNCTION("IF(OR(CW88&gt;$BS88+$BT88*$BT$2,CW88&lt;$BS88-$BT88*$BT$2),AVEDEV(ARRAYFORMULA(XLOOKUP(FILTER(INDIRECT(""'""&amp;CW$1&amp;""'!$C$4:$C$66""),INDIRECT(""'""&amp;CW$1&amp;""'!$D$4:$D$66"")=CW$2),$G$3:$BQ$3,$G88:$BQ88))),"""")"),0.00201845500000003)</f>
        <v>0.002018455</v>
      </c>
      <c r="CY88" s="251">
        <f>IFERROR(__xludf.DUMMYFUNCTION("AVERAGE(ARRAYFORMULA(XLOOKUP(FILTER(INDIRECT(""'""&amp;CY$1&amp;""'!$C$4:$C$66""),INDIRECT(""'""&amp;CY$1&amp;""'!$D$4:$D$66"")=CY$2),$G$3:$BQ$3,$G88:$BQ88)))"),0.30905009357142854)</f>
        <v>0.3090500936</v>
      </c>
      <c r="CZ88" s="207" t="str">
        <f>IFERROR(__xludf.DUMMYFUNCTION("IF(OR(CY88&gt;$BS88+$BT88*$BT$2,CY88&lt;$BS88-$BT88*$BT$2),AVEDEV(ARRAYFORMULA(XLOOKUP(FILTER(INDIRECT(""'""&amp;CY$1&amp;""'!$C$4:$C$66""),INDIRECT(""'""&amp;CY$1&amp;""'!$D$4:$D$66"")=CY$2),$G$3:$BQ$3,$G88:$BQ88))),"""")"),"")</f>
        <v/>
      </c>
      <c r="DA88" s="252"/>
      <c r="DB88" s="251">
        <f>IFERROR(__xludf.DUMMYFUNCTION("AVERAGE(ARRAYFORMULA(XLOOKUP(FILTER(INDIRECT(""'""&amp;DB$1&amp;""'!$C$4:$C$66""),INDIRECT(""'""&amp;DB$1&amp;""'!$D$4:$D$66"")=DB$2),$G$3:$BQ$3,$G88:$BQ88)))"),0.009919260999999995)</f>
        <v>0.009919261</v>
      </c>
      <c r="DC88" s="207" t="str">
        <f>IFERROR(__xludf.DUMMYFUNCTION("IF(OR(DB88&gt;$BS88+$BT88*$BT$2,DB88&lt;$BS88-$BT88*$BT$2),AVEDEV(ARRAYFORMULA(XLOOKUP(FILTER(INDIRECT(""'""&amp;DB$1&amp;""'!$C$4:$C$66""),INDIRECT(""'""&amp;DB$1&amp;""'!$D$4:$D$66"")=DB$2),$G$3:$BQ$3,$G88:$BQ88))),"""")"),"")</f>
        <v/>
      </c>
      <c r="DD88" s="251">
        <f>IFERROR(__xludf.DUMMYFUNCTION("AVERAGE(ARRAYFORMULA(XLOOKUP(FILTER(INDIRECT(""'""&amp;DD$1&amp;""'!$C$4:$C$66""),INDIRECT(""'""&amp;DD$1&amp;""'!$D$4:$D$66"")=DD$2),$G$3:$BQ$3,$G88:$BQ88)))"),-0.23622325444444442)</f>
        <v>-0.2362232544</v>
      </c>
      <c r="DE88" s="207" t="str">
        <f>IFERROR(__xludf.DUMMYFUNCTION("IF(OR(DD88&gt;$BS88+$BT88*$BT$2,DD88&lt;$BS88-$BT88*$BT$2),AVEDEV(ARRAYFORMULA(XLOOKUP(FILTER(INDIRECT(""'""&amp;DD$1&amp;""'!$C$4:$C$66""),INDIRECT(""'""&amp;DD$1&amp;""'!$D$4:$D$66"")=DD$2),$G$3:$BQ$3,$G88:$BQ88))),"""")"),"")</f>
        <v/>
      </c>
      <c r="DF88" s="251">
        <f>IFERROR(__xludf.DUMMYFUNCTION("AVERAGE(ARRAYFORMULA(XLOOKUP(FILTER(INDIRECT(""'""&amp;DF$1&amp;""'!$C$4:$C$66""),INDIRECT(""'""&amp;DF$1&amp;""'!$D$4:$D$66"")=DF$2),$G$3:$BQ$3,$G88:$BQ88)))"),-0.39788783625000007)</f>
        <v>-0.3978878363</v>
      </c>
      <c r="DG88" s="207" t="str">
        <f>IFERROR(__xludf.DUMMYFUNCTION("IF(OR(DF88&gt;$BS88+$BT88*$BT$2,DF88&lt;$BS88-$BT88*$BT$2),AVEDEV(ARRAYFORMULA(XLOOKUP(FILTER(INDIRECT(""'""&amp;DF$1&amp;""'!$C$4:$C$66""),INDIRECT(""'""&amp;DF$1&amp;""'!$D$4:$D$66"")=DF$2),$G$3:$BQ$3,$G88:$BQ88))),"""")"),"")</f>
        <v/>
      </c>
      <c r="DH88" s="251">
        <f>IFERROR(__xludf.DUMMYFUNCTION("AVERAGE(ARRAYFORMULA(XLOOKUP(FILTER(INDIRECT(""'""&amp;DH$1&amp;""'!$C$4:$C$66""),INDIRECT(""'""&amp;DH$1&amp;""'!$D$4:$D$66"")=DH$2),$G$3:$BQ$3,$G88:$BQ88)))"),0.5569332344444445)</f>
        <v>0.5569332344</v>
      </c>
      <c r="DI88" s="207">
        <f>IFERROR(__xludf.DUMMYFUNCTION("IF(OR(DH88&gt;$BS88+$BT88*$BT$2,DH88&lt;$BS88-$BT88*$BT$2),AVEDEV(ARRAYFORMULA(XLOOKUP(FILTER(INDIRECT(""'""&amp;DH$1&amp;""'!$C$4:$C$66""),INDIRECT(""'""&amp;DH$1&amp;""'!$D$4:$D$66"")=DH$2),$G$3:$BQ$3,$G88:$BQ88))),"""")"),0.37170176395061727)</f>
        <v>0.371701764</v>
      </c>
      <c r="DJ88" s="243"/>
    </row>
    <row r="89">
      <c r="A89" s="2"/>
      <c r="B89" s="204">
        <v>85.0</v>
      </c>
      <c r="C89" s="204" t="s">
        <v>507</v>
      </c>
      <c r="D89" s="204" t="s">
        <v>530</v>
      </c>
      <c r="E89" s="205" t="b">
        <f>VLOOKUP(D89,'Feature Set List'!A86:C246,2,0)</f>
        <v>1</v>
      </c>
      <c r="F89" s="205" t="b">
        <f>VLOOKUP(D89,'Feature Set List'!A86:C246,3,0)</f>
        <v>1</v>
      </c>
      <c r="G89" s="205">
        <v>1.00947779</v>
      </c>
      <c r="H89" s="205">
        <v>0.48318156</v>
      </c>
      <c r="I89" s="205">
        <v>-1.7212414</v>
      </c>
      <c r="J89" s="205">
        <v>-0.0282475</v>
      </c>
      <c r="K89" s="205">
        <v>1.09273369</v>
      </c>
      <c r="L89" s="205">
        <v>-0.0903178</v>
      </c>
      <c r="M89" s="205">
        <v>0.68611782</v>
      </c>
      <c r="N89" s="205">
        <v>-1.481509</v>
      </c>
      <c r="O89" s="205">
        <v>0.28953726</v>
      </c>
      <c r="P89" s="205">
        <v>-0.8184352</v>
      </c>
      <c r="Q89" s="205">
        <v>0.38543022</v>
      </c>
      <c r="R89" s="205">
        <v>-0.2572013</v>
      </c>
      <c r="S89" s="205">
        <v>0.06653038</v>
      </c>
      <c r="T89" s="205">
        <v>-0.5891098</v>
      </c>
      <c r="U89" s="205">
        <v>-1.9329121</v>
      </c>
      <c r="V89" s="205">
        <v>0.20405129</v>
      </c>
      <c r="W89" s="205">
        <v>-0.1456978</v>
      </c>
      <c r="X89" s="205">
        <v>-1.8929567</v>
      </c>
      <c r="Y89" s="205">
        <v>1.30013009</v>
      </c>
      <c r="Z89" s="205">
        <v>0.32224494</v>
      </c>
      <c r="AA89" s="205">
        <v>-1.0406988</v>
      </c>
      <c r="AB89" s="205">
        <v>0.0</v>
      </c>
      <c r="AC89" s="205">
        <v>-0.1955027</v>
      </c>
      <c r="AD89" s="205">
        <v>0.84482438</v>
      </c>
      <c r="AE89" s="205">
        <v>-0.3843152</v>
      </c>
      <c r="AF89" s="205">
        <v>0.40921762</v>
      </c>
      <c r="AG89" s="205">
        <v>-0.6954098</v>
      </c>
      <c r="AH89" s="205">
        <v>-0.5036239</v>
      </c>
      <c r="AI89" s="205">
        <v>-0.095893</v>
      </c>
      <c r="AJ89" s="205">
        <v>0.78424085</v>
      </c>
      <c r="AK89" s="205">
        <v>-0.1233971</v>
      </c>
      <c r="AL89" s="205">
        <v>0.48838506</v>
      </c>
      <c r="AM89" s="205">
        <v>-0.3352537</v>
      </c>
      <c r="AN89" s="205">
        <v>0.82847054</v>
      </c>
      <c r="AO89" s="205">
        <v>-1.5617915</v>
      </c>
      <c r="AP89" s="205">
        <v>-0.4014124</v>
      </c>
      <c r="AQ89" s="205">
        <v>0.09403457</v>
      </c>
      <c r="AR89" s="205">
        <v>1.42873072</v>
      </c>
      <c r="AS89" s="205">
        <v>0.086601</v>
      </c>
      <c r="AT89" s="205">
        <v>-0.3218733</v>
      </c>
      <c r="AU89" s="205">
        <v>-0.2382457</v>
      </c>
      <c r="AV89" s="205">
        <v>0.59171158</v>
      </c>
      <c r="AW89" s="205">
        <v>-0.3872886</v>
      </c>
      <c r="AX89" s="205">
        <v>0.76379855</v>
      </c>
      <c r="AY89" s="205">
        <v>-0.2594313</v>
      </c>
      <c r="AZ89" s="205">
        <v>-0.2330422</v>
      </c>
      <c r="BA89" s="205">
        <v>-0.6511801</v>
      </c>
      <c r="BB89" s="205">
        <v>-2.0608065</v>
      </c>
      <c r="BC89" s="205">
        <v>0.60100353</v>
      </c>
      <c r="BD89" s="205">
        <v>0.5761011</v>
      </c>
      <c r="BE89" s="205">
        <v>-0.9730533</v>
      </c>
      <c r="BF89" s="205">
        <v>0.27021</v>
      </c>
      <c r="BG89" s="205">
        <v>-0.9916372</v>
      </c>
      <c r="BH89" s="205">
        <v>0.85931983</v>
      </c>
      <c r="BI89" s="205">
        <v>0.41404943</v>
      </c>
      <c r="BJ89" s="205">
        <v>0.4961903</v>
      </c>
      <c r="BK89" s="205">
        <v>0.12339714</v>
      </c>
      <c r="BL89" s="205">
        <v>-1.7108344</v>
      </c>
      <c r="BM89" s="205">
        <v>-2.0268723</v>
      </c>
      <c r="BN89" s="205">
        <v>0.51886266</v>
      </c>
      <c r="BO89" s="205">
        <v>1.27262591</v>
      </c>
      <c r="BP89" s="205">
        <v>0.59022487</v>
      </c>
      <c r="BQ89" s="205">
        <v>1.09236201</v>
      </c>
      <c r="BR89" s="206"/>
      <c r="BS89" s="250">
        <f t="shared" si="1"/>
        <v>-0.08214912556</v>
      </c>
      <c r="BT89" s="250">
        <f t="shared" si="2"/>
        <v>0.6875069947</v>
      </c>
      <c r="BU89" s="206"/>
      <c r="BV89" s="207">
        <f>IFERROR(__xludf.DUMMYFUNCTION("AVERAGE(ARRAYFORMULA(XLOOKUP(FILTER(INDIRECT(""'""&amp;BV$1&amp;""'!$C$4:$C$66""),INDIRECT(""'""&amp;BV$1&amp;""'!$D$4:$D$66"")=BV$2),$G$3:$BQ$3,$G89:$BQ89)))"),-1.4845408285714288)</f>
        <v>-1.484540829</v>
      </c>
      <c r="BW89" s="207">
        <f>IFERROR(__xludf.DUMMYFUNCTION("IF(OR(BV89&gt;$BS89+$BT89*$BT$2,BV89&lt;$BS89-$BT89*$BT$2),AVEDEV(ARRAYFORMULA(XLOOKUP(FILTER(INDIRECT(""'""&amp;BV$1&amp;""'!$C$4:$C$66""),INDIRECT(""'""&amp;BV$1&amp;""'!$D$4:$D$66"")=BV$2),$G$3:$BQ$3,$G89:$BQ89))),"""")"),0.496170587755102)</f>
        <v>0.4961705878</v>
      </c>
      <c r="BX89" s="207">
        <f>IFERROR(__xludf.DUMMYFUNCTION("AVERAGE(ARRAYFORMULA(XLOOKUP(FILTER(INDIRECT(""'""&amp;BX$1&amp;""'!$C$4:$C$66""),INDIRECT(""'""&amp;BX$1&amp;""'!$D$4:$D$66"")=BX$2),$G$3:$BQ$3,$G89:$BQ89)))"),0.18451163738095241)</f>
        <v>0.1845116374</v>
      </c>
      <c r="BY89" s="207" t="str">
        <f>IFERROR(__xludf.DUMMYFUNCTION("IF(OR(BX89&gt;$BS89+$BT89*$BT$2,BX89&lt;$BS89-$BT89*$BT$2),AVEDEV(ARRAYFORMULA(XLOOKUP(FILTER(INDIRECT(""'""&amp;BX$1&amp;""'!$C$4:$C$66""),INDIRECT(""'""&amp;BX$1&amp;""'!$D$4:$D$66"")=BX$2),$G$3:$BQ$3,$G89:$BQ89))),"""")"),"")</f>
        <v/>
      </c>
      <c r="BZ89" s="207">
        <f>IFERROR(__xludf.DUMMYFUNCTION("AVERAGE(ARRAYFORMULA(XLOOKUP(FILTER(INDIRECT(""'""&amp;BZ$1&amp;""'!$C$4:$C$66""),INDIRECT(""'""&amp;BZ$1&amp;""'!$D$4:$D$66"")=BZ$2),$G$3:$BQ$3,$G89:$BQ89)))"),-0.10451926181818183)</f>
        <v>-0.1045192618</v>
      </c>
      <c r="CA89" s="207" t="str">
        <f>IFERROR(__xludf.DUMMYFUNCTION("IF(OR(BZ89&gt;$BS89+$BT89*$BT$2,BZ89&lt;$BS89-$BT89*$BT$2),AVEDEV(ARRAYFORMULA(XLOOKUP(FILTER(INDIRECT(""'""&amp;BZ$1&amp;""'!$C$4:$C$66""),INDIRECT(""'""&amp;BZ$1&amp;""'!$D$4:$D$66"")=BZ$2),$G$3:$BQ$3,$G89:$BQ89))),"""")"),"")</f>
        <v/>
      </c>
      <c r="CB89" s="209"/>
      <c r="CC89" s="207">
        <f>IFERROR(__xludf.DUMMYFUNCTION("AVERAGE(ARRAYFORMULA(XLOOKUP(FILTER(INDIRECT(""'""&amp;CC$1&amp;""'!$C$4:$C$66""),INDIRECT(""'""&amp;CC$1&amp;""'!$D$4:$D$66"")=CC$2),$G$3:$BQ$3,$G89:$BQ89)))"),-0.360553336875)</f>
        <v>-0.3605533369</v>
      </c>
      <c r="CD89" s="207" t="str">
        <f>IFERROR(__xludf.DUMMYFUNCTION("IF(OR(CC89&gt;$BS89+$BT89*$BT$2,CC89&lt;$BS89-$BT89*$BT$2),AVEDEV(ARRAYFORMULA(XLOOKUP(FILTER(INDIRECT(""'""&amp;CC$1&amp;""'!$C$4:$C$66""),INDIRECT(""'""&amp;CC$1&amp;""'!$D$4:$D$66"")=CC$2),$G$3:$BQ$3,$G89:$BQ89))),"""")"),"")</f>
        <v/>
      </c>
      <c r="CE89" s="207">
        <f>IFERROR(__xludf.DUMMYFUNCTION("AVERAGE(ARRAYFORMULA(XLOOKUP(FILTER(INDIRECT(""'""&amp;CE$1&amp;""'!$C$4:$C$66""),INDIRECT(""'""&amp;CE$1&amp;""'!$D$4:$D$66"")=CE$2),$G$3:$BQ$3,$G89:$BQ89)))"),0.24704605516129027)</f>
        <v>0.2470460552</v>
      </c>
      <c r="CF89" s="207" t="str">
        <f>IFERROR(__xludf.DUMMYFUNCTION("IF(OR(CE89&gt;$BS89+$BT89*$BT$2,CE89&lt;$BS89-$BT89*$BT$2),AVEDEV(ARRAYFORMULA(XLOOKUP(FILTER(INDIRECT(""'""&amp;CE$1&amp;""'!$C$4:$C$66""),INDIRECT(""'""&amp;CE$1&amp;""'!$D$4:$D$66"")=CE$2),$G$3:$BQ$3,$G89:$BQ89))),"""")"),"")</f>
        <v/>
      </c>
      <c r="CG89" s="207">
        <f>IFERROR(__xludf.DUMMYFUNCTION("AVERAGE(ARRAYFORMULA(XLOOKUP(FILTER(INDIRECT(""'""&amp;CG$1&amp;""'!$C$4:$C$66""),INDIRECT(""'""&amp;CG$1&amp;""'!$D$4:$D$66"")=CG$2),$G$3:$BQ$3,$G89:$BQ89)))"),-0.59275226)</f>
        <v>-0.59275226</v>
      </c>
      <c r="CH89" s="207" t="str">
        <f>IFERROR(__xludf.DUMMYFUNCTION("IF(OR(CG89&gt;$BS89+$BT89*$BT$2,CG89&lt;$BS89-$BT89*$BT$2),AVEDEV(ARRAYFORMULA(XLOOKUP(FILTER(INDIRECT(""'""&amp;CG$1&amp;""'!$C$4:$C$66""),INDIRECT(""'""&amp;CG$1&amp;""'!$D$4:$D$66"")=CG$2),$G$3:$BQ$3,$G89:$BQ89))),"""")"),"")</f>
        <v/>
      </c>
      <c r="CI89" s="206"/>
      <c r="CJ89" s="251">
        <f>IFERROR(__xludf.DUMMYFUNCTION("AVERAGE(ARRAYFORMULA(XLOOKUP(FILTER(INDIRECT(""'""&amp;CJ$1&amp;""'!$C$4:$C$66""),INDIRECT(""'""&amp;CJ$1&amp;""'!$D$4:$D$66"")=CJ$2),$G$3:$BQ$3,$G89:$BQ89)))"),-0.6154593340000001)</f>
        <v>-0.615459334</v>
      </c>
      <c r="CK89" s="207" t="str">
        <f>IFERROR(__xludf.DUMMYFUNCTION("IF(OR(CJ89&gt;$BS89+$BT89*$BT$2,CJ89&lt;$BS89-$BT89*$BT$2),AVEDEV(ARRAYFORMULA(XLOOKUP(FILTER(INDIRECT(""'""&amp;CJ$1&amp;""'!$C$4:$C$66""),INDIRECT(""'""&amp;CJ$1&amp;""'!$D$4:$D$66"")=CJ$2),$G$3:$BQ$3,$G89:$BQ89))),"""")"),"")</f>
        <v/>
      </c>
      <c r="CL89" s="251">
        <f>IFERROR(__xludf.DUMMYFUNCTION("AVERAGE(ARRAYFORMULA(XLOOKUP(FILTER(INDIRECT(""'""&amp;CL$1&amp;""'!$C$4:$C$66""),INDIRECT(""'""&amp;CL$1&amp;""'!$D$4:$D$66"")=CL$2),$G$3:$BQ$3,$G89:$BQ89)))"),0.259345558974359)</f>
        <v>0.259345559</v>
      </c>
      <c r="CM89" s="207" t="str">
        <f>IFERROR(__xludf.DUMMYFUNCTION("IF(OR(CL89&gt;$BS89+$BT89*$BT$2,CL89&lt;$BS89-$BT89*$BT$2),AVEDEV(ARRAYFORMULA(XLOOKUP(FILTER(INDIRECT(""'""&amp;CL$1&amp;""'!$C$4:$C$66""),INDIRECT(""'""&amp;CL$1&amp;""'!$D$4:$D$66"")=CL$2),$G$3:$BQ$3,$G89:$BQ89))),"""")"),"")</f>
        <v/>
      </c>
      <c r="CN89" s="251">
        <f>IFERROR(__xludf.DUMMYFUNCTION("AVERAGE(ARRAYFORMULA(XLOOKUP(FILTER(INDIRECT(""'""&amp;CN$1&amp;""'!$C$4:$C$66""),INDIRECT(""'""&amp;CN$1&amp;""'!$D$4:$D$66"")=CN$2),$G$3:$BQ$3,$G89:$BQ89)))"),-0.59275226)</f>
        <v>-0.59275226</v>
      </c>
      <c r="CO89" s="207" t="str">
        <f>IFERROR(__xludf.DUMMYFUNCTION("IF(OR(CN89&gt;$BS89+$BT89*$BT$2,CN89&lt;$BS89-$BT89*$BT$2),AVEDEV(ARRAYFORMULA(XLOOKUP(FILTER(INDIRECT(""'""&amp;CN$1&amp;""'!$C$4:$C$66""),INDIRECT(""'""&amp;CN$1&amp;""'!$D$4:$D$66"")=CN$2),$G$3:$BQ$3,$G89:$BQ89))),"""")"),"")</f>
        <v/>
      </c>
      <c r="CP89" s="252"/>
      <c r="CQ89" s="251">
        <f>IFERROR(__xludf.DUMMYFUNCTION("AVERAGE(ARRAYFORMULA(XLOOKUP(FILTER(INDIRECT(""'""&amp;CQ$1&amp;""'!$C$4:$C$66""),INDIRECT(""'""&amp;CQ$1&amp;""'!$D$4:$D$66"")=CQ$2),$G$3:$BQ$3,$G89:$BQ89)))"),-0.13815806999999997)</f>
        <v>-0.13815807</v>
      </c>
      <c r="CR89" s="207" t="str">
        <f>IFERROR(__xludf.DUMMYFUNCTION("IF(OR(CQ89&gt;$BS89+$BT89*$BT$2,CQ89&lt;$BS89-$BT89*$BT$2),AVEDEV(ARRAYFORMULA(XLOOKUP(FILTER(INDIRECT(""'""&amp;CQ$1&amp;""'!$C$4:$C$66""),INDIRECT(""'""&amp;CQ$1&amp;""'!$D$4:$D$66"")=CQ$2),$G$3:$BQ$3,$G89:$BQ89))),"""")"),"")</f>
        <v/>
      </c>
      <c r="CS89" s="251">
        <f>IFERROR(__xludf.DUMMYFUNCTION("AVERAGE(ARRAYFORMULA(XLOOKUP(FILTER(INDIRECT(""'""&amp;CS$1&amp;""'!$C$4:$C$66""),INDIRECT(""'""&amp;CS$1&amp;""'!$D$4:$D$66"")=CS$2),$G$3:$BQ$3,$G89:$BQ89)))"),0.12335584666666666)</f>
        <v>0.1233558467</v>
      </c>
      <c r="CT89" s="207" t="str">
        <f>IFERROR(__xludf.DUMMYFUNCTION("IF(OR(CS89&gt;$BS89+$BT89*$BT$2,CS89&lt;$BS89-$BT89*$BT$2),AVEDEV(ARRAYFORMULA(XLOOKUP(FILTER(INDIRECT(""'""&amp;CS$1&amp;""'!$C$4:$C$66""),INDIRECT(""'""&amp;CS$1&amp;""'!$D$4:$D$66"")=CS$2),$G$3:$BQ$3,$G89:$BQ89))),"""")"),"")</f>
        <v/>
      </c>
      <c r="CU89" s="251">
        <f>IFERROR(__xludf.DUMMYFUNCTION("AVERAGE(ARRAYFORMULA(XLOOKUP(FILTER(INDIRECT(""'""&amp;CU$1&amp;""'!$C$4:$C$66""),INDIRECT(""'""&amp;CU$1&amp;""'!$D$4:$D$66"")=CU$2),$G$3:$BQ$3,$G89:$BQ89)))"),-0.15370581181818183)</f>
        <v>-0.1537058118</v>
      </c>
      <c r="CV89" s="207" t="str">
        <f>IFERROR(__xludf.DUMMYFUNCTION("IF(OR(CU89&gt;$BS89+$BT89*$BT$2,CU89&lt;$BS89-$BT89*$BT$2),AVEDEV(ARRAYFORMULA(XLOOKUP(FILTER(INDIRECT(""'""&amp;CU$1&amp;""'!$C$4:$C$66""),INDIRECT(""'""&amp;CU$1&amp;""'!$D$4:$D$66"")=CU$2),$G$3:$BQ$3,$G89:$BQ89))),"""")"),"")</f>
        <v/>
      </c>
      <c r="CW89" s="251">
        <f>IFERROR(__xludf.DUMMYFUNCTION("AVERAGE(ARRAYFORMULA(XLOOKUP(FILTER(INDIRECT(""'""&amp;CW$1&amp;""'!$C$4:$C$66""),INDIRECT(""'""&amp;CW$1&amp;""'!$D$4:$D$66"")=CW$2),$G$3:$BQ$3,$G89:$BQ89)))"),0.852072105)</f>
        <v>0.852072105</v>
      </c>
      <c r="CX89" s="207">
        <f>IFERROR(__xludf.DUMMYFUNCTION("IF(OR(CW89&gt;$BS89+$BT89*$BT$2,CW89&lt;$BS89-$BT89*$BT$2),AVEDEV(ARRAYFORMULA(XLOOKUP(FILTER(INDIRECT(""'""&amp;CW$1&amp;""'!$C$4:$C$66""),INDIRECT(""'""&amp;CW$1&amp;""'!$D$4:$D$66"")=CW$2),$G$3:$BQ$3,$G89:$BQ89))),"""")"),0.007247724999999983)</f>
        <v>0.007247725</v>
      </c>
      <c r="CY89" s="251">
        <f>IFERROR(__xludf.DUMMYFUNCTION("AVERAGE(ARRAYFORMULA(XLOOKUP(FILTER(INDIRECT(""'""&amp;CY$1&amp;""'!$C$4:$C$66""),INDIRECT(""'""&amp;CY$1&amp;""'!$D$4:$D$66"")=CY$2),$G$3:$BQ$3,$G89:$BQ89)))"),0.5898531842857143)</f>
        <v>0.5898531843</v>
      </c>
      <c r="CZ89" s="207" t="str">
        <f>IFERROR(__xludf.DUMMYFUNCTION("IF(OR(CY89&gt;$BS89+$BT89*$BT$2,CY89&lt;$BS89-$BT89*$BT$2),AVEDEV(ARRAYFORMULA(XLOOKUP(FILTER(INDIRECT(""'""&amp;CY$1&amp;""'!$C$4:$C$66""),INDIRECT(""'""&amp;CY$1&amp;""'!$D$4:$D$66"")=CY$2),$G$3:$BQ$3,$G89:$BQ89))),"""")"),"")</f>
        <v/>
      </c>
      <c r="DA89" s="252"/>
      <c r="DB89" s="251">
        <f>IFERROR(__xludf.DUMMYFUNCTION("AVERAGE(ARRAYFORMULA(XLOOKUP(FILTER(INDIRECT(""'""&amp;DB$1&amp;""'!$C$4:$C$66""),INDIRECT(""'""&amp;DB$1&amp;""'!$D$4:$D$66"")=DB$2),$G$3:$BQ$3,$G89:$BQ89)))"),-2.3044000000000398E-4)</f>
        <v>-0.00023044</v>
      </c>
      <c r="DC89" s="207" t="str">
        <f>IFERROR(__xludf.DUMMYFUNCTION("IF(OR(DB89&gt;$BS89+$BT89*$BT$2,DB89&lt;$BS89-$BT89*$BT$2),AVEDEV(ARRAYFORMULA(XLOOKUP(FILTER(INDIRECT(""'""&amp;DB$1&amp;""'!$C$4:$C$66""),INDIRECT(""'""&amp;DB$1&amp;""'!$D$4:$D$66"")=DB$2),$G$3:$BQ$3,$G89:$BQ89))),"""")"),"")</f>
        <v/>
      </c>
      <c r="DD89" s="251">
        <f>IFERROR(__xludf.DUMMYFUNCTION("AVERAGE(ARRAYFORMULA(XLOOKUP(FILTER(INDIRECT(""'""&amp;DD$1&amp;""'!$C$4:$C$66""),INDIRECT(""'""&amp;DD$1&amp;""'!$D$4:$D$66"")=DD$2),$G$3:$BQ$3,$G89:$BQ89)))"),-0.2260339788888889)</f>
        <v>-0.2260339789</v>
      </c>
      <c r="DE89" s="207" t="str">
        <f>IFERROR(__xludf.DUMMYFUNCTION("IF(OR(DD89&gt;$BS89+$BT89*$BT$2,DD89&lt;$BS89-$BT89*$BT$2),AVEDEV(ARRAYFORMULA(XLOOKUP(FILTER(INDIRECT(""'""&amp;DD$1&amp;""'!$C$4:$C$66""),INDIRECT(""'""&amp;DD$1&amp;""'!$D$4:$D$66"")=DD$2),$G$3:$BQ$3,$G89:$BQ89))),"""")"),"")</f>
        <v/>
      </c>
      <c r="DF89" s="251">
        <f>IFERROR(__xludf.DUMMYFUNCTION("AVERAGE(ARRAYFORMULA(XLOOKUP(FILTER(INDIRECT(""'""&amp;DF$1&amp;""'!$C$4:$C$66""),INDIRECT(""'""&amp;DF$1&amp;""'!$D$4:$D$66"")=DF$2),$G$3:$BQ$3,$G89:$BQ89)))"),-0.32287215125)</f>
        <v>-0.3228721513</v>
      </c>
      <c r="DG89" s="207" t="str">
        <f>IFERROR(__xludf.DUMMYFUNCTION("IF(OR(DF89&gt;$BS89+$BT89*$BT$2,DF89&lt;$BS89-$BT89*$BT$2),AVEDEV(ARRAYFORMULA(XLOOKUP(FILTER(INDIRECT(""'""&amp;DF$1&amp;""'!$C$4:$C$66""),INDIRECT(""'""&amp;DF$1&amp;""'!$D$4:$D$66"")=DF$2),$G$3:$BQ$3,$G89:$BQ89))),"""")"),"")</f>
        <v/>
      </c>
      <c r="DH89" s="251">
        <f>IFERROR(__xludf.DUMMYFUNCTION("AVERAGE(ARRAYFORMULA(XLOOKUP(FILTER(INDIRECT(""'""&amp;DH$1&amp;""'!$C$4:$C$66""),INDIRECT(""'""&amp;DH$1&amp;""'!$D$4:$D$66"")=DH$2),$G$3:$BQ$3,$G89:$BQ89)))"),0.5076710211111111)</f>
        <v>0.5076710211</v>
      </c>
      <c r="DI89" s="207" t="str">
        <f>IFERROR(__xludf.DUMMYFUNCTION("IF(OR(DH89&gt;$BS89+$BT89*$BT$2,DH89&lt;$BS89-$BT89*$BT$2),AVEDEV(ARRAYFORMULA(XLOOKUP(FILTER(INDIRECT(""'""&amp;DH$1&amp;""'!$C$4:$C$66""),INDIRECT(""'""&amp;DH$1&amp;""'!$D$4:$D$66"")=DH$2),$G$3:$BQ$3,$G89:$BQ89))),"""")"),"")</f>
        <v/>
      </c>
      <c r="DJ89" s="243"/>
    </row>
    <row r="90">
      <c r="A90" s="2"/>
      <c r="B90" s="204">
        <v>86.0</v>
      </c>
      <c r="C90" s="204" t="s">
        <v>507</v>
      </c>
      <c r="D90" s="204" t="s">
        <v>531</v>
      </c>
      <c r="E90" s="205" t="b">
        <f>VLOOKUP(D90,'Feature Set List'!A87:C246,2,0)</f>
        <v>1</v>
      </c>
      <c r="F90" s="205" t="b">
        <f>VLOOKUP(D90,'Feature Set List'!A87:C246,3,0)</f>
        <v>1</v>
      </c>
      <c r="G90" s="205">
        <v>0.36346726</v>
      </c>
      <c r="H90" s="205">
        <v>1.28831845</v>
      </c>
      <c r="I90" s="205">
        <v>-0.2849702</v>
      </c>
      <c r="J90" s="205">
        <v>1.9281994</v>
      </c>
      <c r="K90" s="205">
        <v>-0.1707589</v>
      </c>
      <c r="L90" s="205">
        <v>-0.4906994</v>
      </c>
      <c r="M90" s="205">
        <v>-0.5543155</v>
      </c>
      <c r="N90" s="205">
        <v>0.63950893</v>
      </c>
      <c r="O90" s="205">
        <v>-0.4973958</v>
      </c>
      <c r="P90" s="205">
        <v>0.36941964</v>
      </c>
      <c r="Q90" s="205">
        <v>1.30505952</v>
      </c>
      <c r="R90" s="205">
        <v>-0.5829613</v>
      </c>
      <c r="S90" s="205">
        <v>-0.1495536</v>
      </c>
      <c r="T90" s="205">
        <v>-0.2890625</v>
      </c>
      <c r="U90" s="205">
        <v>-0.2998512</v>
      </c>
      <c r="V90" s="205">
        <v>1.05915179</v>
      </c>
      <c r="W90" s="205">
        <v>-0.6499256</v>
      </c>
      <c r="X90" s="205">
        <v>2.17261905</v>
      </c>
      <c r="Y90" s="205">
        <v>-0.0610119</v>
      </c>
      <c r="Z90" s="205">
        <v>3.63690476</v>
      </c>
      <c r="AA90" s="205">
        <v>0.26004464</v>
      </c>
      <c r="AB90" s="205">
        <v>-0.7165179</v>
      </c>
      <c r="AC90" s="205">
        <v>-0.3054315</v>
      </c>
      <c r="AD90" s="205">
        <v>0.92559524</v>
      </c>
      <c r="AE90" s="205">
        <v>2.63988095</v>
      </c>
      <c r="AF90" s="205">
        <v>-0.5226935</v>
      </c>
      <c r="AG90" s="205">
        <v>0.75818452</v>
      </c>
      <c r="AH90" s="205">
        <v>0.42299107</v>
      </c>
      <c r="AI90" s="205">
        <v>-0.219122</v>
      </c>
      <c r="AJ90" s="205">
        <v>-0.1156994</v>
      </c>
      <c r="AK90" s="205">
        <v>0.50074405</v>
      </c>
      <c r="AL90" s="205">
        <v>-0.0703125</v>
      </c>
      <c r="AM90" s="205">
        <v>-0.4549851</v>
      </c>
      <c r="AN90" s="205">
        <v>-0.0658482</v>
      </c>
      <c r="AO90" s="205">
        <v>-0.4300595</v>
      </c>
      <c r="AP90" s="205">
        <v>0.7094494</v>
      </c>
      <c r="AQ90" s="205">
        <v>0.77120536</v>
      </c>
      <c r="AR90" s="205">
        <v>2.13578869</v>
      </c>
      <c r="AS90" s="205">
        <v>-0.5829613</v>
      </c>
      <c r="AT90" s="205">
        <v>0.3500744</v>
      </c>
      <c r="AU90" s="205">
        <v>0.61904762</v>
      </c>
      <c r="AV90" s="205">
        <v>0.44494048</v>
      </c>
      <c r="AW90" s="205">
        <v>0.06473214</v>
      </c>
      <c r="AX90" s="205">
        <v>1.72693452</v>
      </c>
      <c r="AY90" s="205">
        <v>3.69642857</v>
      </c>
      <c r="AZ90" s="205">
        <v>-0.1495536</v>
      </c>
      <c r="BA90" s="205">
        <v>0.2983631</v>
      </c>
      <c r="BB90" s="205">
        <v>1.34486607</v>
      </c>
      <c r="BC90" s="205">
        <v>-0.343378</v>
      </c>
      <c r="BD90" s="205">
        <v>-0.359003</v>
      </c>
      <c r="BE90" s="205">
        <v>0.0</v>
      </c>
      <c r="BF90" s="205">
        <v>7.4405E-4</v>
      </c>
      <c r="BG90" s="205">
        <v>-0.3924851</v>
      </c>
      <c r="BH90" s="205">
        <v>0.92596726</v>
      </c>
      <c r="BI90" s="205">
        <v>-0.1521577</v>
      </c>
      <c r="BJ90" s="205">
        <v>-0.5747768</v>
      </c>
      <c r="BK90" s="205">
        <v>-0.0837054</v>
      </c>
      <c r="BL90" s="205">
        <v>-0.1674107</v>
      </c>
      <c r="BM90" s="205">
        <v>0.18340774</v>
      </c>
      <c r="BN90" s="205">
        <v>0.68526786</v>
      </c>
      <c r="BO90" s="205">
        <v>-0.2909226</v>
      </c>
      <c r="BP90" s="205">
        <v>0.13876488</v>
      </c>
      <c r="BQ90" s="205">
        <v>-0.3325893</v>
      </c>
      <c r="BR90" s="206"/>
      <c r="BS90" s="250">
        <f t="shared" si="1"/>
        <v>0.3493008319</v>
      </c>
      <c r="BT90" s="250">
        <f t="shared" si="2"/>
        <v>0.7202379067</v>
      </c>
      <c r="BU90" s="206"/>
      <c r="BV90" s="207">
        <f>IFERROR(__xludf.DUMMYFUNCTION("AVERAGE(ARRAYFORMULA(XLOOKUP(FILTER(INDIRECT(""'""&amp;BV$1&amp;""'!$C$4:$C$66""),INDIRECT(""'""&amp;BV$1&amp;""'!$D$4:$D$66"")=BV$2),$G$3:$BQ$3,$G90:$BQ90)))"),0.9023703271428573)</f>
        <v>0.9023703271</v>
      </c>
      <c r="BW90" s="207" t="str">
        <f>IFERROR(__xludf.DUMMYFUNCTION("IF(OR(BV90&gt;$BS90+$BT90*$BT$2,BV90&lt;$BS90-$BT90*$BT$2),AVEDEV(ARRAYFORMULA(XLOOKUP(FILTER(INDIRECT(""'""&amp;BV$1&amp;""'!$C$4:$C$66""),INDIRECT(""'""&amp;BV$1&amp;""'!$D$4:$D$66"")=BV$2),$G$3:$BQ$3,$G90:$BQ90))),"""")"),"")</f>
        <v/>
      </c>
      <c r="BX90" s="207">
        <f>IFERROR(__xludf.DUMMYFUNCTION("AVERAGE(ARRAYFORMULA(XLOOKUP(FILTER(INDIRECT(""'""&amp;BX$1&amp;""'!$C$4:$C$66""),INDIRECT(""'""&amp;BX$1&amp;""'!$D$4:$D$66"")=BX$2),$G$3:$BQ$3,$G90:$BQ90)))"),0.4099259514285715)</f>
        <v>0.4099259514</v>
      </c>
      <c r="BY90" s="207" t="str">
        <f>IFERROR(__xludf.DUMMYFUNCTION("IF(OR(BX90&gt;$BS90+$BT90*$BT$2,BX90&lt;$BS90-$BT90*$BT$2),AVEDEV(ARRAYFORMULA(XLOOKUP(FILTER(INDIRECT(""'""&amp;BX$1&amp;""'!$C$4:$C$66""),INDIRECT(""'""&amp;BX$1&amp;""'!$D$4:$D$66"")=BX$2),$G$3:$BQ$3,$G90:$BQ90))),"""")"),"")</f>
        <v/>
      </c>
      <c r="BZ90" s="207">
        <f>IFERROR(__xludf.DUMMYFUNCTION("AVERAGE(ARRAYFORMULA(XLOOKUP(FILTER(INDIRECT(""'""&amp;BZ$1&amp;""'!$C$4:$C$66""),INDIRECT(""'""&amp;BZ$1&amp;""'!$D$4:$D$66"")=BZ$2),$G$3:$BQ$3,$G90:$BQ90)))"),-0.13660038727272727)</f>
        <v>-0.1366003873</v>
      </c>
      <c r="CA90" s="207" t="str">
        <f>IFERROR(__xludf.DUMMYFUNCTION("IF(OR(BZ90&gt;$BS90+$BT90*$BT$2,BZ90&lt;$BS90-$BT90*$BT$2),AVEDEV(ARRAYFORMULA(XLOOKUP(FILTER(INDIRECT(""'""&amp;BZ$1&amp;""'!$C$4:$C$66""),INDIRECT(""'""&amp;BZ$1&amp;""'!$D$4:$D$66"")=BZ$2),$G$3:$BQ$3,$G90:$BQ90))),"""")"),"")</f>
        <v/>
      </c>
      <c r="CB90" s="209"/>
      <c r="CC90" s="207">
        <f>IFERROR(__xludf.DUMMYFUNCTION("AVERAGE(ARRAYFORMULA(XLOOKUP(FILTER(INDIRECT(""'""&amp;CC$1&amp;""'!$C$4:$C$66""),INDIRECT(""'""&amp;CC$1&amp;""'!$D$4:$D$66"")=CC$2),$G$3:$BQ$3,$G90:$BQ90)))"),0.7103329631249999)</f>
        <v>0.7103329631</v>
      </c>
      <c r="CD90" s="207" t="str">
        <f>IFERROR(__xludf.DUMMYFUNCTION("IF(OR(CC90&gt;$BS90+$BT90*$BT$2,CC90&lt;$BS90-$BT90*$BT$2),AVEDEV(ARRAYFORMULA(XLOOKUP(FILTER(INDIRECT(""'""&amp;CC$1&amp;""'!$C$4:$C$66""),INDIRECT(""'""&amp;CC$1&amp;""'!$D$4:$D$66"")=CC$2),$G$3:$BQ$3,$G90:$BQ90))),"""")"),"")</f>
        <v/>
      </c>
      <c r="CE90" s="207">
        <f>IFERROR(__xludf.DUMMYFUNCTION("AVERAGE(ARRAYFORMULA(XLOOKUP(FILTER(INDIRECT(""'""&amp;CE$1&amp;""'!$C$4:$C$66""),INDIRECT(""'""&amp;CE$1&amp;""'!$D$4:$D$66"")=CE$2),$G$3:$BQ$3,$G90:$BQ90)))"),0.17962749290322585)</f>
        <v>0.1796274929</v>
      </c>
      <c r="CF90" s="207" t="str">
        <f>IFERROR(__xludf.DUMMYFUNCTION("IF(OR(CE90&gt;$BS90+$BT90*$BT$2,CE90&lt;$BS90-$BT90*$BT$2),AVEDEV(ARRAYFORMULA(XLOOKUP(FILTER(INDIRECT(""'""&amp;CE$1&amp;""'!$C$4:$C$66""),INDIRECT(""'""&amp;CE$1&amp;""'!$D$4:$D$66"")=CE$2),$G$3:$BQ$3,$G90:$BQ90))),"""")"),"")</f>
        <v/>
      </c>
      <c r="CG90" s="207">
        <f>IFERROR(__xludf.DUMMYFUNCTION("AVERAGE(ARRAYFORMULA(XLOOKUP(FILTER(INDIRECT(""'""&amp;CG$1&amp;""'!$C$4:$C$66""),INDIRECT(""'""&amp;CG$1&amp;""'!$D$4:$D$66"")=CG$2),$G$3:$BQ$3,$G90:$BQ90)))"),-0.119345232)</f>
        <v>-0.119345232</v>
      </c>
      <c r="CH90" s="207" t="str">
        <f>IFERROR(__xludf.DUMMYFUNCTION("IF(OR(CG90&gt;$BS90+$BT90*$BT$2,CG90&lt;$BS90-$BT90*$BT$2),AVEDEV(ARRAYFORMULA(XLOOKUP(FILTER(INDIRECT(""'""&amp;CG$1&amp;""'!$C$4:$C$66""),INDIRECT(""'""&amp;CG$1&amp;""'!$D$4:$D$66"")=CG$2),$G$3:$BQ$3,$G90:$BQ90))),"""")"),"")</f>
        <v/>
      </c>
      <c r="CI90" s="206"/>
      <c r="CJ90" s="253">
        <f>IFERROR(__xludf.DUMMYFUNCTION("AVERAGE(ARRAYFORMULA(XLOOKUP(FILTER(INDIRECT(""'""&amp;CJ$1&amp;""'!$C$4:$C$66""),INDIRECT(""'""&amp;CJ$1&amp;""'!$D$4:$D$66"")=CJ$2),$G$3:$BQ$3,$G90:$BQ90)))"),0.4468750006666666)</f>
        <v>0.4468750007</v>
      </c>
      <c r="CK90" s="207" t="str">
        <f>IFERROR(__xludf.DUMMYFUNCTION("IF(OR(CJ90&gt;$BS90+$BT90*$BT$2,CJ90&lt;$BS90-$BT90*$BT$2),AVEDEV(ARRAYFORMULA(XLOOKUP(FILTER(INDIRECT(""'""&amp;CJ$1&amp;""'!$C$4:$C$66""),INDIRECT(""'""&amp;CJ$1&amp;""'!$D$4:$D$66"")=CJ$2),$G$3:$BQ$3,$G90:$BQ90))),"""")"),"")</f>
        <v/>
      </c>
      <c r="CL90" s="251">
        <f>IFERROR(__xludf.DUMMYFUNCTION("AVERAGE(ARRAYFORMULA(XLOOKUP(FILTER(INDIRECT(""'""&amp;CL$1&amp;""'!$C$4:$C$66""),INDIRECT(""'""&amp;CL$1&amp;""'!$D$4:$D$66"")=CL$2),$G$3:$BQ$3,$G90:$BQ90)))"),0.41261256)</f>
        <v>0.41261256</v>
      </c>
      <c r="CM90" s="207" t="str">
        <f>IFERROR(__xludf.DUMMYFUNCTION("IF(OR(CL90&gt;$BS90+$BT90*$BT$2,CL90&lt;$BS90-$BT90*$BT$2),AVEDEV(ARRAYFORMULA(XLOOKUP(FILTER(INDIRECT(""'""&amp;CL$1&amp;""'!$C$4:$C$66""),INDIRECT(""'""&amp;CL$1&amp;""'!$D$4:$D$66"")=CL$2),$G$3:$BQ$3,$G90:$BQ90))),"""")"),"")</f>
        <v/>
      </c>
      <c r="CN90" s="251">
        <f>IFERROR(__xludf.DUMMYFUNCTION("AVERAGE(ARRAYFORMULA(XLOOKUP(FILTER(INDIRECT(""'""&amp;CN$1&amp;""'!$C$4:$C$66""),INDIRECT(""'""&amp;CN$1&amp;""'!$D$4:$D$66"")=CN$2),$G$3:$BQ$3,$G90:$BQ90)))"),-0.119345232)</f>
        <v>-0.119345232</v>
      </c>
      <c r="CO90" s="207" t="str">
        <f>IFERROR(__xludf.DUMMYFUNCTION("IF(OR(CN90&gt;$BS90+$BT90*$BT$2,CN90&lt;$BS90-$BT90*$BT$2),AVEDEV(ARRAYFORMULA(XLOOKUP(FILTER(INDIRECT(""'""&amp;CN$1&amp;""'!$C$4:$C$66""),INDIRECT(""'""&amp;CN$1&amp;""'!$D$4:$D$66"")=CN$2),$G$3:$BQ$3,$G90:$BQ90))),"""")"),"")</f>
        <v/>
      </c>
      <c r="CP90" s="252"/>
      <c r="CQ90" s="253">
        <f>IFERROR(__xludf.DUMMYFUNCTION("AVERAGE(ARRAYFORMULA(XLOOKUP(FILTER(INDIRECT(""'""&amp;CQ$1&amp;""'!$C$4:$C$66""),INDIRECT(""'""&amp;CQ$1&amp;""'!$D$4:$D$66"")=CQ$2),$G$3:$BQ$3,$G90:$BQ90)))"),0.7133556528571429)</f>
        <v>0.7133556529</v>
      </c>
      <c r="CR90" s="207" t="str">
        <f>IFERROR(__xludf.DUMMYFUNCTION("IF(OR(CQ90&gt;$BS90+$BT90*$BT$2,CQ90&lt;$BS90-$BT90*$BT$2),AVEDEV(ARRAYFORMULA(XLOOKUP(FILTER(INDIRECT(""'""&amp;CQ$1&amp;""'!$C$4:$C$66""),INDIRECT(""'""&amp;CQ$1&amp;""'!$D$4:$D$66"")=CQ$2),$G$3:$BQ$3,$G90:$BQ90))),"""")"),"")</f>
        <v/>
      </c>
      <c r="CS90" s="251">
        <f>IFERROR(__xludf.DUMMYFUNCTION("AVERAGE(ARRAYFORMULA(XLOOKUP(FILTER(INDIRECT(""'""&amp;CS$1&amp;""'!$C$4:$C$66""),INDIRECT(""'""&amp;CS$1&amp;""'!$D$4:$D$66"")=CS$2),$G$3:$BQ$3,$G90:$BQ90)))"),-0.17071760000000002)</f>
        <v>-0.1707176</v>
      </c>
      <c r="CT90" s="207" t="str">
        <f>IFERROR(__xludf.DUMMYFUNCTION("IF(OR(CS90&gt;$BS90+$BT90*$BT$2,CS90&lt;$BS90-$BT90*$BT$2),AVEDEV(ARRAYFORMULA(XLOOKUP(FILTER(INDIRECT(""'""&amp;CS$1&amp;""'!$C$4:$C$66""),INDIRECT(""'""&amp;CS$1&amp;""'!$D$4:$D$66"")=CS$2),$G$3:$BQ$3,$G90:$BQ90))),"""")"),"")</f>
        <v/>
      </c>
      <c r="CU90" s="251">
        <f>IFERROR(__xludf.DUMMYFUNCTION("AVERAGE(ARRAYFORMULA(XLOOKUP(FILTER(INDIRECT(""'""&amp;CU$1&amp;""'!$C$4:$C$66""),INDIRECT(""'""&amp;CU$1&amp;""'!$D$4:$D$66"")=CU$2),$G$3:$BQ$3,$G90:$BQ90)))"),-0.08921807363636364)</f>
        <v>-0.08921807364</v>
      </c>
      <c r="CV90" s="207" t="str">
        <f>IFERROR(__xludf.DUMMYFUNCTION("IF(OR(CU90&gt;$BS90+$BT90*$BT$2,CU90&lt;$BS90-$BT90*$BT$2),AVEDEV(ARRAYFORMULA(XLOOKUP(FILTER(INDIRECT(""'""&amp;CU$1&amp;""'!$C$4:$C$66""),INDIRECT(""'""&amp;CU$1&amp;""'!$D$4:$D$66"")=CU$2),$G$3:$BQ$3,$G90:$BQ90))),"""")"),"")</f>
        <v/>
      </c>
      <c r="CW90" s="251">
        <f>IFERROR(__xludf.DUMMYFUNCTION("AVERAGE(ARRAYFORMULA(XLOOKUP(FILTER(INDIRECT(""'""&amp;CW$1&amp;""'!$C$4:$C$66""),INDIRECT(""'""&amp;CW$1&amp;""'!$D$4:$D$66"")=CW$2),$G$3:$BQ$3,$G90:$BQ90)))"),0.92578125)</f>
        <v>0.92578125</v>
      </c>
      <c r="CX90" s="207" t="str">
        <f>IFERROR(__xludf.DUMMYFUNCTION("IF(OR(CW90&gt;$BS90+$BT90*$BT$2,CW90&lt;$BS90-$BT90*$BT$2),AVEDEV(ARRAYFORMULA(XLOOKUP(FILTER(INDIRECT(""'""&amp;CW$1&amp;""'!$C$4:$C$66""),INDIRECT(""'""&amp;CW$1&amp;""'!$D$4:$D$66"")=CW$2),$G$3:$BQ$3,$G90:$BQ90))),"""")"),"")</f>
        <v/>
      </c>
      <c r="CY90" s="251">
        <f>IFERROR(__xludf.DUMMYFUNCTION("AVERAGE(ARRAYFORMULA(XLOOKUP(FILTER(INDIRECT(""'""&amp;CY$1&amp;""'!$C$4:$C$66""),INDIRECT(""'""&amp;CY$1&amp;""'!$D$4:$D$66"")=CY$2),$G$3:$BQ$3,$G90:$BQ90)))"),0.49742240928571435)</f>
        <v>0.4974224093</v>
      </c>
      <c r="CZ90" s="207" t="str">
        <f>IFERROR(__xludf.DUMMYFUNCTION("IF(OR(CY90&gt;$BS90+$BT90*$BT$2,CY90&lt;$BS90-$BT90*$BT$2),AVEDEV(ARRAYFORMULA(XLOOKUP(FILTER(INDIRECT(""'""&amp;CY$1&amp;""'!$C$4:$C$66""),INDIRECT(""'""&amp;CY$1&amp;""'!$D$4:$D$66"")=CY$2),$G$3:$BQ$3,$G90:$BQ90))),"""")"),"")</f>
        <v/>
      </c>
      <c r="DA90" s="252"/>
      <c r="DB90" s="253">
        <f>IFERROR(__xludf.DUMMYFUNCTION("AVERAGE(ARRAYFORMULA(XLOOKUP(FILTER(INDIRECT(""'""&amp;DB$1&amp;""'!$C$4:$C$66""),INDIRECT(""'""&amp;DB$1&amp;""'!$D$4:$D$66"")=DB$2),$G$3:$BQ$3,$G90:$BQ90)))"),0.526463294)</f>
        <v>0.526463294</v>
      </c>
      <c r="DC90" s="207" t="str">
        <f>IFERROR(__xludf.DUMMYFUNCTION("IF(OR(DB90&gt;$BS90+$BT90*$BT$2,DB90&lt;$BS90-$BT90*$BT$2),AVEDEV(ARRAYFORMULA(XLOOKUP(FILTER(INDIRECT(""'""&amp;DB$1&amp;""'!$C$4:$C$66""),INDIRECT(""'""&amp;DB$1&amp;""'!$D$4:$D$66"")=DB$2),$G$3:$BQ$3,$G90:$BQ90))),"""")"),"")</f>
        <v/>
      </c>
      <c r="DD90" s="251">
        <f>IFERROR(__xludf.DUMMYFUNCTION("AVERAGE(ARRAYFORMULA(XLOOKUP(FILTER(INDIRECT(""'""&amp;DD$1&amp;""'!$C$4:$C$66""),INDIRECT(""'""&amp;DD$1&amp;""'!$D$4:$D$66"")=DD$2),$G$3:$BQ$3,$G90:$BQ90)))"),-0.03604497555555555)</f>
        <v>-0.03604497556</v>
      </c>
      <c r="DE90" s="207" t="str">
        <f>IFERROR(__xludf.DUMMYFUNCTION("IF(OR(DD90&gt;$BS90+$BT90*$BT$2,DD90&lt;$BS90-$BT90*$BT$2),AVEDEV(ARRAYFORMULA(XLOOKUP(FILTER(INDIRECT(""'""&amp;DD$1&amp;""'!$C$4:$C$66""),INDIRECT(""'""&amp;DD$1&amp;""'!$D$4:$D$66"")=DD$2),$G$3:$BQ$3,$G90:$BQ90))),"""")"),"")</f>
        <v/>
      </c>
      <c r="DF90" s="251">
        <f>IFERROR(__xludf.DUMMYFUNCTION("AVERAGE(ARRAYFORMULA(XLOOKUP(FILTER(INDIRECT(""'""&amp;DF$1&amp;""'!$C$4:$C$66""),INDIRECT(""'""&amp;DF$1&amp;""'!$D$4:$D$66"")=DF$2),$G$3:$BQ$3,$G90:$BQ90)))"),0.27018228875)</f>
        <v>0.2701822888</v>
      </c>
      <c r="DG90" s="207" t="str">
        <f>IFERROR(__xludf.DUMMYFUNCTION("IF(OR(DF90&gt;$BS90+$BT90*$BT$2,DF90&lt;$BS90-$BT90*$BT$2),AVEDEV(ARRAYFORMULA(XLOOKUP(FILTER(INDIRECT(""'""&amp;DF$1&amp;""'!$C$4:$C$66""),INDIRECT(""'""&amp;DF$1&amp;""'!$D$4:$D$66"")=DF$2),$G$3:$BQ$3,$G90:$BQ90))),"""")"),"")</f>
        <v/>
      </c>
      <c r="DH90" s="251">
        <f>IFERROR(__xludf.DUMMYFUNCTION("AVERAGE(ARRAYFORMULA(XLOOKUP(FILTER(INDIRECT(""'""&amp;DH$1&amp;""'!$C$4:$C$66""),INDIRECT(""'""&amp;DH$1&amp;""'!$D$4:$D$66"")=DH$2),$G$3:$BQ$3,$G90:$BQ90)))"),0.0765542333333333)</f>
        <v>0.07655423333</v>
      </c>
      <c r="DI90" s="207" t="str">
        <f>IFERROR(__xludf.DUMMYFUNCTION("IF(OR(DH90&gt;$BS90+$BT90*$BT$2,DH90&lt;$BS90-$BT90*$BT$2),AVEDEV(ARRAYFORMULA(XLOOKUP(FILTER(INDIRECT(""'""&amp;DH$1&amp;""'!$C$4:$C$66""),INDIRECT(""'""&amp;DH$1&amp;""'!$D$4:$D$66"")=DH$2),$G$3:$BQ$3,$G90:$BQ90))),"""")"),"")</f>
        <v/>
      </c>
      <c r="DJ90" s="243"/>
    </row>
    <row r="91">
      <c r="A91" s="2"/>
      <c r="B91" s="204">
        <v>87.0</v>
      </c>
      <c r="C91" s="204" t="s">
        <v>507</v>
      </c>
      <c r="D91" s="204" t="s">
        <v>532</v>
      </c>
      <c r="E91" s="205" t="b">
        <f>VLOOKUP(D91,'Feature Set List'!A88:C246,2,0)</f>
        <v>1</v>
      </c>
      <c r="F91" s="205" t="b">
        <f>VLOOKUP(D91,'Feature Set List'!A88:C246,3,0)</f>
        <v>1</v>
      </c>
      <c r="G91" s="205">
        <v>-0.7238371</v>
      </c>
      <c r="H91" s="205">
        <v>-0.3809144</v>
      </c>
      <c r="I91" s="205">
        <v>0.21588473</v>
      </c>
      <c r="J91" s="205">
        <v>0.42578651</v>
      </c>
      <c r="K91" s="205">
        <v>-0.6800618</v>
      </c>
      <c r="L91" s="205">
        <v>0.17151119</v>
      </c>
      <c r="M91" s="205">
        <v>-0.5397118</v>
      </c>
      <c r="N91" s="205">
        <v>1.4802812</v>
      </c>
      <c r="O91" s="205">
        <v>-0.1665254</v>
      </c>
      <c r="P91" s="205">
        <v>0.47863589</v>
      </c>
      <c r="Q91" s="205">
        <v>-0.4274318</v>
      </c>
      <c r="R91" s="205">
        <v>0.56339433</v>
      </c>
      <c r="S91" s="205">
        <v>0.14209503</v>
      </c>
      <c r="T91" s="205">
        <v>1.20556414</v>
      </c>
      <c r="U91" s="205">
        <v>2.81896595</v>
      </c>
      <c r="V91" s="205">
        <v>0.00199432</v>
      </c>
      <c r="W91" s="205">
        <v>-0.1595453</v>
      </c>
      <c r="X91" s="205">
        <v>2.42558708</v>
      </c>
      <c r="Y91" s="205">
        <v>-0.8325373</v>
      </c>
      <c r="Z91" s="205">
        <v>-0.4572468</v>
      </c>
      <c r="AA91" s="205">
        <v>1.41646308</v>
      </c>
      <c r="AB91" s="205">
        <v>0.18746572</v>
      </c>
      <c r="AC91" s="205">
        <v>0.11218029</v>
      </c>
      <c r="AD91" s="205">
        <v>-0.8537618</v>
      </c>
      <c r="AE91" s="205">
        <v>0.72543252</v>
      </c>
      <c r="AF91" s="205">
        <v>0.0</v>
      </c>
      <c r="AG91" s="205">
        <v>0.15356235</v>
      </c>
      <c r="AH91" s="205">
        <v>0.7139652</v>
      </c>
      <c r="AI91" s="205">
        <v>0.07777833</v>
      </c>
      <c r="AJ91" s="205">
        <v>-0.8111881</v>
      </c>
      <c r="AK91" s="205">
        <v>0.55192701</v>
      </c>
      <c r="AL91" s="205">
        <v>-0.548786</v>
      </c>
      <c r="AM91" s="205">
        <v>-0.142095</v>
      </c>
      <c r="AN91" s="205">
        <v>-0.7924415</v>
      </c>
      <c r="AO91" s="205">
        <v>1.31674727</v>
      </c>
      <c r="AP91" s="205">
        <v>1.06995064</v>
      </c>
      <c r="AQ91" s="205">
        <v>-0.0922371</v>
      </c>
      <c r="AR91" s="205">
        <v>-0.8500873</v>
      </c>
      <c r="AS91" s="205">
        <v>0.12813482</v>
      </c>
      <c r="AT91" s="205">
        <v>0.26374832</v>
      </c>
      <c r="AU91" s="205">
        <v>0.64615845</v>
      </c>
      <c r="AV91" s="205">
        <v>-0.7760383</v>
      </c>
      <c r="AW91" s="205">
        <v>0.82614549</v>
      </c>
      <c r="AX91" s="205">
        <v>-0.2577654</v>
      </c>
      <c r="AY91" s="205">
        <v>-0.7924415</v>
      </c>
      <c r="AZ91" s="205">
        <v>-0.0014957</v>
      </c>
      <c r="BA91" s="205">
        <v>0.26025826</v>
      </c>
      <c r="BB91" s="205">
        <v>2.21219524</v>
      </c>
      <c r="BC91" s="205">
        <v>-0.5659869</v>
      </c>
      <c r="BD91" s="205">
        <v>-0.365957</v>
      </c>
      <c r="BE91" s="205">
        <v>0.63917834</v>
      </c>
      <c r="BF91" s="205">
        <v>-0.0069801</v>
      </c>
      <c r="BG91" s="205">
        <v>0.018946</v>
      </c>
      <c r="BH91" s="205">
        <v>-0.854739</v>
      </c>
      <c r="BI91" s="205">
        <v>-0.0922371</v>
      </c>
      <c r="BJ91" s="205">
        <v>-0.1545595</v>
      </c>
      <c r="BK91" s="205">
        <v>-0.0892456</v>
      </c>
      <c r="BL91" s="205">
        <v>1.6039288</v>
      </c>
      <c r="BM91" s="205">
        <v>2.36924764</v>
      </c>
      <c r="BN91" s="205">
        <v>-0.4121753</v>
      </c>
      <c r="BO91" s="205">
        <v>-0.8699606</v>
      </c>
      <c r="BP91" s="205">
        <v>-0.286683</v>
      </c>
      <c r="BQ91" s="205">
        <v>-0.7350052</v>
      </c>
      <c r="BR91" s="206"/>
      <c r="BS91" s="250">
        <f t="shared" si="1"/>
        <v>0.1667211975</v>
      </c>
      <c r="BT91" s="250">
        <f t="shared" si="2"/>
        <v>0.6535591829</v>
      </c>
      <c r="BU91" s="206"/>
      <c r="BV91" s="207">
        <f>IFERROR(__xludf.DUMMYFUNCTION("AVERAGE(ARRAYFORMULA(XLOOKUP(FILTER(INDIRECT(""'""&amp;BV$1&amp;""'!$C$4:$C$66""),INDIRECT(""'""&amp;BV$1&amp;""'!$D$4:$D$66"")=BV$2),$G$3:$BQ$3,$G91:$BQ91)))"),1.460594454285714)</f>
        <v>1.460594454</v>
      </c>
      <c r="BW91" s="207">
        <f>IFERROR(__xludf.DUMMYFUNCTION("IF(OR(BV91&gt;$BS91+$BT91*$BT$2,BV91&lt;$BS91-$BT91*$BT$2),AVEDEV(ARRAYFORMULA(XLOOKUP(FILTER(INDIRECT(""'""&amp;BV$1&amp;""'!$C$4:$C$66""),INDIRECT(""'""&amp;BV$1&amp;""'!$D$4:$D$66"")=BV$2),$G$3:$BQ$3,$G91:$BQ91))),"""")"),0.9195140722448981)</f>
        <v>0.9195140722</v>
      </c>
      <c r="BX91" s="207">
        <f>IFERROR(__xludf.DUMMYFUNCTION("AVERAGE(ARRAYFORMULA(XLOOKUP(FILTER(INDIRECT(""'""&amp;BX$1&amp;""'!$C$4:$C$66""),INDIRECT(""'""&amp;BX$1&amp;""'!$D$4:$D$66"")=BX$2),$G$3:$BQ$3,$G91:$BQ91)))"),-0.058211948571428564)</f>
        <v>-0.05821194857</v>
      </c>
      <c r="BY91" s="207" t="str">
        <f>IFERROR(__xludf.DUMMYFUNCTION("IF(OR(BX91&gt;$BS91+$BT91*$BT$2,BX91&lt;$BS91-$BT91*$BT$2),AVEDEV(ARRAYFORMULA(XLOOKUP(FILTER(INDIRECT(""'""&amp;BX$1&amp;""'!$C$4:$C$66""),INDIRECT(""'""&amp;BX$1&amp;""'!$D$4:$D$66"")=BX$2),$G$3:$BQ$3,$G91:$BQ91))),"""")"),"")</f>
        <v/>
      </c>
      <c r="BZ91" s="207">
        <f>IFERROR(__xludf.DUMMYFUNCTION("AVERAGE(ARRAYFORMULA(XLOOKUP(FILTER(INDIRECT(""'""&amp;BZ$1&amp;""'!$C$4:$C$66""),INDIRECT(""'""&amp;BZ$1&amp;""'!$D$4:$D$66"")=BZ$2),$G$3:$BQ$3,$G91:$BQ91)))"),0.20255362909090913)</f>
        <v>0.2025536291</v>
      </c>
      <c r="CA91" s="207" t="str">
        <f>IFERROR(__xludf.DUMMYFUNCTION("IF(OR(BZ91&gt;$BS91+$BT91*$BT$2,BZ91&lt;$BS91-$BT91*$BT$2),AVEDEV(ARRAYFORMULA(XLOOKUP(FILTER(INDIRECT(""'""&amp;BZ$1&amp;""'!$C$4:$C$66""),INDIRECT(""'""&amp;BZ$1&amp;""'!$D$4:$D$66"")=BZ$2),$G$3:$BQ$3,$G91:$BQ91))),"""")"),"")</f>
        <v/>
      </c>
      <c r="CB91" s="209"/>
      <c r="CC91" s="207">
        <f>IFERROR(__xludf.DUMMYFUNCTION("AVERAGE(ARRAYFORMULA(XLOOKUP(FILTER(INDIRECT(""'""&amp;CC$1&amp;""'!$C$4:$C$66""),INDIRECT(""'""&amp;CC$1&amp;""'!$D$4:$D$66"")=CC$2),$G$3:$BQ$3,$G91:$BQ91)))"),0.5904734049999999)</f>
        <v>0.590473405</v>
      </c>
      <c r="CD91" s="207" t="str">
        <f>IFERROR(__xludf.DUMMYFUNCTION("IF(OR(CC91&gt;$BS91+$BT91*$BT$2,CC91&lt;$BS91-$BT91*$BT$2),AVEDEV(ARRAYFORMULA(XLOOKUP(FILTER(INDIRECT(""'""&amp;CC$1&amp;""'!$C$4:$C$66""),INDIRECT(""'""&amp;CC$1&amp;""'!$D$4:$D$66"")=CC$2),$G$3:$BQ$3,$G91:$BQ91))),"""")"),"")</f>
        <v/>
      </c>
      <c r="CE91" s="207">
        <f>IFERROR(__xludf.DUMMYFUNCTION("AVERAGE(ARRAYFORMULA(XLOOKUP(FILTER(INDIRECT(""'""&amp;CE$1&amp;""'!$C$4:$C$66""),INDIRECT(""'""&amp;CE$1&amp;""'!$D$4:$D$66"")=CE$2),$G$3:$BQ$3,$G91:$BQ91)))"),-0.21114918451612902)</f>
        <v>-0.2111491845</v>
      </c>
      <c r="CF91" s="207" t="str">
        <f>IFERROR(__xludf.DUMMYFUNCTION("IF(OR(CE91&gt;$BS91+$BT91*$BT$2,CE91&lt;$BS91-$BT91*$BT$2),AVEDEV(ARRAYFORMULA(XLOOKUP(FILTER(INDIRECT(""'""&amp;CE$1&amp;""'!$C$4:$C$66""),INDIRECT(""'""&amp;CE$1&amp;""'!$D$4:$D$66"")=CE$2),$G$3:$BQ$3,$G91:$BQ91))),"""")"),"")</f>
        <v/>
      </c>
      <c r="CG91" s="207">
        <f>IFERROR(__xludf.DUMMYFUNCTION("AVERAGE(ARRAYFORMULA(XLOOKUP(FILTER(INDIRECT(""'""&amp;CG$1&amp;""'!$C$4:$C$66""),INDIRECT(""'""&amp;CG$1&amp;""'!$D$4:$D$66"")=CG$2),$G$3:$BQ$3,$G91:$BQ91)))"),0.41830782199999994)</f>
        <v>0.418307822</v>
      </c>
      <c r="CH91" s="207" t="str">
        <f>IFERROR(__xludf.DUMMYFUNCTION("IF(OR(CG91&gt;$BS91+$BT91*$BT$2,CG91&lt;$BS91-$BT91*$BT$2),AVEDEV(ARRAYFORMULA(XLOOKUP(FILTER(INDIRECT(""'""&amp;CG$1&amp;""'!$C$4:$C$66""),INDIRECT(""'""&amp;CG$1&amp;""'!$D$4:$D$66"")=CG$2),$G$3:$BQ$3,$G91:$BQ91))),"""")"),"")</f>
        <v/>
      </c>
      <c r="CI91" s="206"/>
      <c r="CJ91" s="251">
        <f>IFERROR(__xludf.DUMMYFUNCTION("AVERAGE(ARRAYFORMULA(XLOOKUP(FILTER(INDIRECT(""'""&amp;CJ$1&amp;""'!$C$4:$C$66""),INDIRECT(""'""&amp;CJ$1&amp;""'!$D$4:$D$66"")=CJ$2),$G$3:$BQ$3,$G91:$BQ91)))"),0.862558372)</f>
        <v>0.862558372</v>
      </c>
      <c r="CK91" s="207">
        <f>IFERROR(__xludf.DUMMYFUNCTION("IF(OR(CJ91&gt;$BS91+$BT91*$BT$2,CJ91&lt;$BS91-$BT91*$BT$2),AVEDEV(ARRAYFORMULA(XLOOKUP(FILTER(INDIRECT(""'""&amp;CJ$1&amp;""'!$C$4:$C$66""),INDIRECT(""'""&amp;CJ$1&amp;""'!$D$4:$D$66"")=CJ$2),$G$3:$BQ$3,$G91:$BQ91))),"""")"),1.0063186610666663)</f>
        <v>1.006318661</v>
      </c>
      <c r="CL91" s="251">
        <f>IFERROR(__xludf.DUMMYFUNCTION("AVERAGE(ARRAYFORMULA(XLOOKUP(FILTER(INDIRECT(""'""&amp;CL$1&amp;""'!$C$4:$C$66""),INDIRECT(""'""&amp;CL$1&amp;""'!$D$4:$D$66"")=CL$2),$G$3:$BQ$3,$G91:$BQ91)))"),-0.16991010846153845)</f>
        <v>-0.1699101085</v>
      </c>
      <c r="CM91" s="207" t="str">
        <f>IFERROR(__xludf.DUMMYFUNCTION("IF(OR(CL91&gt;$BS91+$BT91*$BT$2,CL91&lt;$BS91-$BT91*$BT$2),AVEDEV(ARRAYFORMULA(XLOOKUP(FILTER(INDIRECT(""'""&amp;CL$1&amp;""'!$C$4:$C$66""),INDIRECT(""'""&amp;CL$1&amp;""'!$D$4:$D$66"")=CL$2),$G$3:$BQ$3,$G91:$BQ91))),"""")"),"")</f>
        <v/>
      </c>
      <c r="CN91" s="251">
        <f>IFERROR(__xludf.DUMMYFUNCTION("AVERAGE(ARRAYFORMULA(XLOOKUP(FILTER(INDIRECT(""'""&amp;CN$1&amp;""'!$C$4:$C$66""),INDIRECT(""'""&amp;CN$1&amp;""'!$D$4:$D$66"")=CN$2),$G$3:$BQ$3,$G91:$BQ91)))"),0.41830782199999994)</f>
        <v>0.418307822</v>
      </c>
      <c r="CO91" s="207" t="str">
        <f>IFERROR(__xludf.DUMMYFUNCTION("IF(OR(CN91&gt;$BS91+$BT91*$BT$2,CN91&lt;$BS91-$BT91*$BT$2),AVEDEV(ARRAYFORMULA(XLOOKUP(FILTER(INDIRECT(""'""&amp;CN$1&amp;""'!$C$4:$C$66""),INDIRECT(""'""&amp;CN$1&amp;""'!$D$4:$D$66"")=CN$2),$G$3:$BQ$3,$G91:$BQ91))),"""")"),"")</f>
        <v/>
      </c>
      <c r="CP91" s="252"/>
      <c r="CQ91" s="251">
        <f>IFERROR(__xludf.DUMMYFUNCTION("AVERAGE(ARRAYFORMULA(XLOOKUP(FILTER(INDIRECT(""'""&amp;CQ$1&amp;""'!$C$4:$C$66""),INDIRECT(""'""&amp;CQ$1&amp;""'!$D$4:$D$66"")=CQ$2),$G$3:$BQ$3,$G91:$BQ91)))"),0.29962108357142864)</f>
        <v>0.2996210836</v>
      </c>
      <c r="CR91" s="207" t="str">
        <f>IFERROR(__xludf.DUMMYFUNCTION("IF(OR(CQ91&gt;$BS91+$BT91*$BT$2,CQ91&lt;$BS91-$BT91*$BT$2),AVEDEV(ARRAYFORMULA(XLOOKUP(FILTER(INDIRECT(""'""&amp;CQ$1&amp;""'!$C$4:$C$66""),INDIRECT(""'""&amp;CQ$1&amp;""'!$D$4:$D$66"")=CQ$2),$G$3:$BQ$3,$G91:$BQ91))),"""")"),"")</f>
        <v/>
      </c>
      <c r="CS91" s="251">
        <f>IFERROR(__xludf.DUMMYFUNCTION("AVERAGE(ARRAYFORMULA(XLOOKUP(FILTER(INDIRECT(""'""&amp;CS$1&amp;""'!$C$4:$C$66""),INDIRECT(""'""&amp;CS$1&amp;""'!$D$4:$D$66"")=CS$2),$G$3:$BQ$3,$G91:$BQ91)))"),-0.015518002222222228)</f>
        <v>-0.01551800222</v>
      </c>
      <c r="CT91" s="207" t="str">
        <f>IFERROR(__xludf.DUMMYFUNCTION("IF(OR(CS91&gt;$BS91+$BT91*$BT$2,CS91&lt;$BS91-$BT91*$BT$2),AVEDEV(ARRAYFORMULA(XLOOKUP(FILTER(INDIRECT(""'""&amp;CS$1&amp;""'!$C$4:$C$66""),INDIRECT(""'""&amp;CS$1&amp;""'!$D$4:$D$66"")=CS$2),$G$3:$BQ$3,$G91:$BQ91))),"""")"),"")</f>
        <v/>
      </c>
      <c r="CU91" s="251">
        <f>IFERROR(__xludf.DUMMYFUNCTION("AVERAGE(ARRAYFORMULA(XLOOKUP(FILTER(INDIRECT(""'""&amp;CU$1&amp;""'!$C$4:$C$66""),INDIRECT(""'""&amp;CU$1&amp;""'!$D$4:$D$66"")=CU$2),$G$3:$BQ$3,$G91:$BQ91)))"),0.09684309454545453)</f>
        <v>0.09684309455</v>
      </c>
      <c r="CV91" s="207" t="str">
        <f>IFERROR(__xludf.DUMMYFUNCTION("IF(OR(CU91&gt;$BS91+$BT91*$BT$2,CU91&lt;$BS91-$BT91*$BT$2),AVEDEV(ARRAYFORMULA(XLOOKUP(FILTER(INDIRECT(""'""&amp;CU$1&amp;""'!$C$4:$C$66""),INDIRECT(""'""&amp;CU$1&amp;""'!$D$4:$D$66"")=CU$2),$G$3:$BQ$3,$G91:$BQ91))),"""")"),"")</f>
        <v/>
      </c>
      <c r="CW91" s="251">
        <f>IFERROR(__xludf.DUMMYFUNCTION("AVERAGE(ARRAYFORMULA(XLOOKUP(FILTER(INDIRECT(""'""&amp;CW$1&amp;""'!$C$4:$C$66""),INDIRECT(""'""&amp;CW$1&amp;""'!$D$4:$D$66"")=CW$2),$G$3:$BQ$3,$G91:$BQ91)))"),-0.8542504)</f>
        <v>-0.8542504</v>
      </c>
      <c r="CX91" s="207">
        <f>IFERROR(__xludf.DUMMYFUNCTION("IF(OR(CW91&gt;$BS91+$BT91*$BT$2,CW91&lt;$BS91-$BT91*$BT$2),AVEDEV(ARRAYFORMULA(XLOOKUP(FILTER(INDIRECT(""'""&amp;CW$1&amp;""'!$C$4:$C$66""),INDIRECT(""'""&amp;CW$1&amp;""'!$D$4:$D$66"")=CW$2),$G$3:$BQ$3,$G91:$BQ91))),"""")"),4.886000000000057E-4)</f>
        <v>0.0004886</v>
      </c>
      <c r="CY91" s="251">
        <f>IFERROR(__xludf.DUMMYFUNCTION("AVERAGE(ARRAYFORMULA(XLOOKUP(FILTER(INDIRECT(""'""&amp;CY$1&amp;""'!$C$4:$C$66""),INDIRECT(""'""&amp;CY$1&amp;""'!$D$4:$D$66"")=CY$2),$G$3:$BQ$3,$G91:$BQ91)))"),-0.3889956407142857)</f>
        <v>-0.3889956407</v>
      </c>
      <c r="CZ91" s="207" t="str">
        <f>IFERROR(__xludf.DUMMYFUNCTION("IF(OR(CY91&gt;$BS91+$BT91*$BT$2,CY91&lt;$BS91-$BT91*$BT$2),AVEDEV(ARRAYFORMULA(XLOOKUP(FILTER(INDIRECT(""'""&amp;CY$1&amp;""'!$C$4:$C$66""),INDIRECT(""'""&amp;CY$1&amp;""'!$D$4:$D$66"")=CY$2),$G$3:$BQ$3,$G91:$BQ91))),"""")"),"")</f>
        <v/>
      </c>
      <c r="DA91" s="252"/>
      <c r="DB91" s="251">
        <f>IFERROR(__xludf.DUMMYFUNCTION("AVERAGE(ARRAYFORMULA(XLOOKUP(FILTER(INDIRECT(""'""&amp;DB$1&amp;""'!$C$4:$C$66""),INDIRECT(""'""&amp;DB$1&amp;""'!$D$4:$D$66"")=DB$2),$G$3:$BQ$3,$G91:$BQ91)))"),0.10222699299999996)</f>
        <v>0.102226993</v>
      </c>
      <c r="DC91" s="207" t="str">
        <f>IFERROR(__xludf.DUMMYFUNCTION("IF(OR(DB91&gt;$BS91+$BT91*$BT$2,DB91&lt;$BS91-$BT91*$BT$2),AVEDEV(ARRAYFORMULA(XLOOKUP(FILTER(INDIRECT(""'""&amp;DB$1&amp;""'!$C$4:$C$66""),INDIRECT(""'""&amp;DB$1&amp;""'!$D$4:$D$66"")=DB$2),$G$3:$BQ$3,$G91:$BQ91))),"""")"),"")</f>
        <v/>
      </c>
      <c r="DD91" s="251">
        <f>IFERROR(__xludf.DUMMYFUNCTION("AVERAGE(ARRAYFORMULA(XLOOKUP(FILTER(INDIRECT(""'""&amp;DD$1&amp;""'!$C$4:$C$66""),INDIRECT(""'""&amp;DD$1&amp;""'!$D$4:$D$66"")=DD$2),$G$3:$BQ$3,$G91:$BQ91)))"),0.25400940222222224)</f>
        <v>0.2540094022</v>
      </c>
      <c r="DE91" s="207" t="str">
        <f>IFERROR(__xludf.DUMMYFUNCTION("IF(OR(DD91&gt;$BS91+$BT91*$BT$2,DD91&lt;$BS91-$BT91*$BT$2),AVEDEV(ARRAYFORMULA(XLOOKUP(FILTER(INDIRECT(""'""&amp;DD$1&amp;""'!$C$4:$C$66""),INDIRECT(""'""&amp;DD$1&amp;""'!$D$4:$D$66"")=DD$2),$G$3:$BQ$3,$G91:$BQ91))),"""")"),"")</f>
        <v/>
      </c>
      <c r="DF91" s="251">
        <f>IFERROR(__xludf.DUMMYFUNCTION("AVERAGE(ARRAYFORMULA(XLOOKUP(FILTER(INDIRECT(""'""&amp;DF$1&amp;""'!$C$4:$C$66""),INDIRECT(""'""&amp;DF$1&amp;""'!$D$4:$D$66"")=DF$2),$G$3:$BQ$3,$G91:$BQ91)))"),0.39615846125)</f>
        <v>0.3961584613</v>
      </c>
      <c r="DG91" s="207" t="str">
        <f>IFERROR(__xludf.DUMMYFUNCTION("IF(OR(DF91&gt;$BS91+$BT91*$BT$2,DF91&lt;$BS91-$BT91*$BT$2),AVEDEV(ARRAYFORMULA(XLOOKUP(FILTER(INDIRECT(""'""&amp;DF$1&amp;""'!$C$4:$C$66""),INDIRECT(""'""&amp;DF$1&amp;""'!$D$4:$D$66"")=DF$2),$G$3:$BQ$3,$G91:$BQ91))),"""")"),"")</f>
        <v/>
      </c>
      <c r="DH91" s="251">
        <f>IFERROR(__xludf.DUMMYFUNCTION("AVERAGE(ARRAYFORMULA(XLOOKUP(FILTER(INDIRECT(""'""&amp;DH$1&amp;""'!$C$4:$C$66""),INDIRECT(""'""&amp;DH$1&amp;""'!$D$4:$D$66"")=DH$2),$G$3:$BQ$3,$G91:$BQ91)))"),-0.33455429888888893)</f>
        <v>-0.3345542989</v>
      </c>
      <c r="DI91" s="207" t="str">
        <f>IFERROR(__xludf.DUMMYFUNCTION("IF(OR(DH91&gt;$BS91+$BT91*$BT$2,DH91&lt;$BS91-$BT91*$BT$2),AVEDEV(ARRAYFORMULA(XLOOKUP(FILTER(INDIRECT(""'""&amp;DH$1&amp;""'!$C$4:$C$66""),INDIRECT(""'""&amp;DH$1&amp;""'!$D$4:$D$66"")=DH$2),$G$3:$BQ$3,$G91:$BQ91))),"""")"),"")</f>
        <v/>
      </c>
      <c r="DJ91" s="243"/>
    </row>
    <row r="92">
      <c r="A92" s="2"/>
      <c r="B92" s="204">
        <v>88.0</v>
      </c>
      <c r="C92" s="204" t="s">
        <v>507</v>
      </c>
      <c r="D92" s="204" t="s">
        <v>533</v>
      </c>
      <c r="E92" s="205" t="b">
        <f>VLOOKUP(D92,'Feature Set List'!A89:C246,2,0)</f>
        <v>1</v>
      </c>
      <c r="F92" s="205" t="b">
        <f>VLOOKUP(D92,'Feature Set List'!A89:C246,3,0)</f>
        <v>1</v>
      </c>
      <c r="G92" s="205">
        <v>0.39809897</v>
      </c>
      <c r="H92" s="205">
        <v>0.74308079</v>
      </c>
      <c r="I92" s="205">
        <v>-1.8067654</v>
      </c>
      <c r="J92" s="205">
        <v>-0.0989656</v>
      </c>
      <c r="K92" s="205">
        <v>0.56415991</v>
      </c>
      <c r="L92" s="205">
        <v>0.3908303</v>
      </c>
      <c r="M92" s="205">
        <v>1.42242102</v>
      </c>
      <c r="N92" s="205">
        <v>-0.6502656</v>
      </c>
      <c r="O92" s="205">
        <v>-0.1470506</v>
      </c>
      <c r="P92" s="205">
        <v>0.0464076</v>
      </c>
      <c r="Q92" s="205">
        <v>0.6223092</v>
      </c>
      <c r="R92" s="205">
        <v>0.14872798</v>
      </c>
      <c r="S92" s="205">
        <v>-0.1867487</v>
      </c>
      <c r="T92" s="205">
        <v>-0.8498742</v>
      </c>
      <c r="U92" s="205">
        <v>-1.4839251</v>
      </c>
      <c r="V92" s="205">
        <v>0.37573386</v>
      </c>
      <c r="W92" s="205">
        <v>0.63349175</v>
      </c>
      <c r="X92" s="205">
        <v>-1.3050042</v>
      </c>
      <c r="Y92" s="205">
        <v>1.58344982</v>
      </c>
      <c r="Z92" s="205">
        <v>1.25132793</v>
      </c>
      <c r="AA92" s="205">
        <v>-0.7072966</v>
      </c>
      <c r="AB92" s="205">
        <v>1.45876433</v>
      </c>
      <c r="AC92" s="205">
        <v>-0.1822756</v>
      </c>
      <c r="AD92" s="205">
        <v>1.44031311</v>
      </c>
      <c r="AE92" s="205">
        <v>0.15376013</v>
      </c>
      <c r="AF92" s="205">
        <v>-0.0995247</v>
      </c>
      <c r="AG92" s="205">
        <v>-0.5048924</v>
      </c>
      <c r="AH92" s="205">
        <v>-0.0687727</v>
      </c>
      <c r="AI92" s="205">
        <v>-0.2398658</v>
      </c>
      <c r="AJ92" s="205">
        <v>2.94157115</v>
      </c>
      <c r="AK92" s="205">
        <v>0.0</v>
      </c>
      <c r="AL92" s="205">
        <v>0.67542633</v>
      </c>
      <c r="AM92" s="205">
        <v>-0.1168577</v>
      </c>
      <c r="AN92" s="205">
        <v>1.2446184</v>
      </c>
      <c r="AO92" s="205">
        <v>-0.0357842</v>
      </c>
      <c r="AP92" s="205">
        <v>0.2135868</v>
      </c>
      <c r="AQ92" s="205">
        <v>-0.2750909</v>
      </c>
      <c r="AR92" s="205">
        <v>0.55241823</v>
      </c>
      <c r="AS92" s="205">
        <v>-0.2728543</v>
      </c>
      <c r="AT92" s="205">
        <v>-0.310875</v>
      </c>
      <c r="AU92" s="205">
        <v>0.88230361</v>
      </c>
      <c r="AV92" s="205">
        <v>-0.1571149</v>
      </c>
      <c r="AW92" s="205">
        <v>-0.4215823</v>
      </c>
      <c r="AX92" s="205">
        <v>1.60413755</v>
      </c>
      <c r="AY92" s="205">
        <v>0.81856304</v>
      </c>
      <c r="AZ92" s="205">
        <v>-0.1962538</v>
      </c>
      <c r="BA92" s="205">
        <v>-0.6178362</v>
      </c>
      <c r="BB92" s="205">
        <v>-1.8718479</v>
      </c>
      <c r="BC92" s="205">
        <v>-0.8090579</v>
      </c>
      <c r="BD92" s="205">
        <v>0.83925077</v>
      </c>
      <c r="BE92" s="205">
        <v>1.02432206</v>
      </c>
      <c r="BF92" s="205">
        <v>-0.4758177</v>
      </c>
      <c r="BG92" s="205">
        <v>-0.7067375</v>
      </c>
      <c r="BH92" s="205">
        <v>1.34470226</v>
      </c>
      <c r="BI92" s="205">
        <v>0.74755382</v>
      </c>
      <c r="BJ92" s="205">
        <v>-0.7363713</v>
      </c>
      <c r="BK92" s="205">
        <v>-0.1336315</v>
      </c>
      <c r="BL92" s="205">
        <v>0.24881185</v>
      </c>
      <c r="BM92" s="205">
        <v>-1.7815488</v>
      </c>
      <c r="BN92" s="205">
        <v>0.26502656</v>
      </c>
      <c r="BO92" s="205">
        <v>-0.227565</v>
      </c>
      <c r="BP92" s="205">
        <v>0.73860777</v>
      </c>
      <c r="BQ92" s="205">
        <v>0.65194297</v>
      </c>
      <c r="BR92" s="206"/>
      <c r="BS92" s="250">
        <f t="shared" si="1"/>
        <v>0.1356772344</v>
      </c>
      <c r="BT92" s="250">
        <f t="shared" si="2"/>
        <v>0.6955236583</v>
      </c>
      <c r="BU92" s="206"/>
      <c r="BV92" s="207">
        <f>IFERROR(__xludf.DUMMYFUNCTION("AVERAGE(ARRAYFORMULA(XLOOKUP(FILTER(INDIRECT(""'""&amp;BV$1&amp;""'!$C$4:$C$66""),INDIRECT(""'""&amp;BV$1&amp;""'!$D$4:$D$66"")=BV$2),$G$3:$BQ$3,$G92:$BQ92)))"),-0.37212349285714286)</f>
        <v>-0.3721234929</v>
      </c>
      <c r="BW92" s="207" t="str">
        <f>IFERROR(__xludf.DUMMYFUNCTION("IF(OR(BV92&gt;$BS92+$BT92*$BT$2,BV92&lt;$BS92-$BT92*$BT$2),AVEDEV(ARRAYFORMULA(XLOOKUP(FILTER(INDIRECT(""'""&amp;BV$1&amp;""'!$C$4:$C$66""),INDIRECT(""'""&amp;BV$1&amp;""'!$D$4:$D$66"")=BV$2),$G$3:$BQ$3,$G92:$BQ92))),"""")"),"")</f>
        <v/>
      </c>
      <c r="BX92" s="207">
        <f>IFERROR(__xludf.DUMMYFUNCTION("AVERAGE(ARRAYFORMULA(XLOOKUP(FILTER(INDIRECT(""'""&amp;BX$1&amp;""'!$C$4:$C$66""),INDIRECT(""'""&amp;BX$1&amp;""'!$D$4:$D$66"")=BX$2),$G$3:$BQ$3,$G92:$BQ92)))"),0.2454304638095238)</f>
        <v>0.2454304638</v>
      </c>
      <c r="BY92" s="207" t="str">
        <f>IFERROR(__xludf.DUMMYFUNCTION("IF(OR(BX92&gt;$BS92+$BT92*$BT$2,BX92&lt;$BS92-$BT92*$BT$2),AVEDEV(ARRAYFORMULA(XLOOKUP(FILTER(INDIRECT(""'""&amp;BX$1&amp;""'!$C$4:$C$66""),INDIRECT(""'""&amp;BX$1&amp;""'!$D$4:$D$66"")=BX$2),$G$3:$BQ$3,$G92:$BQ92))),"""")"),"")</f>
        <v/>
      </c>
      <c r="BZ92" s="207">
        <f>IFERROR(__xludf.DUMMYFUNCTION("AVERAGE(ARRAYFORMULA(XLOOKUP(FILTER(INDIRECT(""'""&amp;BZ$1&amp;""'!$C$4:$C$66""),INDIRECT(""'""&amp;BZ$1&amp;""'!$D$4:$D$66"")=BZ$2),$G$3:$BQ$3,$G92:$BQ92)))"),0.08451470545454548)</f>
        <v>0.08451470545</v>
      </c>
      <c r="CA92" s="207" t="str">
        <f>IFERROR(__xludf.DUMMYFUNCTION("IF(OR(BZ92&gt;$BS92+$BT92*$BT$2,BZ92&lt;$BS92-$BT92*$BT$2),AVEDEV(ARRAYFORMULA(XLOOKUP(FILTER(INDIRECT(""'""&amp;BZ$1&amp;""'!$C$4:$C$66""),INDIRECT(""'""&amp;BZ$1&amp;""'!$D$4:$D$66"")=BZ$2),$G$3:$BQ$3,$G92:$BQ92))),"""")"),"")</f>
        <v/>
      </c>
      <c r="CB92" s="209"/>
      <c r="CC92" s="207">
        <f>IFERROR(__xludf.DUMMYFUNCTION("AVERAGE(ARRAYFORMULA(XLOOKUP(FILTER(INDIRECT(""'""&amp;CC$1&amp;""'!$C$4:$C$66""),INDIRECT(""'""&amp;CC$1&amp;""'!$D$4:$D$66"")=CC$2),$G$3:$BQ$3,$G92:$BQ92)))"),-0.267675425625)</f>
        <v>-0.2676754256</v>
      </c>
      <c r="CD92" s="207" t="str">
        <f>IFERROR(__xludf.DUMMYFUNCTION("IF(OR(CC92&gt;$BS92+$BT92*$BT$2,CC92&lt;$BS92-$BT92*$BT$2),AVEDEV(ARRAYFORMULA(XLOOKUP(FILTER(INDIRECT(""'""&amp;CC$1&amp;""'!$C$4:$C$66""),INDIRECT(""'""&amp;CC$1&amp;""'!$D$4:$D$66"")=CC$2),$G$3:$BQ$3,$G92:$BQ92))),"""")"),"")</f>
        <v/>
      </c>
      <c r="CE92" s="207">
        <f>IFERROR(__xludf.DUMMYFUNCTION("AVERAGE(ARRAYFORMULA(XLOOKUP(FILTER(INDIRECT(""'""&amp;CE$1&amp;""'!$C$4:$C$66""),INDIRECT(""'""&amp;CE$1&amp;""'!$D$4:$D$66"")=CE$2),$G$3:$BQ$3,$G92:$BQ92)))"),0.5117101225806452)</f>
        <v>0.5117101226</v>
      </c>
      <c r="CF92" s="207" t="str">
        <f>IFERROR(__xludf.DUMMYFUNCTION("IF(OR(CE92&gt;$BS92+$BT92*$BT$2,CE92&lt;$BS92-$BT92*$BT$2),AVEDEV(ARRAYFORMULA(XLOOKUP(FILTER(INDIRECT(""'""&amp;CE$1&amp;""'!$C$4:$C$66""),INDIRECT(""'""&amp;CE$1&amp;""'!$D$4:$D$66"")=CE$2),$G$3:$BQ$3,$G92:$BQ92))),"""")"),"")</f>
        <v/>
      </c>
      <c r="CG92" s="207">
        <f>IFERROR(__xludf.DUMMYFUNCTION("AVERAGE(ARRAYFORMULA(XLOOKUP(FILTER(INDIRECT(""'""&amp;CG$1&amp;""'!$C$4:$C$66""),INDIRECT(""'""&amp;CG$1&amp;""'!$D$4:$D$66"")=CG$2),$G$3:$BQ$3,$G92:$BQ92)))"),-0.48017892)</f>
        <v>-0.48017892</v>
      </c>
      <c r="CH92" s="207" t="str">
        <f>IFERROR(__xludf.DUMMYFUNCTION("IF(OR(CG92&gt;$BS92+$BT92*$BT$2,CG92&lt;$BS92-$BT92*$BT$2),AVEDEV(ARRAYFORMULA(XLOOKUP(FILTER(INDIRECT(""'""&amp;CG$1&amp;""'!$C$4:$C$66""),INDIRECT(""'""&amp;CG$1&amp;""'!$D$4:$D$66"")=CG$2),$G$3:$BQ$3,$G92:$BQ92))),"""")"),"")</f>
        <v/>
      </c>
      <c r="CI92" s="206"/>
      <c r="CJ92" s="251">
        <f>IFERROR(__xludf.DUMMYFUNCTION("AVERAGE(ARRAYFORMULA(XLOOKUP(FILTER(INDIRECT(""'""&amp;CJ$1&amp;""'!$C$4:$C$66""),INDIRECT(""'""&amp;CJ$1&amp;""'!$D$4:$D$66"")=CJ$2),$G$3:$BQ$3,$G92:$BQ92)))"),-0.26473207933333326)</f>
        <v>-0.2647320793</v>
      </c>
      <c r="CK92" s="207" t="str">
        <f>IFERROR(__xludf.DUMMYFUNCTION("IF(OR(CJ92&gt;$BS92+$BT92*$BT$2,CJ92&lt;$BS92-$BT92*$BT$2),AVEDEV(ARRAYFORMULA(XLOOKUP(FILTER(INDIRECT(""'""&amp;CJ$1&amp;""'!$C$4:$C$66""),INDIRECT(""'""&amp;CJ$1&amp;""'!$D$4:$D$66"")=CJ$2),$G$3:$BQ$3,$G92:$BQ92))),"""")"),"")</f>
        <v/>
      </c>
      <c r="CL92" s="251">
        <f>IFERROR(__xludf.DUMMYFUNCTION("AVERAGE(ARRAYFORMULA(XLOOKUP(FILTER(INDIRECT(""'""&amp;CL$1&amp;""'!$C$4:$C$66""),INDIRECT(""'""&amp;CL$1&amp;""'!$D$4:$D$66"")=CL$2),$G$3:$BQ$3,$G92:$BQ92)))"),0.3783574546153846)</f>
        <v>0.3783574546</v>
      </c>
      <c r="CM92" s="207" t="str">
        <f>IFERROR(__xludf.DUMMYFUNCTION("IF(OR(CL92&gt;$BS92+$BT92*$BT$2,CL92&lt;$BS92-$BT92*$BT$2),AVEDEV(ARRAYFORMULA(XLOOKUP(FILTER(INDIRECT(""'""&amp;CL$1&amp;""'!$C$4:$C$66""),INDIRECT(""'""&amp;CL$1&amp;""'!$D$4:$D$66"")=CL$2),$G$3:$BQ$3,$G92:$BQ92))),"""")"),"")</f>
        <v/>
      </c>
      <c r="CN92" s="251">
        <f>IFERROR(__xludf.DUMMYFUNCTION("AVERAGE(ARRAYFORMULA(XLOOKUP(FILTER(INDIRECT(""'""&amp;CN$1&amp;""'!$C$4:$C$66""),INDIRECT(""'""&amp;CN$1&amp;""'!$D$4:$D$66"")=CN$2),$G$3:$BQ$3,$G92:$BQ92)))"),-0.48017892)</f>
        <v>-0.48017892</v>
      </c>
      <c r="CO92" s="207" t="str">
        <f>IFERROR(__xludf.DUMMYFUNCTION("IF(OR(CN92&gt;$BS92+$BT92*$BT$2,CN92&lt;$BS92-$BT92*$BT$2),AVEDEV(ARRAYFORMULA(XLOOKUP(FILTER(INDIRECT(""'""&amp;CN$1&amp;""'!$C$4:$C$66""),INDIRECT(""'""&amp;CN$1&amp;""'!$D$4:$D$66"")=CN$2),$G$3:$BQ$3,$G92:$BQ92))),"""")"),"")</f>
        <v/>
      </c>
      <c r="CP92" s="252"/>
      <c r="CQ92" s="251">
        <f>IFERROR(__xludf.DUMMYFUNCTION("AVERAGE(ARRAYFORMULA(XLOOKUP(FILTER(INDIRECT(""'""&amp;CQ$1&amp;""'!$C$4:$C$66""),INDIRECT(""'""&amp;CQ$1&amp;""'!$D$4:$D$66"")=CQ$2),$G$3:$BQ$3,$G92:$BQ92)))"),-0.0456088492857143)</f>
        <v>-0.04560884929</v>
      </c>
      <c r="CR92" s="207" t="str">
        <f>IFERROR(__xludf.DUMMYFUNCTION("IF(OR(CQ92&gt;$BS92+$BT92*$BT$2,CQ92&lt;$BS92-$BT92*$BT$2),AVEDEV(ARRAYFORMULA(XLOOKUP(FILTER(INDIRECT(""'""&amp;CQ$1&amp;""'!$C$4:$C$66""),INDIRECT(""'""&amp;CQ$1&amp;""'!$D$4:$D$66"")=CQ$2),$G$3:$BQ$3,$G92:$BQ92))),"""")"),"")</f>
        <v/>
      </c>
      <c r="CS92" s="251">
        <f>IFERROR(__xludf.DUMMYFUNCTION("AVERAGE(ARRAYFORMULA(XLOOKUP(FILTER(INDIRECT(""'""&amp;CS$1&amp;""'!$C$4:$C$66""),INDIRECT(""'""&amp;CS$1&amp;""'!$D$4:$D$66"")=CS$2),$G$3:$BQ$3,$G92:$BQ92)))"),0.3230515955555556)</f>
        <v>0.3230515956</v>
      </c>
      <c r="CT92" s="207" t="str">
        <f>IFERROR(__xludf.DUMMYFUNCTION("IF(OR(CS92&gt;$BS92+$BT92*$BT$2,CS92&lt;$BS92-$BT92*$BT$2),AVEDEV(ARRAYFORMULA(XLOOKUP(FILTER(INDIRECT(""'""&amp;CS$1&amp;""'!$C$4:$C$66""),INDIRECT(""'""&amp;CS$1&amp;""'!$D$4:$D$66"")=CS$2),$G$3:$BQ$3,$G92:$BQ92))),"""")"),"")</f>
        <v/>
      </c>
      <c r="CU92" s="251">
        <f>IFERROR(__xludf.DUMMYFUNCTION("AVERAGE(ARRAYFORMULA(XLOOKUP(FILTER(INDIRECT(""'""&amp;CU$1&amp;""'!$C$4:$C$66""),INDIRECT(""'""&amp;CU$1&amp;""'!$D$4:$D$66"")=CU$2),$G$3:$BQ$3,$G92:$BQ92)))"),-0.1274302881818182)</f>
        <v>-0.1274302882</v>
      </c>
      <c r="CV92" s="207" t="str">
        <f>IFERROR(__xludf.DUMMYFUNCTION("IF(OR(CU92&gt;$BS92+$BT92*$BT$2,CU92&lt;$BS92-$BT92*$BT$2),AVEDEV(ARRAYFORMULA(XLOOKUP(FILTER(INDIRECT(""'""&amp;CU$1&amp;""'!$C$4:$C$66""),INDIRECT(""'""&amp;CU$1&amp;""'!$D$4:$D$66"")=CU$2),$G$3:$BQ$3,$G92:$BQ92))),"""")"),"")</f>
        <v/>
      </c>
      <c r="CW92" s="251">
        <f>IFERROR(__xludf.DUMMYFUNCTION("AVERAGE(ARRAYFORMULA(XLOOKUP(FILTER(INDIRECT(""'""&amp;CW$1&amp;""'!$C$4:$C$66""),INDIRECT(""'""&amp;CW$1&amp;""'!$D$4:$D$66"")=CW$2),$G$3:$BQ$3,$G92:$BQ92)))"),1.392507685)</f>
        <v>1.392507685</v>
      </c>
      <c r="CX92" s="207">
        <f>IFERROR(__xludf.DUMMYFUNCTION("IF(OR(CW92&gt;$BS92+$BT92*$BT$2,CW92&lt;$BS92-$BT92*$BT$2),AVEDEV(ARRAYFORMULA(XLOOKUP(FILTER(INDIRECT(""'""&amp;CW$1&amp;""'!$C$4:$C$66""),INDIRECT(""'""&amp;CW$1&amp;""'!$D$4:$D$66"")=CW$2),$G$3:$BQ$3,$G92:$BQ92))),"""")"),0.04780542499999996)</f>
        <v>0.047805425</v>
      </c>
      <c r="CY92" s="251">
        <f>IFERROR(__xludf.DUMMYFUNCTION("AVERAGE(ARRAYFORMULA(XLOOKUP(FILTER(INDIRECT(""'""&amp;CY$1&amp;""'!$C$4:$C$66""),INDIRECT(""'""&amp;CY$1&amp;""'!$D$4:$D$66"")=CY$2),$G$3:$BQ$3,$G92:$BQ92)))"),0.6482686971428572)</f>
        <v>0.6482686971</v>
      </c>
      <c r="CZ92" s="207" t="str">
        <f>IFERROR(__xludf.DUMMYFUNCTION("IF(OR(CY92&gt;$BS92+$BT92*$BT$2,CY92&lt;$BS92-$BT92*$BT$2),AVEDEV(ARRAYFORMULA(XLOOKUP(FILTER(INDIRECT(""'""&amp;CY$1&amp;""'!$C$4:$C$66""),INDIRECT(""'""&amp;CY$1&amp;""'!$D$4:$D$66"")=CY$2),$G$3:$BQ$3,$G92:$BQ92))),"""")"),"")</f>
        <v/>
      </c>
      <c r="DA92" s="252"/>
      <c r="DB92" s="251">
        <f>IFERROR(__xludf.DUMMYFUNCTION("AVERAGE(ARRAYFORMULA(XLOOKUP(FILTER(INDIRECT(""'""&amp;DB$1&amp;""'!$C$4:$C$66""),INDIRECT(""'""&amp;DB$1&amp;""'!$D$4:$D$66"")=DB$2),$G$3:$BQ$3,$G92:$BQ92)))"),0.166828815)</f>
        <v>0.166828815</v>
      </c>
      <c r="DC92" s="207" t="str">
        <f>IFERROR(__xludf.DUMMYFUNCTION("IF(OR(DB92&gt;$BS92+$BT92*$BT$2,DB92&lt;$BS92-$BT92*$BT$2),AVEDEV(ARRAYFORMULA(XLOOKUP(FILTER(INDIRECT(""'""&amp;DB$1&amp;""'!$C$4:$C$66""),INDIRECT(""'""&amp;DB$1&amp;""'!$D$4:$D$66"")=DB$2),$G$3:$BQ$3,$G92:$BQ92))),"""")"),"")</f>
        <v/>
      </c>
      <c r="DD92" s="251">
        <f>IFERROR(__xludf.DUMMYFUNCTION("AVERAGE(ARRAYFORMULA(XLOOKUP(FILTER(INDIRECT(""'""&amp;DD$1&amp;""'!$C$4:$C$66""),INDIRECT(""'""&amp;DD$1&amp;""'!$D$4:$D$66"")=DD$2),$G$3:$BQ$3,$G92:$BQ92)))"),-0.0572360511111111)</f>
        <v>-0.05723605111</v>
      </c>
      <c r="DE92" s="207" t="str">
        <f>IFERROR(__xludf.DUMMYFUNCTION("IF(OR(DD92&gt;$BS92+$BT92*$BT$2,DD92&lt;$BS92-$BT92*$BT$2),AVEDEV(ARRAYFORMULA(XLOOKUP(FILTER(INDIRECT(""'""&amp;DD$1&amp;""'!$C$4:$C$66""),INDIRECT(""'""&amp;DD$1&amp;""'!$D$4:$D$66"")=DD$2),$G$3:$BQ$3,$G92:$BQ92))),"""")"),"")</f>
        <v/>
      </c>
      <c r="DF92" s="251">
        <f>IFERROR(__xludf.DUMMYFUNCTION("AVERAGE(ARRAYFORMULA(XLOOKUP(FILTER(INDIRECT(""'""&amp;DF$1&amp;""'!$C$4:$C$66""),INDIRECT(""'""&amp;DF$1&amp;""'!$D$4:$D$66"")=DF$2),$G$3:$BQ$3,$G92:$BQ92)))"),0.14844842124999996)</f>
        <v>0.1484484213</v>
      </c>
      <c r="DG92" s="207" t="str">
        <f>IFERROR(__xludf.DUMMYFUNCTION("IF(OR(DF92&gt;$BS92+$BT92*$BT$2,DF92&lt;$BS92-$BT92*$BT$2),AVEDEV(ARRAYFORMULA(XLOOKUP(FILTER(INDIRECT(""'""&amp;DF$1&amp;""'!$C$4:$C$66""),INDIRECT(""'""&amp;DF$1&amp;""'!$D$4:$D$66"")=DF$2),$G$3:$BQ$3,$G92:$BQ92))),"""")"),"")</f>
        <v/>
      </c>
      <c r="DH92" s="251">
        <f>IFERROR(__xludf.DUMMYFUNCTION("AVERAGE(ARRAYFORMULA(XLOOKUP(FILTER(INDIRECT(""'""&amp;DH$1&amp;""'!$C$4:$C$66""),INDIRECT(""'""&amp;DH$1&amp;""'!$D$4:$D$66"")=DH$2),$G$3:$BQ$3,$G92:$BQ92)))"),0.3883453055555555)</f>
        <v>0.3883453056</v>
      </c>
      <c r="DI92" s="207" t="str">
        <f>IFERROR(__xludf.DUMMYFUNCTION("IF(OR(DH92&gt;$BS92+$BT92*$BT$2,DH92&lt;$BS92-$BT92*$BT$2),AVEDEV(ARRAYFORMULA(XLOOKUP(FILTER(INDIRECT(""'""&amp;DH$1&amp;""'!$C$4:$C$66""),INDIRECT(""'""&amp;DH$1&amp;""'!$D$4:$D$66"")=DH$2),$G$3:$BQ$3,$G92:$BQ92))),"""")"),"")</f>
        <v/>
      </c>
      <c r="DJ92" s="243"/>
    </row>
    <row r="93">
      <c r="A93" s="2"/>
      <c r="B93" s="204">
        <v>89.0</v>
      </c>
      <c r="C93" s="204" t="s">
        <v>507</v>
      </c>
      <c r="D93" s="204" t="s">
        <v>534</v>
      </c>
      <c r="E93" s="205" t="b">
        <f>VLOOKUP(D93,'Feature Set List'!A90:C246,2,0)</f>
        <v>1</v>
      </c>
      <c r="F93" s="205" t="b">
        <f>VLOOKUP(D93,'Feature Set List'!A90:C246,3,0)</f>
        <v>1</v>
      </c>
      <c r="G93" s="205">
        <v>0.47191798</v>
      </c>
      <c r="H93" s="205">
        <v>-0.232127</v>
      </c>
      <c r="I93" s="205">
        <v>-0.2857913</v>
      </c>
      <c r="J93" s="205">
        <v>1.66725033</v>
      </c>
      <c r="K93" s="205">
        <v>4.98081978</v>
      </c>
      <c r="L93" s="205">
        <v>1.5110714</v>
      </c>
      <c r="M93" s="205">
        <v>1.17166399</v>
      </c>
      <c r="N93" s="205">
        <v>-0.2857913</v>
      </c>
      <c r="O93" s="205">
        <v>0.76769189</v>
      </c>
      <c r="P93" s="205">
        <v>9.6606E-4</v>
      </c>
      <c r="Q93" s="205">
        <v>2.24688347</v>
      </c>
      <c r="R93" s="205">
        <v>0.28273217</v>
      </c>
      <c r="S93" s="205">
        <v>-0.2857913</v>
      </c>
      <c r="T93" s="205">
        <v>1.77673658</v>
      </c>
      <c r="U93" s="205">
        <v>-0.2857913</v>
      </c>
      <c r="V93" s="205">
        <v>-0.2857913</v>
      </c>
      <c r="W93" s="205">
        <v>0.29641795</v>
      </c>
      <c r="X93" s="205">
        <v>-0.2857913</v>
      </c>
      <c r="Y93" s="205">
        <v>-0.1059441</v>
      </c>
      <c r="Z93" s="205">
        <v>-0.0573193</v>
      </c>
      <c r="AA93" s="205">
        <v>-0.2857913</v>
      </c>
      <c r="AB93" s="205">
        <v>-0.2857913</v>
      </c>
      <c r="AC93" s="205">
        <v>-0.1571933</v>
      </c>
      <c r="AD93" s="205">
        <v>-0.2857913</v>
      </c>
      <c r="AE93" s="205">
        <v>2.41916332</v>
      </c>
      <c r="AF93" s="205">
        <v>-0.2058181</v>
      </c>
      <c r="AG93" s="205">
        <v>4.79243901</v>
      </c>
      <c r="AH93" s="205">
        <v>0.0</v>
      </c>
      <c r="AI93" s="205">
        <v>0.41508173</v>
      </c>
      <c r="AJ93" s="205">
        <v>-0.1202739</v>
      </c>
      <c r="AK93" s="205">
        <v>0.4967134</v>
      </c>
      <c r="AL93" s="205">
        <v>1.47403928</v>
      </c>
      <c r="AM93" s="205">
        <v>-0.227667</v>
      </c>
      <c r="AN93" s="205">
        <v>-0.2264594</v>
      </c>
      <c r="AO93" s="205">
        <v>13.5014269</v>
      </c>
      <c r="AP93" s="205">
        <v>0.26196198</v>
      </c>
      <c r="AQ93" s="205">
        <v>-0.131947</v>
      </c>
      <c r="AR93" s="205">
        <v>-0.2857913</v>
      </c>
      <c r="AS93" s="205">
        <v>2.17442932</v>
      </c>
      <c r="AT93" s="205">
        <v>0.27146152</v>
      </c>
      <c r="AU93" s="205">
        <v>0.29400281</v>
      </c>
      <c r="AV93" s="205">
        <v>0.1819404</v>
      </c>
      <c r="AW93" s="205">
        <v>0.66512903</v>
      </c>
      <c r="AX93" s="205">
        <v>-0.2857913</v>
      </c>
      <c r="AY93" s="205">
        <v>-0.2857913</v>
      </c>
      <c r="AZ93" s="205">
        <v>0.76720887</v>
      </c>
      <c r="BA93" s="205">
        <v>0.47546018</v>
      </c>
      <c r="BB93" s="205">
        <v>0.26904638</v>
      </c>
      <c r="BC93" s="205">
        <v>1.27406584</v>
      </c>
      <c r="BD93" s="205">
        <v>3.07447078</v>
      </c>
      <c r="BE93" s="205">
        <v>-0.2857913</v>
      </c>
      <c r="BF93" s="205">
        <v>-0.0740642</v>
      </c>
      <c r="BG93" s="205">
        <v>1.20450987</v>
      </c>
      <c r="BH93" s="205">
        <v>-0.2857913</v>
      </c>
      <c r="BI93" s="205">
        <v>-0.1513326</v>
      </c>
      <c r="BJ93" s="205">
        <v>-0.2837948</v>
      </c>
      <c r="BK93" s="205">
        <v>0.34729686</v>
      </c>
      <c r="BL93" s="205">
        <v>-0.2215487</v>
      </c>
      <c r="BM93" s="205">
        <v>-0.2857913</v>
      </c>
      <c r="BN93" s="205">
        <v>-0.2667601</v>
      </c>
      <c r="BO93" s="205">
        <v>-0.2838673</v>
      </c>
      <c r="BP93" s="205">
        <v>0.10256286</v>
      </c>
      <c r="BQ93" s="205">
        <v>-0.2749474</v>
      </c>
      <c r="BR93" s="206"/>
      <c r="BS93" s="250">
        <f t="shared" si="1"/>
        <v>0.6718829879</v>
      </c>
      <c r="BT93" s="250">
        <f t="shared" si="2"/>
        <v>1.081071201</v>
      </c>
      <c r="BU93" s="206"/>
      <c r="BV93" s="207">
        <f>IFERROR(__xludf.DUMMYFUNCTION("AVERAGE(ARRAYFORMULA(XLOOKUP(FILTER(INDIRECT(""'""&amp;BV$1&amp;""'!$C$4:$C$66""),INDIRECT(""'""&amp;BV$1&amp;""'!$D$4:$D$66"")=BV$2),$G$3:$BQ$3,$G93:$BQ93)))"),1.7722513400000004)</f>
        <v>1.77225134</v>
      </c>
      <c r="BW93" s="207">
        <f>IFERROR(__xludf.DUMMYFUNCTION("IF(OR(BV93&gt;$BS93+$BT93*$BT$2,BV93&lt;$BS93-$BT93*$BT$2),AVEDEV(ARRAYFORMULA(XLOOKUP(FILTER(INDIRECT(""'""&amp;BV$1&amp;""'!$C$4:$C$66""),INDIRECT(""'""&amp;BV$1&amp;""'!$D$4:$D$66"")=BV$2),$G$3:$BQ$3,$G93:$BQ93))),"""")"),3.3511930171428572)</f>
        <v>3.351193017</v>
      </c>
      <c r="BX93" s="207">
        <f>IFERROR(__xludf.DUMMYFUNCTION("AVERAGE(ARRAYFORMULA(XLOOKUP(FILTER(INDIRECT(""'""&amp;BX$1&amp;""'!$C$4:$C$66""),INDIRECT(""'""&amp;BX$1&amp;""'!$D$4:$D$66"")=BX$2),$G$3:$BQ$3,$G93:$BQ93)))"),0.49919754904761904)</f>
        <v>0.499197549</v>
      </c>
      <c r="BY93" s="207" t="str">
        <f>IFERROR(__xludf.DUMMYFUNCTION("IF(OR(BX93&gt;$BS93+$BT93*$BT$2,BX93&lt;$BS93-$BT93*$BT$2),AVEDEV(ARRAYFORMULA(XLOOKUP(FILTER(INDIRECT(""'""&amp;BX$1&amp;""'!$C$4:$C$66""),INDIRECT(""'""&amp;BX$1&amp;""'!$D$4:$D$66"")=BX$2),$G$3:$BQ$3,$G93:$BQ93))),"""")"),"")</f>
        <v/>
      </c>
      <c r="BZ93" s="207">
        <f>IFERROR(__xludf.DUMMYFUNCTION("AVERAGE(ARRAYFORMULA(XLOOKUP(FILTER(INDIRECT(""'""&amp;BZ$1&amp;""'!$C$4:$C$66""),INDIRECT(""'""&amp;BZ$1&amp;""'!$D$4:$D$66"")=BZ$2),$G$3:$BQ$3,$G93:$BQ93)))"),0.5339899554545454)</f>
        <v>0.5339899555</v>
      </c>
      <c r="CA93" s="207" t="str">
        <f>IFERROR(__xludf.DUMMYFUNCTION("IF(OR(BZ93&gt;$BS93+$BT93*$BT$2,BZ93&lt;$BS93-$BT93*$BT$2),AVEDEV(ARRAYFORMULA(XLOOKUP(FILTER(INDIRECT(""'""&amp;BZ$1&amp;""'!$C$4:$C$66""),INDIRECT(""'""&amp;BZ$1&amp;""'!$D$4:$D$66"")=BZ$2),$G$3:$BQ$3,$G93:$BQ93))),"""")"),"")</f>
        <v/>
      </c>
      <c r="CB93" s="209"/>
      <c r="CC93" s="207">
        <f>IFERROR(__xludf.DUMMYFUNCTION("AVERAGE(ARRAYFORMULA(XLOOKUP(FILTER(INDIRECT(""'""&amp;CC$1&amp;""'!$C$4:$C$66""),INDIRECT(""'""&amp;CC$1&amp;""'!$D$4:$D$66"")=CC$2),$G$3:$BQ$3,$G93:$BQ93)))"),0.9339721487499999)</f>
        <v>0.9339721488</v>
      </c>
      <c r="CD93" s="207" t="str">
        <f>IFERROR(__xludf.DUMMYFUNCTION("IF(OR(CC93&gt;$BS93+$BT93*$BT$2,CC93&lt;$BS93-$BT93*$BT$2),AVEDEV(ARRAYFORMULA(XLOOKUP(FILTER(INDIRECT(""'""&amp;CC$1&amp;""'!$C$4:$C$66""),INDIRECT(""'""&amp;CC$1&amp;""'!$D$4:$D$66"")=CC$2),$G$3:$BQ$3,$G93:$BQ93))),"""")"),"")</f>
        <v/>
      </c>
      <c r="CE93" s="207">
        <f>IFERROR(__xludf.DUMMYFUNCTION("AVERAGE(ARRAYFORMULA(XLOOKUP(FILTER(INDIRECT(""'""&amp;CE$1&amp;""'!$C$4:$C$66""),INDIRECT(""'""&amp;CE$1&amp;""'!$D$4:$D$66"")=CE$2),$G$3:$BQ$3,$G93:$BQ93)))"),0.20469438322580652)</f>
        <v>0.2046943832</v>
      </c>
      <c r="CF93" s="207" t="str">
        <f>IFERROR(__xludf.DUMMYFUNCTION("IF(OR(CE93&gt;$BS93+$BT93*$BT$2,CE93&lt;$BS93-$BT93*$BT$2),AVEDEV(ARRAYFORMULA(XLOOKUP(FILTER(INDIRECT(""'""&amp;CE$1&amp;""'!$C$4:$C$66""),INDIRECT(""'""&amp;CE$1&amp;""'!$D$4:$D$66"")=CE$2),$G$3:$BQ$3,$G93:$BQ93))),"""")"),"")</f>
        <v/>
      </c>
      <c r="CG93" s="207">
        <f>IFERROR(__xludf.DUMMYFUNCTION("AVERAGE(ARRAYFORMULA(XLOOKUP(FILTER(INDIRECT(""'""&amp;CG$1&amp;""'!$C$4:$C$66""),INDIRECT(""'""&amp;CG$1&amp;""'!$D$4:$D$66"")=CG$2),$G$3:$BQ$3,$G93:$BQ93)))"),1.126420402)</f>
        <v>1.126420402</v>
      </c>
      <c r="CH93" s="207" t="str">
        <f>IFERROR(__xludf.DUMMYFUNCTION("IF(OR(CG93&gt;$BS93+$BT93*$BT$2,CG93&lt;$BS93-$BT93*$BT$2),AVEDEV(ARRAYFORMULA(XLOOKUP(FILTER(INDIRECT(""'""&amp;CG$1&amp;""'!$C$4:$C$66""),INDIRECT(""'""&amp;CG$1&amp;""'!$D$4:$D$66"")=CG$2),$G$3:$BQ$3,$G93:$BQ93))),"""")"),"")</f>
        <v/>
      </c>
      <c r="CI93" s="206"/>
      <c r="CJ93" s="251">
        <f>IFERROR(__xludf.DUMMYFUNCTION("AVERAGE(ARRAYFORMULA(XLOOKUP(FILTER(INDIRECT(""'""&amp;CJ$1&amp;""'!$C$4:$C$66""),INDIRECT(""'""&amp;CJ$1&amp;""'!$D$4:$D$66"")=CJ$2),$G$3:$BQ$3,$G93:$BQ93)))"),0.05893635999999997)</f>
        <v>0.05893636</v>
      </c>
      <c r="CK93" s="207" t="str">
        <f>IFERROR(__xludf.DUMMYFUNCTION("IF(OR(CJ93&gt;$BS93+$BT93*$BT$2,CJ93&lt;$BS93-$BT93*$BT$2),AVEDEV(ARRAYFORMULA(XLOOKUP(FILTER(INDIRECT(""'""&amp;CJ$1&amp;""'!$C$4:$C$66""),INDIRECT(""'""&amp;CJ$1&amp;""'!$D$4:$D$66"")=CJ$2),$G$3:$BQ$3,$G93:$BQ93))),"""")"),"")</f>
        <v/>
      </c>
      <c r="CL93" s="251">
        <f>IFERROR(__xludf.DUMMYFUNCTION("AVERAGE(ARRAYFORMULA(XLOOKUP(FILTER(INDIRECT(""'""&amp;CL$1&amp;""'!$C$4:$C$66""),INDIRECT(""'""&amp;CL$1&amp;""'!$D$4:$D$66"")=CL$2),$G$3:$BQ$3,$G93:$BQ93)))"),0.8449063394871796)</f>
        <v>0.8449063395</v>
      </c>
      <c r="CM93" s="207" t="str">
        <f>IFERROR(__xludf.DUMMYFUNCTION("IF(OR(CL93&gt;$BS93+$BT93*$BT$2,CL93&lt;$BS93-$BT93*$BT$2),AVEDEV(ARRAYFORMULA(XLOOKUP(FILTER(INDIRECT(""'""&amp;CL$1&amp;""'!$C$4:$C$66""),INDIRECT(""'""&amp;CL$1&amp;""'!$D$4:$D$66"")=CL$2),$G$3:$BQ$3,$G93:$BQ93))),"""")"),"")</f>
        <v/>
      </c>
      <c r="CN93" s="251">
        <f>IFERROR(__xludf.DUMMYFUNCTION("AVERAGE(ARRAYFORMULA(XLOOKUP(FILTER(INDIRECT(""'""&amp;CN$1&amp;""'!$C$4:$C$66""),INDIRECT(""'""&amp;CN$1&amp;""'!$D$4:$D$66"")=CN$2),$G$3:$BQ$3,$G93:$BQ93)))"),1.126420402)</f>
        <v>1.126420402</v>
      </c>
      <c r="CO93" s="207" t="str">
        <f>IFERROR(__xludf.DUMMYFUNCTION("IF(OR(CN93&gt;$BS93+$BT93*$BT$2,CN93&lt;$BS93-$BT93*$BT$2),AVEDEV(ARRAYFORMULA(XLOOKUP(FILTER(INDIRECT(""'""&amp;CN$1&amp;""'!$C$4:$C$66""),INDIRECT(""'""&amp;CN$1&amp;""'!$D$4:$D$66"")=CN$2),$G$3:$BQ$3,$G93:$BQ93))),"""")"),"")</f>
        <v/>
      </c>
      <c r="CP93" s="252"/>
      <c r="CQ93" s="251">
        <f>IFERROR(__xludf.DUMMYFUNCTION("AVERAGE(ARRAYFORMULA(XLOOKUP(FILTER(INDIRECT(""'""&amp;CQ$1&amp;""'!$C$4:$C$66""),INDIRECT(""'""&amp;CQ$1&amp;""'!$D$4:$D$66"")=CQ$2),$G$3:$BQ$3,$G93:$BQ93)))"),0.8235252957142857)</f>
        <v>0.8235252957</v>
      </c>
      <c r="CR93" s="207" t="str">
        <f>IFERROR(__xludf.DUMMYFUNCTION("IF(OR(CQ93&gt;$BS93+$BT93*$BT$2,CQ93&lt;$BS93-$BT93*$BT$2),AVEDEV(ARRAYFORMULA(XLOOKUP(FILTER(INDIRECT(""'""&amp;CQ$1&amp;""'!$C$4:$C$66""),INDIRECT(""'""&amp;CQ$1&amp;""'!$D$4:$D$66"")=CQ$2),$G$3:$BQ$3,$G93:$BQ93))),"""")"),"")</f>
        <v/>
      </c>
      <c r="CS93" s="251">
        <f>IFERROR(__xludf.DUMMYFUNCTION("AVERAGE(ARRAYFORMULA(XLOOKUP(FILTER(INDIRECT(""'""&amp;CS$1&amp;""'!$C$4:$C$66""),INDIRECT(""'""&amp;CS$1&amp;""'!$D$4:$D$66"")=CS$2),$G$3:$BQ$3,$G93:$BQ93)))"),0.5991635488888889)</f>
        <v>0.5991635489</v>
      </c>
      <c r="CT93" s="207" t="str">
        <f>IFERROR(__xludf.DUMMYFUNCTION("IF(OR(CS93&gt;$BS93+$BT93*$BT$2,CS93&lt;$BS93-$BT93*$BT$2),AVEDEV(ARRAYFORMULA(XLOOKUP(FILTER(INDIRECT(""'""&amp;CS$1&amp;""'!$C$4:$C$66""),INDIRECT(""'""&amp;CS$1&amp;""'!$D$4:$D$66"")=CS$2),$G$3:$BQ$3,$G93:$BQ93))),"""")"),"")</f>
        <v/>
      </c>
      <c r="CU93" s="251">
        <f>IFERROR(__xludf.DUMMYFUNCTION("AVERAGE(ARRAYFORMULA(XLOOKUP(FILTER(INDIRECT(""'""&amp;CU$1&amp;""'!$C$4:$C$66""),INDIRECT(""'""&amp;CU$1&amp;""'!$D$4:$D$66"")=CU$2),$G$3:$BQ$3,$G93:$BQ93)))"),0.08172901454545455)</f>
        <v>0.08172901455</v>
      </c>
      <c r="CV93" s="207" t="str">
        <f>IFERROR(__xludf.DUMMYFUNCTION("IF(OR(CU93&gt;$BS93+$BT93*$BT$2,CU93&lt;$BS93-$BT93*$BT$2),AVEDEV(ARRAYFORMULA(XLOOKUP(FILTER(INDIRECT(""'""&amp;CU$1&amp;""'!$C$4:$C$66""),INDIRECT(""'""&amp;CU$1&amp;""'!$D$4:$D$66"")=CU$2),$G$3:$BQ$3,$G93:$BQ93))),"""")"),"")</f>
        <v/>
      </c>
      <c r="CW93" s="251">
        <f>IFERROR(__xludf.DUMMYFUNCTION("AVERAGE(ARRAYFORMULA(XLOOKUP(FILTER(INDIRECT(""'""&amp;CW$1&amp;""'!$C$4:$C$66""),INDIRECT(""'""&amp;CW$1&amp;""'!$D$4:$D$66"")=CW$2),$G$3:$BQ$3,$G93:$BQ93)))"),-0.2857913)</f>
        <v>-0.2857913</v>
      </c>
      <c r="CX93" s="207" t="str">
        <f>IFERROR(__xludf.DUMMYFUNCTION("IF(OR(CW93&gt;$BS93+$BT93*$BT$2,CW93&lt;$BS93-$BT93*$BT$2),AVEDEV(ARRAYFORMULA(XLOOKUP(FILTER(INDIRECT(""'""&amp;CW$1&amp;""'!$C$4:$C$66""),INDIRECT(""'""&amp;CW$1&amp;""'!$D$4:$D$66"")=CW$2),$G$3:$BQ$3,$G93:$BQ93))),"""")"),"")</f>
        <v/>
      </c>
      <c r="CY93" s="251">
        <f>IFERROR(__xludf.DUMMYFUNCTION("AVERAGE(ARRAYFORMULA(XLOOKUP(FILTER(INDIRECT(""'""&amp;CY$1&amp;""'!$C$4:$C$66""),INDIRECT(""'""&amp;CY$1&amp;""'!$D$4:$D$66"")=CY$2),$G$3:$BQ$3,$G93:$BQ93)))"),0.19439043785714288)</f>
        <v>0.1943904379</v>
      </c>
      <c r="CZ93" s="207" t="str">
        <f>IFERROR(__xludf.DUMMYFUNCTION("IF(OR(CY93&gt;$BS93+$BT93*$BT$2,CY93&lt;$BS93-$BT93*$BT$2),AVEDEV(ARRAYFORMULA(XLOOKUP(FILTER(INDIRECT(""'""&amp;CY$1&amp;""'!$C$4:$C$66""),INDIRECT(""'""&amp;CY$1&amp;""'!$D$4:$D$66"")=CY$2),$G$3:$BQ$3,$G93:$BQ93))),"""")"),"")</f>
        <v/>
      </c>
      <c r="DA93" s="252"/>
      <c r="DB93" s="251">
        <f>IFERROR(__xludf.DUMMYFUNCTION("AVERAGE(ARRAYFORMULA(XLOOKUP(FILTER(INDIRECT(""'""&amp;DB$1&amp;""'!$C$4:$C$66""),INDIRECT(""'""&amp;DB$1&amp;""'!$D$4:$D$66"")=DB$2),$G$3:$BQ$3,$G93:$BQ93)))"),0.6401718043333332)</f>
        <v>0.6401718043</v>
      </c>
      <c r="DC93" s="207" t="str">
        <f>IFERROR(__xludf.DUMMYFUNCTION("IF(OR(DB93&gt;$BS93+$BT93*$BT$2,DB93&lt;$BS93-$BT93*$BT$2),AVEDEV(ARRAYFORMULA(XLOOKUP(FILTER(INDIRECT(""'""&amp;DB$1&amp;""'!$C$4:$C$66""),INDIRECT(""'""&amp;DB$1&amp;""'!$D$4:$D$66"")=DB$2),$G$3:$BQ$3,$G93:$BQ93))),"""")"),"")</f>
        <v/>
      </c>
      <c r="DD93" s="251">
        <f>IFERROR(__xludf.DUMMYFUNCTION("AVERAGE(ARRAYFORMULA(XLOOKUP(FILTER(INDIRECT(""'""&amp;DD$1&amp;""'!$C$4:$C$66""),INDIRECT(""'""&amp;DD$1&amp;""'!$D$4:$D$66"")=DD$2),$G$3:$BQ$3,$G93:$BQ93)))"),0.6222648044444444)</f>
        <v>0.6222648044</v>
      </c>
      <c r="DE93" s="207" t="str">
        <f>IFERROR(__xludf.DUMMYFUNCTION("IF(OR(DD93&gt;$BS93+$BT93*$BT$2,DD93&lt;$BS93-$BT93*$BT$2),AVEDEV(ARRAYFORMULA(XLOOKUP(FILTER(INDIRECT(""'""&amp;DD$1&amp;""'!$C$4:$C$66""),INDIRECT(""'""&amp;DD$1&amp;""'!$D$4:$D$66"")=DD$2),$G$3:$BQ$3,$G93:$BQ93))),"""")"),"")</f>
        <v/>
      </c>
      <c r="DF93" s="251">
        <f>IFERROR(__xludf.DUMMYFUNCTION("AVERAGE(ARRAYFORMULA(XLOOKUP(FILTER(INDIRECT(""'""&amp;DF$1&amp;""'!$C$4:$C$66""),INDIRECT(""'""&amp;DF$1&amp;""'!$D$4:$D$66"")=DF$2),$G$3:$BQ$3,$G93:$BQ93)))"),0.06927422874999999)</f>
        <v>0.06927422875</v>
      </c>
      <c r="DG93" s="207" t="str">
        <f>IFERROR(__xludf.DUMMYFUNCTION("IF(OR(DF93&gt;$BS93+$BT93*$BT$2,DF93&lt;$BS93-$BT93*$BT$2),AVEDEV(ARRAYFORMULA(XLOOKUP(FILTER(INDIRECT(""'""&amp;DF$1&amp;""'!$C$4:$C$66""),INDIRECT(""'""&amp;DF$1&amp;""'!$D$4:$D$66"")=DF$2),$G$3:$BQ$3,$G93:$BQ93))),"""")"),"")</f>
        <v/>
      </c>
      <c r="DH93" s="251">
        <f>IFERROR(__xludf.DUMMYFUNCTION("AVERAGE(ARRAYFORMULA(XLOOKUP(FILTER(INDIRECT(""'""&amp;DH$1&amp;""'!$C$4:$C$66""),INDIRECT(""'""&amp;DH$1&amp;""'!$D$4:$D$66"")=DH$2),$G$3:$BQ$3,$G93:$BQ93)))"),0.13087990555555554)</f>
        <v>0.1308799056</v>
      </c>
      <c r="DI93" s="207" t="str">
        <f>IFERROR(__xludf.DUMMYFUNCTION("IF(OR(DH93&gt;$BS93+$BT93*$BT$2,DH93&lt;$BS93-$BT93*$BT$2),AVEDEV(ARRAYFORMULA(XLOOKUP(FILTER(INDIRECT(""'""&amp;DH$1&amp;""'!$C$4:$C$66""),INDIRECT(""'""&amp;DH$1&amp;""'!$D$4:$D$66"")=DH$2),$G$3:$BQ$3,$G93:$BQ93))),"""")"),"")</f>
        <v/>
      </c>
      <c r="DJ93" s="243"/>
    </row>
    <row r="94">
      <c r="A94" s="2"/>
      <c r="B94" s="204">
        <v>90.0</v>
      </c>
      <c r="C94" s="204" t="s">
        <v>507</v>
      </c>
      <c r="D94" s="204" t="s">
        <v>535</v>
      </c>
      <c r="E94" s="205" t="b">
        <f>VLOOKUP(D94,'Feature Set List'!A91:C246,2,0)</f>
        <v>1</v>
      </c>
      <c r="F94" s="205" t="b">
        <f>VLOOKUP(D94,'Feature Set List'!A91:C246,3,0)</f>
        <v>1</v>
      </c>
      <c r="G94" s="205">
        <v>-0.1211106</v>
      </c>
      <c r="H94" s="205">
        <v>1.4356699</v>
      </c>
      <c r="I94" s="205">
        <v>-0.3676329</v>
      </c>
      <c r="J94" s="205">
        <v>1.02593125</v>
      </c>
      <c r="K94" s="205">
        <v>0.85207529</v>
      </c>
      <c r="L94" s="205">
        <v>0.77850344</v>
      </c>
      <c r="M94" s="205">
        <v>0.0</v>
      </c>
      <c r="N94" s="205">
        <v>0.04504861</v>
      </c>
      <c r="O94" s="205">
        <v>-0.0373519</v>
      </c>
      <c r="P94" s="205">
        <v>0.33345029</v>
      </c>
      <c r="Q94" s="205">
        <v>-0.2787355</v>
      </c>
      <c r="R94" s="205">
        <v>0.50957</v>
      </c>
      <c r="S94" s="205">
        <v>-0.1211106</v>
      </c>
      <c r="T94" s="205">
        <v>0.82196742</v>
      </c>
      <c r="U94" s="205">
        <v>-0.2915483</v>
      </c>
      <c r="V94" s="205">
        <v>3.55091738</v>
      </c>
      <c r="W94" s="205">
        <v>0.73481307</v>
      </c>
      <c r="X94" s="205">
        <v>-0.347524</v>
      </c>
      <c r="Y94" s="205">
        <v>-0.1328821</v>
      </c>
      <c r="Z94" s="205">
        <v>0.23724094</v>
      </c>
      <c r="AA94" s="205">
        <v>-0.2782148</v>
      </c>
      <c r="AB94" s="205">
        <v>-0.1424804</v>
      </c>
      <c r="AC94" s="205">
        <v>0.09892585</v>
      </c>
      <c r="AD94" s="205">
        <v>-0.2162107</v>
      </c>
      <c r="AE94" s="205">
        <v>-0.219312</v>
      </c>
      <c r="AF94" s="205">
        <v>1.40058178</v>
      </c>
      <c r="AG94" s="205">
        <v>2.35113018</v>
      </c>
      <c r="AH94" s="205">
        <v>0.28704343</v>
      </c>
      <c r="AI94" s="205">
        <v>3.04610126</v>
      </c>
      <c r="AJ94" s="205">
        <v>-0.3676329</v>
      </c>
      <c r="AK94" s="205">
        <v>0.89395466</v>
      </c>
      <c r="AL94" s="205">
        <v>-0.105038</v>
      </c>
      <c r="AM94" s="205">
        <v>-0.3390191</v>
      </c>
      <c r="AN94" s="205">
        <v>1.3335748</v>
      </c>
      <c r="AO94" s="205">
        <v>-0.3676329</v>
      </c>
      <c r="AP94" s="205">
        <v>-0.2136074</v>
      </c>
      <c r="AQ94" s="205">
        <v>1.1275736</v>
      </c>
      <c r="AR94" s="205">
        <v>0.19377695</v>
      </c>
      <c r="AS94" s="205">
        <v>1.08456236</v>
      </c>
      <c r="AT94" s="205">
        <v>-0.2971171</v>
      </c>
      <c r="AU94" s="205">
        <v>0.78597381</v>
      </c>
      <c r="AV94" s="205">
        <v>0.27889393</v>
      </c>
      <c r="AW94" s="205">
        <v>-0.3511641</v>
      </c>
      <c r="AX94" s="205">
        <v>0.56140986</v>
      </c>
      <c r="AY94" s="205">
        <v>1.11285923</v>
      </c>
      <c r="AZ94" s="205">
        <v>-0.212068</v>
      </c>
      <c r="BA94" s="205">
        <v>1.74602995</v>
      </c>
      <c r="BB94" s="205">
        <v>-0.3676329</v>
      </c>
      <c r="BC94" s="205">
        <v>-0.1494075</v>
      </c>
      <c r="BD94" s="205">
        <v>0.38619566</v>
      </c>
      <c r="BE94" s="205">
        <v>0.04187936</v>
      </c>
      <c r="BF94" s="205">
        <v>2.56165888</v>
      </c>
      <c r="BG94" s="205">
        <v>-0.1041325</v>
      </c>
      <c r="BH94" s="205">
        <v>-0.2607387</v>
      </c>
      <c r="BI94" s="205">
        <v>-0.2872924</v>
      </c>
      <c r="BJ94" s="205">
        <v>0.67346546</v>
      </c>
      <c r="BK94" s="205">
        <v>-0.1535954</v>
      </c>
      <c r="BL94" s="205">
        <v>-0.3586006</v>
      </c>
      <c r="BM94" s="205">
        <v>-0.3676329</v>
      </c>
      <c r="BN94" s="205">
        <v>-0.0312397</v>
      </c>
      <c r="BO94" s="205">
        <v>-0.0292024</v>
      </c>
      <c r="BP94" s="205">
        <v>0.32032055</v>
      </c>
      <c r="BQ94" s="205">
        <v>-0.1877327</v>
      </c>
      <c r="BR94" s="206"/>
      <c r="BS94" s="250">
        <f t="shared" si="1"/>
        <v>0.3731190183</v>
      </c>
      <c r="BT94" s="250">
        <f t="shared" si="2"/>
        <v>0.6528857409</v>
      </c>
      <c r="BU94" s="206"/>
      <c r="BV94" s="207">
        <f>IFERROR(__xludf.DUMMYFUNCTION("AVERAGE(ARRAYFORMULA(XLOOKUP(FILTER(INDIRECT(""'""&amp;BV$1&amp;""'!$C$4:$C$66""),INDIRECT(""'""&amp;BV$1&amp;""'!$D$4:$D$66"")=BV$2),$G$3:$BQ$3,$G94:$BQ94)))"),-0.08260001571428574)</f>
        <v>-0.08260001571</v>
      </c>
      <c r="BW94" s="207" t="str">
        <f>IFERROR(__xludf.DUMMYFUNCTION("IF(OR(BV94&gt;$BS94+$BT94*$BT$2,BV94&lt;$BS94-$BT94*$BT$2),AVEDEV(ARRAYFORMULA(XLOOKUP(FILTER(INDIRECT(""'""&amp;BV$1&amp;""'!$C$4:$C$66""),INDIRECT(""'""&amp;BV$1&amp;""'!$D$4:$D$66"")=BV$2),$G$3:$BQ$3,$G94:$BQ94))),"""")"),"")</f>
        <v/>
      </c>
      <c r="BX94" s="207">
        <f>IFERROR(__xludf.DUMMYFUNCTION("AVERAGE(ARRAYFORMULA(XLOOKUP(FILTER(INDIRECT(""'""&amp;BX$1&amp;""'!$C$4:$C$66""),INDIRECT(""'""&amp;BX$1&amp;""'!$D$4:$D$66"")=BX$2),$G$3:$BQ$3,$G94:$BQ94)))"),0.4356787938095238)</f>
        <v>0.4356787938</v>
      </c>
      <c r="BY94" s="207" t="str">
        <f>IFERROR(__xludf.DUMMYFUNCTION("IF(OR(BX94&gt;$BS94+$BT94*$BT$2,BX94&lt;$BS94-$BT94*$BT$2),AVEDEV(ARRAYFORMULA(XLOOKUP(FILTER(INDIRECT(""'""&amp;BX$1&amp;""'!$C$4:$C$66""),INDIRECT(""'""&amp;BX$1&amp;""'!$D$4:$D$66"")=BX$2),$G$3:$BQ$3,$G94:$BQ94))),"""")"),"")</f>
        <v/>
      </c>
      <c r="BZ94" s="207">
        <f>IFERROR(__xludf.DUMMYFUNCTION("AVERAGE(ARRAYFORMULA(XLOOKUP(FILTER(INDIRECT(""'""&amp;BZ$1&amp;""'!$C$4:$C$66""),INDIRECT(""'""&amp;BZ$1&amp;""'!$D$4:$D$66"")=BZ$2),$G$3:$BQ$3,$G94:$BQ94)))"),0.4528774863636364)</f>
        <v>0.4528774864</v>
      </c>
      <c r="CA94" s="207" t="str">
        <f>IFERROR(__xludf.DUMMYFUNCTION("IF(OR(BZ94&gt;$BS94+$BT94*$BT$2,BZ94&lt;$BS94-$BT94*$BT$2),AVEDEV(ARRAYFORMULA(XLOOKUP(FILTER(INDIRECT(""'""&amp;BZ$1&amp;""'!$C$4:$C$66""),INDIRECT(""'""&amp;BZ$1&amp;""'!$D$4:$D$66"")=BZ$2),$G$3:$BQ$3,$G94:$BQ94))),"""")"),"")</f>
        <v/>
      </c>
      <c r="CB94" s="209"/>
      <c r="CC94" s="207">
        <f>IFERROR(__xludf.DUMMYFUNCTION("AVERAGE(ARRAYFORMULA(XLOOKUP(FILTER(INDIRECT(""'""&amp;CC$1&amp;""'!$C$4:$C$66""),INDIRECT(""'""&amp;CC$1&amp;""'!$D$4:$D$66"")=CC$2),$G$3:$BQ$3,$G94:$BQ94)))"),0.9468549506249999)</f>
        <v>0.9468549506</v>
      </c>
      <c r="CD94" s="207" t="str">
        <f>IFERROR(__xludf.DUMMYFUNCTION("IF(OR(CC94&gt;$BS94+$BT94*$BT$2,CC94&lt;$BS94-$BT94*$BT$2),AVEDEV(ARRAYFORMULA(XLOOKUP(FILTER(INDIRECT(""'""&amp;CC$1&amp;""'!$C$4:$C$66""),INDIRECT(""'""&amp;CC$1&amp;""'!$D$4:$D$66"")=CC$2),$G$3:$BQ$3,$G94:$BQ94))),"""")"),"")</f>
        <v/>
      </c>
      <c r="CE94" s="207">
        <f>IFERROR(__xludf.DUMMYFUNCTION("AVERAGE(ARRAYFORMULA(XLOOKUP(FILTER(INDIRECT(""'""&amp;CE$1&amp;""'!$C$4:$C$66""),INDIRECT(""'""&amp;CE$1&amp;""'!$D$4:$D$66"")=CE$2),$G$3:$BQ$3,$G94:$BQ94)))"),0.14538456258064517)</f>
        <v>0.1453845626</v>
      </c>
      <c r="CF94" s="207" t="str">
        <f>IFERROR(__xludf.DUMMYFUNCTION("IF(OR(CE94&gt;$BS94+$BT94*$BT$2,CE94&lt;$BS94-$BT94*$BT$2),AVEDEV(ARRAYFORMULA(XLOOKUP(FILTER(INDIRECT(""'""&amp;CE$1&amp;""'!$C$4:$C$66""),INDIRECT(""'""&amp;CE$1&amp;""'!$D$4:$D$66"")=CE$2),$G$3:$BQ$3,$G94:$BQ94))),"""")"),"")</f>
        <v/>
      </c>
      <c r="CG94" s="207">
        <f>IFERROR(__xludf.DUMMYFUNCTION("AVERAGE(ARRAYFORMULA(XLOOKUP(FILTER(INDIRECT(""'""&amp;CG$1&amp;""'!$C$4:$C$66""),INDIRECT(""'""&amp;CG$1&amp;""'!$D$4:$D$66"")=CG$2),$G$3:$BQ$3,$G94:$BQ94)))"),0.776375504)</f>
        <v>0.776375504</v>
      </c>
      <c r="CH94" s="207" t="str">
        <f>IFERROR(__xludf.DUMMYFUNCTION("IF(OR(CG94&gt;$BS94+$BT94*$BT$2,CG94&lt;$BS94-$BT94*$BT$2),AVEDEV(ARRAYFORMULA(XLOOKUP(FILTER(INDIRECT(""'""&amp;CG$1&amp;""'!$C$4:$C$66""),INDIRECT(""'""&amp;CG$1&amp;""'!$D$4:$D$66"")=CG$2),$G$3:$BQ$3,$G94:$BQ94))),"""")"),"")</f>
        <v/>
      </c>
      <c r="CI94" s="206"/>
      <c r="CJ94" s="251">
        <f>IFERROR(__xludf.DUMMYFUNCTION("AVERAGE(ARRAYFORMULA(XLOOKUP(FILTER(INDIRECT(""'""&amp;CJ$1&amp;""'!$C$4:$C$66""),INDIRECT(""'""&amp;CJ$1&amp;""'!$D$4:$D$66"")=CJ$2),$G$3:$BQ$3,$G94:$BQ94)))"),-0.14145068333333333)</f>
        <v>-0.1414506833</v>
      </c>
      <c r="CK94" s="207" t="str">
        <f>IFERROR(__xludf.DUMMYFUNCTION("IF(OR(CJ94&gt;$BS94+$BT94*$BT$2,CJ94&lt;$BS94-$BT94*$BT$2),AVEDEV(ARRAYFORMULA(XLOOKUP(FILTER(INDIRECT(""'""&amp;CJ$1&amp;""'!$C$4:$C$66""),INDIRECT(""'""&amp;CJ$1&amp;""'!$D$4:$D$66"")=CJ$2),$G$3:$BQ$3,$G94:$BQ94))),"""")"),"")</f>
        <v/>
      </c>
      <c r="CL94" s="251">
        <f>IFERROR(__xludf.DUMMYFUNCTION("AVERAGE(ARRAYFORMULA(XLOOKUP(FILTER(INDIRECT(""'""&amp;CL$1&amp;""'!$C$4:$C$66""),INDIRECT(""'""&amp;CL$1&amp;""'!$D$4:$D$66"")=CL$2),$G$3:$BQ$3,$G94:$BQ94)))"),0.546165254102564)</f>
        <v>0.5461652541</v>
      </c>
      <c r="CM94" s="207" t="str">
        <f>IFERROR(__xludf.DUMMYFUNCTION("IF(OR(CL94&gt;$BS94+$BT94*$BT$2,CL94&lt;$BS94-$BT94*$BT$2),AVEDEV(ARRAYFORMULA(XLOOKUP(FILTER(INDIRECT(""'""&amp;CL$1&amp;""'!$C$4:$C$66""),INDIRECT(""'""&amp;CL$1&amp;""'!$D$4:$D$66"")=CL$2),$G$3:$BQ$3,$G94:$BQ94))),"""")"),"")</f>
        <v/>
      </c>
      <c r="CN94" s="251">
        <f>IFERROR(__xludf.DUMMYFUNCTION("AVERAGE(ARRAYFORMULA(XLOOKUP(FILTER(INDIRECT(""'""&amp;CN$1&amp;""'!$C$4:$C$66""),INDIRECT(""'""&amp;CN$1&amp;""'!$D$4:$D$66"")=CN$2),$G$3:$BQ$3,$G94:$BQ94)))"),0.776375504)</f>
        <v>0.776375504</v>
      </c>
      <c r="CO94" s="207" t="str">
        <f>IFERROR(__xludf.DUMMYFUNCTION("IF(OR(CN94&gt;$BS94+$BT94*$BT$2,CN94&lt;$BS94-$BT94*$BT$2),AVEDEV(ARRAYFORMULA(XLOOKUP(FILTER(INDIRECT(""'""&amp;CN$1&amp;""'!$C$4:$C$66""),INDIRECT(""'""&amp;CN$1&amp;""'!$D$4:$D$66"")=CN$2),$G$3:$BQ$3,$G94:$BQ94))),"""")"),"")</f>
        <v/>
      </c>
      <c r="CP94" s="252"/>
      <c r="CQ94" s="251">
        <f>IFERROR(__xludf.DUMMYFUNCTION("AVERAGE(ARRAYFORMULA(XLOOKUP(FILTER(INDIRECT(""'""&amp;CQ$1&amp;""'!$C$4:$C$66""),INDIRECT(""'""&amp;CQ$1&amp;""'!$D$4:$D$66"")=CQ$2),$G$3:$BQ$3,$G94:$BQ94)))"),1.07109063)</f>
        <v>1.07109063</v>
      </c>
      <c r="CR94" s="207">
        <f>IFERROR(__xludf.DUMMYFUNCTION("IF(OR(CQ94&gt;$BS94+$BT94*$BT$2,CQ94&lt;$BS94-$BT94*$BT$2),AVEDEV(ARRAYFORMULA(XLOOKUP(FILTER(INDIRECT(""'""&amp;CQ$1&amp;""'!$C$4:$C$66""),INDIRECT(""'""&amp;CQ$1&amp;""'!$D$4:$D$66"")=CQ$2),$G$3:$BQ$3,$G94:$BQ94))),"""")"),1.0923582028571428)</f>
        <v>1.092358203</v>
      </c>
      <c r="CS94" s="251">
        <f>IFERROR(__xludf.DUMMYFUNCTION("AVERAGE(ARRAYFORMULA(XLOOKUP(FILTER(INDIRECT(""'""&amp;CS$1&amp;""'!$C$4:$C$66""),INDIRECT(""'""&amp;CS$1&amp;""'!$D$4:$D$66"")=CS$2),$G$3:$BQ$3,$G94:$BQ94)))"),0.617928138888889)</f>
        <v>0.6179281389</v>
      </c>
      <c r="CT94" s="207" t="str">
        <f>IFERROR(__xludf.DUMMYFUNCTION("IF(OR(CS94&gt;$BS94+$BT94*$BT$2,CS94&lt;$BS94-$BT94*$BT$2),AVEDEV(ARRAYFORMULA(XLOOKUP(FILTER(INDIRECT(""'""&amp;CS$1&amp;""'!$C$4:$C$66""),INDIRECT(""'""&amp;CS$1&amp;""'!$D$4:$D$66"")=CS$2),$G$3:$BQ$3,$G94:$BQ94))),"""")"),"")</f>
        <v/>
      </c>
      <c r="CU94" s="251">
        <f>IFERROR(__xludf.DUMMYFUNCTION("AVERAGE(ARRAYFORMULA(XLOOKUP(FILTER(INDIRECT(""'""&amp;CU$1&amp;""'!$C$4:$C$66""),INDIRECT(""'""&amp;CU$1&amp;""'!$D$4:$D$66"")=CU$2),$G$3:$BQ$3,$G94:$BQ94)))"),-0.07804379)</f>
        <v>-0.07804379</v>
      </c>
      <c r="CV94" s="207" t="str">
        <f>IFERROR(__xludf.DUMMYFUNCTION("IF(OR(CU94&gt;$BS94+$BT94*$BT$2,CU94&lt;$BS94-$BT94*$BT$2),AVEDEV(ARRAYFORMULA(XLOOKUP(FILTER(INDIRECT(""'""&amp;CU$1&amp;""'!$C$4:$C$66""),INDIRECT(""'""&amp;CU$1&amp;""'!$D$4:$D$66"")=CU$2),$G$3:$BQ$3,$G94:$BQ94))),"""")"),"")</f>
        <v/>
      </c>
      <c r="CW94" s="251">
        <f>IFERROR(__xludf.DUMMYFUNCTION("AVERAGE(ARRAYFORMULA(XLOOKUP(FILTER(INDIRECT(""'""&amp;CW$1&amp;""'!$C$4:$C$66""),INDIRECT(""'""&amp;CW$1&amp;""'!$D$4:$D$66"")=CW$2),$G$3:$BQ$3,$G94:$BQ94)))"),-0.23847469999999998)</f>
        <v>-0.2384747</v>
      </c>
      <c r="CX94" s="207" t="str">
        <f>IFERROR(__xludf.DUMMYFUNCTION("IF(OR(CW94&gt;$BS94+$BT94*$BT$2,CW94&lt;$BS94-$BT94*$BT$2),AVEDEV(ARRAYFORMULA(XLOOKUP(FILTER(INDIRECT(""'""&amp;CW$1&amp;""'!$C$4:$C$66""),INDIRECT(""'""&amp;CW$1&amp;""'!$D$4:$D$66"")=CW$2),$G$3:$BQ$3,$G94:$BQ94))),"""")"),"")</f>
        <v/>
      </c>
      <c r="CY94" s="251">
        <f>IFERROR(__xludf.DUMMYFUNCTION("AVERAGE(ARRAYFORMULA(XLOOKUP(FILTER(INDIRECT(""'""&amp;CY$1&amp;""'!$C$4:$C$66""),INDIRECT(""'""&amp;CY$1&amp;""'!$D$4:$D$66"")=CY$2),$G$3:$BQ$3,$G94:$BQ94)))"),0.17785471142857143)</f>
        <v>0.1778547114</v>
      </c>
      <c r="CZ94" s="207" t="str">
        <f>IFERROR(__xludf.DUMMYFUNCTION("IF(OR(CY94&gt;$BS94+$BT94*$BT$2,CY94&lt;$BS94-$BT94*$BT$2),AVEDEV(ARRAYFORMULA(XLOOKUP(FILTER(INDIRECT(""'""&amp;CY$1&amp;""'!$C$4:$C$66""),INDIRECT(""'""&amp;CY$1&amp;""'!$D$4:$D$66"")=CY$2),$G$3:$BQ$3,$G94:$BQ94))),"""")"),"")</f>
        <v/>
      </c>
      <c r="DA94" s="252"/>
      <c r="DB94" s="251">
        <f>IFERROR(__xludf.DUMMYFUNCTION("AVERAGE(ARRAYFORMULA(XLOOKUP(FILTER(INDIRECT(""'""&amp;DB$1&amp;""'!$C$4:$C$66""),INDIRECT(""'""&amp;DB$1&amp;""'!$D$4:$D$66"")=DB$2),$G$3:$BQ$3,$G94:$BQ94)))"),0.5979279153333333)</f>
        <v>0.5979279153</v>
      </c>
      <c r="DC94" s="207" t="str">
        <f>IFERROR(__xludf.DUMMYFUNCTION("IF(OR(DB94&gt;$BS94+$BT94*$BT$2,DB94&lt;$BS94-$BT94*$BT$2),AVEDEV(ARRAYFORMULA(XLOOKUP(FILTER(INDIRECT(""'""&amp;DB$1&amp;""'!$C$4:$C$66""),INDIRECT(""'""&amp;DB$1&amp;""'!$D$4:$D$66"")=DB$2),$G$3:$BQ$3,$G94:$BQ94))),"""")"),"")</f>
        <v/>
      </c>
      <c r="DD94" s="251">
        <f>IFERROR(__xludf.DUMMYFUNCTION("AVERAGE(ARRAYFORMULA(XLOOKUP(FILTER(INDIRECT(""'""&amp;DD$1&amp;""'!$C$4:$C$66""),INDIRECT(""'""&amp;DD$1&amp;""'!$D$4:$D$66"")=DD$2),$G$3:$BQ$3,$G94:$BQ94)))"),0.46721273333333335)</f>
        <v>0.4672127333</v>
      </c>
      <c r="DE94" s="207" t="str">
        <f>IFERROR(__xludf.DUMMYFUNCTION("IF(OR(DD94&gt;$BS94+$BT94*$BT$2,DD94&lt;$BS94-$BT94*$BT$2),AVEDEV(ARRAYFORMULA(XLOOKUP(FILTER(INDIRECT(""'""&amp;DD$1&amp;""'!$C$4:$C$66""),INDIRECT(""'""&amp;DD$1&amp;""'!$D$4:$D$66"")=DD$2),$G$3:$BQ$3,$G94:$BQ94))),"""")"),"")</f>
        <v/>
      </c>
      <c r="DF94" s="251">
        <f>IFERROR(__xludf.DUMMYFUNCTION("AVERAGE(ARRAYFORMULA(XLOOKUP(FILTER(INDIRECT(""'""&amp;DF$1&amp;""'!$C$4:$C$66""),INDIRECT(""'""&amp;DF$1&amp;""'!$D$4:$D$66"")=DF$2),$G$3:$BQ$3,$G94:$BQ94)))"),0.03931284125)</f>
        <v>0.03931284125</v>
      </c>
      <c r="DG94" s="207" t="str">
        <f>IFERROR(__xludf.DUMMYFUNCTION("IF(OR(DF94&gt;$BS94+$BT94*$BT$2,DF94&lt;$BS94-$BT94*$BT$2),AVEDEV(ARRAYFORMULA(XLOOKUP(FILTER(INDIRECT(""'""&amp;DF$1&amp;""'!$C$4:$C$66""),INDIRECT(""'""&amp;DF$1&amp;""'!$D$4:$D$66"")=DF$2),$G$3:$BQ$3,$G94:$BQ94))),"""")"),"")</f>
        <v/>
      </c>
      <c r="DH94" s="251">
        <f>IFERROR(__xludf.DUMMYFUNCTION("AVERAGE(ARRAYFORMULA(XLOOKUP(FILTER(INDIRECT(""'""&amp;DH$1&amp;""'!$C$4:$C$66""),INDIRECT(""'""&amp;DH$1&amp;""'!$D$4:$D$66"")=DH$2),$G$3:$BQ$3,$G94:$BQ94)))"),0.12496526)</f>
        <v>0.12496526</v>
      </c>
      <c r="DI94" s="207" t="str">
        <f>IFERROR(__xludf.DUMMYFUNCTION("IF(OR(DH94&gt;$BS94+$BT94*$BT$2,DH94&lt;$BS94-$BT94*$BT$2),AVEDEV(ARRAYFORMULA(XLOOKUP(FILTER(INDIRECT(""'""&amp;DH$1&amp;""'!$C$4:$C$66""),INDIRECT(""'""&amp;DH$1&amp;""'!$D$4:$D$66"")=DH$2),$G$3:$BQ$3,$G94:$BQ94))),"""")"),"")</f>
        <v/>
      </c>
      <c r="DJ94" s="243"/>
    </row>
    <row r="95">
      <c r="A95" s="2"/>
      <c r="B95" s="204">
        <v>91.0</v>
      </c>
      <c r="C95" s="204" t="s">
        <v>507</v>
      </c>
      <c r="D95" s="204" t="s">
        <v>536</v>
      </c>
      <c r="E95" s="205" t="b">
        <f>VLOOKUP(D95,'Feature Set List'!A92:C246,2,0)</f>
        <v>1</v>
      </c>
      <c r="F95" s="205" t="b">
        <f>VLOOKUP(D95,'Feature Set List'!A92:C246,3,0)</f>
        <v>1</v>
      </c>
      <c r="G95" s="205">
        <v>1.67360848</v>
      </c>
      <c r="H95" s="205">
        <v>-0.0648744</v>
      </c>
      <c r="I95" s="205">
        <v>0.04543733</v>
      </c>
      <c r="J95" s="205">
        <v>0.1729143</v>
      </c>
      <c r="K95" s="205">
        <v>0.97437839</v>
      </c>
      <c r="L95" s="205">
        <v>0.06941815</v>
      </c>
      <c r="M95" s="205">
        <v>0.28145904</v>
      </c>
      <c r="N95" s="205">
        <v>-0.7495898</v>
      </c>
      <c r="O95" s="205">
        <v>-0.3295469</v>
      </c>
      <c r="P95" s="205">
        <v>0.0</v>
      </c>
      <c r="Q95" s="205">
        <v>0.4531112</v>
      </c>
      <c r="R95" s="205">
        <v>-0.6702007</v>
      </c>
      <c r="S95" s="205">
        <v>0.11611763</v>
      </c>
      <c r="T95" s="205">
        <v>0.40388742</v>
      </c>
      <c r="U95" s="205">
        <v>-1.0424082</v>
      </c>
      <c r="V95" s="205">
        <v>2.12924397</v>
      </c>
      <c r="W95" s="205">
        <v>-0.3440616</v>
      </c>
      <c r="X95" s="205">
        <v>-1.1058942</v>
      </c>
      <c r="Y95" s="205">
        <v>-0.316673</v>
      </c>
      <c r="Z95" s="205">
        <v>-0.1267197</v>
      </c>
      <c r="AA95" s="205">
        <v>-1.0164079</v>
      </c>
      <c r="AB95" s="205">
        <v>-0.5737726</v>
      </c>
      <c r="AC95" s="205">
        <v>0.11737978</v>
      </c>
      <c r="AD95" s="205">
        <v>-0.3886154</v>
      </c>
      <c r="AE95" s="205">
        <v>-1.0540199</v>
      </c>
      <c r="AF95" s="205">
        <v>0.79767765</v>
      </c>
      <c r="AG95" s="205">
        <v>0.76612394</v>
      </c>
      <c r="AH95" s="205">
        <v>-0.400101</v>
      </c>
      <c r="AI95" s="205">
        <v>1.08292314</v>
      </c>
      <c r="AJ95" s="205">
        <v>-0.8227944</v>
      </c>
      <c r="AK95" s="205">
        <v>0.39252808</v>
      </c>
      <c r="AL95" s="205">
        <v>0.29912912</v>
      </c>
      <c r="AM95" s="205">
        <v>0.36097438</v>
      </c>
      <c r="AN95" s="205">
        <v>0.81787202</v>
      </c>
      <c r="AO95" s="205">
        <v>-0.7898523</v>
      </c>
      <c r="AP95" s="205">
        <v>-0.5837435</v>
      </c>
      <c r="AQ95" s="205">
        <v>-0.0636123</v>
      </c>
      <c r="AR95" s="205">
        <v>3.32954689</v>
      </c>
      <c r="AS95" s="205">
        <v>0.42913038</v>
      </c>
      <c r="AT95" s="205">
        <v>-0.2563423</v>
      </c>
      <c r="AU95" s="205">
        <v>-0.558753</v>
      </c>
      <c r="AV95" s="205">
        <v>0.47456771</v>
      </c>
      <c r="AW95" s="205">
        <v>-0.6108797</v>
      </c>
      <c r="AX95" s="205">
        <v>-0.3330809</v>
      </c>
      <c r="AY95" s="205">
        <v>-0.3197021</v>
      </c>
      <c r="AZ95" s="205">
        <v>-0.1772056</v>
      </c>
      <c r="BA95" s="205">
        <v>1.22302158</v>
      </c>
      <c r="BB95" s="205">
        <v>-1.2928901</v>
      </c>
      <c r="BC95" s="205">
        <v>0.54903446</v>
      </c>
      <c r="BD95" s="205">
        <v>0.03534015</v>
      </c>
      <c r="BE95" s="205">
        <v>-0.8712609</v>
      </c>
      <c r="BF95" s="205">
        <v>1.67108419</v>
      </c>
      <c r="BG95" s="205">
        <v>0.034078</v>
      </c>
      <c r="BH95" s="205">
        <v>-0.4133535</v>
      </c>
      <c r="BI95" s="205">
        <v>-0.5590054</v>
      </c>
      <c r="BJ95" s="205">
        <v>0.32815853</v>
      </c>
      <c r="BK95" s="205">
        <v>-0.1677395</v>
      </c>
      <c r="BL95" s="205">
        <v>-1.2534141</v>
      </c>
      <c r="BM95" s="205">
        <v>-1.1214187</v>
      </c>
      <c r="BN95" s="205">
        <v>0.56922883</v>
      </c>
      <c r="BO95" s="205">
        <v>0.86078506</v>
      </c>
      <c r="BP95" s="205">
        <v>1.49690774</v>
      </c>
      <c r="BQ95" s="205">
        <v>0.3458286</v>
      </c>
      <c r="BR95" s="206"/>
      <c r="BS95" s="250">
        <f t="shared" si="1"/>
        <v>0.06226924667</v>
      </c>
      <c r="BT95" s="250">
        <f t="shared" si="2"/>
        <v>0.6489683096</v>
      </c>
      <c r="BU95" s="206"/>
      <c r="BV95" s="207">
        <f>IFERROR(__xludf.DUMMYFUNCTION("AVERAGE(ARRAYFORMULA(XLOOKUP(FILTER(INDIRECT(""'""&amp;BV$1&amp;""'!$C$4:$C$66""),INDIRECT(""'""&amp;BV$1&amp;""'!$D$4:$D$66"")=BV$2),$G$3:$BQ$3,$G95:$BQ95)))"),-0.9536317)</f>
        <v>-0.9536317</v>
      </c>
      <c r="BW95" s="207">
        <f>IFERROR(__xludf.DUMMYFUNCTION("IF(OR(BV95&gt;$BS95+$BT95*$BT$2,BV95&lt;$BS95-$BT95*$BT$2),AVEDEV(ARRAYFORMULA(XLOOKUP(FILTER(INDIRECT(""'""&amp;BV$1&amp;""'!$C$4:$C$66""),INDIRECT(""'""&amp;BV$1&amp;""'!$D$4:$D$66"")=BV$2),$G$3:$BQ$3,$G95:$BQ95))),"""")"),0.25145137142857144)</f>
        <v>0.2514513714</v>
      </c>
      <c r="BX95" s="207">
        <f>IFERROR(__xludf.DUMMYFUNCTION("AVERAGE(ARRAYFORMULA(XLOOKUP(FILTER(INDIRECT(""'""&amp;BX$1&amp;""'!$C$4:$C$66""),INDIRECT(""'""&amp;BX$1&amp;""'!$D$4:$D$66"")=BX$2),$G$3:$BQ$3,$G95:$BQ95)))"),0.20444396523809522)</f>
        <v>0.2044439652</v>
      </c>
      <c r="BY95" s="207" t="str">
        <f>IFERROR(__xludf.DUMMYFUNCTION("IF(OR(BX95&gt;$BS95+$BT95*$BT$2,BX95&lt;$BS95-$BT95*$BT$2),AVEDEV(ARRAYFORMULA(XLOOKUP(FILTER(INDIRECT(""'""&amp;BX$1&amp;""'!$C$4:$C$66""),INDIRECT(""'""&amp;BX$1&amp;""'!$D$4:$D$66"")=BX$2),$G$3:$BQ$3,$G95:$BQ95))),"""")"),"")</f>
        <v/>
      </c>
      <c r="BZ95" s="207">
        <f>IFERROR(__xludf.DUMMYFUNCTION("AVERAGE(ARRAYFORMULA(XLOOKUP(FILTER(INDIRECT(""'""&amp;BZ$1&amp;""'!$C$4:$C$66""),INDIRECT(""'""&amp;BZ$1&amp;""'!$D$4:$D$66"")=BZ$2),$G$3:$BQ$3,$G95:$BQ95)))"),0.22633758363636367)</f>
        <v>0.2263375836</v>
      </c>
      <c r="CA95" s="207" t="str">
        <f>IFERROR(__xludf.DUMMYFUNCTION("IF(OR(BZ95&gt;$BS95+$BT95*$BT$2,BZ95&lt;$BS95-$BT95*$BT$2),AVEDEV(ARRAYFORMULA(XLOOKUP(FILTER(INDIRECT(""'""&amp;BZ$1&amp;""'!$C$4:$C$66""),INDIRECT(""'""&amp;BZ$1&amp;""'!$D$4:$D$66"")=BZ$2),$G$3:$BQ$3,$G95:$BQ95))),"""")"),"")</f>
        <v/>
      </c>
      <c r="CB95" s="209"/>
      <c r="CC95" s="207">
        <f>IFERROR(__xludf.DUMMYFUNCTION("AVERAGE(ARRAYFORMULA(XLOOKUP(FILTER(INDIRECT(""'""&amp;CC$1&amp;""'!$C$4:$C$66""),INDIRECT(""'""&amp;CC$1&amp;""'!$D$4:$D$66"")=CC$2),$G$3:$BQ$3,$G95:$BQ95)))"),0.091927238125)</f>
        <v>0.09192723813</v>
      </c>
      <c r="CD95" s="207" t="str">
        <f>IFERROR(__xludf.DUMMYFUNCTION("IF(OR(CC95&gt;$BS95+$BT95*$BT$2,CC95&lt;$BS95-$BT95*$BT$2),AVEDEV(ARRAYFORMULA(XLOOKUP(FILTER(INDIRECT(""'""&amp;CC$1&amp;""'!$C$4:$C$66""),INDIRECT(""'""&amp;CC$1&amp;""'!$D$4:$D$66"")=CC$2),$G$3:$BQ$3,$G95:$BQ95))),"""")"),"")</f>
        <v/>
      </c>
      <c r="CE95" s="207">
        <f>IFERROR(__xludf.DUMMYFUNCTION("AVERAGE(ARRAYFORMULA(XLOOKUP(FILTER(INDIRECT(""'""&amp;CE$1&amp;""'!$C$4:$C$66""),INDIRECT(""'""&amp;CE$1&amp;""'!$D$4:$D$66"")=CE$2),$G$3:$BQ$3,$G95:$BQ95)))"),-0.013557914838709674)</f>
        <v>-0.01355791484</v>
      </c>
      <c r="CF95" s="207" t="str">
        <f>IFERROR(__xludf.DUMMYFUNCTION("IF(OR(CE95&gt;$BS95+$BT95*$BT$2,CE95&lt;$BS95-$BT95*$BT$2),AVEDEV(ARRAYFORMULA(XLOOKUP(FILTER(INDIRECT(""'""&amp;CE$1&amp;""'!$C$4:$C$66""),INDIRECT(""'""&amp;CE$1&amp;""'!$D$4:$D$66"")=CE$2),$G$3:$BQ$3,$G95:$BQ95))),"""")"),"")</f>
        <v/>
      </c>
      <c r="CG95" s="207">
        <f>IFERROR(__xludf.DUMMYFUNCTION("AVERAGE(ARRAYFORMULA(XLOOKUP(FILTER(INDIRECT(""'""&amp;CG$1&amp;""'!$C$4:$C$66""),INDIRECT(""'""&amp;CG$1&amp;""'!$D$4:$D$66"")=CG$2),$G$3:$BQ$3,$G95:$BQ95)))"),0.41802347599999995)</f>
        <v>0.418023476</v>
      </c>
      <c r="CH95" s="207" t="str">
        <f>IFERROR(__xludf.DUMMYFUNCTION("IF(OR(CG95&gt;$BS95+$BT95*$BT$2,CG95&lt;$BS95-$BT95*$BT$2),AVEDEV(ARRAYFORMULA(XLOOKUP(FILTER(INDIRECT(""'""&amp;CG$1&amp;""'!$C$4:$C$66""),INDIRECT(""'""&amp;CG$1&amp;""'!$D$4:$D$66"")=CG$2),$G$3:$BQ$3,$G95:$BQ95))),"""")"),"")</f>
        <v/>
      </c>
      <c r="CI95" s="206"/>
      <c r="CJ95" s="251">
        <f>IFERROR(__xludf.DUMMYFUNCTION("AVERAGE(ARRAYFORMULA(XLOOKUP(FILTER(INDIRECT(""'""&amp;CJ$1&amp;""'!$C$4:$C$66""),INDIRECT(""'""&amp;CJ$1&amp;""'!$D$4:$D$66"")=CJ$2),$G$3:$BQ$3,$G95:$BQ95)))"),-0.47660035200000006)</f>
        <v>-0.476600352</v>
      </c>
      <c r="CK95" s="207" t="str">
        <f>IFERROR(__xludf.DUMMYFUNCTION("IF(OR(CJ95&gt;$BS95+$BT95*$BT$2,CJ95&lt;$BS95-$BT95*$BT$2),AVEDEV(ARRAYFORMULA(XLOOKUP(FILTER(INDIRECT(""'""&amp;CJ$1&amp;""'!$C$4:$C$66""),INDIRECT(""'""&amp;CJ$1&amp;""'!$D$4:$D$66"")=CJ$2),$G$3:$BQ$3,$G95:$BQ95))),"""")"),"")</f>
        <v/>
      </c>
      <c r="CL95" s="251">
        <f>IFERROR(__xludf.DUMMYFUNCTION("AVERAGE(ARRAYFORMULA(XLOOKUP(FILTER(INDIRECT(""'""&amp;CL$1&amp;""'!$C$4:$C$66""),INDIRECT(""'""&amp;CL$1&amp;""'!$D$4:$D$66"")=CL$2),$G$3:$BQ$3,$G95:$BQ95)))"),0.274698463076923)</f>
        <v>0.2746984631</v>
      </c>
      <c r="CM95" s="207" t="str">
        <f>IFERROR(__xludf.DUMMYFUNCTION("IF(OR(CL95&gt;$BS95+$BT95*$BT$2,CL95&lt;$BS95-$BT95*$BT$2),AVEDEV(ARRAYFORMULA(XLOOKUP(FILTER(INDIRECT(""'""&amp;CL$1&amp;""'!$C$4:$C$66""),INDIRECT(""'""&amp;CL$1&amp;""'!$D$4:$D$66"")=CL$2),$G$3:$BQ$3,$G95:$BQ95))),"""")"),"")</f>
        <v/>
      </c>
      <c r="CN95" s="251">
        <f>IFERROR(__xludf.DUMMYFUNCTION("AVERAGE(ARRAYFORMULA(XLOOKUP(FILTER(INDIRECT(""'""&amp;CN$1&amp;""'!$C$4:$C$66""),INDIRECT(""'""&amp;CN$1&amp;""'!$D$4:$D$66"")=CN$2),$G$3:$BQ$3,$G95:$BQ95)))"),0.41802347599999995)</f>
        <v>0.418023476</v>
      </c>
      <c r="CO95" s="207" t="str">
        <f>IFERROR(__xludf.DUMMYFUNCTION("IF(OR(CN95&gt;$BS95+$BT95*$BT$2,CN95&lt;$BS95-$BT95*$BT$2),AVEDEV(ARRAYFORMULA(XLOOKUP(FILTER(INDIRECT(""'""&amp;CN$1&amp;""'!$C$4:$C$66""),INDIRECT(""'""&amp;CN$1&amp;""'!$D$4:$D$66"")=CN$2),$G$3:$BQ$3,$G95:$BQ95))),"""")"),"")</f>
        <v/>
      </c>
      <c r="CP95" s="252"/>
      <c r="CQ95" s="251">
        <f>IFERROR(__xludf.DUMMYFUNCTION("AVERAGE(ARRAYFORMULA(XLOOKUP(FILTER(INDIRECT(""'""&amp;CQ$1&amp;""'!$C$4:$C$66""),INDIRECT(""'""&amp;CQ$1&amp;""'!$D$4:$D$66"")=CQ$2),$G$3:$BQ$3,$G95:$BQ95)))"),0.22996340285714284)</f>
        <v>0.2299634029</v>
      </c>
      <c r="CR95" s="207" t="str">
        <f>IFERROR(__xludf.DUMMYFUNCTION("IF(OR(CQ95&gt;$BS95+$BT95*$BT$2,CQ95&lt;$BS95-$BT95*$BT$2),AVEDEV(ARRAYFORMULA(XLOOKUP(FILTER(INDIRECT(""'""&amp;CQ$1&amp;""'!$C$4:$C$66""),INDIRECT(""'""&amp;CQ$1&amp;""'!$D$4:$D$66"")=CQ$2),$G$3:$BQ$3,$G95:$BQ95))),"""")"),"")</f>
        <v/>
      </c>
      <c r="CS95" s="251">
        <f>IFERROR(__xludf.DUMMYFUNCTION("AVERAGE(ARRAYFORMULA(XLOOKUP(FILTER(INDIRECT(""'""&amp;CS$1&amp;""'!$C$4:$C$66""),INDIRECT(""'""&amp;CS$1&amp;""'!$D$4:$D$66"")=CS$2),$G$3:$BQ$3,$G95:$BQ95)))"),0.42092641333333336)</f>
        <v>0.4209264133</v>
      </c>
      <c r="CT95" s="207" t="str">
        <f>IFERROR(__xludf.DUMMYFUNCTION("IF(OR(CS95&gt;$BS95+$BT95*$BT$2,CS95&lt;$BS95-$BT95*$BT$2),AVEDEV(ARRAYFORMULA(XLOOKUP(FILTER(INDIRECT(""'""&amp;CS$1&amp;""'!$C$4:$C$66""),INDIRECT(""'""&amp;CS$1&amp;""'!$D$4:$D$66"")=CS$2),$G$3:$BQ$3,$G95:$BQ95))),"""")"),"")</f>
        <v/>
      </c>
      <c r="CU95" s="251">
        <f>IFERROR(__xludf.DUMMYFUNCTION("AVERAGE(ARRAYFORMULA(XLOOKUP(FILTER(INDIRECT(""'""&amp;CU$1&amp;""'!$C$4:$C$66""),INDIRECT(""'""&amp;CU$1&amp;""'!$D$4:$D$66"")=CU$2),$G$3:$BQ$3,$G95:$BQ95)))"),-0.04181153090909089)</f>
        <v>-0.04181153091</v>
      </c>
      <c r="CV95" s="207" t="str">
        <f>IFERROR(__xludf.DUMMYFUNCTION("IF(OR(CU95&gt;$BS95+$BT95*$BT$2,CU95&lt;$BS95-$BT95*$BT$2),AVEDEV(ARRAYFORMULA(XLOOKUP(FILTER(INDIRECT(""'""&amp;CU$1&amp;""'!$C$4:$C$66""),INDIRECT(""'""&amp;CU$1&amp;""'!$D$4:$D$66"")=CU$2),$G$3:$BQ$3,$G95:$BQ95))),"""")"),"")</f>
        <v/>
      </c>
      <c r="CW95" s="251">
        <f>IFERROR(__xludf.DUMMYFUNCTION("AVERAGE(ARRAYFORMULA(XLOOKUP(FILTER(INDIRECT(""'""&amp;CW$1&amp;""'!$C$4:$C$66""),INDIRECT(""'""&amp;CW$1&amp;""'!$D$4:$D$66"")=CW$2),$G$3:$BQ$3,$G95:$BQ95)))"),-0.40098445)</f>
        <v>-0.40098445</v>
      </c>
      <c r="CX95" s="207" t="str">
        <f>IFERROR(__xludf.DUMMYFUNCTION("IF(OR(CW95&gt;$BS95+$BT95*$BT$2,CW95&lt;$BS95-$BT95*$BT$2),AVEDEV(ARRAYFORMULA(XLOOKUP(FILTER(INDIRECT(""'""&amp;CW$1&amp;""'!$C$4:$C$66""),INDIRECT(""'""&amp;CW$1&amp;""'!$D$4:$D$66"")=CW$2),$G$3:$BQ$3,$G95:$BQ95))),"""")"),"")</f>
        <v/>
      </c>
      <c r="CY95" s="251">
        <f>IFERROR(__xludf.DUMMYFUNCTION("AVERAGE(ARRAYFORMULA(XLOOKUP(FILTER(INDIRECT(""'""&amp;CY$1&amp;""'!$C$4:$C$66""),INDIRECT(""'""&amp;CY$1&amp;""'!$D$4:$D$66"")=CY$2),$G$3:$BQ$3,$G95:$BQ95)))"),0.36059573357142854)</f>
        <v>0.3605957336</v>
      </c>
      <c r="CZ95" s="207" t="str">
        <f>IFERROR(__xludf.DUMMYFUNCTION("IF(OR(CY95&gt;$BS95+$BT95*$BT$2,CY95&lt;$BS95-$BT95*$BT$2),AVEDEV(ARRAYFORMULA(XLOOKUP(FILTER(INDIRECT(""'""&amp;CY$1&amp;""'!$C$4:$C$66""),INDIRECT(""'""&amp;CY$1&amp;""'!$D$4:$D$66"")=CY$2),$G$3:$BQ$3,$G95:$BQ95))),"""")"),"")</f>
        <v/>
      </c>
      <c r="DA95" s="252"/>
      <c r="DB95" s="251">
        <f>IFERROR(__xludf.DUMMYFUNCTION("AVERAGE(ARRAYFORMULA(XLOOKUP(FILTER(INDIRECT(""'""&amp;DB$1&amp;""'!$C$4:$C$66""),INDIRECT(""'""&amp;DB$1&amp;""'!$D$4:$D$66"")=DB$2),$G$3:$BQ$3,$G95:$BQ95)))"),0.1511314386666667)</f>
        <v>0.1511314387</v>
      </c>
      <c r="DC95" s="207" t="str">
        <f>IFERROR(__xludf.DUMMYFUNCTION("IF(OR(DB95&gt;$BS95+$BT95*$BT$2,DB95&lt;$BS95-$BT95*$BT$2),AVEDEV(ARRAYFORMULA(XLOOKUP(FILTER(INDIRECT(""'""&amp;DB$1&amp;""'!$C$4:$C$66""),INDIRECT(""'""&amp;DB$1&amp;""'!$D$4:$D$66"")=DB$2),$G$3:$BQ$3,$G95:$BQ95))),"""")"),"")</f>
        <v/>
      </c>
      <c r="DD95" s="251">
        <f>IFERROR(__xludf.DUMMYFUNCTION("AVERAGE(ARRAYFORMULA(XLOOKUP(FILTER(INDIRECT(""'""&amp;DD$1&amp;""'!$C$4:$C$66""),INDIRECT(""'""&amp;DD$1&amp;""'!$D$4:$D$66"")=DD$2),$G$3:$BQ$3,$G95:$BQ95)))"),0.29560911999999995)</f>
        <v>0.29560912</v>
      </c>
      <c r="DE95" s="207" t="str">
        <f>IFERROR(__xludf.DUMMYFUNCTION("IF(OR(DD95&gt;$BS95+$BT95*$BT$2,DD95&lt;$BS95-$BT95*$BT$2),AVEDEV(ARRAYFORMULA(XLOOKUP(FILTER(INDIRECT(""'""&amp;DD$1&amp;""'!$C$4:$C$66""),INDIRECT(""'""&amp;DD$1&amp;""'!$D$4:$D$66"")=DD$2),$G$3:$BQ$3,$G95:$BQ95))),"""")"),"")</f>
        <v/>
      </c>
      <c r="DF95" s="251">
        <f>IFERROR(__xludf.DUMMYFUNCTION("AVERAGE(ARRAYFORMULA(XLOOKUP(FILTER(INDIRECT(""'""&amp;DF$1&amp;""'!$C$4:$C$66""),INDIRECT(""'""&amp;DF$1&amp;""'!$D$4:$D$66"")=DF$2),$G$3:$BQ$3,$G95:$BQ95)))"),-0.53276852125)</f>
        <v>-0.5327685213</v>
      </c>
      <c r="DG95" s="207" t="str">
        <f>IFERROR(__xludf.DUMMYFUNCTION("IF(OR(DF95&gt;$BS95+$BT95*$BT$2,DF95&lt;$BS95-$BT95*$BT$2),AVEDEV(ARRAYFORMULA(XLOOKUP(FILTER(INDIRECT(""'""&amp;DF$1&amp;""'!$C$4:$C$66""),INDIRECT(""'""&amp;DF$1&amp;""'!$D$4:$D$66"")=DF$2),$G$3:$BQ$3,$G95:$BQ95))),"""")"),"")</f>
        <v/>
      </c>
      <c r="DH95" s="251">
        <f>IFERROR(__xludf.DUMMYFUNCTION("AVERAGE(ARRAYFORMULA(XLOOKUP(FILTER(INDIRECT(""'""&amp;DH$1&amp;""'!$C$4:$C$66""),INDIRECT(""'""&amp;DH$1&amp;""'!$D$4:$D$66"")=DH$2),$G$3:$BQ$3,$G95:$BQ95)))"),0.14314163333333335)</f>
        <v>0.1431416333</v>
      </c>
      <c r="DI95" s="207" t="str">
        <f>IFERROR(__xludf.DUMMYFUNCTION("IF(OR(DH95&gt;$BS95+$BT95*$BT$2,DH95&lt;$BS95-$BT95*$BT$2),AVEDEV(ARRAYFORMULA(XLOOKUP(FILTER(INDIRECT(""'""&amp;DH$1&amp;""'!$C$4:$C$66""),INDIRECT(""'""&amp;DH$1&amp;""'!$D$4:$D$66"")=DH$2),$G$3:$BQ$3,$G95:$BQ95))),"""")"),"")</f>
        <v/>
      </c>
      <c r="DJ95" s="243"/>
    </row>
    <row r="96">
      <c r="A96" s="2"/>
      <c r="B96" s="204">
        <v>92.0</v>
      </c>
      <c r="C96" s="204" t="s">
        <v>507</v>
      </c>
      <c r="D96" s="204" t="s">
        <v>537</v>
      </c>
      <c r="E96" s="205" t="b">
        <f>VLOOKUP(D96,'Feature Set List'!A93:C246,2,0)</f>
        <v>1</v>
      </c>
      <c r="F96" s="205" t="b">
        <f>VLOOKUP(D96,'Feature Set List'!A93:C246,3,0)</f>
        <v>1</v>
      </c>
      <c r="G96" s="205">
        <v>0.0</v>
      </c>
      <c r="H96" s="205">
        <v>0.05877551</v>
      </c>
      <c r="I96" s="205">
        <v>2.73387755</v>
      </c>
      <c r="J96" s="205">
        <v>-0.1861224</v>
      </c>
      <c r="K96" s="205">
        <v>0.13795918</v>
      </c>
      <c r="L96" s="205">
        <v>-0.4179592</v>
      </c>
      <c r="M96" s="205">
        <v>-0.8971429</v>
      </c>
      <c r="N96" s="205">
        <v>-0.5110204</v>
      </c>
      <c r="O96" s="205">
        <v>1.17959184</v>
      </c>
      <c r="P96" s="205">
        <v>-0.3730612</v>
      </c>
      <c r="Q96" s="205">
        <v>-0.0236735</v>
      </c>
      <c r="R96" s="205">
        <v>-0.2277551</v>
      </c>
      <c r="S96" s="205">
        <v>0.44244898</v>
      </c>
      <c r="T96" s="205">
        <v>-0.515102</v>
      </c>
      <c r="U96" s="205">
        <v>-1.2963265</v>
      </c>
      <c r="V96" s="205">
        <v>-1.4506122</v>
      </c>
      <c r="W96" s="205">
        <v>0.03755102</v>
      </c>
      <c r="X96" s="205">
        <v>-0.8726531</v>
      </c>
      <c r="Y96" s="205">
        <v>-0.2653061</v>
      </c>
      <c r="Z96" s="205">
        <v>-0.5183673</v>
      </c>
      <c r="AA96" s="205">
        <v>-0.1510204</v>
      </c>
      <c r="AB96" s="205">
        <v>-1.5869388</v>
      </c>
      <c r="AC96" s="205">
        <v>0.48571429</v>
      </c>
      <c r="AD96" s="205">
        <v>0.0244898</v>
      </c>
      <c r="AE96" s="205">
        <v>-0.2522449</v>
      </c>
      <c r="AF96" s="205">
        <v>0.10693878</v>
      </c>
      <c r="AG96" s="205">
        <v>0.46857143</v>
      </c>
      <c r="AH96" s="205">
        <v>-0.3314286</v>
      </c>
      <c r="AI96" s="205">
        <v>8.1633E-4</v>
      </c>
      <c r="AJ96" s="205">
        <v>-1.9561633</v>
      </c>
      <c r="AK96" s="205">
        <v>-0.6791837</v>
      </c>
      <c r="AL96" s="205">
        <v>0.19755102</v>
      </c>
      <c r="AM96" s="205">
        <v>0.64897959</v>
      </c>
      <c r="AN96" s="205">
        <v>-0.5706122</v>
      </c>
      <c r="AO96" s="205">
        <v>-1.1142857</v>
      </c>
      <c r="AP96" s="205">
        <v>-1.2081633</v>
      </c>
      <c r="AQ96" s="205">
        <v>1.07183673</v>
      </c>
      <c r="AR96" s="205">
        <v>-1.0897959</v>
      </c>
      <c r="AS96" s="205">
        <v>0.39020408</v>
      </c>
      <c r="AT96" s="205">
        <v>0.66612245</v>
      </c>
      <c r="AU96" s="205">
        <v>-1.5061224</v>
      </c>
      <c r="AV96" s="205">
        <v>1.67102041</v>
      </c>
      <c r="AW96" s="205">
        <v>0.1355102</v>
      </c>
      <c r="AX96" s="205">
        <v>-1.2261224</v>
      </c>
      <c r="AY96" s="205">
        <v>0.7877551</v>
      </c>
      <c r="AZ96" s="205">
        <v>0.88163265</v>
      </c>
      <c r="BA96" s="205">
        <v>0.16326531</v>
      </c>
      <c r="BB96" s="205">
        <v>0.42530612</v>
      </c>
      <c r="BC96" s="205">
        <v>2.23102041</v>
      </c>
      <c r="BD96" s="205">
        <v>-0.1706122</v>
      </c>
      <c r="BE96" s="205">
        <v>-1.5004082</v>
      </c>
      <c r="BF96" s="205">
        <v>0.10367347</v>
      </c>
      <c r="BG96" s="205">
        <v>1.45632653</v>
      </c>
      <c r="BH96" s="205">
        <v>0.18204082</v>
      </c>
      <c r="BI96" s="205">
        <v>-0.1004082</v>
      </c>
      <c r="BJ96" s="205">
        <v>1.59428571</v>
      </c>
      <c r="BK96" s="205">
        <v>0.92734694</v>
      </c>
      <c r="BL96" s="205">
        <v>-1.7006531</v>
      </c>
      <c r="BM96" s="205">
        <v>-0.0742857</v>
      </c>
      <c r="BN96" s="205">
        <v>0.39918367</v>
      </c>
      <c r="BO96" s="205">
        <v>1.67918367</v>
      </c>
      <c r="BP96" s="205">
        <v>-1.0995918</v>
      </c>
      <c r="BQ96" s="205">
        <v>0.50612245</v>
      </c>
      <c r="BR96" s="206"/>
      <c r="BS96" s="250">
        <f t="shared" si="1"/>
        <v>-0.03298477238</v>
      </c>
      <c r="BT96" s="250">
        <f t="shared" si="2"/>
        <v>0.7257119374</v>
      </c>
      <c r="BU96" s="206"/>
      <c r="BV96" s="207">
        <f>IFERROR(__xludf.DUMMYFUNCTION("AVERAGE(ARRAYFORMULA(XLOOKUP(FILTER(INDIRECT(""'""&amp;BV$1&amp;""'!$C$4:$C$66""),INDIRECT(""'""&amp;BV$1&amp;""'!$D$4:$D$66"")=BV$2),$G$3:$BQ$3,$G96:$BQ96)))"),-0.7530379114285715)</f>
        <v>-0.7530379114</v>
      </c>
      <c r="BW96" s="207" t="str">
        <f>IFERROR(__xludf.DUMMYFUNCTION("IF(OR(BV96&gt;$BS96+$BT96*$BT$2,BV96&lt;$BS96-$BT96*$BT$2),AVEDEV(ARRAYFORMULA(XLOOKUP(FILTER(INDIRECT(""'""&amp;BV$1&amp;""'!$C$4:$C$66""),INDIRECT(""'""&amp;BV$1&amp;""'!$D$4:$D$66"")=BV$2),$G$3:$BQ$3,$G96:$BQ96))),"""")"),"")</f>
        <v/>
      </c>
      <c r="BX96" s="207">
        <f>IFERROR(__xludf.DUMMYFUNCTION("AVERAGE(ARRAYFORMULA(XLOOKUP(FILTER(INDIRECT(""'""&amp;BX$1&amp;""'!$C$4:$C$66""),INDIRECT(""'""&amp;BX$1&amp;""'!$D$4:$D$66"")=BX$2),$G$3:$BQ$3,$G96:$BQ96)))"),0.08308455023809526)</f>
        <v>0.08308455024</v>
      </c>
      <c r="BY96" s="207" t="str">
        <f>IFERROR(__xludf.DUMMYFUNCTION("IF(OR(BX96&gt;$BS96+$BT96*$BT$2,BX96&lt;$BS96-$BT96*$BT$2),AVEDEV(ARRAYFORMULA(XLOOKUP(FILTER(INDIRECT(""'""&amp;BX$1&amp;""'!$C$4:$C$66""),INDIRECT(""'""&amp;BX$1&amp;""'!$D$4:$D$66"")=BX$2),$G$3:$BQ$3,$G96:$BQ96))),"""")"),"")</f>
        <v/>
      </c>
      <c r="BZ96" s="207">
        <f>IFERROR(__xludf.DUMMYFUNCTION("AVERAGE(ARRAYFORMULA(XLOOKUP(FILTER(INDIRECT(""'""&amp;BZ$1&amp;""'!$C$4:$C$66""),INDIRECT(""'""&amp;BZ$1&amp;""'!$D$4:$D$66"")=BZ$2),$G$3:$BQ$3,$G96:$BQ96)))"),-0.12304266727272725)</f>
        <v>-0.1230426673</v>
      </c>
      <c r="CA96" s="207" t="str">
        <f>IFERROR(__xludf.DUMMYFUNCTION("IF(OR(BZ96&gt;$BS96+$BT96*$BT$2,BZ96&lt;$BS96-$BT96*$BT$2),AVEDEV(ARRAYFORMULA(XLOOKUP(FILTER(INDIRECT(""'""&amp;BZ$1&amp;""'!$C$4:$C$66""),INDIRECT(""'""&amp;BZ$1&amp;""'!$D$4:$D$66"")=BZ$2),$G$3:$BQ$3,$G96:$BQ96))),"""")"),"")</f>
        <v/>
      </c>
      <c r="CB96" s="209"/>
      <c r="CC96" s="207">
        <f>IFERROR(__xludf.DUMMYFUNCTION("AVERAGE(ARRAYFORMULA(XLOOKUP(FILTER(INDIRECT(""'""&amp;CC$1&amp;""'!$C$4:$C$66""),INDIRECT(""'""&amp;CC$1&amp;""'!$D$4:$D$66"")=CC$2),$G$3:$BQ$3,$G96:$BQ96)))"),-0.15719387375)</f>
        <v>-0.1571938738</v>
      </c>
      <c r="CD96" s="207" t="str">
        <f>IFERROR(__xludf.DUMMYFUNCTION("IF(OR(CC96&gt;$BS96+$BT96*$BT$2,CC96&lt;$BS96-$BT96*$BT$2),AVEDEV(ARRAYFORMULA(XLOOKUP(FILTER(INDIRECT(""'""&amp;CC$1&amp;""'!$C$4:$C$66""),INDIRECT(""'""&amp;CC$1&amp;""'!$D$4:$D$66"")=CC$2),$G$3:$BQ$3,$G96:$BQ96))),"""")"),"")</f>
        <v/>
      </c>
      <c r="CE96" s="207">
        <f>IFERROR(__xludf.DUMMYFUNCTION("AVERAGE(ARRAYFORMULA(XLOOKUP(FILTER(INDIRECT(""'""&amp;CE$1&amp;""'!$C$4:$C$66""),INDIRECT(""'""&amp;CE$1&amp;""'!$D$4:$D$66"")=CE$2),$G$3:$BQ$3,$G96:$BQ96)))"),0.08570638322580641)</f>
        <v>0.08570638323</v>
      </c>
      <c r="CF96" s="207" t="str">
        <f>IFERROR(__xludf.DUMMYFUNCTION("IF(OR(CE96&gt;$BS96+$BT96*$BT$2,CE96&lt;$BS96-$BT96*$BT$2),AVEDEV(ARRAYFORMULA(XLOOKUP(FILTER(INDIRECT(""'""&amp;CE$1&amp;""'!$C$4:$C$66""),INDIRECT(""'""&amp;CE$1&amp;""'!$D$4:$D$66"")=CE$2),$G$3:$BQ$3,$G96:$BQ96))),"""")"),"")</f>
        <v/>
      </c>
      <c r="CG96" s="207">
        <f>IFERROR(__xludf.DUMMYFUNCTION("AVERAGE(ARRAYFORMULA(XLOOKUP(FILTER(INDIRECT(""'""&amp;CG$1&amp;""'!$C$4:$C$66""),INDIRECT(""'""&amp;CG$1&amp;""'!$D$4:$D$66"")=CG$2),$G$3:$BQ$3,$G96:$BQ96)))"),0.22432654400000002)</f>
        <v>0.224326544</v>
      </c>
      <c r="CH96" s="207" t="str">
        <f>IFERROR(__xludf.DUMMYFUNCTION("IF(OR(CG96&gt;$BS96+$BT96*$BT$2,CG96&lt;$BS96-$BT96*$BT$2),AVEDEV(ARRAYFORMULA(XLOOKUP(FILTER(INDIRECT(""'""&amp;CG$1&amp;""'!$C$4:$C$66""),INDIRECT(""'""&amp;CG$1&amp;""'!$D$4:$D$66"")=CG$2),$G$3:$BQ$3,$G96:$BQ96))),"""")"),"")</f>
        <v/>
      </c>
      <c r="CI96" s="206"/>
      <c r="CJ96" s="251">
        <f>IFERROR(__xludf.DUMMYFUNCTION("AVERAGE(ARRAYFORMULA(XLOOKUP(FILTER(INDIRECT(""'""&amp;CJ$1&amp;""'!$C$4:$C$66""),INDIRECT(""'""&amp;CJ$1&amp;""'!$D$4:$D$66"")=CJ$2),$G$3:$BQ$3,$G96:$BQ96)))"),-0.23902041133333335)</f>
        <v>-0.2390204113</v>
      </c>
      <c r="CK96" s="207" t="str">
        <f>IFERROR(__xludf.DUMMYFUNCTION("IF(OR(CJ96&gt;$BS96+$BT96*$BT$2,CJ96&lt;$BS96-$BT96*$BT$2),AVEDEV(ARRAYFORMULA(XLOOKUP(FILTER(INDIRECT(""'""&amp;CJ$1&amp;""'!$C$4:$C$66""),INDIRECT(""'""&amp;CJ$1&amp;""'!$D$4:$D$66"")=CJ$2),$G$3:$BQ$3,$G96:$BQ96))),"""")"),"")</f>
        <v/>
      </c>
      <c r="CL96" s="251">
        <f>IFERROR(__xludf.DUMMYFUNCTION("AVERAGE(ARRAYFORMULA(XLOOKUP(FILTER(INDIRECT(""'""&amp;CL$1&amp;""'!$C$4:$C$66""),INDIRECT(""'""&amp;CL$1&amp;""'!$D$4:$D$66"")=CL$2),$G$3:$BQ$3,$G96:$BQ96)))"),0.02638828051282052)</f>
        <v>0.02638828051</v>
      </c>
      <c r="CM96" s="207" t="str">
        <f>IFERROR(__xludf.DUMMYFUNCTION("IF(OR(CL96&gt;$BS96+$BT96*$BT$2,CL96&lt;$BS96-$BT96*$BT$2),AVEDEV(ARRAYFORMULA(XLOOKUP(FILTER(INDIRECT(""'""&amp;CL$1&amp;""'!$C$4:$C$66""),INDIRECT(""'""&amp;CL$1&amp;""'!$D$4:$D$66"")=CL$2),$G$3:$BQ$3,$G96:$BQ96))),"""")"),"")</f>
        <v/>
      </c>
      <c r="CN96" s="253">
        <f>IFERROR(__xludf.DUMMYFUNCTION("AVERAGE(ARRAYFORMULA(XLOOKUP(FILTER(INDIRECT(""'""&amp;CN$1&amp;""'!$C$4:$C$66""),INDIRECT(""'""&amp;CN$1&amp;""'!$D$4:$D$66"")=CN$2),$G$3:$BQ$3,$G96:$BQ96)))"),0.22432654400000002)</f>
        <v>0.224326544</v>
      </c>
      <c r="CO96" s="207" t="str">
        <f>IFERROR(__xludf.DUMMYFUNCTION("IF(OR(CN96&gt;$BS96+$BT96*$BT$2,CN96&lt;$BS96-$BT96*$BT$2),AVEDEV(ARRAYFORMULA(XLOOKUP(FILTER(INDIRECT(""'""&amp;CN$1&amp;""'!$C$4:$C$66""),INDIRECT(""'""&amp;CN$1&amp;""'!$D$4:$D$66"")=CN$2),$G$3:$BQ$3,$G96:$BQ96))),"""")"),"")</f>
        <v/>
      </c>
      <c r="CP96" s="252"/>
      <c r="CQ96" s="251">
        <f>IFERROR(__xludf.DUMMYFUNCTION("AVERAGE(ARRAYFORMULA(XLOOKUP(FILTER(INDIRECT(""'""&amp;CQ$1&amp;""'!$C$4:$C$66""),INDIRECT(""'""&amp;CQ$1&amp;""'!$D$4:$D$66"")=CQ$2),$G$3:$BQ$3,$G96:$BQ96)))"),-0.09451894785714289)</f>
        <v>-0.09451894786</v>
      </c>
      <c r="CR96" s="207" t="str">
        <f>IFERROR(__xludf.DUMMYFUNCTION("IF(OR(CQ96&gt;$BS96+$BT96*$BT$2,CQ96&lt;$BS96-$BT96*$BT$2),AVEDEV(ARRAYFORMULA(XLOOKUP(FILTER(INDIRECT(""'""&amp;CQ$1&amp;""'!$C$4:$C$66""),INDIRECT(""'""&amp;CQ$1&amp;""'!$D$4:$D$66"")=CQ$2),$G$3:$BQ$3,$G96:$BQ96))),"""")"),"")</f>
        <v/>
      </c>
      <c r="CS96" s="251">
        <f>IFERROR(__xludf.DUMMYFUNCTION("AVERAGE(ARRAYFORMULA(XLOOKUP(FILTER(INDIRECT(""'""&amp;CS$1&amp;""'!$C$4:$C$66""),INDIRECT(""'""&amp;CS$1&amp;""'!$D$4:$D$66"")=CS$2),$G$3:$BQ$3,$G96:$BQ96)))"),-0.2400906988888889)</f>
        <v>-0.2400906989</v>
      </c>
      <c r="CT96" s="207" t="str">
        <f>IFERROR(__xludf.DUMMYFUNCTION("IF(OR(CS96&gt;$BS96+$BT96*$BT$2,CS96&lt;$BS96-$BT96*$BT$2),AVEDEV(ARRAYFORMULA(XLOOKUP(FILTER(INDIRECT(""'""&amp;CS$1&amp;""'!$C$4:$C$66""),INDIRECT(""'""&amp;CS$1&amp;""'!$D$4:$D$66"")=CS$2),$G$3:$BQ$3,$G96:$BQ96))),"""")"),"")</f>
        <v/>
      </c>
      <c r="CU96" s="251">
        <f>IFERROR(__xludf.DUMMYFUNCTION("AVERAGE(ARRAYFORMULA(XLOOKUP(FILTER(INDIRECT(""'""&amp;CU$1&amp;""'!$C$4:$C$66""),INDIRECT(""'""&amp;CU$1&amp;""'!$D$4:$D$66"")=CU$2),$G$3:$BQ$3,$G96:$BQ96)))"),0.5329127972727273)</f>
        <v>0.5329127973</v>
      </c>
      <c r="CV96" s="207" t="str">
        <f>IFERROR(__xludf.DUMMYFUNCTION("IF(OR(CU96&gt;$BS96+$BT96*$BT$2,CU96&lt;$BS96-$BT96*$BT$2),AVEDEV(ARRAYFORMULA(XLOOKUP(FILTER(INDIRECT(""'""&amp;CU$1&amp;""'!$C$4:$C$66""),INDIRECT(""'""&amp;CU$1&amp;""'!$D$4:$D$66"")=CU$2),$G$3:$BQ$3,$G96:$BQ96))),"""")"),"")</f>
        <v/>
      </c>
      <c r="CW96" s="251">
        <f>IFERROR(__xludf.DUMMYFUNCTION("AVERAGE(ARRAYFORMULA(XLOOKUP(FILTER(INDIRECT(""'""&amp;CW$1&amp;""'!$C$4:$C$66""),INDIRECT(""'""&amp;CW$1&amp;""'!$D$4:$D$66"")=CW$2),$G$3:$BQ$3,$G96:$BQ96)))"),0.10326531)</f>
        <v>0.10326531</v>
      </c>
      <c r="CX96" s="207" t="str">
        <f>IFERROR(__xludf.DUMMYFUNCTION("IF(OR(CW96&gt;$BS96+$BT96*$BT$2,CW96&lt;$BS96-$BT96*$BT$2),AVEDEV(ARRAYFORMULA(XLOOKUP(FILTER(INDIRECT(""'""&amp;CW$1&amp;""'!$C$4:$C$66""),INDIRECT(""'""&amp;CW$1&amp;""'!$D$4:$D$66"")=CW$2),$G$3:$BQ$3,$G96:$BQ96))),"""")"),"")</f>
        <v/>
      </c>
      <c r="CY96" s="253">
        <f>IFERROR(__xludf.DUMMYFUNCTION("AVERAGE(ARRAYFORMULA(XLOOKUP(FILTER(INDIRECT(""'""&amp;CY$1&amp;""'!$C$4:$C$66""),INDIRECT(""'""&amp;CY$1&amp;""'!$D$4:$D$66"")=CY$2),$G$3:$BQ$3,$G96:$BQ96)))"),-0.06444897285714282)</f>
        <v>-0.06444897286</v>
      </c>
      <c r="CZ96" s="207" t="str">
        <f>IFERROR(__xludf.DUMMYFUNCTION("IF(OR(CY96&gt;$BS96+$BT96*$BT$2,CY96&lt;$BS96-$BT96*$BT$2),AVEDEV(ARRAYFORMULA(XLOOKUP(FILTER(INDIRECT(""'""&amp;CY$1&amp;""'!$C$4:$C$66""),INDIRECT(""'""&amp;CY$1&amp;""'!$D$4:$D$66"")=CY$2),$G$3:$BQ$3,$G96:$BQ96))),"""")"),"")</f>
        <v/>
      </c>
      <c r="DA96" s="252"/>
      <c r="DB96" s="251">
        <f>IFERROR(__xludf.DUMMYFUNCTION("AVERAGE(ARRAYFORMULA(XLOOKUP(FILTER(INDIRECT(""'""&amp;DB$1&amp;""'!$C$4:$C$66""),INDIRECT(""'""&amp;DB$1&amp;""'!$D$4:$D$66"")=DB$2),$G$3:$BQ$3,$G96:$BQ96)))"),-0.030448977666666675)</f>
        <v>-0.03044897767</v>
      </c>
      <c r="DC96" s="207" t="str">
        <f>IFERROR(__xludf.DUMMYFUNCTION("IF(OR(DB96&gt;$BS96+$BT96*$BT$2,DB96&lt;$BS96-$BT96*$BT$2),AVEDEV(ARRAYFORMULA(XLOOKUP(FILTER(INDIRECT(""'""&amp;DB$1&amp;""'!$C$4:$C$66""),INDIRECT(""'""&amp;DB$1&amp;""'!$D$4:$D$66"")=DB$2),$G$3:$BQ$3,$G96:$BQ96))),"""")"),"")</f>
        <v/>
      </c>
      <c r="DD96" s="251">
        <f>IFERROR(__xludf.DUMMYFUNCTION("AVERAGE(ARRAYFORMULA(XLOOKUP(FILTER(INDIRECT(""'""&amp;DD$1&amp;""'!$C$4:$C$66""),INDIRECT(""'""&amp;DD$1&amp;""'!$D$4:$D$66"")=DD$2),$G$3:$BQ$3,$G96:$BQ96)))"),-0.04507936222222221)</f>
        <v>-0.04507936222</v>
      </c>
      <c r="DE96" s="207" t="str">
        <f>IFERROR(__xludf.DUMMYFUNCTION("IF(OR(DD96&gt;$BS96+$BT96*$BT$2,DD96&lt;$BS96-$BT96*$BT$2),AVEDEV(ARRAYFORMULA(XLOOKUP(FILTER(INDIRECT(""'""&amp;DD$1&amp;""'!$C$4:$C$66""),INDIRECT(""'""&amp;DD$1&amp;""'!$D$4:$D$66"")=DD$2),$G$3:$BQ$3,$G96:$BQ96))),"""")"),"")</f>
        <v/>
      </c>
      <c r="DF96" s="251">
        <f>IFERROR(__xludf.DUMMYFUNCTION("AVERAGE(ARRAYFORMULA(XLOOKUP(FILTER(INDIRECT(""'""&amp;DF$1&amp;""'!$C$4:$C$66""),INDIRECT(""'""&amp;DF$1&amp;""'!$D$4:$D$66"")=DF$2),$G$3:$BQ$3,$G96:$BQ96)))"),-0.042479591250000004)</f>
        <v>-0.04247959125</v>
      </c>
      <c r="DG96" s="207" t="str">
        <f>IFERROR(__xludf.DUMMYFUNCTION("IF(OR(DF96&gt;$BS96+$BT96*$BT$2,DF96&lt;$BS96-$BT96*$BT$2),AVEDEV(ARRAYFORMULA(XLOOKUP(FILTER(INDIRECT(""'""&amp;DF$1&amp;""'!$C$4:$C$66""),INDIRECT(""'""&amp;DF$1&amp;""'!$D$4:$D$66"")=DF$2),$G$3:$BQ$3,$G96:$BQ96))),"""")"),"")</f>
        <v/>
      </c>
      <c r="DH96" s="251">
        <f>IFERROR(__xludf.DUMMYFUNCTION("AVERAGE(ARRAYFORMULA(XLOOKUP(FILTER(INDIRECT(""'""&amp;DH$1&amp;""'!$C$4:$C$66""),INDIRECT(""'""&amp;DH$1&amp;""'!$D$4:$D$66"")=DH$2),$G$3:$BQ$3,$G96:$BQ96)))"),0.3668027233333333)</f>
        <v>0.3668027233</v>
      </c>
      <c r="DI96" s="207" t="str">
        <f>IFERROR(__xludf.DUMMYFUNCTION("IF(OR(DH96&gt;$BS96+$BT96*$BT$2,DH96&lt;$BS96-$BT96*$BT$2),AVEDEV(ARRAYFORMULA(XLOOKUP(FILTER(INDIRECT(""'""&amp;DH$1&amp;""'!$C$4:$C$66""),INDIRECT(""'""&amp;DH$1&amp;""'!$D$4:$D$66"")=DH$2),$G$3:$BQ$3,$G96:$BQ96))),"""")"),"")</f>
        <v/>
      </c>
      <c r="DJ96" s="243"/>
    </row>
    <row r="97">
      <c r="A97" s="2"/>
      <c r="B97" s="204">
        <v>93.0</v>
      </c>
      <c r="C97" s="204" t="s">
        <v>507</v>
      </c>
      <c r="D97" s="204" t="s">
        <v>538</v>
      </c>
      <c r="E97" s="205" t="b">
        <f>VLOOKUP(D97,'Feature Set List'!A94:C246,2,0)</f>
        <v>1</v>
      </c>
      <c r="F97" s="205" t="b">
        <f>VLOOKUP(D97,'Feature Set List'!A94:C246,3,0)</f>
        <v>1</v>
      </c>
      <c r="G97" s="205">
        <v>1.20652711</v>
      </c>
      <c r="H97" s="205">
        <v>0.62963573</v>
      </c>
      <c r="I97" s="205">
        <v>0.99115433</v>
      </c>
      <c r="J97" s="205">
        <v>0.49228064</v>
      </c>
      <c r="K97" s="205">
        <v>0.51755398</v>
      </c>
      <c r="L97" s="205">
        <v>-0.2318554</v>
      </c>
      <c r="M97" s="205">
        <v>-0.1660348</v>
      </c>
      <c r="N97" s="205">
        <v>-0.3265755</v>
      </c>
      <c r="O97" s="205">
        <v>1.3142135</v>
      </c>
      <c r="P97" s="205">
        <v>0.06955662</v>
      </c>
      <c r="Q97" s="205">
        <v>-0.2965771</v>
      </c>
      <c r="R97" s="205">
        <v>-0.0883468</v>
      </c>
      <c r="S97" s="205">
        <v>0.23218504</v>
      </c>
      <c r="T97" s="205">
        <v>-0.1710895</v>
      </c>
      <c r="U97" s="205">
        <v>-0.7472117</v>
      </c>
      <c r="V97" s="205">
        <v>-0.0861491</v>
      </c>
      <c r="W97" s="205">
        <v>-0.1949343</v>
      </c>
      <c r="X97" s="205">
        <v>-0.6833581</v>
      </c>
      <c r="Y97" s="205">
        <v>0.73951981</v>
      </c>
      <c r="Z97" s="205">
        <v>-0.6068897</v>
      </c>
      <c r="AA97" s="205">
        <v>-0.6099665</v>
      </c>
      <c r="AB97" s="205">
        <v>-0.6485138</v>
      </c>
      <c r="AC97" s="205">
        <v>0.30020329</v>
      </c>
      <c r="AD97" s="205">
        <v>-0.2446019</v>
      </c>
      <c r="AE97" s="205">
        <v>-0.0364815</v>
      </c>
      <c r="AF97" s="205">
        <v>0.59227515</v>
      </c>
      <c r="AG97" s="205">
        <v>-0.2317455</v>
      </c>
      <c r="AH97" s="205">
        <v>-0.250206</v>
      </c>
      <c r="AI97" s="205">
        <v>0.90544476</v>
      </c>
      <c r="AJ97" s="205">
        <v>-0.6608098</v>
      </c>
      <c r="AK97" s="205">
        <v>-0.1330696</v>
      </c>
      <c r="AL97" s="205">
        <v>0.03087742</v>
      </c>
      <c r="AM97" s="205">
        <v>0.26185374</v>
      </c>
      <c r="AN97" s="205">
        <v>0.35822208</v>
      </c>
      <c r="AO97" s="205">
        <v>-0.7472117</v>
      </c>
      <c r="AP97" s="205">
        <v>-0.6144717</v>
      </c>
      <c r="AQ97" s="205">
        <v>1.57793528</v>
      </c>
      <c r="AR97" s="205">
        <v>-0.0953794</v>
      </c>
      <c r="AS97" s="205">
        <v>0.70875227</v>
      </c>
      <c r="AT97" s="205">
        <v>0.68128125</v>
      </c>
      <c r="AU97" s="205">
        <v>-0.7472117</v>
      </c>
      <c r="AV97" s="205">
        <v>1.07246855</v>
      </c>
      <c r="AW97" s="205">
        <v>-0.231306</v>
      </c>
      <c r="AX97" s="205">
        <v>-0.6395473</v>
      </c>
      <c r="AY97" s="205">
        <v>-0.718466</v>
      </c>
      <c r="AZ97" s="205">
        <v>0.30306027</v>
      </c>
      <c r="BA97" s="205">
        <v>1.11642217</v>
      </c>
      <c r="BB97" s="205">
        <v>-0.6794791</v>
      </c>
      <c r="BC97" s="205">
        <v>1.72298225</v>
      </c>
      <c r="BD97" s="205">
        <v>0.11988352</v>
      </c>
      <c r="BE97" s="205">
        <v>-0.6763145</v>
      </c>
      <c r="BF97" s="205">
        <v>1.30432394</v>
      </c>
      <c r="BG97" s="205">
        <v>0.69556618</v>
      </c>
      <c r="BH97" s="205">
        <v>0.03648151</v>
      </c>
      <c r="BI97" s="205">
        <v>-0.2081204</v>
      </c>
      <c r="BJ97" s="205">
        <v>1.79001154</v>
      </c>
      <c r="BK97" s="205">
        <v>1.36366134</v>
      </c>
      <c r="BL97" s="205">
        <v>-0.563046</v>
      </c>
      <c r="BM97" s="205">
        <v>-0.7015549</v>
      </c>
      <c r="BN97" s="205">
        <v>0.65051371</v>
      </c>
      <c r="BO97" s="205">
        <v>2.57348497</v>
      </c>
      <c r="BP97" s="205">
        <v>0.0</v>
      </c>
      <c r="BQ97" s="205">
        <v>0.7043569</v>
      </c>
      <c r="BR97" s="206"/>
      <c r="BS97" s="250">
        <f t="shared" si="1"/>
        <v>0.1908914849</v>
      </c>
      <c r="BT97" s="250">
        <f t="shared" si="2"/>
        <v>0.6238672917</v>
      </c>
      <c r="BU97" s="206"/>
      <c r="BV97" s="207">
        <f>IFERROR(__xludf.DUMMYFUNCTION("AVERAGE(ARRAYFORMULA(XLOOKUP(FILTER(INDIRECT(""'""&amp;BV$1&amp;""'!$C$4:$C$66""),INDIRECT(""'""&amp;BV$1&amp;""'!$D$4:$D$66"")=BV$2),$G$3:$BQ$3,$G97:$BQ97)))"),-0.6878695857142859)</f>
        <v>-0.6878695857</v>
      </c>
      <c r="BW97" s="207">
        <f>IFERROR(__xludf.DUMMYFUNCTION("IF(OR(BV97&gt;$BS97+$BT97*$BT$2,BV97&lt;$BS97-$BT97*$BT$2),AVEDEV(ARRAYFORMULA(XLOOKUP(FILTER(INDIRECT(""'""&amp;BV$1&amp;""'!$C$4:$C$66""),INDIRECT(""'""&amp;BV$1&amp;""'!$D$4:$D$66"")=BV$2),$G$3:$BQ$3,$G97:$BQ97))),"""")"),0.042651612244897996)</f>
        <v>0.04265161224</v>
      </c>
      <c r="BX97" s="207">
        <f>IFERROR(__xludf.DUMMYFUNCTION("AVERAGE(ARRAYFORMULA(XLOOKUP(FILTER(INDIRECT(""'""&amp;BX$1&amp;""'!$C$4:$C$66""),INDIRECT(""'""&amp;BX$1&amp;""'!$D$4:$D$66"")=BX$2),$G$3:$BQ$3,$G97:$BQ97)))"),0.33132219690476183)</f>
        <v>0.3313221969</v>
      </c>
      <c r="BY97" s="207" t="str">
        <f>IFERROR(__xludf.DUMMYFUNCTION("IF(OR(BX97&gt;$BS97+$BT97*$BT$2,BX97&lt;$BS97-$BT97*$BT$2),AVEDEV(ARRAYFORMULA(XLOOKUP(FILTER(INDIRECT(""'""&amp;BX$1&amp;""'!$C$4:$C$66""),INDIRECT(""'""&amp;BX$1&amp;""'!$D$4:$D$66"")=BX$2),$G$3:$BQ$3,$G97:$BQ97))),"""")"),"")</f>
        <v/>
      </c>
      <c r="BZ97" s="207">
        <f>IFERROR(__xludf.DUMMYFUNCTION("AVERAGE(ARRAYFORMULA(XLOOKUP(FILTER(INDIRECT(""'""&amp;BZ$1&amp;""'!$C$4:$C$66""),INDIRECT(""'""&amp;BZ$1&amp;""'!$D$4:$D$66"")=BZ$2),$G$3:$BQ$3,$G97:$BQ97)))"),0.23289929363636366)</f>
        <v>0.2328992936</v>
      </c>
      <c r="CA97" s="207" t="str">
        <f>IFERROR(__xludf.DUMMYFUNCTION("IF(OR(BZ97&gt;$BS97+$BT97*$BT$2,BZ97&lt;$BS97-$BT97*$BT$2),AVEDEV(ARRAYFORMULA(XLOOKUP(FILTER(INDIRECT(""'""&amp;BZ$1&amp;""'!$C$4:$C$66""),INDIRECT(""'""&amp;BZ$1&amp;""'!$D$4:$D$66"")=BZ$2),$G$3:$BQ$3,$G97:$BQ97))),"""")"),"")</f>
        <v/>
      </c>
      <c r="CB97" s="209"/>
      <c r="CC97" s="207">
        <f>IFERROR(__xludf.DUMMYFUNCTION("AVERAGE(ARRAYFORMULA(XLOOKUP(FILTER(INDIRECT(""'""&amp;CC$1&amp;""'!$C$4:$C$66""),INDIRECT(""'""&amp;CC$1&amp;""'!$D$4:$D$66"")=CC$2),$G$3:$BQ$3,$G97:$BQ97)))"),0.1888728675)</f>
        <v>0.1888728675</v>
      </c>
      <c r="CD97" s="207" t="str">
        <f>IFERROR(__xludf.DUMMYFUNCTION("IF(OR(CC97&gt;$BS97+$BT97*$BT$2,CC97&lt;$BS97-$BT97*$BT$2),AVEDEV(ARRAYFORMULA(XLOOKUP(FILTER(INDIRECT(""'""&amp;CC$1&amp;""'!$C$4:$C$66""),INDIRECT(""'""&amp;CC$1&amp;""'!$D$4:$D$66"")=CC$2),$G$3:$BQ$3,$G97:$BQ97))),"""")"),"")</f>
        <v/>
      </c>
      <c r="CE97" s="207">
        <f>IFERROR(__xludf.DUMMYFUNCTION("AVERAGE(ARRAYFORMULA(XLOOKUP(FILTER(INDIRECT(""'""&amp;CE$1&amp;""'!$C$4:$C$66""),INDIRECT(""'""&amp;CE$1&amp;""'!$D$4:$D$66"")=CE$2),$G$3:$BQ$3,$G97:$BQ97)))"),0.1893951322580645)</f>
        <v>0.1893951323</v>
      </c>
      <c r="CF97" s="207" t="str">
        <f>IFERROR(__xludf.DUMMYFUNCTION("IF(OR(CE97&gt;$BS97+$BT97*$BT$2,CE97&lt;$BS97-$BT97*$BT$2),AVEDEV(ARRAYFORMULA(XLOOKUP(FILTER(INDIRECT(""'""&amp;CE$1&amp;""'!$C$4:$C$66""),INDIRECT(""'""&amp;CE$1&amp;""'!$D$4:$D$66"")=CE$2),$G$3:$BQ$3,$G97:$BQ97))),"""")"),"")</f>
        <v/>
      </c>
      <c r="CG97" s="207">
        <f>IFERROR(__xludf.DUMMYFUNCTION("AVERAGE(ARRAYFORMULA(XLOOKUP(FILTER(INDIRECT(""'""&amp;CG$1&amp;""'!$C$4:$C$66""),INDIRECT(""'""&amp;CG$1&amp;""'!$D$4:$D$66"")=CG$2),$G$3:$BQ$3,$G97:$BQ97)))"),0.483841548)</f>
        <v>0.483841548</v>
      </c>
      <c r="CH97" s="207" t="str">
        <f>IFERROR(__xludf.DUMMYFUNCTION("IF(OR(CG97&gt;$BS97+$BT97*$BT$2,CG97&lt;$BS97-$BT97*$BT$2),AVEDEV(ARRAYFORMULA(XLOOKUP(FILTER(INDIRECT(""'""&amp;CG$1&amp;""'!$C$4:$C$66""),INDIRECT(""'""&amp;CG$1&amp;""'!$D$4:$D$66"")=CG$2),$G$3:$BQ$3,$G97:$BQ97))),"""")"),"")</f>
        <v/>
      </c>
      <c r="CI97" s="206"/>
      <c r="CJ97" s="251">
        <f>IFERROR(__xludf.DUMMYFUNCTION("AVERAGE(ARRAYFORMULA(XLOOKUP(FILTER(INDIRECT(""'""&amp;CJ$1&amp;""'!$C$4:$C$66""),INDIRECT(""'""&amp;CJ$1&amp;""'!$D$4:$D$66"")=CJ$2),$G$3:$BQ$3,$G97:$BQ97)))"),0.009423655333333336)</f>
        <v>0.009423655333</v>
      </c>
      <c r="CK97" s="207" t="str">
        <f>IFERROR(__xludf.DUMMYFUNCTION("IF(OR(CJ97&gt;$BS97+$BT97*$BT$2,CJ97&lt;$BS97-$BT97*$BT$2),AVEDEV(ARRAYFORMULA(XLOOKUP(FILTER(INDIRECT(""'""&amp;CJ$1&amp;""'!$C$4:$C$66""),INDIRECT(""'""&amp;CJ$1&amp;""'!$D$4:$D$66"")=CJ$2),$G$3:$BQ$3,$G97:$BQ97))),"""")"),"")</f>
        <v/>
      </c>
      <c r="CL97" s="251">
        <f>IFERROR(__xludf.DUMMYFUNCTION("AVERAGE(ARRAYFORMULA(XLOOKUP(FILTER(INDIRECT(""'""&amp;CL$1&amp;""'!$C$4:$C$66""),INDIRECT(""'""&amp;CL$1&amp;""'!$D$4:$D$66"")=CL$2),$G$3:$BQ$3,$G97:$BQ97)))"),0.24781591871794864)</f>
        <v>0.2478159187</v>
      </c>
      <c r="CM97" s="207" t="str">
        <f>IFERROR(__xludf.DUMMYFUNCTION("IF(OR(CL97&gt;$BS97+$BT97*$BT$2,CL97&lt;$BS97-$BT97*$BT$2),AVEDEV(ARRAYFORMULA(XLOOKUP(FILTER(INDIRECT(""'""&amp;CL$1&amp;""'!$C$4:$C$66""),INDIRECT(""'""&amp;CL$1&amp;""'!$D$4:$D$66"")=CL$2),$G$3:$BQ$3,$G97:$BQ97))),"""")"),"")</f>
        <v/>
      </c>
      <c r="CN97" s="251">
        <f>IFERROR(__xludf.DUMMYFUNCTION("AVERAGE(ARRAYFORMULA(XLOOKUP(FILTER(INDIRECT(""'""&amp;CN$1&amp;""'!$C$4:$C$66""),INDIRECT(""'""&amp;CN$1&amp;""'!$D$4:$D$66"")=CN$2),$G$3:$BQ$3,$G97:$BQ97)))"),0.483841548)</f>
        <v>0.483841548</v>
      </c>
      <c r="CO97" s="207" t="str">
        <f>IFERROR(__xludf.DUMMYFUNCTION("IF(OR(CN97&gt;$BS97+$BT97*$BT$2,CN97&lt;$BS97-$BT97*$BT$2),AVEDEV(ARRAYFORMULA(XLOOKUP(FILTER(INDIRECT(""'""&amp;CN$1&amp;""'!$C$4:$C$66""),INDIRECT(""'""&amp;CN$1&amp;""'!$D$4:$D$66"")=CN$2),$G$3:$BQ$3,$G97:$BQ97))),"""")"),"")</f>
        <v/>
      </c>
      <c r="CP97" s="252"/>
      <c r="CQ97" s="251">
        <f>IFERROR(__xludf.DUMMYFUNCTION("AVERAGE(ARRAYFORMULA(XLOOKUP(FILTER(INDIRECT(""'""&amp;CQ$1&amp;""'!$C$4:$C$66""),INDIRECT(""'""&amp;CQ$1&amp;""'!$D$4:$D$66"")=CQ$2),$G$3:$BQ$3,$G97:$BQ97)))"),0.3317400150000001)</f>
        <v>0.331740015</v>
      </c>
      <c r="CR97" s="207" t="str">
        <f>IFERROR(__xludf.DUMMYFUNCTION("IF(OR(CQ97&gt;$BS97+$BT97*$BT$2,CQ97&lt;$BS97-$BT97*$BT$2),AVEDEV(ARRAYFORMULA(XLOOKUP(FILTER(INDIRECT(""'""&amp;CQ$1&amp;""'!$C$4:$C$66""),INDIRECT(""'""&amp;CQ$1&amp;""'!$D$4:$D$66"")=CQ$2),$G$3:$BQ$3,$G97:$BQ97))),"""")"),"")</f>
        <v/>
      </c>
      <c r="CS97" s="251">
        <f>IFERROR(__xludf.DUMMYFUNCTION("AVERAGE(ARRAYFORMULA(XLOOKUP(FILTER(INDIRECT(""'""&amp;CS$1&amp;""'!$C$4:$C$66""),INDIRECT(""'""&amp;CS$1&amp;""'!$D$4:$D$66"")=CS$2),$G$3:$BQ$3,$G97:$BQ97)))"),0.3289318733333333)</f>
        <v>0.3289318733</v>
      </c>
      <c r="CT97" s="207" t="str">
        <f>IFERROR(__xludf.DUMMYFUNCTION("IF(OR(CS97&gt;$BS97+$BT97*$BT$2,CS97&lt;$BS97-$BT97*$BT$2),AVEDEV(ARRAYFORMULA(XLOOKUP(FILTER(INDIRECT(""'""&amp;CS$1&amp;""'!$C$4:$C$66""),INDIRECT(""'""&amp;CS$1&amp;""'!$D$4:$D$66"")=CS$2),$G$3:$BQ$3,$G97:$BQ97))),"""")"),"")</f>
        <v/>
      </c>
      <c r="CU97" s="251">
        <f>IFERROR(__xludf.DUMMYFUNCTION("AVERAGE(ARRAYFORMULA(XLOOKUP(FILTER(INDIRECT(""'""&amp;CU$1&amp;""'!$C$4:$C$66""),INDIRECT(""'""&amp;CU$1&amp;""'!$D$4:$D$66"")=CU$2),$G$3:$BQ$3,$G97:$BQ97)))"),0.4192197263636364)</f>
        <v>0.4192197264</v>
      </c>
      <c r="CV97" s="207" t="str">
        <f>IFERROR(__xludf.DUMMYFUNCTION("IF(OR(CU97&gt;$BS97+$BT97*$BT$2,CU97&lt;$BS97-$BT97*$BT$2),AVEDEV(ARRAYFORMULA(XLOOKUP(FILTER(INDIRECT(""'""&amp;CU$1&amp;""'!$C$4:$C$66""),INDIRECT(""'""&amp;CU$1&amp;""'!$D$4:$D$66"")=CU$2),$G$3:$BQ$3,$G97:$BQ97))),"""")"),"")</f>
        <v/>
      </c>
      <c r="CW97" s="251">
        <f>IFERROR(__xludf.DUMMYFUNCTION("AVERAGE(ARRAYFORMULA(XLOOKUP(FILTER(INDIRECT(""'""&amp;CW$1&amp;""'!$C$4:$C$66""),INDIRECT(""'""&amp;CW$1&amp;""'!$D$4:$D$66"")=CW$2),$G$3:$BQ$3,$G97:$BQ97)))"),-0.10406019500000001)</f>
        <v>-0.104060195</v>
      </c>
      <c r="CX97" s="207" t="str">
        <f>IFERROR(__xludf.DUMMYFUNCTION("IF(OR(CW97&gt;$BS97+$BT97*$BT$2,CW97&lt;$BS97-$BT97*$BT$2),AVEDEV(ARRAYFORMULA(XLOOKUP(FILTER(INDIRECT(""'""&amp;CW$1&amp;""'!$C$4:$C$66""),INDIRECT(""'""&amp;CW$1&amp;""'!$D$4:$D$66"")=CW$2),$G$3:$BQ$3,$G97:$BQ97))),"""")"),"")</f>
        <v/>
      </c>
      <c r="CY97" s="251">
        <f>IFERROR(__xludf.DUMMYFUNCTION("AVERAGE(ARRAYFORMULA(XLOOKUP(FILTER(INDIRECT(""'""&amp;CY$1&amp;""'!$C$4:$C$66""),INDIRECT(""'""&amp;CY$1&amp;""'!$D$4:$D$66"")=CY$2),$G$3:$BQ$3,$G97:$BQ97)))"),0.28175924857142853)</f>
        <v>0.2817592486</v>
      </c>
      <c r="CZ97" s="207" t="str">
        <f>IFERROR(__xludf.DUMMYFUNCTION("IF(OR(CY97&gt;$BS97+$BT97*$BT$2,CY97&lt;$BS97-$BT97*$BT$2),AVEDEV(ARRAYFORMULA(XLOOKUP(FILTER(INDIRECT(""'""&amp;CY$1&amp;""'!$C$4:$C$66""),INDIRECT(""'""&amp;CY$1&amp;""'!$D$4:$D$66"")=CY$2),$G$3:$BQ$3,$G97:$BQ97))),"""")"),"")</f>
        <v/>
      </c>
      <c r="DA97" s="252"/>
      <c r="DB97" s="251">
        <f>IFERROR(__xludf.DUMMYFUNCTION("AVERAGE(ARRAYFORMULA(XLOOKUP(FILTER(INDIRECT(""'""&amp;DB$1&amp;""'!$C$4:$C$66""),INDIRECT(""'""&amp;DB$1&amp;""'!$D$4:$D$66"")=DB$2),$G$3:$BQ$3,$G97:$BQ97)))"),0.25467319266666666)</f>
        <v>0.2546731927</v>
      </c>
      <c r="DC97" s="207" t="str">
        <f>IFERROR(__xludf.DUMMYFUNCTION("IF(OR(DB97&gt;$BS97+$BT97*$BT$2,DB97&lt;$BS97-$BT97*$BT$2),AVEDEV(ARRAYFORMULA(XLOOKUP(FILTER(INDIRECT(""'""&amp;DB$1&amp;""'!$C$4:$C$66""),INDIRECT(""'""&amp;DB$1&amp;""'!$D$4:$D$66"")=DB$2),$G$3:$BQ$3,$G97:$BQ97))),"""")"),"")</f>
        <v/>
      </c>
      <c r="DD97" s="251">
        <f>IFERROR(__xludf.DUMMYFUNCTION("AVERAGE(ARRAYFORMULA(XLOOKUP(FILTER(INDIRECT(""'""&amp;DD$1&amp;""'!$C$4:$C$66""),INDIRECT(""'""&amp;DD$1&amp;""'!$D$4:$D$66"")=DD$2),$G$3:$BQ$3,$G97:$BQ97)))"),0.22216728333333335)</f>
        <v>0.2221672833</v>
      </c>
      <c r="DE97" s="207" t="str">
        <f>IFERROR(__xludf.DUMMYFUNCTION("IF(OR(DD97&gt;$BS97+$BT97*$BT$2,DD97&lt;$BS97-$BT97*$BT$2),AVEDEV(ARRAYFORMULA(XLOOKUP(FILTER(INDIRECT(""'""&amp;DD$1&amp;""'!$C$4:$C$66""),INDIRECT(""'""&amp;DD$1&amp;""'!$D$4:$D$66"")=DD$2),$G$3:$BQ$3,$G97:$BQ97))),"""")"),"")</f>
        <v/>
      </c>
      <c r="DF97" s="251">
        <f>IFERROR(__xludf.DUMMYFUNCTION("AVERAGE(ARRAYFORMULA(XLOOKUP(FILTER(INDIRECT(""'""&amp;DF$1&amp;""'!$C$4:$C$66""),INDIRECT(""'""&amp;DF$1&amp;""'!$D$4:$D$66"")=DF$2),$G$3:$BQ$3,$G97:$BQ97)))"),-0.12191774875000001)</f>
        <v>-0.1219177488</v>
      </c>
      <c r="DG97" s="207" t="str">
        <f>IFERROR(__xludf.DUMMYFUNCTION("IF(OR(DF97&gt;$BS97+$BT97*$BT$2,DF97&lt;$BS97-$BT97*$BT$2),AVEDEV(ARRAYFORMULA(XLOOKUP(FILTER(INDIRECT(""'""&amp;DF$1&amp;""'!$C$4:$C$66""),INDIRECT(""'""&amp;DF$1&amp;""'!$D$4:$D$66"")=DF$2),$G$3:$BQ$3,$G97:$BQ97))),"""")"),"")</f>
        <v/>
      </c>
      <c r="DH97" s="251">
        <f>IFERROR(__xludf.DUMMYFUNCTION("AVERAGE(ARRAYFORMULA(XLOOKUP(FILTER(INDIRECT(""'""&amp;DH$1&amp;""'!$C$4:$C$66""),INDIRECT(""'""&amp;DH$1&amp;""'!$D$4:$D$66"")=DH$2),$G$3:$BQ$3,$G97:$BQ97)))"),0.565219251111111)</f>
        <v>0.5652192511</v>
      </c>
      <c r="DI97" s="207" t="str">
        <f>IFERROR(__xludf.DUMMYFUNCTION("IF(OR(DH97&gt;$BS97+$BT97*$BT$2,DH97&lt;$BS97-$BT97*$BT$2),AVEDEV(ARRAYFORMULA(XLOOKUP(FILTER(INDIRECT(""'""&amp;DH$1&amp;""'!$C$4:$C$66""),INDIRECT(""'""&amp;DH$1&amp;""'!$D$4:$D$66"")=DH$2),$G$3:$BQ$3,$G97:$BQ97))),"""")"),"")</f>
        <v/>
      </c>
      <c r="DJ97" s="243"/>
    </row>
    <row r="98">
      <c r="A98" s="2"/>
      <c r="B98" s="204">
        <v>94.0</v>
      </c>
      <c r="C98" s="204" t="s">
        <v>507</v>
      </c>
      <c r="D98" s="204" t="s">
        <v>539</v>
      </c>
      <c r="E98" s="205" t="b">
        <f>VLOOKUP(D98,'Feature Set List'!A95:C246,2,0)</f>
        <v>1</v>
      </c>
      <c r="F98" s="205" t="b">
        <f>VLOOKUP(D98,'Feature Set List'!A95:C246,3,0)</f>
        <v>1</v>
      </c>
      <c r="G98" s="205">
        <v>-0.4897638</v>
      </c>
      <c r="H98" s="205">
        <v>-0.1529134</v>
      </c>
      <c r="I98" s="205">
        <v>85.9354331</v>
      </c>
      <c r="J98" s="205">
        <v>-0.1927559</v>
      </c>
      <c r="K98" s="205">
        <v>0.30629921</v>
      </c>
      <c r="L98" s="205">
        <v>0.22519685</v>
      </c>
      <c r="M98" s="205">
        <v>-0.4808898</v>
      </c>
      <c r="N98" s="205">
        <v>1.58740157</v>
      </c>
      <c r="O98" s="205">
        <v>-0.4088661</v>
      </c>
      <c r="P98" s="205">
        <v>1.16535433</v>
      </c>
      <c r="Q98" s="205">
        <v>2.30393701</v>
      </c>
      <c r="R98" s="205">
        <v>-0.4146142</v>
      </c>
      <c r="S98" s="205">
        <v>-0.1623622</v>
      </c>
      <c r="T98" s="205">
        <v>0.14251969</v>
      </c>
      <c r="U98" s="205">
        <v>0.68677165</v>
      </c>
      <c r="V98" s="205">
        <v>1.01527559</v>
      </c>
      <c r="W98" s="205">
        <v>-0.4271654</v>
      </c>
      <c r="X98" s="205">
        <v>1.08976378</v>
      </c>
      <c r="Y98" s="205">
        <v>-0.4593071</v>
      </c>
      <c r="Z98" s="205">
        <v>-0.4637953</v>
      </c>
      <c r="AA98" s="205">
        <v>-0.2423622</v>
      </c>
      <c r="AB98" s="205">
        <v>-0.3159055</v>
      </c>
      <c r="AC98" s="205">
        <v>0.04929134</v>
      </c>
      <c r="AD98" s="205">
        <v>-0.0708661</v>
      </c>
      <c r="AE98" s="205">
        <v>-0.2577953</v>
      </c>
      <c r="AF98" s="205">
        <v>-0.0828346</v>
      </c>
      <c r="AG98" s="205">
        <v>0.73984252</v>
      </c>
      <c r="AH98" s="205">
        <v>-0.3162205</v>
      </c>
      <c r="AI98" s="205">
        <v>0.36015748</v>
      </c>
      <c r="AJ98" s="205">
        <v>1.63307087</v>
      </c>
      <c r="AK98" s="205">
        <v>0.56551181</v>
      </c>
      <c r="AL98" s="205">
        <v>-0.0138583</v>
      </c>
      <c r="AM98" s="205">
        <v>0.91590551</v>
      </c>
      <c r="AN98" s="205">
        <v>0.17480315</v>
      </c>
      <c r="AO98" s="205">
        <v>1.26299213</v>
      </c>
      <c r="AP98" s="205">
        <v>0.54094488</v>
      </c>
      <c r="AQ98" s="205">
        <v>-0.3988189</v>
      </c>
      <c r="AR98" s="205">
        <v>0.53590551</v>
      </c>
      <c r="AS98" s="205">
        <v>0.1223622</v>
      </c>
      <c r="AT98" s="205">
        <v>0.13984252</v>
      </c>
      <c r="AU98" s="205">
        <v>0.19055118</v>
      </c>
      <c r="AV98" s="205">
        <v>-0.4462677</v>
      </c>
      <c r="AW98" s="205">
        <v>0.68110236</v>
      </c>
      <c r="AX98" s="205">
        <v>-0.223937</v>
      </c>
      <c r="AY98" s="205">
        <v>0.0</v>
      </c>
      <c r="AZ98" s="205">
        <v>-0.2474016</v>
      </c>
      <c r="BA98" s="205">
        <v>-0.3402205</v>
      </c>
      <c r="BB98" s="205">
        <v>4.34645669</v>
      </c>
      <c r="BC98" s="205">
        <v>-0.007874</v>
      </c>
      <c r="BD98" s="205">
        <v>-0.4675118</v>
      </c>
      <c r="BE98" s="205">
        <v>-0.4832787</v>
      </c>
      <c r="BF98" s="205">
        <v>-0.3661575</v>
      </c>
      <c r="BG98" s="205">
        <v>3.20472441</v>
      </c>
      <c r="BH98" s="205">
        <v>-0.0559055</v>
      </c>
      <c r="BI98" s="205">
        <v>0.16677165</v>
      </c>
      <c r="BJ98" s="205">
        <v>-0.3953858</v>
      </c>
      <c r="BK98" s="205">
        <v>0.56299213</v>
      </c>
      <c r="BL98" s="205">
        <v>-0.4585827</v>
      </c>
      <c r="BM98" s="205">
        <v>5.04724409</v>
      </c>
      <c r="BN98" s="205">
        <v>1.67874016</v>
      </c>
      <c r="BO98" s="205">
        <v>5.49291339</v>
      </c>
      <c r="BP98" s="205">
        <v>-0.1502362</v>
      </c>
      <c r="BQ98" s="205">
        <v>-0.1524409</v>
      </c>
      <c r="BR98" s="206"/>
      <c r="BS98" s="250">
        <f t="shared" si="1"/>
        <v>1.805139433</v>
      </c>
      <c r="BT98" s="250">
        <f t="shared" si="2"/>
        <v>3.031741971</v>
      </c>
      <c r="BU98" s="206"/>
      <c r="BV98" s="207">
        <f>IFERROR(__xludf.DUMMYFUNCTION("AVERAGE(ARRAYFORMULA(XLOOKUP(FILTER(INDIRECT(""'""&amp;BV$1&amp;""'!$C$4:$C$66""),INDIRECT(""'""&amp;BV$1&amp;""'!$D$4:$D$66"")=BV$2),$G$3:$BQ$3,$G98:$BQ98)))"),0.9205889785714286)</f>
        <v>0.9205889786</v>
      </c>
      <c r="BW98" s="207" t="str">
        <f>IFERROR(__xludf.DUMMYFUNCTION("IF(OR(BV98&gt;$BS98+$BT98*$BT$2,BV98&lt;$BS98-$BT98*$BT$2),AVEDEV(ARRAYFORMULA(XLOOKUP(FILTER(INDIRECT(""'""&amp;BV$1&amp;""'!$C$4:$C$66""),INDIRECT(""'""&amp;BV$1&amp;""'!$D$4:$D$66"")=BV$2),$G$3:$BQ$3,$G98:$BQ98))),"""")"),"")</f>
        <v/>
      </c>
      <c r="BX98" s="207">
        <f>IFERROR(__xludf.DUMMYFUNCTION("AVERAGE(ARRAYFORMULA(XLOOKUP(FILTER(INDIRECT(""'""&amp;BX$1&amp;""'!$C$4:$C$66""),INDIRECT(""'""&amp;BX$1&amp;""'!$D$4:$D$66"")=BX$2),$G$3:$BQ$3,$G98:$BQ98)))"),0.41829658976190476)</f>
        <v>0.4182965898</v>
      </c>
      <c r="BY98" s="207" t="str">
        <f>IFERROR(__xludf.DUMMYFUNCTION("IF(OR(BX98&gt;$BS98+$BT98*$BT$2,BX98&lt;$BS98-$BT98*$BT$2),AVEDEV(ARRAYFORMULA(XLOOKUP(FILTER(INDIRECT(""'""&amp;BX$1&amp;""'!$C$4:$C$66""),INDIRECT(""'""&amp;BX$1&amp;""'!$D$4:$D$66"")=BX$2),$G$3:$BQ$3,$G98:$BQ98))),"""")"),"")</f>
        <v/>
      </c>
      <c r="BZ98" s="207">
        <f>IFERROR(__xludf.DUMMYFUNCTION("AVERAGE(ARRAYFORMULA(XLOOKUP(FILTER(INDIRECT(""'""&amp;BZ$1&amp;""'!$C$4:$C$66""),INDIRECT(""'""&amp;BZ$1&amp;""'!$D$4:$D$66"")=BZ$2),$G$3:$BQ$3,$G98:$BQ98)))"),0.36843019636363633)</f>
        <v>0.3684301964</v>
      </c>
      <c r="CA98" s="207" t="str">
        <f>IFERROR(__xludf.DUMMYFUNCTION("IF(OR(BZ98&gt;$BS98+$BT98*$BT$2,BZ98&lt;$BS98-$BT98*$BT$2),AVEDEV(ARRAYFORMULA(XLOOKUP(FILTER(INDIRECT(""'""&amp;BZ$1&amp;""'!$C$4:$C$66""),INDIRECT(""'""&amp;BZ$1&amp;""'!$D$4:$D$66"")=BZ$2),$G$3:$BQ$3,$G98:$BQ98))),"""")"),"")</f>
        <v/>
      </c>
      <c r="CB98" s="209"/>
      <c r="CC98" s="207">
        <f>IFERROR(__xludf.DUMMYFUNCTION("AVERAGE(ARRAYFORMULA(XLOOKUP(FILTER(INDIRECT(""'""&amp;CC$1&amp;""'!$C$4:$C$66""),INDIRECT(""'""&amp;CC$1&amp;""'!$D$4:$D$66"")=CC$2),$G$3:$BQ$3,$G98:$BQ98)))"),0.6000728300000002)</f>
        <v>0.60007283</v>
      </c>
      <c r="CD98" s="207" t="str">
        <f>IFERROR(__xludf.DUMMYFUNCTION("IF(OR(CC98&gt;$BS98+$BT98*$BT$2,CC98&lt;$BS98-$BT98*$BT$2),AVEDEV(ARRAYFORMULA(XLOOKUP(FILTER(INDIRECT(""'""&amp;CC$1&amp;""'!$C$4:$C$66""),INDIRECT(""'""&amp;CC$1&amp;""'!$D$4:$D$66"")=CC$2),$G$3:$BQ$3,$G98:$BQ98))),"""")"),"")</f>
        <v/>
      </c>
      <c r="CE98" s="207">
        <f>IFERROR(__xludf.DUMMYFUNCTION("AVERAGE(ARRAYFORMULA(XLOOKUP(FILTER(INDIRECT(""'""&amp;CE$1&amp;""'!$C$4:$C$66""),INDIRECT(""'""&amp;CE$1&amp;""'!$D$4:$D$66"")=CE$2),$G$3:$BQ$3,$G98:$BQ98)))"),0.061705515161290345)</f>
        <v>0.06170551516</v>
      </c>
      <c r="CF98" s="207" t="str">
        <f>IFERROR(__xludf.DUMMYFUNCTION("IF(OR(CE98&gt;$BS98+$BT98*$BT$2,CE98&lt;$BS98-$BT98*$BT$2),AVEDEV(ARRAYFORMULA(XLOOKUP(FILTER(INDIRECT(""'""&amp;CE$1&amp;""'!$C$4:$C$66""),INDIRECT(""'""&amp;CE$1&amp;""'!$D$4:$D$66"")=CE$2),$G$3:$BQ$3,$G98:$BQ98))),"""")"),"")</f>
        <v/>
      </c>
      <c r="CG98" s="207">
        <f>IFERROR(__xludf.DUMMYFUNCTION("AVERAGE(ARRAYFORMULA(XLOOKUP(FILTER(INDIRECT(""'""&amp;CG$1&amp;""'!$C$4:$C$66""),INDIRECT(""'""&amp;CG$1&amp;""'!$D$4:$D$66"")=CG$2),$G$3:$BQ$3,$G98:$BQ98)))"),0.858948026)</f>
        <v>0.858948026</v>
      </c>
      <c r="CH98" s="207" t="str">
        <f>IFERROR(__xludf.DUMMYFUNCTION("IF(OR(CG98&gt;$BS98+$BT98*$BT$2,CG98&lt;$BS98-$BT98*$BT$2),AVEDEV(ARRAYFORMULA(XLOOKUP(FILTER(INDIRECT(""'""&amp;CG$1&amp;""'!$C$4:$C$66""),INDIRECT(""'""&amp;CG$1&amp;""'!$D$4:$D$66"")=CG$2),$G$3:$BQ$3,$G98:$BQ98))),"""")"),"")</f>
        <v/>
      </c>
      <c r="CI98" s="206"/>
      <c r="CJ98" s="251">
        <f>IFERROR(__xludf.DUMMYFUNCTION("AVERAGE(ARRAYFORMULA(XLOOKUP(FILTER(INDIRECT(""'""&amp;CJ$1&amp;""'!$C$4:$C$66""),INDIRECT(""'""&amp;CJ$1&amp;""'!$D$4:$D$66"")=CJ$2),$G$3:$BQ$3,$G98:$BQ98)))"),1.0583367953333334)</f>
        <v>1.058336795</v>
      </c>
      <c r="CK98" s="207" t="str">
        <f>IFERROR(__xludf.DUMMYFUNCTION("IF(OR(CJ98&gt;$BS98+$BT98*$BT$2,CJ98&lt;$BS98-$BT98*$BT$2),AVEDEV(ARRAYFORMULA(XLOOKUP(FILTER(INDIRECT(""'""&amp;CJ$1&amp;""'!$C$4:$C$66""),INDIRECT(""'""&amp;CJ$1&amp;""'!$D$4:$D$66"")=CJ$2),$G$3:$BQ$3,$G98:$BQ98))),"""")"),"")</f>
        <v/>
      </c>
      <c r="CL98" s="251">
        <f>IFERROR(__xludf.DUMMYFUNCTION("AVERAGE(ARRAYFORMULA(XLOOKUP(FILTER(INDIRECT(""'""&amp;CL$1&amp;""'!$C$4:$C$66""),INDIRECT(""'""&amp;CL$1&amp;""'!$D$4:$D$66"")=CL$2),$G$3:$BQ$3,$G98:$BQ98)))"),0.21420775435897438)</f>
        <v>0.2142077544</v>
      </c>
      <c r="CM98" s="207" t="str">
        <f>IFERROR(__xludf.DUMMYFUNCTION("IF(OR(CL98&gt;$BS98+$BT98*$BT$2,CL98&lt;$BS98-$BT98*$BT$2),AVEDEV(ARRAYFORMULA(XLOOKUP(FILTER(INDIRECT(""'""&amp;CL$1&amp;""'!$C$4:$C$66""),INDIRECT(""'""&amp;CL$1&amp;""'!$D$4:$D$66"")=CL$2),$G$3:$BQ$3,$G98:$BQ98))),"""")"),"")</f>
        <v/>
      </c>
      <c r="CN98" s="251">
        <f>IFERROR(__xludf.DUMMYFUNCTION("AVERAGE(ARRAYFORMULA(XLOOKUP(FILTER(INDIRECT(""'""&amp;CN$1&amp;""'!$C$4:$C$66""),INDIRECT(""'""&amp;CN$1&amp;""'!$D$4:$D$66"")=CN$2),$G$3:$BQ$3,$G98:$BQ98)))"),0.858948026)</f>
        <v>0.858948026</v>
      </c>
      <c r="CO98" s="207" t="str">
        <f>IFERROR(__xludf.DUMMYFUNCTION("IF(OR(CN98&gt;$BS98+$BT98*$BT$2,CN98&lt;$BS98-$BT98*$BT$2),AVEDEV(ARRAYFORMULA(XLOOKUP(FILTER(INDIRECT(""'""&amp;CN$1&amp;""'!$C$4:$C$66""),INDIRECT(""'""&amp;CN$1&amp;""'!$D$4:$D$66"")=CN$2),$G$3:$BQ$3,$G98:$BQ98))),"""")"),"")</f>
        <v/>
      </c>
      <c r="CP98" s="252"/>
      <c r="CQ98" s="251">
        <f>IFERROR(__xludf.DUMMYFUNCTION("AVERAGE(ARRAYFORMULA(XLOOKUP(FILTER(INDIRECT(""'""&amp;CQ$1&amp;""'!$C$4:$C$66""),INDIRECT(""'""&amp;CQ$1&amp;""'!$D$4:$D$66"")=CQ$2),$G$3:$BQ$3,$G98:$BQ98)))"),0.33363778857142856)</f>
        <v>0.3336377886</v>
      </c>
      <c r="CR98" s="207" t="str">
        <f>IFERROR(__xludf.DUMMYFUNCTION("IF(OR(CQ98&gt;$BS98+$BT98*$BT$2,CQ98&lt;$BS98-$BT98*$BT$2),AVEDEV(ARRAYFORMULA(XLOOKUP(FILTER(INDIRECT(""'""&amp;CQ$1&amp;""'!$C$4:$C$66""),INDIRECT(""'""&amp;CQ$1&amp;""'!$D$4:$D$66"")=CQ$2),$G$3:$BQ$3,$G98:$BQ98))),"""")"),"")</f>
        <v/>
      </c>
      <c r="CS98" s="251">
        <f>IFERROR(__xludf.DUMMYFUNCTION("AVERAGE(ARRAYFORMULA(XLOOKUP(FILTER(INDIRECT(""'""&amp;CS$1&amp;""'!$C$4:$C$66""),INDIRECT(""'""&amp;CS$1&amp;""'!$D$4:$D$66"")=CS$2),$G$3:$BQ$3,$G98:$BQ98)))"),-0.08301225888888888)</f>
        <v>-0.08301225889</v>
      </c>
      <c r="CT98" s="207" t="str">
        <f>IFERROR(__xludf.DUMMYFUNCTION("IF(OR(CS98&gt;$BS98+$BT98*$BT$2,CS98&lt;$BS98-$BT98*$BT$2),AVEDEV(ARRAYFORMULA(XLOOKUP(FILTER(INDIRECT(""'""&amp;CS$1&amp;""'!$C$4:$C$66""),INDIRECT(""'""&amp;CS$1&amp;""'!$D$4:$D$66"")=CS$2),$G$3:$BQ$3,$G98:$BQ98))),"""")"),"")</f>
        <v/>
      </c>
      <c r="CU98" s="251">
        <f>IFERROR(__xludf.DUMMYFUNCTION("AVERAGE(ARRAYFORMULA(XLOOKUP(FILTER(INDIRECT(""'""&amp;CU$1&amp;""'!$C$4:$C$66""),INDIRECT(""'""&amp;CU$1&amp;""'!$D$4:$D$66"")=CU$2),$G$3:$BQ$3,$G98:$BQ98)))"),0.7338324972727274)</f>
        <v>0.7338324973</v>
      </c>
      <c r="CV98" s="207" t="str">
        <f>IFERROR(__xludf.DUMMYFUNCTION("IF(OR(CU98&gt;$BS98+$BT98*$BT$2,CU98&lt;$BS98-$BT98*$BT$2),AVEDEV(ARRAYFORMULA(XLOOKUP(FILTER(INDIRECT(""'""&amp;CU$1&amp;""'!$C$4:$C$66""),INDIRECT(""'""&amp;CU$1&amp;""'!$D$4:$D$66"")=CU$2),$G$3:$BQ$3,$G98:$BQ98))),"""")"),"")</f>
        <v/>
      </c>
      <c r="CW98" s="251">
        <f>IFERROR(__xludf.DUMMYFUNCTION("AVERAGE(ARRAYFORMULA(XLOOKUP(FILTER(INDIRECT(""'""&amp;CW$1&amp;""'!$C$4:$C$66""),INDIRECT(""'""&amp;CW$1&amp;""'!$D$4:$D$66"")=CW$2),$G$3:$BQ$3,$G98:$BQ98)))"),-0.06338579999999999)</f>
        <v>-0.0633858</v>
      </c>
      <c r="CX98" s="207" t="str">
        <f>IFERROR(__xludf.DUMMYFUNCTION("IF(OR(CW98&gt;$BS98+$BT98*$BT$2,CW98&lt;$BS98-$BT98*$BT$2),AVEDEV(ARRAYFORMULA(XLOOKUP(FILTER(INDIRECT(""'""&amp;CW$1&amp;""'!$C$4:$C$66""),INDIRECT(""'""&amp;CW$1&amp;""'!$D$4:$D$66"")=CW$2),$G$3:$BQ$3,$G98:$BQ98))),"""")"),"")</f>
        <v/>
      </c>
      <c r="CY98" s="251">
        <f>IFERROR(__xludf.DUMMYFUNCTION("AVERAGE(ARRAYFORMULA(XLOOKUP(FILTER(INDIRECT(""'""&amp;CY$1&amp;""'!$C$4:$C$66""),INDIRECT(""'""&amp;CY$1&amp;""'!$D$4:$D$66"")=CY$2),$G$3:$BQ$3,$G98:$BQ98)))"),0.30543420357142853)</f>
        <v>0.3054342036</v>
      </c>
      <c r="CZ98" s="207" t="str">
        <f>IFERROR(__xludf.DUMMYFUNCTION("IF(OR(CY98&gt;$BS98+$BT98*$BT$2,CY98&lt;$BS98-$BT98*$BT$2),AVEDEV(ARRAYFORMULA(XLOOKUP(FILTER(INDIRECT(""'""&amp;CY$1&amp;""'!$C$4:$C$66""),INDIRECT(""'""&amp;CY$1&amp;""'!$D$4:$D$66"")=CY$2),$G$3:$BQ$3,$G98:$BQ98))),"""")"),"")</f>
        <v/>
      </c>
      <c r="DA98" s="252"/>
      <c r="DB98" s="251">
        <f>IFERROR(__xludf.DUMMYFUNCTION("AVERAGE(ARRAYFORMULA(XLOOKUP(FILTER(INDIRECT(""'""&amp;DB$1&amp;""'!$C$4:$C$66""),INDIRECT(""'""&amp;DB$1&amp;""'!$D$4:$D$66"")=DB$2),$G$3:$BQ$3,$G98:$BQ98)))"),0.40576262533333324)</f>
        <v>0.4057626253</v>
      </c>
      <c r="DC98" s="207" t="str">
        <f>IFERROR(__xludf.DUMMYFUNCTION("IF(OR(DB98&gt;$BS98+$BT98*$BT$2,DB98&lt;$BS98-$BT98*$BT$2),AVEDEV(ARRAYFORMULA(XLOOKUP(FILTER(INDIRECT(""'""&amp;DB$1&amp;""'!$C$4:$C$66""),INDIRECT(""'""&amp;DB$1&amp;""'!$D$4:$D$66"")=DB$2),$G$3:$BQ$3,$G98:$BQ98))),"""")"),"")</f>
        <v/>
      </c>
      <c r="DD98" s="251">
        <f>IFERROR(__xludf.DUMMYFUNCTION("AVERAGE(ARRAYFORMULA(XLOOKUP(FILTER(INDIRECT(""'""&amp;DD$1&amp;""'!$C$4:$C$66""),INDIRECT(""'""&amp;DD$1&amp;""'!$D$4:$D$66"")=DD$2),$G$3:$BQ$3,$G98:$BQ98)))"),0.48844530666666663)</f>
        <v>0.4884453067</v>
      </c>
      <c r="DE98" s="207" t="str">
        <f>IFERROR(__xludf.DUMMYFUNCTION("IF(OR(DD98&gt;$BS98+$BT98*$BT$2,DD98&lt;$BS98-$BT98*$BT$2),AVEDEV(ARRAYFORMULA(XLOOKUP(FILTER(INDIRECT(""'""&amp;DD$1&amp;""'!$C$4:$C$66""),INDIRECT(""'""&amp;DD$1&amp;""'!$D$4:$D$66"")=DD$2),$G$3:$BQ$3,$G98:$BQ98))),"""")"),"")</f>
        <v/>
      </c>
      <c r="DF98" s="251">
        <f>IFERROR(__xludf.DUMMYFUNCTION("AVERAGE(ARRAYFORMULA(XLOOKUP(FILTER(INDIRECT(""'""&amp;DF$1&amp;""'!$C$4:$C$66""),INDIRECT(""'""&amp;DF$1&amp;""'!$D$4:$D$66"")=DF$2),$G$3:$BQ$3,$G98:$BQ98)))"),0.1055295275)</f>
        <v>0.1055295275</v>
      </c>
      <c r="DG98" s="207" t="str">
        <f>IFERROR(__xludf.DUMMYFUNCTION("IF(OR(DF98&gt;$BS98+$BT98*$BT$2,DF98&lt;$BS98-$BT98*$BT$2),AVEDEV(ARRAYFORMULA(XLOOKUP(FILTER(INDIRECT(""'""&amp;DF$1&amp;""'!$C$4:$C$66""),INDIRECT(""'""&amp;DF$1&amp;""'!$D$4:$D$66"")=DF$2),$G$3:$BQ$3,$G98:$BQ98))),"""")"),"")</f>
        <v/>
      </c>
      <c r="DH98" s="251">
        <f>IFERROR(__xludf.DUMMYFUNCTION("AVERAGE(ARRAYFORMULA(XLOOKUP(FILTER(INDIRECT(""'""&amp;DH$1&amp;""'!$C$4:$C$66""),INDIRECT(""'""&amp;DH$1&amp;""'!$D$4:$D$66"")=DH$2),$G$3:$BQ$3,$G98:$BQ98)))"),0.9135678133333331)</f>
        <v>0.9135678133</v>
      </c>
      <c r="DI98" s="207" t="str">
        <f>IFERROR(__xludf.DUMMYFUNCTION("IF(OR(DH98&gt;$BS98+$BT98*$BT$2,DH98&lt;$BS98-$BT98*$BT$2),AVEDEV(ARRAYFORMULA(XLOOKUP(FILTER(INDIRECT(""'""&amp;DH$1&amp;""'!$C$4:$C$66""),INDIRECT(""'""&amp;DH$1&amp;""'!$D$4:$D$66"")=DH$2),$G$3:$BQ$3,$G98:$BQ98))),"""")"),"")</f>
        <v/>
      </c>
      <c r="DJ98" s="243"/>
    </row>
    <row r="99">
      <c r="A99" s="2"/>
      <c r="B99" s="204">
        <v>95.0</v>
      </c>
      <c r="C99" s="204" t="s">
        <v>540</v>
      </c>
      <c r="D99" s="204" t="s">
        <v>541</v>
      </c>
      <c r="E99" s="205" t="b">
        <f>VLOOKUP(D99,'Feature Set List'!A96:C246,2,0)</f>
        <v>1</v>
      </c>
      <c r="F99" s="205" t="b">
        <f>VLOOKUP(D99,'Feature Set List'!A96:C246,3,0)</f>
        <v>1</v>
      </c>
      <c r="G99" s="205">
        <v>0.0</v>
      </c>
      <c r="H99" s="205">
        <v>0.0</v>
      </c>
      <c r="I99" s="205">
        <v>0.0</v>
      </c>
      <c r="J99" s="205">
        <v>0.0</v>
      </c>
      <c r="K99" s="205">
        <v>-1.0</v>
      </c>
      <c r="L99" s="205">
        <v>0.0</v>
      </c>
      <c r="M99" s="205">
        <v>-1.0</v>
      </c>
      <c r="N99" s="205">
        <v>0.0</v>
      </c>
      <c r="O99" s="205">
        <v>0.0</v>
      </c>
      <c r="P99" s="205">
        <v>0.0</v>
      </c>
      <c r="Q99" s="205">
        <v>0.0</v>
      </c>
      <c r="R99" s="205">
        <v>0.0</v>
      </c>
      <c r="S99" s="205">
        <v>0.0</v>
      </c>
      <c r="T99" s="205">
        <v>0.0</v>
      </c>
      <c r="U99" s="205">
        <v>0.0</v>
      </c>
      <c r="V99" s="205">
        <v>0.0</v>
      </c>
      <c r="W99" s="205">
        <v>0.0</v>
      </c>
      <c r="X99" s="205">
        <v>0.0</v>
      </c>
      <c r="Y99" s="205">
        <v>0.0</v>
      </c>
      <c r="Z99" s="205">
        <v>0.0</v>
      </c>
      <c r="AA99" s="205">
        <v>0.0</v>
      </c>
      <c r="AB99" s="205">
        <v>0.0</v>
      </c>
      <c r="AC99" s="205">
        <v>0.0</v>
      </c>
      <c r="AD99" s="205">
        <v>0.0</v>
      </c>
      <c r="AE99" s="205">
        <v>0.0</v>
      </c>
      <c r="AF99" s="205">
        <v>0.0</v>
      </c>
      <c r="AG99" s="205">
        <v>0.0</v>
      </c>
      <c r="AH99" s="205">
        <v>0.0</v>
      </c>
      <c r="AI99" s="205">
        <v>-1.0</v>
      </c>
      <c r="AJ99" s="205">
        <v>0.0</v>
      </c>
      <c r="AK99" s="205">
        <v>0.0</v>
      </c>
      <c r="AL99" s="205">
        <v>0.0</v>
      </c>
      <c r="AM99" s="205">
        <v>0.0</v>
      </c>
      <c r="AN99" s="205">
        <v>0.0</v>
      </c>
      <c r="AO99" s="205">
        <v>0.0</v>
      </c>
      <c r="AP99" s="205">
        <v>0.0</v>
      </c>
      <c r="AQ99" s="205">
        <v>0.0</v>
      </c>
      <c r="AR99" s="205">
        <v>-1.0</v>
      </c>
      <c r="AS99" s="205">
        <v>0.0</v>
      </c>
      <c r="AT99" s="205">
        <v>0.0</v>
      </c>
      <c r="AU99" s="205">
        <v>0.0</v>
      </c>
      <c r="AV99" s="205">
        <v>0.0</v>
      </c>
      <c r="AW99" s="205">
        <v>0.0</v>
      </c>
      <c r="AX99" s="205">
        <v>0.0</v>
      </c>
      <c r="AY99" s="205">
        <v>0.0</v>
      </c>
      <c r="AZ99" s="205">
        <v>0.0</v>
      </c>
      <c r="BA99" s="205">
        <v>0.0</v>
      </c>
      <c r="BB99" s="205">
        <v>0.0</v>
      </c>
      <c r="BC99" s="205">
        <v>0.0</v>
      </c>
      <c r="BD99" s="205">
        <v>0.0</v>
      </c>
      <c r="BE99" s="205">
        <v>0.0</v>
      </c>
      <c r="BF99" s="205">
        <v>0.0</v>
      </c>
      <c r="BG99" s="205">
        <v>0.0</v>
      </c>
      <c r="BH99" s="205">
        <v>0.0</v>
      </c>
      <c r="BI99" s="205">
        <v>0.0</v>
      </c>
      <c r="BJ99" s="205">
        <v>0.0</v>
      </c>
      <c r="BK99" s="205">
        <v>0.0</v>
      </c>
      <c r="BL99" s="205">
        <v>0.0</v>
      </c>
      <c r="BM99" s="205">
        <v>0.0</v>
      </c>
      <c r="BN99" s="205">
        <v>0.0</v>
      </c>
      <c r="BO99" s="205">
        <v>0.0</v>
      </c>
      <c r="BP99" s="205">
        <v>-1.0</v>
      </c>
      <c r="BQ99" s="205">
        <v>0.0</v>
      </c>
      <c r="BR99" s="206"/>
      <c r="BS99" s="250">
        <f t="shared" si="1"/>
        <v>-0.07936507937</v>
      </c>
      <c r="BT99" s="250">
        <f t="shared" si="2"/>
        <v>0.1461325271</v>
      </c>
      <c r="BU99" s="206"/>
      <c r="BV99" s="207">
        <f>IFERROR(__xludf.DUMMYFUNCTION("AVERAGE(ARRAYFORMULA(XLOOKUP(FILTER(INDIRECT(""'""&amp;BV$1&amp;""'!$C$4:$C$66""),INDIRECT(""'""&amp;BV$1&amp;""'!$D$4:$D$66"")=BV$2),$G$3:$BQ$3,$G99:$BQ99)))"),0.0)</f>
        <v>0</v>
      </c>
      <c r="BW99" s="207" t="str">
        <f>IFERROR(__xludf.DUMMYFUNCTION("IF(OR(BV99&gt;$BS99+$BT99*$BT$2,BV99&lt;$BS99-$BT99*$BT$2),AVEDEV(ARRAYFORMULA(XLOOKUP(FILTER(INDIRECT(""'""&amp;BV$1&amp;""'!$C$4:$C$66""),INDIRECT(""'""&amp;BV$1&amp;""'!$D$4:$D$66"")=BV$2),$G$3:$BQ$3,$G99:$BQ99))),"""")"),"")</f>
        <v/>
      </c>
      <c r="BX99" s="207">
        <f>IFERROR(__xludf.DUMMYFUNCTION("AVERAGE(ARRAYFORMULA(XLOOKUP(FILTER(INDIRECT(""'""&amp;BX$1&amp;""'!$C$4:$C$66""),INDIRECT(""'""&amp;BX$1&amp;""'!$D$4:$D$66"")=BX$2),$G$3:$BQ$3,$G99:$BQ99)))"),-0.09523809523809523)</f>
        <v>-0.09523809524</v>
      </c>
      <c r="BY99" s="207" t="str">
        <f>IFERROR(__xludf.DUMMYFUNCTION("IF(OR(BX99&gt;$BS99+$BT99*$BT$2,BX99&lt;$BS99-$BT99*$BT$2),AVEDEV(ARRAYFORMULA(XLOOKUP(FILTER(INDIRECT(""'""&amp;BX$1&amp;""'!$C$4:$C$66""),INDIRECT(""'""&amp;BX$1&amp;""'!$D$4:$D$66"")=BX$2),$G$3:$BQ$3,$G99:$BQ99))),"""")"),"")</f>
        <v/>
      </c>
      <c r="BZ99" s="207">
        <f>IFERROR(__xludf.DUMMYFUNCTION("AVERAGE(ARRAYFORMULA(XLOOKUP(FILTER(INDIRECT(""'""&amp;BZ$1&amp;""'!$C$4:$C$66""),INDIRECT(""'""&amp;BZ$1&amp;""'!$D$4:$D$66"")=BZ$2),$G$3:$BQ$3,$G99:$BQ99)))"),-0.09090909090909091)</f>
        <v>-0.09090909091</v>
      </c>
      <c r="CA99" s="207" t="str">
        <f>IFERROR(__xludf.DUMMYFUNCTION("IF(OR(BZ99&gt;$BS99+$BT99*$BT$2,BZ99&lt;$BS99-$BT99*$BT$2),AVEDEV(ARRAYFORMULA(XLOOKUP(FILTER(INDIRECT(""'""&amp;BZ$1&amp;""'!$C$4:$C$66""),INDIRECT(""'""&amp;BZ$1&amp;""'!$D$4:$D$66"")=BZ$2),$G$3:$BQ$3,$G99:$BQ99))),"""")"),"")</f>
        <v/>
      </c>
      <c r="CB99" s="209"/>
      <c r="CC99" s="207">
        <f>IFERROR(__xludf.DUMMYFUNCTION("AVERAGE(ARRAYFORMULA(XLOOKUP(FILTER(INDIRECT(""'""&amp;CC$1&amp;""'!$C$4:$C$66""),INDIRECT(""'""&amp;CC$1&amp;""'!$D$4:$D$66"")=CC$2),$G$3:$BQ$3,$G99:$BQ99)))"),-0.125)</f>
        <v>-0.125</v>
      </c>
      <c r="CD99" s="207" t="str">
        <f>IFERROR(__xludf.DUMMYFUNCTION("IF(OR(CC99&gt;$BS99+$BT99*$BT$2,CC99&lt;$BS99-$BT99*$BT$2),AVEDEV(ARRAYFORMULA(XLOOKUP(FILTER(INDIRECT(""'""&amp;CC$1&amp;""'!$C$4:$C$66""),INDIRECT(""'""&amp;CC$1&amp;""'!$D$4:$D$66"")=CC$2),$G$3:$BQ$3,$G99:$BQ99))),"""")"),"")</f>
        <v/>
      </c>
      <c r="CE99" s="207">
        <f>IFERROR(__xludf.DUMMYFUNCTION("AVERAGE(ARRAYFORMULA(XLOOKUP(FILTER(INDIRECT(""'""&amp;CE$1&amp;""'!$C$4:$C$66""),INDIRECT(""'""&amp;CE$1&amp;""'!$D$4:$D$66"")=CE$2),$G$3:$BQ$3,$G99:$BQ99)))"),-0.06451612903225806)</f>
        <v>-0.06451612903</v>
      </c>
      <c r="CF99" s="207" t="str">
        <f>IFERROR(__xludf.DUMMYFUNCTION("IF(OR(CE99&gt;$BS99+$BT99*$BT$2,CE99&lt;$BS99-$BT99*$BT$2),AVEDEV(ARRAYFORMULA(XLOOKUP(FILTER(INDIRECT(""'""&amp;CE$1&amp;""'!$C$4:$C$66""),INDIRECT(""'""&amp;CE$1&amp;""'!$D$4:$D$66"")=CE$2),$G$3:$BQ$3,$G99:$BQ99))),"""")"),"")</f>
        <v/>
      </c>
      <c r="CG99" s="207">
        <f>IFERROR(__xludf.DUMMYFUNCTION("AVERAGE(ARRAYFORMULA(XLOOKUP(FILTER(INDIRECT(""'""&amp;CG$1&amp;""'!$C$4:$C$66""),INDIRECT(""'""&amp;CG$1&amp;""'!$D$4:$D$66"")=CG$2),$G$3:$BQ$3,$G99:$BQ99)))"),0.0)</f>
        <v>0</v>
      </c>
      <c r="CH99" s="207" t="str">
        <f>IFERROR(__xludf.DUMMYFUNCTION("IF(OR(CG99&gt;$BS99+$BT99*$BT$2,CG99&lt;$BS99-$BT99*$BT$2),AVEDEV(ARRAYFORMULA(XLOOKUP(FILTER(INDIRECT(""'""&amp;CG$1&amp;""'!$C$4:$C$66""),INDIRECT(""'""&amp;CG$1&amp;""'!$D$4:$D$66"")=CG$2),$G$3:$BQ$3,$G99:$BQ99))),"""")"),"")</f>
        <v/>
      </c>
      <c r="CI99" s="206"/>
      <c r="CJ99" s="251">
        <f>IFERROR(__xludf.DUMMYFUNCTION("AVERAGE(ARRAYFORMULA(XLOOKUP(FILTER(INDIRECT(""'""&amp;CJ$1&amp;""'!$C$4:$C$66""),INDIRECT(""'""&amp;CJ$1&amp;""'!$D$4:$D$66"")=CJ$2),$G$3:$BQ$3,$G99:$BQ99)))"),0.0)</f>
        <v>0</v>
      </c>
      <c r="CK99" s="207" t="str">
        <f>IFERROR(__xludf.DUMMYFUNCTION("IF(OR(CJ99&gt;$BS99+$BT99*$BT$2,CJ99&lt;$BS99-$BT99*$BT$2),AVEDEV(ARRAYFORMULA(XLOOKUP(FILTER(INDIRECT(""'""&amp;CJ$1&amp;""'!$C$4:$C$66""),INDIRECT(""'""&amp;CJ$1&amp;""'!$D$4:$D$66"")=CJ$2),$G$3:$BQ$3,$G99:$BQ99))),"""")"),"")</f>
        <v/>
      </c>
      <c r="CL99" s="251">
        <f>IFERROR(__xludf.DUMMYFUNCTION("AVERAGE(ARRAYFORMULA(XLOOKUP(FILTER(INDIRECT(""'""&amp;CL$1&amp;""'!$C$4:$C$66""),INDIRECT(""'""&amp;CL$1&amp;""'!$D$4:$D$66"")=CL$2),$G$3:$BQ$3,$G99:$BQ99)))"),-0.1282051282051282)</f>
        <v>-0.1282051282</v>
      </c>
      <c r="CM99" s="207" t="str">
        <f>IFERROR(__xludf.DUMMYFUNCTION("IF(OR(CL99&gt;$BS99+$BT99*$BT$2,CL99&lt;$BS99-$BT99*$BT$2),AVEDEV(ARRAYFORMULA(XLOOKUP(FILTER(INDIRECT(""'""&amp;CL$1&amp;""'!$C$4:$C$66""),INDIRECT(""'""&amp;CL$1&amp;""'!$D$4:$D$66"")=CL$2),$G$3:$BQ$3,$G99:$BQ99))),"""")"),"")</f>
        <v/>
      </c>
      <c r="CN99" s="251">
        <f>IFERROR(__xludf.DUMMYFUNCTION("AVERAGE(ARRAYFORMULA(XLOOKUP(FILTER(INDIRECT(""'""&amp;CN$1&amp;""'!$C$4:$C$66""),INDIRECT(""'""&amp;CN$1&amp;""'!$D$4:$D$66"")=CN$2),$G$3:$BQ$3,$G99:$BQ99)))"),0.0)</f>
        <v>0</v>
      </c>
      <c r="CO99" s="207" t="str">
        <f>IFERROR(__xludf.DUMMYFUNCTION("IF(OR(CN99&gt;$BS99+$BT99*$BT$2,CN99&lt;$BS99-$BT99*$BT$2),AVEDEV(ARRAYFORMULA(XLOOKUP(FILTER(INDIRECT(""'""&amp;CN$1&amp;""'!$C$4:$C$66""),INDIRECT(""'""&amp;CN$1&amp;""'!$D$4:$D$66"")=CN$2),$G$3:$BQ$3,$G99:$BQ99))),"""")"),"")</f>
        <v/>
      </c>
      <c r="CP99" s="252"/>
      <c r="CQ99" s="251">
        <f>IFERROR(__xludf.DUMMYFUNCTION("AVERAGE(ARRAYFORMULA(XLOOKUP(FILTER(INDIRECT(""'""&amp;CQ$1&amp;""'!$C$4:$C$66""),INDIRECT(""'""&amp;CQ$1&amp;""'!$D$4:$D$66"")=CQ$2),$G$3:$BQ$3,$G99:$BQ99)))"),-0.07142857142857142)</f>
        <v>-0.07142857143</v>
      </c>
      <c r="CR99" s="207" t="str">
        <f>IFERROR(__xludf.DUMMYFUNCTION("IF(OR(CQ99&gt;$BS99+$BT99*$BT$2,CQ99&lt;$BS99-$BT99*$BT$2),AVEDEV(ARRAYFORMULA(XLOOKUP(FILTER(INDIRECT(""'""&amp;CQ$1&amp;""'!$C$4:$C$66""),INDIRECT(""'""&amp;CQ$1&amp;""'!$D$4:$D$66"")=CQ$2),$G$3:$BQ$3,$G99:$BQ99))),"""")"),"")</f>
        <v/>
      </c>
      <c r="CS99" s="251">
        <f>IFERROR(__xludf.DUMMYFUNCTION("AVERAGE(ARRAYFORMULA(XLOOKUP(FILTER(INDIRECT(""'""&amp;CS$1&amp;""'!$C$4:$C$66""),INDIRECT(""'""&amp;CS$1&amp;""'!$D$4:$D$66"")=CS$2),$G$3:$BQ$3,$G99:$BQ99)))"),-0.1111111111111111)</f>
        <v>-0.1111111111</v>
      </c>
      <c r="CT99" s="207" t="str">
        <f>IFERROR(__xludf.DUMMYFUNCTION("IF(OR(CS99&gt;$BS99+$BT99*$BT$2,CS99&lt;$BS99-$BT99*$BT$2),AVEDEV(ARRAYFORMULA(XLOOKUP(FILTER(INDIRECT(""'""&amp;CS$1&amp;""'!$C$4:$C$66""),INDIRECT(""'""&amp;CS$1&amp;""'!$D$4:$D$66"")=CS$2),$G$3:$BQ$3,$G99:$BQ99))),"""")"),"")</f>
        <v/>
      </c>
      <c r="CU99" s="251">
        <f>IFERROR(__xludf.DUMMYFUNCTION("AVERAGE(ARRAYFORMULA(XLOOKUP(FILTER(INDIRECT(""'""&amp;CU$1&amp;""'!$C$4:$C$66""),INDIRECT(""'""&amp;CU$1&amp;""'!$D$4:$D$66"")=CU$2),$G$3:$BQ$3,$G99:$BQ99)))"),0.0)</f>
        <v>0</v>
      </c>
      <c r="CV99" s="207" t="str">
        <f>IFERROR(__xludf.DUMMYFUNCTION("IF(OR(CU99&gt;$BS99+$BT99*$BT$2,CU99&lt;$BS99-$BT99*$BT$2),AVEDEV(ARRAYFORMULA(XLOOKUP(FILTER(INDIRECT(""'""&amp;CU$1&amp;""'!$C$4:$C$66""),INDIRECT(""'""&amp;CU$1&amp;""'!$D$4:$D$66"")=CU$2),$G$3:$BQ$3,$G99:$BQ99))),"""")"),"")</f>
        <v/>
      </c>
      <c r="CW99" s="251">
        <f>IFERROR(__xludf.DUMMYFUNCTION("AVERAGE(ARRAYFORMULA(XLOOKUP(FILTER(INDIRECT(""'""&amp;CW$1&amp;""'!$C$4:$C$66""),INDIRECT(""'""&amp;CW$1&amp;""'!$D$4:$D$66"")=CW$2),$G$3:$BQ$3,$G99:$BQ99)))"),0.0)</f>
        <v>0</v>
      </c>
      <c r="CX99" s="207" t="str">
        <f>IFERROR(__xludf.DUMMYFUNCTION("IF(OR(CW99&gt;$BS99+$BT99*$BT$2,CW99&lt;$BS99-$BT99*$BT$2),AVEDEV(ARRAYFORMULA(XLOOKUP(FILTER(INDIRECT(""'""&amp;CW$1&amp;""'!$C$4:$C$66""),INDIRECT(""'""&amp;CW$1&amp;""'!$D$4:$D$66"")=CW$2),$G$3:$BQ$3,$G99:$BQ99))),"""")"),"")</f>
        <v/>
      </c>
      <c r="CY99" s="251">
        <f>IFERROR(__xludf.DUMMYFUNCTION("AVERAGE(ARRAYFORMULA(XLOOKUP(FILTER(INDIRECT(""'""&amp;CY$1&amp;""'!$C$4:$C$66""),INDIRECT(""'""&amp;CY$1&amp;""'!$D$4:$D$66"")=CY$2),$G$3:$BQ$3,$G99:$BQ99)))"),-0.14285714285714285)</f>
        <v>-0.1428571429</v>
      </c>
      <c r="CZ99" s="207" t="str">
        <f>IFERROR(__xludf.DUMMYFUNCTION("IF(OR(CY99&gt;$BS99+$BT99*$BT$2,CY99&lt;$BS99-$BT99*$BT$2),AVEDEV(ARRAYFORMULA(XLOOKUP(FILTER(INDIRECT(""'""&amp;CY$1&amp;""'!$C$4:$C$66""),INDIRECT(""'""&amp;CY$1&amp;""'!$D$4:$D$66"")=CY$2),$G$3:$BQ$3,$G99:$BQ99))),"""")"),"")</f>
        <v/>
      </c>
      <c r="DA99" s="252"/>
      <c r="DB99" s="251">
        <f>IFERROR(__xludf.DUMMYFUNCTION("AVERAGE(ARRAYFORMULA(XLOOKUP(FILTER(INDIRECT(""'""&amp;DB$1&amp;""'!$C$4:$C$66""),INDIRECT(""'""&amp;DB$1&amp;""'!$D$4:$D$66"")=DB$2),$G$3:$BQ$3,$G99:$BQ99)))"),-0.1)</f>
        <v>-0.1</v>
      </c>
      <c r="DC99" s="207" t="str">
        <f>IFERROR(__xludf.DUMMYFUNCTION("IF(OR(DB99&gt;$BS99+$BT99*$BT$2,DB99&lt;$BS99-$BT99*$BT$2),AVEDEV(ARRAYFORMULA(XLOOKUP(FILTER(INDIRECT(""'""&amp;DB$1&amp;""'!$C$4:$C$66""),INDIRECT(""'""&amp;DB$1&amp;""'!$D$4:$D$66"")=DB$2),$G$3:$BQ$3,$G99:$BQ99))),"""")"),"")</f>
        <v/>
      </c>
      <c r="DD99" s="251">
        <f>IFERROR(__xludf.DUMMYFUNCTION("AVERAGE(ARRAYFORMULA(XLOOKUP(FILTER(INDIRECT(""'""&amp;DD$1&amp;""'!$C$4:$C$66""),INDIRECT(""'""&amp;DD$1&amp;""'!$D$4:$D$66"")=DD$2),$G$3:$BQ$3,$G99:$BQ99)))"),-0.1111111111111111)</f>
        <v>-0.1111111111</v>
      </c>
      <c r="DE99" s="207" t="str">
        <f>IFERROR(__xludf.DUMMYFUNCTION("IF(OR(DD99&gt;$BS99+$BT99*$BT$2,DD99&lt;$BS99-$BT99*$BT$2),AVEDEV(ARRAYFORMULA(XLOOKUP(FILTER(INDIRECT(""'""&amp;DD$1&amp;""'!$C$4:$C$66""),INDIRECT(""'""&amp;DD$1&amp;""'!$D$4:$D$66"")=DD$2),$G$3:$BQ$3,$G99:$BQ99))),"""")"),"")</f>
        <v/>
      </c>
      <c r="DF99" s="251">
        <f>IFERROR(__xludf.DUMMYFUNCTION("AVERAGE(ARRAYFORMULA(XLOOKUP(FILTER(INDIRECT(""'""&amp;DF$1&amp;""'!$C$4:$C$66""),INDIRECT(""'""&amp;DF$1&amp;""'!$D$4:$D$66"")=DF$2),$G$3:$BQ$3,$G99:$BQ99)))"),0.0)</f>
        <v>0</v>
      </c>
      <c r="DG99" s="207" t="str">
        <f>IFERROR(__xludf.DUMMYFUNCTION("IF(OR(DF99&gt;$BS99+$BT99*$BT$2,DF99&lt;$BS99-$BT99*$BT$2),AVEDEV(ARRAYFORMULA(XLOOKUP(FILTER(INDIRECT(""'""&amp;DF$1&amp;""'!$C$4:$C$66""),INDIRECT(""'""&amp;DF$1&amp;""'!$D$4:$D$66"")=DF$2),$G$3:$BQ$3,$G99:$BQ99))),"""")"),"")</f>
        <v/>
      </c>
      <c r="DH99" s="251">
        <f>IFERROR(__xludf.DUMMYFUNCTION("AVERAGE(ARRAYFORMULA(XLOOKUP(FILTER(INDIRECT(""'""&amp;DH$1&amp;""'!$C$4:$C$66""),INDIRECT(""'""&amp;DH$1&amp;""'!$D$4:$D$66"")=DH$2),$G$3:$BQ$3,$G99:$BQ99)))"),0.0)</f>
        <v>0</v>
      </c>
      <c r="DI99" s="207" t="str">
        <f>IFERROR(__xludf.DUMMYFUNCTION("IF(OR(DH99&gt;$BS99+$BT99*$BT$2,DH99&lt;$BS99-$BT99*$BT$2),AVEDEV(ARRAYFORMULA(XLOOKUP(FILTER(INDIRECT(""'""&amp;DH$1&amp;""'!$C$4:$C$66""),INDIRECT(""'""&amp;DH$1&amp;""'!$D$4:$D$66"")=DH$2),$G$3:$BQ$3,$G99:$BQ99))),"""")"),"")</f>
        <v/>
      </c>
      <c r="DJ99" s="243"/>
    </row>
    <row r="100">
      <c r="A100" s="2"/>
      <c r="B100" s="204">
        <v>96.0</v>
      </c>
      <c r="C100" s="204" t="s">
        <v>540</v>
      </c>
      <c r="D100" s="204" t="s">
        <v>542</v>
      </c>
      <c r="E100" s="205" t="b">
        <f>VLOOKUP(D100,'Feature Set List'!A97:C246,2,0)</f>
        <v>1</v>
      </c>
      <c r="F100" s="205" t="b">
        <f>VLOOKUP(D100,'Feature Set List'!A97:C246,3,0)</f>
        <v>1</v>
      </c>
      <c r="G100" s="205">
        <v>0.0</v>
      </c>
      <c r="H100" s="205">
        <v>0.0</v>
      </c>
      <c r="I100" s="205">
        <v>0.0</v>
      </c>
      <c r="J100" s="205">
        <v>0.0</v>
      </c>
      <c r="K100" s="205">
        <v>0.0</v>
      </c>
      <c r="L100" s="205">
        <v>0.0</v>
      </c>
      <c r="M100" s="205">
        <v>1.0</v>
      </c>
      <c r="N100" s="205">
        <v>0.0</v>
      </c>
      <c r="O100" s="205">
        <v>0.0</v>
      </c>
      <c r="P100" s="205">
        <v>0.0</v>
      </c>
      <c r="Q100" s="205">
        <v>0.0</v>
      </c>
      <c r="R100" s="205">
        <v>0.0</v>
      </c>
      <c r="S100" s="205">
        <v>0.0</v>
      </c>
      <c r="T100" s="205">
        <v>0.0</v>
      </c>
      <c r="U100" s="205">
        <v>0.0</v>
      </c>
      <c r="V100" s="205">
        <v>0.0</v>
      </c>
      <c r="W100" s="205">
        <v>0.0</v>
      </c>
      <c r="X100" s="205">
        <v>0.0</v>
      </c>
      <c r="Y100" s="205">
        <v>0.0</v>
      </c>
      <c r="Z100" s="205">
        <v>0.0</v>
      </c>
      <c r="AA100" s="205">
        <v>0.0</v>
      </c>
      <c r="AB100" s="205">
        <v>0.0</v>
      </c>
      <c r="AC100" s="205">
        <v>0.0</v>
      </c>
      <c r="AD100" s="205">
        <v>0.0</v>
      </c>
      <c r="AE100" s="205">
        <v>0.0</v>
      </c>
      <c r="AF100" s="205">
        <v>0.0</v>
      </c>
      <c r="AG100" s="205">
        <v>0.0</v>
      </c>
      <c r="AH100" s="205">
        <v>0.0</v>
      </c>
      <c r="AI100" s="205">
        <v>1.0</v>
      </c>
      <c r="AJ100" s="205">
        <v>0.0</v>
      </c>
      <c r="AK100" s="205">
        <v>0.0</v>
      </c>
      <c r="AL100" s="205">
        <v>0.0</v>
      </c>
      <c r="AM100" s="205">
        <v>0.0</v>
      </c>
      <c r="AN100" s="205">
        <v>0.0</v>
      </c>
      <c r="AO100" s="205">
        <v>0.0</v>
      </c>
      <c r="AP100" s="205">
        <v>0.0</v>
      </c>
      <c r="AQ100" s="205">
        <v>0.0</v>
      </c>
      <c r="AR100" s="205">
        <v>1.0</v>
      </c>
      <c r="AS100" s="205">
        <v>0.0</v>
      </c>
      <c r="AT100" s="205">
        <v>0.0</v>
      </c>
      <c r="AU100" s="205">
        <v>0.0</v>
      </c>
      <c r="AV100" s="205">
        <v>0.0</v>
      </c>
      <c r="AW100" s="205">
        <v>0.0</v>
      </c>
      <c r="AX100" s="205">
        <v>0.0</v>
      </c>
      <c r="AY100" s="205">
        <v>0.0</v>
      </c>
      <c r="AZ100" s="205">
        <v>0.0</v>
      </c>
      <c r="BA100" s="205">
        <v>0.0</v>
      </c>
      <c r="BB100" s="205">
        <v>0.0</v>
      </c>
      <c r="BC100" s="205">
        <v>0.0</v>
      </c>
      <c r="BD100" s="205">
        <v>0.0</v>
      </c>
      <c r="BE100" s="205">
        <v>0.0</v>
      </c>
      <c r="BF100" s="205">
        <v>0.0</v>
      </c>
      <c r="BG100" s="205">
        <v>0.0</v>
      </c>
      <c r="BH100" s="205">
        <v>0.0</v>
      </c>
      <c r="BI100" s="205">
        <v>0.0</v>
      </c>
      <c r="BJ100" s="205">
        <v>0.0</v>
      </c>
      <c r="BK100" s="205">
        <v>0.0</v>
      </c>
      <c r="BL100" s="205">
        <v>0.0</v>
      </c>
      <c r="BM100" s="205">
        <v>0.0</v>
      </c>
      <c r="BN100" s="205">
        <v>0.0</v>
      </c>
      <c r="BO100" s="205">
        <v>0.0</v>
      </c>
      <c r="BP100" s="205">
        <v>1.0</v>
      </c>
      <c r="BQ100" s="205">
        <v>0.0</v>
      </c>
      <c r="BR100" s="206"/>
      <c r="BS100" s="250">
        <f t="shared" si="1"/>
        <v>0.06349206349</v>
      </c>
      <c r="BT100" s="250">
        <f t="shared" si="2"/>
        <v>0.1189216427</v>
      </c>
      <c r="BU100" s="206"/>
      <c r="BV100" s="207">
        <f>IFERROR(__xludf.DUMMYFUNCTION("AVERAGE(ARRAYFORMULA(XLOOKUP(FILTER(INDIRECT(""'""&amp;BV$1&amp;""'!$C$4:$C$66""),INDIRECT(""'""&amp;BV$1&amp;""'!$D$4:$D$66"")=BV$2),$G$3:$BQ$3,$G100:$BQ100)))"),0.0)</f>
        <v>0</v>
      </c>
      <c r="BW100" s="207" t="str">
        <f>IFERROR(__xludf.DUMMYFUNCTION("IF(OR(BV100&gt;$BS100+$BT100*$BT$2,BV100&lt;$BS100-$BT100*$BT$2),AVEDEV(ARRAYFORMULA(XLOOKUP(FILTER(INDIRECT(""'""&amp;BV$1&amp;""'!$C$4:$C$66""),INDIRECT(""'""&amp;BV$1&amp;""'!$D$4:$D$66"")=BV$2),$G$3:$BQ$3,$G100:$BQ100))),"""")"),"")</f>
        <v/>
      </c>
      <c r="BX100" s="207">
        <f>IFERROR(__xludf.DUMMYFUNCTION("AVERAGE(ARRAYFORMULA(XLOOKUP(FILTER(INDIRECT(""'""&amp;BX$1&amp;""'!$C$4:$C$66""),INDIRECT(""'""&amp;BX$1&amp;""'!$D$4:$D$66"")=BX$2),$G$3:$BQ$3,$G100:$BQ100)))"),0.07142857142857142)</f>
        <v>0.07142857143</v>
      </c>
      <c r="BY100" s="207" t="str">
        <f>IFERROR(__xludf.DUMMYFUNCTION("IF(OR(BX100&gt;$BS100+$BT100*$BT$2,BX100&lt;$BS100-$BT100*$BT$2),AVEDEV(ARRAYFORMULA(XLOOKUP(FILTER(INDIRECT(""'""&amp;BX$1&amp;""'!$C$4:$C$66""),INDIRECT(""'""&amp;BX$1&amp;""'!$D$4:$D$66"")=BX$2),$G$3:$BQ$3,$G100:$BQ100))),"""")"),"")</f>
        <v/>
      </c>
      <c r="BZ100" s="207">
        <f>IFERROR(__xludf.DUMMYFUNCTION("AVERAGE(ARRAYFORMULA(XLOOKUP(FILTER(INDIRECT(""'""&amp;BZ$1&amp;""'!$C$4:$C$66""),INDIRECT(""'""&amp;BZ$1&amp;""'!$D$4:$D$66"")=BZ$2),$G$3:$BQ$3,$G100:$BQ100)))"),0.09090909090909091)</f>
        <v>0.09090909091</v>
      </c>
      <c r="CA100" s="207" t="str">
        <f>IFERROR(__xludf.DUMMYFUNCTION("IF(OR(BZ100&gt;$BS100+$BT100*$BT$2,BZ100&lt;$BS100-$BT100*$BT$2),AVEDEV(ARRAYFORMULA(XLOOKUP(FILTER(INDIRECT(""'""&amp;BZ$1&amp;""'!$C$4:$C$66""),INDIRECT(""'""&amp;BZ$1&amp;""'!$D$4:$D$66"")=BZ$2),$G$3:$BQ$3,$G100:$BQ100))),"""")"),"")</f>
        <v/>
      </c>
      <c r="CB100" s="209"/>
      <c r="CC100" s="207">
        <f>IFERROR(__xludf.DUMMYFUNCTION("AVERAGE(ARRAYFORMULA(XLOOKUP(FILTER(INDIRECT(""'""&amp;CC$1&amp;""'!$C$4:$C$66""),INDIRECT(""'""&amp;CC$1&amp;""'!$D$4:$D$66"")=CC$2),$G$3:$BQ$3,$G100:$BQ100)))"),0.0625)</f>
        <v>0.0625</v>
      </c>
      <c r="CD100" s="207" t="str">
        <f>IFERROR(__xludf.DUMMYFUNCTION("IF(OR(CC100&gt;$BS100+$BT100*$BT$2,CC100&lt;$BS100-$BT100*$BT$2),AVEDEV(ARRAYFORMULA(XLOOKUP(FILTER(INDIRECT(""'""&amp;CC$1&amp;""'!$C$4:$C$66""),INDIRECT(""'""&amp;CC$1&amp;""'!$D$4:$D$66"")=CC$2),$G$3:$BQ$3,$G100:$BQ100))),"""")"),"")</f>
        <v/>
      </c>
      <c r="CE100" s="207">
        <f>IFERROR(__xludf.DUMMYFUNCTION("AVERAGE(ARRAYFORMULA(XLOOKUP(FILTER(INDIRECT(""'""&amp;CE$1&amp;""'!$C$4:$C$66""),INDIRECT(""'""&amp;CE$1&amp;""'!$D$4:$D$66"")=CE$2),$G$3:$BQ$3,$G100:$BQ100)))"),0.06451612903225806)</f>
        <v>0.06451612903</v>
      </c>
      <c r="CF100" s="207" t="str">
        <f>IFERROR(__xludf.DUMMYFUNCTION("IF(OR(CE100&gt;$BS100+$BT100*$BT$2,CE100&lt;$BS100-$BT100*$BT$2),AVEDEV(ARRAYFORMULA(XLOOKUP(FILTER(INDIRECT(""'""&amp;CE$1&amp;""'!$C$4:$C$66""),INDIRECT(""'""&amp;CE$1&amp;""'!$D$4:$D$66"")=CE$2),$G$3:$BQ$3,$G100:$BQ100))),"""")"),"")</f>
        <v/>
      </c>
      <c r="CG100" s="207">
        <f>IFERROR(__xludf.DUMMYFUNCTION("AVERAGE(ARRAYFORMULA(XLOOKUP(FILTER(INDIRECT(""'""&amp;CG$1&amp;""'!$C$4:$C$66""),INDIRECT(""'""&amp;CG$1&amp;""'!$D$4:$D$66"")=CG$2),$G$3:$BQ$3,$G100:$BQ100)))"),0.0)</f>
        <v>0</v>
      </c>
      <c r="CH100" s="207" t="str">
        <f>IFERROR(__xludf.DUMMYFUNCTION("IF(OR(CG100&gt;$BS100+$BT100*$BT$2,CG100&lt;$BS100-$BT100*$BT$2),AVEDEV(ARRAYFORMULA(XLOOKUP(FILTER(INDIRECT(""'""&amp;CG$1&amp;""'!$C$4:$C$66""),INDIRECT(""'""&amp;CG$1&amp;""'!$D$4:$D$66"")=CG$2),$G$3:$BQ$3,$G100:$BQ100))),"""")"),"")</f>
        <v/>
      </c>
      <c r="CI100" s="206"/>
      <c r="CJ100" s="251">
        <f>IFERROR(__xludf.DUMMYFUNCTION("AVERAGE(ARRAYFORMULA(XLOOKUP(FILTER(INDIRECT(""'""&amp;CJ$1&amp;""'!$C$4:$C$66""),INDIRECT(""'""&amp;CJ$1&amp;""'!$D$4:$D$66"")=CJ$2),$G$3:$BQ$3,$G100:$BQ100)))"),0.0)</f>
        <v>0</v>
      </c>
      <c r="CK100" s="207" t="str">
        <f>IFERROR(__xludf.DUMMYFUNCTION("IF(OR(CJ100&gt;$BS100+$BT100*$BT$2,CJ100&lt;$BS100-$BT100*$BT$2),AVEDEV(ARRAYFORMULA(XLOOKUP(FILTER(INDIRECT(""'""&amp;CJ$1&amp;""'!$C$4:$C$66""),INDIRECT(""'""&amp;CJ$1&amp;""'!$D$4:$D$66"")=CJ$2),$G$3:$BQ$3,$G100:$BQ100))),"""")"),"")</f>
        <v/>
      </c>
      <c r="CL100" s="251">
        <f>IFERROR(__xludf.DUMMYFUNCTION("AVERAGE(ARRAYFORMULA(XLOOKUP(FILTER(INDIRECT(""'""&amp;CL$1&amp;""'!$C$4:$C$66""),INDIRECT(""'""&amp;CL$1&amp;""'!$D$4:$D$66"")=CL$2),$G$3:$BQ$3,$G100:$BQ100)))"),0.10256410256410256)</f>
        <v>0.1025641026</v>
      </c>
      <c r="CM100" s="207" t="str">
        <f>IFERROR(__xludf.DUMMYFUNCTION("IF(OR(CL100&gt;$BS100+$BT100*$BT$2,CL100&lt;$BS100-$BT100*$BT$2),AVEDEV(ARRAYFORMULA(XLOOKUP(FILTER(INDIRECT(""'""&amp;CL$1&amp;""'!$C$4:$C$66""),INDIRECT(""'""&amp;CL$1&amp;""'!$D$4:$D$66"")=CL$2),$G$3:$BQ$3,$G100:$BQ100))),"""")"),"")</f>
        <v/>
      </c>
      <c r="CN100" s="251">
        <f>IFERROR(__xludf.DUMMYFUNCTION("AVERAGE(ARRAYFORMULA(XLOOKUP(FILTER(INDIRECT(""'""&amp;CN$1&amp;""'!$C$4:$C$66""),INDIRECT(""'""&amp;CN$1&amp;""'!$D$4:$D$66"")=CN$2),$G$3:$BQ$3,$G100:$BQ100)))"),0.0)</f>
        <v>0</v>
      </c>
      <c r="CO100" s="207" t="str">
        <f>IFERROR(__xludf.DUMMYFUNCTION("IF(OR(CN100&gt;$BS100+$BT100*$BT$2,CN100&lt;$BS100-$BT100*$BT$2),AVEDEV(ARRAYFORMULA(XLOOKUP(FILTER(INDIRECT(""'""&amp;CN$1&amp;""'!$C$4:$C$66""),INDIRECT(""'""&amp;CN$1&amp;""'!$D$4:$D$66"")=CN$2),$G$3:$BQ$3,$G100:$BQ100))),"""")"),"")</f>
        <v/>
      </c>
      <c r="CP100" s="252"/>
      <c r="CQ100" s="251">
        <f>IFERROR(__xludf.DUMMYFUNCTION("AVERAGE(ARRAYFORMULA(XLOOKUP(FILTER(INDIRECT(""'""&amp;CQ$1&amp;""'!$C$4:$C$66""),INDIRECT(""'""&amp;CQ$1&amp;""'!$D$4:$D$66"")=CQ$2),$G$3:$BQ$3,$G100:$BQ100)))"),0.07142857142857142)</f>
        <v>0.07142857143</v>
      </c>
      <c r="CR100" s="207" t="str">
        <f>IFERROR(__xludf.DUMMYFUNCTION("IF(OR(CQ100&gt;$BS100+$BT100*$BT$2,CQ100&lt;$BS100-$BT100*$BT$2),AVEDEV(ARRAYFORMULA(XLOOKUP(FILTER(INDIRECT(""'""&amp;CQ$1&amp;""'!$C$4:$C$66""),INDIRECT(""'""&amp;CQ$1&amp;""'!$D$4:$D$66"")=CQ$2),$G$3:$BQ$3,$G100:$BQ100))),"""")"),"")</f>
        <v/>
      </c>
      <c r="CS100" s="251">
        <f>IFERROR(__xludf.DUMMYFUNCTION("AVERAGE(ARRAYFORMULA(XLOOKUP(FILTER(INDIRECT(""'""&amp;CS$1&amp;""'!$C$4:$C$66""),INDIRECT(""'""&amp;CS$1&amp;""'!$D$4:$D$66"")=CS$2),$G$3:$BQ$3,$G100:$BQ100)))"),0.1111111111111111)</f>
        <v>0.1111111111</v>
      </c>
      <c r="CT100" s="207" t="str">
        <f>IFERROR(__xludf.DUMMYFUNCTION("IF(OR(CS100&gt;$BS100+$BT100*$BT$2,CS100&lt;$BS100-$BT100*$BT$2),AVEDEV(ARRAYFORMULA(XLOOKUP(FILTER(INDIRECT(""'""&amp;CS$1&amp;""'!$C$4:$C$66""),INDIRECT(""'""&amp;CS$1&amp;""'!$D$4:$D$66"")=CS$2),$G$3:$BQ$3,$G100:$BQ100))),"""")"),"")</f>
        <v/>
      </c>
      <c r="CU100" s="251">
        <f>IFERROR(__xludf.DUMMYFUNCTION("AVERAGE(ARRAYFORMULA(XLOOKUP(FILTER(INDIRECT(""'""&amp;CU$1&amp;""'!$C$4:$C$66""),INDIRECT(""'""&amp;CU$1&amp;""'!$D$4:$D$66"")=CU$2),$G$3:$BQ$3,$G100:$BQ100)))"),0.0)</f>
        <v>0</v>
      </c>
      <c r="CV100" s="207" t="str">
        <f>IFERROR(__xludf.DUMMYFUNCTION("IF(OR(CU100&gt;$BS100+$BT100*$BT$2,CU100&lt;$BS100-$BT100*$BT$2),AVEDEV(ARRAYFORMULA(XLOOKUP(FILTER(INDIRECT(""'""&amp;CU$1&amp;""'!$C$4:$C$66""),INDIRECT(""'""&amp;CU$1&amp;""'!$D$4:$D$66"")=CU$2),$G$3:$BQ$3,$G100:$BQ100))),"""")"),"")</f>
        <v/>
      </c>
      <c r="CW100" s="251">
        <f>IFERROR(__xludf.DUMMYFUNCTION("AVERAGE(ARRAYFORMULA(XLOOKUP(FILTER(INDIRECT(""'""&amp;CW$1&amp;""'!$C$4:$C$66""),INDIRECT(""'""&amp;CW$1&amp;""'!$D$4:$D$66"")=CW$2),$G$3:$BQ$3,$G100:$BQ100)))"),0.0)</f>
        <v>0</v>
      </c>
      <c r="CX100" s="207" t="str">
        <f>IFERROR(__xludf.DUMMYFUNCTION("IF(OR(CW100&gt;$BS100+$BT100*$BT$2,CW100&lt;$BS100-$BT100*$BT$2),AVEDEV(ARRAYFORMULA(XLOOKUP(FILTER(INDIRECT(""'""&amp;CW$1&amp;""'!$C$4:$C$66""),INDIRECT(""'""&amp;CW$1&amp;""'!$D$4:$D$66"")=CW$2),$G$3:$BQ$3,$G100:$BQ100))),"""")"),"")</f>
        <v/>
      </c>
      <c r="CY100" s="251">
        <f>IFERROR(__xludf.DUMMYFUNCTION("AVERAGE(ARRAYFORMULA(XLOOKUP(FILTER(INDIRECT(""'""&amp;CY$1&amp;""'!$C$4:$C$66""),INDIRECT(""'""&amp;CY$1&amp;""'!$D$4:$D$66"")=CY$2),$G$3:$BQ$3,$G100:$BQ100)))"),0.14285714285714285)</f>
        <v>0.1428571429</v>
      </c>
      <c r="CZ100" s="207" t="str">
        <f>IFERROR(__xludf.DUMMYFUNCTION("IF(OR(CY100&gt;$BS100+$BT100*$BT$2,CY100&lt;$BS100-$BT100*$BT$2),AVEDEV(ARRAYFORMULA(XLOOKUP(FILTER(INDIRECT(""'""&amp;CY$1&amp;""'!$C$4:$C$66""),INDIRECT(""'""&amp;CY$1&amp;""'!$D$4:$D$66"")=CY$2),$G$3:$BQ$3,$G100:$BQ100))),"""")"),"")</f>
        <v/>
      </c>
      <c r="DA100" s="252"/>
      <c r="DB100" s="251">
        <f>IFERROR(__xludf.DUMMYFUNCTION("AVERAGE(ARRAYFORMULA(XLOOKUP(FILTER(INDIRECT(""'""&amp;DB$1&amp;""'!$C$4:$C$66""),INDIRECT(""'""&amp;DB$1&amp;""'!$D$4:$D$66"")=DB$2),$G$3:$BQ$3,$G100:$BQ100)))"),0.06666666666666667)</f>
        <v>0.06666666667</v>
      </c>
      <c r="DC100" s="207" t="str">
        <f>IFERROR(__xludf.DUMMYFUNCTION("IF(OR(DB100&gt;$BS100+$BT100*$BT$2,DB100&lt;$BS100-$BT100*$BT$2),AVEDEV(ARRAYFORMULA(XLOOKUP(FILTER(INDIRECT(""'""&amp;DB$1&amp;""'!$C$4:$C$66""),INDIRECT(""'""&amp;DB$1&amp;""'!$D$4:$D$66"")=DB$2),$G$3:$BQ$3,$G100:$BQ100))),"""")"),"")</f>
        <v/>
      </c>
      <c r="DD100" s="251">
        <f>IFERROR(__xludf.DUMMYFUNCTION("AVERAGE(ARRAYFORMULA(XLOOKUP(FILTER(INDIRECT(""'""&amp;DD$1&amp;""'!$C$4:$C$66""),INDIRECT(""'""&amp;DD$1&amp;""'!$D$4:$D$66"")=DD$2),$G$3:$BQ$3,$G100:$BQ100)))"),0.1111111111111111)</f>
        <v>0.1111111111</v>
      </c>
      <c r="DE100" s="207" t="str">
        <f>IFERROR(__xludf.DUMMYFUNCTION("IF(OR(DD100&gt;$BS100+$BT100*$BT$2,DD100&lt;$BS100-$BT100*$BT$2),AVEDEV(ARRAYFORMULA(XLOOKUP(FILTER(INDIRECT(""'""&amp;DD$1&amp;""'!$C$4:$C$66""),INDIRECT(""'""&amp;DD$1&amp;""'!$D$4:$D$66"")=DD$2),$G$3:$BQ$3,$G100:$BQ100))),"""")"),"")</f>
        <v/>
      </c>
      <c r="DF100" s="251">
        <f>IFERROR(__xludf.DUMMYFUNCTION("AVERAGE(ARRAYFORMULA(XLOOKUP(FILTER(INDIRECT(""'""&amp;DF$1&amp;""'!$C$4:$C$66""),INDIRECT(""'""&amp;DF$1&amp;""'!$D$4:$D$66"")=DF$2),$G$3:$BQ$3,$G100:$BQ100)))"),0.0)</f>
        <v>0</v>
      </c>
      <c r="DG100" s="207" t="str">
        <f>IFERROR(__xludf.DUMMYFUNCTION("IF(OR(DF100&gt;$BS100+$BT100*$BT$2,DF100&lt;$BS100-$BT100*$BT$2),AVEDEV(ARRAYFORMULA(XLOOKUP(FILTER(INDIRECT(""'""&amp;DF$1&amp;""'!$C$4:$C$66""),INDIRECT(""'""&amp;DF$1&amp;""'!$D$4:$D$66"")=DF$2),$G$3:$BQ$3,$G100:$BQ100))),"""")"),"")</f>
        <v/>
      </c>
      <c r="DH100" s="251">
        <f>IFERROR(__xludf.DUMMYFUNCTION("AVERAGE(ARRAYFORMULA(XLOOKUP(FILTER(INDIRECT(""'""&amp;DH$1&amp;""'!$C$4:$C$66""),INDIRECT(""'""&amp;DH$1&amp;""'!$D$4:$D$66"")=DH$2),$G$3:$BQ$3,$G100:$BQ100)))"),0.0)</f>
        <v>0</v>
      </c>
      <c r="DI100" s="207" t="str">
        <f>IFERROR(__xludf.DUMMYFUNCTION("IF(OR(DH100&gt;$BS100+$BT100*$BT$2,DH100&lt;$BS100-$BT100*$BT$2),AVEDEV(ARRAYFORMULA(XLOOKUP(FILTER(INDIRECT(""'""&amp;DH$1&amp;""'!$C$4:$C$66""),INDIRECT(""'""&amp;DH$1&amp;""'!$D$4:$D$66"")=DH$2),$G$3:$BQ$3,$G100:$BQ100))),"""")"),"")</f>
        <v/>
      </c>
      <c r="DJ100" s="243"/>
    </row>
    <row r="101">
      <c r="A101" s="2"/>
      <c r="B101" s="204">
        <v>97.0</v>
      </c>
      <c r="C101" s="204" t="s">
        <v>540</v>
      </c>
      <c r="D101" s="204" t="s">
        <v>543</v>
      </c>
      <c r="E101" s="205" t="b">
        <f>VLOOKUP(D101,'Feature Set List'!A98:C246,2,0)</f>
        <v>1</v>
      </c>
      <c r="F101" s="205" t="b">
        <f>VLOOKUP(D101,'Feature Set List'!A98:C246,3,0)</f>
        <v>1</v>
      </c>
      <c r="G101" s="205">
        <v>0.0</v>
      </c>
      <c r="H101" s="205">
        <v>0.0</v>
      </c>
      <c r="I101" s="205">
        <v>0.0</v>
      </c>
      <c r="J101" s="205">
        <v>0.0</v>
      </c>
      <c r="K101" s="205">
        <v>1.0</v>
      </c>
      <c r="L101" s="205">
        <v>0.0</v>
      </c>
      <c r="M101" s="205">
        <v>0.0</v>
      </c>
      <c r="N101" s="205">
        <v>0.0</v>
      </c>
      <c r="O101" s="205">
        <v>0.0</v>
      </c>
      <c r="P101" s="205">
        <v>0.0</v>
      </c>
      <c r="Q101" s="205">
        <v>0.0</v>
      </c>
      <c r="R101" s="205">
        <v>0.0</v>
      </c>
      <c r="S101" s="205">
        <v>0.0</v>
      </c>
      <c r="T101" s="205">
        <v>0.0</v>
      </c>
      <c r="U101" s="205">
        <v>0.0</v>
      </c>
      <c r="V101" s="205">
        <v>0.0</v>
      </c>
      <c r="W101" s="205">
        <v>0.0</v>
      </c>
      <c r="X101" s="205">
        <v>0.0</v>
      </c>
      <c r="Y101" s="205">
        <v>0.0</v>
      </c>
      <c r="Z101" s="205">
        <v>0.0</v>
      </c>
      <c r="AA101" s="205">
        <v>0.0</v>
      </c>
      <c r="AB101" s="205">
        <v>0.0</v>
      </c>
      <c r="AC101" s="205">
        <v>0.0</v>
      </c>
      <c r="AD101" s="205">
        <v>0.0</v>
      </c>
      <c r="AE101" s="205">
        <v>0.0</v>
      </c>
      <c r="AF101" s="205">
        <v>0.0</v>
      </c>
      <c r="AG101" s="205">
        <v>0.0</v>
      </c>
      <c r="AH101" s="205">
        <v>0.0</v>
      </c>
      <c r="AI101" s="205">
        <v>0.0</v>
      </c>
      <c r="AJ101" s="205">
        <v>0.0</v>
      </c>
      <c r="AK101" s="205">
        <v>0.0</v>
      </c>
      <c r="AL101" s="205">
        <v>0.0</v>
      </c>
      <c r="AM101" s="205">
        <v>0.0</v>
      </c>
      <c r="AN101" s="205">
        <v>0.0</v>
      </c>
      <c r="AO101" s="205">
        <v>0.0</v>
      </c>
      <c r="AP101" s="205">
        <v>0.0</v>
      </c>
      <c r="AQ101" s="205">
        <v>0.0</v>
      </c>
      <c r="AR101" s="205">
        <v>0.0</v>
      </c>
      <c r="AS101" s="205">
        <v>0.0</v>
      </c>
      <c r="AT101" s="205">
        <v>0.0</v>
      </c>
      <c r="AU101" s="205">
        <v>0.0</v>
      </c>
      <c r="AV101" s="205">
        <v>0.0</v>
      </c>
      <c r="AW101" s="205">
        <v>0.0</v>
      </c>
      <c r="AX101" s="205">
        <v>0.0</v>
      </c>
      <c r="AY101" s="205">
        <v>0.0</v>
      </c>
      <c r="AZ101" s="205">
        <v>0.0</v>
      </c>
      <c r="BA101" s="205">
        <v>0.0</v>
      </c>
      <c r="BB101" s="205">
        <v>0.0</v>
      </c>
      <c r="BC101" s="205">
        <v>0.0</v>
      </c>
      <c r="BD101" s="205">
        <v>0.0</v>
      </c>
      <c r="BE101" s="205">
        <v>0.0</v>
      </c>
      <c r="BF101" s="205">
        <v>0.0</v>
      </c>
      <c r="BG101" s="205">
        <v>0.0</v>
      </c>
      <c r="BH101" s="205">
        <v>0.0</v>
      </c>
      <c r="BI101" s="205">
        <v>0.0</v>
      </c>
      <c r="BJ101" s="205">
        <v>0.0</v>
      </c>
      <c r="BK101" s="205">
        <v>0.0</v>
      </c>
      <c r="BL101" s="205">
        <v>0.0</v>
      </c>
      <c r="BM101" s="205">
        <v>0.0</v>
      </c>
      <c r="BN101" s="205">
        <v>0.0</v>
      </c>
      <c r="BO101" s="205">
        <v>0.0</v>
      </c>
      <c r="BP101" s="205">
        <v>0.0</v>
      </c>
      <c r="BQ101" s="205">
        <v>0.0</v>
      </c>
      <c r="BR101" s="206"/>
      <c r="BS101" s="250">
        <f t="shared" si="1"/>
        <v>0.01587301587</v>
      </c>
      <c r="BT101" s="250">
        <f t="shared" si="2"/>
        <v>0.03124212648</v>
      </c>
      <c r="BU101" s="206"/>
      <c r="BV101" s="207">
        <f>IFERROR(__xludf.DUMMYFUNCTION("AVERAGE(ARRAYFORMULA(XLOOKUP(FILTER(INDIRECT(""'""&amp;BV$1&amp;""'!$C$4:$C$66""),INDIRECT(""'""&amp;BV$1&amp;""'!$D$4:$D$66"")=BV$2),$G$3:$BQ$3,$G101:$BQ101)))"),0.0)</f>
        <v>0</v>
      </c>
      <c r="BW101" s="207" t="str">
        <f>IFERROR(__xludf.DUMMYFUNCTION("IF(OR(BV101&gt;$BS101+$BT101*$BT$2,BV101&lt;$BS101-$BT101*$BT$2),AVEDEV(ARRAYFORMULA(XLOOKUP(FILTER(INDIRECT(""'""&amp;BV$1&amp;""'!$C$4:$C$66""),INDIRECT(""'""&amp;BV$1&amp;""'!$D$4:$D$66"")=BV$2),$G$3:$BQ$3,$G101:$BQ101))),"""")"),"")</f>
        <v/>
      </c>
      <c r="BX101" s="207">
        <f>IFERROR(__xludf.DUMMYFUNCTION("AVERAGE(ARRAYFORMULA(XLOOKUP(FILTER(INDIRECT(""'""&amp;BX$1&amp;""'!$C$4:$C$66""),INDIRECT(""'""&amp;BX$1&amp;""'!$D$4:$D$66"")=BX$2),$G$3:$BQ$3,$G101:$BQ101)))"),0.023809523809523808)</f>
        <v>0.02380952381</v>
      </c>
      <c r="BY101" s="207" t="str">
        <f>IFERROR(__xludf.DUMMYFUNCTION("IF(OR(BX101&gt;$BS101+$BT101*$BT$2,BX101&lt;$BS101-$BT101*$BT$2),AVEDEV(ARRAYFORMULA(XLOOKUP(FILTER(INDIRECT(""'""&amp;BX$1&amp;""'!$C$4:$C$66""),INDIRECT(""'""&amp;BX$1&amp;""'!$D$4:$D$66"")=BX$2),$G$3:$BQ$3,$G101:$BQ101))),"""")"),"")</f>
        <v/>
      </c>
      <c r="BZ101" s="207">
        <f>IFERROR(__xludf.DUMMYFUNCTION("AVERAGE(ARRAYFORMULA(XLOOKUP(FILTER(INDIRECT(""'""&amp;BZ$1&amp;""'!$C$4:$C$66""),INDIRECT(""'""&amp;BZ$1&amp;""'!$D$4:$D$66"")=BZ$2),$G$3:$BQ$3,$G101:$BQ101)))"),0.0)</f>
        <v>0</v>
      </c>
      <c r="CA101" s="207" t="str">
        <f>IFERROR(__xludf.DUMMYFUNCTION("IF(OR(BZ101&gt;$BS101+$BT101*$BT$2,BZ101&lt;$BS101-$BT101*$BT$2),AVEDEV(ARRAYFORMULA(XLOOKUP(FILTER(INDIRECT(""'""&amp;BZ$1&amp;""'!$C$4:$C$66""),INDIRECT(""'""&amp;BZ$1&amp;""'!$D$4:$D$66"")=BZ$2),$G$3:$BQ$3,$G101:$BQ101))),"""")"),"")</f>
        <v/>
      </c>
      <c r="CB101" s="209"/>
      <c r="CC101" s="207">
        <f>IFERROR(__xludf.DUMMYFUNCTION("AVERAGE(ARRAYFORMULA(XLOOKUP(FILTER(INDIRECT(""'""&amp;CC$1&amp;""'!$C$4:$C$66""),INDIRECT(""'""&amp;CC$1&amp;""'!$D$4:$D$66"")=CC$2),$G$3:$BQ$3,$G101:$BQ101)))"),0.0625)</f>
        <v>0.0625</v>
      </c>
      <c r="CD101" s="207">
        <f>IFERROR(__xludf.DUMMYFUNCTION("IF(OR(CC101&gt;$BS101+$BT101*$BT$2,CC101&lt;$BS101-$BT101*$BT$2),AVEDEV(ARRAYFORMULA(XLOOKUP(FILTER(INDIRECT(""'""&amp;CC$1&amp;""'!$C$4:$C$66""),INDIRECT(""'""&amp;CC$1&amp;""'!$D$4:$D$66"")=CC$2),$G$3:$BQ$3,$G101:$BQ101))),"""")"),0.1171875)</f>
        <v>0.1171875</v>
      </c>
      <c r="CE101" s="207">
        <f>IFERROR(__xludf.DUMMYFUNCTION("AVERAGE(ARRAYFORMULA(XLOOKUP(FILTER(INDIRECT(""'""&amp;CE$1&amp;""'!$C$4:$C$66""),INDIRECT(""'""&amp;CE$1&amp;""'!$D$4:$D$66"")=CE$2),$G$3:$BQ$3,$G101:$BQ101)))"),0.0)</f>
        <v>0</v>
      </c>
      <c r="CF101" s="207" t="str">
        <f>IFERROR(__xludf.DUMMYFUNCTION("IF(OR(CE101&gt;$BS101+$BT101*$BT$2,CE101&lt;$BS101-$BT101*$BT$2),AVEDEV(ARRAYFORMULA(XLOOKUP(FILTER(INDIRECT(""'""&amp;CE$1&amp;""'!$C$4:$C$66""),INDIRECT(""'""&amp;CE$1&amp;""'!$D$4:$D$66"")=CE$2),$G$3:$BQ$3,$G101:$BQ101))),"""")"),"")</f>
        <v/>
      </c>
      <c r="CG101" s="207">
        <f>IFERROR(__xludf.DUMMYFUNCTION("AVERAGE(ARRAYFORMULA(XLOOKUP(FILTER(INDIRECT(""'""&amp;CG$1&amp;""'!$C$4:$C$66""),INDIRECT(""'""&amp;CG$1&amp;""'!$D$4:$D$66"")=CG$2),$G$3:$BQ$3,$G101:$BQ101)))"),0.0)</f>
        <v>0</v>
      </c>
      <c r="CH101" s="207" t="str">
        <f>IFERROR(__xludf.DUMMYFUNCTION("IF(OR(CG101&gt;$BS101+$BT101*$BT$2,CG101&lt;$BS101-$BT101*$BT$2),AVEDEV(ARRAYFORMULA(XLOOKUP(FILTER(INDIRECT(""'""&amp;CG$1&amp;""'!$C$4:$C$66""),INDIRECT(""'""&amp;CG$1&amp;""'!$D$4:$D$66"")=CG$2),$G$3:$BQ$3,$G101:$BQ101))),"""")"),"")</f>
        <v/>
      </c>
      <c r="CI101" s="206"/>
      <c r="CJ101" s="251">
        <f>IFERROR(__xludf.DUMMYFUNCTION("AVERAGE(ARRAYFORMULA(XLOOKUP(FILTER(INDIRECT(""'""&amp;CJ$1&amp;""'!$C$4:$C$66""),INDIRECT(""'""&amp;CJ$1&amp;""'!$D$4:$D$66"")=CJ$2),$G$3:$BQ$3,$G101:$BQ101)))"),0.0)</f>
        <v>0</v>
      </c>
      <c r="CK101" s="207" t="str">
        <f>IFERROR(__xludf.DUMMYFUNCTION("IF(OR(CJ101&gt;$BS101+$BT101*$BT$2,CJ101&lt;$BS101-$BT101*$BT$2),AVEDEV(ARRAYFORMULA(XLOOKUP(FILTER(INDIRECT(""'""&amp;CJ$1&amp;""'!$C$4:$C$66""),INDIRECT(""'""&amp;CJ$1&amp;""'!$D$4:$D$66"")=CJ$2),$G$3:$BQ$3,$G101:$BQ101))),"""")"),"")</f>
        <v/>
      </c>
      <c r="CL101" s="251">
        <f>IFERROR(__xludf.DUMMYFUNCTION("AVERAGE(ARRAYFORMULA(XLOOKUP(FILTER(INDIRECT(""'""&amp;CL$1&amp;""'!$C$4:$C$66""),INDIRECT(""'""&amp;CL$1&amp;""'!$D$4:$D$66"")=CL$2),$G$3:$BQ$3,$G101:$BQ101)))"),0.02564102564102564)</f>
        <v>0.02564102564</v>
      </c>
      <c r="CM101" s="207" t="str">
        <f>IFERROR(__xludf.DUMMYFUNCTION("IF(OR(CL101&gt;$BS101+$BT101*$BT$2,CL101&lt;$BS101-$BT101*$BT$2),AVEDEV(ARRAYFORMULA(XLOOKUP(FILTER(INDIRECT(""'""&amp;CL$1&amp;""'!$C$4:$C$66""),INDIRECT(""'""&amp;CL$1&amp;""'!$D$4:$D$66"")=CL$2),$G$3:$BQ$3,$G101:$BQ101))),"""")"),"")</f>
        <v/>
      </c>
      <c r="CN101" s="251">
        <f>IFERROR(__xludf.DUMMYFUNCTION("AVERAGE(ARRAYFORMULA(XLOOKUP(FILTER(INDIRECT(""'""&amp;CN$1&amp;""'!$C$4:$C$66""),INDIRECT(""'""&amp;CN$1&amp;""'!$D$4:$D$66"")=CN$2),$G$3:$BQ$3,$G101:$BQ101)))"),0.0)</f>
        <v>0</v>
      </c>
      <c r="CO101" s="207" t="str">
        <f>IFERROR(__xludf.DUMMYFUNCTION("IF(OR(CN101&gt;$BS101+$BT101*$BT$2,CN101&lt;$BS101-$BT101*$BT$2),AVEDEV(ARRAYFORMULA(XLOOKUP(FILTER(INDIRECT(""'""&amp;CN$1&amp;""'!$C$4:$C$66""),INDIRECT(""'""&amp;CN$1&amp;""'!$D$4:$D$66"")=CN$2),$G$3:$BQ$3,$G101:$BQ101))),"""")"),"")</f>
        <v/>
      </c>
      <c r="CP101" s="252"/>
      <c r="CQ101" s="251">
        <f>IFERROR(__xludf.DUMMYFUNCTION("AVERAGE(ARRAYFORMULA(XLOOKUP(FILTER(INDIRECT(""'""&amp;CQ$1&amp;""'!$C$4:$C$66""),INDIRECT(""'""&amp;CQ$1&amp;""'!$D$4:$D$66"")=CQ$2),$G$3:$BQ$3,$G101:$BQ101)))"),0.0)</f>
        <v>0</v>
      </c>
      <c r="CR101" s="207" t="str">
        <f>IFERROR(__xludf.DUMMYFUNCTION("IF(OR(CQ101&gt;$BS101+$BT101*$BT$2,CQ101&lt;$BS101-$BT101*$BT$2),AVEDEV(ARRAYFORMULA(XLOOKUP(FILTER(INDIRECT(""'""&amp;CQ$1&amp;""'!$C$4:$C$66""),INDIRECT(""'""&amp;CQ$1&amp;""'!$D$4:$D$66"")=CQ$2),$G$3:$BQ$3,$G101:$BQ101))),"""")"),"")</f>
        <v/>
      </c>
      <c r="CS101" s="251">
        <f>IFERROR(__xludf.DUMMYFUNCTION("AVERAGE(ARRAYFORMULA(XLOOKUP(FILTER(INDIRECT(""'""&amp;CS$1&amp;""'!$C$4:$C$66""),INDIRECT(""'""&amp;CS$1&amp;""'!$D$4:$D$66"")=CS$2),$G$3:$BQ$3,$G101:$BQ101)))"),0.0)</f>
        <v>0</v>
      </c>
      <c r="CT101" s="207" t="str">
        <f>IFERROR(__xludf.DUMMYFUNCTION("IF(OR(CS101&gt;$BS101+$BT101*$BT$2,CS101&lt;$BS101-$BT101*$BT$2),AVEDEV(ARRAYFORMULA(XLOOKUP(FILTER(INDIRECT(""'""&amp;CS$1&amp;""'!$C$4:$C$66""),INDIRECT(""'""&amp;CS$1&amp;""'!$D$4:$D$66"")=CS$2),$G$3:$BQ$3,$G101:$BQ101))),"""")"),"")</f>
        <v/>
      </c>
      <c r="CU101" s="251">
        <f>IFERROR(__xludf.DUMMYFUNCTION("AVERAGE(ARRAYFORMULA(XLOOKUP(FILTER(INDIRECT(""'""&amp;CU$1&amp;""'!$C$4:$C$66""),INDIRECT(""'""&amp;CU$1&amp;""'!$D$4:$D$66"")=CU$2),$G$3:$BQ$3,$G101:$BQ101)))"),0.0)</f>
        <v>0</v>
      </c>
      <c r="CV101" s="207" t="str">
        <f>IFERROR(__xludf.DUMMYFUNCTION("IF(OR(CU101&gt;$BS101+$BT101*$BT$2,CU101&lt;$BS101-$BT101*$BT$2),AVEDEV(ARRAYFORMULA(XLOOKUP(FILTER(INDIRECT(""'""&amp;CU$1&amp;""'!$C$4:$C$66""),INDIRECT(""'""&amp;CU$1&amp;""'!$D$4:$D$66"")=CU$2),$G$3:$BQ$3,$G101:$BQ101))),"""")"),"")</f>
        <v/>
      </c>
      <c r="CW101" s="251">
        <f>IFERROR(__xludf.DUMMYFUNCTION("AVERAGE(ARRAYFORMULA(XLOOKUP(FILTER(INDIRECT(""'""&amp;CW$1&amp;""'!$C$4:$C$66""),INDIRECT(""'""&amp;CW$1&amp;""'!$D$4:$D$66"")=CW$2),$G$3:$BQ$3,$G101:$BQ101)))"),0.0)</f>
        <v>0</v>
      </c>
      <c r="CX101" s="207" t="str">
        <f>IFERROR(__xludf.DUMMYFUNCTION("IF(OR(CW101&gt;$BS101+$BT101*$BT$2,CW101&lt;$BS101-$BT101*$BT$2),AVEDEV(ARRAYFORMULA(XLOOKUP(FILTER(INDIRECT(""'""&amp;CW$1&amp;""'!$C$4:$C$66""),INDIRECT(""'""&amp;CW$1&amp;""'!$D$4:$D$66"")=CW$2),$G$3:$BQ$3,$G101:$BQ101))),"""")"),"")</f>
        <v/>
      </c>
      <c r="CY101" s="251">
        <f>IFERROR(__xludf.DUMMYFUNCTION("AVERAGE(ARRAYFORMULA(XLOOKUP(FILTER(INDIRECT(""'""&amp;CY$1&amp;""'!$C$4:$C$66""),INDIRECT(""'""&amp;CY$1&amp;""'!$D$4:$D$66"")=CY$2),$G$3:$BQ$3,$G101:$BQ101)))"),0.0)</f>
        <v>0</v>
      </c>
      <c r="CZ101" s="207" t="str">
        <f>IFERROR(__xludf.DUMMYFUNCTION("IF(OR(CY101&gt;$BS101+$BT101*$BT$2,CY101&lt;$BS101-$BT101*$BT$2),AVEDEV(ARRAYFORMULA(XLOOKUP(FILTER(INDIRECT(""'""&amp;CY$1&amp;""'!$C$4:$C$66""),INDIRECT(""'""&amp;CY$1&amp;""'!$D$4:$D$66"")=CY$2),$G$3:$BQ$3,$G101:$BQ101))),"""")"),"")</f>
        <v/>
      </c>
      <c r="DA101" s="252"/>
      <c r="DB101" s="251">
        <f>IFERROR(__xludf.DUMMYFUNCTION("AVERAGE(ARRAYFORMULA(XLOOKUP(FILTER(INDIRECT(""'""&amp;DB$1&amp;""'!$C$4:$C$66""),INDIRECT(""'""&amp;DB$1&amp;""'!$D$4:$D$66"")=DB$2),$G$3:$BQ$3,$G101:$BQ101)))"),0.03333333333333333)</f>
        <v>0.03333333333</v>
      </c>
      <c r="DC101" s="207" t="str">
        <f>IFERROR(__xludf.DUMMYFUNCTION("IF(OR(DB101&gt;$BS101+$BT101*$BT$2,DB101&lt;$BS101-$BT101*$BT$2),AVEDEV(ARRAYFORMULA(XLOOKUP(FILTER(INDIRECT(""'""&amp;DB$1&amp;""'!$C$4:$C$66""),INDIRECT(""'""&amp;DB$1&amp;""'!$D$4:$D$66"")=DB$2),$G$3:$BQ$3,$G101:$BQ101))),"""")"),"")</f>
        <v/>
      </c>
      <c r="DD101" s="251">
        <f>IFERROR(__xludf.DUMMYFUNCTION("AVERAGE(ARRAYFORMULA(XLOOKUP(FILTER(INDIRECT(""'""&amp;DD$1&amp;""'!$C$4:$C$66""),INDIRECT(""'""&amp;DD$1&amp;""'!$D$4:$D$66"")=DD$2),$G$3:$BQ$3,$G101:$BQ101)))"),0.0)</f>
        <v>0</v>
      </c>
      <c r="DE101" s="207" t="str">
        <f>IFERROR(__xludf.DUMMYFUNCTION("IF(OR(DD101&gt;$BS101+$BT101*$BT$2,DD101&lt;$BS101-$BT101*$BT$2),AVEDEV(ARRAYFORMULA(XLOOKUP(FILTER(INDIRECT(""'""&amp;DD$1&amp;""'!$C$4:$C$66""),INDIRECT(""'""&amp;DD$1&amp;""'!$D$4:$D$66"")=DD$2),$G$3:$BQ$3,$G101:$BQ101))),"""")"),"")</f>
        <v/>
      </c>
      <c r="DF101" s="251">
        <f>IFERROR(__xludf.DUMMYFUNCTION("AVERAGE(ARRAYFORMULA(XLOOKUP(FILTER(INDIRECT(""'""&amp;DF$1&amp;""'!$C$4:$C$66""),INDIRECT(""'""&amp;DF$1&amp;""'!$D$4:$D$66"")=DF$2),$G$3:$BQ$3,$G101:$BQ101)))"),0.0)</f>
        <v>0</v>
      </c>
      <c r="DG101" s="207" t="str">
        <f>IFERROR(__xludf.DUMMYFUNCTION("IF(OR(DF101&gt;$BS101+$BT101*$BT$2,DF101&lt;$BS101-$BT101*$BT$2),AVEDEV(ARRAYFORMULA(XLOOKUP(FILTER(INDIRECT(""'""&amp;DF$1&amp;""'!$C$4:$C$66""),INDIRECT(""'""&amp;DF$1&amp;""'!$D$4:$D$66"")=DF$2),$G$3:$BQ$3,$G101:$BQ101))),"""")"),"")</f>
        <v/>
      </c>
      <c r="DH101" s="251">
        <f>IFERROR(__xludf.DUMMYFUNCTION("AVERAGE(ARRAYFORMULA(XLOOKUP(FILTER(INDIRECT(""'""&amp;DH$1&amp;""'!$C$4:$C$66""),INDIRECT(""'""&amp;DH$1&amp;""'!$D$4:$D$66"")=DH$2),$G$3:$BQ$3,$G101:$BQ101)))"),0.0)</f>
        <v>0</v>
      </c>
      <c r="DI101" s="207" t="str">
        <f>IFERROR(__xludf.DUMMYFUNCTION("IF(OR(DH101&gt;$BS101+$BT101*$BT$2,DH101&lt;$BS101-$BT101*$BT$2),AVEDEV(ARRAYFORMULA(XLOOKUP(FILTER(INDIRECT(""'""&amp;DH$1&amp;""'!$C$4:$C$66""),INDIRECT(""'""&amp;DH$1&amp;""'!$D$4:$D$66"")=DH$2),$G$3:$BQ$3,$G101:$BQ101))),"""")"),"")</f>
        <v/>
      </c>
      <c r="DJ101" s="243"/>
    </row>
    <row r="102">
      <c r="A102" s="2"/>
      <c r="B102" s="204">
        <v>98.0</v>
      </c>
      <c r="C102" s="204" t="s">
        <v>540</v>
      </c>
      <c r="D102" s="204" t="s">
        <v>544</v>
      </c>
      <c r="E102" s="205" t="b">
        <f>VLOOKUP(D102,'Feature Set List'!A99:C246,2,0)</f>
        <v>1</v>
      </c>
      <c r="F102" s="205" t="b">
        <f>VLOOKUP(D102,'Feature Set List'!A99:C246,3,0)</f>
        <v>1</v>
      </c>
      <c r="G102" s="205">
        <v>0.0</v>
      </c>
      <c r="H102" s="205">
        <v>0.0</v>
      </c>
      <c r="I102" s="205">
        <v>0.0</v>
      </c>
      <c r="J102" s="205">
        <v>0.0</v>
      </c>
      <c r="K102" s="205">
        <v>0.0</v>
      </c>
      <c r="L102" s="205">
        <v>0.0</v>
      </c>
      <c r="M102" s="205">
        <v>0.0</v>
      </c>
      <c r="N102" s="205">
        <v>0.0</v>
      </c>
      <c r="O102" s="205">
        <v>0.0</v>
      </c>
      <c r="P102" s="205">
        <v>0.0</v>
      </c>
      <c r="Q102" s="205">
        <v>0.0</v>
      </c>
      <c r="R102" s="205">
        <v>0.0</v>
      </c>
      <c r="S102" s="205">
        <v>0.0</v>
      </c>
      <c r="T102" s="205">
        <v>0.0</v>
      </c>
      <c r="U102" s="205">
        <v>0.0</v>
      </c>
      <c r="V102" s="205">
        <v>0.0</v>
      </c>
      <c r="W102" s="205">
        <v>0.0</v>
      </c>
      <c r="X102" s="205">
        <v>0.0</v>
      </c>
      <c r="Y102" s="205">
        <v>0.0</v>
      </c>
      <c r="Z102" s="205">
        <v>0.0</v>
      </c>
      <c r="AA102" s="205">
        <v>0.0</v>
      </c>
      <c r="AB102" s="205">
        <v>0.0</v>
      </c>
      <c r="AC102" s="205">
        <v>0.0</v>
      </c>
      <c r="AD102" s="205">
        <v>0.0</v>
      </c>
      <c r="AE102" s="205">
        <v>0.0</v>
      </c>
      <c r="AF102" s="205">
        <v>0.0</v>
      </c>
      <c r="AG102" s="205">
        <v>0.0</v>
      </c>
      <c r="AH102" s="205">
        <v>0.0</v>
      </c>
      <c r="AI102" s="205">
        <v>0.0</v>
      </c>
      <c r="AJ102" s="205">
        <v>0.0</v>
      </c>
      <c r="AK102" s="205">
        <v>0.0</v>
      </c>
      <c r="AL102" s="205">
        <v>0.0</v>
      </c>
      <c r="AM102" s="205">
        <v>0.0</v>
      </c>
      <c r="AN102" s="205">
        <v>0.0</v>
      </c>
      <c r="AO102" s="205">
        <v>0.0</v>
      </c>
      <c r="AP102" s="205">
        <v>0.0</v>
      </c>
      <c r="AQ102" s="205">
        <v>0.0</v>
      </c>
      <c r="AR102" s="205">
        <v>1.0</v>
      </c>
      <c r="AS102" s="205">
        <v>0.0</v>
      </c>
      <c r="AT102" s="205">
        <v>0.0</v>
      </c>
      <c r="AU102" s="205">
        <v>0.0</v>
      </c>
      <c r="AV102" s="205">
        <v>0.0</v>
      </c>
      <c r="AW102" s="205">
        <v>0.0</v>
      </c>
      <c r="AX102" s="205">
        <v>0.0</v>
      </c>
      <c r="AY102" s="205">
        <v>0.0</v>
      </c>
      <c r="AZ102" s="205">
        <v>0.0</v>
      </c>
      <c r="BA102" s="205">
        <v>0.0</v>
      </c>
      <c r="BB102" s="205">
        <v>0.0</v>
      </c>
      <c r="BC102" s="205">
        <v>0.0</v>
      </c>
      <c r="BD102" s="205">
        <v>0.0</v>
      </c>
      <c r="BE102" s="205">
        <v>0.0</v>
      </c>
      <c r="BF102" s="205">
        <v>0.0</v>
      </c>
      <c r="BG102" s="205">
        <v>0.0</v>
      </c>
      <c r="BH102" s="205">
        <v>0.0</v>
      </c>
      <c r="BI102" s="205">
        <v>0.0</v>
      </c>
      <c r="BJ102" s="205">
        <v>0.0</v>
      </c>
      <c r="BK102" s="205">
        <v>0.0</v>
      </c>
      <c r="BL102" s="205">
        <v>0.0</v>
      </c>
      <c r="BM102" s="205">
        <v>0.0</v>
      </c>
      <c r="BN102" s="205">
        <v>0.0</v>
      </c>
      <c r="BO102" s="205">
        <v>0.0</v>
      </c>
      <c r="BP102" s="205">
        <v>0.0</v>
      </c>
      <c r="BQ102" s="205">
        <v>0.0</v>
      </c>
      <c r="BR102" s="206"/>
      <c r="BS102" s="250">
        <f t="shared" si="1"/>
        <v>0.01587301587</v>
      </c>
      <c r="BT102" s="250">
        <f t="shared" si="2"/>
        <v>0.03124212648</v>
      </c>
      <c r="BU102" s="206"/>
      <c r="BV102" s="207">
        <f>IFERROR(__xludf.DUMMYFUNCTION("AVERAGE(ARRAYFORMULA(XLOOKUP(FILTER(INDIRECT(""'""&amp;BV$1&amp;""'!$C$4:$C$66""),INDIRECT(""'""&amp;BV$1&amp;""'!$D$4:$D$66"")=BV$2),$G$3:$BQ$3,$G102:$BQ102)))"),0.0)</f>
        <v>0</v>
      </c>
      <c r="BW102" s="207" t="str">
        <f>IFERROR(__xludf.DUMMYFUNCTION("IF(OR(BV102&gt;$BS102+$BT102*$BT$2,BV102&lt;$BS102-$BT102*$BT$2),AVEDEV(ARRAYFORMULA(XLOOKUP(FILTER(INDIRECT(""'""&amp;BV$1&amp;""'!$C$4:$C$66""),INDIRECT(""'""&amp;BV$1&amp;""'!$D$4:$D$66"")=BV$2),$G$3:$BQ$3,$G102:$BQ102))),"""")"),"")</f>
        <v/>
      </c>
      <c r="BX102" s="207">
        <f>IFERROR(__xludf.DUMMYFUNCTION("AVERAGE(ARRAYFORMULA(XLOOKUP(FILTER(INDIRECT(""'""&amp;BX$1&amp;""'!$C$4:$C$66""),INDIRECT(""'""&amp;BX$1&amp;""'!$D$4:$D$66"")=BX$2),$G$3:$BQ$3,$G102:$BQ102)))"),0.023809523809523808)</f>
        <v>0.02380952381</v>
      </c>
      <c r="BY102" s="207" t="str">
        <f>IFERROR(__xludf.DUMMYFUNCTION("IF(OR(BX102&gt;$BS102+$BT102*$BT$2,BX102&lt;$BS102-$BT102*$BT$2),AVEDEV(ARRAYFORMULA(XLOOKUP(FILTER(INDIRECT(""'""&amp;BX$1&amp;""'!$C$4:$C$66""),INDIRECT(""'""&amp;BX$1&amp;""'!$D$4:$D$66"")=BX$2),$G$3:$BQ$3,$G102:$BQ102))),"""")"),"")</f>
        <v/>
      </c>
      <c r="BZ102" s="207">
        <f>IFERROR(__xludf.DUMMYFUNCTION("AVERAGE(ARRAYFORMULA(XLOOKUP(FILTER(INDIRECT(""'""&amp;BZ$1&amp;""'!$C$4:$C$66""),INDIRECT(""'""&amp;BZ$1&amp;""'!$D$4:$D$66"")=BZ$2),$G$3:$BQ$3,$G102:$BQ102)))"),0.0)</f>
        <v>0</v>
      </c>
      <c r="CA102" s="207" t="str">
        <f>IFERROR(__xludf.DUMMYFUNCTION("IF(OR(BZ102&gt;$BS102+$BT102*$BT$2,BZ102&lt;$BS102-$BT102*$BT$2),AVEDEV(ARRAYFORMULA(XLOOKUP(FILTER(INDIRECT(""'""&amp;BZ$1&amp;""'!$C$4:$C$66""),INDIRECT(""'""&amp;BZ$1&amp;""'!$D$4:$D$66"")=BZ$2),$G$3:$BQ$3,$G102:$BQ102))),"""")"),"")</f>
        <v/>
      </c>
      <c r="CB102" s="209"/>
      <c r="CC102" s="207">
        <f>IFERROR(__xludf.DUMMYFUNCTION("AVERAGE(ARRAYFORMULA(XLOOKUP(FILTER(INDIRECT(""'""&amp;CC$1&amp;""'!$C$4:$C$66""),INDIRECT(""'""&amp;CC$1&amp;""'!$D$4:$D$66"")=CC$2),$G$3:$BQ$3,$G102:$BQ102)))"),0.0)</f>
        <v>0</v>
      </c>
      <c r="CD102" s="207" t="str">
        <f>IFERROR(__xludf.DUMMYFUNCTION("IF(OR(CC102&gt;$BS102+$BT102*$BT$2,CC102&lt;$BS102-$BT102*$BT$2),AVEDEV(ARRAYFORMULA(XLOOKUP(FILTER(INDIRECT(""'""&amp;CC$1&amp;""'!$C$4:$C$66""),INDIRECT(""'""&amp;CC$1&amp;""'!$D$4:$D$66"")=CC$2),$G$3:$BQ$3,$G102:$BQ102))),"""")"),"")</f>
        <v/>
      </c>
      <c r="CE102" s="207">
        <f>IFERROR(__xludf.DUMMYFUNCTION("AVERAGE(ARRAYFORMULA(XLOOKUP(FILTER(INDIRECT(""'""&amp;CE$1&amp;""'!$C$4:$C$66""),INDIRECT(""'""&amp;CE$1&amp;""'!$D$4:$D$66"")=CE$2),$G$3:$BQ$3,$G102:$BQ102)))"),0.0)</f>
        <v>0</v>
      </c>
      <c r="CF102" s="207" t="str">
        <f>IFERROR(__xludf.DUMMYFUNCTION("IF(OR(CE102&gt;$BS102+$BT102*$BT$2,CE102&lt;$BS102-$BT102*$BT$2),AVEDEV(ARRAYFORMULA(XLOOKUP(FILTER(INDIRECT(""'""&amp;CE$1&amp;""'!$C$4:$C$66""),INDIRECT(""'""&amp;CE$1&amp;""'!$D$4:$D$66"")=CE$2),$G$3:$BQ$3,$G102:$BQ102))),"""")"),"")</f>
        <v/>
      </c>
      <c r="CG102" s="207">
        <f>IFERROR(__xludf.DUMMYFUNCTION("AVERAGE(ARRAYFORMULA(XLOOKUP(FILTER(INDIRECT(""'""&amp;CG$1&amp;""'!$C$4:$C$66""),INDIRECT(""'""&amp;CG$1&amp;""'!$D$4:$D$66"")=CG$2),$G$3:$BQ$3,$G102:$BQ102)))"),0.0)</f>
        <v>0</v>
      </c>
      <c r="CH102" s="207" t="str">
        <f>IFERROR(__xludf.DUMMYFUNCTION("IF(OR(CG102&gt;$BS102+$BT102*$BT$2,CG102&lt;$BS102-$BT102*$BT$2),AVEDEV(ARRAYFORMULA(XLOOKUP(FILTER(INDIRECT(""'""&amp;CG$1&amp;""'!$C$4:$C$66""),INDIRECT(""'""&amp;CG$1&amp;""'!$D$4:$D$66"")=CG$2),$G$3:$BQ$3,$G102:$BQ102))),"""")"),"")</f>
        <v/>
      </c>
      <c r="CI102" s="206"/>
      <c r="CJ102" s="251">
        <f>IFERROR(__xludf.DUMMYFUNCTION("AVERAGE(ARRAYFORMULA(XLOOKUP(FILTER(INDIRECT(""'""&amp;CJ$1&amp;""'!$C$4:$C$66""),INDIRECT(""'""&amp;CJ$1&amp;""'!$D$4:$D$66"")=CJ$2),$G$3:$BQ$3,$G102:$BQ102)))"),0.0)</f>
        <v>0</v>
      </c>
      <c r="CK102" s="207" t="str">
        <f>IFERROR(__xludf.DUMMYFUNCTION("IF(OR(CJ102&gt;$BS102+$BT102*$BT$2,CJ102&lt;$BS102-$BT102*$BT$2),AVEDEV(ARRAYFORMULA(XLOOKUP(FILTER(INDIRECT(""'""&amp;CJ$1&amp;""'!$C$4:$C$66""),INDIRECT(""'""&amp;CJ$1&amp;""'!$D$4:$D$66"")=CJ$2),$G$3:$BQ$3,$G102:$BQ102))),"""")"),"")</f>
        <v/>
      </c>
      <c r="CL102" s="251">
        <f>IFERROR(__xludf.DUMMYFUNCTION("AVERAGE(ARRAYFORMULA(XLOOKUP(FILTER(INDIRECT(""'""&amp;CL$1&amp;""'!$C$4:$C$66""),INDIRECT(""'""&amp;CL$1&amp;""'!$D$4:$D$66"")=CL$2),$G$3:$BQ$3,$G102:$BQ102)))"),0.02564102564102564)</f>
        <v>0.02564102564</v>
      </c>
      <c r="CM102" s="207" t="str">
        <f>IFERROR(__xludf.DUMMYFUNCTION("IF(OR(CL102&gt;$BS102+$BT102*$BT$2,CL102&lt;$BS102-$BT102*$BT$2),AVEDEV(ARRAYFORMULA(XLOOKUP(FILTER(INDIRECT(""'""&amp;CL$1&amp;""'!$C$4:$C$66""),INDIRECT(""'""&amp;CL$1&amp;""'!$D$4:$D$66"")=CL$2),$G$3:$BQ$3,$G102:$BQ102))),"""")"),"")</f>
        <v/>
      </c>
      <c r="CN102" s="251">
        <f>IFERROR(__xludf.DUMMYFUNCTION("AVERAGE(ARRAYFORMULA(XLOOKUP(FILTER(INDIRECT(""'""&amp;CN$1&amp;""'!$C$4:$C$66""),INDIRECT(""'""&amp;CN$1&amp;""'!$D$4:$D$66"")=CN$2),$G$3:$BQ$3,$G102:$BQ102)))"),0.0)</f>
        <v>0</v>
      </c>
      <c r="CO102" s="207" t="str">
        <f>IFERROR(__xludf.DUMMYFUNCTION("IF(OR(CN102&gt;$BS102+$BT102*$BT$2,CN102&lt;$BS102-$BT102*$BT$2),AVEDEV(ARRAYFORMULA(XLOOKUP(FILTER(INDIRECT(""'""&amp;CN$1&amp;""'!$C$4:$C$66""),INDIRECT(""'""&amp;CN$1&amp;""'!$D$4:$D$66"")=CN$2),$G$3:$BQ$3,$G102:$BQ102))),"""")"),"")</f>
        <v/>
      </c>
      <c r="CP102" s="252"/>
      <c r="CQ102" s="251">
        <f>IFERROR(__xludf.DUMMYFUNCTION("AVERAGE(ARRAYFORMULA(XLOOKUP(FILTER(INDIRECT(""'""&amp;CQ$1&amp;""'!$C$4:$C$66""),INDIRECT(""'""&amp;CQ$1&amp;""'!$D$4:$D$66"")=CQ$2),$G$3:$BQ$3,$G102:$BQ102)))"),0.0)</f>
        <v>0</v>
      </c>
      <c r="CR102" s="207" t="str">
        <f>IFERROR(__xludf.DUMMYFUNCTION("IF(OR(CQ102&gt;$BS102+$BT102*$BT$2,CQ102&lt;$BS102-$BT102*$BT$2),AVEDEV(ARRAYFORMULA(XLOOKUP(FILTER(INDIRECT(""'""&amp;CQ$1&amp;""'!$C$4:$C$66""),INDIRECT(""'""&amp;CQ$1&amp;""'!$D$4:$D$66"")=CQ$2),$G$3:$BQ$3,$G102:$BQ102))),"""")"),"")</f>
        <v/>
      </c>
      <c r="CS102" s="251">
        <f>IFERROR(__xludf.DUMMYFUNCTION("AVERAGE(ARRAYFORMULA(XLOOKUP(FILTER(INDIRECT(""'""&amp;CS$1&amp;""'!$C$4:$C$66""),INDIRECT(""'""&amp;CS$1&amp;""'!$D$4:$D$66"")=CS$2),$G$3:$BQ$3,$G102:$BQ102)))"),0.0)</f>
        <v>0</v>
      </c>
      <c r="CT102" s="207" t="str">
        <f>IFERROR(__xludf.DUMMYFUNCTION("IF(OR(CS102&gt;$BS102+$BT102*$BT$2,CS102&lt;$BS102-$BT102*$BT$2),AVEDEV(ARRAYFORMULA(XLOOKUP(FILTER(INDIRECT(""'""&amp;CS$1&amp;""'!$C$4:$C$66""),INDIRECT(""'""&amp;CS$1&amp;""'!$D$4:$D$66"")=CS$2),$G$3:$BQ$3,$G102:$BQ102))),"""")"),"")</f>
        <v/>
      </c>
      <c r="CU102" s="251">
        <f>IFERROR(__xludf.DUMMYFUNCTION("AVERAGE(ARRAYFORMULA(XLOOKUP(FILTER(INDIRECT(""'""&amp;CU$1&amp;""'!$C$4:$C$66""),INDIRECT(""'""&amp;CU$1&amp;""'!$D$4:$D$66"")=CU$2),$G$3:$BQ$3,$G102:$BQ102)))"),0.0)</f>
        <v>0</v>
      </c>
      <c r="CV102" s="207" t="str">
        <f>IFERROR(__xludf.DUMMYFUNCTION("IF(OR(CU102&gt;$BS102+$BT102*$BT$2,CU102&lt;$BS102-$BT102*$BT$2),AVEDEV(ARRAYFORMULA(XLOOKUP(FILTER(INDIRECT(""'""&amp;CU$1&amp;""'!$C$4:$C$66""),INDIRECT(""'""&amp;CU$1&amp;""'!$D$4:$D$66"")=CU$2),$G$3:$BQ$3,$G102:$BQ102))),"""")"),"")</f>
        <v/>
      </c>
      <c r="CW102" s="251">
        <f>IFERROR(__xludf.DUMMYFUNCTION("AVERAGE(ARRAYFORMULA(XLOOKUP(FILTER(INDIRECT(""'""&amp;CW$1&amp;""'!$C$4:$C$66""),INDIRECT(""'""&amp;CW$1&amp;""'!$D$4:$D$66"")=CW$2),$G$3:$BQ$3,$G102:$BQ102)))"),0.0)</f>
        <v>0</v>
      </c>
      <c r="CX102" s="207" t="str">
        <f>IFERROR(__xludf.DUMMYFUNCTION("IF(OR(CW102&gt;$BS102+$BT102*$BT$2,CW102&lt;$BS102-$BT102*$BT$2),AVEDEV(ARRAYFORMULA(XLOOKUP(FILTER(INDIRECT(""'""&amp;CW$1&amp;""'!$C$4:$C$66""),INDIRECT(""'""&amp;CW$1&amp;""'!$D$4:$D$66"")=CW$2),$G$3:$BQ$3,$G102:$BQ102))),"""")"),"")</f>
        <v/>
      </c>
      <c r="CY102" s="251">
        <f>IFERROR(__xludf.DUMMYFUNCTION("AVERAGE(ARRAYFORMULA(XLOOKUP(FILTER(INDIRECT(""'""&amp;CY$1&amp;""'!$C$4:$C$66""),INDIRECT(""'""&amp;CY$1&amp;""'!$D$4:$D$66"")=CY$2),$G$3:$BQ$3,$G102:$BQ102)))"),0.07142857142857142)</f>
        <v>0.07142857143</v>
      </c>
      <c r="CZ102" s="207">
        <f>IFERROR(__xludf.DUMMYFUNCTION("IF(OR(CY102&gt;$BS102+$BT102*$BT$2,CY102&lt;$BS102-$BT102*$BT$2),AVEDEV(ARRAYFORMULA(XLOOKUP(FILTER(INDIRECT(""'""&amp;CY$1&amp;""'!$C$4:$C$66""),INDIRECT(""'""&amp;CY$1&amp;""'!$D$4:$D$66"")=CY$2),$G$3:$BQ$3,$G102:$BQ102))),"""")"),0.13265306122448978)</f>
        <v>0.1326530612</v>
      </c>
      <c r="DA102" s="252"/>
      <c r="DB102" s="251">
        <f>IFERROR(__xludf.DUMMYFUNCTION("AVERAGE(ARRAYFORMULA(XLOOKUP(FILTER(INDIRECT(""'""&amp;DB$1&amp;""'!$C$4:$C$66""),INDIRECT(""'""&amp;DB$1&amp;""'!$D$4:$D$66"")=DB$2),$G$3:$BQ$3,$G102:$BQ102)))"),0.0)</f>
        <v>0</v>
      </c>
      <c r="DC102" s="207" t="str">
        <f>IFERROR(__xludf.DUMMYFUNCTION("IF(OR(DB102&gt;$BS102+$BT102*$BT$2,DB102&lt;$BS102-$BT102*$BT$2),AVEDEV(ARRAYFORMULA(XLOOKUP(FILTER(INDIRECT(""'""&amp;DB$1&amp;""'!$C$4:$C$66""),INDIRECT(""'""&amp;DB$1&amp;""'!$D$4:$D$66"")=DB$2),$G$3:$BQ$3,$G102:$BQ102))),"""")"),"")</f>
        <v/>
      </c>
      <c r="DD102" s="251">
        <f>IFERROR(__xludf.DUMMYFUNCTION("AVERAGE(ARRAYFORMULA(XLOOKUP(FILTER(INDIRECT(""'""&amp;DD$1&amp;""'!$C$4:$C$66""),INDIRECT(""'""&amp;DD$1&amp;""'!$D$4:$D$66"")=DD$2),$G$3:$BQ$3,$G102:$BQ102)))"),0.0)</f>
        <v>0</v>
      </c>
      <c r="DE102" s="207" t="str">
        <f>IFERROR(__xludf.DUMMYFUNCTION("IF(OR(DD102&gt;$BS102+$BT102*$BT$2,DD102&lt;$BS102-$BT102*$BT$2),AVEDEV(ARRAYFORMULA(XLOOKUP(FILTER(INDIRECT(""'""&amp;DD$1&amp;""'!$C$4:$C$66""),INDIRECT(""'""&amp;DD$1&amp;""'!$D$4:$D$66"")=DD$2),$G$3:$BQ$3,$G102:$BQ102))),"""")"),"")</f>
        <v/>
      </c>
      <c r="DF102" s="251">
        <f>IFERROR(__xludf.DUMMYFUNCTION("AVERAGE(ARRAYFORMULA(XLOOKUP(FILTER(INDIRECT(""'""&amp;DF$1&amp;""'!$C$4:$C$66""),INDIRECT(""'""&amp;DF$1&amp;""'!$D$4:$D$66"")=DF$2),$G$3:$BQ$3,$G102:$BQ102)))"),0.0)</f>
        <v>0</v>
      </c>
      <c r="DG102" s="207" t="str">
        <f>IFERROR(__xludf.DUMMYFUNCTION("IF(OR(DF102&gt;$BS102+$BT102*$BT$2,DF102&lt;$BS102-$BT102*$BT$2),AVEDEV(ARRAYFORMULA(XLOOKUP(FILTER(INDIRECT(""'""&amp;DF$1&amp;""'!$C$4:$C$66""),INDIRECT(""'""&amp;DF$1&amp;""'!$D$4:$D$66"")=DF$2),$G$3:$BQ$3,$G102:$BQ102))),"""")"),"")</f>
        <v/>
      </c>
      <c r="DH102" s="251">
        <f>IFERROR(__xludf.DUMMYFUNCTION("AVERAGE(ARRAYFORMULA(XLOOKUP(FILTER(INDIRECT(""'""&amp;DH$1&amp;""'!$C$4:$C$66""),INDIRECT(""'""&amp;DH$1&amp;""'!$D$4:$D$66"")=DH$2),$G$3:$BQ$3,$G102:$BQ102)))"),0.0)</f>
        <v>0</v>
      </c>
      <c r="DI102" s="207" t="str">
        <f>IFERROR(__xludf.DUMMYFUNCTION("IF(OR(DH102&gt;$BS102+$BT102*$BT$2,DH102&lt;$BS102-$BT102*$BT$2),AVEDEV(ARRAYFORMULA(XLOOKUP(FILTER(INDIRECT(""'""&amp;DH$1&amp;""'!$C$4:$C$66""),INDIRECT(""'""&amp;DH$1&amp;""'!$D$4:$D$66"")=DH$2),$G$3:$BQ$3,$G102:$BQ102))),"""")"),"")</f>
        <v/>
      </c>
      <c r="DJ102" s="243"/>
    </row>
    <row r="103">
      <c r="A103" s="2"/>
      <c r="B103" s="204">
        <v>99.0</v>
      </c>
      <c r="C103" s="204" t="s">
        <v>540</v>
      </c>
      <c r="D103" s="204" t="s">
        <v>545</v>
      </c>
      <c r="E103" s="205" t="b">
        <f>VLOOKUP(D103,'Feature Set List'!A100:C246,2,0)</f>
        <v>1</v>
      </c>
      <c r="F103" s="205" t="b">
        <f>VLOOKUP(D103,'Feature Set List'!A100:C246,3,0)</f>
        <v>1</v>
      </c>
      <c r="G103" s="205">
        <v>0.0</v>
      </c>
      <c r="H103" s="205">
        <v>0.0</v>
      </c>
      <c r="I103" s="205">
        <v>0.0</v>
      </c>
      <c r="J103" s="205">
        <v>0.0</v>
      </c>
      <c r="K103" s="205">
        <v>0.0</v>
      </c>
      <c r="L103" s="205">
        <v>0.0</v>
      </c>
      <c r="M103" s="205">
        <v>0.0</v>
      </c>
      <c r="N103" s="205">
        <v>0.0</v>
      </c>
      <c r="O103" s="205">
        <v>0.0</v>
      </c>
      <c r="P103" s="205">
        <v>0.0</v>
      </c>
      <c r="Q103" s="205">
        <v>0.0</v>
      </c>
      <c r="R103" s="205">
        <v>0.0</v>
      </c>
      <c r="S103" s="205">
        <v>0.0</v>
      </c>
      <c r="T103" s="205">
        <v>0.0</v>
      </c>
      <c r="U103" s="205">
        <v>0.0</v>
      </c>
      <c r="V103" s="205">
        <v>0.0</v>
      </c>
      <c r="W103" s="205">
        <v>0.0</v>
      </c>
      <c r="X103" s="205">
        <v>0.0</v>
      </c>
      <c r="Y103" s="205">
        <v>0.0</v>
      </c>
      <c r="Z103" s="205">
        <v>0.0</v>
      </c>
      <c r="AA103" s="205">
        <v>0.0</v>
      </c>
      <c r="AB103" s="205">
        <v>0.0</v>
      </c>
      <c r="AC103" s="205">
        <v>0.0</v>
      </c>
      <c r="AD103" s="205">
        <v>0.0</v>
      </c>
      <c r="AE103" s="205">
        <v>0.0</v>
      </c>
      <c r="AF103" s="205">
        <v>0.0</v>
      </c>
      <c r="AG103" s="205">
        <v>0.0</v>
      </c>
      <c r="AH103" s="205">
        <v>0.0</v>
      </c>
      <c r="AI103" s="205">
        <v>0.0</v>
      </c>
      <c r="AJ103" s="205">
        <v>0.0</v>
      </c>
      <c r="AK103" s="205">
        <v>0.0</v>
      </c>
      <c r="AL103" s="205">
        <v>0.0</v>
      </c>
      <c r="AM103" s="205">
        <v>0.0</v>
      </c>
      <c r="AN103" s="205">
        <v>0.0</v>
      </c>
      <c r="AO103" s="205">
        <v>0.0</v>
      </c>
      <c r="AP103" s="205">
        <v>0.0</v>
      </c>
      <c r="AQ103" s="205">
        <v>0.0</v>
      </c>
      <c r="AR103" s="205">
        <v>0.0</v>
      </c>
      <c r="AS103" s="205">
        <v>0.0</v>
      </c>
      <c r="AT103" s="205">
        <v>0.0</v>
      </c>
      <c r="AU103" s="205">
        <v>0.0</v>
      </c>
      <c r="AV103" s="205">
        <v>0.0</v>
      </c>
      <c r="AW103" s="205">
        <v>0.0</v>
      </c>
      <c r="AX103" s="205">
        <v>0.0</v>
      </c>
      <c r="AY103" s="205">
        <v>0.0</v>
      </c>
      <c r="AZ103" s="205">
        <v>0.0</v>
      </c>
      <c r="BA103" s="205">
        <v>0.0</v>
      </c>
      <c r="BB103" s="205">
        <v>0.0</v>
      </c>
      <c r="BC103" s="205">
        <v>0.0</v>
      </c>
      <c r="BD103" s="205">
        <v>0.0</v>
      </c>
      <c r="BE103" s="205">
        <v>0.0</v>
      </c>
      <c r="BF103" s="205">
        <v>0.0</v>
      </c>
      <c r="BG103" s="205">
        <v>0.0</v>
      </c>
      <c r="BH103" s="205">
        <v>0.0</v>
      </c>
      <c r="BI103" s="205">
        <v>0.0</v>
      </c>
      <c r="BJ103" s="205">
        <v>0.0</v>
      </c>
      <c r="BK103" s="205">
        <v>1.0</v>
      </c>
      <c r="BL103" s="205">
        <v>0.0</v>
      </c>
      <c r="BM103" s="205">
        <v>0.0</v>
      </c>
      <c r="BN103" s="205">
        <v>0.0</v>
      </c>
      <c r="BO103" s="205">
        <v>0.0</v>
      </c>
      <c r="BP103" s="205">
        <v>0.0</v>
      </c>
      <c r="BQ103" s="205">
        <v>0.0</v>
      </c>
      <c r="BR103" s="206"/>
      <c r="BS103" s="250">
        <f t="shared" si="1"/>
        <v>0.01587301587</v>
      </c>
      <c r="BT103" s="250">
        <f t="shared" si="2"/>
        <v>0.03124212648</v>
      </c>
      <c r="BU103" s="206"/>
      <c r="BV103" s="207">
        <f>IFERROR(__xludf.DUMMYFUNCTION("AVERAGE(ARRAYFORMULA(XLOOKUP(FILTER(INDIRECT(""'""&amp;BV$1&amp;""'!$C$4:$C$66""),INDIRECT(""'""&amp;BV$1&amp;""'!$D$4:$D$66"")=BV$2),$G$3:$BQ$3,$G103:$BQ103)))"),0.0)</f>
        <v>0</v>
      </c>
      <c r="BW103" s="207" t="str">
        <f>IFERROR(__xludf.DUMMYFUNCTION("IF(OR(BV103&gt;$BS103+$BT103*$BT$2,BV103&lt;$BS103-$BT103*$BT$2),AVEDEV(ARRAYFORMULA(XLOOKUP(FILTER(INDIRECT(""'""&amp;BV$1&amp;""'!$C$4:$C$66""),INDIRECT(""'""&amp;BV$1&amp;""'!$D$4:$D$66"")=BV$2),$G$3:$BQ$3,$G103:$BQ103))),"""")"),"")</f>
        <v/>
      </c>
      <c r="BX103" s="207">
        <f>IFERROR(__xludf.DUMMYFUNCTION("AVERAGE(ARRAYFORMULA(XLOOKUP(FILTER(INDIRECT(""'""&amp;BX$1&amp;""'!$C$4:$C$66""),INDIRECT(""'""&amp;BX$1&amp;""'!$D$4:$D$66"")=BX$2),$G$3:$BQ$3,$G103:$BQ103)))"),0.023809523809523808)</f>
        <v>0.02380952381</v>
      </c>
      <c r="BY103" s="207" t="str">
        <f>IFERROR(__xludf.DUMMYFUNCTION("IF(OR(BX103&gt;$BS103+$BT103*$BT$2,BX103&lt;$BS103-$BT103*$BT$2),AVEDEV(ARRAYFORMULA(XLOOKUP(FILTER(INDIRECT(""'""&amp;BX$1&amp;""'!$C$4:$C$66""),INDIRECT(""'""&amp;BX$1&amp;""'!$D$4:$D$66"")=BX$2),$G$3:$BQ$3,$G103:$BQ103))),"""")"),"")</f>
        <v/>
      </c>
      <c r="BZ103" s="207">
        <f>IFERROR(__xludf.DUMMYFUNCTION("AVERAGE(ARRAYFORMULA(XLOOKUP(FILTER(INDIRECT(""'""&amp;BZ$1&amp;""'!$C$4:$C$66""),INDIRECT(""'""&amp;BZ$1&amp;""'!$D$4:$D$66"")=BZ$2),$G$3:$BQ$3,$G103:$BQ103)))"),0.0)</f>
        <v>0</v>
      </c>
      <c r="CA103" s="207" t="str">
        <f>IFERROR(__xludf.DUMMYFUNCTION("IF(OR(BZ103&gt;$BS103+$BT103*$BT$2,BZ103&lt;$BS103-$BT103*$BT$2),AVEDEV(ARRAYFORMULA(XLOOKUP(FILTER(INDIRECT(""'""&amp;BZ$1&amp;""'!$C$4:$C$66""),INDIRECT(""'""&amp;BZ$1&amp;""'!$D$4:$D$66"")=BZ$2),$G$3:$BQ$3,$G103:$BQ103))),"""")"),"")</f>
        <v/>
      </c>
      <c r="CB103" s="209"/>
      <c r="CC103" s="207">
        <f>IFERROR(__xludf.DUMMYFUNCTION("AVERAGE(ARRAYFORMULA(XLOOKUP(FILTER(INDIRECT(""'""&amp;CC$1&amp;""'!$C$4:$C$66""),INDIRECT(""'""&amp;CC$1&amp;""'!$D$4:$D$66"")=CC$2),$G$3:$BQ$3,$G103:$BQ103)))"),0.0)</f>
        <v>0</v>
      </c>
      <c r="CD103" s="207" t="str">
        <f>IFERROR(__xludf.DUMMYFUNCTION("IF(OR(CC103&gt;$BS103+$BT103*$BT$2,CC103&lt;$BS103-$BT103*$BT$2),AVEDEV(ARRAYFORMULA(XLOOKUP(FILTER(INDIRECT(""'""&amp;CC$1&amp;""'!$C$4:$C$66""),INDIRECT(""'""&amp;CC$1&amp;""'!$D$4:$D$66"")=CC$2),$G$3:$BQ$3,$G103:$BQ103))),"""")"),"")</f>
        <v/>
      </c>
      <c r="CE103" s="207">
        <f>IFERROR(__xludf.DUMMYFUNCTION("AVERAGE(ARRAYFORMULA(XLOOKUP(FILTER(INDIRECT(""'""&amp;CE$1&amp;""'!$C$4:$C$66""),INDIRECT(""'""&amp;CE$1&amp;""'!$D$4:$D$66"")=CE$2),$G$3:$BQ$3,$G103:$BQ103)))"),0.03225806451612903)</f>
        <v>0.03225806452</v>
      </c>
      <c r="CF103" s="207" t="str">
        <f>IFERROR(__xludf.DUMMYFUNCTION("IF(OR(CE103&gt;$BS103+$BT103*$BT$2,CE103&lt;$BS103-$BT103*$BT$2),AVEDEV(ARRAYFORMULA(XLOOKUP(FILTER(INDIRECT(""'""&amp;CE$1&amp;""'!$C$4:$C$66""),INDIRECT(""'""&amp;CE$1&amp;""'!$D$4:$D$66"")=CE$2),$G$3:$BQ$3,$G103:$BQ103))),"""")"),"")</f>
        <v/>
      </c>
      <c r="CG103" s="207">
        <f>IFERROR(__xludf.DUMMYFUNCTION("AVERAGE(ARRAYFORMULA(XLOOKUP(FILTER(INDIRECT(""'""&amp;CG$1&amp;""'!$C$4:$C$66""),INDIRECT(""'""&amp;CG$1&amp;""'!$D$4:$D$66"")=CG$2),$G$3:$BQ$3,$G103:$BQ103)))"),0.0)</f>
        <v>0</v>
      </c>
      <c r="CH103" s="207" t="str">
        <f>IFERROR(__xludf.DUMMYFUNCTION("IF(OR(CG103&gt;$BS103+$BT103*$BT$2,CG103&lt;$BS103-$BT103*$BT$2),AVEDEV(ARRAYFORMULA(XLOOKUP(FILTER(INDIRECT(""'""&amp;CG$1&amp;""'!$C$4:$C$66""),INDIRECT(""'""&amp;CG$1&amp;""'!$D$4:$D$66"")=CG$2),$G$3:$BQ$3,$G103:$BQ103))),"""")"),"")</f>
        <v/>
      </c>
      <c r="CI103" s="206"/>
      <c r="CJ103" s="251">
        <f>IFERROR(__xludf.DUMMYFUNCTION("AVERAGE(ARRAYFORMULA(XLOOKUP(FILTER(INDIRECT(""'""&amp;CJ$1&amp;""'!$C$4:$C$66""),INDIRECT(""'""&amp;CJ$1&amp;""'!$D$4:$D$66"")=CJ$2),$G$3:$BQ$3,$G103:$BQ103)))"),0.0)</f>
        <v>0</v>
      </c>
      <c r="CK103" s="207" t="str">
        <f>IFERROR(__xludf.DUMMYFUNCTION("IF(OR(CJ103&gt;$BS103+$BT103*$BT$2,CJ103&lt;$BS103-$BT103*$BT$2),AVEDEV(ARRAYFORMULA(XLOOKUP(FILTER(INDIRECT(""'""&amp;CJ$1&amp;""'!$C$4:$C$66""),INDIRECT(""'""&amp;CJ$1&amp;""'!$D$4:$D$66"")=CJ$2),$G$3:$BQ$3,$G103:$BQ103))),"""")"),"")</f>
        <v/>
      </c>
      <c r="CL103" s="251">
        <f>IFERROR(__xludf.DUMMYFUNCTION("AVERAGE(ARRAYFORMULA(XLOOKUP(FILTER(INDIRECT(""'""&amp;CL$1&amp;""'!$C$4:$C$66""),INDIRECT(""'""&amp;CL$1&amp;""'!$D$4:$D$66"")=CL$2),$G$3:$BQ$3,$G103:$BQ103)))"),0.02564102564102564)</f>
        <v>0.02564102564</v>
      </c>
      <c r="CM103" s="207" t="str">
        <f>IFERROR(__xludf.DUMMYFUNCTION("IF(OR(CL103&gt;$BS103+$BT103*$BT$2,CL103&lt;$BS103-$BT103*$BT$2),AVEDEV(ARRAYFORMULA(XLOOKUP(FILTER(INDIRECT(""'""&amp;CL$1&amp;""'!$C$4:$C$66""),INDIRECT(""'""&amp;CL$1&amp;""'!$D$4:$D$66"")=CL$2),$G$3:$BQ$3,$G103:$BQ103))),"""")"),"")</f>
        <v/>
      </c>
      <c r="CN103" s="251">
        <f>IFERROR(__xludf.DUMMYFUNCTION("AVERAGE(ARRAYFORMULA(XLOOKUP(FILTER(INDIRECT(""'""&amp;CN$1&amp;""'!$C$4:$C$66""),INDIRECT(""'""&amp;CN$1&amp;""'!$D$4:$D$66"")=CN$2),$G$3:$BQ$3,$G103:$BQ103)))"),0.0)</f>
        <v>0</v>
      </c>
      <c r="CO103" s="207" t="str">
        <f>IFERROR(__xludf.DUMMYFUNCTION("IF(OR(CN103&gt;$BS103+$BT103*$BT$2,CN103&lt;$BS103-$BT103*$BT$2),AVEDEV(ARRAYFORMULA(XLOOKUP(FILTER(INDIRECT(""'""&amp;CN$1&amp;""'!$C$4:$C$66""),INDIRECT(""'""&amp;CN$1&amp;""'!$D$4:$D$66"")=CN$2),$G$3:$BQ$3,$G103:$BQ103))),"""")"),"")</f>
        <v/>
      </c>
      <c r="CP103" s="252"/>
      <c r="CQ103" s="251">
        <f>IFERROR(__xludf.DUMMYFUNCTION("AVERAGE(ARRAYFORMULA(XLOOKUP(FILTER(INDIRECT(""'""&amp;CQ$1&amp;""'!$C$4:$C$66""),INDIRECT(""'""&amp;CQ$1&amp;""'!$D$4:$D$66"")=CQ$2),$G$3:$BQ$3,$G103:$BQ103)))"),0.07142857142857142)</f>
        <v>0.07142857143</v>
      </c>
      <c r="CR103" s="207">
        <f>IFERROR(__xludf.DUMMYFUNCTION("IF(OR(CQ103&gt;$BS103+$BT103*$BT$2,CQ103&lt;$BS103-$BT103*$BT$2),AVEDEV(ARRAYFORMULA(XLOOKUP(FILTER(INDIRECT(""'""&amp;CQ$1&amp;""'!$C$4:$C$66""),INDIRECT(""'""&amp;CQ$1&amp;""'!$D$4:$D$66"")=CQ$2),$G$3:$BQ$3,$G103:$BQ103))),"""")"),0.13265306122448978)</f>
        <v>0.1326530612</v>
      </c>
      <c r="CS103" s="251">
        <f>IFERROR(__xludf.DUMMYFUNCTION("AVERAGE(ARRAYFORMULA(XLOOKUP(FILTER(INDIRECT(""'""&amp;CS$1&amp;""'!$C$4:$C$66""),INDIRECT(""'""&amp;CS$1&amp;""'!$D$4:$D$66"")=CS$2),$G$3:$BQ$3,$G103:$BQ103)))"),0.0)</f>
        <v>0</v>
      </c>
      <c r="CT103" s="207" t="str">
        <f>IFERROR(__xludf.DUMMYFUNCTION("IF(OR(CS103&gt;$BS103+$BT103*$BT$2,CS103&lt;$BS103-$BT103*$BT$2),AVEDEV(ARRAYFORMULA(XLOOKUP(FILTER(INDIRECT(""'""&amp;CS$1&amp;""'!$C$4:$C$66""),INDIRECT(""'""&amp;CS$1&amp;""'!$D$4:$D$66"")=CS$2),$G$3:$BQ$3,$G103:$BQ103))),"""")"),"")</f>
        <v/>
      </c>
      <c r="CU103" s="251">
        <f>IFERROR(__xludf.DUMMYFUNCTION("AVERAGE(ARRAYFORMULA(XLOOKUP(FILTER(INDIRECT(""'""&amp;CU$1&amp;""'!$C$4:$C$66""),INDIRECT(""'""&amp;CU$1&amp;""'!$D$4:$D$66"")=CU$2),$G$3:$BQ$3,$G103:$BQ103)))"),0.0)</f>
        <v>0</v>
      </c>
      <c r="CV103" s="207" t="str">
        <f>IFERROR(__xludf.DUMMYFUNCTION("IF(OR(CU103&gt;$BS103+$BT103*$BT$2,CU103&lt;$BS103-$BT103*$BT$2),AVEDEV(ARRAYFORMULA(XLOOKUP(FILTER(INDIRECT(""'""&amp;CU$1&amp;""'!$C$4:$C$66""),INDIRECT(""'""&amp;CU$1&amp;""'!$D$4:$D$66"")=CU$2),$G$3:$BQ$3,$G103:$BQ103))),"""")"),"")</f>
        <v/>
      </c>
      <c r="CW103" s="251">
        <f>IFERROR(__xludf.DUMMYFUNCTION("AVERAGE(ARRAYFORMULA(XLOOKUP(FILTER(INDIRECT(""'""&amp;CW$1&amp;""'!$C$4:$C$66""),INDIRECT(""'""&amp;CW$1&amp;""'!$D$4:$D$66"")=CW$2),$G$3:$BQ$3,$G103:$BQ103)))"),0.0)</f>
        <v>0</v>
      </c>
      <c r="CX103" s="207" t="str">
        <f>IFERROR(__xludf.DUMMYFUNCTION("IF(OR(CW103&gt;$BS103+$BT103*$BT$2,CW103&lt;$BS103-$BT103*$BT$2),AVEDEV(ARRAYFORMULA(XLOOKUP(FILTER(INDIRECT(""'""&amp;CW$1&amp;""'!$C$4:$C$66""),INDIRECT(""'""&amp;CW$1&amp;""'!$D$4:$D$66"")=CW$2),$G$3:$BQ$3,$G103:$BQ103))),"""")"),"")</f>
        <v/>
      </c>
      <c r="CY103" s="251">
        <f>IFERROR(__xludf.DUMMYFUNCTION("AVERAGE(ARRAYFORMULA(XLOOKUP(FILTER(INDIRECT(""'""&amp;CY$1&amp;""'!$C$4:$C$66""),INDIRECT(""'""&amp;CY$1&amp;""'!$D$4:$D$66"")=CY$2),$G$3:$BQ$3,$G103:$BQ103)))"),0.0)</f>
        <v>0</v>
      </c>
      <c r="CZ103" s="207" t="str">
        <f>IFERROR(__xludf.DUMMYFUNCTION("IF(OR(CY103&gt;$BS103+$BT103*$BT$2,CY103&lt;$BS103-$BT103*$BT$2),AVEDEV(ARRAYFORMULA(XLOOKUP(FILTER(INDIRECT(""'""&amp;CY$1&amp;""'!$C$4:$C$66""),INDIRECT(""'""&amp;CY$1&amp;""'!$D$4:$D$66"")=CY$2),$G$3:$BQ$3,$G103:$BQ103))),"""")"),"")</f>
        <v/>
      </c>
      <c r="DA103" s="252"/>
      <c r="DB103" s="251">
        <f>IFERROR(__xludf.DUMMYFUNCTION("AVERAGE(ARRAYFORMULA(XLOOKUP(FILTER(INDIRECT(""'""&amp;DB$1&amp;""'!$C$4:$C$66""),INDIRECT(""'""&amp;DB$1&amp;""'!$D$4:$D$66"")=DB$2),$G$3:$BQ$3,$G103:$BQ103)))"),0.03333333333333333)</f>
        <v>0.03333333333</v>
      </c>
      <c r="DC103" s="207" t="str">
        <f>IFERROR(__xludf.DUMMYFUNCTION("IF(OR(DB103&gt;$BS103+$BT103*$BT$2,DB103&lt;$BS103-$BT103*$BT$2),AVEDEV(ARRAYFORMULA(XLOOKUP(FILTER(INDIRECT(""'""&amp;DB$1&amp;""'!$C$4:$C$66""),INDIRECT(""'""&amp;DB$1&amp;""'!$D$4:$D$66"")=DB$2),$G$3:$BQ$3,$G103:$BQ103))),"""")"),"")</f>
        <v/>
      </c>
      <c r="DD103" s="251">
        <f>IFERROR(__xludf.DUMMYFUNCTION("AVERAGE(ARRAYFORMULA(XLOOKUP(FILTER(INDIRECT(""'""&amp;DD$1&amp;""'!$C$4:$C$66""),INDIRECT(""'""&amp;DD$1&amp;""'!$D$4:$D$66"")=DD$2),$G$3:$BQ$3,$G103:$BQ103)))"),0.0)</f>
        <v>0</v>
      </c>
      <c r="DE103" s="207" t="str">
        <f>IFERROR(__xludf.DUMMYFUNCTION("IF(OR(DD103&gt;$BS103+$BT103*$BT$2,DD103&lt;$BS103-$BT103*$BT$2),AVEDEV(ARRAYFORMULA(XLOOKUP(FILTER(INDIRECT(""'""&amp;DD$1&amp;""'!$C$4:$C$66""),INDIRECT(""'""&amp;DD$1&amp;""'!$D$4:$D$66"")=DD$2),$G$3:$BQ$3,$G103:$BQ103))),"""")"),"")</f>
        <v/>
      </c>
      <c r="DF103" s="251">
        <f>IFERROR(__xludf.DUMMYFUNCTION("AVERAGE(ARRAYFORMULA(XLOOKUP(FILTER(INDIRECT(""'""&amp;DF$1&amp;""'!$C$4:$C$66""),INDIRECT(""'""&amp;DF$1&amp;""'!$D$4:$D$66"")=DF$2),$G$3:$BQ$3,$G103:$BQ103)))"),0.0)</f>
        <v>0</v>
      </c>
      <c r="DG103" s="207" t="str">
        <f>IFERROR(__xludf.DUMMYFUNCTION("IF(OR(DF103&gt;$BS103+$BT103*$BT$2,DF103&lt;$BS103-$BT103*$BT$2),AVEDEV(ARRAYFORMULA(XLOOKUP(FILTER(INDIRECT(""'""&amp;DF$1&amp;""'!$C$4:$C$66""),INDIRECT(""'""&amp;DF$1&amp;""'!$D$4:$D$66"")=DF$2),$G$3:$BQ$3,$G103:$BQ103))),"""")"),"")</f>
        <v/>
      </c>
      <c r="DH103" s="251">
        <f>IFERROR(__xludf.DUMMYFUNCTION("AVERAGE(ARRAYFORMULA(XLOOKUP(FILTER(INDIRECT(""'""&amp;DH$1&amp;""'!$C$4:$C$66""),INDIRECT(""'""&amp;DH$1&amp;""'!$D$4:$D$66"")=DH$2),$G$3:$BQ$3,$G103:$BQ103)))"),0.0)</f>
        <v>0</v>
      </c>
      <c r="DI103" s="207" t="str">
        <f>IFERROR(__xludf.DUMMYFUNCTION("IF(OR(DH103&gt;$BS103+$BT103*$BT$2,DH103&lt;$BS103-$BT103*$BT$2),AVEDEV(ARRAYFORMULA(XLOOKUP(FILTER(INDIRECT(""'""&amp;DH$1&amp;""'!$C$4:$C$66""),INDIRECT(""'""&amp;DH$1&amp;""'!$D$4:$D$66"")=DH$2),$G$3:$BQ$3,$G103:$BQ103))),"""")"),"")</f>
        <v/>
      </c>
      <c r="DJ103" s="243"/>
    </row>
    <row r="104">
      <c r="A104" s="2"/>
      <c r="B104" s="204">
        <v>100.0</v>
      </c>
      <c r="C104" s="204" t="s">
        <v>540</v>
      </c>
      <c r="D104" s="204" t="s">
        <v>546</v>
      </c>
      <c r="E104" s="205" t="b">
        <f>VLOOKUP(D104,'Feature Set List'!A101:C246,2,0)</f>
        <v>1</v>
      </c>
      <c r="F104" s="205" t="b">
        <f>VLOOKUP(D104,'Feature Set List'!A101:C246,3,0)</f>
        <v>1</v>
      </c>
      <c r="G104" s="205">
        <v>0.0</v>
      </c>
      <c r="H104" s="205">
        <v>0.0</v>
      </c>
      <c r="I104" s="205">
        <v>0.0</v>
      </c>
      <c r="J104" s="205">
        <v>0.0</v>
      </c>
      <c r="K104" s="205">
        <v>-1.0</v>
      </c>
      <c r="L104" s="205">
        <v>0.0</v>
      </c>
      <c r="M104" s="205">
        <v>0.0</v>
      </c>
      <c r="N104" s="205">
        <v>0.0</v>
      </c>
      <c r="O104" s="205">
        <v>0.0</v>
      </c>
      <c r="P104" s="205">
        <v>0.0</v>
      </c>
      <c r="Q104" s="205">
        <v>0.0</v>
      </c>
      <c r="R104" s="205">
        <v>0.0</v>
      </c>
      <c r="S104" s="205">
        <v>0.0</v>
      </c>
      <c r="T104" s="205">
        <v>0.0</v>
      </c>
      <c r="U104" s="205">
        <v>0.0</v>
      </c>
      <c r="V104" s="205">
        <v>0.0</v>
      </c>
      <c r="W104" s="205">
        <v>0.0</v>
      </c>
      <c r="X104" s="205">
        <v>0.0</v>
      </c>
      <c r="Y104" s="205">
        <v>0.0</v>
      </c>
      <c r="Z104" s="205">
        <v>0.0</v>
      </c>
      <c r="AA104" s="205">
        <v>0.0</v>
      </c>
      <c r="AB104" s="205">
        <v>0.0</v>
      </c>
      <c r="AC104" s="205">
        <v>0.0</v>
      </c>
      <c r="AD104" s="205">
        <v>0.0</v>
      </c>
      <c r="AE104" s="205">
        <v>0.0</v>
      </c>
      <c r="AF104" s="205">
        <v>0.0</v>
      </c>
      <c r="AG104" s="205">
        <v>0.0</v>
      </c>
      <c r="AH104" s="205">
        <v>0.0</v>
      </c>
      <c r="AI104" s="205">
        <v>0.0</v>
      </c>
      <c r="AJ104" s="205">
        <v>0.0</v>
      </c>
      <c r="AK104" s="205">
        <v>0.0</v>
      </c>
      <c r="AL104" s="205">
        <v>0.0</v>
      </c>
      <c r="AM104" s="205">
        <v>0.0</v>
      </c>
      <c r="AN104" s="205">
        <v>0.0</v>
      </c>
      <c r="AO104" s="205">
        <v>0.0</v>
      </c>
      <c r="AP104" s="205">
        <v>0.0</v>
      </c>
      <c r="AQ104" s="205">
        <v>0.0</v>
      </c>
      <c r="AR104" s="205">
        <v>-1.0</v>
      </c>
      <c r="AS104" s="205">
        <v>0.0</v>
      </c>
      <c r="AT104" s="205">
        <v>0.0</v>
      </c>
      <c r="AU104" s="205">
        <v>0.0</v>
      </c>
      <c r="AV104" s="205">
        <v>0.0</v>
      </c>
      <c r="AW104" s="205">
        <v>0.0</v>
      </c>
      <c r="AX104" s="205">
        <v>0.0</v>
      </c>
      <c r="AY104" s="205">
        <v>0.0</v>
      </c>
      <c r="AZ104" s="205">
        <v>0.0</v>
      </c>
      <c r="BA104" s="205">
        <v>0.0</v>
      </c>
      <c r="BB104" s="205">
        <v>0.0</v>
      </c>
      <c r="BC104" s="205">
        <v>0.0</v>
      </c>
      <c r="BD104" s="205">
        <v>0.0</v>
      </c>
      <c r="BE104" s="205">
        <v>0.0</v>
      </c>
      <c r="BF104" s="205">
        <v>0.0</v>
      </c>
      <c r="BG104" s="205">
        <v>0.0</v>
      </c>
      <c r="BH104" s="205">
        <v>0.0</v>
      </c>
      <c r="BI104" s="205">
        <v>0.0</v>
      </c>
      <c r="BJ104" s="205">
        <v>0.0</v>
      </c>
      <c r="BK104" s="205">
        <v>-1.0</v>
      </c>
      <c r="BL104" s="205">
        <v>0.0</v>
      </c>
      <c r="BM104" s="205">
        <v>0.0</v>
      </c>
      <c r="BN104" s="205">
        <v>0.0</v>
      </c>
      <c r="BO104" s="205">
        <v>0.0</v>
      </c>
      <c r="BP104" s="205">
        <v>0.0</v>
      </c>
      <c r="BQ104" s="205">
        <v>0.0</v>
      </c>
      <c r="BR104" s="206"/>
      <c r="BS104" s="250">
        <f t="shared" si="1"/>
        <v>-0.04761904762</v>
      </c>
      <c r="BT104" s="250">
        <f t="shared" si="2"/>
        <v>0.09070294785</v>
      </c>
      <c r="BU104" s="206"/>
      <c r="BV104" s="207">
        <f>IFERROR(__xludf.DUMMYFUNCTION("AVERAGE(ARRAYFORMULA(XLOOKUP(FILTER(INDIRECT(""'""&amp;BV$1&amp;""'!$C$4:$C$66""),INDIRECT(""'""&amp;BV$1&amp;""'!$D$4:$D$66"")=BV$2),$G$3:$BQ$3,$G104:$BQ104)))"),0.0)</f>
        <v>0</v>
      </c>
      <c r="BW104" s="207" t="str">
        <f>IFERROR(__xludf.DUMMYFUNCTION("IF(OR(BV104&gt;$BS104+$BT104*$BT$2,BV104&lt;$BS104-$BT104*$BT$2),AVEDEV(ARRAYFORMULA(XLOOKUP(FILTER(INDIRECT(""'""&amp;BV$1&amp;""'!$C$4:$C$66""),INDIRECT(""'""&amp;BV$1&amp;""'!$D$4:$D$66"")=BV$2),$G$3:$BQ$3,$G104:$BQ104))),"""")"),"")</f>
        <v/>
      </c>
      <c r="BX104" s="207">
        <f>IFERROR(__xludf.DUMMYFUNCTION("AVERAGE(ARRAYFORMULA(XLOOKUP(FILTER(INDIRECT(""'""&amp;BX$1&amp;""'!$C$4:$C$66""),INDIRECT(""'""&amp;BX$1&amp;""'!$D$4:$D$66"")=BX$2),$G$3:$BQ$3,$G104:$BQ104)))"),-0.07142857142857142)</f>
        <v>-0.07142857143</v>
      </c>
      <c r="BY104" s="207" t="str">
        <f>IFERROR(__xludf.DUMMYFUNCTION("IF(OR(BX104&gt;$BS104+$BT104*$BT$2,BX104&lt;$BS104-$BT104*$BT$2),AVEDEV(ARRAYFORMULA(XLOOKUP(FILTER(INDIRECT(""'""&amp;BX$1&amp;""'!$C$4:$C$66""),INDIRECT(""'""&amp;BX$1&amp;""'!$D$4:$D$66"")=BX$2),$G$3:$BQ$3,$G104:$BQ104))),"""")"),"")</f>
        <v/>
      </c>
      <c r="BZ104" s="207">
        <f>IFERROR(__xludf.DUMMYFUNCTION("AVERAGE(ARRAYFORMULA(XLOOKUP(FILTER(INDIRECT(""'""&amp;BZ$1&amp;""'!$C$4:$C$66""),INDIRECT(""'""&amp;BZ$1&amp;""'!$D$4:$D$66"")=BZ$2),$G$3:$BQ$3,$G104:$BQ104)))"),0.0)</f>
        <v>0</v>
      </c>
      <c r="CA104" s="207" t="str">
        <f>IFERROR(__xludf.DUMMYFUNCTION("IF(OR(BZ104&gt;$BS104+$BT104*$BT$2,BZ104&lt;$BS104-$BT104*$BT$2),AVEDEV(ARRAYFORMULA(XLOOKUP(FILTER(INDIRECT(""'""&amp;BZ$1&amp;""'!$C$4:$C$66""),INDIRECT(""'""&amp;BZ$1&amp;""'!$D$4:$D$66"")=BZ$2),$G$3:$BQ$3,$G104:$BQ104))),"""")"),"")</f>
        <v/>
      </c>
      <c r="CB104" s="209"/>
      <c r="CC104" s="207">
        <f>IFERROR(__xludf.DUMMYFUNCTION("AVERAGE(ARRAYFORMULA(XLOOKUP(FILTER(INDIRECT(""'""&amp;CC$1&amp;""'!$C$4:$C$66""),INDIRECT(""'""&amp;CC$1&amp;""'!$D$4:$D$66"")=CC$2),$G$3:$BQ$3,$G104:$BQ104)))"),-0.0625)</f>
        <v>-0.0625</v>
      </c>
      <c r="CD104" s="207" t="str">
        <f>IFERROR(__xludf.DUMMYFUNCTION("IF(OR(CC104&gt;$BS104+$BT104*$BT$2,CC104&lt;$BS104-$BT104*$BT$2),AVEDEV(ARRAYFORMULA(XLOOKUP(FILTER(INDIRECT(""'""&amp;CC$1&amp;""'!$C$4:$C$66""),INDIRECT(""'""&amp;CC$1&amp;""'!$D$4:$D$66"")=CC$2),$G$3:$BQ$3,$G104:$BQ104))),"""")"),"")</f>
        <v/>
      </c>
      <c r="CE104" s="207">
        <f>IFERROR(__xludf.DUMMYFUNCTION("AVERAGE(ARRAYFORMULA(XLOOKUP(FILTER(INDIRECT(""'""&amp;CE$1&amp;""'!$C$4:$C$66""),INDIRECT(""'""&amp;CE$1&amp;""'!$D$4:$D$66"")=CE$2),$G$3:$BQ$3,$G104:$BQ104)))"),-0.03225806451612903)</f>
        <v>-0.03225806452</v>
      </c>
      <c r="CF104" s="207" t="str">
        <f>IFERROR(__xludf.DUMMYFUNCTION("IF(OR(CE104&gt;$BS104+$BT104*$BT$2,CE104&lt;$BS104-$BT104*$BT$2),AVEDEV(ARRAYFORMULA(XLOOKUP(FILTER(INDIRECT(""'""&amp;CE$1&amp;""'!$C$4:$C$66""),INDIRECT(""'""&amp;CE$1&amp;""'!$D$4:$D$66"")=CE$2),$G$3:$BQ$3,$G104:$BQ104))),"""")"),"")</f>
        <v/>
      </c>
      <c r="CG104" s="207">
        <f>IFERROR(__xludf.DUMMYFUNCTION("AVERAGE(ARRAYFORMULA(XLOOKUP(FILTER(INDIRECT(""'""&amp;CG$1&amp;""'!$C$4:$C$66""),INDIRECT(""'""&amp;CG$1&amp;""'!$D$4:$D$66"")=CG$2),$G$3:$BQ$3,$G104:$BQ104)))"),0.0)</f>
        <v>0</v>
      </c>
      <c r="CH104" s="207" t="str">
        <f>IFERROR(__xludf.DUMMYFUNCTION("IF(OR(CG104&gt;$BS104+$BT104*$BT$2,CG104&lt;$BS104-$BT104*$BT$2),AVEDEV(ARRAYFORMULA(XLOOKUP(FILTER(INDIRECT(""'""&amp;CG$1&amp;""'!$C$4:$C$66""),INDIRECT(""'""&amp;CG$1&amp;""'!$D$4:$D$66"")=CG$2),$G$3:$BQ$3,$G104:$BQ104))),"""")"),"")</f>
        <v/>
      </c>
      <c r="CI104" s="206"/>
      <c r="CJ104" s="251">
        <f>IFERROR(__xludf.DUMMYFUNCTION("AVERAGE(ARRAYFORMULA(XLOOKUP(FILTER(INDIRECT(""'""&amp;CJ$1&amp;""'!$C$4:$C$66""),INDIRECT(""'""&amp;CJ$1&amp;""'!$D$4:$D$66"")=CJ$2),$G$3:$BQ$3,$G104:$BQ104)))"),0.0)</f>
        <v>0</v>
      </c>
      <c r="CK104" s="207" t="str">
        <f>IFERROR(__xludf.DUMMYFUNCTION("IF(OR(CJ104&gt;$BS104+$BT104*$BT$2,CJ104&lt;$BS104-$BT104*$BT$2),AVEDEV(ARRAYFORMULA(XLOOKUP(FILTER(INDIRECT(""'""&amp;CJ$1&amp;""'!$C$4:$C$66""),INDIRECT(""'""&amp;CJ$1&amp;""'!$D$4:$D$66"")=CJ$2),$G$3:$BQ$3,$G104:$BQ104))),"""")"),"")</f>
        <v/>
      </c>
      <c r="CL104" s="251">
        <f>IFERROR(__xludf.DUMMYFUNCTION("AVERAGE(ARRAYFORMULA(XLOOKUP(FILTER(INDIRECT(""'""&amp;CL$1&amp;""'!$C$4:$C$66""),INDIRECT(""'""&amp;CL$1&amp;""'!$D$4:$D$66"")=CL$2),$G$3:$BQ$3,$G104:$BQ104)))"),-0.07692307692307693)</f>
        <v>-0.07692307692</v>
      </c>
      <c r="CM104" s="207" t="str">
        <f>IFERROR(__xludf.DUMMYFUNCTION("IF(OR(CL104&gt;$BS104+$BT104*$BT$2,CL104&lt;$BS104-$BT104*$BT$2),AVEDEV(ARRAYFORMULA(XLOOKUP(FILTER(INDIRECT(""'""&amp;CL$1&amp;""'!$C$4:$C$66""),INDIRECT(""'""&amp;CL$1&amp;""'!$D$4:$D$66"")=CL$2),$G$3:$BQ$3,$G104:$BQ104))),"""")"),"")</f>
        <v/>
      </c>
      <c r="CN104" s="251">
        <f>IFERROR(__xludf.DUMMYFUNCTION("AVERAGE(ARRAYFORMULA(XLOOKUP(FILTER(INDIRECT(""'""&amp;CN$1&amp;""'!$C$4:$C$66""),INDIRECT(""'""&amp;CN$1&amp;""'!$D$4:$D$66"")=CN$2),$G$3:$BQ$3,$G104:$BQ104)))"),0.0)</f>
        <v>0</v>
      </c>
      <c r="CO104" s="207" t="str">
        <f>IFERROR(__xludf.DUMMYFUNCTION("IF(OR(CN104&gt;$BS104+$BT104*$BT$2,CN104&lt;$BS104-$BT104*$BT$2),AVEDEV(ARRAYFORMULA(XLOOKUP(FILTER(INDIRECT(""'""&amp;CN$1&amp;""'!$C$4:$C$66""),INDIRECT(""'""&amp;CN$1&amp;""'!$D$4:$D$66"")=CN$2),$G$3:$BQ$3,$G104:$BQ104))),"""")"),"")</f>
        <v/>
      </c>
      <c r="CP104" s="252"/>
      <c r="CQ104" s="251">
        <f>IFERROR(__xludf.DUMMYFUNCTION("AVERAGE(ARRAYFORMULA(XLOOKUP(FILTER(INDIRECT(""'""&amp;CQ$1&amp;""'!$C$4:$C$66""),INDIRECT(""'""&amp;CQ$1&amp;""'!$D$4:$D$66"")=CQ$2),$G$3:$BQ$3,$G104:$BQ104)))"),-0.07142857142857142)</f>
        <v>-0.07142857143</v>
      </c>
      <c r="CR104" s="207" t="str">
        <f>IFERROR(__xludf.DUMMYFUNCTION("IF(OR(CQ104&gt;$BS104+$BT104*$BT$2,CQ104&lt;$BS104-$BT104*$BT$2),AVEDEV(ARRAYFORMULA(XLOOKUP(FILTER(INDIRECT(""'""&amp;CQ$1&amp;""'!$C$4:$C$66""),INDIRECT(""'""&amp;CQ$1&amp;""'!$D$4:$D$66"")=CQ$2),$G$3:$BQ$3,$G104:$BQ104))),"""")"),"")</f>
        <v/>
      </c>
      <c r="CS104" s="251">
        <f>IFERROR(__xludf.DUMMYFUNCTION("AVERAGE(ARRAYFORMULA(XLOOKUP(FILTER(INDIRECT(""'""&amp;CS$1&amp;""'!$C$4:$C$66""),INDIRECT(""'""&amp;CS$1&amp;""'!$D$4:$D$66"")=CS$2),$G$3:$BQ$3,$G104:$BQ104)))"),0.0)</f>
        <v>0</v>
      </c>
      <c r="CT104" s="207" t="str">
        <f>IFERROR(__xludf.DUMMYFUNCTION("IF(OR(CS104&gt;$BS104+$BT104*$BT$2,CS104&lt;$BS104-$BT104*$BT$2),AVEDEV(ARRAYFORMULA(XLOOKUP(FILTER(INDIRECT(""'""&amp;CS$1&amp;""'!$C$4:$C$66""),INDIRECT(""'""&amp;CS$1&amp;""'!$D$4:$D$66"")=CS$2),$G$3:$BQ$3,$G104:$BQ104))),"""")"),"")</f>
        <v/>
      </c>
      <c r="CU104" s="251">
        <f>IFERROR(__xludf.DUMMYFUNCTION("AVERAGE(ARRAYFORMULA(XLOOKUP(FILTER(INDIRECT(""'""&amp;CU$1&amp;""'!$C$4:$C$66""),INDIRECT(""'""&amp;CU$1&amp;""'!$D$4:$D$66"")=CU$2),$G$3:$BQ$3,$G104:$BQ104)))"),0.0)</f>
        <v>0</v>
      </c>
      <c r="CV104" s="207" t="str">
        <f>IFERROR(__xludf.DUMMYFUNCTION("IF(OR(CU104&gt;$BS104+$BT104*$BT$2,CU104&lt;$BS104-$BT104*$BT$2),AVEDEV(ARRAYFORMULA(XLOOKUP(FILTER(INDIRECT(""'""&amp;CU$1&amp;""'!$C$4:$C$66""),INDIRECT(""'""&amp;CU$1&amp;""'!$D$4:$D$66"")=CU$2),$G$3:$BQ$3,$G104:$BQ104))),"""")"),"")</f>
        <v/>
      </c>
      <c r="CW104" s="251">
        <f>IFERROR(__xludf.DUMMYFUNCTION("AVERAGE(ARRAYFORMULA(XLOOKUP(FILTER(INDIRECT(""'""&amp;CW$1&amp;""'!$C$4:$C$66""),INDIRECT(""'""&amp;CW$1&amp;""'!$D$4:$D$66"")=CW$2),$G$3:$BQ$3,$G104:$BQ104)))"),0.0)</f>
        <v>0</v>
      </c>
      <c r="CX104" s="207" t="str">
        <f>IFERROR(__xludf.DUMMYFUNCTION("IF(OR(CW104&gt;$BS104+$BT104*$BT$2,CW104&lt;$BS104-$BT104*$BT$2),AVEDEV(ARRAYFORMULA(XLOOKUP(FILTER(INDIRECT(""'""&amp;CW$1&amp;""'!$C$4:$C$66""),INDIRECT(""'""&amp;CW$1&amp;""'!$D$4:$D$66"")=CW$2),$G$3:$BQ$3,$G104:$BQ104))),"""")"),"")</f>
        <v/>
      </c>
      <c r="CY104" s="251">
        <f>IFERROR(__xludf.DUMMYFUNCTION("AVERAGE(ARRAYFORMULA(XLOOKUP(FILTER(INDIRECT(""'""&amp;CY$1&amp;""'!$C$4:$C$66""),INDIRECT(""'""&amp;CY$1&amp;""'!$D$4:$D$66"")=CY$2),$G$3:$BQ$3,$G104:$BQ104)))"),-0.07142857142857142)</f>
        <v>-0.07142857143</v>
      </c>
      <c r="CZ104" s="207" t="str">
        <f>IFERROR(__xludf.DUMMYFUNCTION("IF(OR(CY104&gt;$BS104+$BT104*$BT$2,CY104&lt;$BS104-$BT104*$BT$2),AVEDEV(ARRAYFORMULA(XLOOKUP(FILTER(INDIRECT(""'""&amp;CY$1&amp;""'!$C$4:$C$66""),INDIRECT(""'""&amp;CY$1&amp;""'!$D$4:$D$66"")=CY$2),$G$3:$BQ$3,$G104:$BQ104))),"""")"),"")</f>
        <v/>
      </c>
      <c r="DA104" s="252"/>
      <c r="DB104" s="251">
        <f>IFERROR(__xludf.DUMMYFUNCTION("AVERAGE(ARRAYFORMULA(XLOOKUP(FILTER(INDIRECT(""'""&amp;DB$1&amp;""'!$C$4:$C$66""),INDIRECT(""'""&amp;DB$1&amp;""'!$D$4:$D$66"")=DB$2),$G$3:$BQ$3,$G104:$BQ104)))"),-0.06666666666666667)</f>
        <v>-0.06666666667</v>
      </c>
      <c r="DC104" s="207" t="str">
        <f>IFERROR(__xludf.DUMMYFUNCTION("IF(OR(DB104&gt;$BS104+$BT104*$BT$2,DB104&lt;$BS104-$BT104*$BT$2),AVEDEV(ARRAYFORMULA(XLOOKUP(FILTER(INDIRECT(""'""&amp;DB$1&amp;""'!$C$4:$C$66""),INDIRECT(""'""&amp;DB$1&amp;""'!$D$4:$D$66"")=DB$2),$G$3:$BQ$3,$G104:$BQ104))),"""")"),"")</f>
        <v/>
      </c>
      <c r="DD104" s="251">
        <f>IFERROR(__xludf.DUMMYFUNCTION("AVERAGE(ARRAYFORMULA(XLOOKUP(FILTER(INDIRECT(""'""&amp;DD$1&amp;""'!$C$4:$C$66""),INDIRECT(""'""&amp;DD$1&amp;""'!$D$4:$D$66"")=DD$2),$G$3:$BQ$3,$G104:$BQ104)))"),0.0)</f>
        <v>0</v>
      </c>
      <c r="DE104" s="207" t="str">
        <f>IFERROR(__xludf.DUMMYFUNCTION("IF(OR(DD104&gt;$BS104+$BT104*$BT$2,DD104&lt;$BS104-$BT104*$BT$2),AVEDEV(ARRAYFORMULA(XLOOKUP(FILTER(INDIRECT(""'""&amp;DD$1&amp;""'!$C$4:$C$66""),INDIRECT(""'""&amp;DD$1&amp;""'!$D$4:$D$66"")=DD$2),$G$3:$BQ$3,$G104:$BQ104))),"""")"),"")</f>
        <v/>
      </c>
      <c r="DF104" s="251">
        <f>IFERROR(__xludf.DUMMYFUNCTION("AVERAGE(ARRAYFORMULA(XLOOKUP(FILTER(INDIRECT(""'""&amp;DF$1&amp;""'!$C$4:$C$66""),INDIRECT(""'""&amp;DF$1&amp;""'!$D$4:$D$66"")=DF$2),$G$3:$BQ$3,$G104:$BQ104)))"),0.0)</f>
        <v>0</v>
      </c>
      <c r="DG104" s="207" t="str">
        <f>IFERROR(__xludf.DUMMYFUNCTION("IF(OR(DF104&gt;$BS104+$BT104*$BT$2,DF104&lt;$BS104-$BT104*$BT$2),AVEDEV(ARRAYFORMULA(XLOOKUP(FILTER(INDIRECT(""'""&amp;DF$1&amp;""'!$C$4:$C$66""),INDIRECT(""'""&amp;DF$1&amp;""'!$D$4:$D$66"")=DF$2),$G$3:$BQ$3,$G104:$BQ104))),"""")"),"")</f>
        <v/>
      </c>
      <c r="DH104" s="251">
        <f>IFERROR(__xludf.DUMMYFUNCTION("AVERAGE(ARRAYFORMULA(XLOOKUP(FILTER(INDIRECT(""'""&amp;DH$1&amp;""'!$C$4:$C$66""),INDIRECT(""'""&amp;DH$1&amp;""'!$D$4:$D$66"")=DH$2),$G$3:$BQ$3,$G104:$BQ104)))"),0.0)</f>
        <v>0</v>
      </c>
      <c r="DI104" s="207" t="str">
        <f>IFERROR(__xludf.DUMMYFUNCTION("IF(OR(DH104&gt;$BS104+$BT104*$BT$2,DH104&lt;$BS104-$BT104*$BT$2),AVEDEV(ARRAYFORMULA(XLOOKUP(FILTER(INDIRECT(""'""&amp;DH$1&amp;""'!$C$4:$C$66""),INDIRECT(""'""&amp;DH$1&amp;""'!$D$4:$D$66"")=DH$2),$G$3:$BQ$3,$G104:$BQ104))),"""")"),"")</f>
        <v/>
      </c>
      <c r="DJ104" s="243"/>
    </row>
    <row r="105">
      <c r="A105" s="2"/>
      <c r="B105" s="204">
        <v>101.0</v>
      </c>
      <c r="C105" s="204" t="s">
        <v>540</v>
      </c>
      <c r="D105" s="204" t="s">
        <v>547</v>
      </c>
      <c r="E105" s="205" t="b">
        <f>VLOOKUP(D105,'Feature Set List'!A102:C246,2,0)</f>
        <v>1</v>
      </c>
      <c r="F105" s="205" t="b">
        <f>VLOOKUP(D105,'Feature Set List'!A102:C246,3,0)</f>
        <v>1</v>
      </c>
      <c r="G105" s="205">
        <v>0.0</v>
      </c>
      <c r="H105" s="205">
        <v>2.0</v>
      </c>
      <c r="I105" s="205">
        <v>0.0</v>
      </c>
      <c r="J105" s="205">
        <v>2.0</v>
      </c>
      <c r="K105" s="205">
        <v>3.0</v>
      </c>
      <c r="L105" s="205">
        <v>0.0</v>
      </c>
      <c r="M105" s="205">
        <v>0.0</v>
      </c>
      <c r="N105" s="205">
        <v>1.0</v>
      </c>
      <c r="O105" s="205">
        <v>0.0</v>
      </c>
      <c r="P105" s="205">
        <v>0.0</v>
      </c>
      <c r="Q105" s="205">
        <v>1.0</v>
      </c>
      <c r="R105" s="205">
        <v>0.0</v>
      </c>
      <c r="S105" s="205">
        <v>0.0</v>
      </c>
      <c r="T105" s="205">
        <v>1.0</v>
      </c>
      <c r="U105" s="205">
        <v>0.0</v>
      </c>
      <c r="V105" s="205">
        <v>1.0</v>
      </c>
      <c r="W105" s="205">
        <v>0.0</v>
      </c>
      <c r="X105" s="205">
        <v>0.0</v>
      </c>
      <c r="Y105" s="205">
        <v>0.0</v>
      </c>
      <c r="Z105" s="205">
        <v>0.0</v>
      </c>
      <c r="AA105" s="205">
        <v>0.0</v>
      </c>
      <c r="AB105" s="205">
        <v>0.0</v>
      </c>
      <c r="AC105" s="205">
        <v>0.0</v>
      </c>
      <c r="AD105" s="205">
        <v>0.0</v>
      </c>
      <c r="AE105" s="205">
        <v>4.0</v>
      </c>
      <c r="AF105" s="205">
        <v>1.0</v>
      </c>
      <c r="AG105" s="205">
        <v>0.0</v>
      </c>
      <c r="AH105" s="205">
        <v>2.0</v>
      </c>
      <c r="AI105" s="205">
        <v>1.0</v>
      </c>
      <c r="AJ105" s="205">
        <v>0.0</v>
      </c>
      <c r="AK105" s="205">
        <v>2.0</v>
      </c>
      <c r="AL105" s="205">
        <v>0.0</v>
      </c>
      <c r="AM105" s="205">
        <v>0.0</v>
      </c>
      <c r="AN105" s="205">
        <v>0.0</v>
      </c>
      <c r="AO105" s="205">
        <v>0.0</v>
      </c>
      <c r="AP105" s="205">
        <v>0.0</v>
      </c>
      <c r="AQ105" s="205">
        <v>0.0</v>
      </c>
      <c r="AR105" s="205">
        <v>0.0</v>
      </c>
      <c r="AS105" s="205">
        <v>1.0</v>
      </c>
      <c r="AT105" s="205">
        <v>0.0</v>
      </c>
      <c r="AU105" s="205">
        <v>0.0</v>
      </c>
      <c r="AV105" s="205">
        <v>0.0</v>
      </c>
      <c r="AW105" s="205">
        <v>0.0</v>
      </c>
      <c r="AX105" s="205">
        <v>0.0</v>
      </c>
      <c r="AY105" s="205">
        <v>0.0</v>
      </c>
      <c r="AZ105" s="205">
        <v>1.0</v>
      </c>
      <c r="BA105" s="205">
        <v>1.0</v>
      </c>
      <c r="BB105" s="205">
        <v>0.0</v>
      </c>
      <c r="BC105" s="205">
        <v>0.0</v>
      </c>
      <c r="BD105" s="205">
        <v>0.0</v>
      </c>
      <c r="BE105" s="205">
        <v>1.0</v>
      </c>
      <c r="BF105" s="205">
        <v>1.0</v>
      </c>
      <c r="BG105" s="205">
        <v>0.0</v>
      </c>
      <c r="BH105" s="205">
        <v>0.0</v>
      </c>
      <c r="BI105" s="205">
        <v>0.0</v>
      </c>
      <c r="BJ105" s="205">
        <v>0.0</v>
      </c>
      <c r="BK105" s="205">
        <v>0.0</v>
      </c>
      <c r="BL105" s="205">
        <v>0.0</v>
      </c>
      <c r="BM105" s="205">
        <v>0.0</v>
      </c>
      <c r="BN105" s="205">
        <v>0.0</v>
      </c>
      <c r="BO105" s="205">
        <v>0.0</v>
      </c>
      <c r="BP105" s="205">
        <v>1.0</v>
      </c>
      <c r="BQ105" s="205">
        <v>0.0</v>
      </c>
      <c r="BR105" s="206"/>
      <c r="BS105" s="250">
        <f t="shared" si="1"/>
        <v>0.4285714286</v>
      </c>
      <c r="BT105" s="250">
        <f t="shared" si="2"/>
        <v>0.612244898</v>
      </c>
      <c r="BU105" s="206"/>
      <c r="BV105" s="207">
        <f>IFERROR(__xludf.DUMMYFUNCTION("AVERAGE(ARRAYFORMULA(XLOOKUP(FILTER(INDIRECT(""'""&amp;BV$1&amp;""'!$C$4:$C$66""),INDIRECT(""'""&amp;BV$1&amp;""'!$D$4:$D$66"")=BV$2),$G$3:$BQ$3,$G105:$BQ105)))"),0.14285714285714285)</f>
        <v>0.1428571429</v>
      </c>
      <c r="BW105" s="207" t="str">
        <f>IFERROR(__xludf.DUMMYFUNCTION("IF(OR(BV105&gt;$BS105+$BT105*$BT$2,BV105&lt;$BS105-$BT105*$BT$2),AVEDEV(ARRAYFORMULA(XLOOKUP(FILTER(INDIRECT(""'""&amp;BV$1&amp;""'!$C$4:$C$66""),INDIRECT(""'""&amp;BV$1&amp;""'!$D$4:$D$66"")=BV$2),$G$3:$BQ$3,$G105:$BQ105))),"""")"),"")</f>
        <v/>
      </c>
      <c r="BX105" s="207">
        <f>IFERROR(__xludf.DUMMYFUNCTION("AVERAGE(ARRAYFORMULA(XLOOKUP(FILTER(INDIRECT(""'""&amp;BX$1&amp;""'!$C$4:$C$66""),INDIRECT(""'""&amp;BX$1&amp;""'!$D$4:$D$66"")=BX$2),$G$3:$BQ$3,$G105:$BQ105)))"),0.5238095238095238)</f>
        <v>0.5238095238</v>
      </c>
      <c r="BY105" s="207" t="str">
        <f>IFERROR(__xludf.DUMMYFUNCTION("IF(OR(BX105&gt;$BS105+$BT105*$BT$2,BX105&lt;$BS105-$BT105*$BT$2),AVEDEV(ARRAYFORMULA(XLOOKUP(FILTER(INDIRECT(""'""&amp;BX$1&amp;""'!$C$4:$C$66""),INDIRECT(""'""&amp;BX$1&amp;""'!$D$4:$D$66"")=BX$2),$G$3:$BQ$3,$G105:$BQ105))),"""")"),"")</f>
        <v/>
      </c>
      <c r="BZ105" s="207">
        <f>IFERROR(__xludf.DUMMYFUNCTION("AVERAGE(ARRAYFORMULA(XLOOKUP(FILTER(INDIRECT(""'""&amp;BZ$1&amp;""'!$C$4:$C$66""),INDIRECT(""'""&amp;BZ$1&amp;""'!$D$4:$D$66"")=BZ$2),$G$3:$BQ$3,$G105:$BQ105)))"),0.36363636363636365)</f>
        <v>0.3636363636</v>
      </c>
      <c r="CA105" s="207" t="str">
        <f>IFERROR(__xludf.DUMMYFUNCTION("IF(OR(BZ105&gt;$BS105+$BT105*$BT$2,BZ105&lt;$BS105-$BT105*$BT$2),AVEDEV(ARRAYFORMULA(XLOOKUP(FILTER(INDIRECT(""'""&amp;BZ$1&amp;""'!$C$4:$C$66""),INDIRECT(""'""&amp;BZ$1&amp;""'!$D$4:$D$66"")=BZ$2),$G$3:$BQ$3,$G105:$BQ105))),"""")"),"")</f>
        <v/>
      </c>
      <c r="CB105" s="209"/>
      <c r="CC105" s="207">
        <f>IFERROR(__xludf.DUMMYFUNCTION("AVERAGE(ARRAYFORMULA(XLOOKUP(FILTER(INDIRECT(""'""&amp;CC$1&amp;""'!$C$4:$C$66""),INDIRECT(""'""&amp;CC$1&amp;""'!$D$4:$D$66"")=CC$2),$G$3:$BQ$3,$G105:$BQ105)))"),1.0625)</f>
        <v>1.0625</v>
      </c>
      <c r="CD105" s="207">
        <f>IFERROR(__xludf.DUMMYFUNCTION("IF(OR(CC105&gt;$BS105+$BT105*$BT$2,CC105&lt;$BS105-$BT105*$BT$2),AVEDEV(ARRAYFORMULA(XLOOKUP(FILTER(INDIRECT(""'""&amp;CC$1&amp;""'!$C$4:$C$66""),INDIRECT(""'""&amp;CC$1&amp;""'!$D$4:$D$66"")=CC$2),$G$3:$BQ$3,$G105:$BQ105))),"""")"),0.9609375)</f>
        <v>0.9609375</v>
      </c>
      <c r="CE105" s="207">
        <f>IFERROR(__xludf.DUMMYFUNCTION("AVERAGE(ARRAYFORMULA(XLOOKUP(FILTER(INDIRECT(""'""&amp;CE$1&amp;""'!$C$4:$C$66""),INDIRECT(""'""&amp;CE$1&amp;""'!$D$4:$D$66"")=CE$2),$G$3:$BQ$3,$G105:$BQ105)))"),0.22580645161290322)</f>
        <v>0.2258064516</v>
      </c>
      <c r="CF105" s="207" t="str">
        <f>IFERROR(__xludf.DUMMYFUNCTION("IF(OR(CE105&gt;$BS105+$BT105*$BT$2,CE105&lt;$BS105-$BT105*$BT$2),AVEDEV(ARRAYFORMULA(XLOOKUP(FILTER(INDIRECT(""'""&amp;CE$1&amp;""'!$C$4:$C$66""),INDIRECT(""'""&amp;CE$1&amp;""'!$D$4:$D$66"")=CE$2),$G$3:$BQ$3,$G105:$BQ105))),"""")"),"")</f>
        <v/>
      </c>
      <c r="CG105" s="207">
        <f>IFERROR(__xludf.DUMMYFUNCTION("AVERAGE(ARRAYFORMULA(XLOOKUP(FILTER(INDIRECT(""'""&amp;CG$1&amp;""'!$C$4:$C$66""),INDIRECT(""'""&amp;CG$1&amp;""'!$D$4:$D$66"")=CG$2),$G$3:$BQ$3,$G105:$BQ105)))"),0.6)</f>
        <v>0.6</v>
      </c>
      <c r="CH105" s="207" t="str">
        <f>IFERROR(__xludf.DUMMYFUNCTION("IF(OR(CG105&gt;$BS105+$BT105*$BT$2,CG105&lt;$BS105-$BT105*$BT$2),AVEDEV(ARRAYFORMULA(XLOOKUP(FILTER(INDIRECT(""'""&amp;CG$1&amp;""'!$C$4:$C$66""),INDIRECT(""'""&amp;CG$1&amp;""'!$D$4:$D$66"")=CG$2),$G$3:$BQ$3,$G105:$BQ105))),"""")"),"")</f>
        <v/>
      </c>
      <c r="CI105" s="206"/>
      <c r="CJ105" s="251">
        <f>IFERROR(__xludf.DUMMYFUNCTION("AVERAGE(ARRAYFORMULA(XLOOKUP(FILTER(INDIRECT(""'""&amp;CJ$1&amp;""'!$C$4:$C$66""),INDIRECT(""'""&amp;CJ$1&amp;""'!$D$4:$D$66"")=CJ$2),$G$3:$BQ$3,$G105:$BQ105)))"),0.5333333333333333)</f>
        <v>0.5333333333</v>
      </c>
      <c r="CK105" s="207" t="str">
        <f>IFERROR(__xludf.DUMMYFUNCTION("IF(OR(CJ105&gt;$BS105+$BT105*$BT$2,CJ105&lt;$BS105-$BT105*$BT$2),AVEDEV(ARRAYFORMULA(XLOOKUP(FILTER(INDIRECT(""'""&amp;CJ$1&amp;""'!$C$4:$C$66""),INDIRECT(""'""&amp;CJ$1&amp;""'!$D$4:$D$66"")=CJ$2),$G$3:$BQ$3,$G105:$BQ105))),"""")"),"")</f>
        <v/>
      </c>
      <c r="CL105" s="251">
        <f>IFERROR(__xludf.DUMMYFUNCTION("AVERAGE(ARRAYFORMULA(XLOOKUP(FILTER(INDIRECT(""'""&amp;CL$1&amp;""'!$C$4:$C$66""),INDIRECT(""'""&amp;CL$1&amp;""'!$D$4:$D$66"")=CL$2),$G$3:$BQ$3,$G105:$BQ105)))"),0.41025641025641024)</f>
        <v>0.4102564103</v>
      </c>
      <c r="CM105" s="207" t="str">
        <f>IFERROR(__xludf.DUMMYFUNCTION("IF(OR(CL105&gt;$BS105+$BT105*$BT$2,CL105&lt;$BS105-$BT105*$BT$2),AVEDEV(ARRAYFORMULA(XLOOKUP(FILTER(INDIRECT(""'""&amp;CL$1&amp;""'!$C$4:$C$66""),INDIRECT(""'""&amp;CL$1&amp;""'!$D$4:$D$66"")=CL$2),$G$3:$BQ$3,$G105:$BQ105))),"""")"),"")</f>
        <v/>
      </c>
      <c r="CN105" s="254">
        <f>IFERROR(__xludf.DUMMYFUNCTION("AVERAGE(ARRAYFORMULA(XLOOKUP(FILTER(INDIRECT(""'""&amp;CN$1&amp;""'!$C$4:$C$66""),INDIRECT(""'""&amp;CN$1&amp;""'!$D$4:$D$66"")=CN$2),$G$3:$BQ$3,$G105:$BQ105)))"),0.6)</f>
        <v>0.6</v>
      </c>
      <c r="CO105" s="207" t="str">
        <f>IFERROR(__xludf.DUMMYFUNCTION("IF(OR(CN105&gt;$BS105+$BT105*$BT$2,CN105&lt;$BS105-$BT105*$BT$2),AVEDEV(ARRAYFORMULA(XLOOKUP(FILTER(INDIRECT(""'""&amp;CN$1&amp;""'!$C$4:$C$66""),INDIRECT(""'""&amp;CN$1&amp;""'!$D$4:$D$66"")=CN$2),$G$3:$BQ$3,$G105:$BQ105))),"""")"),"")</f>
        <v/>
      </c>
      <c r="CP105" s="252"/>
      <c r="CQ105" s="251">
        <f>IFERROR(__xludf.DUMMYFUNCTION("AVERAGE(ARRAYFORMULA(XLOOKUP(FILTER(INDIRECT(""'""&amp;CQ$1&amp;""'!$C$4:$C$66""),INDIRECT(""'""&amp;CQ$1&amp;""'!$D$4:$D$66"")=CQ$2),$G$3:$BQ$3,$G105:$BQ105)))"),1.0)</f>
        <v>1</v>
      </c>
      <c r="CR105" s="207" t="str">
        <f>IFERROR(__xludf.DUMMYFUNCTION("IF(OR(CQ105&gt;$BS105+$BT105*$BT$2,CQ105&lt;$BS105-$BT105*$BT$2),AVEDEV(ARRAYFORMULA(XLOOKUP(FILTER(INDIRECT(""'""&amp;CQ$1&amp;""'!$C$4:$C$66""),INDIRECT(""'""&amp;CQ$1&amp;""'!$D$4:$D$66"")=CQ$2),$G$3:$BQ$3,$G105:$BQ105))),"""")"),"")</f>
        <v/>
      </c>
      <c r="CS105" s="251">
        <f>IFERROR(__xludf.DUMMYFUNCTION("AVERAGE(ARRAYFORMULA(XLOOKUP(FILTER(INDIRECT(""'""&amp;CS$1&amp;""'!$C$4:$C$66""),INDIRECT(""'""&amp;CS$1&amp;""'!$D$4:$D$66"")=CS$2),$G$3:$BQ$3,$G105:$BQ105)))"),0.3333333333333333)</f>
        <v>0.3333333333</v>
      </c>
      <c r="CT105" s="207" t="str">
        <f>IFERROR(__xludf.DUMMYFUNCTION("IF(OR(CS105&gt;$BS105+$BT105*$BT$2,CS105&lt;$BS105-$BT105*$BT$2),AVEDEV(ARRAYFORMULA(XLOOKUP(FILTER(INDIRECT(""'""&amp;CS$1&amp;""'!$C$4:$C$66""),INDIRECT(""'""&amp;CS$1&amp;""'!$D$4:$D$66"")=CS$2),$G$3:$BQ$3,$G105:$BQ105))),"""")"),"")</f>
        <v/>
      </c>
      <c r="CU105" s="251">
        <f>IFERROR(__xludf.DUMMYFUNCTION("AVERAGE(ARRAYFORMULA(XLOOKUP(FILTER(INDIRECT(""'""&amp;CU$1&amp;""'!$C$4:$C$66""),INDIRECT(""'""&amp;CU$1&amp;""'!$D$4:$D$66"")=CU$2),$G$3:$BQ$3,$G105:$BQ105)))"),0.2727272727272727)</f>
        <v>0.2727272727</v>
      </c>
      <c r="CV105" s="207" t="str">
        <f>IFERROR(__xludf.DUMMYFUNCTION("IF(OR(CU105&gt;$BS105+$BT105*$BT$2,CU105&lt;$BS105-$BT105*$BT$2),AVEDEV(ARRAYFORMULA(XLOOKUP(FILTER(INDIRECT(""'""&amp;CU$1&amp;""'!$C$4:$C$66""),INDIRECT(""'""&amp;CU$1&amp;""'!$D$4:$D$66"")=CU$2),$G$3:$BQ$3,$G105:$BQ105))),"""")"),"")</f>
        <v/>
      </c>
      <c r="CW105" s="251">
        <f>IFERROR(__xludf.DUMMYFUNCTION("AVERAGE(ARRAYFORMULA(XLOOKUP(FILTER(INDIRECT(""'""&amp;CW$1&amp;""'!$C$4:$C$66""),INDIRECT(""'""&amp;CW$1&amp;""'!$D$4:$D$66"")=CW$2),$G$3:$BQ$3,$G105:$BQ105)))"),0.0)</f>
        <v>0</v>
      </c>
      <c r="CX105" s="207" t="str">
        <f>IFERROR(__xludf.DUMMYFUNCTION("IF(OR(CW105&gt;$BS105+$BT105*$BT$2,CW105&lt;$BS105-$BT105*$BT$2),AVEDEV(ARRAYFORMULA(XLOOKUP(FILTER(INDIRECT(""'""&amp;CW$1&amp;""'!$C$4:$C$66""),INDIRECT(""'""&amp;CW$1&amp;""'!$D$4:$D$66"")=CW$2),$G$3:$BQ$3,$G105:$BQ105))),"""")"),"")</f>
        <v/>
      </c>
      <c r="CY105" s="254">
        <f>IFERROR(__xludf.DUMMYFUNCTION("AVERAGE(ARRAYFORMULA(XLOOKUP(FILTER(INDIRECT(""'""&amp;CY$1&amp;""'!$C$4:$C$66""),INDIRECT(""'""&amp;CY$1&amp;""'!$D$4:$D$66"")=CY$2),$G$3:$BQ$3,$G105:$BQ105)))"),0.14285714285714285)</f>
        <v>0.1428571429</v>
      </c>
      <c r="CZ105" s="207" t="str">
        <f>IFERROR(__xludf.DUMMYFUNCTION("IF(OR(CY105&gt;$BS105+$BT105*$BT$2,CY105&lt;$BS105-$BT105*$BT$2),AVEDEV(ARRAYFORMULA(XLOOKUP(FILTER(INDIRECT(""'""&amp;CY$1&amp;""'!$C$4:$C$66""),INDIRECT(""'""&amp;CY$1&amp;""'!$D$4:$D$66"")=CY$2),$G$3:$BQ$3,$G105:$BQ105))),"""")"),"")</f>
        <v/>
      </c>
      <c r="DA105" s="252"/>
      <c r="DB105" s="251">
        <f>IFERROR(__xludf.DUMMYFUNCTION("AVERAGE(ARRAYFORMULA(XLOOKUP(FILTER(INDIRECT(""'""&amp;DB$1&amp;""'!$C$4:$C$66""),INDIRECT(""'""&amp;DB$1&amp;""'!$D$4:$D$66"")=DB$2),$G$3:$BQ$3,$G105:$BQ105)))"),0.7333333333333333)</f>
        <v>0.7333333333</v>
      </c>
      <c r="DC105" s="207" t="str">
        <f>IFERROR(__xludf.DUMMYFUNCTION("IF(OR(DB105&gt;$BS105+$BT105*$BT$2,DB105&lt;$BS105-$BT105*$BT$2),AVEDEV(ARRAYFORMULA(XLOOKUP(FILTER(INDIRECT(""'""&amp;DB$1&amp;""'!$C$4:$C$66""),INDIRECT(""'""&amp;DB$1&amp;""'!$D$4:$D$66"")=DB$2),$G$3:$BQ$3,$G105:$BQ105))),"""")"),"")</f>
        <v/>
      </c>
      <c r="DD105" s="251">
        <f>IFERROR(__xludf.DUMMYFUNCTION("AVERAGE(ARRAYFORMULA(XLOOKUP(FILTER(INDIRECT(""'""&amp;DD$1&amp;""'!$C$4:$C$66""),INDIRECT(""'""&amp;DD$1&amp;""'!$D$4:$D$66"")=DD$2),$G$3:$BQ$3,$G105:$BQ105)))"),0.2222222222222222)</f>
        <v>0.2222222222</v>
      </c>
      <c r="DE105" s="207" t="str">
        <f>IFERROR(__xludf.DUMMYFUNCTION("IF(OR(DD105&gt;$BS105+$BT105*$BT$2,DD105&lt;$BS105-$BT105*$BT$2),AVEDEV(ARRAYFORMULA(XLOOKUP(FILTER(INDIRECT(""'""&amp;DD$1&amp;""'!$C$4:$C$66""),INDIRECT(""'""&amp;DD$1&amp;""'!$D$4:$D$66"")=DD$2),$G$3:$BQ$3,$G105:$BQ105))),"""")"),"")</f>
        <v/>
      </c>
      <c r="DF105" s="251">
        <f>IFERROR(__xludf.DUMMYFUNCTION("AVERAGE(ARRAYFORMULA(XLOOKUP(FILTER(INDIRECT(""'""&amp;DF$1&amp;""'!$C$4:$C$66""),INDIRECT(""'""&amp;DF$1&amp;""'!$D$4:$D$66"")=DF$2),$G$3:$BQ$3,$G105:$BQ105)))"),0.125)</f>
        <v>0.125</v>
      </c>
      <c r="DG105" s="207" t="str">
        <f>IFERROR(__xludf.DUMMYFUNCTION("IF(OR(DF105&gt;$BS105+$BT105*$BT$2,DF105&lt;$BS105-$BT105*$BT$2),AVEDEV(ARRAYFORMULA(XLOOKUP(FILTER(INDIRECT(""'""&amp;DF$1&amp;""'!$C$4:$C$66""),INDIRECT(""'""&amp;DF$1&amp;""'!$D$4:$D$66"")=DF$2),$G$3:$BQ$3,$G105:$BQ105))),"""")"),"")</f>
        <v/>
      </c>
      <c r="DH105" s="251">
        <f>IFERROR(__xludf.DUMMYFUNCTION("AVERAGE(ARRAYFORMULA(XLOOKUP(FILTER(INDIRECT(""'""&amp;DH$1&amp;""'!$C$4:$C$66""),INDIRECT(""'""&amp;DH$1&amp;""'!$D$4:$D$66"")=DH$2),$G$3:$BQ$3,$G105:$BQ105)))"),0.2222222222222222)</f>
        <v>0.2222222222</v>
      </c>
      <c r="DI105" s="207" t="str">
        <f>IFERROR(__xludf.DUMMYFUNCTION("IF(OR(DH105&gt;$BS105+$BT105*$BT$2,DH105&lt;$BS105-$BT105*$BT$2),AVEDEV(ARRAYFORMULA(XLOOKUP(FILTER(INDIRECT(""'""&amp;DH$1&amp;""'!$C$4:$C$66""),INDIRECT(""'""&amp;DH$1&amp;""'!$D$4:$D$66"")=DH$2),$G$3:$BQ$3,$G105:$BQ105))),"""")"),"")</f>
        <v/>
      </c>
      <c r="DJ105" s="243"/>
    </row>
    <row r="106">
      <c r="A106" s="2"/>
      <c r="B106" s="204">
        <v>102.0</v>
      </c>
      <c r="C106" s="204" t="s">
        <v>540</v>
      </c>
      <c r="D106" s="204" t="s">
        <v>548</v>
      </c>
      <c r="E106" s="205" t="b">
        <f>VLOOKUP(D106,'Feature Set List'!A103:C246,2,0)</f>
        <v>1</v>
      </c>
      <c r="F106" s="205" t="b">
        <f>VLOOKUP(D106,'Feature Set List'!A103:C246,3,0)</f>
        <v>1</v>
      </c>
      <c r="G106" s="205">
        <v>0.1253907</v>
      </c>
      <c r="H106" s="205">
        <v>-0.3673469</v>
      </c>
      <c r="I106" s="205">
        <v>-0.6405589</v>
      </c>
      <c r="J106" s="205">
        <v>-0.1548079</v>
      </c>
      <c r="K106" s="205">
        <v>-1.287369</v>
      </c>
      <c r="L106" s="205">
        <v>0.27137341</v>
      </c>
      <c r="M106" s="205">
        <v>-0.0522155</v>
      </c>
      <c r="N106" s="205">
        <v>-0.0044126</v>
      </c>
      <c r="O106" s="205">
        <v>0.92002206</v>
      </c>
      <c r="P106" s="205">
        <v>0.14451186</v>
      </c>
      <c r="Q106" s="205">
        <v>-1.1465343</v>
      </c>
      <c r="R106" s="205">
        <v>0.22357051</v>
      </c>
      <c r="S106" s="205">
        <v>2.1529693</v>
      </c>
      <c r="T106" s="205">
        <v>-0.145615</v>
      </c>
      <c r="U106" s="205">
        <v>0.0551572</v>
      </c>
      <c r="V106" s="205">
        <v>-0.6287921</v>
      </c>
      <c r="W106" s="205">
        <v>1.07519765</v>
      </c>
      <c r="X106" s="205">
        <v>1.36164736</v>
      </c>
      <c r="Y106" s="205">
        <v>0.33462033</v>
      </c>
      <c r="Z106" s="205">
        <v>0.54237911</v>
      </c>
      <c r="AA106" s="205">
        <v>0.28019857</v>
      </c>
      <c r="AB106" s="205">
        <v>0.03603604</v>
      </c>
      <c r="AC106" s="205">
        <v>0.65269351</v>
      </c>
      <c r="AD106" s="205">
        <v>-0.0820004</v>
      </c>
      <c r="AE106" s="205">
        <v>0.4467733</v>
      </c>
      <c r="AF106" s="205">
        <v>-0.1996691</v>
      </c>
      <c r="AG106" s="205">
        <v>0.24453024</v>
      </c>
      <c r="AH106" s="205">
        <v>0.70637985</v>
      </c>
      <c r="AI106" s="205">
        <v>-0.191947</v>
      </c>
      <c r="AJ106" s="205">
        <v>1.43923515</v>
      </c>
      <c r="AK106" s="205">
        <v>-1.0641662</v>
      </c>
      <c r="AL106" s="205">
        <v>-0.1669425</v>
      </c>
      <c r="AM106" s="205">
        <v>0.15002758</v>
      </c>
      <c r="AN106" s="205">
        <v>-0.2754183</v>
      </c>
      <c r="AO106" s="205">
        <v>-1.1994852</v>
      </c>
      <c r="AP106" s="205">
        <v>-1.3653245</v>
      </c>
      <c r="AQ106" s="205">
        <v>0.68799412</v>
      </c>
      <c r="AR106" s="205">
        <v>-0.6776981</v>
      </c>
      <c r="AS106" s="205">
        <v>-0.400809</v>
      </c>
      <c r="AT106" s="205">
        <v>-0.0731752</v>
      </c>
      <c r="AU106" s="205">
        <v>-1.4914506</v>
      </c>
      <c r="AV106" s="205">
        <v>1.04872219</v>
      </c>
      <c r="AW106" s="205">
        <v>0.4567016</v>
      </c>
      <c r="AX106" s="205">
        <v>-0.4287553</v>
      </c>
      <c r="AY106" s="205">
        <v>0.48317705</v>
      </c>
      <c r="AZ106" s="205">
        <v>0.0</v>
      </c>
      <c r="BA106" s="205">
        <v>0.710057</v>
      </c>
      <c r="BB106" s="205">
        <v>-0.4254459</v>
      </c>
      <c r="BC106" s="205">
        <v>0.2107005</v>
      </c>
      <c r="BD106" s="205">
        <v>-0.7012318</v>
      </c>
      <c r="BE106" s="205">
        <v>0.50854937</v>
      </c>
      <c r="BF106" s="205">
        <v>0.48391248</v>
      </c>
      <c r="BG106" s="205">
        <v>0.00808972</v>
      </c>
      <c r="BH106" s="205">
        <v>-0.2658577</v>
      </c>
      <c r="BI106" s="205">
        <v>-0.6512227</v>
      </c>
      <c r="BJ106" s="205">
        <v>0.75050561</v>
      </c>
      <c r="BK106" s="205">
        <v>-0.8420666</v>
      </c>
      <c r="BL106" s="205">
        <v>-1.0560765</v>
      </c>
      <c r="BM106" s="205">
        <v>-0.6041552</v>
      </c>
      <c r="BN106" s="205">
        <v>-0.7729362</v>
      </c>
      <c r="BO106" s="205">
        <v>1.40172826</v>
      </c>
      <c r="BP106" s="205">
        <v>-0.6512227</v>
      </c>
      <c r="BQ106" s="205">
        <v>0.84096341</v>
      </c>
      <c r="BR106" s="206"/>
      <c r="BS106" s="250">
        <f t="shared" si="1"/>
        <v>0.01173184349</v>
      </c>
      <c r="BT106" s="250">
        <f t="shared" si="2"/>
        <v>0.5839292068</v>
      </c>
      <c r="BU106" s="206"/>
      <c r="BV106" s="207">
        <f>IFERROR(__xludf.DUMMYFUNCTION("AVERAGE(ARRAYFORMULA(XLOOKUP(FILTER(INDIRECT(""'""&amp;BV$1&amp;""'!$C$4:$C$66""),INDIRECT(""'""&amp;BV$1&amp;""'!$D$4:$D$66"")=BV$2),$G$3:$BQ$3,$G106:$BQ106)))"),-0.03892523142857142)</f>
        <v>-0.03892523143</v>
      </c>
      <c r="BW106" s="207" t="str">
        <f>IFERROR(__xludf.DUMMYFUNCTION("IF(OR(BV106&gt;$BS106+$BT106*$BT$2,BV106&lt;$BS106-$BT106*$BT$2),AVEDEV(ARRAYFORMULA(XLOOKUP(FILTER(INDIRECT(""'""&amp;BV$1&amp;""'!$C$4:$C$66""),INDIRECT(""'""&amp;BV$1&amp;""'!$D$4:$D$66"")=BV$2),$G$3:$BQ$3,$G106:$BQ106))),"""")"),"")</f>
        <v/>
      </c>
      <c r="BX106" s="207">
        <f>IFERROR(__xludf.DUMMYFUNCTION("AVERAGE(ARRAYFORMULA(XLOOKUP(FILTER(INDIRECT(""'""&amp;BX$1&amp;""'!$C$4:$C$66""),INDIRECT(""'""&amp;BX$1&amp;""'!$D$4:$D$66"")=BX$2),$G$3:$BQ$3,$G106:$BQ106)))"),0.0520316169047619)</f>
        <v>0.0520316169</v>
      </c>
      <c r="BY106" s="207" t="str">
        <f>IFERROR(__xludf.DUMMYFUNCTION("IF(OR(BX106&gt;$BS106+$BT106*$BT$2,BX106&lt;$BS106-$BT106*$BT$2),AVEDEV(ARRAYFORMULA(XLOOKUP(FILTER(INDIRECT(""'""&amp;BX$1&amp;""'!$C$4:$C$66""),INDIRECT(""'""&amp;BX$1&amp;""'!$D$4:$D$66"")=BX$2),$G$3:$BQ$3,$G106:$BQ106))),"""")"),"")</f>
        <v/>
      </c>
      <c r="BZ106" s="207">
        <f>IFERROR(__xludf.DUMMYFUNCTION("AVERAGE(ARRAYFORMULA(XLOOKUP(FILTER(INDIRECT(""'""&amp;BZ$1&amp;""'!$C$4:$C$66""),INDIRECT(""'""&amp;BZ$1&amp;""'!$D$4:$D$66"")=BZ$2),$G$3:$BQ$3,$G106:$BQ106)))"),0.15086328636363638)</f>
        <v>0.1508632864</v>
      </c>
      <c r="CA106" s="207" t="str">
        <f>IFERROR(__xludf.DUMMYFUNCTION("IF(OR(BZ106&gt;$BS106+$BT106*$BT$2,BZ106&lt;$BS106-$BT106*$BT$2),AVEDEV(ARRAYFORMULA(XLOOKUP(FILTER(INDIRECT(""'""&amp;BZ$1&amp;""'!$C$4:$C$66""),INDIRECT(""'""&amp;BZ$1&amp;""'!$D$4:$D$66"")=BZ$2),$G$3:$BQ$3,$G106:$BQ106))),"""")"),"")</f>
        <v/>
      </c>
      <c r="CB106" s="209"/>
      <c r="CC106" s="207">
        <f>IFERROR(__xludf.DUMMYFUNCTION("AVERAGE(ARRAYFORMULA(XLOOKUP(FILTER(INDIRECT(""'""&amp;CC$1&amp;""'!$C$4:$C$66""),INDIRECT(""'""&amp;CC$1&amp;""'!$D$4:$D$66"")=CC$2),$G$3:$BQ$3,$G106:$BQ106)))"),-0.19923239750000002)</f>
        <v>-0.1992323975</v>
      </c>
      <c r="CD106" s="207" t="str">
        <f>IFERROR(__xludf.DUMMYFUNCTION("IF(OR(CC106&gt;$BS106+$BT106*$BT$2,CC106&lt;$BS106-$BT106*$BT$2),AVEDEV(ARRAYFORMULA(XLOOKUP(FILTER(INDIRECT(""'""&amp;CC$1&amp;""'!$C$4:$C$66""),INDIRECT(""'""&amp;CC$1&amp;""'!$D$4:$D$66"")=CC$2),$G$3:$BQ$3,$G106:$BQ106))),"""")"),"")</f>
        <v/>
      </c>
      <c r="CE106" s="207">
        <f>IFERROR(__xludf.DUMMYFUNCTION("AVERAGE(ARRAYFORMULA(XLOOKUP(FILTER(INDIRECT(""'""&amp;CE$1&amp;""'!$C$4:$C$66""),INDIRECT(""'""&amp;CE$1&amp;""'!$D$4:$D$66"")=CE$2),$G$3:$BQ$3,$G106:$BQ106)))"),0.24262049032258057)</f>
        <v>0.2426204903</v>
      </c>
      <c r="CF106" s="207" t="str">
        <f>IFERROR(__xludf.DUMMYFUNCTION("IF(OR(CE106&gt;$BS106+$BT106*$BT$2,CE106&lt;$BS106-$BT106*$BT$2),AVEDEV(ARRAYFORMULA(XLOOKUP(FILTER(INDIRECT(""'""&amp;CE$1&amp;""'!$C$4:$C$66""),INDIRECT(""'""&amp;CE$1&amp;""'!$D$4:$D$66"")=CE$2),$G$3:$BQ$3,$G106:$BQ106))),"""")"),"")</f>
        <v/>
      </c>
      <c r="CG106" s="207">
        <f>IFERROR(__xludf.DUMMYFUNCTION("AVERAGE(ARRAYFORMULA(XLOOKUP(FILTER(INDIRECT(""'""&amp;CG$1&amp;""'!$C$4:$C$66""),INDIRECT(""'""&amp;CG$1&amp;""'!$D$4:$D$66"")=CG$2),$G$3:$BQ$3,$G106:$BQ106)))"),0.06324691600000001)</f>
        <v>0.063246916</v>
      </c>
      <c r="CH106" s="207" t="str">
        <f>IFERROR(__xludf.DUMMYFUNCTION("IF(OR(CG106&gt;$BS106+$BT106*$BT$2,CG106&lt;$BS106-$BT106*$BT$2),AVEDEV(ARRAYFORMULA(XLOOKUP(FILTER(INDIRECT(""'""&amp;CG$1&amp;""'!$C$4:$C$66""),INDIRECT(""'""&amp;CG$1&amp;""'!$D$4:$D$66"")=CG$2),$G$3:$BQ$3,$G106:$BQ106))),"""")"),"")</f>
        <v/>
      </c>
      <c r="CI106" s="206"/>
      <c r="CJ106" s="251">
        <f>IFERROR(__xludf.DUMMYFUNCTION("AVERAGE(ARRAYFORMULA(XLOOKUP(FILTER(INDIRECT(""'""&amp;CJ$1&amp;""'!$C$4:$C$66""),INDIRECT(""'""&amp;CJ$1&amp;""'!$D$4:$D$66"")=CJ$2),$G$3:$BQ$3,$G106:$BQ106)))"),0.3201323726666666)</f>
        <v>0.3201323727</v>
      </c>
      <c r="CK106" s="207" t="str">
        <f>IFERROR(__xludf.DUMMYFUNCTION("IF(OR(CJ106&gt;$BS106+$BT106*$BT$2,CJ106&lt;$BS106-$BT106*$BT$2),AVEDEV(ARRAYFORMULA(XLOOKUP(FILTER(INDIRECT(""'""&amp;CJ$1&amp;""'!$C$4:$C$66""),INDIRECT(""'""&amp;CJ$1&amp;""'!$D$4:$D$66"")=CJ$2),$G$3:$BQ$3,$G106:$BQ106))),"""")"),"")</f>
        <v/>
      </c>
      <c r="CL106" s="251">
        <f>IFERROR(__xludf.DUMMYFUNCTION("AVERAGE(ARRAYFORMULA(XLOOKUP(FILTER(INDIRECT(""'""&amp;CL$1&amp;""'!$C$4:$C$66""),INDIRECT(""'""&amp;CL$1&amp;""'!$D$4:$D$66"")=CL$2),$G$3:$BQ$3,$G106:$BQ106)))"),-0.012558877692307693)</f>
        <v>-0.01255887769</v>
      </c>
      <c r="CM106" s="207" t="str">
        <f>IFERROR(__xludf.DUMMYFUNCTION("IF(OR(CL106&gt;$BS106+$BT106*$BT$2,CL106&lt;$BS106-$BT106*$BT$2),AVEDEV(ARRAYFORMULA(XLOOKUP(FILTER(INDIRECT(""'""&amp;CL$1&amp;""'!$C$4:$C$66""),INDIRECT(""'""&amp;CL$1&amp;""'!$D$4:$D$66"")=CL$2),$G$3:$BQ$3,$G106:$BQ106))),"""")"),"")</f>
        <v/>
      </c>
      <c r="CN106" s="251">
        <f>IFERROR(__xludf.DUMMYFUNCTION("AVERAGE(ARRAYFORMULA(XLOOKUP(FILTER(INDIRECT(""'""&amp;CN$1&amp;""'!$C$4:$C$66""),INDIRECT(""'""&amp;CN$1&amp;""'!$D$4:$D$66"")=CN$2),$G$3:$BQ$3,$G106:$BQ106)))"),0.06324691600000001)</f>
        <v>0.063246916</v>
      </c>
      <c r="CO106" s="207" t="str">
        <f>IFERROR(__xludf.DUMMYFUNCTION("IF(OR(CN106&gt;$BS106+$BT106*$BT$2,CN106&lt;$BS106-$BT106*$BT$2),AVEDEV(ARRAYFORMULA(XLOOKUP(FILTER(INDIRECT(""'""&amp;CN$1&amp;""'!$C$4:$C$66""),INDIRECT(""'""&amp;CN$1&amp;""'!$D$4:$D$66"")=CN$2),$G$3:$BQ$3,$G106:$BQ106))),"""")"),"")</f>
        <v/>
      </c>
      <c r="CP106" s="252"/>
      <c r="CQ106" s="251">
        <f>IFERROR(__xludf.DUMMYFUNCTION("AVERAGE(ARRAYFORMULA(XLOOKUP(FILTER(INDIRECT(""'""&amp;CQ$1&amp;""'!$C$4:$C$66""),INDIRECT(""'""&amp;CQ$1&amp;""'!$D$4:$D$66"")=CQ$2),$G$3:$BQ$3,$G106:$BQ106)))"),-0.17613532571428575)</f>
        <v>-0.1761353257</v>
      </c>
      <c r="CR106" s="207" t="str">
        <f>IFERROR(__xludf.DUMMYFUNCTION("IF(OR(CQ106&gt;$BS106+$BT106*$BT$2,CQ106&lt;$BS106-$BT106*$BT$2),AVEDEV(ARRAYFORMULA(XLOOKUP(FILTER(INDIRECT(""'""&amp;CQ$1&amp;""'!$C$4:$C$66""),INDIRECT(""'""&amp;CQ$1&amp;""'!$D$4:$D$66"")=CQ$2),$G$3:$BQ$3,$G106:$BQ106))),"""")"),"")</f>
        <v/>
      </c>
      <c r="CS106" s="251">
        <f>IFERROR(__xludf.DUMMYFUNCTION("AVERAGE(ARRAYFORMULA(XLOOKUP(FILTER(INDIRECT(""'""&amp;CS$1&amp;""'!$C$4:$C$66""),INDIRECT(""'""&amp;CS$1&amp;""'!$D$4:$D$66"")=CS$2),$G$3:$BQ$3,$G106:$BQ106)))"),0.2515168166666667)</f>
        <v>0.2515168167</v>
      </c>
      <c r="CT106" s="207" t="str">
        <f>IFERROR(__xludf.DUMMYFUNCTION("IF(OR(CS106&gt;$BS106+$BT106*$BT$2,CS106&lt;$BS106-$BT106*$BT$2),AVEDEV(ARRAYFORMULA(XLOOKUP(FILTER(INDIRECT(""'""&amp;CS$1&amp;""'!$C$4:$C$66""),INDIRECT(""'""&amp;CS$1&amp;""'!$D$4:$D$66"")=CS$2),$G$3:$BQ$3,$G106:$BQ106))),"""")"),"")</f>
        <v/>
      </c>
      <c r="CU106" s="251">
        <f>IFERROR(__xludf.DUMMYFUNCTION("AVERAGE(ARRAYFORMULA(XLOOKUP(FILTER(INDIRECT(""'""&amp;CU$1&amp;""'!$C$4:$C$66""),INDIRECT(""'""&amp;CU$1&amp;""'!$D$4:$D$66"")=CU$2),$G$3:$BQ$3,$G106:$BQ106)))"),0.5785154381818182)</f>
        <v>0.5785154382</v>
      </c>
      <c r="CV106" s="207" t="str">
        <f>IFERROR(__xludf.DUMMYFUNCTION("IF(OR(CU106&gt;$BS106+$BT106*$BT$2,CU106&lt;$BS106-$BT106*$BT$2),AVEDEV(ARRAYFORMULA(XLOOKUP(FILTER(INDIRECT(""'""&amp;CU$1&amp;""'!$C$4:$C$66""),INDIRECT(""'""&amp;CU$1&amp;""'!$D$4:$D$66"")=CU$2),$G$3:$BQ$3,$G106:$BQ106))),"""")"),"")</f>
        <v/>
      </c>
      <c r="CW106" s="251">
        <f>IFERROR(__xludf.DUMMYFUNCTION("AVERAGE(ARRAYFORMULA(XLOOKUP(FILTER(INDIRECT(""'""&amp;CW$1&amp;""'!$C$4:$C$66""),INDIRECT(""'""&amp;CW$1&amp;""'!$D$4:$D$66"")=CW$2),$G$3:$BQ$3,$G106:$BQ106)))"),-0.17392904999999997)</f>
        <v>-0.17392905</v>
      </c>
      <c r="CX106" s="207" t="str">
        <f>IFERROR(__xludf.DUMMYFUNCTION("IF(OR(CW106&gt;$BS106+$BT106*$BT$2,CW106&lt;$BS106-$BT106*$BT$2),AVEDEV(ARRAYFORMULA(XLOOKUP(FILTER(INDIRECT(""'""&amp;CW$1&amp;""'!$C$4:$C$66""),INDIRECT(""'""&amp;CW$1&amp;""'!$D$4:$D$66"")=CW$2),$G$3:$BQ$3,$G106:$BQ106))),"""")"),"")</f>
        <v/>
      </c>
      <c r="CY106" s="251">
        <f>IFERROR(__xludf.DUMMYFUNCTION("AVERAGE(ARRAYFORMULA(XLOOKUP(FILTER(INDIRECT(""'""&amp;CY$1&amp;""'!$C$4:$C$66""),INDIRECT(""'""&amp;CY$1&amp;""'!$D$4:$D$66"")=CY$2),$G$3:$BQ$3,$G106:$BQ106)))"),0.023113482142857165)</f>
        <v>0.02311348214</v>
      </c>
      <c r="CZ106" s="207" t="str">
        <f>IFERROR(__xludf.DUMMYFUNCTION("IF(OR(CY106&gt;$BS106+$BT106*$BT$2,CY106&lt;$BS106-$BT106*$BT$2),AVEDEV(ARRAYFORMULA(XLOOKUP(FILTER(INDIRECT(""'""&amp;CY$1&amp;""'!$C$4:$C$66""),INDIRECT(""'""&amp;CY$1&amp;""'!$D$4:$D$66"")=CY$2),$G$3:$BQ$3,$G106:$BQ106))),"""")"),"")</f>
        <v/>
      </c>
      <c r="DA106" s="252"/>
      <c r="DB106" s="251">
        <f>IFERROR(__xludf.DUMMYFUNCTION("AVERAGE(ARRAYFORMULA(XLOOKUP(FILTER(INDIRECT(""'""&amp;DB$1&amp;""'!$C$4:$C$66""),INDIRECT(""'""&amp;DB$1&amp;""'!$D$4:$D$66"")=DB$2),$G$3:$BQ$3,$G106:$BQ106)))"),-0.1201814146666667)</f>
        <v>-0.1201814147</v>
      </c>
      <c r="DC106" s="207" t="str">
        <f>IFERROR(__xludf.DUMMYFUNCTION("IF(OR(DB106&gt;$BS106+$BT106*$BT$2,DB106&lt;$BS106-$BT106*$BT$2),AVEDEV(ARRAYFORMULA(XLOOKUP(FILTER(INDIRECT(""'""&amp;DB$1&amp;""'!$C$4:$C$66""),INDIRECT(""'""&amp;DB$1&amp;""'!$D$4:$D$66"")=DB$2),$G$3:$BQ$3,$G106:$BQ106))),"""")"),"")</f>
        <v/>
      </c>
      <c r="DD106" s="251">
        <f>IFERROR(__xludf.DUMMYFUNCTION("AVERAGE(ARRAYFORMULA(XLOOKUP(FILTER(INDIRECT(""'""&amp;DD$1&amp;""'!$C$4:$C$66""),INDIRECT(""'""&amp;DD$1&amp;""'!$D$4:$D$66"")=DD$2),$G$3:$BQ$3,$G106:$BQ106)))"),0.28591856777777785)</f>
        <v>0.2859185678</v>
      </c>
      <c r="DE106" s="207" t="str">
        <f>IFERROR(__xludf.DUMMYFUNCTION("IF(OR(DD106&gt;$BS106+$BT106*$BT$2,DD106&lt;$BS106-$BT106*$BT$2),AVEDEV(ARRAYFORMULA(XLOOKUP(FILTER(INDIRECT(""'""&amp;DD$1&amp;""'!$C$4:$C$66""),INDIRECT(""'""&amp;DD$1&amp;""'!$D$4:$D$66"")=DD$2),$G$3:$BQ$3,$G106:$BQ106))),"""")"),"")</f>
        <v/>
      </c>
      <c r="DF106" s="251">
        <f>IFERROR(__xludf.DUMMYFUNCTION("AVERAGE(ARRAYFORMULA(XLOOKUP(FILTER(INDIRECT(""'""&amp;DF$1&amp;""'!$C$4:$C$66""),INDIRECT(""'""&amp;DF$1&amp;""'!$D$4:$D$66"")=DF$2),$G$3:$BQ$3,$G106:$BQ106)))"),0.69429123)</f>
        <v>0.69429123</v>
      </c>
      <c r="DG106" s="207">
        <f>IFERROR(__xludf.DUMMYFUNCTION("IF(OR(DF106&gt;$BS106+$BT106*$BT$2,DF106&lt;$BS106-$BT106*$BT$2),AVEDEV(ARRAYFORMULA(XLOOKUP(FILTER(INDIRECT(""'""&amp;DF$1&amp;""'!$C$4:$C$66""),INDIRECT(""'""&amp;DF$1&amp;""'!$D$4:$D$66"")=DF$2),$G$3:$BQ$3,$G106:$BQ106))),"""")"),0.607338205)</f>
        <v>0.607338205</v>
      </c>
      <c r="DH106" s="251">
        <f>IFERROR(__xludf.DUMMYFUNCTION("AVERAGE(ARRAYFORMULA(XLOOKUP(FILTER(INDIRECT(""'""&amp;DH$1&amp;""'!$C$4:$C$66""),INDIRECT(""'""&amp;DH$1&amp;""'!$D$4:$D$66"")=DH$2),$G$3:$BQ$3,$G106:$BQ106)))"),0.06908948555555557)</f>
        <v>0.06908948556</v>
      </c>
      <c r="DI106" s="207" t="str">
        <f>IFERROR(__xludf.DUMMYFUNCTION("IF(OR(DH106&gt;$BS106+$BT106*$BT$2,DH106&lt;$BS106-$BT106*$BT$2),AVEDEV(ARRAYFORMULA(XLOOKUP(FILTER(INDIRECT(""'""&amp;DH$1&amp;""'!$C$4:$C$66""),INDIRECT(""'""&amp;DH$1&amp;""'!$D$4:$D$66"")=DH$2),$G$3:$BQ$3,$G106:$BQ106))),"""")"),"")</f>
        <v/>
      </c>
      <c r="DJ106" s="243"/>
    </row>
    <row r="107">
      <c r="A107" s="2"/>
      <c r="B107" s="204">
        <v>103.0</v>
      </c>
      <c r="C107" s="204" t="s">
        <v>540</v>
      </c>
      <c r="D107" s="204" t="s">
        <v>549</v>
      </c>
      <c r="E107" s="205" t="b">
        <f>VLOOKUP(D107,'Feature Set List'!A104:C246,2,0)</f>
        <v>1</v>
      </c>
      <c r="F107" s="205" t="b">
        <f>VLOOKUP(D107,'Feature Set List'!A104:C246,3,0)</f>
        <v>1</v>
      </c>
      <c r="G107" s="205">
        <v>-0.4585332</v>
      </c>
      <c r="H107" s="205">
        <v>-0.2589777</v>
      </c>
      <c r="I107" s="205">
        <v>-0.540882</v>
      </c>
      <c r="J107" s="205">
        <v>-0.4416891</v>
      </c>
      <c r="K107" s="205">
        <v>-1.2169844</v>
      </c>
      <c r="L107" s="205">
        <v>0.17311966</v>
      </c>
      <c r="M107" s="205">
        <v>-0.7832495</v>
      </c>
      <c r="N107" s="205">
        <v>0.03743128</v>
      </c>
      <c r="O107" s="205">
        <v>2.38624401</v>
      </c>
      <c r="P107" s="205">
        <v>-0.6190198</v>
      </c>
      <c r="Q107" s="205">
        <v>-1.1475026</v>
      </c>
      <c r="R107" s="205">
        <v>1.51128787</v>
      </c>
      <c r="S107" s="205">
        <v>2.50321675</v>
      </c>
      <c r="T107" s="205">
        <v>-0.2519593</v>
      </c>
      <c r="U107" s="205">
        <v>0.3322026</v>
      </c>
      <c r="V107" s="205">
        <v>0.0</v>
      </c>
      <c r="W107" s="205">
        <v>0.69481811</v>
      </c>
      <c r="X107" s="205">
        <v>0.56614809</v>
      </c>
      <c r="Y107" s="205">
        <v>0.10995438</v>
      </c>
      <c r="Z107" s="205">
        <v>-0.6597263</v>
      </c>
      <c r="AA107" s="205">
        <v>0.02105509</v>
      </c>
      <c r="AB107" s="205">
        <v>0.06316528</v>
      </c>
      <c r="AC107" s="205">
        <v>-0.1483214</v>
      </c>
      <c r="AD107" s="205">
        <v>-0.296175</v>
      </c>
      <c r="AE107" s="205">
        <v>-0.1263306</v>
      </c>
      <c r="AF107" s="205">
        <v>0.24330331</v>
      </c>
      <c r="AG107" s="205">
        <v>0.01637618</v>
      </c>
      <c r="AH107" s="205">
        <v>0.62931337</v>
      </c>
      <c r="AI107" s="205">
        <v>-0.6761025</v>
      </c>
      <c r="AJ107" s="205">
        <v>1.94642648</v>
      </c>
      <c r="AK107" s="205">
        <v>-0.9774243</v>
      </c>
      <c r="AL107" s="205">
        <v>0.03509182</v>
      </c>
      <c r="AM107" s="205">
        <v>0.3579366</v>
      </c>
      <c r="AN107" s="205">
        <v>0.24096386</v>
      </c>
      <c r="AO107" s="205">
        <v>-1.3150076</v>
      </c>
      <c r="AP107" s="205">
        <v>-1.3889344</v>
      </c>
      <c r="AQ107" s="205">
        <v>0.31582641</v>
      </c>
      <c r="AR107" s="205">
        <v>0.13568838</v>
      </c>
      <c r="AS107" s="205">
        <v>-0.0998947</v>
      </c>
      <c r="AT107" s="205">
        <v>1.13229617</v>
      </c>
      <c r="AU107" s="205">
        <v>-2.2012165</v>
      </c>
      <c r="AV107" s="205">
        <v>0.62229501</v>
      </c>
      <c r="AW107" s="205">
        <v>-0.1462159</v>
      </c>
      <c r="AX107" s="205">
        <v>0.19885367</v>
      </c>
      <c r="AY107" s="205">
        <v>0.77669903</v>
      </c>
      <c r="AZ107" s="205">
        <v>0.7626623</v>
      </c>
      <c r="BA107" s="205">
        <v>-0.1777986</v>
      </c>
      <c r="BB107" s="205">
        <v>-1.2780442</v>
      </c>
      <c r="BC107" s="205">
        <v>0.61995555</v>
      </c>
      <c r="BD107" s="205">
        <v>-1.9506375</v>
      </c>
      <c r="BE107" s="205">
        <v>0.5240379</v>
      </c>
      <c r="BF107" s="205">
        <v>0.39536788</v>
      </c>
      <c r="BG107" s="205">
        <v>-0.2542987</v>
      </c>
      <c r="BH107" s="205">
        <v>-0.5397122</v>
      </c>
      <c r="BI107" s="205">
        <v>-0.3745467</v>
      </c>
      <c r="BJ107" s="205">
        <v>0.94747924</v>
      </c>
      <c r="BK107" s="205">
        <v>-0.3497485</v>
      </c>
      <c r="BL107" s="205">
        <v>-0.0657387</v>
      </c>
      <c r="BM107" s="205">
        <v>-1.2626038</v>
      </c>
      <c r="BN107" s="205">
        <v>-0.8946076</v>
      </c>
      <c r="BO107" s="205">
        <v>0.55912972</v>
      </c>
      <c r="BP107" s="205">
        <v>-1.1456311</v>
      </c>
      <c r="BQ107" s="205">
        <v>1.75927009</v>
      </c>
      <c r="BR107" s="206"/>
      <c r="BS107" s="250">
        <f t="shared" si="1"/>
        <v>-0.02269679857</v>
      </c>
      <c r="BT107" s="250">
        <f t="shared" si="2"/>
        <v>0.6775845601</v>
      </c>
      <c r="BU107" s="206"/>
      <c r="BV107" s="207">
        <f>IFERROR(__xludf.DUMMYFUNCTION("AVERAGE(ARRAYFORMULA(XLOOKUP(FILTER(INDIRECT(""'""&amp;BV$1&amp;""'!$C$4:$C$66""),INDIRECT(""'""&amp;BV$1&amp;""'!$D$4:$D$66"")=BV$2),$G$3:$BQ$3,$G107:$BQ107)))"),-0.06567183999999997)</f>
        <v>-0.06567184</v>
      </c>
      <c r="BW107" s="207" t="str">
        <f>IFERROR(__xludf.DUMMYFUNCTION("IF(OR(BV107&gt;$BS107+$BT107*$BT$2,BV107&lt;$BS107-$BT107*$BT$2),AVEDEV(ARRAYFORMULA(XLOOKUP(FILTER(INDIRECT(""'""&amp;BV$1&amp;""'!$C$4:$C$66""),INDIRECT(""'""&amp;BV$1&amp;""'!$D$4:$D$66"")=BV$2),$G$3:$BQ$3,$G107:$BQ107))),"""")"),"")</f>
        <v/>
      </c>
      <c r="BX107" s="207">
        <f>IFERROR(__xludf.DUMMYFUNCTION("AVERAGE(ARRAYFORMULA(XLOOKUP(FILTER(INDIRECT(""'""&amp;BX$1&amp;""'!$C$4:$C$66""),INDIRECT(""'""&amp;BX$1&amp;""'!$D$4:$D$66"")=BX$2),$G$3:$BQ$3,$G107:$BQ107)))"),0.12599635738095238)</f>
        <v>0.1259963574</v>
      </c>
      <c r="BY107" s="207" t="str">
        <f>IFERROR(__xludf.DUMMYFUNCTION("IF(OR(BX107&gt;$BS107+$BT107*$BT$2,BX107&lt;$BS107-$BT107*$BT$2),AVEDEV(ARRAYFORMULA(XLOOKUP(FILTER(INDIRECT(""'""&amp;BX$1&amp;""'!$C$4:$C$66""),INDIRECT(""'""&amp;BX$1&amp;""'!$D$4:$D$66"")=BX$2),$G$3:$BQ$3,$G107:$BQ107))),"""")"),"")</f>
        <v/>
      </c>
      <c r="BZ107" s="207">
        <f>IFERROR(__xludf.DUMMYFUNCTION("AVERAGE(ARRAYFORMULA(XLOOKUP(FILTER(INDIRECT(""'""&amp;BZ$1&amp;""'!$C$4:$C$66""),INDIRECT(""'""&amp;BZ$1&amp;""'!$D$4:$D$66"")=BZ$2),$G$3:$BQ$3,$G107:$BQ107)))"),-0.14266422181818184)</f>
        <v>-0.1426642218</v>
      </c>
      <c r="CA107" s="207" t="str">
        <f>IFERROR(__xludf.DUMMYFUNCTION("IF(OR(BZ107&gt;$BS107+$BT107*$BT$2,BZ107&lt;$BS107-$BT107*$BT$2),AVEDEV(ARRAYFORMULA(XLOOKUP(FILTER(INDIRECT(""'""&amp;BZ$1&amp;""'!$C$4:$C$66""),INDIRECT(""'""&amp;BZ$1&amp;""'!$D$4:$D$66"")=BZ$2),$G$3:$BQ$3,$G107:$BQ107))),"""")"),"")</f>
        <v/>
      </c>
      <c r="CB107" s="209"/>
      <c r="CC107" s="207">
        <f>IFERROR(__xludf.DUMMYFUNCTION("AVERAGE(ARRAYFORMULA(XLOOKUP(FILTER(INDIRECT(""'""&amp;CC$1&amp;""'!$C$4:$C$66""),INDIRECT(""'""&amp;CC$1&amp;""'!$D$4:$D$66"")=CC$2),$G$3:$BQ$3,$G107:$BQ107)))"),-0.26757516125)</f>
        <v>-0.2675751613</v>
      </c>
      <c r="CD107" s="207" t="str">
        <f>IFERROR(__xludf.DUMMYFUNCTION("IF(OR(CC107&gt;$BS107+$BT107*$BT$2,CC107&lt;$BS107-$BT107*$BT$2),AVEDEV(ARRAYFORMULA(XLOOKUP(FILTER(INDIRECT(""'""&amp;CC$1&amp;""'!$C$4:$C$66""),INDIRECT(""'""&amp;CC$1&amp;""'!$D$4:$D$66"")=CC$2),$G$3:$BQ$3,$G107:$BQ107))),"""")"),"")</f>
        <v/>
      </c>
      <c r="CE107" s="207">
        <f>IFERROR(__xludf.DUMMYFUNCTION("AVERAGE(ARRAYFORMULA(XLOOKUP(FILTER(INDIRECT(""'""&amp;CE$1&amp;""'!$C$4:$C$66""),INDIRECT(""'""&amp;CE$1&amp;""'!$D$4:$D$66"")=CE$2),$G$3:$BQ$3,$G107:$BQ107)))"),0.3415830583870968)</f>
        <v>0.3415830584</v>
      </c>
      <c r="CF107" s="207" t="str">
        <f>IFERROR(__xludf.DUMMYFUNCTION("IF(OR(CE107&gt;$BS107+$BT107*$BT$2,CE107&lt;$BS107-$BT107*$BT$2),AVEDEV(ARRAYFORMULA(XLOOKUP(FILTER(INDIRECT(""'""&amp;CE$1&amp;""'!$C$4:$C$66""),INDIRECT(""'""&amp;CE$1&amp;""'!$D$4:$D$66"")=CE$2),$G$3:$BQ$3,$G107:$BQ107))),"""")"),"")</f>
        <v/>
      </c>
      <c r="CG107" s="207">
        <f>IFERROR(__xludf.DUMMYFUNCTION("AVERAGE(ARRAYFORMULA(XLOOKUP(FILTER(INDIRECT(""'""&amp;CG$1&amp;""'!$C$4:$C$66""),INDIRECT(""'""&amp;CG$1&amp;""'!$D$4:$D$66"")=CG$2),$G$3:$BQ$3,$G107:$BQ107)))"),-0.28059422000000006)</f>
        <v>-0.28059422</v>
      </c>
      <c r="CH107" s="207" t="str">
        <f>IFERROR(__xludf.DUMMYFUNCTION("IF(OR(CG107&gt;$BS107+$BT107*$BT$2,CG107&lt;$BS107-$BT107*$BT$2),AVEDEV(ARRAYFORMULA(XLOOKUP(FILTER(INDIRECT(""'""&amp;CG$1&amp;""'!$C$4:$C$66""),INDIRECT(""'""&amp;CG$1&amp;""'!$D$4:$D$66"")=CG$2),$G$3:$BQ$3,$G107:$BQ107))),"""")"),"")</f>
        <v/>
      </c>
      <c r="CI107" s="206"/>
      <c r="CJ107" s="251">
        <f>IFERROR(__xludf.DUMMYFUNCTION("AVERAGE(ARRAYFORMULA(XLOOKUP(FILTER(INDIRECT(""'""&amp;CJ$1&amp;""'!$C$4:$C$66""),INDIRECT(""'""&amp;CJ$1&amp;""'!$D$4:$D$66"")=CJ$2),$G$3:$BQ$3,$G107:$BQ107)))"),0.046726712000000004)</f>
        <v>0.046726712</v>
      </c>
      <c r="CK107" s="207" t="str">
        <f>IFERROR(__xludf.DUMMYFUNCTION("IF(OR(CJ107&gt;$BS107+$BT107*$BT$2,CJ107&lt;$BS107-$BT107*$BT$2),AVEDEV(ARRAYFORMULA(XLOOKUP(FILTER(INDIRECT(""'""&amp;CJ$1&amp;""'!$C$4:$C$66""),INDIRECT(""'""&amp;CJ$1&amp;""'!$D$4:$D$66"")=CJ$2),$G$3:$BQ$3,$G107:$BQ107))),"""")"),"")</f>
        <v/>
      </c>
      <c r="CL107" s="251">
        <f>IFERROR(__xludf.DUMMYFUNCTION("AVERAGE(ARRAYFORMULA(XLOOKUP(FILTER(INDIRECT(""'""&amp;CL$1&amp;""'!$C$4:$C$66""),INDIRECT(""'""&amp;CL$1&amp;""'!$D$4:$D$66"")=CL$2),$G$3:$BQ$3,$G107:$BQ107)))"),0.10334991820512822)</f>
        <v>0.1033499182</v>
      </c>
      <c r="CM107" s="207" t="str">
        <f>IFERROR(__xludf.DUMMYFUNCTION("IF(OR(CL107&gt;$BS107+$BT107*$BT$2,CL107&lt;$BS107-$BT107*$BT$2),AVEDEV(ARRAYFORMULA(XLOOKUP(FILTER(INDIRECT(""'""&amp;CL$1&amp;""'!$C$4:$C$66""),INDIRECT(""'""&amp;CL$1&amp;""'!$D$4:$D$66"")=CL$2),$G$3:$BQ$3,$G107:$BQ107))),"""")"),"")</f>
        <v/>
      </c>
      <c r="CN107" s="251">
        <f>IFERROR(__xludf.DUMMYFUNCTION("AVERAGE(ARRAYFORMULA(XLOOKUP(FILTER(INDIRECT(""'""&amp;CN$1&amp;""'!$C$4:$C$66""),INDIRECT(""'""&amp;CN$1&amp;""'!$D$4:$D$66"")=CN$2),$G$3:$BQ$3,$G107:$BQ107)))"),-0.28059422000000006)</f>
        <v>-0.28059422</v>
      </c>
      <c r="CO107" s="207" t="str">
        <f>IFERROR(__xludf.DUMMYFUNCTION("IF(OR(CN107&gt;$BS107+$BT107*$BT$2,CN107&lt;$BS107-$BT107*$BT$2),AVEDEV(ARRAYFORMULA(XLOOKUP(FILTER(INDIRECT(""'""&amp;CN$1&amp;""'!$C$4:$C$66""),INDIRECT(""'""&amp;CN$1&amp;""'!$D$4:$D$66"")=CN$2),$G$3:$BQ$3,$G107:$BQ107))),"""")"),"")</f>
        <v/>
      </c>
      <c r="CP107" s="252"/>
      <c r="CQ107" s="251">
        <f>IFERROR(__xludf.DUMMYFUNCTION("AVERAGE(ARRAYFORMULA(XLOOKUP(FILTER(INDIRECT(""'""&amp;CQ$1&amp;""'!$C$4:$C$66""),INDIRECT(""'""&amp;CQ$1&amp;""'!$D$4:$D$66"")=CQ$2),$G$3:$BQ$3,$G107:$BQ107)))"),-0.25466638785714285)</f>
        <v>-0.2546663879</v>
      </c>
      <c r="CR107" s="207" t="str">
        <f>IFERROR(__xludf.DUMMYFUNCTION("IF(OR(CQ107&gt;$BS107+$BT107*$BT$2,CQ107&lt;$BS107-$BT107*$BT$2),AVEDEV(ARRAYFORMULA(XLOOKUP(FILTER(INDIRECT(""'""&amp;CQ$1&amp;""'!$C$4:$C$66""),INDIRECT(""'""&amp;CQ$1&amp;""'!$D$4:$D$66"")=CQ$2),$G$3:$BQ$3,$G107:$BQ107))),"""")"),"")</f>
        <v/>
      </c>
      <c r="CS107" s="251">
        <f>IFERROR(__xludf.DUMMYFUNCTION("AVERAGE(ARRAYFORMULA(XLOOKUP(FILTER(INDIRECT(""'""&amp;CS$1&amp;""'!$C$4:$C$66""),INDIRECT(""'""&amp;CS$1&amp;""'!$D$4:$D$66"")=CS$2),$G$3:$BQ$3,$G107:$BQ107)))"),-0.11881832666666667)</f>
        <v>-0.1188183267</v>
      </c>
      <c r="CT107" s="207" t="str">
        <f>IFERROR(__xludf.DUMMYFUNCTION("IF(OR(CS107&gt;$BS107+$BT107*$BT$2,CS107&lt;$BS107-$BT107*$BT$2),AVEDEV(ARRAYFORMULA(XLOOKUP(FILTER(INDIRECT(""'""&amp;CS$1&amp;""'!$C$4:$C$66""),INDIRECT(""'""&amp;CS$1&amp;""'!$D$4:$D$66"")=CS$2),$G$3:$BQ$3,$G107:$BQ107))),"""")"),"")</f>
        <v/>
      </c>
      <c r="CU107" s="251">
        <f>IFERROR(__xludf.DUMMYFUNCTION("AVERAGE(ARRAYFORMULA(XLOOKUP(FILTER(INDIRECT(""'""&amp;CU$1&amp;""'!$C$4:$C$66""),INDIRECT(""'""&amp;CU$1&amp;""'!$D$4:$D$66"")=CU$2),$G$3:$BQ$3,$G107:$BQ107)))"),0.5680409263636363)</f>
        <v>0.5680409264</v>
      </c>
      <c r="CV107" s="207" t="str">
        <f>IFERROR(__xludf.DUMMYFUNCTION("IF(OR(CU107&gt;$BS107+$BT107*$BT$2,CU107&lt;$BS107-$BT107*$BT$2),AVEDEV(ARRAYFORMULA(XLOOKUP(FILTER(INDIRECT(""'""&amp;CU$1&amp;""'!$C$4:$C$66""),INDIRECT(""'""&amp;CU$1&amp;""'!$D$4:$D$66"")=CU$2),$G$3:$BQ$3,$G107:$BQ107))),"""")"),"")</f>
        <v/>
      </c>
      <c r="CW107" s="251">
        <f>IFERROR(__xludf.DUMMYFUNCTION("AVERAGE(ARRAYFORMULA(XLOOKUP(FILTER(INDIRECT(""'""&amp;CW$1&amp;""'!$C$4:$C$66""),INDIRECT(""'""&amp;CW$1&amp;""'!$D$4:$D$66"")=CW$2),$G$3:$BQ$3,$G107:$BQ107)))"),-0.41794359999999997)</f>
        <v>-0.4179436</v>
      </c>
      <c r="CX107" s="207" t="str">
        <f>IFERROR(__xludf.DUMMYFUNCTION("IF(OR(CW107&gt;$BS107+$BT107*$BT$2,CW107&lt;$BS107-$BT107*$BT$2),AVEDEV(ARRAYFORMULA(XLOOKUP(FILTER(INDIRECT(""'""&amp;CW$1&amp;""'!$C$4:$C$66""),INDIRECT(""'""&amp;CW$1&amp;""'!$D$4:$D$66"")=CW$2),$G$3:$BQ$3,$G107:$BQ107))),"""")"),"")</f>
        <v/>
      </c>
      <c r="CY107" s="251">
        <f>IFERROR(__xludf.DUMMYFUNCTION("AVERAGE(ARRAYFORMULA(XLOOKUP(FILTER(INDIRECT(""'""&amp;CY$1&amp;""'!$C$4:$C$66""),INDIRECT(""'""&amp;CY$1&amp;""'!$D$4:$D$66"")=CY$2),$G$3:$BQ$3,$G107:$BQ107)))"),0.3945824892857143)</f>
        <v>0.3945824893</v>
      </c>
      <c r="CZ107" s="207" t="str">
        <f>IFERROR(__xludf.DUMMYFUNCTION("IF(OR(CY107&gt;$BS107+$BT107*$BT$2,CY107&lt;$BS107-$BT107*$BT$2),AVEDEV(ARRAYFORMULA(XLOOKUP(FILTER(INDIRECT(""'""&amp;CY$1&amp;""'!$C$4:$C$66""),INDIRECT(""'""&amp;CY$1&amp;""'!$D$4:$D$66"")=CY$2),$G$3:$BQ$3,$G107:$BQ107))),"""")"),"")</f>
        <v/>
      </c>
      <c r="DA107" s="252"/>
      <c r="DB107" s="251">
        <f>IFERROR(__xludf.DUMMYFUNCTION("AVERAGE(ARRAYFORMULA(XLOOKUP(FILTER(INDIRECT(""'""&amp;DB$1&amp;""'!$C$4:$C$66""),INDIRECT(""'""&amp;DB$1&amp;""'!$D$4:$D$66"")=DB$2),$G$3:$BQ$3,$G107:$BQ107)))"),-0.11762779333333331)</f>
        <v>-0.1176277933</v>
      </c>
      <c r="DC107" s="207" t="str">
        <f>IFERROR(__xludf.DUMMYFUNCTION("IF(OR(DB107&gt;$BS107+$BT107*$BT$2,DB107&lt;$BS107-$BT107*$BT$2),AVEDEV(ARRAYFORMULA(XLOOKUP(FILTER(INDIRECT(""'""&amp;DB$1&amp;""'!$C$4:$C$66""),INDIRECT(""'""&amp;DB$1&amp;""'!$D$4:$D$66"")=DB$2),$G$3:$BQ$3,$G107:$BQ107))),"""")"),"")</f>
        <v/>
      </c>
      <c r="DD107" s="251">
        <f>IFERROR(__xludf.DUMMYFUNCTION("AVERAGE(ARRAYFORMULA(XLOOKUP(FILTER(INDIRECT(""'""&amp;DD$1&amp;""'!$C$4:$C$66""),INDIRECT(""'""&amp;DD$1&amp;""'!$D$4:$D$66"")=DD$2),$G$3:$BQ$3,$G107:$BQ107)))"),-0.22921460222222223)</f>
        <v>-0.2292146022</v>
      </c>
      <c r="DE107" s="207" t="str">
        <f>IFERROR(__xludf.DUMMYFUNCTION("IF(OR(DD107&gt;$BS107+$BT107*$BT$2,DD107&lt;$BS107-$BT107*$BT$2),AVEDEV(ARRAYFORMULA(XLOOKUP(FILTER(INDIRECT(""'""&amp;DD$1&amp;""'!$C$4:$C$66""),INDIRECT(""'""&amp;DD$1&amp;""'!$D$4:$D$66"")=DD$2),$G$3:$BQ$3,$G107:$BQ107))),"""")"),"")</f>
        <v/>
      </c>
      <c r="DF107" s="251">
        <f>IFERROR(__xludf.DUMMYFUNCTION("AVERAGE(ARRAYFORMULA(XLOOKUP(FILTER(INDIRECT(""'""&amp;DF$1&amp;""'!$C$4:$C$66""),INDIRECT(""'""&amp;DF$1&amp;""'!$D$4:$D$66"")=DF$2),$G$3:$BQ$3,$G107:$BQ107)))"),1.27997426625)</f>
        <v>1.279974266</v>
      </c>
      <c r="DG107" s="207">
        <f>IFERROR(__xludf.DUMMYFUNCTION("IF(OR(DF107&gt;$BS107+$BT107*$BT$2,DF107&lt;$BS107-$BT107*$BT$2),AVEDEV(ARRAYFORMULA(XLOOKUP(FILTER(INDIRECT(""'""&amp;DF$1&amp;""'!$C$4:$C$66""),INDIRECT(""'""&amp;DF$1&amp;""'!$D$4:$D$66"")=DF$2),$G$3:$BQ$3,$G107:$BQ107))),"""")"),0.8068195112500001)</f>
        <v>0.8068195113</v>
      </c>
      <c r="DH107" s="251">
        <f>IFERROR(__xludf.DUMMYFUNCTION("AVERAGE(ARRAYFORMULA(XLOOKUP(FILTER(INDIRECT(""'""&amp;DH$1&amp;""'!$C$4:$C$66""),INDIRECT(""'""&amp;DH$1&amp;""'!$D$4:$D$66"")=DH$2),$G$3:$BQ$3,$G107:$BQ107)))"),-0.07847571)</f>
        <v>-0.07847571</v>
      </c>
      <c r="DI107" s="207" t="str">
        <f>IFERROR(__xludf.DUMMYFUNCTION("IF(OR(DH107&gt;$BS107+$BT107*$BT$2,DH107&lt;$BS107-$BT107*$BT$2),AVEDEV(ARRAYFORMULA(XLOOKUP(FILTER(INDIRECT(""'""&amp;DH$1&amp;""'!$C$4:$C$66""),INDIRECT(""'""&amp;DH$1&amp;""'!$D$4:$D$66"")=DH$2),$G$3:$BQ$3,$G107:$BQ107))),"""")"),"")</f>
        <v/>
      </c>
      <c r="DJ107" s="243"/>
    </row>
    <row r="108">
      <c r="A108" s="2"/>
      <c r="B108" s="204">
        <v>104.0</v>
      </c>
      <c r="C108" s="204" t="s">
        <v>540</v>
      </c>
      <c r="D108" s="204" t="s">
        <v>550</v>
      </c>
      <c r="E108" s="205" t="b">
        <f>VLOOKUP(D108,'Feature Set List'!A105:C246,2,0)</f>
        <v>1</v>
      </c>
      <c r="F108" s="205" t="b">
        <f>VLOOKUP(D108,'Feature Set List'!A105:C246,3,0)</f>
        <v>1</v>
      </c>
      <c r="G108" s="205">
        <v>-0.6312906</v>
      </c>
      <c r="H108" s="205">
        <v>-0.4054383</v>
      </c>
      <c r="I108" s="205">
        <v>-0.3674919</v>
      </c>
      <c r="J108" s="205">
        <v>-0.7725244</v>
      </c>
      <c r="K108" s="205">
        <v>-0.9786932</v>
      </c>
      <c r="L108" s="205">
        <v>0.39853896</v>
      </c>
      <c r="M108" s="205">
        <v>0.50608766</v>
      </c>
      <c r="N108" s="205">
        <v>-0.3234578</v>
      </c>
      <c r="O108" s="205">
        <v>1.36038961</v>
      </c>
      <c r="P108" s="205">
        <v>0.74350649</v>
      </c>
      <c r="Q108" s="205">
        <v>-0.4748377</v>
      </c>
      <c r="R108" s="205">
        <v>3.82183442</v>
      </c>
      <c r="S108" s="205">
        <v>1.71144481</v>
      </c>
      <c r="T108" s="205">
        <v>-0.2810471</v>
      </c>
      <c r="U108" s="205">
        <v>0.53652597</v>
      </c>
      <c r="V108" s="205">
        <v>0.24837662</v>
      </c>
      <c r="W108" s="205">
        <v>1.14935065</v>
      </c>
      <c r="X108" s="205">
        <v>0.73944805</v>
      </c>
      <c r="Y108" s="205">
        <v>-0.382914</v>
      </c>
      <c r="Z108" s="205">
        <v>1.18790584</v>
      </c>
      <c r="AA108" s="205">
        <v>0.79220779</v>
      </c>
      <c r="AB108" s="205">
        <v>-0.4092938</v>
      </c>
      <c r="AC108" s="205">
        <v>-0.4389205</v>
      </c>
      <c r="AD108" s="205">
        <v>-0.174513</v>
      </c>
      <c r="AE108" s="205">
        <v>-0.4253247</v>
      </c>
      <c r="AF108" s="205">
        <v>-0.0710227</v>
      </c>
      <c r="AG108" s="205">
        <v>0.26258117</v>
      </c>
      <c r="AH108" s="205">
        <v>0.04261364</v>
      </c>
      <c r="AI108" s="205">
        <v>-0.5876623</v>
      </c>
      <c r="AJ108" s="205">
        <v>2.88027597</v>
      </c>
      <c r="AK108" s="205">
        <v>-0.8053977</v>
      </c>
      <c r="AL108" s="205">
        <v>-0.0730519</v>
      </c>
      <c r="AM108" s="205">
        <v>-0.1258117</v>
      </c>
      <c r="AN108" s="205">
        <v>0.71306818</v>
      </c>
      <c r="AO108" s="205">
        <v>1.30965909</v>
      </c>
      <c r="AP108" s="205">
        <v>-0.7364042</v>
      </c>
      <c r="AQ108" s="205">
        <v>1.11282468</v>
      </c>
      <c r="AR108" s="205">
        <v>0.91599026</v>
      </c>
      <c r="AS108" s="205">
        <v>-0.0198864</v>
      </c>
      <c r="AT108" s="205">
        <v>0.08116883</v>
      </c>
      <c r="AU108" s="205">
        <v>-0.0886769</v>
      </c>
      <c r="AV108" s="205">
        <v>1.08035714</v>
      </c>
      <c r="AW108" s="205">
        <v>0.12155032</v>
      </c>
      <c r="AX108" s="205">
        <v>0.21387987</v>
      </c>
      <c r="AY108" s="205">
        <v>3.68181818</v>
      </c>
      <c r="AZ108" s="205">
        <v>0.27678571</v>
      </c>
      <c r="BA108" s="205">
        <v>-0.2274756</v>
      </c>
      <c r="BB108" s="205">
        <v>-0.2100244</v>
      </c>
      <c r="BC108" s="205">
        <v>0.34983766</v>
      </c>
      <c r="BD108" s="205">
        <v>-1.3455763</v>
      </c>
      <c r="BE108" s="205">
        <v>0.27881494</v>
      </c>
      <c r="BF108" s="205">
        <v>-0.2175325</v>
      </c>
      <c r="BG108" s="205">
        <v>-0.1416396</v>
      </c>
      <c r="BH108" s="205">
        <v>-0.3666802</v>
      </c>
      <c r="BI108" s="205">
        <v>-0.0765016</v>
      </c>
      <c r="BJ108" s="205">
        <v>0.10125812</v>
      </c>
      <c r="BK108" s="205">
        <v>0.14285714</v>
      </c>
      <c r="BL108" s="205">
        <v>0.19135552</v>
      </c>
      <c r="BM108" s="205">
        <v>-0.7368101</v>
      </c>
      <c r="BN108" s="205">
        <v>-0.9013799</v>
      </c>
      <c r="BO108" s="205">
        <v>0.0</v>
      </c>
      <c r="BP108" s="205">
        <v>-0.9969562</v>
      </c>
      <c r="BQ108" s="205">
        <v>0.74350649</v>
      </c>
      <c r="BR108" s="206"/>
      <c r="BS108" s="250">
        <f t="shared" si="1"/>
        <v>0.220660041</v>
      </c>
      <c r="BT108" s="250">
        <f t="shared" si="2"/>
        <v>0.6827077891</v>
      </c>
      <c r="BU108" s="206"/>
      <c r="BV108" s="207">
        <f>IFERROR(__xludf.DUMMYFUNCTION("AVERAGE(ARRAYFORMULA(XLOOKUP(FILTER(INDIRECT(""'""&amp;BV$1&amp;""'!$C$4:$C$66""),INDIRECT(""'""&amp;BV$1&amp;""'!$D$4:$D$66"")=BV$2),$G$3:$BQ$3,$G108:$BQ108)))"),0.9325139071428572)</f>
        <v>0.9325139071</v>
      </c>
      <c r="BW108" s="207">
        <f>IFERROR(__xludf.DUMMYFUNCTION("IF(OR(BV108&gt;$BS108+$BT108*$BT$2,BV108&lt;$BS108-$BT108*$BT$2),AVEDEV(ARRAYFORMULA(XLOOKUP(FILTER(INDIRECT(""'""&amp;BV$1&amp;""'!$C$4:$C$66""),INDIRECT(""'""&amp;BV$1&amp;""'!$D$4:$D$66"")=BV$2),$G$3:$BQ$3,$G108:$BQ108))),"""")"),0.8932712730612246)</f>
        <v>0.8932712731</v>
      </c>
      <c r="BX108" s="207">
        <f>IFERROR(__xludf.DUMMYFUNCTION("AVERAGE(ARRAYFORMULA(XLOOKUP(FILTER(INDIRECT(""'""&amp;BX$1&amp;""'!$C$4:$C$66""),INDIRECT(""'""&amp;BX$1&amp;""'!$D$4:$D$66"")=BX$2),$G$3:$BQ$3,$G108:$BQ108)))"),0.20076240380952376)</f>
        <v>0.2007624038</v>
      </c>
      <c r="BY108" s="207" t="str">
        <f>IFERROR(__xludf.DUMMYFUNCTION("IF(OR(BX108&gt;$BS108+$BT108*$BT$2,BX108&lt;$BS108-$BT108*$BT$2),AVEDEV(ARRAYFORMULA(XLOOKUP(FILTER(INDIRECT(""'""&amp;BX$1&amp;""'!$C$4:$C$66""),INDIRECT(""'""&amp;BX$1&amp;""'!$D$4:$D$66"")=BX$2),$G$3:$BQ$3,$G108:$BQ108))),"""")"),"")</f>
        <v/>
      </c>
      <c r="BZ108" s="207">
        <f>IFERROR(__xludf.DUMMYFUNCTION("AVERAGE(ARRAYFORMULA(XLOOKUP(FILTER(INDIRECT(""'""&amp;BZ$1&amp;""'!$C$4:$C$66""),INDIRECT(""'""&amp;BZ$1&amp;""'!$D$4:$D$66"")=BZ$2),$G$3:$BQ$3,$G108:$BQ108)))"),0.06760994272727272)</f>
        <v>0.06760994273</v>
      </c>
      <c r="CA108" s="207" t="str">
        <f>IFERROR(__xludf.DUMMYFUNCTION("IF(OR(BZ108&gt;$BS108+$BT108*$BT$2,BZ108&lt;$BS108-$BT108*$BT$2),AVEDEV(ARRAYFORMULA(XLOOKUP(FILTER(INDIRECT(""'""&amp;BZ$1&amp;""'!$C$4:$C$66""),INDIRECT(""'""&amp;BZ$1&amp;""'!$D$4:$D$66"")=BZ$2),$G$3:$BQ$3,$G108:$BQ108))),"""")"),"")</f>
        <v/>
      </c>
      <c r="CB108" s="209"/>
      <c r="CC108" s="207">
        <f>IFERROR(__xludf.DUMMYFUNCTION("AVERAGE(ARRAYFORMULA(XLOOKUP(FILTER(INDIRECT(""'""&amp;CC$1&amp;""'!$C$4:$C$66""),INDIRECT(""'""&amp;CC$1&amp;""'!$D$4:$D$66"")=CC$2),$G$3:$BQ$3,$G108:$BQ108)))"),-0.193714494375)</f>
        <v>-0.1937144944</v>
      </c>
      <c r="CD108" s="207" t="str">
        <f>IFERROR(__xludf.DUMMYFUNCTION("IF(OR(CC108&gt;$BS108+$BT108*$BT$2,CC108&lt;$BS108-$BT108*$BT$2),AVEDEV(ARRAYFORMULA(XLOOKUP(FILTER(INDIRECT(""'""&amp;CC$1&amp;""'!$C$4:$C$66""),INDIRECT(""'""&amp;CC$1&amp;""'!$D$4:$D$66"")=CC$2),$G$3:$BQ$3,$G108:$BQ108))),"""")"),"")</f>
        <v/>
      </c>
      <c r="CE108" s="207">
        <f>IFERROR(__xludf.DUMMYFUNCTION("AVERAGE(ARRAYFORMULA(XLOOKUP(FILTER(INDIRECT(""'""&amp;CE$1&amp;""'!$C$4:$C$66""),INDIRECT(""'""&amp;CE$1&amp;""'!$D$4:$D$66"")=CE$2),$G$3:$BQ$3,$G108:$BQ108)))"),0.5395828938709678)</f>
        <v>0.5395828939</v>
      </c>
      <c r="CF108" s="207" t="str">
        <f>IFERROR(__xludf.DUMMYFUNCTION("IF(OR(CE108&gt;$BS108+$BT108*$BT$2,CE108&lt;$BS108-$BT108*$BT$2),AVEDEV(ARRAYFORMULA(XLOOKUP(FILTER(INDIRECT(""'""&amp;CE$1&amp;""'!$C$4:$C$66""),INDIRECT(""'""&amp;CE$1&amp;""'!$D$4:$D$66"")=CE$2),$G$3:$BQ$3,$G108:$BQ108))),"""")"),"")</f>
        <v/>
      </c>
      <c r="CG108" s="207">
        <f>IFERROR(__xludf.DUMMYFUNCTION("AVERAGE(ARRAYFORMULA(XLOOKUP(FILTER(INDIRECT(""'""&amp;CG$1&amp;""'!$C$4:$C$66""),INDIRECT(""'""&amp;CG$1&amp;""'!$D$4:$D$66"")=CG$2),$G$3:$BQ$3,$G108:$BQ108)))"),0.01469155800000001)</f>
        <v>0.014691558</v>
      </c>
      <c r="CH108" s="207" t="str">
        <f>IFERROR(__xludf.DUMMYFUNCTION("IF(OR(CG108&gt;$BS108+$BT108*$BT$2,CG108&lt;$BS108-$BT108*$BT$2),AVEDEV(ARRAYFORMULA(XLOOKUP(FILTER(INDIRECT(""'""&amp;CG$1&amp;""'!$C$4:$C$66""),INDIRECT(""'""&amp;CG$1&amp;""'!$D$4:$D$66"")=CG$2),$G$3:$BQ$3,$G108:$BQ108))),"""")"),"")</f>
        <v/>
      </c>
      <c r="CI108" s="206"/>
      <c r="CJ108" s="251">
        <f>IFERROR(__xludf.DUMMYFUNCTION("AVERAGE(ARRAYFORMULA(XLOOKUP(FILTER(INDIRECT(""'""&amp;CJ$1&amp;""'!$C$4:$C$66""),INDIRECT(""'""&amp;CJ$1&amp;""'!$D$4:$D$66"")=CJ$2),$G$3:$BQ$3,$G108:$BQ108)))"),-0.07248377866666668)</f>
        <v>-0.07248377867</v>
      </c>
      <c r="CK108" s="207" t="str">
        <f>IFERROR(__xludf.DUMMYFUNCTION("IF(OR(CJ108&gt;$BS108+$BT108*$BT$2,CJ108&lt;$BS108-$BT108*$BT$2),AVEDEV(ARRAYFORMULA(XLOOKUP(FILTER(INDIRECT(""'""&amp;CJ$1&amp;""'!$C$4:$C$66""),INDIRECT(""'""&amp;CJ$1&amp;""'!$D$4:$D$66"")=CJ$2),$G$3:$BQ$3,$G108:$BQ108))),"""")"),"")</f>
        <v/>
      </c>
      <c r="CL108" s="251">
        <f>IFERROR(__xludf.DUMMYFUNCTION("AVERAGE(ARRAYFORMULA(XLOOKUP(FILTER(INDIRECT(""'""&amp;CL$1&amp;""'!$C$4:$C$66""),INDIRECT(""'""&amp;CL$1&amp;""'!$D$4:$D$66"")=CL$2),$G$3:$BQ$3,$G108:$BQ108)))"),0.4237377192307693)</f>
        <v>0.4237377192</v>
      </c>
      <c r="CM108" s="207" t="str">
        <f>IFERROR(__xludf.DUMMYFUNCTION("IF(OR(CL108&gt;$BS108+$BT108*$BT$2,CL108&lt;$BS108-$BT108*$BT$2),AVEDEV(ARRAYFORMULA(XLOOKUP(FILTER(INDIRECT(""'""&amp;CL$1&amp;""'!$C$4:$C$66""),INDIRECT(""'""&amp;CL$1&amp;""'!$D$4:$D$66"")=CL$2),$G$3:$BQ$3,$G108:$BQ108))),"""")"),"")</f>
        <v/>
      </c>
      <c r="CN108" s="251">
        <f>IFERROR(__xludf.DUMMYFUNCTION("AVERAGE(ARRAYFORMULA(XLOOKUP(FILTER(INDIRECT(""'""&amp;CN$1&amp;""'!$C$4:$C$66""),INDIRECT(""'""&amp;CN$1&amp;""'!$D$4:$D$66"")=CN$2),$G$3:$BQ$3,$G108:$BQ108)))"),0.01469155800000001)</f>
        <v>0.014691558</v>
      </c>
      <c r="CO108" s="207" t="str">
        <f>IFERROR(__xludf.DUMMYFUNCTION("IF(OR(CN108&gt;$BS108+$BT108*$BT$2,CN108&lt;$BS108-$BT108*$BT$2),AVEDEV(ARRAYFORMULA(XLOOKUP(FILTER(INDIRECT(""'""&amp;CN$1&amp;""'!$C$4:$C$66""),INDIRECT(""'""&amp;CN$1&amp;""'!$D$4:$D$66"")=CN$2),$G$3:$BQ$3,$G108:$BQ108))),"""")"),"")</f>
        <v/>
      </c>
      <c r="CP108" s="252"/>
      <c r="CQ108" s="251">
        <f>IFERROR(__xludf.DUMMYFUNCTION("AVERAGE(ARRAYFORMULA(XLOOKUP(FILTER(INDIRECT(""'""&amp;CQ$1&amp;""'!$C$4:$C$66""),INDIRECT(""'""&amp;CQ$1&amp;""'!$D$4:$D$66"")=CQ$2),$G$3:$BQ$3,$G108:$BQ108)))"),-0.17561456214285712)</f>
        <v>-0.1756145621</v>
      </c>
      <c r="CR108" s="207" t="str">
        <f>IFERROR(__xludf.DUMMYFUNCTION("IF(OR(CQ108&gt;$BS108+$BT108*$BT$2,CQ108&lt;$BS108-$BT108*$BT$2),AVEDEV(ARRAYFORMULA(XLOOKUP(FILTER(INDIRECT(""'""&amp;CQ$1&amp;""'!$C$4:$C$66""),INDIRECT(""'""&amp;CQ$1&amp;""'!$D$4:$D$66"")=CQ$2),$G$3:$BQ$3,$G108:$BQ108))),"""")"),"")</f>
        <v/>
      </c>
      <c r="CS108" s="251">
        <f>IFERROR(__xludf.DUMMYFUNCTION("AVERAGE(ARRAYFORMULA(XLOOKUP(FILTER(INDIRECT(""'""&amp;CS$1&amp;""'!$C$4:$C$66""),INDIRECT(""'""&amp;CS$1&amp;""'!$D$4:$D$66"")=CS$2),$G$3:$BQ$3,$G108:$BQ108)))"),0.13374819555555556)</f>
        <v>0.1337481956</v>
      </c>
      <c r="CT108" s="207" t="str">
        <f>IFERROR(__xludf.DUMMYFUNCTION("IF(OR(CS108&gt;$BS108+$BT108*$BT$2,CS108&lt;$BS108-$BT108*$BT$2),AVEDEV(ARRAYFORMULA(XLOOKUP(FILTER(INDIRECT(""'""&amp;CS$1&amp;""'!$C$4:$C$66""),INDIRECT(""'""&amp;CS$1&amp;""'!$D$4:$D$66"")=CS$2),$G$3:$BQ$3,$G108:$BQ108))),"""")"),"")</f>
        <v/>
      </c>
      <c r="CU108" s="251">
        <f>IFERROR(__xludf.DUMMYFUNCTION("AVERAGE(ARRAYFORMULA(XLOOKUP(FILTER(INDIRECT(""'""&amp;CU$1&amp;""'!$C$4:$C$66""),INDIRECT(""'""&amp;CU$1&amp;""'!$D$4:$D$66"")=CU$2),$G$3:$BQ$3,$G108:$BQ108)))"),0.2608102109090909)</f>
        <v>0.2608102109</v>
      </c>
      <c r="CV108" s="207" t="str">
        <f>IFERROR(__xludf.DUMMYFUNCTION("IF(OR(CU108&gt;$BS108+$BT108*$BT$2,CU108&lt;$BS108-$BT108*$BT$2),AVEDEV(ARRAYFORMULA(XLOOKUP(FILTER(INDIRECT(""'""&amp;CU$1&amp;""'!$C$4:$C$66""),INDIRECT(""'""&amp;CU$1&amp;""'!$D$4:$D$66"")=CU$2),$G$3:$BQ$3,$G108:$BQ108))),"""")"),"")</f>
        <v/>
      </c>
      <c r="CW108" s="251">
        <f>IFERROR(__xludf.DUMMYFUNCTION("AVERAGE(ARRAYFORMULA(XLOOKUP(FILTER(INDIRECT(""'""&amp;CW$1&amp;""'!$C$4:$C$66""),INDIRECT(""'""&amp;CW$1&amp;""'!$D$4:$D$66"")=CW$2),$G$3:$BQ$3,$G108:$BQ108)))"),-0.2705966)</f>
        <v>-0.2705966</v>
      </c>
      <c r="CX108" s="207" t="str">
        <f>IFERROR(__xludf.DUMMYFUNCTION("IF(OR(CW108&gt;$BS108+$BT108*$BT$2,CW108&lt;$BS108-$BT108*$BT$2),AVEDEV(ARRAYFORMULA(XLOOKUP(FILTER(INDIRECT(""'""&amp;CW$1&amp;""'!$C$4:$C$66""),INDIRECT(""'""&amp;CW$1&amp;""'!$D$4:$D$66"")=CW$2),$G$3:$BQ$3,$G108:$BQ108))),"""")"),"")</f>
        <v/>
      </c>
      <c r="CY108" s="251">
        <f>IFERROR(__xludf.DUMMYFUNCTION("AVERAGE(ARRAYFORMULA(XLOOKUP(FILTER(INDIRECT(""'""&amp;CY$1&amp;""'!$C$4:$C$66""),INDIRECT(""'""&amp;CY$1&amp;""'!$D$4:$D$66"")=CY$2),$G$3:$BQ$3,$G108:$BQ108)))"),0.7027336442857142)</f>
        <v>0.7027336443</v>
      </c>
      <c r="CZ108" s="207" t="str">
        <f>IFERROR(__xludf.DUMMYFUNCTION("IF(OR(CY108&gt;$BS108+$BT108*$BT$2,CY108&lt;$BS108-$BT108*$BT$2),AVEDEV(ARRAYFORMULA(XLOOKUP(FILTER(INDIRECT(""'""&amp;CY$1&amp;""'!$C$4:$C$66""),INDIRECT(""'""&amp;CY$1&amp;""'!$D$4:$D$66"")=CY$2),$G$3:$BQ$3,$G108:$BQ108))),"""")"),"")</f>
        <v/>
      </c>
      <c r="DA108" s="252"/>
      <c r="DB108" s="251">
        <f>IFERROR(__xludf.DUMMYFUNCTION("AVERAGE(ARRAYFORMULA(XLOOKUP(FILTER(INDIRECT(""'""&amp;DB$1&amp;""'!$C$4:$C$66""),INDIRECT(""'""&amp;DB$1&amp;""'!$D$4:$D$66"")=DB$2),$G$3:$BQ$3,$G108:$BQ108)))"),-0.08649892066666666)</f>
        <v>-0.08649892067</v>
      </c>
      <c r="DC108" s="207" t="str">
        <f>IFERROR(__xludf.DUMMYFUNCTION("IF(OR(DB108&gt;$BS108+$BT108*$BT$2,DB108&lt;$BS108-$BT108*$BT$2),AVEDEV(ARRAYFORMULA(XLOOKUP(FILTER(INDIRECT(""'""&amp;DB$1&amp;""'!$C$4:$C$66""),INDIRECT(""'""&amp;DB$1&amp;""'!$D$4:$D$66"")=DB$2),$G$3:$BQ$3,$G108:$BQ108))),"""")"),"")</f>
        <v/>
      </c>
      <c r="DD108" s="251">
        <f>IFERROR(__xludf.DUMMYFUNCTION("AVERAGE(ARRAYFORMULA(XLOOKUP(FILTER(INDIRECT(""'""&amp;DD$1&amp;""'!$C$4:$C$66""),INDIRECT(""'""&amp;DD$1&amp;""'!$D$4:$D$66"")=DD$2),$G$3:$BQ$3,$G108:$BQ108)))"),0.22235750000000007)</f>
        <v>0.2223575</v>
      </c>
      <c r="DE108" s="207" t="str">
        <f>IFERROR(__xludf.DUMMYFUNCTION("IF(OR(DD108&gt;$BS108+$BT108*$BT$2,DD108&lt;$BS108-$BT108*$BT$2),AVEDEV(ARRAYFORMULA(XLOOKUP(FILTER(INDIRECT(""'""&amp;DD$1&amp;""'!$C$4:$C$66""),INDIRECT(""'""&amp;DD$1&amp;""'!$D$4:$D$66"")=DD$2),$G$3:$BQ$3,$G108:$BQ108))),"""")"),"")</f>
        <v/>
      </c>
      <c r="DF108" s="251">
        <f>IFERROR(__xludf.DUMMYFUNCTION("AVERAGE(ARRAYFORMULA(XLOOKUP(FILTER(INDIRECT(""'""&amp;DF$1&amp;""'!$C$4:$C$66""),INDIRECT(""'""&amp;DF$1&amp;""'!$D$4:$D$66"")=DF$2),$G$3:$BQ$3,$G108:$BQ108)))"),1.8826603075000001)</f>
        <v>1.882660308</v>
      </c>
      <c r="DG108" s="207">
        <f>IFERROR(__xludf.DUMMYFUNCTION("IF(OR(DF108&gt;$BS108+$BT108*$BT$2,DF108&lt;$BS108-$BT108*$BT$2),AVEDEV(ARRAYFORMULA(XLOOKUP(FILTER(INDIRECT(""'""&amp;DF$1&amp;""'!$C$4:$C$66""),INDIRECT(""'""&amp;DF$1&amp;""'!$D$4:$D$66"")=DF$2),$G$3:$BQ$3,$G108:$BQ108))),"""")"),1.183986911875)</f>
        <v>1.183986912</v>
      </c>
      <c r="DH108" s="251">
        <f>IFERROR(__xludf.DUMMYFUNCTION("AVERAGE(ARRAYFORMULA(XLOOKUP(FILTER(INDIRECT(""'""&amp;DH$1&amp;""'!$C$4:$C$66""),INDIRECT(""'""&amp;DH$1&amp;""'!$D$4:$D$66"")=DH$2),$G$3:$BQ$3,$G108:$BQ108)))"),-0.21340639777777778)</f>
        <v>-0.2134063978</v>
      </c>
      <c r="DI108" s="207" t="str">
        <f>IFERROR(__xludf.DUMMYFUNCTION("IF(OR(DH108&gt;$BS108+$BT108*$BT$2,DH108&lt;$BS108-$BT108*$BT$2),AVEDEV(ARRAYFORMULA(XLOOKUP(FILTER(INDIRECT(""'""&amp;DH$1&amp;""'!$C$4:$C$66""),INDIRECT(""'""&amp;DH$1&amp;""'!$D$4:$D$66"")=DH$2),$G$3:$BQ$3,$G108:$BQ108))),"""")"),"")</f>
        <v/>
      </c>
      <c r="DJ108" s="243"/>
    </row>
    <row r="109">
      <c r="A109" s="2"/>
      <c r="B109" s="204">
        <v>105.0</v>
      </c>
      <c r="C109" s="204" t="s">
        <v>540</v>
      </c>
      <c r="D109" s="204" t="s">
        <v>551</v>
      </c>
      <c r="E109" s="205" t="b">
        <f>VLOOKUP(D109,'Feature Set List'!A106:C246,2,0)</f>
        <v>1</v>
      </c>
      <c r="F109" s="205" t="b">
        <f>VLOOKUP(D109,'Feature Set List'!A106:C246,3,0)</f>
        <v>1</v>
      </c>
      <c r="G109" s="205">
        <v>0.0</v>
      </c>
      <c r="H109" s="205">
        <v>0.0</v>
      </c>
      <c r="I109" s="205">
        <v>0.0</v>
      </c>
      <c r="J109" s="205">
        <v>0.0</v>
      </c>
      <c r="K109" s="205">
        <v>-1.0</v>
      </c>
      <c r="L109" s="205">
        <v>0.0</v>
      </c>
      <c r="M109" s="205">
        <v>-2.0</v>
      </c>
      <c r="N109" s="205">
        <v>0.0</v>
      </c>
      <c r="O109" s="205">
        <v>-1.0</v>
      </c>
      <c r="P109" s="205">
        <v>0.0</v>
      </c>
      <c r="Q109" s="205">
        <v>-1.0</v>
      </c>
      <c r="R109" s="205">
        <v>-1.0</v>
      </c>
      <c r="S109" s="205">
        <v>0.0</v>
      </c>
      <c r="T109" s="205">
        <v>0.0</v>
      </c>
      <c r="U109" s="205">
        <v>-4.0</v>
      </c>
      <c r="V109" s="205">
        <v>0.0</v>
      </c>
      <c r="W109" s="205">
        <v>0.0</v>
      </c>
      <c r="X109" s="205">
        <v>0.0</v>
      </c>
      <c r="Y109" s="205">
        <v>0.0</v>
      </c>
      <c r="Z109" s="205">
        <v>0.0</v>
      </c>
      <c r="AA109" s="205">
        <v>0.0</v>
      </c>
      <c r="AB109" s="205">
        <v>0.0</v>
      </c>
      <c r="AC109" s="205">
        <v>0.0</v>
      </c>
      <c r="AD109" s="205">
        <v>0.0</v>
      </c>
      <c r="AE109" s="205">
        <v>0.0</v>
      </c>
      <c r="AF109" s="205">
        <v>0.0</v>
      </c>
      <c r="AG109" s="205">
        <v>0.0</v>
      </c>
      <c r="AH109" s="205">
        <v>0.0</v>
      </c>
      <c r="AI109" s="205">
        <v>0.0</v>
      </c>
      <c r="AJ109" s="205">
        <v>0.0</v>
      </c>
      <c r="AK109" s="205">
        <v>0.0</v>
      </c>
      <c r="AL109" s="205">
        <v>0.0</v>
      </c>
      <c r="AM109" s="205">
        <v>0.0</v>
      </c>
      <c r="AN109" s="205">
        <v>0.0</v>
      </c>
      <c r="AO109" s="205">
        <v>-3.0</v>
      </c>
      <c r="AP109" s="205">
        <v>0.0</v>
      </c>
      <c r="AQ109" s="205">
        <v>0.0</v>
      </c>
      <c r="AR109" s="205">
        <v>-1.0</v>
      </c>
      <c r="AS109" s="205">
        <v>0.0</v>
      </c>
      <c r="AT109" s="205">
        <v>-1.0</v>
      </c>
      <c r="AU109" s="205">
        <v>-1.0</v>
      </c>
      <c r="AV109" s="205">
        <v>0.0</v>
      </c>
      <c r="AW109" s="205">
        <v>0.0</v>
      </c>
      <c r="AX109" s="205">
        <v>-1.0</v>
      </c>
      <c r="AY109" s="205">
        <v>-3.0</v>
      </c>
      <c r="AZ109" s="205">
        <v>0.0</v>
      </c>
      <c r="BA109" s="205">
        <v>0.0</v>
      </c>
      <c r="BB109" s="205">
        <v>0.0</v>
      </c>
      <c r="BC109" s="205">
        <v>0.0</v>
      </c>
      <c r="BD109" s="205">
        <v>0.0</v>
      </c>
      <c r="BE109" s="205">
        <v>0.0</v>
      </c>
      <c r="BF109" s="205">
        <v>0.0</v>
      </c>
      <c r="BG109" s="205">
        <v>0.0</v>
      </c>
      <c r="BH109" s="205">
        <v>0.0</v>
      </c>
      <c r="BI109" s="205">
        <v>0.0</v>
      </c>
      <c r="BJ109" s="205">
        <v>0.0</v>
      </c>
      <c r="BK109" s="205">
        <v>-1.0</v>
      </c>
      <c r="BL109" s="205">
        <v>0.0</v>
      </c>
      <c r="BM109" s="205">
        <v>0.0</v>
      </c>
      <c r="BN109" s="205">
        <v>0.0</v>
      </c>
      <c r="BO109" s="205">
        <v>0.0</v>
      </c>
      <c r="BP109" s="205">
        <v>0.0</v>
      </c>
      <c r="BQ109" s="205">
        <v>0.0</v>
      </c>
      <c r="BR109" s="206"/>
      <c r="BS109" s="250">
        <f t="shared" si="1"/>
        <v>-0.3333333333</v>
      </c>
      <c r="BT109" s="250">
        <f t="shared" si="2"/>
        <v>0.5291005291</v>
      </c>
      <c r="BU109" s="206"/>
      <c r="BV109" s="207">
        <f>IFERROR(__xludf.DUMMYFUNCTION("AVERAGE(ARRAYFORMULA(XLOOKUP(FILTER(INDIRECT(""'""&amp;BV$1&amp;""'!$C$4:$C$66""),INDIRECT(""'""&amp;BV$1&amp;""'!$D$4:$D$66"")=BV$2),$G$3:$BQ$3,$G109:$BQ109)))"),-1.4285714285714286)</f>
        <v>-1.428571429</v>
      </c>
      <c r="BW109" s="207">
        <f>IFERROR(__xludf.DUMMYFUNCTION("IF(OR(BV109&gt;$BS109+$BT109*$BT$2,BV109&lt;$BS109-$BT109*$BT$2),AVEDEV(ARRAYFORMULA(XLOOKUP(FILTER(INDIRECT(""'""&amp;BV$1&amp;""'!$C$4:$C$66""),INDIRECT(""'""&amp;BV$1&amp;""'!$D$4:$D$66"")=BV$2),$G$3:$BQ$3,$G109:$BQ109))),"""")"),1.6326530612244898)</f>
        <v>1.632653061</v>
      </c>
      <c r="BX109" s="207">
        <f>IFERROR(__xludf.DUMMYFUNCTION("AVERAGE(ARRAYFORMULA(XLOOKUP(FILTER(INDIRECT(""'""&amp;BX$1&amp;""'!$C$4:$C$66""),INDIRECT(""'""&amp;BX$1&amp;""'!$D$4:$D$66"")=BX$2),$G$3:$BQ$3,$G109:$BQ109)))"),-0.19047619047619047)</f>
        <v>-0.1904761905</v>
      </c>
      <c r="BY109" s="207" t="str">
        <f>IFERROR(__xludf.DUMMYFUNCTION("IF(OR(BX109&gt;$BS109+$BT109*$BT$2,BX109&lt;$BS109-$BT109*$BT$2),AVEDEV(ARRAYFORMULA(XLOOKUP(FILTER(INDIRECT(""'""&amp;BX$1&amp;""'!$C$4:$C$66""),INDIRECT(""'""&amp;BX$1&amp;""'!$D$4:$D$66"")=BX$2),$G$3:$BQ$3,$G109:$BQ109))),"""")"),"")</f>
        <v/>
      </c>
      <c r="BZ109" s="207">
        <f>IFERROR(__xludf.DUMMYFUNCTION("AVERAGE(ARRAYFORMULA(XLOOKUP(FILTER(INDIRECT(""'""&amp;BZ$1&amp;""'!$C$4:$C$66""),INDIRECT(""'""&amp;BZ$1&amp;""'!$D$4:$D$66"")=BZ$2),$G$3:$BQ$3,$G109:$BQ109)))"),-0.18181818181818182)</f>
        <v>-0.1818181818</v>
      </c>
      <c r="CA109" s="207" t="str">
        <f>IFERROR(__xludf.DUMMYFUNCTION("IF(OR(BZ109&gt;$BS109+$BT109*$BT$2,BZ109&lt;$BS109-$BT109*$BT$2),AVEDEV(ARRAYFORMULA(XLOOKUP(FILTER(INDIRECT(""'""&amp;BZ$1&amp;""'!$C$4:$C$66""),INDIRECT(""'""&amp;BZ$1&amp;""'!$D$4:$D$66"")=BZ$2),$G$3:$BQ$3,$G109:$BQ109))),"""")"),"")</f>
        <v/>
      </c>
      <c r="CB109" s="209"/>
      <c r="CC109" s="207">
        <f>IFERROR(__xludf.DUMMYFUNCTION("AVERAGE(ARRAYFORMULA(XLOOKUP(FILTER(INDIRECT(""'""&amp;CC$1&amp;""'!$C$4:$C$66""),INDIRECT(""'""&amp;CC$1&amp;""'!$D$4:$D$66"")=CC$2),$G$3:$BQ$3,$G109:$BQ109)))"),-0.375)</f>
        <v>-0.375</v>
      </c>
      <c r="CD109" s="207" t="str">
        <f>IFERROR(__xludf.DUMMYFUNCTION("IF(OR(CC109&gt;$BS109+$BT109*$BT$2,CC109&lt;$BS109-$BT109*$BT$2),AVEDEV(ARRAYFORMULA(XLOOKUP(FILTER(INDIRECT(""'""&amp;CC$1&amp;""'!$C$4:$C$66""),INDIRECT(""'""&amp;CC$1&amp;""'!$D$4:$D$66"")=CC$2),$G$3:$BQ$3,$G109:$BQ109))),"""")"),"")</f>
        <v/>
      </c>
      <c r="CE109" s="207">
        <f>IFERROR(__xludf.DUMMYFUNCTION("AVERAGE(ARRAYFORMULA(XLOOKUP(FILTER(INDIRECT(""'""&amp;CE$1&amp;""'!$C$4:$C$66""),INDIRECT(""'""&amp;CE$1&amp;""'!$D$4:$D$66"")=CE$2),$G$3:$BQ$3,$G109:$BQ109)))"),-0.2903225806451613)</f>
        <v>-0.2903225806</v>
      </c>
      <c r="CF109" s="207" t="str">
        <f>IFERROR(__xludf.DUMMYFUNCTION("IF(OR(CE109&gt;$BS109+$BT109*$BT$2,CE109&lt;$BS109-$BT109*$BT$2),AVEDEV(ARRAYFORMULA(XLOOKUP(FILTER(INDIRECT(""'""&amp;CE$1&amp;""'!$C$4:$C$66""),INDIRECT(""'""&amp;CE$1&amp;""'!$D$4:$D$66"")=CE$2),$G$3:$BQ$3,$G109:$BQ109))),"""")"),"")</f>
        <v/>
      </c>
      <c r="CG109" s="207">
        <f>IFERROR(__xludf.DUMMYFUNCTION("AVERAGE(ARRAYFORMULA(XLOOKUP(FILTER(INDIRECT(""'""&amp;CG$1&amp;""'!$C$4:$C$66""),INDIRECT(""'""&amp;CG$1&amp;""'!$D$4:$D$66"")=CG$2),$G$3:$BQ$3,$G109:$BQ109)))"),0.0)</f>
        <v>0</v>
      </c>
      <c r="CH109" s="207" t="str">
        <f>IFERROR(__xludf.DUMMYFUNCTION("IF(OR(CG109&gt;$BS109+$BT109*$BT$2,CG109&lt;$BS109-$BT109*$BT$2),AVEDEV(ARRAYFORMULA(XLOOKUP(FILTER(INDIRECT(""'""&amp;CG$1&amp;""'!$C$4:$C$66""),INDIRECT(""'""&amp;CG$1&amp;""'!$D$4:$D$66"")=CG$2),$G$3:$BQ$3,$G109:$BQ109))),"""")"),"")</f>
        <v/>
      </c>
      <c r="CI109" s="206"/>
      <c r="CJ109" s="251">
        <f>IFERROR(__xludf.DUMMYFUNCTION("AVERAGE(ARRAYFORMULA(XLOOKUP(FILTER(INDIRECT(""'""&amp;CJ$1&amp;""'!$C$4:$C$66""),INDIRECT(""'""&amp;CJ$1&amp;""'!$D$4:$D$66"")=CJ$2),$G$3:$BQ$3,$G109:$BQ109)))"),-0.3333333333333333)</f>
        <v>-0.3333333333</v>
      </c>
      <c r="CK109" s="207" t="str">
        <f>IFERROR(__xludf.DUMMYFUNCTION("IF(OR(CJ109&gt;$BS109+$BT109*$BT$2,CJ109&lt;$BS109-$BT109*$BT$2),AVEDEV(ARRAYFORMULA(XLOOKUP(FILTER(INDIRECT(""'""&amp;CJ$1&amp;""'!$C$4:$C$66""),INDIRECT(""'""&amp;CJ$1&amp;""'!$D$4:$D$66"")=CJ$2),$G$3:$BQ$3,$G109:$BQ109))),"""")"),"")</f>
        <v/>
      </c>
      <c r="CL109" s="251">
        <f>IFERROR(__xludf.DUMMYFUNCTION("AVERAGE(ARRAYFORMULA(XLOOKUP(FILTER(INDIRECT(""'""&amp;CL$1&amp;""'!$C$4:$C$66""),INDIRECT(""'""&amp;CL$1&amp;""'!$D$4:$D$66"")=CL$2),$G$3:$BQ$3,$G109:$BQ109)))"),-0.38461538461538464)</f>
        <v>-0.3846153846</v>
      </c>
      <c r="CM109" s="207" t="str">
        <f>IFERROR(__xludf.DUMMYFUNCTION("IF(OR(CL109&gt;$BS109+$BT109*$BT$2,CL109&lt;$BS109-$BT109*$BT$2),AVEDEV(ARRAYFORMULA(XLOOKUP(FILTER(INDIRECT(""'""&amp;CL$1&amp;""'!$C$4:$C$66""),INDIRECT(""'""&amp;CL$1&amp;""'!$D$4:$D$66"")=CL$2),$G$3:$BQ$3,$G109:$BQ109))),"""")"),"")</f>
        <v/>
      </c>
      <c r="CN109" s="254">
        <f>IFERROR(__xludf.DUMMYFUNCTION("AVERAGE(ARRAYFORMULA(XLOOKUP(FILTER(INDIRECT(""'""&amp;CN$1&amp;""'!$C$4:$C$66""),INDIRECT(""'""&amp;CN$1&amp;""'!$D$4:$D$66"")=CN$2),$G$3:$BQ$3,$G109:$BQ109)))"),0.0)</f>
        <v>0</v>
      </c>
      <c r="CO109" s="207" t="str">
        <f>IFERROR(__xludf.DUMMYFUNCTION("IF(OR(CN109&gt;$BS109+$BT109*$BT$2,CN109&lt;$BS109-$BT109*$BT$2),AVEDEV(ARRAYFORMULA(XLOOKUP(FILTER(INDIRECT(""'""&amp;CN$1&amp;""'!$C$4:$C$66""),INDIRECT(""'""&amp;CN$1&amp;""'!$D$4:$D$66"")=CN$2),$G$3:$BQ$3,$G109:$BQ109))),"""")"),"")</f>
        <v/>
      </c>
      <c r="CP109" s="252"/>
      <c r="CQ109" s="251">
        <f>IFERROR(__xludf.DUMMYFUNCTION("AVERAGE(ARRAYFORMULA(XLOOKUP(FILTER(INDIRECT(""'""&amp;CQ$1&amp;""'!$C$4:$C$66""),INDIRECT(""'""&amp;CQ$1&amp;""'!$D$4:$D$66"")=CQ$2),$G$3:$BQ$3,$G109:$BQ109)))"),-0.07142857142857142)</f>
        <v>-0.07142857143</v>
      </c>
      <c r="CR109" s="207" t="str">
        <f>IFERROR(__xludf.DUMMYFUNCTION("IF(OR(CQ109&gt;$BS109+$BT109*$BT$2,CQ109&lt;$BS109-$BT109*$BT$2),AVEDEV(ARRAYFORMULA(XLOOKUP(FILTER(INDIRECT(""'""&amp;CQ$1&amp;""'!$C$4:$C$66""),INDIRECT(""'""&amp;CQ$1&amp;""'!$D$4:$D$66"")=CQ$2),$G$3:$BQ$3,$G109:$BQ109))),"""")"),"")</f>
        <v/>
      </c>
      <c r="CS109" s="251">
        <f>IFERROR(__xludf.DUMMYFUNCTION("AVERAGE(ARRAYFORMULA(XLOOKUP(FILTER(INDIRECT(""'""&amp;CS$1&amp;""'!$C$4:$C$66""),INDIRECT(""'""&amp;CS$1&amp;""'!$D$4:$D$66"")=CS$2),$G$3:$BQ$3,$G109:$BQ109)))"),-0.2222222222222222)</f>
        <v>-0.2222222222</v>
      </c>
      <c r="CT109" s="207" t="str">
        <f>IFERROR(__xludf.DUMMYFUNCTION("IF(OR(CS109&gt;$BS109+$BT109*$BT$2,CS109&lt;$BS109-$BT109*$BT$2),AVEDEV(ARRAYFORMULA(XLOOKUP(FILTER(INDIRECT(""'""&amp;CS$1&amp;""'!$C$4:$C$66""),INDIRECT(""'""&amp;CS$1&amp;""'!$D$4:$D$66"")=CS$2),$G$3:$BQ$3,$G109:$BQ109))),"""")"),"")</f>
        <v/>
      </c>
      <c r="CU109" s="251">
        <f>IFERROR(__xludf.DUMMYFUNCTION("AVERAGE(ARRAYFORMULA(XLOOKUP(FILTER(INDIRECT(""'""&amp;CU$1&amp;""'!$C$4:$C$66""),INDIRECT(""'""&amp;CU$1&amp;""'!$D$4:$D$66"")=CU$2),$G$3:$BQ$3,$G109:$BQ109)))"),-0.09090909090909091)</f>
        <v>-0.09090909091</v>
      </c>
      <c r="CV109" s="207" t="str">
        <f>IFERROR(__xludf.DUMMYFUNCTION("IF(OR(CU109&gt;$BS109+$BT109*$BT$2,CU109&lt;$BS109-$BT109*$BT$2),AVEDEV(ARRAYFORMULA(XLOOKUP(FILTER(INDIRECT(""'""&amp;CU$1&amp;""'!$C$4:$C$66""),INDIRECT(""'""&amp;CU$1&amp;""'!$D$4:$D$66"")=CU$2),$G$3:$BQ$3,$G109:$BQ109))),"""")"),"")</f>
        <v/>
      </c>
      <c r="CW109" s="251">
        <f>IFERROR(__xludf.DUMMYFUNCTION("AVERAGE(ARRAYFORMULA(XLOOKUP(FILTER(INDIRECT(""'""&amp;CW$1&amp;""'!$C$4:$C$66""),INDIRECT(""'""&amp;CW$1&amp;""'!$D$4:$D$66"")=CW$2),$G$3:$BQ$3,$G109:$BQ109)))"),0.0)</f>
        <v>0</v>
      </c>
      <c r="CX109" s="207" t="str">
        <f>IFERROR(__xludf.DUMMYFUNCTION("IF(OR(CW109&gt;$BS109+$BT109*$BT$2,CW109&lt;$BS109-$BT109*$BT$2),AVEDEV(ARRAYFORMULA(XLOOKUP(FILTER(INDIRECT(""'""&amp;CW$1&amp;""'!$C$4:$C$66""),INDIRECT(""'""&amp;CW$1&amp;""'!$D$4:$D$66"")=CW$2),$G$3:$BQ$3,$G109:$BQ109))),"""")"),"")</f>
        <v/>
      </c>
      <c r="CY109" s="254">
        <f>IFERROR(__xludf.DUMMYFUNCTION("AVERAGE(ARRAYFORMULA(XLOOKUP(FILTER(INDIRECT(""'""&amp;CY$1&amp;""'!$C$4:$C$66""),INDIRECT(""'""&amp;CY$1&amp;""'!$D$4:$D$66"")=CY$2),$G$3:$BQ$3,$G109:$BQ109)))"),-0.35714285714285715)</f>
        <v>-0.3571428571</v>
      </c>
      <c r="CZ109" s="207" t="str">
        <f>IFERROR(__xludf.DUMMYFUNCTION("IF(OR(CY109&gt;$BS109+$BT109*$BT$2,CY109&lt;$BS109-$BT109*$BT$2),AVEDEV(ARRAYFORMULA(XLOOKUP(FILTER(INDIRECT(""'""&amp;CY$1&amp;""'!$C$4:$C$66""),INDIRECT(""'""&amp;CY$1&amp;""'!$D$4:$D$66"")=CY$2),$G$3:$BQ$3,$G109:$BQ109))),"""")"),"")</f>
        <v/>
      </c>
      <c r="DA109" s="252"/>
      <c r="DB109" s="251">
        <f>IFERROR(__xludf.DUMMYFUNCTION("AVERAGE(ARRAYFORMULA(XLOOKUP(FILTER(INDIRECT(""'""&amp;DB$1&amp;""'!$C$4:$C$66""),INDIRECT(""'""&amp;DB$1&amp;""'!$D$4:$D$66"")=DB$2),$G$3:$BQ$3,$G109:$BQ109)))"),-0.16666666666666666)</f>
        <v>-0.1666666667</v>
      </c>
      <c r="DC109" s="207" t="str">
        <f>IFERROR(__xludf.DUMMYFUNCTION("IF(OR(DB109&gt;$BS109+$BT109*$BT$2,DB109&lt;$BS109-$BT109*$BT$2),AVEDEV(ARRAYFORMULA(XLOOKUP(FILTER(INDIRECT(""'""&amp;DB$1&amp;""'!$C$4:$C$66""),INDIRECT(""'""&amp;DB$1&amp;""'!$D$4:$D$66"")=DB$2),$G$3:$BQ$3,$G109:$BQ109))),"""")"),"")</f>
        <v/>
      </c>
      <c r="DD109" s="251">
        <f>IFERROR(__xludf.DUMMYFUNCTION("AVERAGE(ARRAYFORMULA(XLOOKUP(FILTER(INDIRECT(""'""&amp;DD$1&amp;""'!$C$4:$C$66""),INDIRECT(""'""&amp;DD$1&amp;""'!$D$4:$D$66"")=DD$2),$G$3:$BQ$3,$G109:$BQ109)))"),-0.2222222222222222)</f>
        <v>-0.2222222222</v>
      </c>
      <c r="DE109" s="207" t="str">
        <f>IFERROR(__xludf.DUMMYFUNCTION("IF(OR(DD109&gt;$BS109+$BT109*$BT$2,DD109&lt;$BS109-$BT109*$BT$2),AVEDEV(ARRAYFORMULA(XLOOKUP(FILTER(INDIRECT(""'""&amp;DD$1&amp;""'!$C$4:$C$66""),INDIRECT(""'""&amp;DD$1&amp;""'!$D$4:$D$66"")=DD$2),$G$3:$BQ$3,$G109:$BQ109))),"""")"),"")</f>
        <v/>
      </c>
      <c r="DF109" s="251">
        <f>IFERROR(__xludf.DUMMYFUNCTION("AVERAGE(ARRAYFORMULA(XLOOKUP(FILTER(INDIRECT(""'""&amp;DF$1&amp;""'!$C$4:$C$66""),INDIRECT(""'""&amp;DF$1&amp;""'!$D$4:$D$66"")=DF$2),$G$3:$BQ$3,$G109:$BQ109)))"),-1.125)</f>
        <v>-1.125</v>
      </c>
      <c r="DG109" s="207">
        <f>IFERROR(__xludf.DUMMYFUNCTION("IF(OR(DF109&gt;$BS109+$BT109*$BT$2,DF109&lt;$BS109-$BT109*$BT$2),AVEDEV(ARRAYFORMULA(XLOOKUP(FILTER(INDIRECT(""'""&amp;DF$1&amp;""'!$C$4:$C$66""),INDIRECT(""'""&amp;DF$1&amp;""'!$D$4:$D$66"")=DF$2),$G$3:$BQ$3,$G109:$BQ109))),"""")"),1.1875)</f>
        <v>1.1875</v>
      </c>
      <c r="DH109" s="251">
        <f>IFERROR(__xludf.DUMMYFUNCTION("AVERAGE(ARRAYFORMULA(XLOOKUP(FILTER(INDIRECT(""'""&amp;DH$1&amp;""'!$C$4:$C$66""),INDIRECT(""'""&amp;DH$1&amp;""'!$D$4:$D$66"")=DH$2),$G$3:$BQ$3,$G109:$BQ109)))"),0.0)</f>
        <v>0</v>
      </c>
      <c r="DI109" s="207" t="str">
        <f>IFERROR(__xludf.DUMMYFUNCTION("IF(OR(DH109&gt;$BS109+$BT109*$BT$2,DH109&lt;$BS109-$BT109*$BT$2),AVEDEV(ARRAYFORMULA(XLOOKUP(FILTER(INDIRECT(""'""&amp;DH$1&amp;""'!$C$4:$C$66""),INDIRECT(""'""&amp;DH$1&amp;""'!$D$4:$D$66"")=DH$2),$G$3:$BQ$3,$G109:$BQ109))),"""")"),"")</f>
        <v/>
      </c>
      <c r="DJ109" s="243"/>
    </row>
    <row r="110">
      <c r="A110" s="2"/>
      <c r="B110" s="204">
        <v>106.0</v>
      </c>
      <c r="C110" s="204" t="s">
        <v>540</v>
      </c>
      <c r="D110" s="204" t="s">
        <v>552</v>
      </c>
      <c r="E110" s="205" t="b">
        <f>VLOOKUP(D110,'Feature Set List'!A107:C246,2,0)</f>
        <v>1</v>
      </c>
      <c r="F110" s="205" t="b">
        <f>VLOOKUP(D110,'Feature Set List'!A107:C246,3,0)</f>
        <v>1</v>
      </c>
      <c r="G110" s="205">
        <v>0.0</v>
      </c>
      <c r="H110" s="205">
        <v>0.0</v>
      </c>
      <c r="I110" s="205">
        <v>0.0</v>
      </c>
      <c r="J110" s="205">
        <v>0.0</v>
      </c>
      <c r="K110" s="205">
        <v>-1.0</v>
      </c>
      <c r="L110" s="205">
        <v>0.0</v>
      </c>
      <c r="M110" s="205">
        <v>-2.0</v>
      </c>
      <c r="N110" s="205">
        <v>0.0</v>
      </c>
      <c r="O110" s="205">
        <v>-1.0</v>
      </c>
      <c r="P110" s="205">
        <v>0.0</v>
      </c>
      <c r="Q110" s="205">
        <v>-1.0</v>
      </c>
      <c r="R110" s="205">
        <v>-1.0</v>
      </c>
      <c r="S110" s="205">
        <v>0.0</v>
      </c>
      <c r="T110" s="205">
        <v>-2.0</v>
      </c>
      <c r="U110" s="205">
        <v>-4.0</v>
      </c>
      <c r="V110" s="205">
        <v>-1.0</v>
      </c>
      <c r="W110" s="205">
        <v>0.0</v>
      </c>
      <c r="X110" s="205">
        <v>0.0</v>
      </c>
      <c r="Y110" s="205">
        <v>0.0</v>
      </c>
      <c r="Z110" s="205">
        <v>0.0</v>
      </c>
      <c r="AA110" s="205">
        <v>0.0</v>
      </c>
      <c r="AB110" s="205">
        <v>0.0</v>
      </c>
      <c r="AC110" s="205">
        <v>0.0</v>
      </c>
      <c r="AD110" s="205">
        <v>0.0</v>
      </c>
      <c r="AE110" s="205">
        <v>0.0</v>
      </c>
      <c r="AF110" s="205">
        <v>0.0</v>
      </c>
      <c r="AG110" s="205">
        <v>0.0</v>
      </c>
      <c r="AH110" s="205">
        <v>0.0</v>
      </c>
      <c r="AI110" s="205">
        <v>0.0</v>
      </c>
      <c r="AJ110" s="205">
        <v>-1.0</v>
      </c>
      <c r="AK110" s="205">
        <v>-1.0</v>
      </c>
      <c r="AL110" s="205">
        <v>0.0</v>
      </c>
      <c r="AM110" s="205">
        <v>0.0</v>
      </c>
      <c r="AN110" s="205">
        <v>-1.0</v>
      </c>
      <c r="AO110" s="205">
        <v>-3.0</v>
      </c>
      <c r="AP110" s="205">
        <v>0.0</v>
      </c>
      <c r="AQ110" s="205">
        <v>0.0</v>
      </c>
      <c r="AR110" s="205">
        <v>-2.0</v>
      </c>
      <c r="AS110" s="205">
        <v>-2.0</v>
      </c>
      <c r="AT110" s="205">
        <v>-1.0</v>
      </c>
      <c r="AU110" s="205">
        <v>-1.0</v>
      </c>
      <c r="AV110" s="205">
        <v>0.0</v>
      </c>
      <c r="AW110" s="205">
        <v>0.0</v>
      </c>
      <c r="AX110" s="205">
        <v>-1.0</v>
      </c>
      <c r="AY110" s="205">
        <v>-3.0</v>
      </c>
      <c r="AZ110" s="205">
        <v>0.0</v>
      </c>
      <c r="BA110" s="205">
        <v>0.0</v>
      </c>
      <c r="BB110" s="205">
        <v>0.0</v>
      </c>
      <c r="BC110" s="205">
        <v>0.0</v>
      </c>
      <c r="BD110" s="205">
        <v>0.0</v>
      </c>
      <c r="BE110" s="205">
        <v>0.0</v>
      </c>
      <c r="BF110" s="205">
        <v>0.0</v>
      </c>
      <c r="BG110" s="205">
        <v>0.0</v>
      </c>
      <c r="BH110" s="205">
        <v>0.0</v>
      </c>
      <c r="BI110" s="205">
        <v>0.0</v>
      </c>
      <c r="BJ110" s="205">
        <v>0.0</v>
      </c>
      <c r="BK110" s="205">
        <v>-1.0</v>
      </c>
      <c r="BL110" s="205">
        <v>-1.0</v>
      </c>
      <c r="BM110" s="205">
        <v>0.0</v>
      </c>
      <c r="BN110" s="205">
        <v>0.0</v>
      </c>
      <c r="BO110" s="205">
        <v>0.0</v>
      </c>
      <c r="BP110" s="205">
        <v>0.0</v>
      </c>
      <c r="BQ110" s="205">
        <v>0.0</v>
      </c>
      <c r="BR110" s="206"/>
      <c r="BS110" s="250">
        <f t="shared" si="1"/>
        <v>-0.4920634921</v>
      </c>
      <c r="BT110" s="250">
        <f t="shared" si="2"/>
        <v>0.6717057193</v>
      </c>
      <c r="BU110" s="206"/>
      <c r="BV110" s="207">
        <f>IFERROR(__xludf.DUMMYFUNCTION("AVERAGE(ARRAYFORMULA(XLOOKUP(FILTER(INDIRECT(""'""&amp;BV$1&amp;""'!$C$4:$C$66""),INDIRECT(""'""&amp;BV$1&amp;""'!$D$4:$D$66"")=BV$2),$G$3:$BQ$3,$G110:$BQ110)))"),-1.5714285714285714)</f>
        <v>-1.571428571</v>
      </c>
      <c r="BW110" s="207">
        <f>IFERROR(__xludf.DUMMYFUNCTION("IF(OR(BV110&gt;$BS110+$BT110*$BT$2,BV110&lt;$BS110-$BT110*$BT$2),AVEDEV(ARRAYFORMULA(XLOOKUP(FILTER(INDIRECT(""'""&amp;BV$1&amp;""'!$C$4:$C$66""),INDIRECT(""'""&amp;BV$1&amp;""'!$D$4:$D$66"")=BV$2),$G$3:$BQ$3,$G110:$BQ110))),"""")"),1.510204081632653)</f>
        <v>1.510204082</v>
      </c>
      <c r="BX110" s="207">
        <f>IFERROR(__xludf.DUMMYFUNCTION("AVERAGE(ARRAYFORMULA(XLOOKUP(FILTER(INDIRECT(""'""&amp;BX$1&amp;""'!$C$4:$C$66""),INDIRECT(""'""&amp;BX$1&amp;""'!$D$4:$D$66"")=BX$2),$G$3:$BQ$3,$G110:$BQ110)))"),-0.35714285714285715)</f>
        <v>-0.3571428571</v>
      </c>
      <c r="BY110" s="207" t="str">
        <f>IFERROR(__xludf.DUMMYFUNCTION("IF(OR(BX110&gt;$BS110+$BT110*$BT$2,BX110&lt;$BS110-$BT110*$BT$2),AVEDEV(ARRAYFORMULA(XLOOKUP(FILTER(INDIRECT(""'""&amp;BX$1&amp;""'!$C$4:$C$66""),INDIRECT(""'""&amp;BX$1&amp;""'!$D$4:$D$66"")=BX$2),$G$3:$BQ$3,$G110:$BQ110))),"""")"),"")</f>
        <v/>
      </c>
      <c r="BZ110" s="207">
        <f>IFERROR(__xludf.DUMMYFUNCTION("AVERAGE(ARRAYFORMULA(XLOOKUP(FILTER(INDIRECT(""'""&amp;BZ$1&amp;""'!$C$4:$C$66""),INDIRECT(""'""&amp;BZ$1&amp;""'!$D$4:$D$66"")=BZ$2),$G$3:$BQ$3,$G110:$BQ110)))"),-0.36363636363636365)</f>
        <v>-0.3636363636</v>
      </c>
      <c r="CA110" s="207" t="str">
        <f>IFERROR(__xludf.DUMMYFUNCTION("IF(OR(BZ110&gt;$BS110+$BT110*$BT$2,BZ110&lt;$BS110-$BT110*$BT$2),AVEDEV(ARRAYFORMULA(XLOOKUP(FILTER(INDIRECT(""'""&amp;BZ$1&amp;""'!$C$4:$C$66""),INDIRECT(""'""&amp;BZ$1&amp;""'!$D$4:$D$66"")=BZ$2),$G$3:$BQ$3,$G110:$BQ110))),"""")"),"")</f>
        <v/>
      </c>
      <c r="CB110" s="209"/>
      <c r="CC110" s="207">
        <f>IFERROR(__xludf.DUMMYFUNCTION("AVERAGE(ARRAYFORMULA(XLOOKUP(FILTER(INDIRECT(""'""&amp;CC$1&amp;""'!$C$4:$C$66""),INDIRECT(""'""&amp;CC$1&amp;""'!$D$4:$D$66"")=CC$2),$G$3:$BQ$3,$G110:$BQ110)))"),-0.5)</f>
        <v>-0.5</v>
      </c>
      <c r="CD110" s="207" t="str">
        <f>IFERROR(__xludf.DUMMYFUNCTION("IF(OR(CC110&gt;$BS110+$BT110*$BT$2,CC110&lt;$BS110-$BT110*$BT$2),AVEDEV(ARRAYFORMULA(XLOOKUP(FILTER(INDIRECT(""'""&amp;CC$1&amp;""'!$C$4:$C$66""),INDIRECT(""'""&amp;CC$1&amp;""'!$D$4:$D$66"")=CC$2),$G$3:$BQ$3,$G110:$BQ110))),"""")"),"")</f>
        <v/>
      </c>
      <c r="CE110" s="207">
        <f>IFERROR(__xludf.DUMMYFUNCTION("AVERAGE(ARRAYFORMULA(XLOOKUP(FILTER(INDIRECT(""'""&amp;CE$1&amp;""'!$C$4:$C$66""),INDIRECT(""'""&amp;CE$1&amp;""'!$D$4:$D$66"")=CE$2),$G$3:$BQ$3,$G110:$BQ110)))"),-0.3548387096774194)</f>
        <v>-0.3548387097</v>
      </c>
      <c r="CF110" s="207" t="str">
        <f>IFERROR(__xludf.DUMMYFUNCTION("IF(OR(CE110&gt;$BS110+$BT110*$BT$2,CE110&lt;$BS110-$BT110*$BT$2),AVEDEV(ARRAYFORMULA(XLOOKUP(FILTER(INDIRECT(""'""&amp;CE$1&amp;""'!$C$4:$C$66""),INDIRECT(""'""&amp;CE$1&amp;""'!$D$4:$D$66"")=CE$2),$G$3:$BQ$3,$G110:$BQ110))),"""")"),"")</f>
        <v/>
      </c>
      <c r="CG110" s="207">
        <f>IFERROR(__xludf.DUMMYFUNCTION("AVERAGE(ARRAYFORMULA(XLOOKUP(FILTER(INDIRECT(""'""&amp;CG$1&amp;""'!$C$4:$C$66""),INDIRECT(""'""&amp;CG$1&amp;""'!$D$4:$D$66"")=CG$2),$G$3:$BQ$3,$G110:$BQ110)))"),-0.8)</f>
        <v>-0.8</v>
      </c>
      <c r="CH110" s="207" t="str">
        <f>IFERROR(__xludf.DUMMYFUNCTION("IF(OR(CG110&gt;$BS110+$BT110*$BT$2,CG110&lt;$BS110-$BT110*$BT$2),AVEDEV(ARRAYFORMULA(XLOOKUP(FILTER(INDIRECT(""'""&amp;CG$1&amp;""'!$C$4:$C$66""),INDIRECT(""'""&amp;CG$1&amp;""'!$D$4:$D$66"")=CG$2),$G$3:$BQ$3,$G110:$BQ110))),"""")"),"")</f>
        <v/>
      </c>
      <c r="CI110" s="206"/>
      <c r="CJ110" s="251">
        <f>IFERROR(__xludf.DUMMYFUNCTION("AVERAGE(ARRAYFORMULA(XLOOKUP(FILTER(INDIRECT(""'""&amp;CJ$1&amp;""'!$C$4:$C$66""),INDIRECT(""'""&amp;CJ$1&amp;""'!$D$4:$D$66"")=CJ$2),$G$3:$BQ$3,$G110:$BQ110)))"),-0.3333333333333333)</f>
        <v>-0.3333333333</v>
      </c>
      <c r="CK110" s="207" t="str">
        <f>IFERROR(__xludf.DUMMYFUNCTION("IF(OR(CJ110&gt;$BS110+$BT110*$BT$2,CJ110&lt;$BS110-$BT110*$BT$2),AVEDEV(ARRAYFORMULA(XLOOKUP(FILTER(INDIRECT(""'""&amp;CJ$1&amp;""'!$C$4:$C$66""),INDIRECT(""'""&amp;CJ$1&amp;""'!$D$4:$D$66"")=CJ$2),$G$3:$BQ$3,$G110:$BQ110))),"""")"),"")</f>
        <v/>
      </c>
      <c r="CL110" s="251">
        <f>IFERROR(__xludf.DUMMYFUNCTION("AVERAGE(ARRAYFORMULA(XLOOKUP(FILTER(INDIRECT(""'""&amp;CL$1&amp;""'!$C$4:$C$66""),INDIRECT(""'""&amp;CL$1&amp;""'!$D$4:$D$66"")=CL$2),$G$3:$BQ$3,$G110:$BQ110)))"),-0.5128205128205128)</f>
        <v>-0.5128205128</v>
      </c>
      <c r="CM110" s="207" t="str">
        <f>IFERROR(__xludf.DUMMYFUNCTION("IF(OR(CL110&gt;$BS110+$BT110*$BT$2,CL110&lt;$BS110-$BT110*$BT$2),AVEDEV(ARRAYFORMULA(XLOOKUP(FILTER(INDIRECT(""'""&amp;CL$1&amp;""'!$C$4:$C$66""),INDIRECT(""'""&amp;CL$1&amp;""'!$D$4:$D$66"")=CL$2),$G$3:$BQ$3,$G110:$BQ110))),"""")"),"")</f>
        <v/>
      </c>
      <c r="CN110" s="251">
        <f>IFERROR(__xludf.DUMMYFUNCTION("AVERAGE(ARRAYFORMULA(XLOOKUP(FILTER(INDIRECT(""'""&amp;CN$1&amp;""'!$C$4:$C$66""),INDIRECT(""'""&amp;CN$1&amp;""'!$D$4:$D$66"")=CN$2),$G$3:$BQ$3,$G110:$BQ110)))"),-0.8)</f>
        <v>-0.8</v>
      </c>
      <c r="CO110" s="207" t="str">
        <f>IFERROR(__xludf.DUMMYFUNCTION("IF(OR(CN110&gt;$BS110+$BT110*$BT$2,CN110&lt;$BS110-$BT110*$BT$2),AVEDEV(ARRAYFORMULA(XLOOKUP(FILTER(INDIRECT(""'""&amp;CN$1&amp;""'!$C$4:$C$66""),INDIRECT(""'""&amp;CN$1&amp;""'!$D$4:$D$66"")=CN$2),$G$3:$BQ$3,$G110:$BQ110))),"""")"),"")</f>
        <v/>
      </c>
      <c r="CP110" s="252"/>
      <c r="CQ110" s="251">
        <f>IFERROR(__xludf.DUMMYFUNCTION("AVERAGE(ARRAYFORMULA(XLOOKUP(FILTER(INDIRECT(""'""&amp;CQ$1&amp;""'!$C$4:$C$66""),INDIRECT(""'""&amp;CQ$1&amp;""'!$D$4:$D$66"")=CQ$2),$G$3:$BQ$3,$G110:$BQ110)))"),-0.21428571428571427)</f>
        <v>-0.2142857143</v>
      </c>
      <c r="CR110" s="207" t="str">
        <f>IFERROR(__xludf.DUMMYFUNCTION("IF(OR(CQ110&gt;$BS110+$BT110*$BT$2,CQ110&lt;$BS110-$BT110*$BT$2),AVEDEV(ARRAYFORMULA(XLOOKUP(FILTER(INDIRECT(""'""&amp;CQ$1&amp;""'!$C$4:$C$66""),INDIRECT(""'""&amp;CQ$1&amp;""'!$D$4:$D$66"")=CQ$2),$G$3:$BQ$3,$G110:$BQ110))),"""")"),"")</f>
        <v/>
      </c>
      <c r="CS110" s="251">
        <f>IFERROR(__xludf.DUMMYFUNCTION("AVERAGE(ARRAYFORMULA(XLOOKUP(FILTER(INDIRECT(""'""&amp;CS$1&amp;""'!$C$4:$C$66""),INDIRECT(""'""&amp;CS$1&amp;""'!$D$4:$D$66"")=CS$2),$G$3:$BQ$3,$G110:$BQ110)))"),-0.4444444444444444)</f>
        <v>-0.4444444444</v>
      </c>
      <c r="CT110" s="207" t="str">
        <f>IFERROR(__xludf.DUMMYFUNCTION("IF(OR(CS110&gt;$BS110+$BT110*$BT$2,CS110&lt;$BS110-$BT110*$BT$2),AVEDEV(ARRAYFORMULA(XLOOKUP(FILTER(INDIRECT(""'""&amp;CS$1&amp;""'!$C$4:$C$66""),INDIRECT(""'""&amp;CS$1&amp;""'!$D$4:$D$66"")=CS$2),$G$3:$BQ$3,$G110:$BQ110))),"""")"),"")</f>
        <v/>
      </c>
      <c r="CU110" s="251">
        <f>IFERROR(__xludf.DUMMYFUNCTION("AVERAGE(ARRAYFORMULA(XLOOKUP(FILTER(INDIRECT(""'""&amp;CU$1&amp;""'!$C$4:$C$66""),INDIRECT(""'""&amp;CU$1&amp;""'!$D$4:$D$66"")=CU$2),$G$3:$BQ$3,$G110:$BQ110)))"),-0.09090909090909091)</f>
        <v>-0.09090909091</v>
      </c>
      <c r="CV110" s="207" t="str">
        <f>IFERROR(__xludf.DUMMYFUNCTION("IF(OR(CU110&gt;$BS110+$BT110*$BT$2,CU110&lt;$BS110-$BT110*$BT$2),AVEDEV(ARRAYFORMULA(XLOOKUP(FILTER(INDIRECT(""'""&amp;CU$1&amp;""'!$C$4:$C$66""),INDIRECT(""'""&amp;CU$1&amp;""'!$D$4:$D$66"")=CU$2),$G$3:$BQ$3,$G110:$BQ110))),"""")"),"")</f>
        <v/>
      </c>
      <c r="CW110" s="251">
        <f>IFERROR(__xludf.DUMMYFUNCTION("AVERAGE(ARRAYFORMULA(XLOOKUP(FILTER(INDIRECT(""'""&amp;CW$1&amp;""'!$C$4:$C$66""),INDIRECT(""'""&amp;CW$1&amp;""'!$D$4:$D$66"")=CW$2),$G$3:$BQ$3,$G110:$BQ110)))"),0.0)</f>
        <v>0</v>
      </c>
      <c r="CX110" s="207" t="str">
        <f>IFERROR(__xludf.DUMMYFUNCTION("IF(OR(CW110&gt;$BS110+$BT110*$BT$2,CW110&lt;$BS110-$BT110*$BT$2),AVEDEV(ARRAYFORMULA(XLOOKUP(FILTER(INDIRECT(""'""&amp;CW$1&amp;""'!$C$4:$C$66""),INDIRECT(""'""&amp;CW$1&amp;""'!$D$4:$D$66"")=CW$2),$G$3:$BQ$3,$G110:$BQ110))),"""")"),"")</f>
        <v/>
      </c>
      <c r="CY110" s="251">
        <f>IFERROR(__xludf.DUMMYFUNCTION("AVERAGE(ARRAYFORMULA(XLOOKUP(FILTER(INDIRECT(""'""&amp;CY$1&amp;""'!$C$4:$C$66""),INDIRECT(""'""&amp;CY$1&amp;""'!$D$4:$D$66"")=CY$2),$G$3:$BQ$3,$G110:$BQ110)))"),-0.5714285714285714)</f>
        <v>-0.5714285714</v>
      </c>
      <c r="CZ110" s="207" t="str">
        <f>IFERROR(__xludf.DUMMYFUNCTION("IF(OR(CY110&gt;$BS110+$BT110*$BT$2,CY110&lt;$BS110-$BT110*$BT$2),AVEDEV(ARRAYFORMULA(XLOOKUP(FILTER(INDIRECT(""'""&amp;CY$1&amp;""'!$C$4:$C$66""),INDIRECT(""'""&amp;CY$1&amp;""'!$D$4:$D$66"")=CY$2),$G$3:$BQ$3,$G110:$BQ110))),"""")"),"")</f>
        <v/>
      </c>
      <c r="DA110" s="252"/>
      <c r="DB110" s="251">
        <f>IFERROR(__xludf.DUMMYFUNCTION("AVERAGE(ARRAYFORMULA(XLOOKUP(FILTER(INDIRECT(""'""&amp;DB$1&amp;""'!$C$4:$C$66""),INDIRECT(""'""&amp;DB$1&amp;""'!$D$4:$D$66"")=DB$2),$G$3:$BQ$3,$G110:$BQ110)))"),-0.26666666666666666)</f>
        <v>-0.2666666667</v>
      </c>
      <c r="DC110" s="207" t="str">
        <f>IFERROR(__xludf.DUMMYFUNCTION("IF(OR(DB110&gt;$BS110+$BT110*$BT$2,DB110&lt;$BS110-$BT110*$BT$2),AVEDEV(ARRAYFORMULA(XLOOKUP(FILTER(INDIRECT(""'""&amp;DB$1&amp;""'!$C$4:$C$66""),INDIRECT(""'""&amp;DB$1&amp;""'!$D$4:$D$66"")=DB$2),$G$3:$BQ$3,$G110:$BQ110))),"""")"),"")</f>
        <v/>
      </c>
      <c r="DD110" s="251">
        <f>IFERROR(__xludf.DUMMYFUNCTION("AVERAGE(ARRAYFORMULA(XLOOKUP(FILTER(INDIRECT(""'""&amp;DD$1&amp;""'!$C$4:$C$66""),INDIRECT(""'""&amp;DD$1&amp;""'!$D$4:$D$66"")=DD$2),$G$3:$BQ$3,$G110:$BQ110)))"),-0.4444444444444444)</f>
        <v>-0.4444444444</v>
      </c>
      <c r="DE110" s="207" t="str">
        <f>IFERROR(__xludf.DUMMYFUNCTION("IF(OR(DD110&gt;$BS110+$BT110*$BT$2,DD110&lt;$BS110-$BT110*$BT$2),AVEDEV(ARRAYFORMULA(XLOOKUP(FILTER(INDIRECT(""'""&amp;DD$1&amp;""'!$C$4:$C$66""),INDIRECT(""'""&amp;DD$1&amp;""'!$D$4:$D$66"")=DD$2),$G$3:$BQ$3,$G110:$BQ110))),"""")"),"")</f>
        <v/>
      </c>
      <c r="DF110" s="251">
        <f>IFERROR(__xludf.DUMMYFUNCTION("AVERAGE(ARRAYFORMULA(XLOOKUP(FILTER(INDIRECT(""'""&amp;DF$1&amp;""'!$C$4:$C$66""),INDIRECT(""'""&amp;DF$1&amp;""'!$D$4:$D$66"")=DF$2),$G$3:$BQ$3,$G110:$BQ110)))"),-1.25)</f>
        <v>-1.25</v>
      </c>
      <c r="DG110" s="207">
        <f>IFERROR(__xludf.DUMMYFUNCTION("IF(OR(DF110&gt;$BS110+$BT110*$BT$2,DF110&lt;$BS110-$BT110*$BT$2),AVEDEV(ARRAYFORMULA(XLOOKUP(FILTER(INDIRECT(""'""&amp;DF$1&amp;""'!$C$4:$C$66""),INDIRECT(""'""&amp;DF$1&amp;""'!$D$4:$D$66"")=DF$2),$G$3:$BQ$3,$G110:$BQ110))),"""")"),1.125)</f>
        <v>1.125</v>
      </c>
      <c r="DH110" s="251">
        <f>IFERROR(__xludf.DUMMYFUNCTION("AVERAGE(ARRAYFORMULA(XLOOKUP(FILTER(INDIRECT(""'""&amp;DH$1&amp;""'!$C$4:$C$66""),INDIRECT(""'""&amp;DH$1&amp;""'!$D$4:$D$66"")=DH$2),$G$3:$BQ$3,$G110:$BQ110)))"),-0.2222222222222222)</f>
        <v>-0.2222222222</v>
      </c>
      <c r="DI110" s="207" t="str">
        <f>IFERROR(__xludf.DUMMYFUNCTION("IF(OR(DH110&gt;$BS110+$BT110*$BT$2,DH110&lt;$BS110-$BT110*$BT$2),AVEDEV(ARRAYFORMULA(XLOOKUP(FILTER(INDIRECT(""'""&amp;DH$1&amp;""'!$C$4:$C$66""),INDIRECT(""'""&amp;DH$1&amp;""'!$D$4:$D$66"")=DH$2),$G$3:$BQ$3,$G110:$BQ110))),"""")"),"")</f>
        <v/>
      </c>
      <c r="DJ110" s="243"/>
    </row>
    <row r="111">
      <c r="A111" s="2"/>
      <c r="B111" s="204">
        <v>107.0</v>
      </c>
      <c r="C111" s="204" t="s">
        <v>540</v>
      </c>
      <c r="D111" s="204" t="s">
        <v>553</v>
      </c>
      <c r="E111" s="205" t="b">
        <f>VLOOKUP(D111,'Feature Set List'!A108:C246,2,0)</f>
        <v>1</v>
      </c>
      <c r="F111" s="205" t="b">
        <f>VLOOKUP(D111,'Feature Set List'!A108:C246,3,0)</f>
        <v>1</v>
      </c>
      <c r="G111" s="205">
        <v>0.0</v>
      </c>
      <c r="H111" s="205">
        <v>0.0</v>
      </c>
      <c r="I111" s="205">
        <v>0.0</v>
      </c>
      <c r="J111" s="205">
        <v>1.0</v>
      </c>
      <c r="K111" s="205">
        <v>1.0</v>
      </c>
      <c r="L111" s="205">
        <v>1.0</v>
      </c>
      <c r="M111" s="205">
        <v>1.0</v>
      </c>
      <c r="N111" s="205">
        <v>1.0</v>
      </c>
      <c r="O111" s="205">
        <v>1.0</v>
      </c>
      <c r="P111" s="205">
        <v>1.0</v>
      </c>
      <c r="Q111" s="205">
        <v>1.0</v>
      </c>
      <c r="R111" s="205">
        <v>1.0</v>
      </c>
      <c r="S111" s="205">
        <v>1.0</v>
      </c>
      <c r="T111" s="205">
        <v>0.0</v>
      </c>
      <c r="U111" s="205">
        <v>0.0</v>
      </c>
      <c r="V111" s="205">
        <v>0.0</v>
      </c>
      <c r="W111" s="205">
        <v>0.0</v>
      </c>
      <c r="X111" s="205">
        <v>1.0</v>
      </c>
      <c r="Y111" s="205">
        <v>-1.0</v>
      </c>
      <c r="Z111" s="205">
        <v>-1.0</v>
      </c>
      <c r="AA111" s="205">
        <v>0.0</v>
      </c>
      <c r="AB111" s="205">
        <v>0.0</v>
      </c>
      <c r="AC111" s="205">
        <v>0.0</v>
      </c>
      <c r="AD111" s="205">
        <v>-1.0</v>
      </c>
      <c r="AE111" s="205">
        <v>0.0</v>
      </c>
      <c r="AF111" s="205">
        <v>0.0</v>
      </c>
      <c r="AG111" s="205">
        <v>-1.0</v>
      </c>
      <c r="AH111" s="205">
        <v>0.0</v>
      </c>
      <c r="AI111" s="205">
        <v>1.0</v>
      </c>
      <c r="AJ111" s="205">
        <v>0.0</v>
      </c>
      <c r="AK111" s="205">
        <v>0.0</v>
      </c>
      <c r="AL111" s="205">
        <v>0.0</v>
      </c>
      <c r="AM111" s="205">
        <v>-1.0</v>
      </c>
      <c r="AN111" s="205">
        <v>-1.0</v>
      </c>
      <c r="AO111" s="205">
        <v>0.0</v>
      </c>
      <c r="AP111" s="205">
        <v>-1.0</v>
      </c>
      <c r="AQ111" s="205">
        <v>-1.0</v>
      </c>
      <c r="AR111" s="205">
        <v>0.0</v>
      </c>
      <c r="AS111" s="205">
        <v>1.0</v>
      </c>
      <c r="AT111" s="205">
        <v>0.0</v>
      </c>
      <c r="AU111" s="205">
        <v>0.0</v>
      </c>
      <c r="AV111" s="205">
        <v>0.0</v>
      </c>
      <c r="AW111" s="205">
        <v>0.0</v>
      </c>
      <c r="AX111" s="205">
        <v>0.0</v>
      </c>
      <c r="AY111" s="205">
        <v>0.0</v>
      </c>
      <c r="AZ111" s="205">
        <v>0.0</v>
      </c>
      <c r="BA111" s="205">
        <v>1.0</v>
      </c>
      <c r="BB111" s="205">
        <v>1.0</v>
      </c>
      <c r="BC111" s="205">
        <v>1.0</v>
      </c>
      <c r="BD111" s="205">
        <v>-1.0</v>
      </c>
      <c r="BE111" s="205">
        <v>-1.0</v>
      </c>
      <c r="BF111" s="205">
        <v>0.0</v>
      </c>
      <c r="BG111" s="205">
        <v>0.0</v>
      </c>
      <c r="BH111" s="205">
        <v>-1.0</v>
      </c>
      <c r="BI111" s="205">
        <v>0.0</v>
      </c>
      <c r="BJ111" s="205">
        <v>0.0</v>
      </c>
      <c r="BK111" s="205">
        <v>1.0</v>
      </c>
      <c r="BL111" s="205">
        <v>0.0</v>
      </c>
      <c r="BM111" s="205">
        <v>0.0</v>
      </c>
      <c r="BN111" s="205">
        <v>-1.0</v>
      </c>
      <c r="BO111" s="205">
        <v>0.0</v>
      </c>
      <c r="BP111" s="205">
        <v>-1.0</v>
      </c>
      <c r="BQ111" s="205">
        <v>0.0</v>
      </c>
      <c r="BR111" s="206"/>
      <c r="BS111" s="250">
        <f t="shared" si="1"/>
        <v>0.06349206349</v>
      </c>
      <c r="BT111" s="250">
        <f t="shared" si="2"/>
        <v>0.5054169816</v>
      </c>
      <c r="BU111" s="206"/>
      <c r="BV111" s="207">
        <f>IFERROR(__xludf.DUMMYFUNCTION("AVERAGE(ARRAYFORMULA(XLOOKUP(FILTER(INDIRECT(""'""&amp;BV$1&amp;""'!$C$4:$C$66""),INDIRECT(""'""&amp;BV$1&amp;""'!$D$4:$D$66"")=BV$2),$G$3:$BQ$3,$G111:$BQ111)))"),0.14285714285714285)</f>
        <v>0.1428571429</v>
      </c>
      <c r="BW111" s="207" t="str">
        <f>IFERROR(__xludf.DUMMYFUNCTION("IF(OR(BV111&gt;$BS111+$BT111*$BT$2,BV111&lt;$BS111-$BT111*$BT$2),AVEDEV(ARRAYFORMULA(XLOOKUP(FILTER(INDIRECT(""'""&amp;BV$1&amp;""'!$C$4:$C$66""),INDIRECT(""'""&amp;BV$1&amp;""'!$D$4:$D$66"")=BV$2),$G$3:$BQ$3,$G111:$BQ111))),"""")"),"")</f>
        <v/>
      </c>
      <c r="BX111" s="207">
        <f>IFERROR(__xludf.DUMMYFUNCTION("AVERAGE(ARRAYFORMULA(XLOOKUP(FILTER(INDIRECT(""'""&amp;BX$1&amp;""'!$C$4:$C$66""),INDIRECT(""'""&amp;BX$1&amp;""'!$D$4:$D$66"")=BX$2),$G$3:$BQ$3,$G111:$BQ111)))"),0.023809523809523808)</f>
        <v>0.02380952381</v>
      </c>
      <c r="BY111" s="207" t="str">
        <f>IFERROR(__xludf.DUMMYFUNCTION("IF(OR(BX111&gt;$BS111+$BT111*$BT$2,BX111&lt;$BS111-$BT111*$BT$2),AVEDEV(ARRAYFORMULA(XLOOKUP(FILTER(INDIRECT(""'""&amp;BX$1&amp;""'!$C$4:$C$66""),INDIRECT(""'""&amp;BX$1&amp;""'!$D$4:$D$66"")=BX$2),$G$3:$BQ$3,$G111:$BQ111))),"""")"),"")</f>
        <v/>
      </c>
      <c r="BZ111" s="207">
        <f>IFERROR(__xludf.DUMMYFUNCTION("AVERAGE(ARRAYFORMULA(XLOOKUP(FILTER(INDIRECT(""'""&amp;BZ$1&amp;""'!$C$4:$C$66""),INDIRECT(""'""&amp;BZ$1&amp;""'!$D$4:$D$66"")=BZ$2),$G$3:$BQ$3,$G111:$BQ111)))"),0.2727272727272727)</f>
        <v>0.2727272727</v>
      </c>
      <c r="CA111" s="207" t="str">
        <f>IFERROR(__xludf.DUMMYFUNCTION("IF(OR(BZ111&gt;$BS111+$BT111*$BT$2,BZ111&lt;$BS111-$BT111*$BT$2),AVEDEV(ARRAYFORMULA(XLOOKUP(FILTER(INDIRECT(""'""&amp;BZ$1&amp;""'!$C$4:$C$66""),INDIRECT(""'""&amp;BZ$1&amp;""'!$D$4:$D$66"")=BZ$2),$G$3:$BQ$3,$G111:$BQ111))),"""")"),"")</f>
        <v/>
      </c>
      <c r="CB111" s="209"/>
      <c r="CC111" s="207">
        <f>IFERROR(__xludf.DUMMYFUNCTION("AVERAGE(ARRAYFORMULA(XLOOKUP(FILTER(INDIRECT(""'""&amp;CC$1&amp;""'!$C$4:$C$66""),INDIRECT(""'""&amp;CC$1&amp;""'!$D$4:$D$66"")=CC$2),$G$3:$BQ$3,$G111:$BQ111)))"),0.125)</f>
        <v>0.125</v>
      </c>
      <c r="CD111" s="207" t="str">
        <f>IFERROR(__xludf.DUMMYFUNCTION("IF(OR(CC111&gt;$BS111+$BT111*$BT$2,CC111&lt;$BS111-$BT111*$BT$2),AVEDEV(ARRAYFORMULA(XLOOKUP(FILTER(INDIRECT(""'""&amp;CC$1&amp;""'!$C$4:$C$66""),INDIRECT(""'""&amp;CC$1&amp;""'!$D$4:$D$66"")=CC$2),$G$3:$BQ$3,$G111:$BQ111))),"""")"),"")</f>
        <v/>
      </c>
      <c r="CE111" s="207">
        <f>IFERROR(__xludf.DUMMYFUNCTION("AVERAGE(ARRAYFORMULA(XLOOKUP(FILTER(INDIRECT(""'""&amp;CE$1&amp;""'!$C$4:$C$66""),INDIRECT(""'""&amp;CE$1&amp;""'!$D$4:$D$66"")=CE$2),$G$3:$BQ$3,$G111:$BQ111)))"),-0.03225806451612903)</f>
        <v>-0.03225806452</v>
      </c>
      <c r="CF111" s="207" t="str">
        <f>IFERROR(__xludf.DUMMYFUNCTION("IF(OR(CE111&gt;$BS111+$BT111*$BT$2,CE111&lt;$BS111-$BT111*$BT$2),AVEDEV(ARRAYFORMULA(XLOOKUP(FILTER(INDIRECT(""'""&amp;CE$1&amp;""'!$C$4:$C$66""),INDIRECT(""'""&amp;CE$1&amp;""'!$D$4:$D$66"")=CE$2),$G$3:$BQ$3,$G111:$BQ111))),"""")"),"")</f>
        <v/>
      </c>
      <c r="CG111" s="207">
        <f>IFERROR(__xludf.DUMMYFUNCTION("AVERAGE(ARRAYFORMULA(XLOOKUP(FILTER(INDIRECT(""'""&amp;CG$1&amp;""'!$C$4:$C$66""),INDIRECT(""'""&amp;CG$1&amp;""'!$D$4:$D$66"")=CG$2),$G$3:$BQ$3,$G111:$BQ111)))"),0.6)</f>
        <v>0.6</v>
      </c>
      <c r="CH111" s="207">
        <f>IFERROR(__xludf.DUMMYFUNCTION("IF(OR(CG111&gt;$BS111+$BT111*$BT$2,CG111&lt;$BS111-$BT111*$BT$2),AVEDEV(ARRAYFORMULA(XLOOKUP(FILTER(INDIRECT(""'""&amp;CG$1&amp;""'!$C$4:$C$66""),INDIRECT(""'""&amp;CG$1&amp;""'!$D$4:$D$66"")=CG$2),$G$3:$BQ$3,$G111:$BQ111))),"""")"),0.4800000000000001)</f>
        <v>0.48</v>
      </c>
      <c r="CI111" s="206"/>
      <c r="CJ111" s="251">
        <f>IFERROR(__xludf.DUMMYFUNCTION("AVERAGE(ARRAYFORMULA(XLOOKUP(FILTER(INDIRECT(""'""&amp;CJ$1&amp;""'!$C$4:$C$66""),INDIRECT(""'""&amp;CJ$1&amp;""'!$D$4:$D$66"")=CJ$2),$G$3:$BQ$3,$G111:$BQ111)))"),0.06666666666666667)</f>
        <v>0.06666666667</v>
      </c>
      <c r="CK111" s="207" t="str">
        <f>IFERROR(__xludf.DUMMYFUNCTION("IF(OR(CJ111&gt;$BS111+$BT111*$BT$2,CJ111&lt;$BS111-$BT111*$BT$2),AVEDEV(ARRAYFORMULA(XLOOKUP(FILTER(INDIRECT(""'""&amp;CJ$1&amp;""'!$C$4:$C$66""),INDIRECT(""'""&amp;CJ$1&amp;""'!$D$4:$D$66"")=CJ$2),$G$3:$BQ$3,$G111:$BQ111))),"""")"),"")</f>
        <v/>
      </c>
      <c r="CL111" s="251">
        <f>IFERROR(__xludf.DUMMYFUNCTION("AVERAGE(ARRAYFORMULA(XLOOKUP(FILTER(INDIRECT(""'""&amp;CL$1&amp;""'!$C$4:$C$66""),INDIRECT(""'""&amp;CL$1&amp;""'!$D$4:$D$66"")=CL$2),$G$3:$BQ$3,$G111:$BQ111)))"),0.02564102564102564)</f>
        <v>0.02564102564</v>
      </c>
      <c r="CM111" s="207" t="str">
        <f>IFERROR(__xludf.DUMMYFUNCTION("IF(OR(CL111&gt;$BS111+$BT111*$BT$2,CL111&lt;$BS111-$BT111*$BT$2),AVEDEV(ARRAYFORMULA(XLOOKUP(FILTER(INDIRECT(""'""&amp;CL$1&amp;""'!$C$4:$C$66""),INDIRECT(""'""&amp;CL$1&amp;""'!$D$4:$D$66"")=CL$2),$G$3:$BQ$3,$G111:$BQ111))),"""")"),"")</f>
        <v/>
      </c>
      <c r="CN111" s="251">
        <f>IFERROR(__xludf.DUMMYFUNCTION("AVERAGE(ARRAYFORMULA(XLOOKUP(FILTER(INDIRECT(""'""&amp;CN$1&amp;""'!$C$4:$C$66""),INDIRECT(""'""&amp;CN$1&amp;""'!$D$4:$D$66"")=CN$2),$G$3:$BQ$3,$G111:$BQ111)))"),0.6)</f>
        <v>0.6</v>
      </c>
      <c r="CO111" s="207">
        <f>IFERROR(__xludf.DUMMYFUNCTION("IF(OR(CN111&gt;$BS111+$BT111*$BT$2,CN111&lt;$BS111-$BT111*$BT$2),AVEDEV(ARRAYFORMULA(XLOOKUP(FILTER(INDIRECT(""'""&amp;CN$1&amp;""'!$C$4:$C$66""),INDIRECT(""'""&amp;CN$1&amp;""'!$D$4:$D$66"")=CN$2),$G$3:$BQ$3,$G111:$BQ111))),"""")"),0.4800000000000001)</f>
        <v>0.48</v>
      </c>
      <c r="CP111" s="252"/>
      <c r="CQ111" s="251">
        <f>IFERROR(__xludf.DUMMYFUNCTION("AVERAGE(ARRAYFORMULA(XLOOKUP(FILTER(INDIRECT(""'""&amp;CQ$1&amp;""'!$C$4:$C$66""),INDIRECT(""'""&amp;CQ$1&amp;""'!$D$4:$D$66"")=CQ$2),$G$3:$BQ$3,$G111:$BQ111)))"),0.07142857142857142)</f>
        <v>0.07142857143</v>
      </c>
      <c r="CR111" s="207" t="str">
        <f>IFERROR(__xludf.DUMMYFUNCTION("IF(OR(CQ111&gt;$BS111+$BT111*$BT$2,CQ111&lt;$BS111-$BT111*$BT$2),AVEDEV(ARRAYFORMULA(XLOOKUP(FILTER(INDIRECT(""'""&amp;CQ$1&amp;""'!$C$4:$C$66""),INDIRECT(""'""&amp;CQ$1&amp;""'!$D$4:$D$66"")=CQ$2),$G$3:$BQ$3,$G111:$BQ111))),"""")"),"")</f>
        <v/>
      </c>
      <c r="CS111" s="251">
        <f>IFERROR(__xludf.DUMMYFUNCTION("AVERAGE(ARRAYFORMULA(XLOOKUP(FILTER(INDIRECT(""'""&amp;CS$1&amp;""'!$C$4:$C$66""),INDIRECT(""'""&amp;CS$1&amp;""'!$D$4:$D$66"")=CS$2),$G$3:$BQ$3,$G111:$BQ111)))"),0.3333333333333333)</f>
        <v>0.3333333333</v>
      </c>
      <c r="CT111" s="207" t="str">
        <f>IFERROR(__xludf.DUMMYFUNCTION("IF(OR(CS111&gt;$BS111+$BT111*$BT$2,CS111&lt;$BS111-$BT111*$BT$2),AVEDEV(ARRAYFORMULA(XLOOKUP(FILTER(INDIRECT(""'""&amp;CS$1&amp;""'!$C$4:$C$66""),INDIRECT(""'""&amp;CS$1&amp;""'!$D$4:$D$66"")=CS$2),$G$3:$BQ$3,$G111:$BQ111))),"""")"),"")</f>
        <v/>
      </c>
      <c r="CU111" s="251">
        <f>IFERROR(__xludf.DUMMYFUNCTION("AVERAGE(ARRAYFORMULA(XLOOKUP(FILTER(INDIRECT(""'""&amp;CU$1&amp;""'!$C$4:$C$66""),INDIRECT(""'""&amp;CU$1&amp;""'!$D$4:$D$66"")=CU$2),$G$3:$BQ$3,$G111:$BQ111)))"),0.0)</f>
        <v>0</v>
      </c>
      <c r="CV111" s="207" t="str">
        <f>IFERROR(__xludf.DUMMYFUNCTION("IF(OR(CU111&gt;$BS111+$BT111*$BT$2,CU111&lt;$BS111-$BT111*$BT$2),AVEDEV(ARRAYFORMULA(XLOOKUP(FILTER(INDIRECT(""'""&amp;CU$1&amp;""'!$C$4:$C$66""),INDIRECT(""'""&amp;CU$1&amp;""'!$D$4:$D$66"")=CU$2),$G$3:$BQ$3,$G111:$BQ111))),"""")"),"")</f>
        <v/>
      </c>
      <c r="CW111" s="251">
        <f>IFERROR(__xludf.DUMMYFUNCTION("AVERAGE(ARRAYFORMULA(XLOOKUP(FILTER(INDIRECT(""'""&amp;CW$1&amp;""'!$C$4:$C$66""),INDIRECT(""'""&amp;CW$1&amp;""'!$D$4:$D$66"")=CW$2),$G$3:$BQ$3,$G111:$BQ111)))"),-1.0)</f>
        <v>-1</v>
      </c>
      <c r="CX111" s="207">
        <f>IFERROR(__xludf.DUMMYFUNCTION("IF(OR(CW111&gt;$BS111+$BT111*$BT$2,CW111&lt;$BS111-$BT111*$BT$2),AVEDEV(ARRAYFORMULA(XLOOKUP(FILTER(INDIRECT(""'""&amp;CW$1&amp;""'!$C$4:$C$66""),INDIRECT(""'""&amp;CW$1&amp;""'!$D$4:$D$66"")=CW$2),$G$3:$BQ$3,$G111:$BQ111))),"""")"),0.0)</f>
        <v>0</v>
      </c>
      <c r="CY111" s="251">
        <f>IFERROR(__xludf.DUMMYFUNCTION("AVERAGE(ARRAYFORMULA(XLOOKUP(FILTER(INDIRECT(""'""&amp;CY$1&amp;""'!$C$4:$C$66""),INDIRECT(""'""&amp;CY$1&amp;""'!$D$4:$D$66"")=CY$2),$G$3:$BQ$3,$G111:$BQ111)))"),0.0)</f>
        <v>0</v>
      </c>
      <c r="CZ111" s="207" t="str">
        <f>IFERROR(__xludf.DUMMYFUNCTION("IF(OR(CY111&gt;$BS111+$BT111*$BT$2,CY111&lt;$BS111-$BT111*$BT$2),AVEDEV(ARRAYFORMULA(XLOOKUP(FILTER(INDIRECT(""'""&amp;CY$1&amp;""'!$C$4:$C$66""),INDIRECT(""'""&amp;CY$1&amp;""'!$D$4:$D$66"")=CY$2),$G$3:$BQ$3,$G111:$BQ111))),"""")"),"")</f>
        <v/>
      </c>
      <c r="DA111" s="252"/>
      <c r="DB111" s="251">
        <f>IFERROR(__xludf.DUMMYFUNCTION("AVERAGE(ARRAYFORMULA(XLOOKUP(FILTER(INDIRECT(""'""&amp;DB$1&amp;""'!$C$4:$C$66""),INDIRECT(""'""&amp;DB$1&amp;""'!$D$4:$D$66"")=DB$2),$G$3:$BQ$3,$G111:$BQ111)))"),0.03333333333333333)</f>
        <v>0.03333333333</v>
      </c>
      <c r="DC111" s="207" t="str">
        <f>IFERROR(__xludf.DUMMYFUNCTION("IF(OR(DB111&gt;$BS111+$BT111*$BT$2,DB111&lt;$BS111-$BT111*$BT$2),AVEDEV(ARRAYFORMULA(XLOOKUP(FILTER(INDIRECT(""'""&amp;DB$1&amp;""'!$C$4:$C$66""),INDIRECT(""'""&amp;DB$1&amp;""'!$D$4:$D$66"")=DB$2),$G$3:$BQ$3,$G111:$BQ111))),"""")"),"")</f>
        <v/>
      </c>
      <c r="DD111" s="251">
        <f>IFERROR(__xludf.DUMMYFUNCTION("AVERAGE(ARRAYFORMULA(XLOOKUP(FILTER(INDIRECT(""'""&amp;DD$1&amp;""'!$C$4:$C$66""),INDIRECT(""'""&amp;DD$1&amp;""'!$D$4:$D$66"")=DD$2),$G$3:$BQ$3,$G111:$BQ111)))"),0.4444444444444444)</f>
        <v>0.4444444444</v>
      </c>
      <c r="DE111" s="207" t="str">
        <f>IFERROR(__xludf.DUMMYFUNCTION("IF(OR(DD111&gt;$BS111+$BT111*$BT$2,DD111&lt;$BS111-$BT111*$BT$2),AVEDEV(ARRAYFORMULA(XLOOKUP(FILTER(INDIRECT(""'""&amp;DD$1&amp;""'!$C$4:$C$66""),INDIRECT(""'""&amp;DD$1&amp;""'!$D$4:$D$66"")=DD$2),$G$3:$BQ$3,$G111:$BQ111))),"""")"),"")</f>
        <v/>
      </c>
      <c r="DF111" s="251">
        <f>IFERROR(__xludf.DUMMYFUNCTION("AVERAGE(ARRAYFORMULA(XLOOKUP(FILTER(INDIRECT(""'""&amp;DF$1&amp;""'!$C$4:$C$66""),INDIRECT(""'""&amp;DF$1&amp;""'!$D$4:$D$66"")=DF$2),$G$3:$BQ$3,$G111:$BQ111)))"),0.375)</f>
        <v>0.375</v>
      </c>
      <c r="DG111" s="207" t="str">
        <f>IFERROR(__xludf.DUMMYFUNCTION("IF(OR(DF111&gt;$BS111+$BT111*$BT$2,DF111&lt;$BS111-$BT111*$BT$2),AVEDEV(ARRAYFORMULA(XLOOKUP(FILTER(INDIRECT(""'""&amp;DF$1&amp;""'!$C$4:$C$66""),INDIRECT(""'""&amp;DF$1&amp;""'!$D$4:$D$66"")=DF$2),$G$3:$BQ$3,$G111:$BQ111))),"""")"),"")</f>
        <v/>
      </c>
      <c r="DH111" s="251">
        <f>IFERROR(__xludf.DUMMYFUNCTION("AVERAGE(ARRAYFORMULA(XLOOKUP(FILTER(INDIRECT(""'""&amp;DH$1&amp;""'!$C$4:$C$66""),INDIRECT(""'""&amp;DH$1&amp;""'!$D$4:$D$66"")=DH$2),$G$3:$BQ$3,$G111:$BQ111)))"),-0.4444444444444444)</f>
        <v>-0.4444444444</v>
      </c>
      <c r="DI111" s="207">
        <f>IFERROR(__xludf.DUMMYFUNCTION("IF(OR(DH111&gt;$BS111+$BT111*$BT$2,DH111&lt;$BS111-$BT111*$BT$2),AVEDEV(ARRAYFORMULA(XLOOKUP(FILTER(INDIRECT(""'""&amp;DH$1&amp;""'!$C$4:$C$66""),INDIRECT(""'""&amp;DH$1&amp;""'!$D$4:$D$66"")=DH$2),$G$3:$BQ$3,$G111:$BQ111))),"""")"),0.6172839506172839)</f>
        <v>0.6172839506</v>
      </c>
      <c r="DJ111" s="243"/>
    </row>
    <row r="112">
      <c r="A112" s="2"/>
      <c r="B112" s="204">
        <v>108.0</v>
      </c>
      <c r="C112" s="204" t="s">
        <v>540</v>
      </c>
      <c r="D112" s="204" t="s">
        <v>554</v>
      </c>
      <c r="E112" s="205" t="b">
        <f>VLOOKUP(D112,'Feature Set List'!A109:C246,2,0)</f>
        <v>1</v>
      </c>
      <c r="F112" s="205" t="b">
        <f>VLOOKUP(D112,'Feature Set List'!A109:C246,3,0)</f>
        <v>1</v>
      </c>
      <c r="G112" s="205">
        <v>0.43879361</v>
      </c>
      <c r="H112" s="205">
        <v>0.12832643</v>
      </c>
      <c r="I112" s="205">
        <v>1.07037256</v>
      </c>
      <c r="J112" s="205">
        <v>-0.6664695</v>
      </c>
      <c r="K112" s="205">
        <v>-0.1655825</v>
      </c>
      <c r="L112" s="205">
        <v>0.21348315</v>
      </c>
      <c r="M112" s="205">
        <v>-0.5996452</v>
      </c>
      <c r="N112" s="205">
        <v>-0.0479007</v>
      </c>
      <c r="O112" s="205">
        <v>0.16913069</v>
      </c>
      <c r="P112" s="205">
        <v>0.35304554</v>
      </c>
      <c r="Q112" s="205">
        <v>-0.8187463</v>
      </c>
      <c r="R112" s="205">
        <v>0.16351271</v>
      </c>
      <c r="S112" s="205">
        <v>0.37049083</v>
      </c>
      <c r="T112" s="205">
        <v>0.0</v>
      </c>
      <c r="U112" s="205">
        <v>0.88409225</v>
      </c>
      <c r="V112" s="205">
        <v>-1.1948551</v>
      </c>
      <c r="W112" s="205">
        <v>0.41691307</v>
      </c>
      <c r="X112" s="205">
        <v>-0.5943229</v>
      </c>
      <c r="Y112" s="205">
        <v>0.43435837</v>
      </c>
      <c r="Z112" s="205">
        <v>-1.4382614</v>
      </c>
      <c r="AA112" s="205">
        <v>-0.2060911</v>
      </c>
      <c r="AB112" s="205">
        <v>1.02927262</v>
      </c>
      <c r="AC112" s="205">
        <v>0.39000591</v>
      </c>
      <c r="AD112" s="205">
        <v>-1.2879066</v>
      </c>
      <c r="AE112" s="205">
        <v>-0.614725</v>
      </c>
      <c r="AF112" s="205">
        <v>-0.1774098</v>
      </c>
      <c r="AG112" s="205">
        <v>-1.4036665</v>
      </c>
      <c r="AH112" s="205">
        <v>0.11709048</v>
      </c>
      <c r="AI112" s="205">
        <v>-0.1505027</v>
      </c>
      <c r="AJ112" s="205">
        <v>1.25221762</v>
      </c>
      <c r="AK112" s="205">
        <v>-1.0487877</v>
      </c>
      <c r="AL112" s="205">
        <v>-0.0697812</v>
      </c>
      <c r="AM112" s="205">
        <v>0.66321703</v>
      </c>
      <c r="AN112" s="205">
        <v>0.05174453</v>
      </c>
      <c r="AO112" s="205">
        <v>0.8397398</v>
      </c>
      <c r="AP112" s="205">
        <v>-1.2905973</v>
      </c>
      <c r="AQ112" s="205">
        <v>-1.2224423</v>
      </c>
      <c r="AR112" s="205">
        <v>-1.2548788</v>
      </c>
      <c r="AS112" s="205">
        <v>0.3187463</v>
      </c>
      <c r="AT112" s="205">
        <v>0.24778238</v>
      </c>
      <c r="AU112" s="205">
        <v>-0.9062685</v>
      </c>
      <c r="AV112" s="205">
        <v>0.87344766</v>
      </c>
      <c r="AW112" s="205">
        <v>-0.2918391</v>
      </c>
      <c r="AX112" s="205">
        <v>-1.096984</v>
      </c>
      <c r="AY112" s="205">
        <v>0.3746304</v>
      </c>
      <c r="AZ112" s="205">
        <v>0.55322295</v>
      </c>
      <c r="BA112" s="205">
        <v>0.19810763</v>
      </c>
      <c r="BB112" s="205">
        <v>-0.1635127</v>
      </c>
      <c r="BC112" s="205">
        <v>-0.1428149</v>
      </c>
      <c r="BD112" s="205">
        <v>0.62418687</v>
      </c>
      <c r="BE112" s="205">
        <v>0.7909521</v>
      </c>
      <c r="BF112" s="205">
        <v>0.12773507</v>
      </c>
      <c r="BG112" s="205">
        <v>0.76788882</v>
      </c>
      <c r="BH112" s="205">
        <v>-1.3306919</v>
      </c>
      <c r="BI112" s="205">
        <v>-0.4908338</v>
      </c>
      <c r="BJ112" s="205">
        <v>0.36073329</v>
      </c>
      <c r="BK112" s="205">
        <v>-0.5079834</v>
      </c>
      <c r="BL112" s="205">
        <v>0.94382022</v>
      </c>
      <c r="BM112" s="205">
        <v>-0.2099349</v>
      </c>
      <c r="BN112" s="205">
        <v>-0.2534004</v>
      </c>
      <c r="BO112" s="205">
        <v>0.578356</v>
      </c>
      <c r="BP112" s="205">
        <v>-0.1933767</v>
      </c>
      <c r="BQ112" s="205">
        <v>-0.5987581</v>
      </c>
      <c r="BR112" s="206"/>
      <c r="BS112" s="250">
        <f t="shared" si="1"/>
        <v>-0.07450085889</v>
      </c>
      <c r="BT112" s="250">
        <f t="shared" si="2"/>
        <v>0.5765321966</v>
      </c>
      <c r="BU112" s="206"/>
      <c r="BV112" s="207">
        <f>IFERROR(__xludf.DUMMYFUNCTION("AVERAGE(ARRAYFORMULA(XLOOKUP(FILTER(INDIRECT(""'""&amp;BV$1&amp;""'!$C$4:$C$66""),INDIRECT(""'""&amp;BV$1&amp;""'!$D$4:$D$66"")=BV$2),$G$3:$BQ$3,$G112:$BQ112)))"),0.43934273857142864)</f>
        <v>0.4393427386</v>
      </c>
      <c r="BW112" s="207" t="str">
        <f>IFERROR(__xludf.DUMMYFUNCTION("IF(OR(BV112&gt;$BS112+$BT112*$BT$2,BV112&lt;$BS112-$BT112*$BT$2),AVEDEV(ARRAYFORMULA(XLOOKUP(FILTER(INDIRECT(""'""&amp;BV$1&amp;""'!$C$4:$C$66""),INDIRECT(""'""&amp;BV$1&amp;""'!$D$4:$D$66"")=BV$2),$G$3:$BQ$3,$G112:$BQ112))),"""")"),"")</f>
        <v/>
      </c>
      <c r="BX112" s="207">
        <f>IFERROR(__xludf.DUMMYFUNCTION("AVERAGE(ARRAYFORMULA(XLOOKUP(FILTER(INDIRECT(""'""&amp;BX$1&amp;""'!$C$4:$C$66""),INDIRECT(""'""&amp;BX$1&amp;""'!$D$4:$D$66"")=BX$2),$G$3:$BQ$3,$G112:$BQ112)))"),-0.24233758642857145)</f>
        <v>-0.2423375864</v>
      </c>
      <c r="BY112" s="207" t="str">
        <f>IFERROR(__xludf.DUMMYFUNCTION("IF(OR(BX112&gt;$BS112+$BT112*$BT$2,BX112&lt;$BS112-$BT112*$BT$2),AVEDEV(ARRAYFORMULA(XLOOKUP(FILTER(INDIRECT(""'""&amp;BX$1&amp;""'!$C$4:$C$66""),INDIRECT(""'""&amp;BX$1&amp;""'!$D$4:$D$66"")=BX$2),$G$3:$BQ$3,$G112:$BQ112))),"""")"),"")</f>
        <v/>
      </c>
      <c r="BZ112" s="207">
        <f>IFERROR(__xludf.DUMMYFUNCTION("AVERAGE(ARRAYFORMULA(XLOOKUP(FILTER(INDIRECT(""'""&amp;BZ$1&amp;""'!$C$4:$C$66""),INDIRECT(""'""&amp;BZ$1&amp;""'!$D$4:$D$66"")=BZ$2),$G$3:$BQ$3,$G112:$BQ112)))"),0.14735767454545454)</f>
        <v>0.1473576745</v>
      </c>
      <c r="CA112" s="207" t="str">
        <f>IFERROR(__xludf.DUMMYFUNCTION("IF(OR(BZ112&gt;$BS112+$BT112*$BT$2,BZ112&lt;$BS112-$BT112*$BT$2),AVEDEV(ARRAYFORMULA(XLOOKUP(FILTER(INDIRECT(""'""&amp;BZ$1&amp;""'!$C$4:$C$66""),INDIRECT(""'""&amp;BZ$1&amp;""'!$D$4:$D$66"")=BZ$2),$G$3:$BQ$3,$G112:$BQ112))),"""")"),"")</f>
        <v/>
      </c>
      <c r="CB112" s="209"/>
      <c r="CC112" s="207">
        <f>IFERROR(__xludf.DUMMYFUNCTION("AVERAGE(ARRAYFORMULA(XLOOKUP(FILTER(INDIRECT(""'""&amp;CC$1&amp;""'!$C$4:$C$66""),INDIRECT(""'""&amp;CC$1&amp;""'!$D$4:$D$66"")=CC$2),$G$3:$BQ$3,$G112:$BQ112)))"),-0.429559060625)</f>
        <v>-0.4295590606</v>
      </c>
      <c r="CD112" s="207" t="str">
        <f>IFERROR(__xludf.DUMMYFUNCTION("IF(OR(CC112&gt;$BS112+$BT112*$BT$2,CC112&lt;$BS112-$BT112*$BT$2),AVEDEV(ARRAYFORMULA(XLOOKUP(FILTER(INDIRECT(""'""&amp;CC$1&amp;""'!$C$4:$C$66""),INDIRECT(""'""&amp;CC$1&amp;""'!$D$4:$D$66"")=CC$2),$G$3:$BQ$3,$G112:$BQ112))),"""")"),"")</f>
        <v/>
      </c>
      <c r="CE112" s="207">
        <f>IFERROR(__xludf.DUMMYFUNCTION("AVERAGE(ARRAYFORMULA(XLOOKUP(FILTER(INDIRECT(""'""&amp;CE$1&amp;""'!$C$4:$C$66""),INDIRECT(""'""&amp;CE$1&amp;""'!$D$4:$D$66"")=CE$2),$G$3:$BQ$3,$G112:$BQ112)))"),0.0035071809677419373)</f>
        <v>0.003507180968</v>
      </c>
      <c r="CF112" s="207" t="str">
        <f>IFERROR(__xludf.DUMMYFUNCTION("IF(OR(CE112&gt;$BS112+$BT112*$BT$2,CE112&lt;$BS112-$BT112*$BT$2),AVEDEV(ARRAYFORMULA(XLOOKUP(FILTER(INDIRECT(""'""&amp;CE$1&amp;""'!$C$4:$C$66""),INDIRECT(""'""&amp;CE$1&amp;""'!$D$4:$D$66"")=CE$2),$G$3:$BQ$3,$G112:$BQ112))),"""")"),"")</f>
        <v/>
      </c>
      <c r="CG112" s="207">
        <f>IFERROR(__xludf.DUMMYFUNCTION("AVERAGE(ARRAYFORMULA(XLOOKUP(FILTER(INDIRECT(""'""&amp;CG$1&amp;""'!$C$4:$C$66""),INDIRECT(""'""&amp;CG$1&amp;""'!$D$4:$D$66"")=CG$2),$G$3:$BQ$3,$G112:$BQ112)))"),0.32755765800000003)</f>
        <v>0.327557658</v>
      </c>
      <c r="CH112" s="207" t="str">
        <f>IFERROR(__xludf.DUMMYFUNCTION("IF(OR(CG112&gt;$BS112+$BT112*$BT$2,CG112&lt;$BS112-$BT112*$BT$2),AVEDEV(ARRAYFORMULA(XLOOKUP(FILTER(INDIRECT(""'""&amp;CG$1&amp;""'!$C$4:$C$66""),INDIRECT(""'""&amp;CG$1&amp;""'!$D$4:$D$66"")=CG$2),$G$3:$BQ$3,$G112:$BQ112))),"""")"),"")</f>
        <v/>
      </c>
      <c r="CI112" s="206"/>
      <c r="CJ112" s="251">
        <f>IFERROR(__xludf.DUMMYFUNCTION("AVERAGE(ARRAYFORMULA(XLOOKUP(FILTER(INDIRECT(""'""&amp;CJ$1&amp;""'!$C$4:$C$66""),INDIRECT(""'""&amp;CJ$1&amp;""'!$D$4:$D$66"")=CJ$2),$G$3:$BQ$3,$G112:$BQ112)))"),0.20494776133333334)</f>
        <v>0.2049477613</v>
      </c>
      <c r="CK112" s="207" t="str">
        <f>IFERROR(__xludf.DUMMYFUNCTION("IF(OR(CJ112&gt;$BS112+$BT112*$BT$2,CJ112&lt;$BS112-$BT112*$BT$2),AVEDEV(ARRAYFORMULA(XLOOKUP(FILTER(INDIRECT(""'""&amp;CJ$1&amp;""'!$C$4:$C$66""),INDIRECT(""'""&amp;CJ$1&amp;""'!$D$4:$D$66"")=CJ$2),$G$3:$BQ$3,$G112:$BQ112))),"""")"),"")</f>
        <v/>
      </c>
      <c r="CL112" s="251">
        <f>IFERROR(__xludf.DUMMYFUNCTION("AVERAGE(ARRAYFORMULA(XLOOKUP(FILTER(INDIRECT(""'""&amp;CL$1&amp;""'!$C$4:$C$66""),INDIRECT(""'""&amp;CL$1&amp;""'!$D$4:$D$66"")=CL$2),$G$3:$BQ$3,$G112:$BQ112)))"),-0.2855812812820513)</f>
        <v>-0.2855812813</v>
      </c>
      <c r="CM112" s="207" t="str">
        <f>IFERROR(__xludf.DUMMYFUNCTION("IF(OR(CL112&gt;$BS112+$BT112*$BT$2,CL112&lt;$BS112-$BT112*$BT$2),AVEDEV(ARRAYFORMULA(XLOOKUP(FILTER(INDIRECT(""'""&amp;CL$1&amp;""'!$C$4:$C$66""),INDIRECT(""'""&amp;CL$1&amp;""'!$D$4:$D$66"")=CL$2),$G$3:$BQ$3,$G112:$BQ112))),"""")"),"")</f>
        <v/>
      </c>
      <c r="CN112" s="251">
        <f>IFERROR(__xludf.DUMMYFUNCTION("AVERAGE(ARRAYFORMULA(XLOOKUP(FILTER(INDIRECT(""'""&amp;CN$1&amp;""'!$C$4:$C$66""),INDIRECT(""'""&amp;CN$1&amp;""'!$D$4:$D$66"")=CN$2),$G$3:$BQ$3,$G112:$BQ112)))"),0.32755765800000003)</f>
        <v>0.327557658</v>
      </c>
      <c r="CO112" s="207" t="str">
        <f>IFERROR(__xludf.DUMMYFUNCTION("IF(OR(CN112&gt;$BS112+$BT112*$BT$2,CN112&lt;$BS112-$BT112*$BT$2),AVEDEV(ARRAYFORMULA(XLOOKUP(FILTER(INDIRECT(""'""&amp;CN$1&amp;""'!$C$4:$C$66""),INDIRECT(""'""&amp;CN$1&amp;""'!$D$4:$D$66"")=CN$2),$G$3:$BQ$3,$G112:$BQ112))),"""")"),"")</f>
        <v/>
      </c>
      <c r="CP112" s="252"/>
      <c r="CQ112" s="251">
        <f>IFERROR(__xludf.DUMMYFUNCTION("AVERAGE(ARRAYFORMULA(XLOOKUP(FILTER(INDIRECT(""'""&amp;CQ$1&amp;""'!$C$4:$C$66""),INDIRECT(""'""&amp;CQ$1&amp;""'!$D$4:$D$66"")=CQ$2),$G$3:$BQ$3,$G112:$BQ112)))"),-0.5895349285714284)</f>
        <v>-0.5895349286</v>
      </c>
      <c r="CR112" s="207" t="str">
        <f>IFERROR(__xludf.DUMMYFUNCTION("IF(OR(CQ112&gt;$BS112+$BT112*$BT$2,CQ112&lt;$BS112-$BT112*$BT$2),AVEDEV(ARRAYFORMULA(XLOOKUP(FILTER(INDIRECT(""'""&amp;CQ$1&amp;""'!$C$4:$C$66""),INDIRECT(""'""&amp;CQ$1&amp;""'!$D$4:$D$66"")=CQ$2),$G$3:$BQ$3,$G112:$BQ112))),"""")"),"")</f>
        <v/>
      </c>
      <c r="CS112" s="251">
        <f>IFERROR(__xludf.DUMMYFUNCTION("AVERAGE(ARRAYFORMULA(XLOOKUP(FILTER(INDIRECT(""'""&amp;CS$1&amp;""'!$C$4:$C$66""),INDIRECT(""'""&amp;CS$1&amp;""'!$D$4:$D$66"")=CS$2),$G$3:$BQ$3,$G112:$BQ112)))"),0.14196070777777778)</f>
        <v>0.1419607078</v>
      </c>
      <c r="CT112" s="207" t="str">
        <f>IFERROR(__xludf.DUMMYFUNCTION("IF(OR(CS112&gt;$BS112+$BT112*$BT$2,CS112&lt;$BS112-$BT112*$BT$2),AVEDEV(ARRAYFORMULA(XLOOKUP(FILTER(INDIRECT(""'""&amp;CS$1&amp;""'!$C$4:$C$66""),INDIRECT(""'""&amp;CS$1&amp;""'!$D$4:$D$66"")=CS$2),$G$3:$BQ$3,$G112:$BQ112))),"""")"),"")</f>
        <v/>
      </c>
      <c r="CU112" s="251">
        <f>IFERROR(__xludf.DUMMYFUNCTION("AVERAGE(ARRAYFORMULA(XLOOKUP(FILTER(INDIRECT(""'""&amp;CU$1&amp;""'!$C$4:$C$66""),INDIRECT(""'""&amp;CU$1&amp;""'!$D$4:$D$66"")=CU$2),$G$3:$BQ$3,$G112:$BQ112)))"),0.4895166890909092)</f>
        <v>0.4895166891</v>
      </c>
      <c r="CV112" s="207" t="str">
        <f>IFERROR(__xludf.DUMMYFUNCTION("IF(OR(CU112&gt;$BS112+$BT112*$BT$2,CU112&lt;$BS112-$BT112*$BT$2),AVEDEV(ARRAYFORMULA(XLOOKUP(FILTER(INDIRECT(""'""&amp;CU$1&amp;""'!$C$4:$C$66""),INDIRECT(""'""&amp;CU$1&amp;""'!$D$4:$D$66"")=CU$2),$G$3:$BQ$3,$G112:$BQ112))),"""")"),"")</f>
        <v/>
      </c>
      <c r="CW112" s="251">
        <f>IFERROR(__xludf.DUMMYFUNCTION("AVERAGE(ARRAYFORMULA(XLOOKUP(FILTER(INDIRECT(""'""&amp;CW$1&amp;""'!$C$4:$C$66""),INDIRECT(""'""&amp;CW$1&amp;""'!$D$4:$D$66"")=CW$2),$G$3:$BQ$3,$G112:$BQ112)))"),-1.30929925)</f>
        <v>-1.30929925</v>
      </c>
      <c r="CX112" s="207">
        <f>IFERROR(__xludf.DUMMYFUNCTION("IF(OR(CW112&gt;$BS112+$BT112*$BT$2,CW112&lt;$BS112-$BT112*$BT$2),AVEDEV(ARRAYFORMULA(XLOOKUP(FILTER(INDIRECT(""'""&amp;CW$1&amp;""'!$C$4:$C$66""),INDIRECT(""'""&amp;CW$1&amp;""'!$D$4:$D$66"")=CW$2),$G$3:$BQ$3,$G112:$BQ112))),"""")"),0.021392650000000013)</f>
        <v>0.02139265</v>
      </c>
      <c r="CY112" s="251">
        <f>IFERROR(__xludf.DUMMYFUNCTION("AVERAGE(ARRAYFORMULA(XLOOKUP(FILTER(INDIRECT(""'""&amp;CY$1&amp;""'!$C$4:$C$66""),INDIRECT(""'""&amp;CY$1&amp;""'!$D$4:$D$66"")=CY$2),$G$3:$BQ$3,$G112:$BQ112)))"),-0.3064796828571429)</f>
        <v>-0.3064796829</v>
      </c>
      <c r="CZ112" s="207" t="str">
        <f>IFERROR(__xludf.DUMMYFUNCTION("IF(OR(CY112&gt;$BS112+$BT112*$BT$2,CY112&lt;$BS112-$BT112*$BT$2),AVEDEV(ARRAYFORMULA(XLOOKUP(FILTER(INDIRECT(""'""&amp;CY$1&amp;""'!$C$4:$C$66""),INDIRECT(""'""&amp;CY$1&amp;""'!$D$4:$D$66"")=CY$2),$G$3:$BQ$3,$G112:$BQ112))),"""")"),"")</f>
        <v/>
      </c>
      <c r="DA112" s="252"/>
      <c r="DB112" s="251">
        <f>IFERROR(__xludf.DUMMYFUNCTION("AVERAGE(ARRAYFORMULA(XLOOKUP(FILTER(INDIRECT(""'""&amp;DB$1&amp;""'!$C$4:$C$66""),INDIRECT(""'""&amp;DB$1&amp;""'!$D$4:$D$66"")=DB$2),$G$3:$BQ$3,$G112:$BQ112)))"),-0.3105016723333334)</f>
        <v>-0.3105016723</v>
      </c>
      <c r="DC112" s="207" t="str">
        <f>IFERROR(__xludf.DUMMYFUNCTION("IF(OR(DB112&gt;$BS112+$BT112*$BT$2,DB112&lt;$BS112-$BT112*$BT$2),AVEDEV(ARRAYFORMULA(XLOOKUP(FILTER(INDIRECT(""'""&amp;DB$1&amp;""'!$C$4:$C$66""),INDIRECT(""'""&amp;DB$1&amp;""'!$D$4:$D$66"")=DB$2),$G$3:$BQ$3,$G112:$BQ112))),"""")"),"")</f>
        <v/>
      </c>
      <c r="DD112" s="251">
        <f>IFERROR(__xludf.DUMMYFUNCTION("AVERAGE(ARRAYFORMULA(XLOOKUP(FILTER(INDIRECT(""'""&amp;DD$1&amp;""'!$C$4:$C$66""),INDIRECT(""'""&amp;DD$1&amp;""'!$D$4:$D$66"")=DD$2),$G$3:$BQ$3,$G112:$BQ112)))"),0.18713450666666667)</f>
        <v>0.1871345067</v>
      </c>
      <c r="DE112" s="207" t="str">
        <f>IFERROR(__xludf.DUMMYFUNCTION("IF(OR(DD112&gt;$BS112+$BT112*$BT$2,DD112&lt;$BS112-$BT112*$BT$2),AVEDEV(ARRAYFORMULA(XLOOKUP(FILTER(INDIRECT(""'""&amp;DD$1&amp;""'!$C$4:$C$66""),INDIRECT(""'""&amp;DD$1&amp;""'!$D$4:$D$66"")=DD$2),$G$3:$BQ$3,$G112:$BQ112))),"""")"),"")</f>
        <v/>
      </c>
      <c r="DF112" s="251">
        <f>IFERROR(__xludf.DUMMYFUNCTION("AVERAGE(ARRAYFORMULA(XLOOKUP(FILTER(INDIRECT(""'""&amp;DF$1&amp;""'!$C$4:$C$66""),INDIRECT(""'""&amp;DF$1&amp;""'!$D$4:$D$66"")=DF$2),$G$3:$BQ$3,$G112:$BQ112)))"),0.44515079375)</f>
        <v>0.4451507938</v>
      </c>
      <c r="DG112" s="207" t="str">
        <f>IFERROR(__xludf.DUMMYFUNCTION("IF(OR(DF112&gt;$BS112+$BT112*$BT$2,DF112&lt;$BS112-$BT112*$BT$2),AVEDEV(ARRAYFORMULA(XLOOKUP(FILTER(INDIRECT(""'""&amp;DF$1&amp;""'!$C$4:$C$66""),INDIRECT(""'""&amp;DF$1&amp;""'!$D$4:$D$66"")=DF$2),$G$3:$BQ$3,$G112:$BQ112))),"""")"),"")</f>
        <v/>
      </c>
      <c r="DH112" s="251">
        <f>IFERROR(__xludf.DUMMYFUNCTION("AVERAGE(ARRAYFORMULA(XLOOKUP(FILTER(INDIRECT(""'""&amp;DH$1&amp;""'!$C$4:$C$66""),INDIRECT(""'""&amp;DH$1&amp;""'!$D$4:$D$66"")=DH$2),$G$3:$BQ$3,$G112:$BQ112)))"),-0.14961889999999997)</f>
        <v>-0.1496189</v>
      </c>
      <c r="DI112" s="207" t="str">
        <f>IFERROR(__xludf.DUMMYFUNCTION("IF(OR(DH112&gt;$BS112+$BT112*$BT$2,DH112&lt;$BS112-$BT112*$BT$2),AVEDEV(ARRAYFORMULA(XLOOKUP(FILTER(INDIRECT(""'""&amp;DH$1&amp;""'!$C$4:$C$66""),INDIRECT(""'""&amp;DH$1&amp;""'!$D$4:$D$66"")=DH$2),$G$3:$BQ$3,$G112:$BQ112))),"""")"),"")</f>
        <v/>
      </c>
      <c r="DJ112" s="243"/>
    </row>
    <row r="113">
      <c r="A113" s="2"/>
      <c r="B113" s="204">
        <v>109.0</v>
      </c>
      <c r="C113" s="204" t="s">
        <v>540</v>
      </c>
      <c r="D113" s="204" t="s">
        <v>555</v>
      </c>
      <c r="E113" s="205" t="b">
        <f>VLOOKUP(D113,'Feature Set List'!A110:C246,2,0)</f>
        <v>1</v>
      </c>
      <c r="F113" s="205" t="b">
        <f>VLOOKUP(D113,'Feature Set List'!A110:C246,3,0)</f>
        <v>1</v>
      </c>
      <c r="G113" s="205">
        <v>0.69456553</v>
      </c>
      <c r="H113" s="205">
        <v>0.03952339</v>
      </c>
      <c r="I113" s="205">
        <v>1.20430108</v>
      </c>
      <c r="J113" s="205">
        <v>-0.4411508</v>
      </c>
      <c r="K113" s="205">
        <v>-0.8311537</v>
      </c>
      <c r="L113" s="205">
        <v>0.0</v>
      </c>
      <c r="M113" s="205">
        <v>-1.101424</v>
      </c>
      <c r="N113" s="205">
        <v>-0.2290032</v>
      </c>
      <c r="O113" s="205">
        <v>0.15286254</v>
      </c>
      <c r="P113" s="205">
        <v>0.30281895</v>
      </c>
      <c r="Q113" s="205">
        <v>-1.2874164</v>
      </c>
      <c r="R113" s="205">
        <v>0.03254868</v>
      </c>
      <c r="S113" s="205">
        <v>0.43475734</v>
      </c>
      <c r="T113" s="205">
        <v>-0.2324906</v>
      </c>
      <c r="U113" s="205">
        <v>0.83173496</v>
      </c>
      <c r="V113" s="205">
        <v>-0.1662307</v>
      </c>
      <c r="W113" s="205">
        <v>0.1871549</v>
      </c>
      <c r="X113" s="205">
        <v>0.25690206</v>
      </c>
      <c r="Y113" s="205">
        <v>-0.0848591</v>
      </c>
      <c r="Z113" s="205">
        <v>-0.3353676</v>
      </c>
      <c r="AA113" s="205">
        <v>0.49404243</v>
      </c>
      <c r="AB113" s="205">
        <v>0.90671316</v>
      </c>
      <c r="AC113" s="205">
        <v>-0.1255449</v>
      </c>
      <c r="AD113" s="205">
        <v>-0.5376344</v>
      </c>
      <c r="AE113" s="205">
        <v>0.26736414</v>
      </c>
      <c r="AF113" s="205">
        <v>-0.3963964</v>
      </c>
      <c r="AG113" s="205">
        <v>0.480093</v>
      </c>
      <c r="AH113" s="205">
        <v>-0.4318512</v>
      </c>
      <c r="AI113" s="205">
        <v>-0.5614647</v>
      </c>
      <c r="AJ113" s="205">
        <v>1.27637315</v>
      </c>
      <c r="AK113" s="205">
        <v>-1.5925603</v>
      </c>
      <c r="AL113" s="205">
        <v>-0.43127</v>
      </c>
      <c r="AM113" s="205">
        <v>0.28073235</v>
      </c>
      <c r="AN113" s="205">
        <v>-0.5213601</v>
      </c>
      <c r="AO113" s="205">
        <v>0.90787562</v>
      </c>
      <c r="AP113" s="205">
        <v>-0.3074688</v>
      </c>
      <c r="AQ113" s="205">
        <v>0.51264167</v>
      </c>
      <c r="AR113" s="205">
        <v>-1.2920663</v>
      </c>
      <c r="AS113" s="205">
        <v>0.33653008</v>
      </c>
      <c r="AT113" s="205">
        <v>0.13368207</v>
      </c>
      <c r="AU113" s="205">
        <v>-2.6742226</v>
      </c>
      <c r="AV113" s="205">
        <v>0.50566696</v>
      </c>
      <c r="AW113" s="205">
        <v>0.54925894</v>
      </c>
      <c r="AX113" s="205">
        <v>-1.5536181</v>
      </c>
      <c r="AY113" s="205">
        <v>0.63644289</v>
      </c>
      <c r="AZ113" s="205">
        <v>0.52136007</v>
      </c>
      <c r="BA113" s="205">
        <v>0.12961348</v>
      </c>
      <c r="BB113" s="205">
        <v>-0.5213601</v>
      </c>
      <c r="BC113" s="205">
        <v>-1.0607382</v>
      </c>
      <c r="BD113" s="205">
        <v>0.1034583</v>
      </c>
      <c r="BE113" s="205">
        <v>0.82417902</v>
      </c>
      <c r="BF113" s="205">
        <v>0.04301075</v>
      </c>
      <c r="BG113" s="205">
        <v>0.46091253</v>
      </c>
      <c r="BH113" s="205">
        <v>-0.1819239</v>
      </c>
      <c r="BI113" s="205">
        <v>-1.5222319</v>
      </c>
      <c r="BJ113" s="205">
        <v>-0.1313572</v>
      </c>
      <c r="BK113" s="205">
        <v>-1.273467</v>
      </c>
      <c r="BL113" s="205">
        <v>0.82766638</v>
      </c>
      <c r="BM113" s="205">
        <v>-0.628887</v>
      </c>
      <c r="BN113" s="205">
        <v>-1.1380413</v>
      </c>
      <c r="BO113" s="205">
        <v>0.70619006</v>
      </c>
      <c r="BP113" s="205">
        <v>-0.9840163</v>
      </c>
      <c r="BQ113" s="205">
        <v>-0.5573961</v>
      </c>
      <c r="BR113" s="206"/>
      <c r="BS113" s="250">
        <f t="shared" si="1"/>
        <v>-0.1284602606</v>
      </c>
      <c r="BT113" s="250">
        <f t="shared" si="2"/>
        <v>0.6094673442</v>
      </c>
      <c r="BU113" s="206"/>
      <c r="BV113" s="207">
        <f>IFERROR(__xludf.DUMMYFUNCTION("AVERAGE(ARRAYFORMULA(XLOOKUP(FILTER(INDIRECT(""'""&amp;BV$1&amp;""'!$C$4:$C$66""),INDIRECT(""'""&amp;BV$1&amp;""'!$D$4:$D$66"")=BV$2),$G$3:$BQ$3,$G113:$BQ113)))"),0.5376344042857143)</f>
        <v>0.5376344043</v>
      </c>
      <c r="BW113" s="207">
        <f>IFERROR(__xludf.DUMMYFUNCTION("IF(OR(BV113&gt;$BS113+$BT113*$BT$2,BV113&lt;$BS113-$BT113*$BT$2),AVEDEV(ARRAYFORMULA(XLOOKUP(FILTER(INDIRECT(""'""&amp;BV$1&amp;""'!$C$4:$C$66""),INDIRECT(""'""&amp;BV$1&amp;""'!$D$4:$D$66"")=BV$2),$G$3:$BQ$3,$G113:$BQ113))),"""")"),0.3827790995918367)</f>
        <v>0.3827790996</v>
      </c>
      <c r="BX113" s="207">
        <f>IFERROR(__xludf.DUMMYFUNCTION("AVERAGE(ARRAYFORMULA(XLOOKUP(FILTER(INDIRECT(""'""&amp;BX$1&amp;""'!$C$4:$C$66""),INDIRECT(""'""&amp;BX$1&amp;""'!$D$4:$D$66"")=BX$2),$G$3:$BQ$3,$G113:$BQ113)))"),-0.2352721395238095)</f>
        <v>-0.2352721395</v>
      </c>
      <c r="BY113" s="207" t="str">
        <f>IFERROR(__xludf.DUMMYFUNCTION("IF(OR(BX113&gt;$BS113+$BT113*$BT$2,BX113&lt;$BS113-$BT113*$BT$2),AVEDEV(ARRAYFORMULA(XLOOKUP(FILTER(INDIRECT(""'""&amp;BX$1&amp;""'!$C$4:$C$66""),INDIRECT(""'""&amp;BX$1&amp;""'!$D$4:$D$66"")=BX$2),$G$3:$BQ$3,$G113:$BQ113))),"""")"),"")</f>
        <v/>
      </c>
      <c r="BZ113" s="207">
        <f>IFERROR(__xludf.DUMMYFUNCTION("AVERAGE(ARRAYFORMULA(XLOOKUP(FILTER(INDIRECT(""'""&amp;BZ$1&amp;""'!$C$4:$C$66""),INDIRECT(""'""&amp;BZ$1&amp;""'!$D$4:$D$66"")=BZ$2),$G$3:$BQ$3,$G113:$BQ113)))"),-0.055322197272727254)</f>
        <v>-0.05532219727</v>
      </c>
      <c r="CA113" s="207" t="str">
        <f>IFERROR(__xludf.DUMMYFUNCTION("IF(OR(BZ113&gt;$BS113+$BT113*$BT$2,BZ113&lt;$BS113-$BT113*$BT$2),AVEDEV(ARRAYFORMULA(XLOOKUP(FILTER(INDIRECT(""'""&amp;BZ$1&amp;""'!$C$4:$C$66""),INDIRECT(""'""&amp;BZ$1&amp;""'!$D$4:$D$66"")=BZ$2),$G$3:$BQ$3,$G113:$BQ113))),"""")"),"")</f>
        <v/>
      </c>
      <c r="CB113" s="209"/>
      <c r="CC113" s="207">
        <f>IFERROR(__xludf.DUMMYFUNCTION("AVERAGE(ARRAYFORMULA(XLOOKUP(FILTER(INDIRECT(""'""&amp;CC$1&amp;""'!$C$4:$C$66""),INDIRECT(""'""&amp;CC$1&amp;""'!$D$4:$D$66"")=CC$2),$G$3:$BQ$3,$G113:$BQ113)))"),-0.11206771124999998)</f>
        <v>-0.1120677113</v>
      </c>
      <c r="CD113" s="207" t="str">
        <f>IFERROR(__xludf.DUMMYFUNCTION("IF(OR(CC113&gt;$BS113+$BT113*$BT$2,CC113&lt;$BS113-$BT113*$BT$2),AVEDEV(ARRAYFORMULA(XLOOKUP(FILTER(INDIRECT(""'""&amp;CC$1&amp;""'!$C$4:$C$66""),INDIRECT(""'""&amp;CC$1&amp;""'!$D$4:$D$66"")=CC$2),$G$3:$BQ$3,$G113:$BQ113))),"""")"),"")</f>
        <v/>
      </c>
      <c r="CE113" s="207">
        <f>IFERROR(__xludf.DUMMYFUNCTION("AVERAGE(ARRAYFORMULA(XLOOKUP(FILTER(INDIRECT(""'""&amp;CE$1&amp;""'!$C$4:$C$66""),INDIRECT(""'""&amp;CE$1&amp;""'!$D$4:$D$66"")=CE$2),$G$3:$BQ$3,$G113:$BQ113)))"),-0.18869233903225802)</f>
        <v>-0.188692339</v>
      </c>
      <c r="CF113" s="207" t="str">
        <f>IFERROR(__xludf.DUMMYFUNCTION("IF(OR(CE113&gt;$BS113+$BT113*$BT$2,CE113&lt;$BS113-$BT113*$BT$2),AVEDEV(ARRAYFORMULA(XLOOKUP(FILTER(INDIRECT(""'""&amp;CE$1&amp;""'!$C$4:$C$66""),INDIRECT(""'""&amp;CE$1&amp;""'!$D$4:$D$66"")=CE$2),$G$3:$BQ$3,$G113:$BQ113))),"""")"),"")</f>
        <v/>
      </c>
      <c r="CG113" s="207">
        <f>IFERROR(__xludf.DUMMYFUNCTION("AVERAGE(ARRAYFORMULA(XLOOKUP(FILTER(INDIRECT(""'""&amp;CG$1&amp;""'!$C$4:$C$66""),INDIRECT(""'""&amp;CG$1&amp;""'!$D$4:$D$66"")=CG$2),$G$3:$BQ$3,$G113:$BQ113)))"),0.199476888)</f>
        <v>0.199476888</v>
      </c>
      <c r="CH113" s="207" t="str">
        <f>IFERROR(__xludf.DUMMYFUNCTION("IF(OR(CG113&gt;$BS113+$BT113*$BT$2,CG113&lt;$BS113-$BT113*$BT$2),AVEDEV(ARRAYFORMULA(XLOOKUP(FILTER(INDIRECT(""'""&amp;CG$1&amp;""'!$C$4:$C$66""),INDIRECT(""'""&amp;CG$1&amp;""'!$D$4:$D$66"")=CG$2),$G$3:$BQ$3,$G113:$BQ113))),"""")"),"")</f>
        <v/>
      </c>
      <c r="CI113" s="206"/>
      <c r="CJ113" s="251">
        <f>IFERROR(__xludf.DUMMYFUNCTION("AVERAGE(ARRAYFORMULA(XLOOKUP(FILTER(INDIRECT(""'""&amp;CJ$1&amp;""'!$C$4:$C$66""),INDIRECT(""'""&amp;CJ$1&amp;""'!$D$4:$D$66"")=CJ$2),$G$3:$BQ$3,$G113:$BQ113)))"),0.206257862)</f>
        <v>0.206257862</v>
      </c>
      <c r="CK113" s="207" t="str">
        <f>IFERROR(__xludf.DUMMYFUNCTION("IF(OR(CJ113&gt;$BS113+$BT113*$BT$2,CJ113&lt;$BS113-$BT113*$BT$2),AVEDEV(ARRAYFORMULA(XLOOKUP(FILTER(INDIRECT(""'""&amp;CJ$1&amp;""'!$C$4:$C$66""),INDIRECT(""'""&amp;CJ$1&amp;""'!$D$4:$D$66"")=CJ$2),$G$3:$BQ$3,$G113:$BQ113))),"""")"),"")</f>
        <v/>
      </c>
      <c r="CL113" s="251">
        <f>IFERROR(__xludf.DUMMYFUNCTION("AVERAGE(ARRAYFORMULA(XLOOKUP(FILTER(INDIRECT(""'""&amp;CL$1&amp;""'!$C$4:$C$66""),INDIRECT(""'""&amp;CL$1&amp;""'!$D$4:$D$66"")=CL$2),$G$3:$BQ$3,$G113:$BQ113)))"),-0.29860133205128203)</f>
        <v>-0.2986013321</v>
      </c>
      <c r="CM113" s="207" t="str">
        <f>IFERROR(__xludf.DUMMYFUNCTION("IF(OR(CL113&gt;$BS113+$BT113*$BT$2,CL113&lt;$BS113-$BT113*$BT$2),AVEDEV(ARRAYFORMULA(XLOOKUP(FILTER(INDIRECT(""'""&amp;CL$1&amp;""'!$C$4:$C$66""),INDIRECT(""'""&amp;CL$1&amp;""'!$D$4:$D$66"")=CL$2),$G$3:$BQ$3,$G113:$BQ113))),"""")"),"")</f>
        <v/>
      </c>
      <c r="CN113" s="251">
        <f>IFERROR(__xludf.DUMMYFUNCTION("AVERAGE(ARRAYFORMULA(XLOOKUP(FILTER(INDIRECT(""'""&amp;CN$1&amp;""'!$C$4:$C$66""),INDIRECT(""'""&amp;CN$1&amp;""'!$D$4:$D$66"")=CN$2),$G$3:$BQ$3,$G113:$BQ113)))"),0.199476888)</f>
        <v>0.199476888</v>
      </c>
      <c r="CO113" s="207" t="str">
        <f>IFERROR(__xludf.DUMMYFUNCTION("IF(OR(CN113&gt;$BS113+$BT113*$BT$2,CN113&lt;$BS113-$BT113*$BT$2),AVEDEV(ARRAYFORMULA(XLOOKUP(FILTER(INDIRECT(""'""&amp;CN$1&amp;""'!$C$4:$C$66""),INDIRECT(""'""&amp;CN$1&amp;""'!$D$4:$D$66"")=CN$2),$G$3:$BQ$3,$G113:$BQ113))),"""")"),"")</f>
        <v/>
      </c>
      <c r="CP113" s="252"/>
      <c r="CQ113" s="251">
        <f>IFERROR(__xludf.DUMMYFUNCTION("AVERAGE(ARRAYFORMULA(XLOOKUP(FILTER(INDIRECT(""'""&amp;CQ$1&amp;""'!$C$4:$C$66""),INDIRECT(""'""&amp;CQ$1&amp;""'!$D$4:$D$66"")=CQ$2),$G$3:$BQ$3,$G113:$BQ113)))"),-0.22219454357142854)</f>
        <v>-0.2221945436</v>
      </c>
      <c r="CR113" s="207" t="str">
        <f>IFERROR(__xludf.DUMMYFUNCTION("IF(OR(CQ113&gt;$BS113+$BT113*$BT$2,CQ113&lt;$BS113-$BT113*$BT$2),AVEDEV(ARRAYFORMULA(XLOOKUP(FILTER(INDIRECT(""'""&amp;CQ$1&amp;""'!$C$4:$C$66""),INDIRECT(""'""&amp;CQ$1&amp;""'!$D$4:$D$66"")=CQ$2),$G$3:$BQ$3,$G113:$BQ113))),"""")"),"")</f>
        <v/>
      </c>
      <c r="CS113" s="251">
        <f>IFERROR(__xludf.DUMMYFUNCTION("AVERAGE(ARRAYFORMULA(XLOOKUP(FILTER(INDIRECT(""'""&amp;CS$1&amp;""'!$C$4:$C$66""),INDIRECT(""'""&amp;CS$1&amp;""'!$D$4:$D$66"")=CS$2),$G$3:$BQ$3,$G113:$BQ113)))"),-0.055668582222222214)</f>
        <v>-0.05566858222</v>
      </c>
      <c r="CT113" s="207" t="str">
        <f>IFERROR(__xludf.DUMMYFUNCTION("IF(OR(CS113&gt;$BS113+$BT113*$BT$2,CS113&lt;$BS113-$BT113*$BT$2),AVEDEV(ARRAYFORMULA(XLOOKUP(FILTER(INDIRECT(""'""&amp;CS$1&amp;""'!$C$4:$C$66""),INDIRECT(""'""&amp;CS$1&amp;""'!$D$4:$D$66"")=CS$2),$G$3:$BQ$3,$G113:$BQ113))),"""")"),"")</f>
        <v/>
      </c>
      <c r="CU113" s="251">
        <f>IFERROR(__xludf.DUMMYFUNCTION("AVERAGE(ARRAYFORMULA(XLOOKUP(FILTER(INDIRECT(""'""&amp;CU$1&amp;""'!$C$4:$C$66""),INDIRECT(""'""&amp;CU$1&amp;""'!$D$4:$D$66"")=CU$2),$G$3:$BQ$3,$G113:$BQ113)))"),0.35333280636363634)</f>
        <v>0.3533328064</v>
      </c>
      <c r="CV113" s="207" t="str">
        <f>IFERROR(__xludf.DUMMYFUNCTION("IF(OR(CU113&gt;$BS113+$BT113*$BT$2,CU113&lt;$BS113-$BT113*$BT$2),AVEDEV(ARRAYFORMULA(XLOOKUP(FILTER(INDIRECT(""'""&amp;CU$1&amp;""'!$C$4:$C$66""),INDIRECT(""'""&amp;CU$1&amp;""'!$D$4:$D$66"")=CU$2),$G$3:$BQ$3,$G113:$BQ113))),"""")"),"")</f>
        <v/>
      </c>
      <c r="CW113" s="251">
        <f>IFERROR(__xludf.DUMMYFUNCTION("AVERAGE(ARRAYFORMULA(XLOOKUP(FILTER(INDIRECT(""'""&amp;CW$1&amp;""'!$C$4:$C$66""),INDIRECT(""'""&amp;CW$1&amp;""'!$D$4:$D$66"")=CW$2),$G$3:$BQ$3,$G113:$BQ113)))"),-0.35977915)</f>
        <v>-0.35977915</v>
      </c>
      <c r="CX113" s="207" t="str">
        <f>IFERROR(__xludf.DUMMYFUNCTION("IF(OR(CW113&gt;$BS113+$BT113*$BT$2,CW113&lt;$BS113-$BT113*$BT$2),AVEDEV(ARRAYFORMULA(XLOOKUP(FILTER(INDIRECT(""'""&amp;CW$1&amp;""'!$C$4:$C$66""),INDIRECT(""'""&amp;CW$1&amp;""'!$D$4:$D$66"")=CW$2),$G$3:$BQ$3,$G113:$BQ113))),"""")"),"")</f>
        <v/>
      </c>
      <c r="CY113" s="251">
        <f>IFERROR(__xludf.DUMMYFUNCTION("AVERAGE(ARRAYFORMULA(XLOOKUP(FILTER(INDIRECT(""'""&amp;CY$1&amp;""'!$C$4:$C$66""),INDIRECT(""'""&amp;CY$1&amp;""'!$D$4:$D$66"")=CY$2),$G$3:$BQ$3,$G113:$BQ113)))"),-0.6372732235714286)</f>
        <v>-0.6372732236</v>
      </c>
      <c r="CZ113" s="207" t="str">
        <f>IFERROR(__xludf.DUMMYFUNCTION("IF(OR(CY113&gt;$BS113+$BT113*$BT$2,CY113&lt;$BS113-$BT113*$BT$2),AVEDEV(ARRAYFORMULA(XLOOKUP(FILTER(INDIRECT(""'""&amp;CY$1&amp;""'!$C$4:$C$66""),INDIRECT(""'""&amp;CY$1&amp;""'!$D$4:$D$66"")=CY$2),$G$3:$BQ$3,$G113:$BQ113))),"""")"),"")</f>
        <v/>
      </c>
      <c r="DA113" s="252"/>
      <c r="DB113" s="251">
        <f>IFERROR(__xludf.DUMMYFUNCTION("AVERAGE(ARRAYFORMULA(XLOOKUP(FILTER(INDIRECT(""'""&amp;DB$1&amp;""'!$C$4:$C$66""),INDIRECT(""'""&amp;DB$1&amp;""'!$D$4:$D$66"")=DB$2),$G$3:$BQ$3,$G113:$BQ113)))"),-0.3732635856666666)</f>
        <v>-0.3732635857</v>
      </c>
      <c r="DC113" s="207" t="str">
        <f>IFERROR(__xludf.DUMMYFUNCTION("IF(OR(DB113&gt;$BS113+$BT113*$BT$2,DB113&lt;$BS113-$BT113*$BT$2),AVEDEV(ARRAYFORMULA(XLOOKUP(FILTER(INDIRECT(""'""&amp;DB$1&amp;""'!$C$4:$C$66""),INDIRECT(""'""&amp;DB$1&amp;""'!$D$4:$D$66"")=DB$2),$G$3:$BQ$3,$G113:$BQ113))),"""")"),"")</f>
        <v/>
      </c>
      <c r="DD113" s="251">
        <f>IFERROR(__xludf.DUMMYFUNCTION("AVERAGE(ARRAYFORMULA(XLOOKUP(FILTER(INDIRECT(""'""&amp;DD$1&amp;""'!$C$4:$C$66""),INDIRECT(""'""&amp;DD$1&amp;""'!$D$4:$D$66"")=DD$2),$G$3:$BQ$3,$G113:$BQ113)))"),-0.01588686444444445)</f>
        <v>-0.01588686444</v>
      </c>
      <c r="DE113" s="207" t="str">
        <f>IFERROR(__xludf.DUMMYFUNCTION("IF(OR(DD113&gt;$BS113+$BT113*$BT$2,DD113&lt;$BS113-$BT113*$BT$2),AVEDEV(ARRAYFORMULA(XLOOKUP(FILTER(INDIRECT(""'""&amp;DD$1&amp;""'!$C$4:$C$66""),INDIRECT(""'""&amp;DD$1&amp;""'!$D$4:$D$66"")=DD$2),$G$3:$BQ$3,$G113:$BQ113))),"""")"),"")</f>
        <v/>
      </c>
      <c r="DF113" s="251">
        <f>IFERROR(__xludf.DUMMYFUNCTION("AVERAGE(ARRAYFORMULA(XLOOKUP(FILTER(INDIRECT(""'""&amp;DF$1&amp;""'!$C$4:$C$66""),INDIRECT(""'""&amp;DF$1&amp;""'!$D$4:$D$66"")=DF$2),$G$3:$BQ$3,$G113:$BQ113)))"),0.5475152575)</f>
        <v>0.5475152575</v>
      </c>
      <c r="DG113" s="207">
        <f>IFERROR(__xludf.DUMMYFUNCTION("IF(OR(DF113&gt;$BS113+$BT113*$BT$2,DF113&lt;$BS113-$BT113*$BT$2),AVEDEV(ARRAYFORMULA(XLOOKUP(FILTER(INDIRECT(""'""&amp;DF$1&amp;""'!$C$4:$C$66""),INDIRECT(""'""&amp;DF$1&amp;""'!$D$4:$D$66"")=DF$2),$G$3:$BQ$3,$G113:$BQ113))),"""")"),0.2755013068750001)</f>
        <v>0.2755013069</v>
      </c>
      <c r="DH113" s="251">
        <f>IFERROR(__xludf.DUMMYFUNCTION("AVERAGE(ARRAYFORMULA(XLOOKUP(FILTER(INDIRECT(""'""&amp;DH$1&amp;""'!$C$4:$C$66""),INDIRECT(""'""&amp;DH$1&amp;""'!$D$4:$D$66"")=DH$2),$G$3:$BQ$3,$G113:$BQ113)))"),-0.0517937411111111)</f>
        <v>-0.05179374111</v>
      </c>
      <c r="DI113" s="207" t="str">
        <f>IFERROR(__xludf.DUMMYFUNCTION("IF(OR(DH113&gt;$BS113+$BT113*$BT$2,DH113&lt;$BS113-$BT113*$BT$2),AVEDEV(ARRAYFORMULA(XLOOKUP(FILTER(INDIRECT(""'""&amp;DH$1&amp;""'!$C$4:$C$66""),INDIRECT(""'""&amp;DH$1&amp;""'!$D$4:$D$66"")=DH$2),$G$3:$BQ$3,$G113:$BQ113))),"""")"),"")</f>
        <v/>
      </c>
      <c r="DJ113" s="243"/>
    </row>
    <row r="114">
      <c r="A114" s="2"/>
      <c r="B114" s="204">
        <v>110.0</v>
      </c>
      <c r="C114" s="204" t="s">
        <v>540</v>
      </c>
      <c r="D114" s="204" t="s">
        <v>556</v>
      </c>
      <c r="E114" s="205" t="b">
        <f>VLOOKUP(D114,'Feature Set List'!A111:C246,2,0)</f>
        <v>1</v>
      </c>
      <c r="F114" s="205" t="b">
        <f>VLOOKUP(D114,'Feature Set List'!A111:C246,3,0)</f>
        <v>1</v>
      </c>
      <c r="G114" s="205">
        <v>-0.4306513</v>
      </c>
      <c r="H114" s="205">
        <v>-0.0754023</v>
      </c>
      <c r="I114" s="205">
        <v>-0.8839847</v>
      </c>
      <c r="J114" s="205">
        <v>0.79478927</v>
      </c>
      <c r="K114" s="205">
        <v>-0.3561686</v>
      </c>
      <c r="L114" s="205">
        <v>-0.0481226</v>
      </c>
      <c r="M114" s="205">
        <v>0.89961686</v>
      </c>
      <c r="N114" s="205">
        <v>0.08582375</v>
      </c>
      <c r="O114" s="205">
        <v>0.0640613</v>
      </c>
      <c r="P114" s="205">
        <v>-0.1416092</v>
      </c>
      <c r="Q114" s="205">
        <v>0.60934866</v>
      </c>
      <c r="R114" s="205">
        <v>0.0</v>
      </c>
      <c r="S114" s="205">
        <v>-0.1964751</v>
      </c>
      <c r="T114" s="205">
        <v>0.20199234</v>
      </c>
      <c r="U114" s="205">
        <v>-0.6485824</v>
      </c>
      <c r="V114" s="205">
        <v>1.4583908</v>
      </c>
      <c r="W114" s="205">
        <v>-0.1881992</v>
      </c>
      <c r="X114" s="205">
        <v>0.82727969</v>
      </c>
      <c r="Y114" s="205">
        <v>-0.6384674</v>
      </c>
      <c r="Z114" s="205">
        <v>1.5451341</v>
      </c>
      <c r="AA114" s="205">
        <v>0.33716475</v>
      </c>
      <c r="AB114" s="205">
        <v>-0.8744828</v>
      </c>
      <c r="AC114" s="205">
        <v>-0.3362452</v>
      </c>
      <c r="AD114" s="205">
        <v>1.29318008</v>
      </c>
      <c r="AE114" s="205">
        <v>0.651341</v>
      </c>
      <c r="AF114" s="205">
        <v>0.32582375</v>
      </c>
      <c r="AG114" s="205">
        <v>1.61961686</v>
      </c>
      <c r="AH114" s="205">
        <v>0.03157088</v>
      </c>
      <c r="AI114" s="205">
        <v>0.15785441</v>
      </c>
      <c r="AJ114" s="205">
        <v>-1.0701609</v>
      </c>
      <c r="AK114" s="205">
        <v>1.20429119</v>
      </c>
      <c r="AL114" s="205">
        <v>0.12383142</v>
      </c>
      <c r="AM114" s="205">
        <v>-0.6366284</v>
      </c>
      <c r="AN114" s="205">
        <v>-0.0327969</v>
      </c>
      <c r="AO114" s="205">
        <v>-0.6479693</v>
      </c>
      <c r="AP114" s="205">
        <v>1.09333333</v>
      </c>
      <c r="AQ114" s="205">
        <v>1.47034483</v>
      </c>
      <c r="AR114" s="205">
        <v>1.32321839</v>
      </c>
      <c r="AS114" s="205">
        <v>-0.1281226</v>
      </c>
      <c r="AT114" s="205">
        <v>-0.1345594</v>
      </c>
      <c r="AU114" s="205">
        <v>0.75157088</v>
      </c>
      <c r="AV114" s="205">
        <v>-0.8704981</v>
      </c>
      <c r="AW114" s="205">
        <v>0.39203065</v>
      </c>
      <c r="AX114" s="205">
        <v>1.2662069</v>
      </c>
      <c r="AY114" s="205">
        <v>-0.1523372</v>
      </c>
      <c r="AZ114" s="205">
        <v>-0.48</v>
      </c>
      <c r="BA114" s="205">
        <v>-0.0116475</v>
      </c>
      <c r="BB114" s="205">
        <v>0.36659004</v>
      </c>
      <c r="BC114" s="205">
        <v>0.00398467</v>
      </c>
      <c r="BD114" s="205">
        <v>-0.514636</v>
      </c>
      <c r="BE114" s="205">
        <v>-0.5691954</v>
      </c>
      <c r="BF114" s="205">
        <v>-0.04659</v>
      </c>
      <c r="BG114" s="205">
        <v>-0.6381609</v>
      </c>
      <c r="BH114" s="205">
        <v>1.43478927</v>
      </c>
      <c r="BI114" s="205">
        <v>0.65624521</v>
      </c>
      <c r="BJ114" s="205">
        <v>-0.2470498</v>
      </c>
      <c r="BK114" s="205">
        <v>0.48398467</v>
      </c>
      <c r="BL114" s="205">
        <v>-0.7126437</v>
      </c>
      <c r="BM114" s="205">
        <v>0.33195402</v>
      </c>
      <c r="BN114" s="205">
        <v>-0.1336398</v>
      </c>
      <c r="BO114" s="205">
        <v>-0.5633716</v>
      </c>
      <c r="BP114" s="205">
        <v>-0.0076628</v>
      </c>
      <c r="BQ114" s="205">
        <v>0.81501916</v>
      </c>
      <c r="BR114" s="206"/>
      <c r="BS114" s="250">
        <f t="shared" si="1"/>
        <v>0.1619733656</v>
      </c>
      <c r="BT114" s="250">
        <f t="shared" si="2"/>
        <v>0.5747277004</v>
      </c>
      <c r="BU114" s="206"/>
      <c r="BV114" s="207">
        <f>IFERROR(__xludf.DUMMYFUNCTION("AVERAGE(ARRAYFORMULA(XLOOKUP(FILTER(INDIRECT(""'""&amp;BV$1&amp;""'!$C$4:$C$66""),INDIRECT(""'""&amp;BV$1&amp;""'!$D$4:$D$66"")=BV$2),$G$3:$BQ$3,$G114:$BQ114)))"),-0.21955118142857138)</f>
        <v>-0.2195511814</v>
      </c>
      <c r="BW114" s="207" t="str">
        <f>IFERROR(__xludf.DUMMYFUNCTION("IF(OR(BV114&gt;$BS114+$BT114*$BT$2,BV114&lt;$BS114-$BT114*$BT$2),AVEDEV(ARRAYFORMULA(XLOOKUP(FILTER(INDIRECT(""'""&amp;BV$1&amp;""'!$C$4:$C$66""),INDIRECT(""'""&amp;BV$1&amp;""'!$D$4:$D$66"")=BV$2),$G$3:$BQ$3,$G114:$BQ114))),"""")"),"")</f>
        <v/>
      </c>
      <c r="BX114" s="207">
        <f>IFERROR(__xludf.DUMMYFUNCTION("AVERAGE(ARRAYFORMULA(XLOOKUP(FILTER(INDIRECT(""'""&amp;BX$1&amp;""'!$C$4:$C$66""),INDIRECT(""'""&amp;BX$1&amp;""'!$D$4:$D$66"")=BX$2),$G$3:$BQ$3,$G114:$BQ114)))"),0.2992271511904762)</f>
        <v>0.2992271512</v>
      </c>
      <c r="BY114" s="207" t="str">
        <f>IFERROR(__xludf.DUMMYFUNCTION("IF(OR(BX114&gt;$BS114+$BT114*$BT$2,BX114&lt;$BS114-$BT114*$BT$2),AVEDEV(ARRAYFORMULA(XLOOKUP(FILTER(INDIRECT(""'""&amp;BX$1&amp;""'!$C$4:$C$66""),INDIRECT(""'""&amp;BX$1&amp;""'!$D$4:$D$66"")=BX$2),$G$3:$BQ$3,$G114:$BQ114))),"""")"),"")</f>
        <v/>
      </c>
      <c r="BZ114" s="207">
        <f>IFERROR(__xludf.DUMMYFUNCTION("AVERAGE(ARRAYFORMULA(XLOOKUP(FILTER(INDIRECT(""'""&amp;BZ$1&amp;""'!$C$4:$C$66""),INDIRECT(""'""&amp;BZ$1&amp;""'!$D$4:$D$66"")=BZ$2),$G$3:$BQ$3,$G114:$BQ114)))"),-0.016300930000000016)</f>
        <v>-0.01630093</v>
      </c>
      <c r="CA114" s="207" t="str">
        <f>IFERROR(__xludf.DUMMYFUNCTION("IF(OR(BZ114&gt;$BS114+$BT114*$BT$2,BZ114&lt;$BS114-$BT114*$BT$2),AVEDEV(ARRAYFORMULA(XLOOKUP(FILTER(INDIRECT(""'""&amp;BZ$1&amp;""'!$C$4:$C$66""),INDIRECT(""'""&amp;BZ$1&amp;""'!$D$4:$D$66"")=BZ$2),$G$3:$BQ$3,$G114:$BQ114))),"""")"),"")</f>
        <v/>
      </c>
      <c r="CB114" s="209"/>
      <c r="CC114" s="207">
        <f>IFERROR(__xludf.DUMMYFUNCTION("AVERAGE(ARRAYFORMULA(XLOOKUP(FILTER(INDIRECT(""'""&amp;CC$1&amp;""'!$C$4:$C$66""),INDIRECT(""'""&amp;CC$1&amp;""'!$D$4:$D$66"")=CC$2),$G$3:$BQ$3,$G114:$BQ114)))"),0.502068964375)</f>
        <v>0.5020689644</v>
      </c>
      <c r="CD114" s="207" t="str">
        <f>IFERROR(__xludf.DUMMYFUNCTION("IF(OR(CC114&gt;$BS114+$BT114*$BT$2,CC114&lt;$BS114-$BT114*$BT$2),AVEDEV(ARRAYFORMULA(XLOOKUP(FILTER(INDIRECT(""'""&amp;CC$1&amp;""'!$C$4:$C$66""),INDIRECT(""'""&amp;CC$1&amp;""'!$D$4:$D$66"")=CC$2),$G$3:$BQ$3,$G114:$BQ114))),"""")"),"")</f>
        <v/>
      </c>
      <c r="CE114" s="207">
        <f>IFERROR(__xludf.DUMMYFUNCTION("AVERAGE(ARRAYFORMULA(XLOOKUP(FILTER(INDIRECT(""'""&amp;CE$1&amp;""'!$C$4:$C$66""),INDIRECT(""'""&amp;CE$1&amp;""'!$D$4:$D$66"")=CE$2),$G$3:$BQ$3,$G114:$BQ114)))"),0.06909010258064514)</f>
        <v>0.06909010258</v>
      </c>
      <c r="CF114" s="207" t="str">
        <f>IFERROR(__xludf.DUMMYFUNCTION("IF(OR(CE114&gt;$BS114+$BT114*$BT$2,CE114&lt;$BS114-$BT114*$BT$2),AVEDEV(ARRAYFORMULA(XLOOKUP(FILTER(INDIRECT(""'""&amp;CE$1&amp;""'!$C$4:$C$66""),INDIRECT(""'""&amp;CE$1&amp;""'!$D$4:$D$66"")=CE$2),$G$3:$BQ$3,$G114:$BQ114))),"""")"),"")</f>
        <v/>
      </c>
      <c r="CG114" s="207">
        <f>IFERROR(__xludf.DUMMYFUNCTION("AVERAGE(ARRAYFORMULA(XLOOKUP(FILTER(INDIRECT(""'""&amp;CG$1&amp;""'!$C$4:$C$66""),INDIRECT(""'""&amp;CG$1&amp;""'!$D$4:$D$66"")=CG$2),$G$3:$BQ$3,$G114:$BQ114)))"),-0.143509572)</f>
        <v>-0.143509572</v>
      </c>
      <c r="CH114" s="207" t="str">
        <f>IFERROR(__xludf.DUMMYFUNCTION("IF(OR(CG114&gt;$BS114+$BT114*$BT$2,CG114&lt;$BS114-$BT114*$BT$2),AVEDEV(ARRAYFORMULA(XLOOKUP(FILTER(INDIRECT(""'""&amp;CG$1&amp;""'!$C$4:$C$66""),INDIRECT(""'""&amp;CG$1&amp;""'!$D$4:$D$66"")=CG$2),$G$3:$BQ$3,$G114:$BQ114))),"""")"),"")</f>
        <v/>
      </c>
      <c r="CI114" s="206"/>
      <c r="CJ114" s="251">
        <f>IFERROR(__xludf.DUMMYFUNCTION("AVERAGE(ARRAYFORMULA(XLOOKUP(FILTER(INDIRECT(""'""&amp;CJ$1&amp;""'!$C$4:$C$66""),INDIRECT(""'""&amp;CJ$1&amp;""'!$D$4:$D$66"")=CJ$2),$G$3:$BQ$3,$G114:$BQ114)))"),-0.10425542466666667)</f>
        <v>-0.1042554247</v>
      </c>
      <c r="CK114" s="207" t="str">
        <f>IFERROR(__xludf.DUMMYFUNCTION("IF(OR(CJ114&gt;$BS114+$BT114*$BT$2,CJ114&lt;$BS114-$BT114*$BT$2),AVEDEV(ARRAYFORMULA(XLOOKUP(FILTER(INDIRECT(""'""&amp;CJ$1&amp;""'!$C$4:$C$66""),INDIRECT(""'""&amp;CJ$1&amp;""'!$D$4:$D$66"")=CJ$2),$G$3:$BQ$3,$G114:$BQ114))),"""")"),"")</f>
        <v/>
      </c>
      <c r="CL114" s="251">
        <f>IFERROR(__xludf.DUMMYFUNCTION("AVERAGE(ARRAYFORMULA(XLOOKUP(FILTER(INDIRECT(""'""&amp;CL$1&amp;""'!$C$4:$C$66""),INDIRECT(""'""&amp;CL$1&amp;""'!$D$4:$D$66"")=CL$2),$G$3:$BQ$3,$G114:$BQ114)))"),0.35501012256410264)</f>
        <v>0.3550101226</v>
      </c>
      <c r="CM114" s="207" t="str">
        <f>IFERROR(__xludf.DUMMYFUNCTION("IF(OR(CL114&gt;$BS114+$BT114*$BT$2,CL114&lt;$BS114-$BT114*$BT$2),AVEDEV(ARRAYFORMULA(XLOOKUP(FILTER(INDIRECT(""'""&amp;CL$1&amp;""'!$C$4:$C$66""),INDIRECT(""'""&amp;CL$1&amp;""'!$D$4:$D$66"")=CL$2),$G$3:$BQ$3,$G114:$BQ114))),"""")"),"")</f>
        <v/>
      </c>
      <c r="CN114" s="251">
        <f>IFERROR(__xludf.DUMMYFUNCTION("AVERAGE(ARRAYFORMULA(XLOOKUP(FILTER(INDIRECT(""'""&amp;CN$1&amp;""'!$C$4:$C$66""),INDIRECT(""'""&amp;CN$1&amp;""'!$D$4:$D$66"")=CN$2),$G$3:$BQ$3,$G114:$BQ114)))"),-0.143509572)</f>
        <v>-0.143509572</v>
      </c>
      <c r="CO114" s="207" t="str">
        <f>IFERROR(__xludf.DUMMYFUNCTION("IF(OR(CN114&gt;$BS114+$BT114*$BT$2,CN114&lt;$BS114-$BT114*$BT$2),AVEDEV(ARRAYFORMULA(XLOOKUP(FILTER(INDIRECT(""'""&amp;CN$1&amp;""'!$C$4:$C$66""),INDIRECT(""'""&amp;CN$1&amp;""'!$D$4:$D$66"")=CN$2),$G$3:$BQ$3,$G114:$BQ114))),"""")"),"")</f>
        <v/>
      </c>
      <c r="CP114" s="252"/>
      <c r="CQ114" s="251">
        <f>IFERROR(__xludf.DUMMYFUNCTION("AVERAGE(ARRAYFORMULA(XLOOKUP(FILTER(INDIRECT(""'""&amp;CQ$1&amp;""'!$C$4:$C$66""),INDIRECT(""'""&amp;CQ$1&amp;""'!$D$4:$D$66"")=CQ$2),$G$3:$BQ$3,$G114:$BQ114)))"),0.6724028485714285)</f>
        <v>0.6724028486</v>
      </c>
      <c r="CR114" s="207" t="str">
        <f>IFERROR(__xludf.DUMMYFUNCTION("IF(OR(CQ114&gt;$BS114+$BT114*$BT$2,CQ114&lt;$BS114-$BT114*$BT$2),AVEDEV(ARRAYFORMULA(XLOOKUP(FILTER(INDIRECT(""'""&amp;CQ$1&amp;""'!$C$4:$C$66""),INDIRECT(""'""&amp;CQ$1&amp;""'!$D$4:$D$66"")=CQ$2),$G$3:$BQ$3,$G114:$BQ114))),"""")"),"")</f>
        <v/>
      </c>
      <c r="CS114" s="251">
        <f>IFERROR(__xludf.DUMMYFUNCTION("AVERAGE(ARRAYFORMULA(XLOOKUP(FILTER(INDIRECT(""'""&amp;CS$1&amp;""'!$C$4:$C$66""),INDIRECT(""'""&amp;CS$1&amp;""'!$D$4:$D$66"")=CS$2),$G$3:$BQ$3,$G114:$BQ114)))"),-0.003473805555555567)</f>
        <v>-0.003473805556</v>
      </c>
      <c r="CT114" s="207" t="str">
        <f>IFERROR(__xludf.DUMMYFUNCTION("IF(OR(CS114&gt;$BS114+$BT114*$BT$2,CS114&lt;$BS114-$BT114*$BT$2),AVEDEV(ARRAYFORMULA(XLOOKUP(FILTER(INDIRECT(""'""&amp;CS$1&amp;""'!$C$4:$C$66""),INDIRECT(""'""&amp;CS$1&amp;""'!$D$4:$D$66"")=CS$2),$G$3:$BQ$3,$G114:$BQ114))),"""")"),"")</f>
        <v/>
      </c>
      <c r="CU114" s="251">
        <f>IFERROR(__xludf.DUMMYFUNCTION("AVERAGE(ARRAYFORMULA(XLOOKUP(FILTER(INDIRECT(""'""&amp;CU$1&amp;""'!$C$4:$C$66""),INDIRECT(""'""&amp;CU$1&amp;""'!$D$4:$D$66"")=CU$2),$G$3:$BQ$3,$G114:$BQ114)))"),-0.39651689727272726)</f>
        <v>-0.3965168973</v>
      </c>
      <c r="CV114" s="207" t="str">
        <f>IFERROR(__xludf.DUMMYFUNCTION("IF(OR(CU114&gt;$BS114+$BT114*$BT$2,CU114&lt;$BS114-$BT114*$BT$2),AVEDEV(ARRAYFORMULA(XLOOKUP(FILTER(INDIRECT(""'""&amp;CU$1&amp;""'!$C$4:$C$66""),INDIRECT(""'""&amp;CU$1&amp;""'!$D$4:$D$66"")=CU$2),$G$3:$BQ$3,$G114:$BQ114))),"""")"),"")</f>
        <v/>
      </c>
      <c r="CW114" s="251">
        <f>IFERROR(__xludf.DUMMYFUNCTION("AVERAGE(ARRAYFORMULA(XLOOKUP(FILTER(INDIRECT(""'""&amp;CW$1&amp;""'!$C$4:$C$66""),INDIRECT(""'""&amp;CW$1&amp;""'!$D$4:$D$66"")=CW$2),$G$3:$BQ$3,$G114:$BQ114)))"),1.363984675)</f>
        <v>1.363984675</v>
      </c>
      <c r="CX114" s="207">
        <f>IFERROR(__xludf.DUMMYFUNCTION("IF(OR(CW114&gt;$BS114+$BT114*$BT$2,CW114&lt;$BS114-$BT114*$BT$2),AVEDEV(ARRAYFORMULA(XLOOKUP(FILTER(INDIRECT(""'""&amp;CW$1&amp;""'!$C$4:$C$66""),INDIRECT(""'""&amp;CW$1&amp;""'!$D$4:$D$66"")=CW$2),$G$3:$BQ$3,$G114:$BQ114))),"""")"),0.07080459500000003)</f>
        <v>0.070804595</v>
      </c>
      <c r="CY114" s="251">
        <f>IFERROR(__xludf.DUMMYFUNCTION("AVERAGE(ARRAYFORMULA(XLOOKUP(FILTER(INDIRECT(""'""&amp;CY$1&amp;""'!$C$4:$C$66""),INDIRECT(""'""&amp;CY$1&amp;""'!$D$4:$D$66"")=CY$2),$G$3:$BQ$3,$G114:$BQ114)))"),0.34227915642857143)</f>
        <v>0.3422791564</v>
      </c>
      <c r="CZ114" s="207" t="str">
        <f>IFERROR(__xludf.DUMMYFUNCTION("IF(OR(CY114&gt;$BS114+$BT114*$BT$2,CY114&lt;$BS114-$BT114*$BT$2),AVEDEV(ARRAYFORMULA(XLOOKUP(FILTER(INDIRECT(""'""&amp;CY$1&amp;""'!$C$4:$C$66""),INDIRECT(""'""&amp;CY$1&amp;""'!$D$4:$D$66"")=CY$2),$G$3:$BQ$3,$G114:$BQ114))),"""")"),"")</f>
        <v/>
      </c>
      <c r="DA114" s="252"/>
      <c r="DB114" s="251">
        <f>IFERROR(__xludf.DUMMYFUNCTION("AVERAGE(ARRAYFORMULA(XLOOKUP(FILTER(INDIRECT(""'""&amp;DB$1&amp;""'!$C$4:$C$66""),INDIRECT(""'""&amp;DB$1&amp;""'!$D$4:$D$66"")=DB$2),$G$3:$BQ$3,$G114:$BQ114)))"),0.37064623500000005)</f>
        <v>0.370646235</v>
      </c>
      <c r="DC114" s="207" t="str">
        <f>IFERROR(__xludf.DUMMYFUNCTION("IF(OR(DB114&gt;$BS114+$BT114*$BT$2,DB114&lt;$BS114-$BT114*$BT$2),AVEDEV(ARRAYFORMULA(XLOOKUP(FILTER(INDIRECT(""'""&amp;DB$1&amp;""'!$C$4:$C$66""),INDIRECT(""'""&amp;DB$1&amp;""'!$D$4:$D$66"")=DB$2),$G$3:$BQ$3,$G114:$BQ114))),"""")"),"")</f>
        <v/>
      </c>
      <c r="DD114" s="251">
        <f>IFERROR(__xludf.DUMMYFUNCTION("AVERAGE(ARRAYFORMULA(XLOOKUP(FILTER(INDIRECT(""'""&amp;DD$1&amp;""'!$C$4:$C$66""),INDIRECT(""'""&amp;DD$1&amp;""'!$D$4:$D$66"")=DD$2),$G$3:$BQ$3,$G114:$BQ114)))"),-0.028573853333333357)</f>
        <v>-0.02857385333</v>
      </c>
      <c r="DE114" s="207" t="str">
        <f>IFERROR(__xludf.DUMMYFUNCTION("IF(OR(DD114&gt;$BS114+$BT114*$BT$2,DD114&lt;$BS114-$BT114*$BT$2),AVEDEV(ARRAYFORMULA(XLOOKUP(FILTER(INDIRECT(""'""&amp;DD$1&amp;""'!$C$4:$C$66""),INDIRECT(""'""&amp;DD$1&amp;""'!$D$4:$D$66"")=DD$2),$G$3:$BQ$3,$G114:$BQ114))),"""")"),"")</f>
        <v/>
      </c>
      <c r="DF114" s="251">
        <f>IFERROR(__xludf.DUMMYFUNCTION("AVERAGE(ARRAYFORMULA(XLOOKUP(FILTER(INDIRECT(""'""&amp;DF$1&amp;""'!$C$4:$C$66""),INDIRECT(""'""&amp;DF$1&amp;""'!$D$4:$D$66"")=DF$2),$G$3:$BQ$3,$G114:$BQ114)))"),-0.26829119375)</f>
        <v>-0.2682911938</v>
      </c>
      <c r="DG114" s="207" t="str">
        <f>IFERROR(__xludf.DUMMYFUNCTION("IF(OR(DF114&gt;$BS114+$BT114*$BT$2,DF114&lt;$BS114-$BT114*$BT$2),AVEDEV(ARRAYFORMULA(XLOOKUP(FILTER(INDIRECT(""'""&amp;DF$1&amp;""'!$C$4:$C$66""),INDIRECT(""'""&amp;DF$1&amp;""'!$D$4:$D$66"")=DF$2),$G$3:$BQ$3,$G114:$BQ114))),"""")"),"")</f>
        <v/>
      </c>
      <c r="DH114" s="251">
        <f>IFERROR(__xludf.DUMMYFUNCTION("AVERAGE(ARRAYFORMULA(XLOOKUP(FILTER(INDIRECT(""'""&amp;DH$1&amp;""'!$C$4:$C$66""),INDIRECT(""'""&amp;DH$1&amp;""'!$D$4:$D$66"")=DH$2),$G$3:$BQ$3,$G114:$BQ114)))"),0.14951043888888887)</f>
        <v>0.1495104389</v>
      </c>
      <c r="DI114" s="207" t="str">
        <f>IFERROR(__xludf.DUMMYFUNCTION("IF(OR(DH114&gt;$BS114+$BT114*$BT$2,DH114&lt;$BS114-$BT114*$BT$2),AVEDEV(ARRAYFORMULA(XLOOKUP(FILTER(INDIRECT(""'""&amp;DH$1&amp;""'!$C$4:$C$66""),INDIRECT(""'""&amp;DH$1&amp;""'!$D$4:$D$66"")=DH$2),$G$3:$BQ$3,$G114:$BQ114))),"""")"),"")</f>
        <v/>
      </c>
      <c r="DJ114" s="243"/>
    </row>
    <row r="115">
      <c r="A115" s="2"/>
      <c r="B115" s="204">
        <v>111.0</v>
      </c>
      <c r="C115" s="204" t="s">
        <v>540</v>
      </c>
      <c r="D115" s="204" t="s">
        <v>557</v>
      </c>
      <c r="E115" s="205" t="b">
        <f>VLOOKUP(D115,'Feature Set List'!A112:C246,2,0)</f>
        <v>1</v>
      </c>
      <c r="F115" s="205" t="b">
        <f>VLOOKUP(D115,'Feature Set List'!A112:C246,3,0)</f>
        <v>1</v>
      </c>
      <c r="G115" s="205">
        <v>0.12390512</v>
      </c>
      <c r="H115" s="205">
        <v>-0.185538</v>
      </c>
      <c r="I115" s="205">
        <v>-0.8729621</v>
      </c>
      <c r="J115" s="205">
        <v>0.25752829</v>
      </c>
      <c r="K115" s="205">
        <v>2.97730324</v>
      </c>
      <c r="L115" s="205">
        <v>-0.3025382</v>
      </c>
      <c r="M115" s="205">
        <v>-1.0707244</v>
      </c>
      <c r="N115" s="205">
        <v>0.41736462</v>
      </c>
      <c r="O115" s="205">
        <v>-0.0905313</v>
      </c>
      <c r="P115" s="205">
        <v>-0.756857</v>
      </c>
      <c r="Q115" s="205">
        <v>2.16021993</v>
      </c>
      <c r="R115" s="205">
        <v>-0.2664791</v>
      </c>
      <c r="S115" s="205">
        <v>-0.4884598</v>
      </c>
      <c r="T115" s="205">
        <v>0.41608593</v>
      </c>
      <c r="U115" s="205">
        <v>-0.9796049</v>
      </c>
      <c r="V115" s="205">
        <v>-0.5557189</v>
      </c>
      <c r="W115" s="205">
        <v>-0.3585449</v>
      </c>
      <c r="X115" s="205">
        <v>-0.7856275</v>
      </c>
      <c r="Y115" s="205">
        <v>1.14749696</v>
      </c>
      <c r="Z115" s="205">
        <v>0.81248002</v>
      </c>
      <c r="AA115" s="205">
        <v>-0.2749185</v>
      </c>
      <c r="AB115" s="205">
        <v>-0.4820664</v>
      </c>
      <c r="AC115" s="205">
        <v>0.23834793</v>
      </c>
      <c r="AD115" s="205">
        <v>0.40713509</v>
      </c>
      <c r="AE115" s="205">
        <v>0.13234448</v>
      </c>
      <c r="AF115" s="205">
        <v>0.75110287</v>
      </c>
      <c r="AG115" s="205">
        <v>-0.531296</v>
      </c>
      <c r="AH115" s="205">
        <v>-0.2476824</v>
      </c>
      <c r="AI115" s="205">
        <v>0.64880762</v>
      </c>
      <c r="AJ115" s="205">
        <v>-0.8729621</v>
      </c>
      <c r="AK115" s="205">
        <v>0.27159389</v>
      </c>
      <c r="AL115" s="205">
        <v>0.76900454</v>
      </c>
      <c r="AM115" s="205">
        <v>0.47874177</v>
      </c>
      <c r="AN115" s="205">
        <v>0.63090595</v>
      </c>
      <c r="AO115" s="205">
        <v>-0.5893485</v>
      </c>
      <c r="AP115" s="205">
        <v>1.39812032</v>
      </c>
      <c r="AQ115" s="205">
        <v>-0.4559811</v>
      </c>
      <c r="AR115" s="205">
        <v>0.08810178</v>
      </c>
      <c r="AS115" s="205">
        <v>-0.4343712</v>
      </c>
      <c r="AT115" s="205">
        <v>-0.1519084</v>
      </c>
      <c r="AU115" s="205">
        <v>5.03343776</v>
      </c>
      <c r="AV115" s="205">
        <v>0.32274151</v>
      </c>
      <c r="AW115" s="205">
        <v>-0.0084394</v>
      </c>
      <c r="AX115" s="205">
        <v>1.060546</v>
      </c>
      <c r="AY115" s="205">
        <v>-0.9302474</v>
      </c>
      <c r="AZ115" s="205">
        <v>-0.0318394</v>
      </c>
      <c r="BA115" s="205">
        <v>-0.5590435</v>
      </c>
      <c r="BB115" s="205">
        <v>0.22556103</v>
      </c>
      <c r="BC115" s="205">
        <v>1.16539863</v>
      </c>
      <c r="BD115" s="205">
        <v>0.21916757</v>
      </c>
      <c r="BE115" s="205">
        <v>-0.9757688</v>
      </c>
      <c r="BF115" s="205">
        <v>0.06892142</v>
      </c>
      <c r="BG115" s="205">
        <v>-0.0343968</v>
      </c>
      <c r="BH115" s="205">
        <v>0.0</v>
      </c>
      <c r="BI115" s="205">
        <v>1.70244869</v>
      </c>
      <c r="BJ115" s="205">
        <v>0.1264625</v>
      </c>
      <c r="BK115" s="205">
        <v>1.02346397</v>
      </c>
      <c r="BL115" s="205">
        <v>-1.0228758</v>
      </c>
      <c r="BM115" s="205">
        <v>-0.0359312</v>
      </c>
      <c r="BN115" s="205">
        <v>3.09110671</v>
      </c>
      <c r="BO115" s="205">
        <v>-0.0756985</v>
      </c>
      <c r="BP115" s="205">
        <v>1.62316987</v>
      </c>
      <c r="BQ115" s="205">
        <v>-0.3121284</v>
      </c>
      <c r="BR115" s="206"/>
      <c r="BS115" s="250">
        <f t="shared" si="1"/>
        <v>0.2388654938</v>
      </c>
      <c r="BT115" s="250">
        <f t="shared" si="2"/>
        <v>0.7324538991</v>
      </c>
      <c r="BU115" s="206"/>
      <c r="BV115" s="207">
        <f>IFERROR(__xludf.DUMMYFUNCTION("AVERAGE(ARRAYFORMULA(XLOOKUP(FILTER(INDIRECT(""'""&amp;BV$1&amp;""'!$C$4:$C$66""),INDIRECT(""'""&amp;BV$1&amp;""'!$D$4:$D$66"")=BV$2),$G$3:$BQ$3,$G115:$BQ115)))"),-0.7225588385714286)</f>
        <v>-0.7225588386</v>
      </c>
      <c r="BW115" s="207">
        <f>IFERROR(__xludf.DUMMYFUNCTION("IF(OR(BV115&gt;$BS115+$BT115*$BT$2,BV115&lt;$BS115-$BT115*$BT$2),AVEDEV(ARRAYFORMULA(XLOOKUP(FILTER(INDIRECT(""'""&amp;BV$1&amp;""'!$C$4:$C$66""),INDIRECT(""'""&amp;BV$1&amp;""'!$D$4:$D$66"")=BV$2),$G$3:$BQ$3,$G115:$BQ115))),"""")"),0.308951487755102)</f>
        <v>0.3089514878</v>
      </c>
      <c r="BX115" s="207">
        <f>IFERROR(__xludf.DUMMYFUNCTION("AVERAGE(ARRAYFORMULA(XLOOKUP(FILTER(INDIRECT(""'""&amp;BX$1&amp;""'!$C$4:$C$66""),INDIRECT(""'""&amp;BX$1&amp;""'!$D$4:$D$66"")=BX$2),$G$3:$BQ$3,$G115:$BQ115)))"),0.39056386833333334)</f>
        <v>0.3905638683</v>
      </c>
      <c r="BY115" s="207" t="str">
        <f>IFERROR(__xludf.DUMMYFUNCTION("IF(OR(BX115&gt;$BS115+$BT115*$BT$2,BX115&lt;$BS115-$BT115*$BT$2),AVEDEV(ARRAYFORMULA(XLOOKUP(FILTER(INDIRECT(""'""&amp;BX$1&amp;""'!$C$4:$C$66""),INDIRECT(""'""&amp;BX$1&amp;""'!$D$4:$D$66"")=BX$2),$G$3:$BQ$3,$G115:$BQ115))),"""")"),"")</f>
        <v/>
      </c>
      <c r="BZ115" s="207">
        <f>IFERROR(__xludf.DUMMYFUNCTION("AVERAGE(ARRAYFORMULA(XLOOKUP(FILTER(INDIRECT(""'""&amp;BZ$1&amp;""'!$C$4:$C$66""),INDIRECT(""'""&amp;BZ$1&amp;""'!$D$4:$D$66"")=BZ$2),$G$3:$BQ$3,$G115:$BQ115)))"),-0.06153524727272732)</f>
        <v>-0.06153524727</v>
      </c>
      <c r="CA115" s="207" t="str">
        <f>IFERROR(__xludf.DUMMYFUNCTION("IF(OR(BZ115&gt;$BS115+$BT115*$BT$2,BZ115&lt;$BS115-$BT115*$BT$2),AVEDEV(ARRAYFORMULA(XLOOKUP(FILTER(INDIRECT(""'""&amp;BZ$1&amp;""'!$C$4:$C$66""),INDIRECT(""'""&amp;BZ$1&amp;""'!$D$4:$D$66"")=BZ$2),$G$3:$BQ$3,$G115:$BQ115))),"""")"),"")</f>
        <v/>
      </c>
      <c r="CB115" s="209"/>
      <c r="CC115" s="207">
        <f>IFERROR(__xludf.DUMMYFUNCTION("AVERAGE(ARRAYFORMULA(XLOOKUP(FILTER(INDIRECT(""'""&amp;CC$1&amp;""'!$C$4:$C$66""),INDIRECT(""'""&amp;CC$1&amp;""'!$D$4:$D$66"")=CC$2),$G$3:$BQ$3,$G115:$BQ115)))"),0.22056613812499998)</f>
        <v>0.2205661381</v>
      </c>
      <c r="CD115" s="207" t="str">
        <f>IFERROR(__xludf.DUMMYFUNCTION("IF(OR(CC115&gt;$BS115+$BT115*$BT$2,CC115&lt;$BS115-$BT115*$BT$2),AVEDEV(ARRAYFORMULA(XLOOKUP(FILTER(INDIRECT(""'""&amp;CC$1&amp;""'!$C$4:$C$66""),INDIRECT(""'""&amp;CC$1&amp;""'!$D$4:$D$66"")=CC$2),$G$3:$BQ$3,$G115:$BQ115))),"""")"),"")</f>
        <v/>
      </c>
      <c r="CE115" s="207">
        <f>IFERROR(__xludf.DUMMYFUNCTION("AVERAGE(ARRAYFORMULA(XLOOKUP(FILTER(INDIRECT(""'""&amp;CE$1&amp;""'!$C$4:$C$66""),INDIRECT(""'""&amp;CE$1&amp;""'!$D$4:$D$66"")=CE$2),$G$3:$BQ$3,$G115:$BQ115)))"),0.3143656722580645)</f>
        <v>0.3143656723</v>
      </c>
      <c r="CF115" s="207" t="str">
        <f>IFERROR(__xludf.DUMMYFUNCTION("IF(OR(CE115&gt;$BS115+$BT115*$BT$2,CE115&lt;$BS115-$BT115*$BT$2),AVEDEV(ARRAYFORMULA(XLOOKUP(FILTER(INDIRECT(""'""&amp;CE$1&amp;""'!$C$4:$C$66""),INDIRECT(""'""&amp;CE$1&amp;""'!$D$4:$D$66"")=CE$2),$G$3:$BQ$3,$G115:$BQ115))),"""")"),"")</f>
        <v/>
      </c>
      <c r="CG115" s="207">
        <f>IFERROR(__xludf.DUMMYFUNCTION("AVERAGE(ARRAYFORMULA(XLOOKUP(FILTER(INDIRECT(""'""&amp;CG$1&amp;""'!$C$4:$C$66""),INDIRECT(""'""&amp;CG$1&amp;""'!$D$4:$D$66"")=CG$2),$G$3:$BQ$3,$G115:$BQ115)))"),-0.273716514)</f>
        <v>-0.273716514</v>
      </c>
      <c r="CH115" s="207" t="str">
        <f>IFERROR(__xludf.DUMMYFUNCTION("IF(OR(CG115&gt;$BS115+$BT115*$BT$2,CG115&lt;$BS115-$BT115*$BT$2),AVEDEV(ARRAYFORMULA(XLOOKUP(FILTER(INDIRECT(""'""&amp;CG$1&amp;""'!$C$4:$C$66""),INDIRECT(""'""&amp;CG$1&amp;""'!$D$4:$D$66"")=CG$2),$G$3:$BQ$3,$G115:$BQ115))),"""")"),"")</f>
        <v/>
      </c>
      <c r="CI115" s="206"/>
      <c r="CJ115" s="251">
        <f>IFERROR(__xludf.DUMMYFUNCTION("AVERAGE(ARRAYFORMULA(XLOOKUP(FILTER(INDIRECT(""'""&amp;CJ$1&amp;""'!$C$4:$C$66""),INDIRECT(""'""&amp;CJ$1&amp;""'!$D$4:$D$66"")=CJ$2),$G$3:$BQ$3,$G115:$BQ115)))"),-0.11494576400000002)</f>
        <v>-0.114945764</v>
      </c>
      <c r="CK115" s="207" t="str">
        <f>IFERROR(__xludf.DUMMYFUNCTION("IF(OR(CJ115&gt;$BS115+$BT115*$BT$2,CJ115&lt;$BS115-$BT115*$BT$2),AVEDEV(ARRAYFORMULA(XLOOKUP(FILTER(INDIRECT(""'""&amp;CJ$1&amp;""'!$C$4:$C$66""),INDIRECT(""'""&amp;CJ$1&amp;""'!$D$4:$D$66"")=CJ$2),$G$3:$BQ$3,$G115:$BQ115))),"""")"),"")</f>
        <v/>
      </c>
      <c r="CL115" s="251">
        <f>IFERROR(__xludf.DUMMYFUNCTION("AVERAGE(ARRAYFORMULA(XLOOKUP(FILTER(INDIRECT(""'""&amp;CL$1&amp;""'!$C$4:$C$66""),INDIRECT(""'""&amp;CL$1&amp;""'!$D$4:$D$66"")=CL$2),$G$3:$BQ$3,$G115:$BQ115)))"),0.3790904541025641)</f>
        <v>0.3790904541</v>
      </c>
      <c r="CM115" s="207" t="str">
        <f>IFERROR(__xludf.DUMMYFUNCTION("IF(OR(CL115&gt;$BS115+$BT115*$BT$2,CL115&lt;$BS115-$BT115*$BT$2),AVEDEV(ARRAYFORMULA(XLOOKUP(FILTER(INDIRECT(""'""&amp;CL$1&amp;""'!$C$4:$C$66""),INDIRECT(""'""&amp;CL$1&amp;""'!$D$4:$D$66"")=CL$2),$G$3:$BQ$3,$G115:$BQ115))),"""")"),"")</f>
        <v/>
      </c>
      <c r="CN115" s="251">
        <f>IFERROR(__xludf.DUMMYFUNCTION("AVERAGE(ARRAYFORMULA(XLOOKUP(FILTER(INDIRECT(""'""&amp;CN$1&amp;""'!$C$4:$C$66""),INDIRECT(""'""&amp;CN$1&amp;""'!$D$4:$D$66"")=CN$2),$G$3:$BQ$3,$G115:$BQ115)))"),-0.273716514)</f>
        <v>-0.273716514</v>
      </c>
      <c r="CO115" s="207" t="str">
        <f>IFERROR(__xludf.DUMMYFUNCTION("IF(OR(CN115&gt;$BS115+$BT115*$BT$2,CN115&lt;$BS115-$BT115*$BT$2),AVEDEV(ARRAYFORMULA(XLOOKUP(FILTER(INDIRECT(""'""&amp;CN$1&amp;""'!$C$4:$C$66""),INDIRECT(""'""&amp;CN$1&amp;""'!$D$4:$D$66"")=CN$2),$G$3:$BQ$3,$G115:$BQ115))),"""")"),"")</f>
        <v/>
      </c>
      <c r="CP115" s="252"/>
      <c r="CQ115" s="251">
        <f>IFERROR(__xludf.DUMMYFUNCTION("AVERAGE(ARRAYFORMULA(XLOOKUP(FILTER(INDIRECT(""'""&amp;CQ$1&amp;""'!$C$4:$C$66""),INDIRECT(""'""&amp;CQ$1&amp;""'!$D$4:$D$66"")=CQ$2),$G$3:$BQ$3,$G115:$BQ115)))"),0.23215541071428575)</f>
        <v>0.2321554107</v>
      </c>
      <c r="CR115" s="207" t="str">
        <f>IFERROR(__xludf.DUMMYFUNCTION("IF(OR(CQ115&gt;$BS115+$BT115*$BT$2,CQ115&lt;$BS115-$BT115*$BT$2),AVEDEV(ARRAYFORMULA(XLOOKUP(FILTER(INDIRECT(""'""&amp;CQ$1&amp;""'!$C$4:$C$66""),INDIRECT(""'""&amp;CQ$1&amp;""'!$D$4:$D$66"")=CQ$2),$G$3:$BQ$3,$G115:$BQ115))),"""")"),"")</f>
        <v/>
      </c>
      <c r="CS115" s="251">
        <f>IFERROR(__xludf.DUMMYFUNCTION("AVERAGE(ARRAYFORMULA(XLOOKUP(FILTER(INDIRECT(""'""&amp;CS$1&amp;""'!$C$4:$C$66""),INDIRECT(""'""&amp;CS$1&amp;""'!$D$4:$D$66"")=CS$2),$G$3:$BQ$3,$G115:$BQ115)))"),-0.06767968000000003)</f>
        <v>-0.06767968</v>
      </c>
      <c r="CT115" s="207" t="str">
        <f>IFERROR(__xludf.DUMMYFUNCTION("IF(OR(CS115&gt;$BS115+$BT115*$BT$2,CS115&lt;$BS115-$BT115*$BT$2),AVEDEV(ARRAYFORMULA(XLOOKUP(FILTER(INDIRECT(""'""&amp;CS$1&amp;""'!$C$4:$C$66""),INDIRECT(""'""&amp;CS$1&amp;""'!$D$4:$D$66"")=CS$2),$G$3:$BQ$3,$G115:$BQ115))),"""")"),"")</f>
        <v/>
      </c>
      <c r="CU115" s="251">
        <f>IFERROR(__xludf.DUMMYFUNCTION("AVERAGE(ARRAYFORMULA(XLOOKUP(FILTER(INDIRECT(""'""&amp;CU$1&amp;""'!$C$4:$C$66""),INDIRECT(""'""&amp;CU$1&amp;""'!$D$4:$D$66"")=CU$2),$G$3:$BQ$3,$G115:$BQ115)))"),-0.06792172636363636)</f>
        <v>-0.06792172636</v>
      </c>
      <c r="CV115" s="207" t="str">
        <f>IFERROR(__xludf.DUMMYFUNCTION("IF(OR(CU115&gt;$BS115+$BT115*$BT$2,CU115&lt;$BS115-$BT115*$BT$2),AVEDEV(ARRAYFORMULA(XLOOKUP(FILTER(INDIRECT(""'""&amp;CU$1&amp;""'!$C$4:$C$66""),INDIRECT(""'""&amp;CU$1&amp;""'!$D$4:$D$66"")=CU$2),$G$3:$BQ$3,$G115:$BQ115))),"""")"),"")</f>
        <v/>
      </c>
      <c r="CW115" s="251">
        <f>IFERROR(__xludf.DUMMYFUNCTION("AVERAGE(ARRAYFORMULA(XLOOKUP(FILTER(INDIRECT(""'""&amp;CW$1&amp;""'!$C$4:$C$66""),INDIRECT(""'""&amp;CW$1&amp;""'!$D$4:$D$66"")=CW$2),$G$3:$BQ$3,$G115:$BQ115)))"),0.203567545)</f>
        <v>0.203567545</v>
      </c>
      <c r="CX115" s="207" t="str">
        <f>IFERROR(__xludf.DUMMYFUNCTION("IF(OR(CW115&gt;$BS115+$BT115*$BT$2,CW115&lt;$BS115-$BT115*$BT$2),AVEDEV(ARRAYFORMULA(XLOOKUP(FILTER(INDIRECT(""'""&amp;CW$1&amp;""'!$C$4:$C$66""),INDIRECT(""'""&amp;CW$1&amp;""'!$D$4:$D$66"")=CW$2),$G$3:$BQ$3,$G115:$BQ115))),"""")"),"")</f>
        <v/>
      </c>
      <c r="CY115" s="251">
        <f>IFERROR(__xludf.DUMMYFUNCTION("AVERAGE(ARRAYFORMULA(XLOOKUP(FILTER(INDIRECT(""'""&amp;CY$1&amp;""'!$C$4:$C$66""),INDIRECT(""'""&amp;CY$1&amp;""'!$D$4:$D$66"")=CY$2),$G$3:$BQ$3,$G115:$BQ115)))"),0.7799099414285715)</f>
        <v>0.7799099414</v>
      </c>
      <c r="CZ115" s="207" t="str">
        <f>IFERROR(__xludf.DUMMYFUNCTION("IF(OR(CY115&gt;$BS115+$BT115*$BT$2,CY115&lt;$BS115-$BT115*$BT$2),AVEDEV(ARRAYFORMULA(XLOOKUP(FILTER(INDIRECT(""'""&amp;CY$1&amp;""'!$C$4:$C$66""),INDIRECT(""'""&amp;CY$1&amp;""'!$D$4:$D$66"")=CY$2),$G$3:$BQ$3,$G115:$BQ115))),"""")"),"")</f>
        <v/>
      </c>
      <c r="DA115" s="252"/>
      <c r="DB115" s="251">
        <f>IFERROR(__xludf.DUMMYFUNCTION("AVERAGE(ARRAYFORMULA(XLOOKUP(FILTER(INDIRECT(""'""&amp;DB$1&amp;""'!$C$4:$C$66""),INDIRECT(""'""&amp;DB$1&amp;""'!$D$4:$D$66"")=DB$2),$G$3:$BQ$3,$G115:$BQ115)))"),0.4592502580000001)</f>
        <v>0.459250258</v>
      </c>
      <c r="DC115" s="207" t="str">
        <f>IFERROR(__xludf.DUMMYFUNCTION("IF(OR(DB115&gt;$BS115+$BT115*$BT$2,DB115&lt;$BS115-$BT115*$BT$2),AVEDEV(ARRAYFORMULA(XLOOKUP(FILTER(INDIRECT(""'""&amp;DB$1&amp;""'!$C$4:$C$66""),INDIRECT(""'""&amp;DB$1&amp;""'!$D$4:$D$66"")=DB$2),$G$3:$BQ$3,$G115:$BQ115))),"""")"),"")</f>
        <v/>
      </c>
      <c r="DD115" s="251">
        <f>IFERROR(__xludf.DUMMYFUNCTION("AVERAGE(ARRAYFORMULA(XLOOKUP(FILTER(INDIRECT(""'""&amp;DD$1&amp;""'!$C$4:$C$66""),INDIRECT(""'""&amp;DD$1&amp;""'!$D$4:$D$66"")=DD$2),$G$3:$BQ$3,$G115:$BQ115)))"),-0.24676740444444448)</f>
        <v>-0.2467674044</v>
      </c>
      <c r="DE115" s="207" t="str">
        <f>IFERROR(__xludf.DUMMYFUNCTION("IF(OR(DD115&gt;$BS115+$BT115*$BT$2,DD115&lt;$BS115-$BT115*$BT$2),AVEDEV(ARRAYFORMULA(XLOOKUP(FILTER(INDIRECT(""'""&amp;DD$1&amp;""'!$C$4:$C$66""),INDIRECT(""'""&amp;DD$1&amp;""'!$D$4:$D$66"")=DD$2),$G$3:$BQ$3,$G115:$BQ115))),"""")"),"")</f>
        <v/>
      </c>
      <c r="DF115" s="251">
        <f>IFERROR(__xludf.DUMMYFUNCTION("AVERAGE(ARRAYFORMULA(XLOOKUP(FILTER(INDIRECT(""'""&amp;DF$1&amp;""'!$C$4:$C$66""),INDIRECT(""'""&amp;DF$1&amp;""'!$D$4:$D$66"")=DF$2),$G$3:$BQ$3,$G115:$BQ115)))"),-0.49188031249999997)</f>
        <v>-0.4918803125</v>
      </c>
      <c r="DG115" s="207" t="str">
        <f>IFERROR(__xludf.DUMMYFUNCTION("IF(OR(DF115&gt;$BS115+$BT115*$BT$2,DF115&lt;$BS115-$BT115*$BT$2),AVEDEV(ARRAYFORMULA(XLOOKUP(FILTER(INDIRECT(""'""&amp;DF$1&amp;""'!$C$4:$C$66""),INDIRECT(""'""&amp;DF$1&amp;""'!$D$4:$D$66"")=DF$2),$G$3:$BQ$3,$G115:$BQ115))),"""")"),"")</f>
        <v/>
      </c>
      <c r="DH115" s="251">
        <f>IFERROR(__xludf.DUMMYFUNCTION("AVERAGE(ARRAYFORMULA(XLOOKUP(FILTER(INDIRECT(""'""&amp;DH$1&amp;""'!$C$4:$C$66""),INDIRECT(""'""&amp;DH$1&amp;""'!$D$4:$D$66"")=DH$2),$G$3:$BQ$3,$G115:$BQ115)))"),0.5952304777777778)</f>
        <v>0.5952304778</v>
      </c>
      <c r="DI115" s="207" t="str">
        <f>IFERROR(__xludf.DUMMYFUNCTION("IF(OR(DH115&gt;$BS115+$BT115*$BT$2,DH115&lt;$BS115-$BT115*$BT$2),AVEDEV(ARRAYFORMULA(XLOOKUP(FILTER(INDIRECT(""'""&amp;DH$1&amp;""'!$C$4:$C$66""),INDIRECT(""'""&amp;DH$1&amp;""'!$D$4:$D$66"")=DH$2),$G$3:$BQ$3,$G115:$BQ115))),"""")"),"")</f>
        <v/>
      </c>
      <c r="DJ115" s="243"/>
    </row>
    <row r="116">
      <c r="A116" s="2"/>
      <c r="B116" s="204">
        <v>112.0</v>
      </c>
      <c r="C116" s="204" t="s">
        <v>540</v>
      </c>
      <c r="D116" s="204" t="s">
        <v>558</v>
      </c>
      <c r="E116" s="205" t="b">
        <f>VLOOKUP(D116,'Feature Set List'!A113:C246,2,0)</f>
        <v>1</v>
      </c>
      <c r="F116" s="205" t="b">
        <f>VLOOKUP(D116,'Feature Set List'!A113:C246,3,0)</f>
        <v>1</v>
      </c>
      <c r="G116" s="205">
        <v>2.4656062</v>
      </c>
      <c r="H116" s="205">
        <v>0.0</v>
      </c>
      <c r="I116" s="205">
        <v>0.0326077</v>
      </c>
      <c r="J116" s="205">
        <v>0.28076817</v>
      </c>
      <c r="K116" s="205">
        <v>1.98137575</v>
      </c>
      <c r="L116" s="205">
        <v>-0.256404</v>
      </c>
      <c r="M116" s="205">
        <v>-0.4783379</v>
      </c>
      <c r="N116" s="205">
        <v>-0.3182609</v>
      </c>
      <c r="O116" s="205">
        <v>-0.3084908</v>
      </c>
      <c r="P116" s="205">
        <v>-0.348304</v>
      </c>
      <c r="Q116" s="205">
        <v>2.0766342</v>
      </c>
      <c r="R116" s="205">
        <v>-0.3679052</v>
      </c>
      <c r="S116" s="205">
        <v>-0.387079</v>
      </c>
      <c r="T116" s="205">
        <v>-0.5043813</v>
      </c>
      <c r="U116" s="205">
        <v>-0.5338137</v>
      </c>
      <c r="V116" s="205">
        <v>-0.4692089</v>
      </c>
      <c r="W116" s="205">
        <v>-0.3539218</v>
      </c>
      <c r="X116" s="205">
        <v>-0.1340335</v>
      </c>
      <c r="Y116" s="205">
        <v>3.75342717</v>
      </c>
      <c r="Z116" s="205">
        <v>0.42976216</v>
      </c>
      <c r="AA116" s="205">
        <v>-0.3612494</v>
      </c>
      <c r="AB116" s="205">
        <v>-0.1524135</v>
      </c>
      <c r="AC116" s="205">
        <v>0.28748512</v>
      </c>
      <c r="AD116" s="205">
        <v>2.68726529</v>
      </c>
      <c r="AE116" s="205">
        <v>1.23640583</v>
      </c>
      <c r="AF116" s="205">
        <v>0.27466186</v>
      </c>
      <c r="AG116" s="205">
        <v>0.49754221</v>
      </c>
      <c r="AH116" s="205">
        <v>-0.1182792</v>
      </c>
      <c r="AI116" s="205">
        <v>0.71065246</v>
      </c>
      <c r="AJ116" s="205">
        <v>0.07987055</v>
      </c>
      <c r="AK116" s="205">
        <v>-0.2749061</v>
      </c>
      <c r="AL116" s="205">
        <v>-0.2203768</v>
      </c>
      <c r="AM116" s="205">
        <v>2.47415504</v>
      </c>
      <c r="AN116" s="205">
        <v>0.10979147</v>
      </c>
      <c r="AO116" s="205">
        <v>-0.5338137</v>
      </c>
      <c r="AP116" s="205">
        <v>2.40210057</v>
      </c>
      <c r="AQ116" s="205">
        <v>-0.2292309</v>
      </c>
      <c r="AR116" s="205">
        <v>-0.3304125</v>
      </c>
      <c r="AS116" s="205">
        <v>-0.516142</v>
      </c>
      <c r="AT116" s="205">
        <v>-0.2668458</v>
      </c>
      <c r="AU116" s="205">
        <v>2.83748054</v>
      </c>
      <c r="AV116" s="205">
        <v>2.1572375</v>
      </c>
      <c r="AW116" s="205">
        <v>2.04060697</v>
      </c>
      <c r="AX116" s="205">
        <v>-0.2446799</v>
      </c>
      <c r="AY116" s="205">
        <v>-0.5338137</v>
      </c>
      <c r="AZ116" s="205">
        <v>0.11101273</v>
      </c>
      <c r="BA116" s="205">
        <v>-0.3263823</v>
      </c>
      <c r="BB116" s="205">
        <v>0.18734162</v>
      </c>
      <c r="BC116" s="205">
        <v>-0.4622477</v>
      </c>
      <c r="BD116" s="205">
        <v>0.46151498</v>
      </c>
      <c r="BE116" s="205">
        <v>-0.2659909</v>
      </c>
      <c r="BF116" s="205">
        <v>0.17451836</v>
      </c>
      <c r="BG116" s="205">
        <v>0.29542332</v>
      </c>
      <c r="BH116" s="205">
        <v>1.38356792</v>
      </c>
      <c r="BI116" s="205">
        <v>-0.0935487</v>
      </c>
      <c r="BJ116" s="205">
        <v>-0.0145941</v>
      </c>
      <c r="BK116" s="205">
        <v>0.08903001</v>
      </c>
      <c r="BL116" s="205">
        <v>-0.4243275</v>
      </c>
      <c r="BM116" s="205">
        <v>0.6447043</v>
      </c>
      <c r="BN116" s="205">
        <v>3.04021006</v>
      </c>
      <c r="BO116" s="205">
        <v>3.14157482</v>
      </c>
      <c r="BP116" s="205">
        <v>3.75892285</v>
      </c>
      <c r="BQ116" s="205">
        <v>-0.2567704</v>
      </c>
      <c r="BR116" s="206"/>
      <c r="BS116" s="250">
        <f t="shared" si="1"/>
        <v>0.5082078037</v>
      </c>
      <c r="BT116" s="250">
        <f t="shared" si="2"/>
        <v>0.9572188828</v>
      </c>
      <c r="BU116" s="206"/>
      <c r="BV116" s="207">
        <f>IFERROR(__xludf.DUMMYFUNCTION("AVERAGE(ARRAYFORMULA(XLOOKUP(FILTER(INDIRECT(""'""&amp;BV$1&amp;""'!$C$4:$C$66""),INDIRECT(""'""&amp;BV$1&amp;""'!$D$4:$D$66"")=BV$2),$G$3:$BQ$3,$G116:$BQ116)))"),-0.31977876857142856)</f>
        <v>-0.3197787686</v>
      </c>
      <c r="BW116" s="207" t="str">
        <f>IFERROR(__xludf.DUMMYFUNCTION("IF(OR(BV116&gt;$BS116+$BT116*$BT$2,BV116&lt;$BS116-$BT116*$BT$2),AVEDEV(ARRAYFORMULA(XLOOKUP(FILTER(INDIRECT(""'""&amp;BV$1&amp;""'!$C$4:$C$66""),INDIRECT(""'""&amp;BV$1&amp;""'!$D$4:$D$66"")=BV$2),$G$3:$BQ$3,$G116:$BQ116))),"""")"),"")</f>
        <v/>
      </c>
      <c r="BX116" s="207">
        <f>IFERROR(__xludf.DUMMYFUNCTION("AVERAGE(ARRAYFORMULA(XLOOKUP(FILTER(INDIRECT(""'""&amp;BX$1&amp;""'!$C$4:$C$66""),INDIRECT(""'""&amp;BX$1&amp;""'!$D$4:$D$66"")=BX$2),$G$3:$BQ$3,$G116:$BQ116)))"),0.6176728292857142)</f>
        <v>0.6176728293</v>
      </c>
      <c r="BY116" s="207" t="str">
        <f>IFERROR(__xludf.DUMMYFUNCTION("IF(OR(BX116&gt;$BS116+$BT116*$BT$2,BX116&lt;$BS116-$BT116*$BT$2),AVEDEV(ARRAYFORMULA(XLOOKUP(FILTER(INDIRECT(""'""&amp;BX$1&amp;""'!$C$4:$C$66""),INDIRECT(""'""&amp;BX$1&amp;""'!$D$4:$D$66"")=BX$2),$G$3:$BQ$3,$G116:$BQ116))),"""")"),"")</f>
        <v/>
      </c>
      <c r="BZ116" s="207">
        <f>IFERROR(__xludf.DUMMYFUNCTION("AVERAGE(ARRAYFORMULA(XLOOKUP(FILTER(INDIRECT(""'""&amp;BZ$1&amp;""'!$C$4:$C$66""),INDIRECT(""'""&amp;BZ$1&amp;""'!$D$4:$D$66"")=BZ$2),$G$3:$BQ$3,$G116:$BQ116)))"),0.45288008727272727)</f>
        <v>0.4528800873</v>
      </c>
      <c r="CA116" s="207" t="str">
        <f>IFERROR(__xludf.DUMMYFUNCTION("IF(OR(BZ116&gt;$BS116+$BT116*$BT$2,BZ116&lt;$BS116-$BT116*$BT$2),AVEDEV(ARRAYFORMULA(XLOOKUP(FILTER(INDIRECT(""'""&amp;BZ$1&amp;""'!$C$4:$C$66""),INDIRECT(""'""&amp;BZ$1&amp;""'!$D$4:$D$66"")=BZ$2),$G$3:$BQ$3,$G116:$BQ116))),"""")"),"")</f>
        <v/>
      </c>
      <c r="CB116" s="209"/>
      <c r="CC116" s="207">
        <f>IFERROR(__xludf.DUMMYFUNCTION("AVERAGE(ARRAYFORMULA(XLOOKUP(FILTER(INDIRECT(""'""&amp;CC$1&amp;""'!$C$4:$C$66""),INDIRECT(""'""&amp;CC$1&amp;""'!$D$4:$D$66"")=CC$2),$G$3:$BQ$3,$G116:$BQ116)))"),0.46369035249999996)</f>
        <v>0.4636903525</v>
      </c>
      <c r="CD116" s="207" t="str">
        <f>IFERROR(__xludf.DUMMYFUNCTION("IF(OR(CC116&gt;$BS116+$BT116*$BT$2,CC116&lt;$BS116-$BT116*$BT$2),AVEDEV(ARRAYFORMULA(XLOOKUP(FILTER(INDIRECT(""'""&amp;CC$1&amp;""'!$C$4:$C$66""),INDIRECT(""'""&amp;CC$1&amp;""'!$D$4:$D$66"")=CC$2),$G$3:$BQ$3,$G116:$BQ116))),"""")"),"")</f>
        <v/>
      </c>
      <c r="CE116" s="207">
        <f>IFERROR(__xludf.DUMMYFUNCTION("AVERAGE(ARRAYFORMULA(XLOOKUP(FILTER(INDIRECT(""'""&amp;CE$1&amp;""'!$C$4:$C$66""),INDIRECT(""'""&amp;CE$1&amp;""'!$D$4:$D$66"")=CE$2),$G$3:$BQ$3,$G116:$BQ116)))"),0.5832777687096774)</f>
        <v>0.5832777687</v>
      </c>
      <c r="CF116" s="207" t="str">
        <f>IFERROR(__xludf.DUMMYFUNCTION("IF(OR(CE116&gt;$BS116+$BT116*$BT$2,CE116&lt;$BS116-$BT116*$BT$2),AVEDEV(ARRAYFORMULA(XLOOKUP(FILTER(INDIRECT(""'""&amp;CE$1&amp;""'!$C$4:$C$66""),INDIRECT(""'""&amp;CE$1&amp;""'!$D$4:$D$66"")=CE$2),$G$3:$BQ$3,$G116:$BQ116))),"""")"),"")</f>
        <v/>
      </c>
      <c r="CG116" s="207">
        <f>IFERROR(__xludf.DUMMYFUNCTION("AVERAGE(ARRAYFORMULA(XLOOKUP(FILTER(INDIRECT(""'""&amp;CG$1&amp;""'!$C$4:$C$66""),INDIRECT(""'""&amp;CG$1&amp;""'!$D$4:$D$66"")=CG$2),$G$3:$BQ$3,$G116:$BQ116)))"),-0.279957256)</f>
        <v>-0.279957256</v>
      </c>
      <c r="CH116" s="207" t="str">
        <f>IFERROR(__xludf.DUMMYFUNCTION("IF(OR(CG116&gt;$BS116+$BT116*$BT$2,CG116&lt;$BS116-$BT116*$BT$2),AVEDEV(ARRAYFORMULA(XLOOKUP(FILTER(INDIRECT(""'""&amp;CG$1&amp;""'!$C$4:$C$66""),INDIRECT(""'""&amp;CG$1&amp;""'!$D$4:$D$66"")=CG$2),$G$3:$BQ$3,$G116:$BQ116))),"""")"),"")</f>
        <v/>
      </c>
      <c r="CI116" s="206"/>
      <c r="CJ116" s="251">
        <f>IFERROR(__xludf.DUMMYFUNCTION("AVERAGE(ARRAYFORMULA(XLOOKUP(FILTER(INDIRECT(""'""&amp;CJ$1&amp;""'!$C$4:$C$66""),INDIRECT(""'""&amp;CJ$1&amp;""'!$D$4:$D$66"")=CJ$2),$G$3:$BQ$3,$G116:$BQ116)))"),0.637710544)</f>
        <v>0.637710544</v>
      </c>
      <c r="CK116" s="207" t="str">
        <f>IFERROR(__xludf.DUMMYFUNCTION("IF(OR(CJ116&gt;$BS116+$BT116*$BT$2,CJ116&lt;$BS116-$BT116*$BT$2),AVEDEV(ARRAYFORMULA(XLOOKUP(FILTER(INDIRECT(""'""&amp;CJ$1&amp;""'!$C$4:$C$66""),INDIRECT(""'""&amp;CJ$1&amp;""'!$D$4:$D$66"")=CJ$2),$G$3:$BQ$3,$G116:$BQ116))),"""")"),"")</f>
        <v/>
      </c>
      <c r="CL116" s="251">
        <f>IFERROR(__xludf.DUMMYFUNCTION("AVERAGE(ARRAYFORMULA(XLOOKUP(FILTER(INDIRECT(""'""&amp;CL$1&amp;""'!$C$4:$C$66""),INDIRECT(""'""&amp;CL$1&amp;""'!$D$4:$D$66"")=CL$2),$G$3:$BQ$3,$G116:$BQ116)))"),0.5370242058974358)</f>
        <v>0.5370242059</v>
      </c>
      <c r="CM116" s="207" t="str">
        <f>IFERROR(__xludf.DUMMYFUNCTION("IF(OR(CL116&gt;$BS116+$BT116*$BT$2,CL116&lt;$BS116-$BT116*$BT$2),AVEDEV(ARRAYFORMULA(XLOOKUP(FILTER(INDIRECT(""'""&amp;CL$1&amp;""'!$C$4:$C$66""),INDIRECT(""'""&amp;CL$1&amp;""'!$D$4:$D$66"")=CL$2),$G$3:$BQ$3,$G116:$BQ116))),"""")"),"")</f>
        <v/>
      </c>
      <c r="CN116" s="251">
        <f>IFERROR(__xludf.DUMMYFUNCTION("AVERAGE(ARRAYFORMULA(XLOOKUP(FILTER(INDIRECT(""'""&amp;CN$1&amp;""'!$C$4:$C$66""),INDIRECT(""'""&amp;CN$1&amp;""'!$D$4:$D$66"")=CN$2),$G$3:$BQ$3,$G116:$BQ116)))"),-0.279957256)</f>
        <v>-0.279957256</v>
      </c>
      <c r="CO116" s="207" t="str">
        <f>IFERROR(__xludf.DUMMYFUNCTION("IF(OR(CN116&gt;$BS116+$BT116*$BT$2,CN116&lt;$BS116-$BT116*$BT$2),AVEDEV(ARRAYFORMULA(XLOOKUP(FILTER(INDIRECT(""'""&amp;CN$1&amp;""'!$C$4:$C$66""),INDIRECT(""'""&amp;CN$1&amp;""'!$D$4:$D$66"")=CN$2),$G$3:$BQ$3,$G116:$BQ116))),"""")"),"")</f>
        <v/>
      </c>
      <c r="CP116" s="252"/>
      <c r="CQ116" s="251">
        <f>IFERROR(__xludf.DUMMYFUNCTION("AVERAGE(ARRAYFORMULA(XLOOKUP(FILTER(INDIRECT(""'""&amp;CQ$1&amp;""'!$C$4:$C$66""),INDIRECT(""'""&amp;CQ$1&amp;""'!$D$4:$D$66"")=CQ$2),$G$3:$BQ$3,$G116:$BQ116)))"),0.42283149857142854)</f>
        <v>0.4228314986</v>
      </c>
      <c r="CR116" s="207" t="str">
        <f>IFERROR(__xludf.DUMMYFUNCTION("IF(OR(CQ116&gt;$BS116+$BT116*$BT$2,CQ116&lt;$BS116-$BT116*$BT$2),AVEDEV(ARRAYFORMULA(XLOOKUP(FILTER(INDIRECT(""'""&amp;CQ$1&amp;""'!$C$4:$C$66""),INDIRECT(""'""&amp;CQ$1&amp;""'!$D$4:$D$66"")=CQ$2),$G$3:$BQ$3,$G116:$BQ116))),"""")"),"")</f>
        <v/>
      </c>
      <c r="CS116" s="251">
        <f>IFERROR(__xludf.DUMMYFUNCTION("AVERAGE(ARRAYFORMULA(XLOOKUP(FILTER(INDIRECT(""'""&amp;CS$1&amp;""'!$C$4:$C$66""),INDIRECT(""'""&amp;CS$1&amp;""'!$D$4:$D$66"")=CS$2),$G$3:$BQ$3,$G116:$BQ116)))"),0.46955154777777774)</f>
        <v>0.4695515478</v>
      </c>
      <c r="CT116" s="207" t="str">
        <f>IFERROR(__xludf.DUMMYFUNCTION("IF(OR(CS116&gt;$BS116+$BT116*$BT$2,CS116&lt;$BS116-$BT116*$BT$2),AVEDEV(ARRAYFORMULA(XLOOKUP(FILTER(INDIRECT(""'""&amp;CS$1&amp;""'!$C$4:$C$66""),INDIRECT(""'""&amp;CS$1&amp;""'!$D$4:$D$66"")=CS$2),$G$3:$BQ$3,$G116:$BQ116))),"""")"),"")</f>
        <v/>
      </c>
      <c r="CU116" s="251">
        <f>IFERROR(__xludf.DUMMYFUNCTION("AVERAGE(ARRAYFORMULA(XLOOKUP(FILTER(INDIRECT(""'""&amp;CU$1&amp;""'!$C$4:$C$66""),INDIRECT(""'""&amp;CU$1&amp;""'!$D$4:$D$66"")=CU$2),$G$3:$BQ$3,$G116:$BQ116)))"),0.6528201481818182)</f>
        <v>0.6528201482</v>
      </c>
      <c r="CV116" s="207" t="str">
        <f>IFERROR(__xludf.DUMMYFUNCTION("IF(OR(CU116&gt;$BS116+$BT116*$BT$2,CU116&lt;$BS116-$BT116*$BT$2),AVEDEV(ARRAYFORMULA(XLOOKUP(FILTER(INDIRECT(""'""&amp;CU$1&amp;""'!$C$4:$C$66""),INDIRECT(""'""&amp;CU$1&amp;""'!$D$4:$D$66"")=CU$2),$G$3:$BQ$3,$G116:$BQ116))),"""")"),"")</f>
        <v/>
      </c>
      <c r="CW116" s="251">
        <f>IFERROR(__xludf.DUMMYFUNCTION("AVERAGE(ARRAYFORMULA(XLOOKUP(FILTER(INDIRECT(""'""&amp;CW$1&amp;""'!$C$4:$C$66""),INDIRECT(""'""&amp;CW$1&amp;""'!$D$4:$D$66"")=CW$2),$G$3:$BQ$3,$G116:$BQ116)))"),2.035416605)</f>
        <v>2.035416605</v>
      </c>
      <c r="CX116" s="207">
        <f>IFERROR(__xludf.DUMMYFUNCTION("IF(OR(CW116&gt;$BS116+$BT116*$BT$2,CW116&lt;$BS116-$BT116*$BT$2),AVEDEV(ARRAYFORMULA(XLOOKUP(FILTER(INDIRECT(""'""&amp;CW$1&amp;""'!$C$4:$C$66""),INDIRECT(""'""&amp;CW$1&amp;""'!$D$4:$D$66"")=CW$2),$G$3:$BQ$3,$G116:$BQ116))),"""")"),0.651848685)</f>
        <v>0.651848685</v>
      </c>
      <c r="CY116" s="251">
        <f>IFERROR(__xludf.DUMMYFUNCTION("AVERAGE(ARRAYFORMULA(XLOOKUP(FILTER(INDIRECT(""'""&amp;CY$1&amp;""'!$C$4:$C$66""),INDIRECT(""'""&amp;CY$1&amp;""'!$D$4:$D$66"")=CY$2),$G$3:$BQ$3,$G116:$BQ116)))"),0.5297529992857143)</f>
        <v>0.5297529993</v>
      </c>
      <c r="CZ116" s="207" t="str">
        <f>IFERROR(__xludf.DUMMYFUNCTION("IF(OR(CY116&gt;$BS116+$BT116*$BT$2,CY116&lt;$BS116-$BT116*$BT$2),AVEDEV(ARRAYFORMULA(XLOOKUP(FILTER(INDIRECT(""'""&amp;CY$1&amp;""'!$C$4:$C$66""),INDIRECT(""'""&amp;CY$1&amp;""'!$D$4:$D$66"")=CY$2),$G$3:$BQ$3,$G116:$BQ116))),"""")"),"")</f>
        <v/>
      </c>
      <c r="DA116" s="252"/>
      <c r="DB116" s="251">
        <f>IFERROR(__xludf.DUMMYFUNCTION("AVERAGE(ARRAYFORMULA(XLOOKUP(FILTER(INDIRECT(""'""&amp;DB$1&amp;""'!$C$4:$C$66""),INDIRECT(""'""&amp;DB$1&amp;""'!$D$4:$D$66"")=DB$2),$G$3:$BQ$3,$G116:$BQ116)))"),0.37101334333333325)</f>
        <v>0.3710133433</v>
      </c>
      <c r="DC116" s="207" t="str">
        <f>IFERROR(__xludf.DUMMYFUNCTION("IF(OR(DB116&gt;$BS116+$BT116*$BT$2,DB116&lt;$BS116-$BT116*$BT$2),AVEDEV(ARRAYFORMULA(XLOOKUP(FILTER(INDIRECT(""'""&amp;DB$1&amp;""'!$C$4:$C$66""),INDIRECT(""'""&amp;DB$1&amp;""'!$D$4:$D$66"")=DB$2),$G$3:$BQ$3,$G116:$BQ116))),"""")"),"")</f>
        <v/>
      </c>
      <c r="DD116" s="251">
        <f>IFERROR(__xludf.DUMMYFUNCTION("AVERAGE(ARRAYFORMULA(XLOOKUP(FILTER(INDIRECT(""'""&amp;DD$1&amp;""'!$C$4:$C$66""),INDIRECT(""'""&amp;DD$1&amp;""'!$D$4:$D$66"")=DD$2),$G$3:$BQ$3,$G116:$BQ116)))"),0.33331296666666665)</f>
        <v>0.3333129667</v>
      </c>
      <c r="DE116" s="207" t="str">
        <f>IFERROR(__xludf.DUMMYFUNCTION("IF(OR(DD116&gt;$BS116+$BT116*$BT$2,DD116&lt;$BS116-$BT116*$BT$2),AVEDEV(ARRAYFORMULA(XLOOKUP(FILTER(INDIRECT(""'""&amp;DD$1&amp;""'!$C$4:$C$66""),INDIRECT(""'""&amp;DD$1&amp;""'!$D$4:$D$66"")=DD$2),$G$3:$BQ$3,$G116:$BQ116))),"""")"),"")</f>
        <v/>
      </c>
      <c r="DF116" s="251">
        <f>IFERROR(__xludf.DUMMYFUNCTION("AVERAGE(ARRAYFORMULA(XLOOKUP(FILTER(INDIRECT(""'""&amp;DF$1&amp;""'!$C$4:$C$66""),INDIRECT(""'""&amp;DF$1&amp;""'!$D$4:$D$66"")=DF$2),$G$3:$BQ$3,$G116:$BQ116)))"),-0.287683565)</f>
        <v>-0.287683565</v>
      </c>
      <c r="DG116" s="207" t="str">
        <f>IFERROR(__xludf.DUMMYFUNCTION("IF(OR(DF116&gt;$BS116+$BT116*$BT$2,DF116&lt;$BS116-$BT116*$BT$2),AVEDEV(ARRAYFORMULA(XLOOKUP(FILTER(INDIRECT(""'""&amp;DF$1&amp;""'!$C$4:$C$66""),INDIRECT(""'""&amp;DF$1&amp;""'!$D$4:$D$66"")=DF$2),$G$3:$BQ$3,$G116:$BQ116))),"""")"),"")</f>
        <v/>
      </c>
      <c r="DH116" s="251">
        <f>IFERROR(__xludf.DUMMYFUNCTION("AVERAGE(ARRAYFORMULA(XLOOKUP(FILTER(INDIRECT(""'""&amp;DH$1&amp;""'!$C$4:$C$66""),INDIRECT(""'""&amp;DH$1&amp;""'!$D$4:$D$66"")=DH$2),$G$3:$BQ$3,$G116:$BQ116)))"),2.0310363477777775)</f>
        <v>2.031036348</v>
      </c>
      <c r="DI116" s="207">
        <f>IFERROR(__xludf.DUMMYFUNCTION("IF(OR(DH116&gt;$BS116+$BT116*$BT$2,DH116&lt;$BS116-$BT116*$BT$2),AVEDEV(ARRAYFORMULA(XLOOKUP(FILTER(INDIRECT(""'""&amp;DH$1&amp;""'!$C$4:$C$66""),INDIRECT(""'""&amp;DH$1&amp;""'!$D$4:$D$66"")=DH$2),$G$3:$BQ$3,$G116:$BQ116))),"""")"),1.1002269474074078)</f>
        <v>1.100226947</v>
      </c>
      <c r="DJ116" s="243"/>
    </row>
    <row r="117">
      <c r="A117" s="2"/>
      <c r="B117" s="204">
        <v>113.0</v>
      </c>
      <c r="C117" s="204" t="s">
        <v>540</v>
      </c>
      <c r="D117" s="204" t="s">
        <v>559</v>
      </c>
      <c r="E117" s="205" t="b">
        <f>VLOOKUP(D117,'Feature Set List'!A114:C246,2,0)</f>
        <v>1</v>
      </c>
      <c r="F117" s="205" t="b">
        <f>VLOOKUP(D117,'Feature Set List'!A114:C246,3,0)</f>
        <v>1</v>
      </c>
      <c r="G117" s="205">
        <v>-0.7950265</v>
      </c>
      <c r="H117" s="205">
        <v>1.22910536</v>
      </c>
      <c r="I117" s="205">
        <v>-1.1539141</v>
      </c>
      <c r="J117" s="205">
        <v>-0.525309</v>
      </c>
      <c r="K117" s="205">
        <v>0.28443202</v>
      </c>
      <c r="L117" s="205">
        <v>0.10785756</v>
      </c>
      <c r="M117" s="205">
        <v>1.38655091</v>
      </c>
      <c r="N117" s="205">
        <v>0.21085933</v>
      </c>
      <c r="O117" s="205">
        <v>0.0</v>
      </c>
      <c r="P117" s="205">
        <v>-0.1494997</v>
      </c>
      <c r="Q117" s="205">
        <v>-0.2263096</v>
      </c>
      <c r="R117" s="205">
        <v>0.18437316</v>
      </c>
      <c r="S117" s="205">
        <v>-0.6658328</v>
      </c>
      <c r="T117" s="205">
        <v>-0.1478811</v>
      </c>
      <c r="U117" s="205">
        <v>-0.4512949</v>
      </c>
      <c r="V117" s="205">
        <v>-0.5086816</v>
      </c>
      <c r="W117" s="205">
        <v>0.52869335</v>
      </c>
      <c r="X117" s="205">
        <v>-1.1656857</v>
      </c>
      <c r="Y117" s="205">
        <v>0.45364921</v>
      </c>
      <c r="Z117" s="205">
        <v>-0.4199529</v>
      </c>
      <c r="AA117" s="205">
        <v>0.18584461</v>
      </c>
      <c r="AB117" s="205">
        <v>-0.8931725</v>
      </c>
      <c r="AC117" s="205">
        <v>0.60079459</v>
      </c>
      <c r="AD117" s="205">
        <v>0.63758093</v>
      </c>
      <c r="AE117" s="205">
        <v>-0.814744</v>
      </c>
      <c r="AF117" s="205">
        <v>0.31238964</v>
      </c>
      <c r="AG117" s="205">
        <v>-1.2320483</v>
      </c>
      <c r="AH117" s="205">
        <v>-0.2438199</v>
      </c>
      <c r="AI117" s="205">
        <v>1.35270747</v>
      </c>
      <c r="AJ117" s="205">
        <v>-1.3053267</v>
      </c>
      <c r="AK117" s="205">
        <v>0.19467334</v>
      </c>
      <c r="AL117" s="205">
        <v>0.47130665</v>
      </c>
      <c r="AM117" s="205">
        <v>-0.2664803</v>
      </c>
      <c r="AN117" s="205">
        <v>0.92451442</v>
      </c>
      <c r="AO117" s="205">
        <v>-0.7296939</v>
      </c>
      <c r="AP117" s="205">
        <v>-0.3847852</v>
      </c>
      <c r="AQ117" s="205">
        <v>-0.6564155</v>
      </c>
      <c r="AR117" s="205">
        <v>3.39949971</v>
      </c>
      <c r="AS117" s="205">
        <v>0.16377281</v>
      </c>
      <c r="AT117" s="205">
        <v>0.07989994</v>
      </c>
      <c r="AU117" s="205">
        <v>1.81621542</v>
      </c>
      <c r="AV117" s="205">
        <v>-0.5286933</v>
      </c>
      <c r="AW117" s="205">
        <v>-0.3271042</v>
      </c>
      <c r="AX117" s="205">
        <v>-0.1877575</v>
      </c>
      <c r="AY117" s="205">
        <v>-0.9889641</v>
      </c>
      <c r="AZ117" s="205">
        <v>-0.3369629</v>
      </c>
      <c r="BA117" s="205">
        <v>0.31827546</v>
      </c>
      <c r="BB117" s="205">
        <v>-0.1043261</v>
      </c>
      <c r="BC117" s="205">
        <v>0.88772808</v>
      </c>
      <c r="BD117" s="205">
        <v>0.01957034</v>
      </c>
      <c r="BE117" s="205">
        <v>-1.3370659</v>
      </c>
      <c r="BF117" s="205">
        <v>-0.8736021</v>
      </c>
      <c r="BG117" s="205">
        <v>-0.5744556</v>
      </c>
      <c r="BH117" s="205">
        <v>0.1608299</v>
      </c>
      <c r="BI117" s="205">
        <v>1.3424073</v>
      </c>
      <c r="BJ117" s="205">
        <v>0.26530312</v>
      </c>
      <c r="BK117" s="205">
        <v>2.92716304</v>
      </c>
      <c r="BL117" s="205">
        <v>-1.0503237</v>
      </c>
      <c r="BM117" s="205">
        <v>2.06047675</v>
      </c>
      <c r="BN117" s="205">
        <v>0.33740436</v>
      </c>
      <c r="BO117" s="205">
        <v>-0.5463508</v>
      </c>
      <c r="BP117" s="205">
        <v>2.18113596</v>
      </c>
      <c r="BQ117" s="205">
        <v>1.70732784</v>
      </c>
      <c r="BR117" s="206"/>
      <c r="BS117" s="250">
        <f t="shared" si="1"/>
        <v>0.1133470187</v>
      </c>
      <c r="BT117" s="250">
        <f t="shared" si="2"/>
        <v>0.7413110545</v>
      </c>
      <c r="BU117" s="206"/>
      <c r="BV117" s="207">
        <f>IFERROR(__xludf.DUMMYFUNCTION("AVERAGE(ARRAYFORMULA(XLOOKUP(FILTER(INDIRECT(""'""&amp;BV$1&amp;""'!$C$4:$C$66""),INDIRECT(""'""&amp;BV$1&amp;""'!$D$4:$D$66"")=BV$2),$G$3:$BQ$3,$G117:$BQ117)))"),-0.8324791857142858)</f>
        <v>-0.8324791857</v>
      </c>
      <c r="BW117" s="207">
        <f>IFERROR(__xludf.DUMMYFUNCTION("IF(OR(BV117&gt;$BS117+$BT117*$BT$2,BV117&lt;$BS117-$BT117*$BT$2),AVEDEV(ARRAYFORMULA(XLOOKUP(FILTER(INDIRECT(""'""&amp;BV$1&amp;""'!$C$4:$C$66""),INDIRECT(""'""&amp;BV$1&amp;""'!$D$4:$D$66"")=BV$2),$G$3:$BQ$3,$G117:$BQ117))),"""")"),0.3463207591836735)</f>
        <v>0.3463207592</v>
      </c>
      <c r="BX117" s="207">
        <f>IFERROR(__xludf.DUMMYFUNCTION("AVERAGE(ARRAYFORMULA(XLOOKUP(FILTER(INDIRECT(""'""&amp;BX$1&amp;""'!$C$4:$C$66""),INDIRECT(""'""&amp;BX$1&amp;""'!$D$4:$D$66"")=BX$2),$G$3:$BQ$3,$G117:$BQ117)))"),0.2035195747619048)</f>
        <v>0.2035195748</v>
      </c>
      <c r="BY117" s="207" t="str">
        <f>IFERROR(__xludf.DUMMYFUNCTION("IF(OR(BX117&gt;$BS117+$BT117*$BT$2,BX117&lt;$BS117-$BT117*$BT$2),AVEDEV(ARRAYFORMULA(XLOOKUP(FILTER(INDIRECT(""'""&amp;BX$1&amp;""'!$C$4:$C$66""),INDIRECT(""'""&amp;BX$1&amp;""'!$D$4:$D$66"")=BX$2),$G$3:$BQ$3,$G117:$BQ117))),"""")"),"")</f>
        <v/>
      </c>
      <c r="BZ117" s="207">
        <f>IFERROR(__xludf.DUMMYFUNCTION("AVERAGE(ARRAYFORMULA(XLOOKUP(FILTER(INDIRECT(""'""&amp;BZ$1&amp;""'!$C$4:$C$66""),INDIRECT(""'""&amp;BZ$1&amp;""'!$D$4:$D$66"")=BZ$2),$G$3:$BQ$3,$G117:$BQ117)))"),0.33986569818181817)</f>
        <v>0.3398656982</v>
      </c>
      <c r="CA117" s="207" t="str">
        <f>IFERROR(__xludf.DUMMYFUNCTION("IF(OR(BZ117&gt;$BS117+$BT117*$BT$2,BZ117&lt;$BS117-$BT117*$BT$2),AVEDEV(ARRAYFORMULA(XLOOKUP(FILTER(INDIRECT(""'""&amp;BZ$1&amp;""'!$C$4:$C$66""),INDIRECT(""'""&amp;BZ$1&amp;""'!$D$4:$D$66"")=BZ$2),$G$3:$BQ$3,$G117:$BQ117))),"""")"),"")</f>
        <v/>
      </c>
      <c r="CB117" s="209"/>
      <c r="CC117" s="207">
        <f>IFERROR(__xludf.DUMMYFUNCTION("AVERAGE(ARRAYFORMULA(XLOOKUP(FILTER(INDIRECT(""'""&amp;CC$1&amp;""'!$C$4:$C$66""),INDIRECT(""'""&amp;CC$1&amp;""'!$D$4:$D$66"")=CC$2),$G$3:$BQ$3,$G117:$BQ117)))"),-0.15791459000000002)</f>
        <v>-0.15791459</v>
      </c>
      <c r="CD117" s="207" t="str">
        <f>IFERROR(__xludf.DUMMYFUNCTION("IF(OR(CC117&gt;$BS117+$BT117*$BT$2,CC117&lt;$BS117-$BT117*$BT$2),AVEDEV(ARRAYFORMULA(XLOOKUP(FILTER(INDIRECT(""'""&amp;CC$1&amp;""'!$C$4:$C$66""),INDIRECT(""'""&amp;CC$1&amp;""'!$D$4:$D$66"")=CC$2),$G$3:$BQ$3,$G117:$BQ117))),"""")"),"")</f>
        <v/>
      </c>
      <c r="CE117" s="207">
        <f>IFERROR(__xludf.DUMMYFUNCTION("AVERAGE(ARRAYFORMULA(XLOOKUP(FILTER(INDIRECT(""'""&amp;CE$1&amp;""'!$C$4:$C$66""),INDIRECT(""'""&amp;CE$1&amp;""'!$D$4:$D$66"")=CE$2),$G$3:$BQ$3,$G117:$BQ117)))"),0.2706539912903225)</f>
        <v>0.2706539913</v>
      </c>
      <c r="CF117" s="207" t="str">
        <f>IFERROR(__xludf.DUMMYFUNCTION("IF(OR(CE117&gt;$BS117+$BT117*$BT$2,CE117&lt;$BS117-$BT117*$BT$2),AVEDEV(ARRAYFORMULA(XLOOKUP(FILTER(INDIRECT(""'""&amp;CE$1&amp;""'!$C$4:$C$66""),INDIRECT(""'""&amp;CE$1&amp;""'!$D$4:$D$66"")=CE$2),$G$3:$BQ$3,$G117:$BQ117))),"""")"),"")</f>
        <v/>
      </c>
      <c r="CG117" s="207">
        <f>IFERROR(__xludf.DUMMYFUNCTION("AVERAGE(ARRAYFORMULA(XLOOKUP(FILTER(INDIRECT(""'""&amp;CG$1&amp;""'!$C$4:$C$66""),INDIRECT(""'""&amp;CG$1&amp;""'!$D$4:$D$66"")=CG$2),$G$3:$BQ$3,$G117:$BQ117)))"),-0.07795762599999999)</f>
        <v>-0.077957626</v>
      </c>
      <c r="CH117" s="207" t="str">
        <f>IFERROR(__xludf.DUMMYFUNCTION("IF(OR(CG117&gt;$BS117+$BT117*$BT$2,CG117&lt;$BS117-$BT117*$BT$2),AVEDEV(ARRAYFORMULA(XLOOKUP(FILTER(INDIRECT(""'""&amp;CG$1&amp;""'!$C$4:$C$66""),INDIRECT(""'""&amp;CG$1&amp;""'!$D$4:$D$66"")=CG$2),$G$3:$BQ$3,$G117:$BQ117))),"""")"),"")</f>
        <v/>
      </c>
      <c r="CI117" s="206"/>
      <c r="CJ117" s="251">
        <f>IFERROR(__xludf.DUMMYFUNCTION("AVERAGE(ARRAYFORMULA(XLOOKUP(FILTER(INDIRECT(""'""&amp;CJ$1&amp;""'!$C$4:$C$66""),INDIRECT(""'""&amp;CJ$1&amp;""'!$D$4:$D$66"")=CJ$2),$G$3:$BQ$3,$G117:$BQ117)))"),-0.183997458)</f>
        <v>-0.183997458</v>
      </c>
      <c r="CK117" s="207" t="str">
        <f>IFERROR(__xludf.DUMMYFUNCTION("IF(OR(CJ117&gt;$BS117+$BT117*$BT$2,CJ117&lt;$BS117-$BT117*$BT$2),AVEDEV(ARRAYFORMULA(XLOOKUP(FILTER(INDIRECT(""'""&amp;CJ$1&amp;""'!$C$4:$C$66""),INDIRECT(""'""&amp;CJ$1&amp;""'!$D$4:$D$66"")=CJ$2),$G$3:$BQ$3,$G117:$BQ117))),"""")"),"")</f>
        <v/>
      </c>
      <c r="CL117" s="251">
        <f>IFERROR(__xludf.DUMMYFUNCTION("AVERAGE(ARRAYFORMULA(XLOOKUP(FILTER(INDIRECT(""'""&amp;CL$1&amp;""'!$C$4:$C$66""),INDIRECT(""'""&amp;CL$1&amp;""'!$D$4:$D$66"")=CL$2),$G$3:$BQ$3,$G117:$BQ117)))"),0.27330933897435894)</f>
        <v>0.273309339</v>
      </c>
      <c r="CM117" s="207" t="str">
        <f>IFERROR(__xludf.DUMMYFUNCTION("IF(OR(CL117&gt;$BS117+$BT117*$BT$2,CL117&lt;$BS117-$BT117*$BT$2),AVEDEV(ARRAYFORMULA(XLOOKUP(FILTER(INDIRECT(""'""&amp;CL$1&amp;""'!$C$4:$C$66""),INDIRECT(""'""&amp;CL$1&amp;""'!$D$4:$D$66"")=CL$2),$G$3:$BQ$3,$G117:$BQ117))),"""")"),"")</f>
        <v/>
      </c>
      <c r="CN117" s="251">
        <f>IFERROR(__xludf.DUMMYFUNCTION("AVERAGE(ARRAYFORMULA(XLOOKUP(FILTER(INDIRECT(""'""&amp;CN$1&amp;""'!$C$4:$C$66""),INDIRECT(""'""&amp;CN$1&amp;""'!$D$4:$D$66"")=CN$2),$G$3:$BQ$3,$G117:$BQ117)))"),-0.07795762599999999)</f>
        <v>-0.077957626</v>
      </c>
      <c r="CO117" s="207" t="str">
        <f>IFERROR(__xludf.DUMMYFUNCTION("IF(OR(CN117&gt;$BS117+$BT117*$BT$2,CN117&lt;$BS117-$BT117*$BT$2),AVEDEV(ARRAYFORMULA(XLOOKUP(FILTER(INDIRECT(""'""&amp;CN$1&amp;""'!$C$4:$C$66""),INDIRECT(""'""&amp;CN$1&amp;""'!$D$4:$D$66"")=CN$2),$G$3:$BQ$3,$G117:$BQ117))),"""")"),"")</f>
        <v/>
      </c>
      <c r="CP117" s="252"/>
      <c r="CQ117" s="251">
        <f>IFERROR(__xludf.DUMMYFUNCTION("AVERAGE(ARRAYFORMULA(XLOOKUP(FILTER(INDIRECT(""'""&amp;CQ$1&amp;""'!$C$4:$C$66""),INDIRECT(""'""&amp;CQ$1&amp;""'!$D$4:$D$66"")=CQ$2),$G$3:$BQ$3,$G117:$BQ117)))"),0.07593752071428568)</f>
        <v>0.07593752071</v>
      </c>
      <c r="CR117" s="207" t="str">
        <f>IFERROR(__xludf.DUMMYFUNCTION("IF(OR(CQ117&gt;$BS117+$BT117*$BT$2,CQ117&lt;$BS117-$BT117*$BT$2),AVEDEV(ARRAYFORMULA(XLOOKUP(FILTER(INDIRECT(""'""&amp;CQ$1&amp;""'!$C$4:$C$66""),INDIRECT(""'""&amp;CQ$1&amp;""'!$D$4:$D$66"")=CQ$2),$G$3:$BQ$3,$G117:$BQ117))),"""")"),"")</f>
        <v/>
      </c>
      <c r="CS117" s="251">
        <f>IFERROR(__xludf.DUMMYFUNCTION("AVERAGE(ARRAYFORMULA(XLOOKUP(FILTER(INDIRECT(""'""&amp;CS$1&amp;""'!$C$4:$C$66""),INDIRECT(""'""&amp;CS$1&amp;""'!$D$4:$D$66"")=CS$2),$G$3:$BQ$3,$G117:$BQ117)))"),0.22388987000000002)</f>
        <v>0.22388987</v>
      </c>
      <c r="CT117" s="207" t="str">
        <f>IFERROR(__xludf.DUMMYFUNCTION("IF(OR(CS117&gt;$BS117+$BT117*$BT$2,CS117&lt;$BS117-$BT117*$BT$2),AVEDEV(ARRAYFORMULA(XLOOKUP(FILTER(INDIRECT(""'""&amp;CS$1&amp;""'!$C$4:$C$66""),INDIRECT(""'""&amp;CS$1&amp;""'!$D$4:$D$66"")=CS$2),$G$3:$BQ$3,$G117:$BQ117))),"""")"),"")</f>
        <v/>
      </c>
      <c r="CU117" s="251">
        <f>IFERROR(__xludf.DUMMYFUNCTION("AVERAGE(ARRAYFORMULA(XLOOKUP(FILTER(INDIRECT(""'""&amp;CU$1&amp;""'!$C$4:$C$66""),INDIRECT(""'""&amp;CU$1&amp;""'!$D$4:$D$66"")=CU$2),$G$3:$BQ$3,$G117:$BQ117)))"),-0.28992990545454544)</f>
        <v>-0.2899299055</v>
      </c>
      <c r="CV117" s="207" t="str">
        <f>IFERROR(__xludf.DUMMYFUNCTION("IF(OR(CU117&gt;$BS117+$BT117*$BT$2,CU117&lt;$BS117-$BT117*$BT$2),AVEDEV(ARRAYFORMULA(XLOOKUP(FILTER(INDIRECT(""'""&amp;CU$1&amp;""'!$C$4:$C$66""),INDIRECT(""'""&amp;CU$1&amp;""'!$D$4:$D$66"")=CU$2),$G$3:$BQ$3,$G117:$BQ117))),"""")"),"")</f>
        <v/>
      </c>
      <c r="CW117" s="251">
        <f>IFERROR(__xludf.DUMMYFUNCTION("AVERAGE(ARRAYFORMULA(XLOOKUP(FILTER(INDIRECT(""'""&amp;CW$1&amp;""'!$C$4:$C$66""),INDIRECT(""'""&amp;CW$1&amp;""'!$D$4:$D$66"")=CW$2),$G$3:$BQ$3,$G117:$BQ117)))"),0.399205415)</f>
        <v>0.399205415</v>
      </c>
      <c r="CX117" s="207" t="str">
        <f>IFERROR(__xludf.DUMMYFUNCTION("IF(OR(CW117&gt;$BS117+$BT117*$BT$2,CW117&lt;$BS117-$BT117*$BT$2),AVEDEV(ARRAYFORMULA(XLOOKUP(FILTER(INDIRECT(""'""&amp;CW$1&amp;""'!$C$4:$C$66""),INDIRECT(""'""&amp;CW$1&amp;""'!$D$4:$D$66"")=CW$2),$G$3:$BQ$3,$G117:$BQ117))),"""")"),"")</f>
        <v/>
      </c>
      <c r="CY117" s="251">
        <f>IFERROR(__xludf.DUMMYFUNCTION("AVERAGE(ARRAYFORMULA(XLOOKUP(FILTER(INDIRECT(""'""&amp;CY$1&amp;""'!$C$4:$C$66""),INDIRECT(""'""&amp;CY$1&amp;""'!$D$4:$D$66"")=CY$2),$G$3:$BQ$3,$G117:$BQ117)))"),0.6493105178571429)</f>
        <v>0.6493105179</v>
      </c>
      <c r="CZ117" s="207" t="str">
        <f>IFERROR(__xludf.DUMMYFUNCTION("IF(OR(CY117&gt;$BS117+$BT117*$BT$2,CY117&lt;$BS117-$BT117*$BT$2),AVEDEV(ARRAYFORMULA(XLOOKUP(FILTER(INDIRECT(""'""&amp;CY$1&amp;""'!$C$4:$C$66""),INDIRECT(""'""&amp;CY$1&amp;""'!$D$4:$D$66"")=CY$2),$G$3:$BQ$3,$G117:$BQ117))),"""")"),"")</f>
        <v/>
      </c>
      <c r="DA117" s="252"/>
      <c r="DB117" s="251">
        <f>IFERROR(__xludf.DUMMYFUNCTION("AVERAGE(ARRAYFORMULA(XLOOKUP(FILTER(INDIRECT(""'""&amp;DB$1&amp;""'!$C$4:$C$66""),INDIRECT(""'""&amp;DB$1&amp;""'!$D$4:$D$66"")=DB$2),$G$3:$BQ$3,$G117:$BQ117)))"),0.18923042533333329)</f>
        <v>0.1892304253</v>
      </c>
      <c r="DC117" s="207" t="str">
        <f>IFERROR(__xludf.DUMMYFUNCTION("IF(OR(DB117&gt;$BS117+$BT117*$BT$2,DB117&lt;$BS117-$BT117*$BT$2),AVEDEV(ARRAYFORMULA(XLOOKUP(FILTER(INDIRECT(""'""&amp;DB$1&amp;""'!$C$4:$C$66""),INDIRECT(""'""&amp;DB$1&amp;""'!$D$4:$D$66"")=DB$2),$G$3:$BQ$3,$G117:$BQ117))),"""")"),"")</f>
        <v/>
      </c>
      <c r="DD117" s="251">
        <f>IFERROR(__xludf.DUMMYFUNCTION("AVERAGE(ARRAYFORMULA(XLOOKUP(FILTER(INDIRECT(""'""&amp;DD$1&amp;""'!$C$4:$C$66""),INDIRECT(""'""&amp;DD$1&amp;""'!$D$4:$D$66"")=DD$2),$G$3:$BQ$3,$G117:$BQ117)))"),0.3089726033333332)</f>
        <v>0.3089726033</v>
      </c>
      <c r="DE117" s="207" t="str">
        <f>IFERROR(__xludf.DUMMYFUNCTION("IF(OR(DD117&gt;$BS117+$BT117*$BT$2,DD117&lt;$BS117-$BT117*$BT$2),AVEDEV(ARRAYFORMULA(XLOOKUP(FILTER(INDIRECT(""'""&amp;DD$1&amp;""'!$C$4:$C$66""),INDIRECT(""'""&amp;DD$1&amp;""'!$D$4:$D$66"")=DD$2),$G$3:$BQ$3,$G117:$BQ117))),"""")"),"")</f>
        <v/>
      </c>
      <c r="DF117" s="251">
        <f>IFERROR(__xludf.DUMMYFUNCTION("AVERAGE(ARRAYFORMULA(XLOOKUP(FILTER(INDIRECT(""'""&amp;DF$1&amp;""'!$C$4:$C$66""),INDIRECT(""'""&amp;DF$1&amp;""'!$D$4:$D$66"")=DF$2),$G$3:$BQ$3,$G117:$BQ117)))"),-0.42227045375000005)</f>
        <v>-0.4222704538</v>
      </c>
      <c r="DG117" s="207" t="str">
        <f>IFERROR(__xludf.DUMMYFUNCTION("IF(OR(DF117&gt;$BS117+$BT117*$BT$2,DF117&lt;$BS117-$BT117*$BT$2),AVEDEV(ARRAYFORMULA(XLOOKUP(FILTER(INDIRECT(""'""&amp;DF$1&amp;""'!$C$4:$C$66""),INDIRECT(""'""&amp;DF$1&amp;""'!$D$4:$D$66"")=DF$2),$G$3:$BQ$3,$G117:$BQ117))),"""")"),"")</f>
        <v/>
      </c>
      <c r="DH117" s="251">
        <f>IFERROR(__xludf.DUMMYFUNCTION("AVERAGE(ARRAYFORMULA(XLOOKUP(FILTER(INDIRECT(""'""&amp;DH$1&amp;""'!$C$4:$C$66""),INDIRECT(""'""&amp;DH$1&amp;""'!$D$4:$D$66"")=DH$2),$G$3:$BQ$3,$G117:$BQ117)))"),0.10285461666666668)</f>
        <v>0.1028546167</v>
      </c>
      <c r="DI117" s="207" t="str">
        <f>IFERROR(__xludf.DUMMYFUNCTION("IF(OR(DH117&gt;$BS117+$BT117*$BT$2,DH117&lt;$BS117-$BT117*$BT$2),AVEDEV(ARRAYFORMULA(XLOOKUP(FILTER(INDIRECT(""'""&amp;DH$1&amp;""'!$C$4:$C$66""),INDIRECT(""'""&amp;DH$1&amp;""'!$D$4:$D$66"")=DH$2),$G$3:$BQ$3,$G117:$BQ117))),"""")"),"")</f>
        <v/>
      </c>
      <c r="DJ117" s="243"/>
    </row>
    <row r="118">
      <c r="A118" s="2"/>
      <c r="B118" s="204">
        <v>114.0</v>
      </c>
      <c r="C118" s="204" t="s">
        <v>540</v>
      </c>
      <c r="D118" s="204" t="s">
        <v>560</v>
      </c>
      <c r="E118" s="205" t="b">
        <f>VLOOKUP(D118,'Feature Set List'!A115:C246,2,0)</f>
        <v>1</v>
      </c>
      <c r="F118" s="205" t="b">
        <f>VLOOKUP(D118,'Feature Set List'!A115:C246,3,0)</f>
        <v>1</v>
      </c>
      <c r="G118" s="205">
        <v>0.0</v>
      </c>
      <c r="H118" s="205">
        <v>0.0</v>
      </c>
      <c r="I118" s="205">
        <v>0.0</v>
      </c>
      <c r="J118" s="205">
        <v>0.0</v>
      </c>
      <c r="K118" s="205">
        <v>0.0</v>
      </c>
      <c r="L118" s="205">
        <v>0.0</v>
      </c>
      <c r="M118" s="205">
        <v>0.0</v>
      </c>
      <c r="N118" s="205">
        <v>0.0</v>
      </c>
      <c r="O118" s="205">
        <v>0.0</v>
      </c>
      <c r="P118" s="205">
        <v>0.0</v>
      </c>
      <c r="Q118" s="205">
        <v>0.0</v>
      </c>
      <c r="R118" s="205">
        <v>0.0</v>
      </c>
      <c r="S118" s="205">
        <v>0.0</v>
      </c>
      <c r="T118" s="205">
        <v>0.0</v>
      </c>
      <c r="U118" s="205">
        <v>0.0</v>
      </c>
      <c r="V118" s="205">
        <v>0.0</v>
      </c>
      <c r="W118" s="205">
        <v>0.0</v>
      </c>
      <c r="X118" s="205">
        <v>0.0</v>
      </c>
      <c r="Y118" s="205">
        <v>0.0</v>
      </c>
      <c r="Z118" s="205">
        <v>0.0</v>
      </c>
      <c r="AA118" s="205">
        <v>0.0</v>
      </c>
      <c r="AB118" s="205">
        <v>0.0</v>
      </c>
      <c r="AC118" s="205">
        <v>0.0</v>
      </c>
      <c r="AD118" s="205">
        <v>0.0</v>
      </c>
      <c r="AE118" s="205">
        <v>0.0</v>
      </c>
      <c r="AF118" s="205">
        <v>0.0</v>
      </c>
      <c r="AG118" s="205">
        <v>0.0</v>
      </c>
      <c r="AH118" s="205">
        <v>0.0</v>
      </c>
      <c r="AI118" s="205">
        <v>0.0</v>
      </c>
      <c r="AJ118" s="205">
        <v>0.0</v>
      </c>
      <c r="AK118" s="205">
        <v>0.0</v>
      </c>
      <c r="AL118" s="205">
        <v>0.0</v>
      </c>
      <c r="AM118" s="205">
        <v>0.0</v>
      </c>
      <c r="AN118" s="205">
        <v>0.0</v>
      </c>
      <c r="AO118" s="205">
        <v>0.0</v>
      </c>
      <c r="AP118" s="205">
        <v>0.0</v>
      </c>
      <c r="AQ118" s="205">
        <v>0.0</v>
      </c>
      <c r="AR118" s="205">
        <v>0.0</v>
      </c>
      <c r="AS118" s="205">
        <v>0.0</v>
      </c>
      <c r="AT118" s="205">
        <v>0.0</v>
      </c>
      <c r="AU118" s="205">
        <v>0.125</v>
      </c>
      <c r="AV118" s="205">
        <v>0.0</v>
      </c>
      <c r="AW118" s="205">
        <v>0.0</v>
      </c>
      <c r="AX118" s="205">
        <v>0.0</v>
      </c>
      <c r="AY118" s="205">
        <v>0.0</v>
      </c>
      <c r="AZ118" s="205">
        <v>0.0</v>
      </c>
      <c r="BA118" s="205">
        <v>0.0</v>
      </c>
      <c r="BB118" s="205">
        <v>0.0</v>
      </c>
      <c r="BC118" s="205">
        <v>0.0</v>
      </c>
      <c r="BD118" s="205">
        <v>0.0</v>
      </c>
      <c r="BE118" s="205">
        <v>0.0</v>
      </c>
      <c r="BF118" s="205">
        <v>0.0</v>
      </c>
      <c r="BG118" s="205">
        <v>0.0</v>
      </c>
      <c r="BH118" s="205">
        <v>0.0</v>
      </c>
      <c r="BI118" s="205">
        <v>0.0</v>
      </c>
      <c r="BJ118" s="205">
        <v>0.0</v>
      </c>
      <c r="BK118" s="205">
        <v>0.0</v>
      </c>
      <c r="BL118" s="205">
        <v>0.0</v>
      </c>
      <c r="BM118" s="205">
        <v>0.0</v>
      </c>
      <c r="BN118" s="205">
        <v>0.0</v>
      </c>
      <c r="BO118" s="205">
        <v>0.0</v>
      </c>
      <c r="BP118" s="205">
        <v>0.0</v>
      </c>
      <c r="BQ118" s="205">
        <v>0.0</v>
      </c>
      <c r="BR118" s="206"/>
      <c r="BS118" s="250">
        <f t="shared" si="1"/>
        <v>0.001984126984</v>
      </c>
      <c r="BT118" s="250">
        <f t="shared" si="2"/>
        <v>0.00390526581</v>
      </c>
      <c r="BU118" s="206"/>
      <c r="BV118" s="207">
        <f>IFERROR(__xludf.DUMMYFUNCTION("AVERAGE(ARRAYFORMULA(XLOOKUP(FILTER(INDIRECT(""'""&amp;BV$1&amp;""'!$C$4:$C$66""),INDIRECT(""'""&amp;BV$1&amp;""'!$D$4:$D$66"")=BV$2),$G$3:$BQ$3,$G118:$BQ118)))"),0.0)</f>
        <v>0</v>
      </c>
      <c r="BW118" s="207" t="str">
        <f>IFERROR(__xludf.DUMMYFUNCTION("IF(OR(BV118&gt;$BS118+$BT118*$BT$2,BV118&lt;$BS118-$BT118*$BT$2),AVEDEV(ARRAYFORMULA(XLOOKUP(FILTER(INDIRECT(""'""&amp;BV$1&amp;""'!$C$4:$C$66""),INDIRECT(""'""&amp;BV$1&amp;""'!$D$4:$D$66"")=BV$2),$G$3:$BQ$3,$G118:$BQ118))),"""")"),"")</f>
        <v/>
      </c>
      <c r="BX118" s="207">
        <f>IFERROR(__xludf.DUMMYFUNCTION("AVERAGE(ARRAYFORMULA(XLOOKUP(FILTER(INDIRECT(""'""&amp;BX$1&amp;""'!$C$4:$C$66""),INDIRECT(""'""&amp;BX$1&amp;""'!$D$4:$D$66"")=BX$2),$G$3:$BQ$3,$G118:$BQ118)))"),0.0)</f>
        <v>0</v>
      </c>
      <c r="BY118" s="207" t="str">
        <f>IFERROR(__xludf.DUMMYFUNCTION("IF(OR(BX118&gt;$BS118+$BT118*$BT$2,BX118&lt;$BS118-$BT118*$BT$2),AVEDEV(ARRAYFORMULA(XLOOKUP(FILTER(INDIRECT(""'""&amp;BX$1&amp;""'!$C$4:$C$66""),INDIRECT(""'""&amp;BX$1&amp;""'!$D$4:$D$66"")=BX$2),$G$3:$BQ$3,$G118:$BQ118))),"""")"),"")</f>
        <v/>
      </c>
      <c r="BZ118" s="207">
        <f>IFERROR(__xludf.DUMMYFUNCTION("AVERAGE(ARRAYFORMULA(XLOOKUP(FILTER(INDIRECT(""'""&amp;BZ$1&amp;""'!$C$4:$C$66""),INDIRECT(""'""&amp;BZ$1&amp;""'!$D$4:$D$66"")=BZ$2),$G$3:$BQ$3,$G118:$BQ118)))"),0.0)</f>
        <v>0</v>
      </c>
      <c r="CA118" s="207" t="str">
        <f>IFERROR(__xludf.DUMMYFUNCTION("IF(OR(BZ118&gt;$BS118+$BT118*$BT$2,BZ118&lt;$BS118-$BT118*$BT$2),AVEDEV(ARRAYFORMULA(XLOOKUP(FILTER(INDIRECT(""'""&amp;BZ$1&amp;""'!$C$4:$C$66""),INDIRECT(""'""&amp;BZ$1&amp;""'!$D$4:$D$66"")=BZ$2),$G$3:$BQ$3,$G118:$BQ118))),"""")"),"")</f>
        <v/>
      </c>
      <c r="CB118" s="209"/>
      <c r="CC118" s="207">
        <f>IFERROR(__xludf.DUMMYFUNCTION("AVERAGE(ARRAYFORMULA(XLOOKUP(FILTER(INDIRECT(""'""&amp;CC$1&amp;""'!$C$4:$C$66""),INDIRECT(""'""&amp;CC$1&amp;""'!$D$4:$D$66"")=CC$2),$G$3:$BQ$3,$G118:$BQ118)))"),0.0)</f>
        <v>0</v>
      </c>
      <c r="CD118" s="207" t="str">
        <f>IFERROR(__xludf.DUMMYFUNCTION("IF(OR(CC118&gt;$BS118+$BT118*$BT$2,CC118&lt;$BS118-$BT118*$BT$2),AVEDEV(ARRAYFORMULA(XLOOKUP(FILTER(INDIRECT(""'""&amp;CC$1&amp;""'!$C$4:$C$66""),INDIRECT(""'""&amp;CC$1&amp;""'!$D$4:$D$66"")=CC$2),$G$3:$BQ$3,$G118:$BQ118))),"""")"),"")</f>
        <v/>
      </c>
      <c r="CE118" s="207">
        <f>IFERROR(__xludf.DUMMYFUNCTION("AVERAGE(ARRAYFORMULA(XLOOKUP(FILTER(INDIRECT(""'""&amp;CE$1&amp;""'!$C$4:$C$66""),INDIRECT(""'""&amp;CE$1&amp;""'!$D$4:$D$66"")=CE$2),$G$3:$BQ$3,$G118:$BQ118)))"),0.0)</f>
        <v>0</v>
      </c>
      <c r="CF118" s="207" t="str">
        <f>IFERROR(__xludf.DUMMYFUNCTION("IF(OR(CE118&gt;$BS118+$BT118*$BT$2,CE118&lt;$BS118-$BT118*$BT$2),AVEDEV(ARRAYFORMULA(XLOOKUP(FILTER(INDIRECT(""'""&amp;CE$1&amp;""'!$C$4:$C$66""),INDIRECT(""'""&amp;CE$1&amp;""'!$D$4:$D$66"")=CE$2),$G$3:$BQ$3,$G118:$BQ118))),"""")"),"")</f>
        <v/>
      </c>
      <c r="CG118" s="207">
        <f>IFERROR(__xludf.DUMMYFUNCTION("AVERAGE(ARRAYFORMULA(XLOOKUP(FILTER(INDIRECT(""'""&amp;CG$1&amp;""'!$C$4:$C$66""),INDIRECT(""'""&amp;CG$1&amp;""'!$D$4:$D$66"")=CG$2),$G$3:$BQ$3,$G118:$BQ118)))"),0.0)</f>
        <v>0</v>
      </c>
      <c r="CH118" s="207" t="str">
        <f>IFERROR(__xludf.DUMMYFUNCTION("IF(OR(CG118&gt;$BS118+$BT118*$BT$2,CG118&lt;$BS118-$BT118*$BT$2),AVEDEV(ARRAYFORMULA(XLOOKUP(FILTER(INDIRECT(""'""&amp;CG$1&amp;""'!$C$4:$C$66""),INDIRECT(""'""&amp;CG$1&amp;""'!$D$4:$D$66"")=CG$2),$G$3:$BQ$3,$G118:$BQ118))),"""")"),"")</f>
        <v/>
      </c>
      <c r="CI118" s="206"/>
      <c r="CJ118" s="251">
        <f>IFERROR(__xludf.DUMMYFUNCTION("AVERAGE(ARRAYFORMULA(XLOOKUP(FILTER(INDIRECT(""'""&amp;CJ$1&amp;""'!$C$4:$C$66""),INDIRECT(""'""&amp;CJ$1&amp;""'!$D$4:$D$66"")=CJ$2),$G$3:$BQ$3,$G118:$BQ118)))"),0.0)</f>
        <v>0</v>
      </c>
      <c r="CK118" s="207" t="str">
        <f>IFERROR(__xludf.DUMMYFUNCTION("IF(OR(CJ118&gt;$BS118+$BT118*$BT$2,CJ118&lt;$BS118-$BT118*$BT$2),AVEDEV(ARRAYFORMULA(XLOOKUP(FILTER(INDIRECT(""'""&amp;CJ$1&amp;""'!$C$4:$C$66""),INDIRECT(""'""&amp;CJ$1&amp;""'!$D$4:$D$66"")=CJ$2),$G$3:$BQ$3,$G118:$BQ118))),"""")"),"")</f>
        <v/>
      </c>
      <c r="CL118" s="251">
        <f>IFERROR(__xludf.DUMMYFUNCTION("AVERAGE(ARRAYFORMULA(XLOOKUP(FILTER(INDIRECT(""'""&amp;CL$1&amp;""'!$C$4:$C$66""),INDIRECT(""'""&amp;CL$1&amp;""'!$D$4:$D$66"")=CL$2),$G$3:$BQ$3,$G118:$BQ118)))"),0.0)</f>
        <v>0</v>
      </c>
      <c r="CM118" s="207" t="str">
        <f>IFERROR(__xludf.DUMMYFUNCTION("IF(OR(CL118&gt;$BS118+$BT118*$BT$2,CL118&lt;$BS118-$BT118*$BT$2),AVEDEV(ARRAYFORMULA(XLOOKUP(FILTER(INDIRECT(""'""&amp;CL$1&amp;""'!$C$4:$C$66""),INDIRECT(""'""&amp;CL$1&amp;""'!$D$4:$D$66"")=CL$2),$G$3:$BQ$3,$G118:$BQ118))),"""")"),"")</f>
        <v/>
      </c>
      <c r="CN118" s="251">
        <f>IFERROR(__xludf.DUMMYFUNCTION("AVERAGE(ARRAYFORMULA(XLOOKUP(FILTER(INDIRECT(""'""&amp;CN$1&amp;""'!$C$4:$C$66""),INDIRECT(""'""&amp;CN$1&amp;""'!$D$4:$D$66"")=CN$2),$G$3:$BQ$3,$G118:$BQ118)))"),0.0)</f>
        <v>0</v>
      </c>
      <c r="CO118" s="207" t="str">
        <f>IFERROR(__xludf.DUMMYFUNCTION("IF(OR(CN118&gt;$BS118+$BT118*$BT$2,CN118&lt;$BS118-$BT118*$BT$2),AVEDEV(ARRAYFORMULA(XLOOKUP(FILTER(INDIRECT(""'""&amp;CN$1&amp;""'!$C$4:$C$66""),INDIRECT(""'""&amp;CN$1&amp;""'!$D$4:$D$66"")=CN$2),$G$3:$BQ$3,$G118:$BQ118))),"""")"),"")</f>
        <v/>
      </c>
      <c r="CP118" s="252"/>
      <c r="CQ118" s="251">
        <f>IFERROR(__xludf.DUMMYFUNCTION("AVERAGE(ARRAYFORMULA(XLOOKUP(FILTER(INDIRECT(""'""&amp;CQ$1&amp;""'!$C$4:$C$66""),INDIRECT(""'""&amp;CQ$1&amp;""'!$D$4:$D$66"")=CQ$2),$G$3:$BQ$3,$G118:$BQ118)))"),0.0)</f>
        <v>0</v>
      </c>
      <c r="CR118" s="207" t="str">
        <f>IFERROR(__xludf.DUMMYFUNCTION("IF(OR(CQ118&gt;$BS118+$BT118*$BT$2,CQ118&lt;$BS118-$BT118*$BT$2),AVEDEV(ARRAYFORMULA(XLOOKUP(FILTER(INDIRECT(""'""&amp;CQ$1&amp;""'!$C$4:$C$66""),INDIRECT(""'""&amp;CQ$1&amp;""'!$D$4:$D$66"")=CQ$2),$G$3:$BQ$3,$G118:$BQ118))),"""")"),"")</f>
        <v/>
      </c>
      <c r="CS118" s="251">
        <f>IFERROR(__xludf.DUMMYFUNCTION("AVERAGE(ARRAYFORMULA(XLOOKUP(FILTER(INDIRECT(""'""&amp;CS$1&amp;""'!$C$4:$C$66""),INDIRECT(""'""&amp;CS$1&amp;""'!$D$4:$D$66"")=CS$2),$G$3:$BQ$3,$G118:$BQ118)))"),0.0)</f>
        <v>0</v>
      </c>
      <c r="CT118" s="207" t="str">
        <f>IFERROR(__xludf.DUMMYFUNCTION("IF(OR(CS118&gt;$BS118+$BT118*$BT$2,CS118&lt;$BS118-$BT118*$BT$2),AVEDEV(ARRAYFORMULA(XLOOKUP(FILTER(INDIRECT(""'""&amp;CS$1&amp;""'!$C$4:$C$66""),INDIRECT(""'""&amp;CS$1&amp;""'!$D$4:$D$66"")=CS$2),$G$3:$BQ$3,$G118:$BQ118))),"""")"),"")</f>
        <v/>
      </c>
      <c r="CU118" s="251">
        <f>IFERROR(__xludf.DUMMYFUNCTION("AVERAGE(ARRAYFORMULA(XLOOKUP(FILTER(INDIRECT(""'""&amp;CU$1&amp;""'!$C$4:$C$66""),INDIRECT(""'""&amp;CU$1&amp;""'!$D$4:$D$66"")=CU$2),$G$3:$BQ$3,$G118:$BQ118)))"),0.0)</f>
        <v>0</v>
      </c>
      <c r="CV118" s="207" t="str">
        <f>IFERROR(__xludf.DUMMYFUNCTION("IF(OR(CU118&gt;$BS118+$BT118*$BT$2,CU118&lt;$BS118-$BT118*$BT$2),AVEDEV(ARRAYFORMULA(XLOOKUP(FILTER(INDIRECT(""'""&amp;CU$1&amp;""'!$C$4:$C$66""),INDIRECT(""'""&amp;CU$1&amp;""'!$D$4:$D$66"")=CU$2),$G$3:$BQ$3,$G118:$BQ118))),"""")"),"")</f>
        <v/>
      </c>
      <c r="CW118" s="251">
        <f>IFERROR(__xludf.DUMMYFUNCTION("AVERAGE(ARRAYFORMULA(XLOOKUP(FILTER(INDIRECT(""'""&amp;CW$1&amp;""'!$C$4:$C$66""),INDIRECT(""'""&amp;CW$1&amp;""'!$D$4:$D$66"")=CW$2),$G$3:$BQ$3,$G118:$BQ118)))"),0.0)</f>
        <v>0</v>
      </c>
      <c r="CX118" s="207" t="str">
        <f>IFERROR(__xludf.DUMMYFUNCTION("IF(OR(CW118&gt;$BS118+$BT118*$BT$2,CW118&lt;$BS118-$BT118*$BT$2),AVEDEV(ARRAYFORMULA(XLOOKUP(FILTER(INDIRECT(""'""&amp;CW$1&amp;""'!$C$4:$C$66""),INDIRECT(""'""&amp;CW$1&amp;""'!$D$4:$D$66"")=CW$2),$G$3:$BQ$3,$G118:$BQ118))),"""")"),"")</f>
        <v/>
      </c>
      <c r="CY118" s="251">
        <f>IFERROR(__xludf.DUMMYFUNCTION("AVERAGE(ARRAYFORMULA(XLOOKUP(FILTER(INDIRECT(""'""&amp;CY$1&amp;""'!$C$4:$C$66""),INDIRECT(""'""&amp;CY$1&amp;""'!$D$4:$D$66"")=CY$2),$G$3:$BQ$3,$G118:$BQ118)))"),0.0)</f>
        <v>0</v>
      </c>
      <c r="CZ118" s="207" t="str">
        <f>IFERROR(__xludf.DUMMYFUNCTION("IF(OR(CY118&gt;$BS118+$BT118*$BT$2,CY118&lt;$BS118-$BT118*$BT$2),AVEDEV(ARRAYFORMULA(XLOOKUP(FILTER(INDIRECT(""'""&amp;CY$1&amp;""'!$C$4:$C$66""),INDIRECT(""'""&amp;CY$1&amp;""'!$D$4:$D$66"")=CY$2),$G$3:$BQ$3,$G118:$BQ118))),"""")"),"")</f>
        <v/>
      </c>
      <c r="DA118" s="252"/>
      <c r="DB118" s="251">
        <f>IFERROR(__xludf.DUMMYFUNCTION("AVERAGE(ARRAYFORMULA(XLOOKUP(FILTER(INDIRECT(""'""&amp;DB$1&amp;""'!$C$4:$C$66""),INDIRECT(""'""&amp;DB$1&amp;""'!$D$4:$D$66"")=DB$2),$G$3:$BQ$3,$G118:$BQ118)))"),0.0)</f>
        <v>0</v>
      </c>
      <c r="DC118" s="207" t="str">
        <f>IFERROR(__xludf.DUMMYFUNCTION("IF(OR(DB118&gt;$BS118+$BT118*$BT$2,DB118&lt;$BS118-$BT118*$BT$2),AVEDEV(ARRAYFORMULA(XLOOKUP(FILTER(INDIRECT(""'""&amp;DB$1&amp;""'!$C$4:$C$66""),INDIRECT(""'""&amp;DB$1&amp;""'!$D$4:$D$66"")=DB$2),$G$3:$BQ$3,$G118:$BQ118))),"""")"),"")</f>
        <v/>
      </c>
      <c r="DD118" s="251">
        <f>IFERROR(__xludf.DUMMYFUNCTION("AVERAGE(ARRAYFORMULA(XLOOKUP(FILTER(INDIRECT(""'""&amp;DD$1&amp;""'!$C$4:$C$66""),INDIRECT(""'""&amp;DD$1&amp;""'!$D$4:$D$66"")=DD$2),$G$3:$BQ$3,$G118:$BQ118)))"),0.0)</f>
        <v>0</v>
      </c>
      <c r="DE118" s="207" t="str">
        <f>IFERROR(__xludf.DUMMYFUNCTION("IF(OR(DD118&gt;$BS118+$BT118*$BT$2,DD118&lt;$BS118-$BT118*$BT$2),AVEDEV(ARRAYFORMULA(XLOOKUP(FILTER(INDIRECT(""'""&amp;DD$1&amp;""'!$C$4:$C$66""),INDIRECT(""'""&amp;DD$1&amp;""'!$D$4:$D$66"")=DD$2),$G$3:$BQ$3,$G118:$BQ118))),"""")"),"")</f>
        <v/>
      </c>
      <c r="DF118" s="251">
        <f>IFERROR(__xludf.DUMMYFUNCTION("AVERAGE(ARRAYFORMULA(XLOOKUP(FILTER(INDIRECT(""'""&amp;DF$1&amp;""'!$C$4:$C$66""),INDIRECT(""'""&amp;DF$1&amp;""'!$D$4:$D$66"")=DF$2),$G$3:$BQ$3,$G118:$BQ118)))"),0.0)</f>
        <v>0</v>
      </c>
      <c r="DG118" s="207" t="str">
        <f>IFERROR(__xludf.DUMMYFUNCTION("IF(OR(DF118&gt;$BS118+$BT118*$BT$2,DF118&lt;$BS118-$BT118*$BT$2),AVEDEV(ARRAYFORMULA(XLOOKUP(FILTER(INDIRECT(""'""&amp;DF$1&amp;""'!$C$4:$C$66""),INDIRECT(""'""&amp;DF$1&amp;""'!$D$4:$D$66"")=DF$2),$G$3:$BQ$3,$G118:$BQ118))),"""")"),"")</f>
        <v/>
      </c>
      <c r="DH118" s="251">
        <f>IFERROR(__xludf.DUMMYFUNCTION("AVERAGE(ARRAYFORMULA(XLOOKUP(FILTER(INDIRECT(""'""&amp;DH$1&amp;""'!$C$4:$C$66""),INDIRECT(""'""&amp;DH$1&amp;""'!$D$4:$D$66"")=DH$2),$G$3:$BQ$3,$G118:$BQ118)))"),0.0)</f>
        <v>0</v>
      </c>
      <c r="DI118" s="207" t="str">
        <f>IFERROR(__xludf.DUMMYFUNCTION("IF(OR(DH118&gt;$BS118+$BT118*$BT$2,DH118&lt;$BS118-$BT118*$BT$2),AVEDEV(ARRAYFORMULA(XLOOKUP(FILTER(INDIRECT(""'""&amp;DH$1&amp;""'!$C$4:$C$66""),INDIRECT(""'""&amp;DH$1&amp;""'!$D$4:$D$66"")=DH$2),$G$3:$BQ$3,$G118:$BQ118))),"""")"),"")</f>
        <v/>
      </c>
      <c r="DJ118" s="243"/>
    </row>
    <row r="119">
      <c r="A119" s="2"/>
      <c r="B119" s="204">
        <v>115.0</v>
      </c>
      <c r="C119" s="204" t="s">
        <v>540</v>
      </c>
      <c r="D119" s="204" t="s">
        <v>561</v>
      </c>
      <c r="E119" s="205" t="b">
        <f>VLOOKUP(D119,'Feature Set List'!A116:C246,2,0)</f>
        <v>1</v>
      </c>
      <c r="F119" s="205" t="b">
        <f>VLOOKUP(D119,'Feature Set List'!A116:C246,3,0)</f>
        <v>1</v>
      </c>
      <c r="G119" s="205">
        <v>0.0</v>
      </c>
      <c r="H119" s="205">
        <v>0.0</v>
      </c>
      <c r="I119" s="205">
        <v>0.0</v>
      </c>
      <c r="J119" s="205">
        <v>0.0</v>
      </c>
      <c r="K119" s="205">
        <v>-4.0</v>
      </c>
      <c r="L119" s="205">
        <v>0.0</v>
      </c>
      <c r="M119" s="205">
        <v>-6.0</v>
      </c>
      <c r="N119" s="205">
        <v>0.0</v>
      </c>
      <c r="O119" s="205">
        <v>-4.0</v>
      </c>
      <c r="P119" s="205">
        <v>0.0</v>
      </c>
      <c r="Q119" s="205">
        <v>-4.0</v>
      </c>
      <c r="R119" s="205">
        <v>-4.0</v>
      </c>
      <c r="S119" s="205">
        <v>0.0</v>
      </c>
      <c r="T119" s="205">
        <v>0.0</v>
      </c>
      <c r="U119" s="205">
        <v>-9.0</v>
      </c>
      <c r="V119" s="205">
        <v>0.0</v>
      </c>
      <c r="W119" s="205">
        <v>0.0</v>
      </c>
      <c r="X119" s="205">
        <v>0.0</v>
      </c>
      <c r="Y119" s="205">
        <v>0.0</v>
      </c>
      <c r="Z119" s="205">
        <v>0.0</v>
      </c>
      <c r="AA119" s="205">
        <v>0.0</v>
      </c>
      <c r="AB119" s="205">
        <v>0.0</v>
      </c>
      <c r="AC119" s="205">
        <v>0.0</v>
      </c>
      <c r="AD119" s="205">
        <v>0.0</v>
      </c>
      <c r="AE119" s="205">
        <v>0.0</v>
      </c>
      <c r="AF119" s="205">
        <v>0.0</v>
      </c>
      <c r="AG119" s="205">
        <v>0.0</v>
      </c>
      <c r="AH119" s="205">
        <v>0.0</v>
      </c>
      <c r="AI119" s="205">
        <v>0.0</v>
      </c>
      <c r="AJ119" s="205">
        <v>0.0</v>
      </c>
      <c r="AK119" s="205">
        <v>0.0</v>
      </c>
      <c r="AL119" s="205">
        <v>0.0</v>
      </c>
      <c r="AM119" s="205">
        <v>0.0</v>
      </c>
      <c r="AN119" s="205">
        <v>0.0</v>
      </c>
      <c r="AO119" s="205">
        <v>-8.0</v>
      </c>
      <c r="AP119" s="205">
        <v>0.0</v>
      </c>
      <c r="AQ119" s="205">
        <v>0.0</v>
      </c>
      <c r="AR119" s="205">
        <v>-4.0</v>
      </c>
      <c r="AS119" s="205">
        <v>0.0</v>
      </c>
      <c r="AT119" s="205">
        <v>-4.0</v>
      </c>
      <c r="AU119" s="205">
        <v>0.0</v>
      </c>
      <c r="AV119" s="205">
        <v>0.0</v>
      </c>
      <c r="AW119" s="205">
        <v>0.0</v>
      </c>
      <c r="AX119" s="205">
        <v>-4.0</v>
      </c>
      <c r="AY119" s="205">
        <v>-8.0</v>
      </c>
      <c r="AZ119" s="205">
        <v>0.0</v>
      </c>
      <c r="BA119" s="205">
        <v>0.0</v>
      </c>
      <c r="BB119" s="205">
        <v>0.0</v>
      </c>
      <c r="BC119" s="205">
        <v>0.0</v>
      </c>
      <c r="BD119" s="205">
        <v>0.0</v>
      </c>
      <c r="BE119" s="205">
        <v>0.0</v>
      </c>
      <c r="BF119" s="205">
        <v>0.0</v>
      </c>
      <c r="BG119" s="205">
        <v>0.0</v>
      </c>
      <c r="BH119" s="205">
        <v>0.0</v>
      </c>
      <c r="BI119" s="205">
        <v>0.0</v>
      </c>
      <c r="BJ119" s="205">
        <v>0.0</v>
      </c>
      <c r="BK119" s="205">
        <v>-4.0</v>
      </c>
      <c r="BL119" s="205">
        <v>0.0</v>
      </c>
      <c r="BM119" s="205">
        <v>0.0</v>
      </c>
      <c r="BN119" s="205">
        <v>0.0</v>
      </c>
      <c r="BO119" s="205">
        <v>0.0</v>
      </c>
      <c r="BP119" s="205">
        <v>0.0</v>
      </c>
      <c r="BQ119" s="205">
        <v>0.0</v>
      </c>
      <c r="BR119" s="206"/>
      <c r="BS119" s="250">
        <f t="shared" si="1"/>
        <v>-1</v>
      </c>
      <c r="BT119" s="250">
        <f t="shared" si="2"/>
        <v>1.619047619</v>
      </c>
      <c r="BU119" s="206"/>
      <c r="BV119" s="207">
        <f>IFERROR(__xludf.DUMMYFUNCTION("AVERAGE(ARRAYFORMULA(XLOOKUP(FILTER(INDIRECT(""'""&amp;BV$1&amp;""'!$C$4:$C$66""),INDIRECT(""'""&amp;BV$1&amp;""'!$D$4:$D$66"")=BV$2),$G$3:$BQ$3,$G119:$BQ119)))"),-3.5714285714285716)</f>
        <v>-3.571428571</v>
      </c>
      <c r="BW119" s="207">
        <f>IFERROR(__xludf.DUMMYFUNCTION("IF(OR(BV119&gt;$BS119+$BT119*$BT$2,BV119&lt;$BS119-$BT119*$BT$2),AVEDEV(ARRAYFORMULA(XLOOKUP(FILTER(INDIRECT(""'""&amp;BV$1&amp;""'!$C$4:$C$66""),INDIRECT(""'""&amp;BV$1&amp;""'!$D$4:$D$66"")=BV$2),$G$3:$BQ$3,$G119:$BQ119))),"""")"),4.0816326530612255)</f>
        <v>4.081632653</v>
      </c>
      <c r="BX119" s="207">
        <f>IFERROR(__xludf.DUMMYFUNCTION("AVERAGE(ARRAYFORMULA(XLOOKUP(FILTER(INDIRECT(""'""&amp;BX$1&amp;""'!$C$4:$C$66""),INDIRECT(""'""&amp;BX$1&amp;""'!$D$4:$D$66"")=BX$2),$G$3:$BQ$3,$G119:$BQ119)))"),-0.7619047619047619)</f>
        <v>-0.7619047619</v>
      </c>
      <c r="BY119" s="207" t="str">
        <f>IFERROR(__xludf.DUMMYFUNCTION("IF(OR(BX119&gt;$BS119+$BT119*$BT$2,BX119&lt;$BS119-$BT119*$BT$2),AVEDEV(ARRAYFORMULA(XLOOKUP(FILTER(INDIRECT(""'""&amp;BX$1&amp;""'!$C$4:$C$66""),INDIRECT(""'""&amp;BX$1&amp;""'!$D$4:$D$66"")=BX$2),$G$3:$BQ$3,$G119:$BQ119))),"""")"),"")</f>
        <v/>
      </c>
      <c r="BZ119" s="207">
        <f>IFERROR(__xludf.DUMMYFUNCTION("AVERAGE(ARRAYFORMULA(XLOOKUP(FILTER(INDIRECT(""'""&amp;BZ$1&amp;""'!$C$4:$C$66""),INDIRECT(""'""&amp;BZ$1&amp;""'!$D$4:$D$66"")=BZ$2),$G$3:$BQ$3,$G119:$BQ119)))"),-0.5454545454545454)</f>
        <v>-0.5454545455</v>
      </c>
      <c r="CA119" s="207" t="str">
        <f>IFERROR(__xludf.DUMMYFUNCTION("IF(OR(BZ119&gt;$BS119+$BT119*$BT$2,BZ119&lt;$BS119-$BT119*$BT$2),AVEDEV(ARRAYFORMULA(XLOOKUP(FILTER(INDIRECT(""'""&amp;BZ$1&amp;""'!$C$4:$C$66""),INDIRECT(""'""&amp;BZ$1&amp;""'!$D$4:$D$66"")=BZ$2),$G$3:$BQ$3,$G119:$BQ119))),"""")"),"")</f>
        <v/>
      </c>
      <c r="CB119" s="209"/>
      <c r="CC119" s="207">
        <f>IFERROR(__xludf.DUMMYFUNCTION("AVERAGE(ARRAYFORMULA(XLOOKUP(FILTER(INDIRECT(""'""&amp;CC$1&amp;""'!$C$4:$C$66""),INDIRECT(""'""&amp;CC$1&amp;""'!$D$4:$D$66"")=CC$2),$G$3:$BQ$3,$G119:$BQ119)))"),-1.0625)</f>
        <v>-1.0625</v>
      </c>
      <c r="CD119" s="207" t="str">
        <f>IFERROR(__xludf.DUMMYFUNCTION("IF(OR(CC119&gt;$BS119+$BT119*$BT$2,CC119&lt;$BS119-$BT119*$BT$2),AVEDEV(ARRAYFORMULA(XLOOKUP(FILTER(INDIRECT(""'""&amp;CC$1&amp;""'!$C$4:$C$66""),INDIRECT(""'""&amp;CC$1&amp;""'!$D$4:$D$66"")=CC$2),$G$3:$BQ$3,$G119:$BQ119))),"""")"),"")</f>
        <v/>
      </c>
      <c r="CE119" s="207">
        <f>IFERROR(__xludf.DUMMYFUNCTION("AVERAGE(ARRAYFORMULA(XLOOKUP(FILTER(INDIRECT(""'""&amp;CE$1&amp;""'!$C$4:$C$66""),INDIRECT(""'""&amp;CE$1&amp;""'!$D$4:$D$66"")=CE$2),$G$3:$BQ$3,$G119:$BQ119)))"),-0.967741935483871)</f>
        <v>-0.9677419355</v>
      </c>
      <c r="CF119" s="207" t="str">
        <f>IFERROR(__xludf.DUMMYFUNCTION("IF(OR(CE119&gt;$BS119+$BT119*$BT$2,CE119&lt;$BS119-$BT119*$BT$2),AVEDEV(ARRAYFORMULA(XLOOKUP(FILTER(INDIRECT(""'""&amp;CE$1&amp;""'!$C$4:$C$66""),INDIRECT(""'""&amp;CE$1&amp;""'!$D$4:$D$66"")=CE$2),$G$3:$BQ$3,$G119:$BQ119))),"""")"),"")</f>
        <v/>
      </c>
      <c r="CG119" s="207">
        <f>IFERROR(__xludf.DUMMYFUNCTION("AVERAGE(ARRAYFORMULA(XLOOKUP(FILTER(INDIRECT(""'""&amp;CG$1&amp;""'!$C$4:$C$66""),INDIRECT(""'""&amp;CG$1&amp;""'!$D$4:$D$66"")=CG$2),$G$3:$BQ$3,$G119:$BQ119)))"),0.0)</f>
        <v>0</v>
      </c>
      <c r="CH119" s="207" t="str">
        <f>IFERROR(__xludf.DUMMYFUNCTION("IF(OR(CG119&gt;$BS119+$BT119*$BT$2,CG119&lt;$BS119-$BT119*$BT$2),AVEDEV(ARRAYFORMULA(XLOOKUP(FILTER(INDIRECT(""'""&amp;CG$1&amp;""'!$C$4:$C$66""),INDIRECT(""'""&amp;CG$1&amp;""'!$D$4:$D$66"")=CG$2),$G$3:$BQ$3,$G119:$BQ119))),"""")"),"")</f>
        <v/>
      </c>
      <c r="CI119" s="206"/>
      <c r="CJ119" s="251">
        <f>IFERROR(__xludf.DUMMYFUNCTION("AVERAGE(ARRAYFORMULA(XLOOKUP(FILTER(INDIRECT(""'""&amp;CJ$1&amp;""'!$C$4:$C$66""),INDIRECT(""'""&amp;CJ$1&amp;""'!$D$4:$D$66"")=CJ$2),$G$3:$BQ$3,$G119:$BQ119)))"),-0.8666666666666667)</f>
        <v>-0.8666666667</v>
      </c>
      <c r="CK119" s="207" t="str">
        <f>IFERROR(__xludf.DUMMYFUNCTION("IF(OR(CJ119&gt;$BS119+$BT119*$BT$2,CJ119&lt;$BS119-$BT119*$BT$2),AVEDEV(ARRAYFORMULA(XLOOKUP(FILTER(INDIRECT(""'""&amp;CJ$1&amp;""'!$C$4:$C$66""),INDIRECT(""'""&amp;CJ$1&amp;""'!$D$4:$D$66"")=CJ$2),$G$3:$BQ$3,$G119:$BQ119))),"""")"),"")</f>
        <v/>
      </c>
      <c r="CL119" s="251">
        <f>IFERROR(__xludf.DUMMYFUNCTION("AVERAGE(ARRAYFORMULA(XLOOKUP(FILTER(INDIRECT(""'""&amp;CL$1&amp;""'!$C$4:$C$66""),INDIRECT(""'""&amp;CL$1&amp;""'!$D$4:$D$66"")=CL$2),$G$3:$BQ$3,$G119:$BQ119)))"),-1.2820512820512822)</f>
        <v>-1.282051282</v>
      </c>
      <c r="CM119" s="207" t="str">
        <f>IFERROR(__xludf.DUMMYFUNCTION("IF(OR(CL119&gt;$BS119+$BT119*$BT$2,CL119&lt;$BS119-$BT119*$BT$2),AVEDEV(ARRAYFORMULA(XLOOKUP(FILTER(INDIRECT(""'""&amp;CL$1&amp;""'!$C$4:$C$66""),INDIRECT(""'""&amp;CL$1&amp;""'!$D$4:$D$66"")=CL$2),$G$3:$BQ$3,$G119:$BQ119))),"""")"),"")</f>
        <v/>
      </c>
      <c r="CN119" s="251">
        <f>IFERROR(__xludf.DUMMYFUNCTION("AVERAGE(ARRAYFORMULA(XLOOKUP(FILTER(INDIRECT(""'""&amp;CN$1&amp;""'!$C$4:$C$66""),INDIRECT(""'""&amp;CN$1&amp;""'!$D$4:$D$66"")=CN$2),$G$3:$BQ$3,$G119:$BQ119)))"),0.0)</f>
        <v>0</v>
      </c>
      <c r="CO119" s="207" t="str">
        <f>IFERROR(__xludf.DUMMYFUNCTION("IF(OR(CN119&gt;$BS119+$BT119*$BT$2,CN119&lt;$BS119-$BT119*$BT$2),AVEDEV(ARRAYFORMULA(XLOOKUP(FILTER(INDIRECT(""'""&amp;CN$1&amp;""'!$C$4:$C$66""),INDIRECT(""'""&amp;CN$1&amp;""'!$D$4:$D$66"")=CN$2),$G$3:$BQ$3,$G119:$BQ119))),"""")"),"")</f>
        <v/>
      </c>
      <c r="CP119" s="252"/>
      <c r="CQ119" s="251">
        <f>IFERROR(__xludf.DUMMYFUNCTION("AVERAGE(ARRAYFORMULA(XLOOKUP(FILTER(INDIRECT(""'""&amp;CQ$1&amp;""'!$C$4:$C$66""),INDIRECT(""'""&amp;CQ$1&amp;""'!$D$4:$D$66"")=CQ$2),$G$3:$BQ$3,$G119:$BQ119)))"),-0.2857142857142857)</f>
        <v>-0.2857142857</v>
      </c>
      <c r="CR119" s="207" t="str">
        <f>IFERROR(__xludf.DUMMYFUNCTION("IF(OR(CQ119&gt;$BS119+$BT119*$BT$2,CQ119&lt;$BS119-$BT119*$BT$2),AVEDEV(ARRAYFORMULA(XLOOKUP(FILTER(INDIRECT(""'""&amp;CQ$1&amp;""'!$C$4:$C$66""),INDIRECT(""'""&amp;CQ$1&amp;""'!$D$4:$D$66"")=CQ$2),$G$3:$BQ$3,$G119:$BQ119))),"""")"),"")</f>
        <v/>
      </c>
      <c r="CS119" s="251">
        <f>IFERROR(__xludf.DUMMYFUNCTION("AVERAGE(ARRAYFORMULA(XLOOKUP(FILTER(INDIRECT(""'""&amp;CS$1&amp;""'!$C$4:$C$66""),INDIRECT(""'""&amp;CS$1&amp;""'!$D$4:$D$66"")=CS$2),$G$3:$BQ$3,$G119:$BQ119)))"),-0.6666666666666666)</f>
        <v>-0.6666666667</v>
      </c>
      <c r="CT119" s="207" t="str">
        <f>IFERROR(__xludf.DUMMYFUNCTION("IF(OR(CS119&gt;$BS119+$BT119*$BT$2,CS119&lt;$BS119-$BT119*$BT$2),AVEDEV(ARRAYFORMULA(XLOOKUP(FILTER(INDIRECT(""'""&amp;CS$1&amp;""'!$C$4:$C$66""),INDIRECT(""'""&amp;CS$1&amp;""'!$D$4:$D$66"")=CS$2),$G$3:$BQ$3,$G119:$BQ119))),"""")"),"")</f>
        <v/>
      </c>
      <c r="CU119" s="251">
        <f>IFERROR(__xludf.DUMMYFUNCTION("AVERAGE(ARRAYFORMULA(XLOOKUP(FILTER(INDIRECT(""'""&amp;CU$1&amp;""'!$C$4:$C$66""),INDIRECT(""'""&amp;CU$1&amp;""'!$D$4:$D$66"")=CU$2),$G$3:$BQ$3,$G119:$BQ119)))"),-0.36363636363636365)</f>
        <v>-0.3636363636</v>
      </c>
      <c r="CV119" s="207" t="str">
        <f>IFERROR(__xludf.DUMMYFUNCTION("IF(OR(CU119&gt;$BS119+$BT119*$BT$2,CU119&lt;$BS119-$BT119*$BT$2),AVEDEV(ARRAYFORMULA(XLOOKUP(FILTER(INDIRECT(""'""&amp;CU$1&amp;""'!$C$4:$C$66""),INDIRECT(""'""&amp;CU$1&amp;""'!$D$4:$D$66"")=CU$2),$G$3:$BQ$3,$G119:$BQ119))),"""")"),"")</f>
        <v/>
      </c>
      <c r="CW119" s="251">
        <f>IFERROR(__xludf.DUMMYFUNCTION("AVERAGE(ARRAYFORMULA(XLOOKUP(FILTER(INDIRECT(""'""&amp;CW$1&amp;""'!$C$4:$C$66""),INDIRECT(""'""&amp;CW$1&amp;""'!$D$4:$D$66"")=CW$2),$G$3:$BQ$3,$G119:$BQ119)))"),0.0)</f>
        <v>0</v>
      </c>
      <c r="CX119" s="207" t="str">
        <f>IFERROR(__xludf.DUMMYFUNCTION("IF(OR(CW119&gt;$BS119+$BT119*$BT$2,CW119&lt;$BS119-$BT119*$BT$2),AVEDEV(ARRAYFORMULA(XLOOKUP(FILTER(INDIRECT(""'""&amp;CW$1&amp;""'!$C$4:$C$66""),INDIRECT(""'""&amp;CW$1&amp;""'!$D$4:$D$66"")=CW$2),$G$3:$BQ$3,$G119:$BQ119))),"""")"),"")</f>
        <v/>
      </c>
      <c r="CY119" s="251">
        <f>IFERROR(__xludf.DUMMYFUNCTION("AVERAGE(ARRAYFORMULA(XLOOKUP(FILTER(INDIRECT(""'""&amp;CY$1&amp;""'!$C$4:$C$66""),INDIRECT(""'""&amp;CY$1&amp;""'!$D$4:$D$66"")=CY$2),$G$3:$BQ$3,$G119:$BQ119)))"),-1.4285714285714286)</f>
        <v>-1.428571429</v>
      </c>
      <c r="CZ119" s="207" t="str">
        <f>IFERROR(__xludf.DUMMYFUNCTION("IF(OR(CY119&gt;$BS119+$BT119*$BT$2,CY119&lt;$BS119-$BT119*$BT$2),AVEDEV(ARRAYFORMULA(XLOOKUP(FILTER(INDIRECT(""'""&amp;CY$1&amp;""'!$C$4:$C$66""),INDIRECT(""'""&amp;CY$1&amp;""'!$D$4:$D$66"")=CY$2),$G$3:$BQ$3,$G119:$BQ119))),"""")"),"")</f>
        <v/>
      </c>
      <c r="DA119" s="252"/>
      <c r="DB119" s="251">
        <f>IFERROR(__xludf.DUMMYFUNCTION("AVERAGE(ARRAYFORMULA(XLOOKUP(FILTER(INDIRECT(""'""&amp;DB$1&amp;""'!$C$4:$C$66""),INDIRECT(""'""&amp;DB$1&amp;""'!$D$4:$D$66"")=DB$2),$G$3:$BQ$3,$G119:$BQ119)))"),-0.6666666666666666)</f>
        <v>-0.6666666667</v>
      </c>
      <c r="DC119" s="207" t="str">
        <f>IFERROR(__xludf.DUMMYFUNCTION("IF(OR(DB119&gt;$BS119+$BT119*$BT$2,DB119&lt;$BS119-$BT119*$BT$2),AVEDEV(ARRAYFORMULA(XLOOKUP(FILTER(INDIRECT(""'""&amp;DB$1&amp;""'!$C$4:$C$66""),INDIRECT(""'""&amp;DB$1&amp;""'!$D$4:$D$66"")=DB$2),$G$3:$BQ$3,$G119:$BQ119))),"""")"),"")</f>
        <v/>
      </c>
      <c r="DD119" s="251">
        <f>IFERROR(__xludf.DUMMYFUNCTION("AVERAGE(ARRAYFORMULA(XLOOKUP(FILTER(INDIRECT(""'""&amp;DD$1&amp;""'!$C$4:$C$66""),INDIRECT(""'""&amp;DD$1&amp;""'!$D$4:$D$66"")=DD$2),$G$3:$BQ$3,$G119:$BQ119)))"),-0.6666666666666666)</f>
        <v>-0.6666666667</v>
      </c>
      <c r="DE119" s="207" t="str">
        <f>IFERROR(__xludf.DUMMYFUNCTION("IF(OR(DD119&gt;$BS119+$BT119*$BT$2,DD119&lt;$BS119-$BT119*$BT$2),AVEDEV(ARRAYFORMULA(XLOOKUP(FILTER(INDIRECT(""'""&amp;DD$1&amp;""'!$C$4:$C$66""),INDIRECT(""'""&amp;DD$1&amp;""'!$D$4:$D$66"")=DD$2),$G$3:$BQ$3,$G119:$BQ119))),"""")"),"")</f>
        <v/>
      </c>
      <c r="DF119" s="251">
        <f>IFERROR(__xludf.DUMMYFUNCTION("AVERAGE(ARRAYFORMULA(XLOOKUP(FILTER(INDIRECT(""'""&amp;DF$1&amp;""'!$C$4:$C$66""),INDIRECT(""'""&amp;DF$1&amp;""'!$D$4:$D$66"")=DF$2),$G$3:$BQ$3,$G119:$BQ119)))"),-3.125)</f>
        <v>-3.125</v>
      </c>
      <c r="DG119" s="207">
        <f>IFERROR(__xludf.DUMMYFUNCTION("IF(OR(DF119&gt;$BS119+$BT119*$BT$2,DF119&lt;$BS119-$BT119*$BT$2),AVEDEV(ARRAYFORMULA(XLOOKUP(FILTER(INDIRECT(""'""&amp;DF$1&amp;""'!$C$4:$C$66""),INDIRECT(""'""&amp;DF$1&amp;""'!$D$4:$D$66"")=DF$2),$G$3:$BQ$3,$G119:$BQ119))),"""")"),3.125)</f>
        <v>3.125</v>
      </c>
      <c r="DH119" s="251">
        <f>IFERROR(__xludf.DUMMYFUNCTION("AVERAGE(ARRAYFORMULA(XLOOKUP(FILTER(INDIRECT(""'""&amp;DH$1&amp;""'!$C$4:$C$66""),INDIRECT(""'""&amp;DH$1&amp;""'!$D$4:$D$66"")=DH$2),$G$3:$BQ$3,$G119:$BQ119)))"),0.0)</f>
        <v>0</v>
      </c>
      <c r="DI119" s="207" t="str">
        <f>IFERROR(__xludf.DUMMYFUNCTION("IF(OR(DH119&gt;$BS119+$BT119*$BT$2,DH119&lt;$BS119-$BT119*$BT$2),AVEDEV(ARRAYFORMULA(XLOOKUP(FILTER(INDIRECT(""'""&amp;DH$1&amp;""'!$C$4:$C$66""),INDIRECT(""'""&amp;DH$1&amp;""'!$D$4:$D$66"")=DH$2),$G$3:$BQ$3,$G119:$BQ119))),"""")"),"")</f>
        <v/>
      </c>
      <c r="DJ119" s="243"/>
    </row>
    <row r="120">
      <c r="A120" s="2"/>
      <c r="B120" s="204">
        <v>116.0</v>
      </c>
      <c r="C120" s="204" t="s">
        <v>540</v>
      </c>
      <c r="D120" s="204" t="s">
        <v>562</v>
      </c>
      <c r="E120" s="205" t="b">
        <f>VLOOKUP(D120,'Feature Set List'!A117:C246,2,0)</f>
        <v>1</v>
      </c>
      <c r="F120" s="205" t="b">
        <f>VLOOKUP(D120,'Feature Set List'!A117:C246,3,0)</f>
        <v>1</v>
      </c>
      <c r="G120" s="205">
        <v>0.19270679</v>
      </c>
      <c r="H120" s="205">
        <v>0.0</v>
      </c>
      <c r="I120" s="205">
        <v>-1.1443819</v>
      </c>
      <c r="J120" s="205">
        <v>0.28935666</v>
      </c>
      <c r="K120" s="205">
        <v>2.2158316</v>
      </c>
      <c r="L120" s="205">
        <v>-0.4838423</v>
      </c>
      <c r="M120" s="205">
        <v>-0.2769048</v>
      </c>
      <c r="N120" s="205">
        <v>0.04298844</v>
      </c>
      <c r="O120" s="205">
        <v>-0.4728728</v>
      </c>
      <c r="P120" s="205">
        <v>-0.7871331</v>
      </c>
      <c r="Q120" s="205">
        <v>2.02608953</v>
      </c>
      <c r="R120" s="205">
        <v>-0.50252</v>
      </c>
      <c r="S120" s="205">
        <v>-0.6732879</v>
      </c>
      <c r="T120" s="205">
        <v>-0.2490365</v>
      </c>
      <c r="U120" s="205">
        <v>-1.2792766</v>
      </c>
      <c r="V120" s="205">
        <v>-0.1019864</v>
      </c>
      <c r="W120" s="205">
        <v>-0.6359324</v>
      </c>
      <c r="X120" s="205">
        <v>-0.354877</v>
      </c>
      <c r="Y120" s="205">
        <v>1.06255559</v>
      </c>
      <c r="Z120" s="205">
        <v>0.8846724</v>
      </c>
      <c r="AA120" s="205">
        <v>-0.3640676</v>
      </c>
      <c r="AB120" s="205">
        <v>-1.0400237</v>
      </c>
      <c r="AC120" s="205">
        <v>-0.0032612</v>
      </c>
      <c r="AD120" s="205">
        <v>1.45686333</v>
      </c>
      <c r="AE120" s="205">
        <v>0.42276905</v>
      </c>
      <c r="AF120" s="205">
        <v>0.1597984</v>
      </c>
      <c r="AG120" s="205">
        <v>0.08419804</v>
      </c>
      <c r="AH120" s="205">
        <v>-0.2795731</v>
      </c>
      <c r="AI120" s="205">
        <v>0.47909873</v>
      </c>
      <c r="AJ120" s="205">
        <v>-1.2822413</v>
      </c>
      <c r="AK120" s="205">
        <v>0.56418618</v>
      </c>
      <c r="AL120" s="205">
        <v>0.32582271</v>
      </c>
      <c r="AM120" s="205">
        <v>0.2158316</v>
      </c>
      <c r="AN120" s="205">
        <v>0.37563</v>
      </c>
      <c r="AO120" s="205">
        <v>-1.0192707</v>
      </c>
      <c r="AP120" s="205">
        <v>1.72368811</v>
      </c>
      <c r="AQ120" s="205">
        <v>-0.1491254</v>
      </c>
      <c r="AR120" s="205">
        <v>0.89060184</v>
      </c>
      <c r="AS120" s="205">
        <v>-0.7331752</v>
      </c>
      <c r="AT120" s="205">
        <v>-0.4473762</v>
      </c>
      <c r="AU120" s="205">
        <v>3.20308331</v>
      </c>
      <c r="AV120" s="205">
        <v>0.15801957</v>
      </c>
      <c r="AW120" s="205">
        <v>0.16128076</v>
      </c>
      <c r="AX120" s="205">
        <v>0.83723688</v>
      </c>
      <c r="AY120" s="205">
        <v>-0.8123332</v>
      </c>
      <c r="AZ120" s="205">
        <v>-0.4619034</v>
      </c>
      <c r="BA120" s="205">
        <v>-0.6279277</v>
      </c>
      <c r="BB120" s="205">
        <v>0.10495108</v>
      </c>
      <c r="BC120" s="205">
        <v>0.78387192</v>
      </c>
      <c r="BD120" s="205">
        <v>-0.3029944</v>
      </c>
      <c r="BE120" s="205">
        <v>-1.2448859</v>
      </c>
      <c r="BF120" s="205">
        <v>-0.0922028</v>
      </c>
      <c r="BG120" s="205">
        <v>-0.5250519</v>
      </c>
      <c r="BH120" s="205">
        <v>0.82834272</v>
      </c>
      <c r="BI120" s="205">
        <v>0.77823896</v>
      </c>
      <c r="BJ120" s="205">
        <v>-0.0643344</v>
      </c>
      <c r="BK120" s="205">
        <v>0.7957308</v>
      </c>
      <c r="BL120" s="205">
        <v>-1.2686036</v>
      </c>
      <c r="BM120" s="205">
        <v>0.32226505</v>
      </c>
      <c r="BN120" s="205">
        <v>2.47969167</v>
      </c>
      <c r="BO120" s="205">
        <v>0.06996739</v>
      </c>
      <c r="BP120" s="205">
        <v>1.57545212</v>
      </c>
      <c r="BQ120" s="205">
        <v>-0.0933887</v>
      </c>
      <c r="BR120" s="206"/>
      <c r="BS120" s="250">
        <f t="shared" si="1"/>
        <v>0.1228099862</v>
      </c>
      <c r="BT120" s="250">
        <f t="shared" si="2"/>
        <v>0.6950110049</v>
      </c>
      <c r="BU120" s="206"/>
      <c r="BV120" s="207">
        <f>IFERROR(__xludf.DUMMYFUNCTION("AVERAGE(ARRAYFORMULA(XLOOKUP(FILTER(INDIRECT(""'""&amp;BV$1&amp;""'!$C$4:$C$66""),INDIRECT(""'""&amp;BV$1&amp;""'!$D$4:$D$66"")=BV$2),$G$3:$BQ$3,$G120:$BQ120)))"),-0.8391851314285715)</f>
        <v>-0.8391851314</v>
      </c>
      <c r="BW120" s="207">
        <f>IFERROR(__xludf.DUMMYFUNCTION("IF(OR(BV120&gt;$BS120+$BT120*$BT$2,BV120&lt;$BS120-$BT120*$BT$2),AVEDEV(ARRAYFORMULA(XLOOKUP(FILTER(INDIRECT(""'""&amp;BV$1&amp;""'!$C$4:$C$66""),INDIRECT(""'""&amp;BV$1&amp;""'!$D$4:$D$66"")=BV$2),$G$3:$BQ$3,$G120:$BQ120))),"""")"),0.41579893551020414)</f>
        <v>0.4157989355</v>
      </c>
      <c r="BX120" s="207">
        <f>IFERROR(__xludf.DUMMYFUNCTION("AVERAGE(ARRAYFORMULA(XLOOKUP(FILTER(INDIRECT(""'""&amp;BX$1&amp;""'!$C$4:$C$66""),INDIRECT(""'""&amp;BX$1&amp;""'!$D$4:$D$66"")=BX$2),$G$3:$BQ$3,$G120:$BQ120)))"),0.32478505738095237)</f>
        <v>0.3247850574</v>
      </c>
      <c r="BY120" s="207" t="str">
        <f>IFERROR(__xludf.DUMMYFUNCTION("IF(OR(BX120&gt;$BS120+$BT120*$BT$2,BX120&lt;$BS120-$BT120*$BT$2),AVEDEV(ARRAYFORMULA(XLOOKUP(FILTER(INDIRECT(""'""&amp;BX$1&amp;""'!$C$4:$C$66""),INDIRECT(""'""&amp;BX$1&amp;""'!$D$4:$D$66"")=BX$2),$G$3:$BQ$3,$G120:$BQ120))),"""")"),"")</f>
        <v/>
      </c>
      <c r="BZ120" s="207">
        <f>IFERROR(__xludf.DUMMYFUNCTION("AVERAGE(ARRAYFORMULA(XLOOKUP(FILTER(INDIRECT(""'""&amp;BZ$1&amp;""'!$C$4:$C$66""),INDIRECT(""'""&amp;BZ$1&amp;""'!$D$4:$D$66"")=BZ$2),$G$3:$BQ$3,$G120:$BQ120)))"),-0.16230494272727275)</f>
        <v>-0.1623049427</v>
      </c>
      <c r="CA120" s="207" t="str">
        <f>IFERROR(__xludf.DUMMYFUNCTION("IF(OR(BZ120&gt;$BS120+$BT120*$BT$2,BZ120&lt;$BS120-$BT120*$BT$2),AVEDEV(ARRAYFORMULA(XLOOKUP(FILTER(INDIRECT(""'""&amp;BZ$1&amp;""'!$C$4:$C$66""),INDIRECT(""'""&amp;BZ$1&amp;""'!$D$4:$D$66"")=BZ$2),$G$3:$BQ$3,$G120:$BQ120))),"""")"),"")</f>
        <v/>
      </c>
      <c r="CB120" s="209"/>
      <c r="CC120" s="207">
        <f>IFERROR(__xludf.DUMMYFUNCTION("AVERAGE(ARRAYFORMULA(XLOOKUP(FILTER(INDIRECT(""'""&amp;CC$1&amp;""'!$C$4:$C$66""),INDIRECT(""'""&amp;CC$1&amp;""'!$D$4:$D$66"")=CC$2),$G$3:$BQ$3,$G120:$BQ120)))"),0.251148828125)</f>
        <v>0.2511488281</v>
      </c>
      <c r="CD120" s="207" t="str">
        <f>IFERROR(__xludf.DUMMYFUNCTION("IF(OR(CC120&gt;$BS120+$BT120*$BT$2,CC120&lt;$BS120-$BT120*$BT$2),AVEDEV(ARRAYFORMULA(XLOOKUP(FILTER(INDIRECT(""'""&amp;CC$1&amp;""'!$C$4:$C$66""),INDIRECT(""'""&amp;CC$1&amp;""'!$D$4:$D$66"")=CC$2),$G$3:$BQ$3,$G120:$BQ120))),"""")"),"")</f>
        <v/>
      </c>
      <c r="CE120" s="207">
        <f>IFERROR(__xludf.DUMMYFUNCTION("AVERAGE(ARRAYFORMULA(XLOOKUP(FILTER(INDIRECT(""'""&amp;CE$1&amp;""'!$C$4:$C$66""),INDIRECT(""'""&amp;CE$1&amp;""'!$D$4:$D$66"")=CE$2),$G$3:$BQ$3,$G120:$BQ120)))"),0.16823350387096775)</f>
        <v>0.1682335039</v>
      </c>
      <c r="CF120" s="207" t="str">
        <f>IFERROR(__xludf.DUMMYFUNCTION("IF(OR(CE120&gt;$BS120+$BT120*$BT$2,CE120&lt;$BS120-$BT120*$BT$2),AVEDEV(ARRAYFORMULA(XLOOKUP(FILTER(INDIRECT(""'""&amp;CE$1&amp;""'!$C$4:$C$66""),INDIRECT(""'""&amp;CE$1&amp;""'!$D$4:$D$66"")=CE$2),$G$3:$BQ$3,$G120:$BQ120))),"""")"),"")</f>
        <v/>
      </c>
      <c r="CG120" s="207">
        <f>IFERROR(__xludf.DUMMYFUNCTION("AVERAGE(ARRAYFORMULA(XLOOKUP(FILTER(INDIRECT(""'""&amp;CG$1&amp;""'!$C$4:$C$66""),INDIRECT(""'""&amp;CG$1&amp;""'!$D$4:$D$66"")=CG$2),$G$3:$BQ$3,$G120:$BQ120)))"),-0.58446488)</f>
        <v>-0.58446488</v>
      </c>
      <c r="CH120" s="207">
        <f>IFERROR(__xludf.DUMMYFUNCTION("IF(OR(CG120&gt;$BS120+$BT120*$BT$2,CG120&lt;$BS120-$BT120*$BT$2),AVEDEV(ARRAYFORMULA(XLOOKUP(FILTER(INDIRECT(""'""&amp;CG$1&amp;""'!$C$4:$C$66""),INDIRECT(""'""&amp;CG$1&amp;""'!$D$4:$D$66"")=CG$2),$G$3:$BQ$3,$G120:$BQ120))),"""")"),0.157936544)</f>
        <v>0.157936544</v>
      </c>
      <c r="CI120" s="206"/>
      <c r="CJ120" s="251">
        <f>IFERROR(__xludf.DUMMYFUNCTION("AVERAGE(ARRAYFORMULA(XLOOKUP(FILTER(INDIRECT(""'""&amp;CJ$1&amp;""'!$C$4:$C$66""),INDIRECT(""'""&amp;CJ$1&amp;""'!$D$4:$D$66"")=CJ$2),$G$3:$BQ$3,$G120:$BQ120)))"),-0.1863425273333333)</f>
        <v>-0.1863425273</v>
      </c>
      <c r="CK120" s="207" t="str">
        <f>IFERROR(__xludf.DUMMYFUNCTION("IF(OR(CJ120&gt;$BS120+$BT120*$BT$2,CJ120&lt;$BS120-$BT120*$BT$2),AVEDEV(ARRAYFORMULA(XLOOKUP(FILTER(INDIRECT(""'""&amp;CJ$1&amp;""'!$C$4:$C$66""),INDIRECT(""'""&amp;CJ$1&amp;""'!$D$4:$D$66"")=CJ$2),$G$3:$BQ$3,$G120:$BQ120))),"""")"),"")</f>
        <v/>
      </c>
      <c r="CL120" s="251">
        <f>IFERROR(__xludf.DUMMYFUNCTION("AVERAGE(ARRAYFORMULA(XLOOKUP(FILTER(INDIRECT(""'""&amp;CL$1&amp;""'!$C$4:$C$66""),INDIRECT(""'""&amp;CL$1&amp;""'!$D$4:$D$66"")=CL$2),$G$3:$BQ$3,$G120:$BQ120)))"),0.33249712897435896)</f>
        <v>0.332497129</v>
      </c>
      <c r="CM120" s="207" t="str">
        <f>IFERROR(__xludf.DUMMYFUNCTION("IF(OR(CL120&gt;$BS120+$BT120*$BT$2,CL120&lt;$BS120-$BT120*$BT$2),AVEDEV(ARRAYFORMULA(XLOOKUP(FILTER(INDIRECT(""'""&amp;CL$1&amp;""'!$C$4:$C$66""),INDIRECT(""'""&amp;CL$1&amp;""'!$D$4:$D$66"")=CL$2),$G$3:$BQ$3,$G120:$BQ120))),"""")"),"")</f>
        <v/>
      </c>
      <c r="CN120" s="251">
        <f>IFERROR(__xludf.DUMMYFUNCTION("AVERAGE(ARRAYFORMULA(XLOOKUP(FILTER(INDIRECT(""'""&amp;CN$1&amp;""'!$C$4:$C$66""),INDIRECT(""'""&amp;CN$1&amp;""'!$D$4:$D$66"")=CN$2),$G$3:$BQ$3,$G120:$BQ120)))"),-0.58446488)</f>
        <v>-0.58446488</v>
      </c>
      <c r="CO120" s="207">
        <f>IFERROR(__xludf.DUMMYFUNCTION("IF(OR(CN120&gt;$BS120+$BT120*$BT$2,CN120&lt;$BS120-$BT120*$BT$2),AVEDEV(ARRAYFORMULA(XLOOKUP(FILTER(INDIRECT(""'""&amp;CN$1&amp;""'!$C$4:$C$66""),INDIRECT(""'""&amp;CN$1&amp;""'!$D$4:$D$66"")=CN$2),$G$3:$BQ$3,$G120:$BQ120))),"""")"),0.157936544)</f>
        <v>0.157936544</v>
      </c>
      <c r="CP120" s="252"/>
      <c r="CQ120" s="251">
        <f>IFERROR(__xludf.DUMMYFUNCTION("AVERAGE(ARRAYFORMULA(XLOOKUP(FILTER(INDIRECT(""'""&amp;CQ$1&amp;""'!$C$4:$C$66""),INDIRECT(""'""&amp;CQ$1&amp;""'!$D$4:$D$66"")=CQ$2),$G$3:$BQ$3,$G120:$BQ120)))"),0.3247003485714286)</f>
        <v>0.3247003486</v>
      </c>
      <c r="CR120" s="207" t="str">
        <f>IFERROR(__xludf.DUMMYFUNCTION("IF(OR(CQ120&gt;$BS120+$BT120*$BT$2,CQ120&lt;$BS120-$BT120*$BT$2),AVEDEV(ARRAYFORMULA(XLOOKUP(FILTER(INDIRECT(""'""&amp;CQ$1&amp;""'!$C$4:$C$66""),INDIRECT(""'""&amp;CQ$1&amp;""'!$D$4:$D$66"")=CQ$2),$G$3:$BQ$3,$G120:$BQ120))),"""")"),"")</f>
        <v/>
      </c>
      <c r="CS120" s="251">
        <f>IFERROR(__xludf.DUMMYFUNCTION("AVERAGE(ARRAYFORMULA(XLOOKUP(FILTER(INDIRECT(""'""&amp;CS$1&amp;""'!$C$4:$C$66""),INDIRECT(""'""&amp;CS$1&amp;""'!$D$4:$D$66"")=CS$2),$G$3:$BQ$3,$G120:$BQ120)))"),-0.18285733555555556)</f>
        <v>-0.1828573356</v>
      </c>
      <c r="CT120" s="207" t="str">
        <f>IFERROR(__xludf.DUMMYFUNCTION("IF(OR(CS120&gt;$BS120+$BT120*$BT$2,CS120&lt;$BS120-$BT120*$BT$2),AVEDEV(ARRAYFORMULA(XLOOKUP(FILTER(INDIRECT(""'""&amp;CS$1&amp;""'!$C$4:$C$66""),INDIRECT(""'""&amp;CS$1&amp;""'!$D$4:$D$66"")=CS$2),$G$3:$BQ$3,$G120:$BQ120))),"""")"),"")</f>
        <v/>
      </c>
      <c r="CU120" s="251">
        <f>IFERROR(__xludf.DUMMYFUNCTION("AVERAGE(ARRAYFORMULA(XLOOKUP(FILTER(INDIRECT(""'""&amp;CU$1&amp;""'!$C$4:$C$66""),INDIRECT(""'""&amp;CU$1&amp;""'!$D$4:$D$66"")=CU$2),$G$3:$BQ$3,$G120:$BQ120)))"),-0.30461149454545455)</f>
        <v>-0.3046114945</v>
      </c>
      <c r="CV120" s="207" t="str">
        <f>IFERROR(__xludf.DUMMYFUNCTION("IF(OR(CU120&gt;$BS120+$BT120*$BT$2,CU120&lt;$BS120-$BT120*$BT$2),AVEDEV(ARRAYFORMULA(XLOOKUP(FILTER(INDIRECT(""'""&amp;CU$1&amp;""'!$C$4:$C$66""),INDIRECT(""'""&amp;CU$1&amp;""'!$D$4:$D$66"")=CU$2),$G$3:$BQ$3,$G120:$BQ120))),"""")"),"")</f>
        <v/>
      </c>
      <c r="CW120" s="251">
        <f>IFERROR(__xludf.DUMMYFUNCTION("AVERAGE(ARRAYFORMULA(XLOOKUP(FILTER(INDIRECT(""'""&amp;CW$1&amp;""'!$C$4:$C$66""),INDIRECT(""'""&amp;CW$1&amp;""'!$D$4:$D$66"")=CW$2),$G$3:$BQ$3,$G120:$BQ120)))"),1.142603025)</f>
        <v>1.142603025</v>
      </c>
      <c r="CX120" s="207">
        <f>IFERROR(__xludf.DUMMYFUNCTION("IF(OR(CW120&gt;$BS120+$BT120*$BT$2,CW120&lt;$BS120-$BT120*$BT$2),AVEDEV(ARRAYFORMULA(XLOOKUP(FILTER(INDIRECT(""'""&amp;CW$1&amp;""'!$C$4:$C$66""),INDIRECT(""'""&amp;CW$1&amp;""'!$D$4:$D$66"")=CW$2),$G$3:$BQ$3,$G120:$BQ120))),"""")"),0.314260305)</f>
        <v>0.314260305</v>
      </c>
      <c r="CY120" s="251">
        <f>IFERROR(__xludf.DUMMYFUNCTION("AVERAGE(ARRAYFORMULA(XLOOKUP(FILTER(INDIRECT(""'""&amp;CY$1&amp;""'!$C$4:$C$66""),INDIRECT(""'""&amp;CY$1&amp;""'!$D$4:$D$66"")=CY$2),$G$3:$BQ$3,$G120:$BQ120)))"),0.586866294285714)</f>
        <v>0.5868662943</v>
      </c>
      <c r="CZ120" s="207" t="str">
        <f>IFERROR(__xludf.DUMMYFUNCTION("IF(OR(CY120&gt;$BS120+$BT120*$BT$2,CY120&lt;$BS120-$BT120*$BT$2),AVEDEV(ARRAYFORMULA(XLOOKUP(FILTER(INDIRECT(""'""&amp;CY$1&amp;""'!$C$4:$C$66""),INDIRECT(""'""&amp;CY$1&amp;""'!$D$4:$D$66"")=CY$2),$G$3:$BQ$3,$G120:$BQ120))),"""")"),"")</f>
        <v/>
      </c>
      <c r="DA120" s="252"/>
      <c r="DB120" s="251">
        <f>IFERROR(__xludf.DUMMYFUNCTION("AVERAGE(ARRAYFORMULA(XLOOKUP(FILTER(INDIRECT(""'""&amp;DB$1&amp;""'!$C$4:$C$66""),INDIRECT(""'""&amp;DB$1&amp;""'!$D$4:$D$66"")=DB$2),$G$3:$BQ$3,$G120:$BQ120)))"),0.3422867836666666)</f>
        <v>0.3422867837</v>
      </c>
      <c r="DC120" s="207" t="str">
        <f>IFERROR(__xludf.DUMMYFUNCTION("IF(OR(DB120&gt;$BS120+$BT120*$BT$2,DB120&lt;$BS120-$BT120*$BT$2),AVEDEV(ARRAYFORMULA(XLOOKUP(FILTER(INDIRECT(""'""&amp;DB$1&amp;""'!$C$4:$C$66""),INDIRECT(""'""&amp;DB$1&amp;""'!$D$4:$D$66"")=DB$2),$G$3:$BQ$3,$G120:$BQ120))),"""")"),"")</f>
        <v/>
      </c>
      <c r="DD120" s="251">
        <f>IFERROR(__xludf.DUMMYFUNCTION("AVERAGE(ARRAYFORMULA(XLOOKUP(FILTER(INDIRECT(""'""&amp;DD$1&amp;""'!$C$4:$C$66""),INDIRECT(""'""&amp;DD$1&amp;""'!$D$4:$D$66"")=DD$2),$G$3:$BQ$3,$G120:$BQ120)))"),-0.26530948777777774)</f>
        <v>-0.2653094878</v>
      </c>
      <c r="DE120" s="207" t="str">
        <f>IFERROR(__xludf.DUMMYFUNCTION("IF(OR(DD120&gt;$BS120+$BT120*$BT$2,DD120&lt;$BS120-$BT120*$BT$2),AVEDEV(ARRAYFORMULA(XLOOKUP(FILTER(INDIRECT(""'""&amp;DD$1&amp;""'!$C$4:$C$66""),INDIRECT(""'""&amp;DD$1&amp;""'!$D$4:$D$66"")=DD$2),$G$3:$BQ$3,$G120:$BQ120))),"""")"),"")</f>
        <v/>
      </c>
      <c r="DF120" s="251">
        <f>IFERROR(__xludf.DUMMYFUNCTION("AVERAGE(ARRAYFORMULA(XLOOKUP(FILTER(INDIRECT(""'""&amp;DF$1&amp;""'!$C$4:$C$66""),INDIRECT(""'""&amp;DF$1&amp;""'!$D$4:$D$66"")=DF$2),$G$3:$BQ$3,$G120:$BQ120)))"),-0.7310628499999999)</f>
        <v>-0.73106285</v>
      </c>
      <c r="DG120" s="207">
        <f>IFERROR(__xludf.DUMMYFUNCTION("IF(OR(DF120&gt;$BS120+$BT120*$BT$2,DF120&lt;$BS120-$BT120*$BT$2),AVEDEV(ARRAYFORMULA(XLOOKUP(FILTER(INDIRECT(""'""&amp;DF$1&amp;""'!$C$4:$C$66""),INDIRECT(""'""&amp;DF$1&amp;""'!$D$4:$D$66"")=DF$2),$G$3:$BQ$3,$G120:$BQ120))),"""")"),0.29516563749999997)</f>
        <v>0.2951656375</v>
      </c>
      <c r="DH120" s="251">
        <f>IFERROR(__xludf.DUMMYFUNCTION("AVERAGE(ARRAYFORMULA(XLOOKUP(FILTER(INDIRECT(""'""&amp;DH$1&amp;""'!$C$4:$C$66""),INDIRECT(""'""&amp;DH$1&amp;""'!$D$4:$D$66"")=DH$2),$G$3:$BQ$3,$G120:$BQ120)))"),0.6334618066666666)</f>
        <v>0.6334618067</v>
      </c>
      <c r="DI120" s="207" t="str">
        <f>IFERROR(__xludf.DUMMYFUNCTION("IF(OR(DH120&gt;$BS120+$BT120*$BT$2,DH120&lt;$BS120-$BT120*$BT$2),AVEDEV(ARRAYFORMULA(XLOOKUP(FILTER(INDIRECT(""'""&amp;DH$1&amp;""'!$C$4:$C$66""),INDIRECT(""'""&amp;DH$1&amp;""'!$D$4:$D$66"")=DH$2),$G$3:$BQ$3,$G120:$BQ120))),"""")"),"")</f>
        <v/>
      </c>
      <c r="DJ120" s="243"/>
    </row>
    <row r="121">
      <c r="A121" s="2"/>
      <c r="B121" s="204">
        <v>117.0</v>
      </c>
      <c r="C121" s="204" t="s">
        <v>540</v>
      </c>
      <c r="D121" s="204" t="s">
        <v>563</v>
      </c>
      <c r="E121" s="205" t="b">
        <f>VLOOKUP(D121,'Feature Set List'!A118:C246,2,0)</f>
        <v>1</v>
      </c>
      <c r="F121" s="205" t="b">
        <f>VLOOKUP(D121,'Feature Set List'!A118:C246,3,0)</f>
        <v>1</v>
      </c>
      <c r="G121" s="205">
        <v>-0.3333333</v>
      </c>
      <c r="H121" s="205">
        <v>0.0</v>
      </c>
      <c r="I121" s="205">
        <v>-0.3333333</v>
      </c>
      <c r="J121" s="205">
        <v>0.66666667</v>
      </c>
      <c r="K121" s="205">
        <v>0.0</v>
      </c>
      <c r="L121" s="205">
        <v>-0.3333333</v>
      </c>
      <c r="M121" s="205">
        <v>0.66666667</v>
      </c>
      <c r="N121" s="205">
        <v>-0.3333333</v>
      </c>
      <c r="O121" s="205">
        <v>0.0</v>
      </c>
      <c r="P121" s="205">
        <v>-0.3333333</v>
      </c>
      <c r="Q121" s="205">
        <v>0.66666667</v>
      </c>
      <c r="R121" s="205">
        <v>-0.3333333</v>
      </c>
      <c r="S121" s="205">
        <v>0.0</v>
      </c>
      <c r="T121" s="205">
        <v>-0.3333333</v>
      </c>
      <c r="U121" s="205">
        <v>-0.3333333</v>
      </c>
      <c r="V121" s="205">
        <v>0.66666667</v>
      </c>
      <c r="W121" s="205">
        <v>-0.3333333</v>
      </c>
      <c r="X121" s="205">
        <v>0.66666667</v>
      </c>
      <c r="Y121" s="205">
        <v>-0.3333333</v>
      </c>
      <c r="Z121" s="205">
        <v>0.66666667</v>
      </c>
      <c r="AA121" s="205">
        <v>0.66666667</v>
      </c>
      <c r="AB121" s="205">
        <v>-0.3333333</v>
      </c>
      <c r="AC121" s="205">
        <v>0.0</v>
      </c>
      <c r="AD121" s="205">
        <v>0.66666667</v>
      </c>
      <c r="AE121" s="205">
        <v>0.66666667</v>
      </c>
      <c r="AF121" s="205">
        <v>-0.3333333</v>
      </c>
      <c r="AG121" s="205">
        <v>0.66666667</v>
      </c>
      <c r="AH121" s="205">
        <v>-0.3333333</v>
      </c>
      <c r="AI121" s="205">
        <v>-0.3333333</v>
      </c>
      <c r="AJ121" s="205">
        <v>-0.3333333</v>
      </c>
      <c r="AK121" s="205">
        <v>2.0</v>
      </c>
      <c r="AL121" s="205">
        <v>0.0</v>
      </c>
      <c r="AM121" s="205">
        <v>-0.3333333</v>
      </c>
      <c r="AN121" s="205">
        <v>-0.3333333</v>
      </c>
      <c r="AO121" s="205">
        <v>0.0</v>
      </c>
      <c r="AP121" s="205">
        <v>0.66666667</v>
      </c>
      <c r="AQ121" s="205">
        <v>0.66666667</v>
      </c>
      <c r="AR121" s="205">
        <v>0.66666667</v>
      </c>
      <c r="AS121" s="205">
        <v>-0.3333333</v>
      </c>
      <c r="AT121" s="205">
        <v>-0.3333333</v>
      </c>
      <c r="AU121" s="205">
        <v>4.66666667</v>
      </c>
      <c r="AV121" s="205">
        <v>0.0</v>
      </c>
      <c r="AW121" s="205">
        <v>0.66666667</v>
      </c>
      <c r="AX121" s="205">
        <v>0.66666667</v>
      </c>
      <c r="AY121" s="205">
        <v>0.0</v>
      </c>
      <c r="AZ121" s="205">
        <v>-0.3333333</v>
      </c>
      <c r="BA121" s="205">
        <v>-0.3333333</v>
      </c>
      <c r="BB121" s="205">
        <v>0.0</v>
      </c>
      <c r="BC121" s="205">
        <v>-0.3333333</v>
      </c>
      <c r="BD121" s="205">
        <v>-0.3333333</v>
      </c>
      <c r="BE121" s="205">
        <v>-0.3333333</v>
      </c>
      <c r="BF121" s="205">
        <v>-0.3333333</v>
      </c>
      <c r="BG121" s="205">
        <v>-0.3333333</v>
      </c>
      <c r="BH121" s="205">
        <v>0.66666667</v>
      </c>
      <c r="BI121" s="205">
        <v>0.0</v>
      </c>
      <c r="BJ121" s="205">
        <v>0.0</v>
      </c>
      <c r="BK121" s="205">
        <v>-0.3333333</v>
      </c>
      <c r="BL121" s="205">
        <v>-0.3333333</v>
      </c>
      <c r="BM121" s="205">
        <v>0.0</v>
      </c>
      <c r="BN121" s="205">
        <v>-0.3333333</v>
      </c>
      <c r="BO121" s="205">
        <v>-0.3333333</v>
      </c>
      <c r="BP121" s="205">
        <v>-0.3333333</v>
      </c>
      <c r="BQ121" s="205">
        <v>0.66666667</v>
      </c>
      <c r="BR121" s="206"/>
      <c r="BS121" s="250">
        <f t="shared" si="1"/>
        <v>0.121693139</v>
      </c>
      <c r="BT121" s="250">
        <f t="shared" si="2"/>
        <v>0.4980263625</v>
      </c>
      <c r="BU121" s="206"/>
      <c r="BV121" s="207">
        <f>IFERROR(__xludf.DUMMYFUNCTION("AVERAGE(ARRAYFORMULA(XLOOKUP(FILTER(INDIRECT(""'""&amp;BV$1&amp;""'!$C$4:$C$66""),INDIRECT(""'""&amp;BV$1&amp;""'!$D$4:$D$66"")=BV$2),$G$3:$BQ$3,$G121:$BQ121)))"),-0.04761903285714285)</f>
        <v>-0.04761903286</v>
      </c>
      <c r="BW121" s="207" t="str">
        <f>IFERROR(__xludf.DUMMYFUNCTION("IF(OR(BV121&gt;$BS121+$BT121*$BT$2,BV121&lt;$BS121-$BT121*$BT$2),AVEDEV(ARRAYFORMULA(XLOOKUP(FILTER(INDIRECT(""'""&amp;BV$1&amp;""'!$C$4:$C$66""),INDIRECT(""'""&amp;BV$1&amp;""'!$D$4:$D$66"")=BV$2),$G$3:$BQ$3,$G121:$BQ121))),"""")"),"")</f>
        <v/>
      </c>
      <c r="BX121" s="207">
        <f>IFERROR(__xludf.DUMMYFUNCTION("AVERAGE(ARRAYFORMULA(XLOOKUP(FILTER(INDIRECT(""'""&amp;BX$1&amp;""'!$C$4:$C$66""),INDIRECT(""'""&amp;BX$1&amp;""'!$D$4:$D$66"")=BX$2),$G$3:$BQ$3,$G121:$BQ121)))"),0.1507936654761905)</f>
        <v>0.1507936655</v>
      </c>
      <c r="BY121" s="207" t="str">
        <f>IFERROR(__xludf.DUMMYFUNCTION("IF(OR(BX121&gt;$BS121+$BT121*$BT$2,BX121&lt;$BS121-$BT121*$BT$2),AVEDEV(ARRAYFORMULA(XLOOKUP(FILTER(INDIRECT(""'""&amp;BX$1&amp;""'!$C$4:$C$66""),INDIRECT(""'""&amp;BX$1&amp;""'!$D$4:$D$66"")=BX$2),$G$3:$BQ$3,$G121:$BQ121))),"""")"),"")</f>
        <v/>
      </c>
      <c r="BZ121" s="207">
        <f>IFERROR(__xludf.DUMMYFUNCTION("AVERAGE(ARRAYFORMULA(XLOOKUP(FILTER(INDIRECT(""'""&amp;BZ$1&amp;""'!$C$4:$C$66""),INDIRECT(""'""&amp;BZ$1&amp;""'!$D$4:$D$66"")=BZ$2),$G$3:$BQ$3,$G121:$BQ121)))"),-0.21212118454545453)</f>
        <v>-0.2121211845</v>
      </c>
      <c r="CA121" s="207" t="str">
        <f>IFERROR(__xludf.DUMMYFUNCTION("IF(OR(BZ121&gt;$BS121+$BT121*$BT$2,BZ121&lt;$BS121-$BT121*$BT$2),AVEDEV(ARRAYFORMULA(XLOOKUP(FILTER(INDIRECT(""'""&amp;BZ$1&amp;""'!$C$4:$C$66""),INDIRECT(""'""&amp;BZ$1&amp;""'!$D$4:$D$66"")=BZ$2),$G$3:$BQ$3,$G121:$BQ121))),"""")"),"")</f>
        <v/>
      </c>
      <c r="CB121" s="209"/>
      <c r="CC121" s="207">
        <f>IFERROR(__xludf.DUMMYFUNCTION("AVERAGE(ARRAYFORMULA(XLOOKUP(FILTER(INDIRECT(""'""&amp;CC$1&amp;""'!$C$4:$C$66""),INDIRECT(""'""&amp;CC$1&amp;""'!$D$4:$D$66"")=CC$2),$G$3:$BQ$3,$G121:$BQ121)))"),0.312500011875)</f>
        <v>0.3125000119</v>
      </c>
      <c r="CD121" s="207" t="str">
        <f>IFERROR(__xludf.DUMMYFUNCTION("IF(OR(CC121&gt;$BS121+$BT121*$BT$2,CC121&lt;$BS121-$BT121*$BT$2),AVEDEV(ARRAYFORMULA(XLOOKUP(FILTER(INDIRECT(""'""&amp;CC$1&amp;""'!$C$4:$C$66""),INDIRECT(""'""&amp;CC$1&amp;""'!$D$4:$D$66"")=CC$2),$G$3:$BQ$3,$G121:$BQ121))),"""")"),"")</f>
        <v/>
      </c>
      <c r="CE121" s="207">
        <f>IFERROR(__xludf.DUMMYFUNCTION("AVERAGE(ARRAYFORMULA(XLOOKUP(FILTER(INDIRECT(""'""&amp;CE$1&amp;""'!$C$4:$C$66""),INDIRECT(""'""&amp;CE$1&amp;""'!$D$4:$D$66"")=CE$2),$G$3:$BQ$3,$G121:$BQ121)))"),-0.021505358387096777)</f>
        <v>-0.02150535839</v>
      </c>
      <c r="CF121" s="207" t="str">
        <f>IFERROR(__xludf.DUMMYFUNCTION("IF(OR(CE121&gt;$BS121+$BT121*$BT$2,CE121&lt;$BS121-$BT121*$BT$2),AVEDEV(ARRAYFORMULA(XLOOKUP(FILTER(INDIRECT(""'""&amp;CE$1&amp;""'!$C$4:$C$66""),INDIRECT(""'""&amp;CE$1&amp;""'!$D$4:$D$66"")=CE$2),$G$3:$BQ$3,$G121:$BQ121))),"""")"),"")</f>
        <v/>
      </c>
      <c r="CG121" s="207">
        <f>IFERROR(__xludf.DUMMYFUNCTION("AVERAGE(ARRAYFORMULA(XLOOKUP(FILTER(INDIRECT(""'""&amp;CG$1&amp;""'!$C$4:$C$66""),INDIRECT(""'""&amp;CG$1&amp;""'!$D$4:$D$66"")=CG$2),$G$3:$BQ$3,$G121:$BQ121)))"),-0.3333333)</f>
        <v>-0.3333333</v>
      </c>
      <c r="CH121" s="207" t="str">
        <f>IFERROR(__xludf.DUMMYFUNCTION("IF(OR(CG121&gt;$BS121+$BT121*$BT$2,CG121&lt;$BS121-$BT121*$BT$2),AVEDEV(ARRAYFORMULA(XLOOKUP(FILTER(INDIRECT(""'""&amp;CG$1&amp;""'!$C$4:$C$66""),INDIRECT(""'""&amp;CG$1&amp;""'!$D$4:$D$66"")=CG$2),$G$3:$BQ$3,$G121:$BQ121))),"""")"),"")</f>
        <v/>
      </c>
      <c r="CI121" s="206"/>
      <c r="CJ121" s="251">
        <f>IFERROR(__xludf.DUMMYFUNCTION("AVERAGE(ARRAYFORMULA(XLOOKUP(FILTER(INDIRECT(""'""&amp;CJ$1&amp;""'!$C$4:$C$66""),INDIRECT(""'""&amp;CJ$1&amp;""'!$D$4:$D$66"")=CJ$2),$G$3:$BQ$3,$G121:$BQ121)))"),-0.06666664600000002)</f>
        <v>-0.066666646</v>
      </c>
      <c r="CK121" s="207" t="str">
        <f>IFERROR(__xludf.DUMMYFUNCTION("IF(OR(CJ121&gt;$BS121+$BT121*$BT$2,CJ121&lt;$BS121-$BT121*$BT$2),AVEDEV(ARRAYFORMULA(XLOOKUP(FILTER(INDIRECT(""'""&amp;CJ$1&amp;""'!$C$4:$C$66""),INDIRECT(""'""&amp;CJ$1&amp;""'!$D$4:$D$66"")=CJ$2),$G$3:$BQ$3,$G121:$BQ121))),"""")"),"")</f>
        <v/>
      </c>
      <c r="CL121" s="251">
        <f>IFERROR(__xludf.DUMMYFUNCTION("AVERAGE(ARRAYFORMULA(XLOOKUP(FILTER(INDIRECT(""'""&amp;CL$1&amp;""'!$C$4:$C$66""),INDIRECT(""'""&amp;CL$1&amp;""'!$D$4:$D$66"")=CL$2),$G$3:$BQ$3,$G121:$BQ121)))"),0.17094018410256412)</f>
        <v>0.1709401841</v>
      </c>
      <c r="CM121" s="207" t="str">
        <f>IFERROR(__xludf.DUMMYFUNCTION("IF(OR(CL121&gt;$BS121+$BT121*$BT$2,CL121&lt;$BS121-$BT121*$BT$2),AVEDEV(ARRAYFORMULA(XLOOKUP(FILTER(INDIRECT(""'""&amp;CL$1&amp;""'!$C$4:$C$66""),INDIRECT(""'""&amp;CL$1&amp;""'!$D$4:$D$66"")=CL$2),$G$3:$BQ$3,$G121:$BQ121))),"""")"),"")</f>
        <v/>
      </c>
      <c r="CN121" s="251">
        <f>IFERROR(__xludf.DUMMYFUNCTION("AVERAGE(ARRAYFORMULA(XLOOKUP(FILTER(INDIRECT(""'""&amp;CN$1&amp;""'!$C$4:$C$66""),INDIRECT(""'""&amp;CN$1&amp;""'!$D$4:$D$66"")=CN$2),$G$3:$BQ$3,$G121:$BQ121)))"),-0.3333333)</f>
        <v>-0.3333333</v>
      </c>
      <c r="CO121" s="207" t="str">
        <f>IFERROR(__xludf.DUMMYFUNCTION("IF(OR(CN121&gt;$BS121+$BT121*$BT$2,CN121&lt;$BS121-$BT121*$BT$2),AVEDEV(ARRAYFORMULA(XLOOKUP(FILTER(INDIRECT(""'""&amp;CN$1&amp;""'!$C$4:$C$66""),INDIRECT(""'""&amp;CN$1&amp;""'!$D$4:$D$66"")=CN$2),$G$3:$BQ$3,$G121:$BQ121))),"""")"),"")</f>
        <v/>
      </c>
      <c r="CP121" s="252"/>
      <c r="CQ121" s="251">
        <f>IFERROR(__xludf.DUMMYFUNCTION("AVERAGE(ARRAYFORMULA(XLOOKUP(FILTER(INDIRECT(""'""&amp;CQ$1&amp;""'!$C$4:$C$66""),INDIRECT(""'""&amp;CQ$1&amp;""'!$D$4:$D$66"")=CQ$2),$G$3:$BQ$3,$G121:$BQ121)))"),0.38095239214285714)</f>
        <v>0.3809523921</v>
      </c>
      <c r="CR121" s="207" t="str">
        <f>IFERROR(__xludf.DUMMYFUNCTION("IF(OR(CQ121&gt;$BS121+$BT121*$BT$2,CQ121&lt;$BS121-$BT121*$BT$2),AVEDEV(ARRAYFORMULA(XLOOKUP(FILTER(INDIRECT(""'""&amp;CQ$1&amp;""'!$C$4:$C$66""),INDIRECT(""'""&amp;CQ$1&amp;""'!$D$4:$D$66"")=CQ$2),$G$3:$BQ$3,$G121:$BQ121))),"""")"),"")</f>
        <v/>
      </c>
      <c r="CS121" s="251">
        <f>IFERROR(__xludf.DUMMYFUNCTION("AVERAGE(ARRAYFORMULA(XLOOKUP(FILTER(INDIRECT(""'""&amp;CS$1&amp;""'!$C$4:$C$66""),INDIRECT(""'""&amp;CS$1&amp;""'!$D$4:$D$66"")=CS$2),$G$3:$BQ$3,$G121:$BQ121)))"),-0.22222219222222223)</f>
        <v>-0.2222221922</v>
      </c>
      <c r="CT121" s="207" t="str">
        <f>IFERROR(__xludf.DUMMYFUNCTION("IF(OR(CS121&gt;$BS121+$BT121*$BT$2,CS121&lt;$BS121-$BT121*$BT$2),AVEDEV(ARRAYFORMULA(XLOOKUP(FILTER(INDIRECT(""'""&amp;CS$1&amp;""'!$C$4:$C$66""),INDIRECT(""'""&amp;CS$1&amp;""'!$D$4:$D$66"")=CS$2),$G$3:$BQ$3,$G121:$BQ121))),"""")"),"")</f>
        <v/>
      </c>
      <c r="CU121" s="251">
        <f>IFERROR(__xludf.DUMMYFUNCTION("AVERAGE(ARRAYFORMULA(XLOOKUP(FILTER(INDIRECT(""'""&amp;CU$1&amp;""'!$C$4:$C$66""),INDIRECT(""'""&amp;CU$1&amp;""'!$D$4:$D$66"")=CU$2),$G$3:$BQ$3,$G121:$BQ121)))"),-0.15151513)</f>
        <v>-0.15151513</v>
      </c>
      <c r="CV121" s="207" t="str">
        <f>IFERROR(__xludf.DUMMYFUNCTION("IF(OR(CU121&gt;$BS121+$BT121*$BT$2,CU121&lt;$BS121-$BT121*$BT$2),AVEDEV(ARRAYFORMULA(XLOOKUP(FILTER(INDIRECT(""'""&amp;CU$1&amp;""'!$C$4:$C$66""),INDIRECT(""'""&amp;CU$1&amp;""'!$D$4:$D$66"")=CU$2),$G$3:$BQ$3,$G121:$BQ121))),"""")"),"")</f>
        <v/>
      </c>
      <c r="CW121" s="251">
        <f>IFERROR(__xludf.DUMMYFUNCTION("AVERAGE(ARRAYFORMULA(XLOOKUP(FILTER(INDIRECT(""'""&amp;CW$1&amp;""'!$C$4:$C$66""),INDIRECT(""'""&amp;CW$1&amp;""'!$D$4:$D$66"")=CW$2),$G$3:$BQ$3,$G121:$BQ121)))"),0.66666667)</f>
        <v>0.66666667</v>
      </c>
      <c r="CX121" s="207">
        <f>IFERROR(__xludf.DUMMYFUNCTION("IF(OR(CW121&gt;$BS121+$BT121*$BT$2,CW121&lt;$BS121-$BT121*$BT$2),AVEDEV(ARRAYFORMULA(XLOOKUP(FILTER(INDIRECT(""'""&amp;CW$1&amp;""'!$C$4:$C$66""),INDIRECT(""'""&amp;CW$1&amp;""'!$D$4:$D$66"")=CW$2),$G$3:$BQ$3,$G121:$BQ121))),"""")"),0.0)</f>
        <v>0</v>
      </c>
      <c r="CY121" s="251">
        <f>IFERROR(__xludf.DUMMYFUNCTION("AVERAGE(ARRAYFORMULA(XLOOKUP(FILTER(INDIRECT(""'""&amp;CY$1&amp;""'!$C$4:$C$66""),INDIRECT(""'""&amp;CY$1&amp;""'!$D$4:$D$66"")=CY$2),$G$3:$BQ$3,$G121:$BQ121)))"),0.0952381107142857)</f>
        <v>0.09523811071</v>
      </c>
      <c r="CZ121" s="207" t="str">
        <f>IFERROR(__xludf.DUMMYFUNCTION("IF(OR(CY121&gt;$BS121+$BT121*$BT$2,CY121&lt;$BS121-$BT121*$BT$2),AVEDEV(ARRAYFORMULA(XLOOKUP(FILTER(INDIRECT(""'""&amp;CY$1&amp;""'!$C$4:$C$66""),INDIRECT(""'""&amp;CY$1&amp;""'!$D$4:$D$66"")=CY$2),$G$3:$BQ$3,$G121:$BQ121))),"""")"),"")</f>
        <v/>
      </c>
      <c r="DA121" s="252"/>
      <c r="DB121" s="251">
        <f>IFERROR(__xludf.DUMMYFUNCTION("AVERAGE(ARRAYFORMULA(XLOOKUP(FILTER(INDIRECT(""'""&amp;DB$1&amp;""'!$C$4:$C$66""),INDIRECT(""'""&amp;DB$1&amp;""'!$D$4:$D$66"")=DB$2),$G$3:$BQ$3,$G121:$BQ121)))"),0.15555557000000003)</f>
        <v>0.15555557</v>
      </c>
      <c r="DC121" s="207" t="str">
        <f>IFERROR(__xludf.DUMMYFUNCTION("IF(OR(DB121&gt;$BS121+$BT121*$BT$2,DB121&lt;$BS121-$BT121*$BT$2),AVEDEV(ARRAYFORMULA(XLOOKUP(FILTER(INDIRECT(""'""&amp;DB$1&amp;""'!$C$4:$C$66""),INDIRECT(""'""&amp;DB$1&amp;""'!$D$4:$D$66"")=DB$2),$G$3:$BQ$3,$G121:$BQ121))),"""")"),"")</f>
        <v/>
      </c>
      <c r="DD121" s="251">
        <f>IFERROR(__xludf.DUMMYFUNCTION("AVERAGE(ARRAYFORMULA(XLOOKUP(FILTER(INDIRECT(""'""&amp;DD$1&amp;""'!$C$4:$C$66""),INDIRECT(""'""&amp;DD$1&amp;""'!$D$4:$D$66"")=DD$2),$G$3:$BQ$3,$G121:$BQ121)))"),-0.14814812555555557)</f>
        <v>-0.1481481256</v>
      </c>
      <c r="DE121" s="207" t="str">
        <f>IFERROR(__xludf.DUMMYFUNCTION("IF(OR(DD121&gt;$BS121+$BT121*$BT$2,DD121&lt;$BS121-$BT121*$BT$2),AVEDEV(ARRAYFORMULA(XLOOKUP(FILTER(INDIRECT(""'""&amp;DD$1&amp;""'!$C$4:$C$66""),INDIRECT(""'""&amp;DD$1&amp;""'!$D$4:$D$66"")=DD$2),$G$3:$BQ$3,$G121:$BQ121))),"""")"),"")</f>
        <v/>
      </c>
      <c r="DF121" s="251">
        <f>IFERROR(__xludf.DUMMYFUNCTION("AVERAGE(ARRAYFORMULA(XLOOKUP(FILTER(INDIRECT(""'""&amp;DF$1&amp;""'!$C$4:$C$66""),INDIRECT(""'""&amp;DF$1&amp;""'!$D$4:$D$66"")=DF$2),$G$3:$BQ$3,$G121:$BQ121)))"),-0.08333331624999998)</f>
        <v>-0.08333331625</v>
      </c>
      <c r="DG121" s="207" t="str">
        <f>IFERROR(__xludf.DUMMYFUNCTION("IF(OR(DF121&gt;$BS121+$BT121*$BT$2,DF121&lt;$BS121-$BT121*$BT$2),AVEDEV(ARRAYFORMULA(XLOOKUP(FILTER(INDIRECT(""'""&amp;DF$1&amp;""'!$C$4:$C$66""),INDIRECT(""'""&amp;DF$1&amp;""'!$D$4:$D$66"")=DF$2),$G$3:$BQ$3,$G121:$BQ121))),"""")"),"")</f>
        <v/>
      </c>
      <c r="DH121" s="251">
        <f>IFERROR(__xludf.DUMMYFUNCTION("AVERAGE(ARRAYFORMULA(XLOOKUP(FILTER(INDIRECT(""'""&amp;DH$1&amp;""'!$C$4:$C$66""),INDIRECT(""'""&amp;DH$1&amp;""'!$D$4:$D$66"")=DH$2),$G$3:$BQ$3,$G121:$BQ121)))"),2.3333333327219602E-8)</f>
        <v>0.00000002333333333</v>
      </c>
      <c r="DI121" s="207" t="str">
        <f>IFERROR(__xludf.DUMMYFUNCTION("IF(OR(DH121&gt;$BS121+$BT121*$BT$2,DH121&lt;$BS121-$BT121*$BT$2),AVEDEV(ARRAYFORMULA(XLOOKUP(FILTER(INDIRECT(""'""&amp;DH$1&amp;""'!$C$4:$C$66""),INDIRECT(""'""&amp;DH$1&amp;""'!$D$4:$D$66"")=DH$2),$G$3:$BQ$3,$G121:$BQ121))),"""")"),"")</f>
        <v/>
      </c>
      <c r="DJ121" s="243"/>
    </row>
    <row r="122">
      <c r="A122" s="2"/>
      <c r="B122" s="204">
        <v>118.0</v>
      </c>
      <c r="C122" s="204" t="s">
        <v>540</v>
      </c>
      <c r="D122" s="204" t="s">
        <v>564</v>
      </c>
      <c r="E122" s="205" t="b">
        <f>VLOOKUP(D122,'Feature Set List'!A119:C246,2,0)</f>
        <v>1</v>
      </c>
      <c r="F122" s="205" t="b">
        <f>VLOOKUP(D122,'Feature Set List'!A119:C246,3,0)</f>
        <v>1</v>
      </c>
      <c r="G122" s="205">
        <v>0.62638172</v>
      </c>
      <c r="H122" s="205">
        <v>0.21714566</v>
      </c>
      <c r="I122" s="205">
        <v>0.8676001</v>
      </c>
      <c r="J122" s="205">
        <v>-0.1881602</v>
      </c>
      <c r="K122" s="205">
        <v>-0.8926554</v>
      </c>
      <c r="L122" s="205">
        <v>-0.0810612</v>
      </c>
      <c r="M122" s="205">
        <v>-0.8567919</v>
      </c>
      <c r="N122" s="205">
        <v>-0.5438467</v>
      </c>
      <c r="O122" s="205">
        <v>-0.0540408</v>
      </c>
      <c r="P122" s="205">
        <v>-0.3355441</v>
      </c>
      <c r="Q122" s="205">
        <v>-0.6499632</v>
      </c>
      <c r="R122" s="205">
        <v>-0.5276345</v>
      </c>
      <c r="S122" s="205">
        <v>-0.3276836</v>
      </c>
      <c r="T122" s="205">
        <v>-0.1473839</v>
      </c>
      <c r="U122" s="205">
        <v>0.13952346</v>
      </c>
      <c r="V122" s="205">
        <v>0.92262343</v>
      </c>
      <c r="W122" s="205">
        <v>-0.0363547</v>
      </c>
      <c r="X122" s="205">
        <v>0.28248588</v>
      </c>
      <c r="Y122" s="205">
        <v>0.48734955</v>
      </c>
      <c r="Z122" s="205">
        <v>1.18398428</v>
      </c>
      <c r="AA122" s="205">
        <v>-0.1621223</v>
      </c>
      <c r="AB122" s="205">
        <v>0.80471629</v>
      </c>
      <c r="AC122" s="205">
        <v>-0.4888234</v>
      </c>
      <c r="AD122" s="205">
        <v>0.7629575</v>
      </c>
      <c r="AE122" s="205">
        <v>0.32473594</v>
      </c>
      <c r="AF122" s="205">
        <v>-0.5541636</v>
      </c>
      <c r="AG122" s="205">
        <v>1.81577008</v>
      </c>
      <c r="AH122" s="205">
        <v>-0.0628838</v>
      </c>
      <c r="AI122" s="205">
        <v>-0.7831</v>
      </c>
      <c r="AJ122" s="205">
        <v>1.56128715</v>
      </c>
      <c r="AK122" s="205">
        <v>-0.4298698</v>
      </c>
      <c r="AL122" s="205">
        <v>0.0</v>
      </c>
      <c r="AM122" s="205">
        <v>1.06165561</v>
      </c>
      <c r="AN122" s="205">
        <v>-0.0997298</v>
      </c>
      <c r="AO122" s="205">
        <v>0.37975927</v>
      </c>
      <c r="AP122" s="205">
        <v>0.9624171</v>
      </c>
      <c r="AQ122" s="205">
        <v>1.54261852</v>
      </c>
      <c r="AR122" s="205">
        <v>0.07074429</v>
      </c>
      <c r="AS122" s="205">
        <v>0.21763694</v>
      </c>
      <c r="AT122" s="205">
        <v>0.19454679</v>
      </c>
      <c r="AU122" s="205">
        <v>-0.4613117</v>
      </c>
      <c r="AV122" s="205">
        <v>0.41267502</v>
      </c>
      <c r="AW122" s="205">
        <v>0.02652911</v>
      </c>
      <c r="AX122" s="205">
        <v>-0.4121837</v>
      </c>
      <c r="AY122" s="205">
        <v>1.03463522</v>
      </c>
      <c r="AZ122" s="205">
        <v>0.09923852</v>
      </c>
      <c r="BA122" s="205">
        <v>-0.2122329</v>
      </c>
      <c r="BB122" s="205">
        <v>-0.0338983</v>
      </c>
      <c r="BC122" s="205">
        <v>-0.7973471</v>
      </c>
      <c r="BD122" s="205">
        <v>0.98305085</v>
      </c>
      <c r="BE122" s="205">
        <v>1.69786293</v>
      </c>
      <c r="BF122" s="205">
        <v>0.14836649</v>
      </c>
      <c r="BG122" s="205">
        <v>0.56251535</v>
      </c>
      <c r="BH122" s="205">
        <v>1.1348563</v>
      </c>
      <c r="BI122" s="205">
        <v>-0.5433554</v>
      </c>
      <c r="BJ122" s="205">
        <v>-0.0599361</v>
      </c>
      <c r="BK122" s="205">
        <v>-0.7998035</v>
      </c>
      <c r="BL122" s="205">
        <v>0.48489315</v>
      </c>
      <c r="BM122" s="205">
        <v>-0.5463031</v>
      </c>
      <c r="BN122" s="205">
        <v>-0.3851634</v>
      </c>
      <c r="BO122" s="205">
        <v>0.7629575</v>
      </c>
      <c r="BP122" s="205">
        <v>-0.6175387</v>
      </c>
      <c r="BQ122" s="205">
        <v>-0.3989192</v>
      </c>
      <c r="BR122" s="206"/>
      <c r="BS122" s="250">
        <f t="shared" si="1"/>
        <v>0.1473605397</v>
      </c>
      <c r="BT122" s="250">
        <f t="shared" si="2"/>
        <v>0.5542460333</v>
      </c>
      <c r="BU122" s="206"/>
      <c r="BV122" s="207">
        <f>IFERROR(__xludf.DUMMYFUNCTION("AVERAGE(ARRAYFORMULA(XLOOKUP(FILTER(INDIRECT(""'""&amp;BV$1&amp;""'!$C$4:$C$66""),INDIRECT(""'""&amp;BV$1&amp;""'!$D$4:$D$66"")=BV$2),$G$3:$BQ$3,$G122:$BQ122)))"),0.5693230871428571)</f>
        <v>0.5693230871</v>
      </c>
      <c r="BW122" s="207" t="str">
        <f>IFERROR(__xludf.DUMMYFUNCTION("IF(OR(BV122&gt;$BS122+$BT122*$BT$2,BV122&lt;$BS122-$BT122*$BT$2),AVEDEV(ARRAYFORMULA(XLOOKUP(FILTER(INDIRECT(""'""&amp;BV$1&amp;""'!$C$4:$C$66""),INDIRECT(""'""&amp;BV$1&amp;""'!$D$4:$D$66"")=BV$2),$G$3:$BQ$3,$G122:$BQ122))),"""")"),"")</f>
        <v/>
      </c>
      <c r="BX122" s="207">
        <f>IFERROR(__xludf.DUMMYFUNCTION("AVERAGE(ARRAYFORMULA(XLOOKUP(FILTER(INDIRECT(""'""&amp;BX$1&amp;""'!$C$4:$C$66""),INDIRECT(""'""&amp;BX$1&amp;""'!$D$4:$D$66"")=BX$2),$G$3:$BQ$3,$G122:$BQ122)))"),0.13014235119047618)</f>
        <v>0.1301423512</v>
      </c>
      <c r="BY122" s="207" t="str">
        <f>IFERROR(__xludf.DUMMYFUNCTION("IF(OR(BX122&gt;$BS122+$BT122*$BT$2,BX122&lt;$BS122-$BT122*$BT$2),AVEDEV(ARRAYFORMULA(XLOOKUP(FILTER(INDIRECT(""'""&amp;BX$1&amp;""'!$C$4:$C$66""),INDIRECT(""'""&amp;BX$1&amp;""'!$D$4:$D$66"")=BX$2),$G$3:$BQ$3,$G122:$BQ122))),"""")"),"")</f>
        <v/>
      </c>
      <c r="BZ122" s="207">
        <f>IFERROR(__xludf.DUMMYFUNCTION("AVERAGE(ARRAYFORMULA(XLOOKUP(FILTER(INDIRECT(""'""&amp;BZ$1&amp;""'!$C$4:$C$66""),INDIRECT(""'""&amp;BZ$1&amp;""'!$D$4:$D$66"")=BZ$2),$G$3:$BQ$3,$G122:$BQ122)))"),-0.14153323727272726)</f>
        <v>-0.1415332373</v>
      </c>
      <c r="CA122" s="207" t="str">
        <f>IFERROR(__xludf.DUMMYFUNCTION("IF(OR(BZ122&gt;$BS122+$BT122*$BT$2,BZ122&lt;$BS122-$BT122*$BT$2),AVEDEV(ARRAYFORMULA(XLOOKUP(FILTER(INDIRECT(""'""&amp;BZ$1&amp;""'!$C$4:$C$66""),INDIRECT(""'""&amp;BZ$1&amp;""'!$D$4:$D$66"")=BZ$2),$G$3:$BQ$3,$G122:$BQ122))),"""")"),"")</f>
        <v/>
      </c>
      <c r="CB122" s="209"/>
      <c r="CC122" s="207">
        <f>IFERROR(__xludf.DUMMYFUNCTION("AVERAGE(ARRAYFORMULA(XLOOKUP(FILTER(INDIRECT(""'""&amp;CC$1&amp;""'!$C$4:$C$66""),INDIRECT(""'""&amp;CC$1&amp;""'!$D$4:$D$66"")=CC$2),$G$3:$BQ$3,$G122:$BQ122)))"),0.21392163625)</f>
        <v>0.2139216363</v>
      </c>
      <c r="CD122" s="207" t="str">
        <f>IFERROR(__xludf.DUMMYFUNCTION("IF(OR(CC122&gt;$BS122+$BT122*$BT$2,CC122&lt;$BS122-$BT122*$BT$2),AVEDEV(ARRAYFORMULA(XLOOKUP(FILTER(INDIRECT(""'""&amp;CC$1&amp;""'!$C$4:$C$66""),INDIRECT(""'""&amp;CC$1&amp;""'!$D$4:$D$66"")=CC$2),$G$3:$BQ$3,$G122:$BQ122))),"""")"),"")</f>
        <v/>
      </c>
      <c r="CE122" s="207">
        <f>IFERROR(__xludf.DUMMYFUNCTION("AVERAGE(ARRAYFORMULA(XLOOKUP(FILTER(INDIRECT(""'""&amp;CE$1&amp;""'!$C$4:$C$66""),INDIRECT(""'""&amp;CE$1&amp;""'!$D$4:$D$66"")=CE$2),$G$3:$BQ$3,$G122:$BQ122)))"),0.0883194248387097)</f>
        <v>0.08831942484</v>
      </c>
      <c r="CF122" s="207" t="str">
        <f>IFERROR(__xludf.DUMMYFUNCTION("IF(OR(CE122&gt;$BS122+$BT122*$BT$2,CE122&lt;$BS122-$BT122*$BT$2),AVEDEV(ARRAYFORMULA(XLOOKUP(FILTER(INDIRECT(""'""&amp;CE$1&amp;""'!$C$4:$C$66""),INDIRECT(""'""&amp;CE$1&amp;""'!$D$4:$D$66"")=CE$2),$G$3:$BQ$3,$G122:$BQ122))),"""")"),"")</f>
        <v/>
      </c>
      <c r="CG122" s="207">
        <f>IFERROR(__xludf.DUMMYFUNCTION("AVERAGE(ARRAYFORMULA(XLOOKUP(FILTER(INDIRECT(""'""&amp;CG$1&amp;""'!$C$4:$C$66""),INDIRECT(""'""&amp;CG$1&amp;""'!$D$4:$D$66"")=CG$2),$G$3:$BQ$3,$G122:$BQ122)))"),0.016998278)</f>
        <v>0.016998278</v>
      </c>
      <c r="CH122" s="207" t="str">
        <f>IFERROR(__xludf.DUMMYFUNCTION("IF(OR(CG122&gt;$BS122+$BT122*$BT$2,CG122&lt;$BS122-$BT122*$BT$2),AVEDEV(ARRAYFORMULA(XLOOKUP(FILTER(INDIRECT(""'""&amp;CG$1&amp;""'!$C$4:$C$66""),INDIRECT(""'""&amp;CG$1&amp;""'!$D$4:$D$66"")=CG$2),$G$3:$BQ$3,$G122:$BQ122))),"""")"),"")</f>
        <v/>
      </c>
      <c r="CI122" s="206"/>
      <c r="CJ122" s="251">
        <f>IFERROR(__xludf.DUMMYFUNCTION("AVERAGE(ARRAYFORMULA(XLOOKUP(FILTER(INDIRECT(""'""&amp;CJ$1&amp;""'!$C$4:$C$66""),INDIRECT(""'""&amp;CJ$1&amp;""'!$D$4:$D$66"")=CJ$2),$G$3:$BQ$3,$G122:$BQ122)))"),0.23217883066666664)</f>
        <v>0.2321788307</v>
      </c>
      <c r="CK122" s="207" t="str">
        <f>IFERROR(__xludf.DUMMYFUNCTION("IF(OR(CJ122&gt;$BS122+$BT122*$BT$2,CJ122&lt;$BS122-$BT122*$BT$2),AVEDEV(ARRAYFORMULA(XLOOKUP(FILTER(INDIRECT(""'""&amp;CJ$1&amp;""'!$C$4:$C$66""),INDIRECT(""'""&amp;CJ$1&amp;""'!$D$4:$D$66"")=CJ$2),$G$3:$BQ$3,$G122:$BQ122))),"""")"),"")</f>
        <v/>
      </c>
      <c r="CL122" s="251">
        <f>IFERROR(__xludf.DUMMYFUNCTION("AVERAGE(ARRAYFORMULA(XLOOKUP(FILTER(INDIRECT(""'""&amp;CL$1&amp;""'!$C$4:$C$66""),INDIRECT(""'""&amp;CL$1&amp;""'!$D$4:$D$66"")=CL$2),$G$3:$BQ$3,$G122:$BQ122)))"),0.09850789102564103)</f>
        <v>0.09850789103</v>
      </c>
      <c r="CM122" s="207" t="str">
        <f>IFERROR(__xludf.DUMMYFUNCTION("IF(OR(CL122&gt;$BS122+$BT122*$BT$2,CL122&lt;$BS122-$BT122*$BT$2),AVEDEV(ARRAYFORMULA(XLOOKUP(FILTER(INDIRECT(""'""&amp;CL$1&amp;""'!$C$4:$C$66""),INDIRECT(""'""&amp;CL$1&amp;""'!$D$4:$D$66"")=CL$2),$G$3:$BQ$3,$G122:$BQ122))),"""")"),"")</f>
        <v/>
      </c>
      <c r="CN122" s="251">
        <f>IFERROR(__xludf.DUMMYFUNCTION("AVERAGE(ARRAYFORMULA(XLOOKUP(FILTER(INDIRECT(""'""&amp;CN$1&amp;""'!$C$4:$C$66""),INDIRECT(""'""&amp;CN$1&amp;""'!$D$4:$D$66"")=CN$2),$G$3:$BQ$3,$G122:$BQ122)))"),0.016998278)</f>
        <v>0.016998278</v>
      </c>
      <c r="CO122" s="207" t="str">
        <f>IFERROR(__xludf.DUMMYFUNCTION("IF(OR(CN122&gt;$BS122+$BT122*$BT$2,CN122&lt;$BS122-$BT122*$BT$2),AVEDEV(ARRAYFORMULA(XLOOKUP(FILTER(INDIRECT(""'""&amp;CN$1&amp;""'!$C$4:$C$66""),INDIRECT(""'""&amp;CN$1&amp;""'!$D$4:$D$66"")=CN$2),$G$3:$BQ$3,$G122:$BQ122))),"""")"),"")</f>
        <v/>
      </c>
      <c r="CP122" s="252"/>
      <c r="CQ122" s="251">
        <f>IFERROR(__xludf.DUMMYFUNCTION("AVERAGE(ARRAYFORMULA(XLOOKUP(FILTER(INDIRECT(""'""&amp;CQ$1&amp;""'!$C$4:$C$66""),INDIRECT(""'""&amp;CQ$1&amp;""'!$D$4:$D$66"")=CQ$2),$G$3:$BQ$3,$G122:$BQ122)))"),0.229673295)</f>
        <v>0.229673295</v>
      </c>
      <c r="CR122" s="207" t="str">
        <f>IFERROR(__xludf.DUMMYFUNCTION("IF(OR(CQ122&gt;$BS122+$BT122*$BT$2,CQ122&lt;$BS122-$BT122*$BT$2),AVEDEV(ARRAYFORMULA(XLOOKUP(FILTER(INDIRECT(""'""&amp;CQ$1&amp;""'!$C$4:$C$66""),INDIRECT(""'""&amp;CQ$1&amp;""'!$D$4:$D$66"")=CQ$2),$G$3:$BQ$3,$G122:$BQ122))),"""")"),"")</f>
        <v/>
      </c>
      <c r="CS122" s="251">
        <f>IFERROR(__xludf.DUMMYFUNCTION("AVERAGE(ARRAYFORMULA(XLOOKUP(FILTER(INDIRECT(""'""&amp;CS$1&amp;""'!$C$4:$C$66""),INDIRECT(""'""&amp;CS$1&amp;""'!$D$4:$D$66"")=CS$2),$G$3:$BQ$3,$G122:$BQ122)))"),-0.12331122555555557)</f>
        <v>-0.1233112256</v>
      </c>
      <c r="CT122" s="207" t="str">
        <f>IFERROR(__xludf.DUMMYFUNCTION("IF(OR(CS122&gt;$BS122+$BT122*$BT$2,CS122&lt;$BS122-$BT122*$BT$2),AVEDEV(ARRAYFORMULA(XLOOKUP(FILTER(INDIRECT(""'""&amp;CS$1&amp;""'!$C$4:$C$66""),INDIRECT(""'""&amp;CS$1&amp;""'!$D$4:$D$66"")=CS$2),$G$3:$BQ$3,$G122:$BQ122))),"""")"),"")</f>
        <v/>
      </c>
      <c r="CU122" s="251">
        <f>IFERROR(__xludf.DUMMYFUNCTION("AVERAGE(ARRAYFORMULA(XLOOKUP(FILTER(INDIRECT(""'""&amp;CU$1&amp;""'!$C$4:$C$66""),INDIRECT(""'""&amp;CU$1&amp;""'!$D$4:$D$66"")=CU$2),$G$3:$BQ$3,$G122:$BQ122)))"),0.2597083618181818)</f>
        <v>0.2597083618</v>
      </c>
      <c r="CV122" s="207" t="str">
        <f>IFERROR(__xludf.DUMMYFUNCTION("IF(OR(CU122&gt;$BS122+$BT122*$BT$2,CU122&lt;$BS122-$BT122*$BT$2),AVEDEV(ARRAYFORMULA(XLOOKUP(FILTER(INDIRECT(""'""&amp;CU$1&amp;""'!$C$4:$C$66""),INDIRECT(""'""&amp;CU$1&amp;""'!$D$4:$D$66"")=CU$2),$G$3:$BQ$3,$G122:$BQ122))),"""")"),"")</f>
        <v/>
      </c>
      <c r="CW122" s="251">
        <f>IFERROR(__xludf.DUMMYFUNCTION("AVERAGE(ARRAYFORMULA(XLOOKUP(FILTER(INDIRECT(""'""&amp;CW$1&amp;""'!$C$4:$C$66""),INDIRECT(""'""&amp;CW$1&amp;""'!$D$4:$D$66"")=CW$2),$G$3:$BQ$3,$G122:$BQ122)))"),0.9489069)</f>
        <v>0.9489069</v>
      </c>
      <c r="CX122" s="207">
        <f>IFERROR(__xludf.DUMMYFUNCTION("IF(OR(CW122&gt;$BS122+$BT122*$BT$2,CW122&lt;$BS122-$BT122*$BT$2),AVEDEV(ARRAYFORMULA(XLOOKUP(FILTER(INDIRECT(""'""&amp;CW$1&amp;""'!$C$4:$C$66""),INDIRECT(""'""&amp;CW$1&amp;""'!$D$4:$D$66"")=CW$2),$G$3:$BQ$3,$G122:$BQ122))),"""")"),0.18594940000000004)</f>
        <v>0.1859494</v>
      </c>
      <c r="CY122" s="251">
        <f>IFERROR(__xludf.DUMMYFUNCTION("AVERAGE(ARRAYFORMULA(XLOOKUP(FILTER(INDIRECT(""'""&amp;CY$1&amp;""'!$C$4:$C$66""),INDIRECT(""'""&amp;CY$1&amp;""'!$D$4:$D$66"")=CY$2),$G$3:$BQ$3,$G122:$BQ122)))"),-0.12355687000000001)</f>
        <v>-0.12355687</v>
      </c>
      <c r="CZ122" s="207" t="str">
        <f>IFERROR(__xludf.DUMMYFUNCTION("IF(OR(CY122&gt;$BS122+$BT122*$BT$2,CY122&lt;$BS122-$BT122*$BT$2),AVEDEV(ARRAYFORMULA(XLOOKUP(FILTER(INDIRECT(""'""&amp;CY$1&amp;""'!$C$4:$C$66""),INDIRECT(""'""&amp;CY$1&amp;""'!$D$4:$D$66"")=CY$2),$G$3:$BQ$3,$G122:$BQ122))),"""")"),"")</f>
        <v/>
      </c>
      <c r="DA122" s="252"/>
      <c r="DB122" s="251">
        <f>IFERROR(__xludf.DUMMYFUNCTION("AVERAGE(ARRAYFORMULA(XLOOKUP(FILTER(INDIRECT(""'""&amp;DB$1&amp;""'!$C$4:$C$66""),INDIRECT(""'""&amp;DB$1&amp;""'!$D$4:$D$66"")=DB$2),$G$3:$BQ$3,$G122:$BQ122)))"),0.08584295199999999)</f>
        <v>0.085842952</v>
      </c>
      <c r="DC122" s="207" t="str">
        <f>IFERROR(__xludf.DUMMYFUNCTION("IF(OR(DB122&gt;$BS122+$BT122*$BT$2,DB122&lt;$BS122-$BT122*$BT$2),AVEDEV(ARRAYFORMULA(XLOOKUP(FILTER(INDIRECT(""'""&amp;DB$1&amp;""'!$C$4:$C$66""),INDIRECT(""'""&amp;DB$1&amp;""'!$D$4:$D$66"")=DB$2),$G$3:$BQ$3,$G122:$BQ122))),"""")"),"")</f>
        <v/>
      </c>
      <c r="DD122" s="251">
        <f>IFERROR(__xludf.DUMMYFUNCTION("AVERAGE(ARRAYFORMULA(XLOOKUP(FILTER(INDIRECT(""'""&amp;DD$1&amp;""'!$C$4:$C$66""),INDIRECT(""'""&amp;DD$1&amp;""'!$D$4:$D$66"")=DD$2),$G$3:$BQ$3,$G122:$BQ122)))"),-0.13073500666666668)</f>
        <v>-0.1307350067</v>
      </c>
      <c r="DE122" s="207" t="str">
        <f>IFERROR(__xludf.DUMMYFUNCTION("IF(OR(DD122&gt;$BS122+$BT122*$BT$2,DD122&lt;$BS122-$BT122*$BT$2),AVEDEV(ARRAYFORMULA(XLOOKUP(FILTER(INDIRECT(""'""&amp;DD$1&amp;""'!$C$4:$C$66""),INDIRECT(""'""&amp;DD$1&amp;""'!$D$4:$D$66"")=DD$2),$G$3:$BQ$3,$G122:$BQ122))),"""")"),"")</f>
        <v/>
      </c>
      <c r="DF122" s="251">
        <f>IFERROR(__xludf.DUMMYFUNCTION("AVERAGE(ARRAYFORMULA(XLOOKUP(FILTER(INDIRECT(""'""&amp;DF$1&amp;""'!$C$4:$C$66""),INDIRECT(""'""&amp;DF$1&amp;""'!$D$4:$D$66"")=DF$2),$G$3:$BQ$3,$G122:$BQ122)))"),0.22040039374999998)</f>
        <v>0.2204003938</v>
      </c>
      <c r="DG122" s="207" t="str">
        <f>IFERROR(__xludf.DUMMYFUNCTION("IF(OR(DF122&gt;$BS122+$BT122*$BT$2,DF122&lt;$BS122-$BT122*$BT$2),AVEDEV(ARRAYFORMULA(XLOOKUP(FILTER(INDIRECT(""'""&amp;DF$1&amp;""'!$C$4:$C$66""),INDIRECT(""'""&amp;DF$1&amp;""'!$D$4:$D$66"")=DF$2),$G$3:$BQ$3,$G122:$BQ122))),"""")"),"")</f>
        <v/>
      </c>
      <c r="DH122" s="251">
        <f>IFERROR(__xludf.DUMMYFUNCTION("AVERAGE(ARRAYFORMULA(XLOOKUP(FILTER(INDIRECT(""'""&amp;DH$1&amp;""'!$C$4:$C$66""),INDIRECT(""'""&amp;DH$1&amp;""'!$D$4:$D$66"")=DH$2),$G$3:$BQ$3,$G122:$BQ122)))"),0.3905128344444444)</f>
        <v>0.3905128344</v>
      </c>
      <c r="DI122" s="207" t="str">
        <f>IFERROR(__xludf.DUMMYFUNCTION("IF(OR(DH122&gt;$BS122+$BT122*$BT$2,DH122&lt;$BS122-$BT122*$BT$2),AVEDEV(ARRAYFORMULA(XLOOKUP(FILTER(INDIRECT(""'""&amp;DH$1&amp;""'!$C$4:$C$66""),INDIRECT(""'""&amp;DH$1&amp;""'!$D$4:$D$66"")=DH$2),$G$3:$BQ$3,$G122:$BQ122))),"""")"),"")</f>
        <v/>
      </c>
      <c r="DJ122" s="243"/>
    </row>
    <row r="123">
      <c r="A123" s="2"/>
      <c r="B123" s="204">
        <v>119.0</v>
      </c>
      <c r="C123" s="204" t="s">
        <v>540</v>
      </c>
      <c r="D123" s="204" t="s">
        <v>565</v>
      </c>
      <c r="E123" s="205" t="b">
        <f>VLOOKUP(D123,'Feature Set List'!A120:C246,2,0)</f>
        <v>1</v>
      </c>
      <c r="F123" s="205" t="b">
        <f>VLOOKUP(D123,'Feature Set List'!A120:C246,3,0)</f>
        <v>1</v>
      </c>
      <c r="G123" s="205">
        <v>0.03063711</v>
      </c>
      <c r="H123" s="205">
        <v>-1.3027736</v>
      </c>
      <c r="I123" s="205">
        <v>0.03063711</v>
      </c>
      <c r="J123" s="205">
        <v>-0.9594987</v>
      </c>
      <c r="K123" s="205">
        <v>-0.2365092</v>
      </c>
      <c r="L123" s="205">
        <v>0.03063711</v>
      </c>
      <c r="M123" s="205">
        <v>-0.0011605</v>
      </c>
      <c r="N123" s="205">
        <v>0.03063711</v>
      </c>
      <c r="O123" s="205">
        <v>-1.1386794</v>
      </c>
      <c r="P123" s="205">
        <v>0.03063711</v>
      </c>
      <c r="Q123" s="205">
        <v>-0.6573053</v>
      </c>
      <c r="R123" s="205">
        <v>0.03063711</v>
      </c>
      <c r="S123" s="205">
        <v>-0.467216</v>
      </c>
      <c r="T123" s="205">
        <v>0.03063711</v>
      </c>
      <c r="U123" s="205">
        <v>0.03063711</v>
      </c>
      <c r="V123" s="205">
        <v>-1.5975397</v>
      </c>
      <c r="W123" s="205">
        <v>0.03063711</v>
      </c>
      <c r="X123" s="205">
        <v>-1.1233608</v>
      </c>
      <c r="Y123" s="205">
        <v>0.03063711</v>
      </c>
      <c r="Z123" s="205">
        <v>-1.9234072</v>
      </c>
      <c r="AA123" s="205">
        <v>-0.5154926</v>
      </c>
      <c r="AB123" s="205">
        <v>0.03063711</v>
      </c>
      <c r="AC123" s="205">
        <v>0.0</v>
      </c>
      <c r="AD123" s="205">
        <v>-1.8382268</v>
      </c>
      <c r="AE123" s="205">
        <v>-1.418127</v>
      </c>
      <c r="AF123" s="205">
        <v>0.03063711</v>
      </c>
      <c r="AG123" s="205">
        <v>-1.9554369</v>
      </c>
      <c r="AH123" s="205">
        <v>0.03063711</v>
      </c>
      <c r="AI123" s="205">
        <v>0.03063711</v>
      </c>
      <c r="AJ123" s="205">
        <v>0.03063711</v>
      </c>
      <c r="AK123" s="205">
        <v>-0.1035163</v>
      </c>
      <c r="AL123" s="205">
        <v>-1.2767785</v>
      </c>
      <c r="AM123" s="205">
        <v>0.03063711</v>
      </c>
      <c r="AN123" s="205">
        <v>0.03063711</v>
      </c>
      <c r="AO123" s="205">
        <v>-0.9237554</v>
      </c>
      <c r="AP123" s="205">
        <v>-1.9118023</v>
      </c>
      <c r="AQ123" s="205">
        <v>-2.0685157</v>
      </c>
      <c r="AR123" s="205">
        <v>-0.9708715</v>
      </c>
      <c r="AS123" s="205">
        <v>0.03063711</v>
      </c>
      <c r="AT123" s="205">
        <v>0.03063711</v>
      </c>
      <c r="AU123" s="205">
        <v>-0.8487873</v>
      </c>
      <c r="AV123" s="205">
        <v>-0.920506</v>
      </c>
      <c r="AW123" s="205">
        <v>-0.6563769</v>
      </c>
      <c r="AX123" s="205">
        <v>-0.3581293</v>
      </c>
      <c r="AY123" s="205">
        <v>-1.4907741</v>
      </c>
      <c r="AZ123" s="205">
        <v>0.03063711</v>
      </c>
      <c r="BA123" s="205">
        <v>0.03063711</v>
      </c>
      <c r="BB123" s="205">
        <v>-1.1693165</v>
      </c>
      <c r="BC123" s="205">
        <v>0.03063711</v>
      </c>
      <c r="BD123" s="205">
        <v>0.03063711</v>
      </c>
      <c r="BE123" s="205">
        <v>0.03063711</v>
      </c>
      <c r="BF123" s="205">
        <v>0.03063711</v>
      </c>
      <c r="BG123" s="205">
        <v>0.03063711</v>
      </c>
      <c r="BH123" s="205">
        <v>-1.9106418</v>
      </c>
      <c r="BI123" s="205">
        <v>-0.9678542</v>
      </c>
      <c r="BJ123" s="205">
        <v>-1.0353951</v>
      </c>
      <c r="BK123" s="205">
        <v>0.03063711</v>
      </c>
      <c r="BL123" s="205">
        <v>0.03063711</v>
      </c>
      <c r="BM123" s="205">
        <v>-0.8155971</v>
      </c>
      <c r="BN123" s="205">
        <v>0.03063711</v>
      </c>
      <c r="BO123" s="205">
        <v>0.03063711</v>
      </c>
      <c r="BP123" s="205">
        <v>0.03063711</v>
      </c>
      <c r="BQ123" s="205">
        <v>-0.9659974</v>
      </c>
      <c r="BR123" s="206"/>
      <c r="BS123" s="250">
        <f t="shared" si="1"/>
        <v>-0.5171364871</v>
      </c>
      <c r="BT123" s="250">
        <f t="shared" si="2"/>
        <v>0.6006004134</v>
      </c>
      <c r="BU123" s="206"/>
      <c r="BV123" s="207">
        <f>IFERROR(__xludf.DUMMYFUNCTION("AVERAGE(ARRAYFORMULA(XLOOKUP(FILTER(INDIRECT(""'""&amp;BV$1&amp;""'!$C$4:$C$66""),INDIRECT(""'""&amp;BV$1&amp;""'!$D$4:$D$66"")=BV$2),$G$3:$BQ$3,$G123:$BQ123)))"),-0.6593279242857145)</f>
        <v>-0.6593279243</v>
      </c>
      <c r="BW123" s="207" t="str">
        <f>IFERROR(__xludf.DUMMYFUNCTION("IF(OR(BV123&gt;$BS123+$BT123*$BT$2,BV123&lt;$BS123-$BT123*$BT$2),AVEDEV(ARRAYFORMULA(XLOOKUP(FILTER(INDIRECT(""'""&amp;BV$1&amp;""'!$C$4:$C$66""),INDIRECT(""'""&amp;BV$1&amp;""'!$D$4:$D$66"")=BV$2),$G$3:$BQ$3,$G123:$BQ123))),"""")"),"")</f>
        <v/>
      </c>
      <c r="BX123" s="207">
        <f>IFERROR(__xludf.DUMMYFUNCTION("AVERAGE(ARRAYFORMULA(XLOOKUP(FILTER(INDIRECT(""'""&amp;BX$1&amp;""'!$C$4:$C$66""),INDIRECT(""'""&amp;BX$1&amp;""'!$D$4:$D$66"")=BX$2),$G$3:$BQ$3,$G123:$BQ123)))"),-0.6341849173809521)</f>
        <v>-0.6341849174</v>
      </c>
      <c r="BY123" s="207" t="str">
        <f>IFERROR(__xludf.DUMMYFUNCTION("IF(OR(BX123&gt;$BS123+$BT123*$BT$2,BX123&lt;$BS123-$BT123*$BT$2),AVEDEV(ARRAYFORMULA(XLOOKUP(FILTER(INDIRECT(""'""&amp;BX$1&amp;""'!$C$4:$C$66""),INDIRECT(""'""&amp;BX$1&amp;""'!$D$4:$D$66"")=BX$2),$G$3:$BQ$3,$G123:$BQ123))),"""")"),"")</f>
        <v/>
      </c>
      <c r="BZ123" s="207">
        <f>IFERROR(__xludf.DUMMYFUNCTION("AVERAGE(ARRAYFORMULA(XLOOKUP(FILTER(INDIRECT(""'""&amp;BZ$1&amp;""'!$C$4:$C$66""),INDIRECT(""'""&amp;BZ$1&amp;""'!$D$4:$D$66"")=BZ$2),$G$3:$BQ$3,$G123:$BQ123)))"),-0.04918396454545453)</f>
        <v>-0.04918396455</v>
      </c>
      <c r="CA123" s="207" t="str">
        <f>IFERROR(__xludf.DUMMYFUNCTION("IF(OR(BZ123&gt;$BS123+$BT123*$BT$2,BZ123&lt;$BS123-$BT123*$BT$2),AVEDEV(ARRAYFORMULA(XLOOKUP(FILTER(INDIRECT(""'""&amp;BZ$1&amp;""'!$C$4:$C$66""),INDIRECT(""'""&amp;BZ$1&amp;""'!$D$4:$D$66"")=BZ$2),$G$3:$BQ$3,$G123:$BQ123))),"""")"),"")</f>
        <v/>
      </c>
      <c r="CB123" s="209"/>
      <c r="CC123" s="207">
        <f>IFERROR(__xludf.DUMMYFUNCTION("AVERAGE(ARRAYFORMULA(XLOOKUP(FILTER(INDIRECT(""'""&amp;CC$1&amp;""'!$C$4:$C$66""),INDIRECT(""'""&amp;CC$1&amp;""'!$D$4:$D$66"")=CC$2),$G$3:$BQ$3,$G123:$BQ123)))"),-0.8266392031250002)</f>
        <v>-0.8266392031</v>
      </c>
      <c r="CD123" s="207" t="str">
        <f>IFERROR(__xludf.DUMMYFUNCTION("IF(OR(CC123&gt;$BS123+$BT123*$BT$2,CC123&lt;$BS123-$BT123*$BT$2),AVEDEV(ARRAYFORMULA(XLOOKUP(FILTER(INDIRECT(""'""&amp;CC$1&amp;""'!$C$4:$C$66""),INDIRECT(""'""&amp;CC$1&amp;""'!$D$4:$D$66"")=CC$2),$G$3:$BQ$3,$G123:$BQ123))),"""")"),"")</f>
        <v/>
      </c>
      <c r="CE123" s="207">
        <f>IFERROR(__xludf.DUMMYFUNCTION("AVERAGE(ARRAYFORMULA(XLOOKUP(FILTER(INDIRECT(""'""&amp;CE$1&amp;""'!$C$4:$C$66""),INDIRECT(""'""&amp;CE$1&amp;""'!$D$4:$D$66"")=CE$2),$G$3:$BQ$3,$G123:$BQ123)))"),-0.4715884238709677)</f>
        <v>-0.4715884239</v>
      </c>
      <c r="CF123" s="207" t="str">
        <f>IFERROR(__xludf.DUMMYFUNCTION("IF(OR(CE123&gt;$BS123+$BT123*$BT$2,CE123&lt;$BS123-$BT123*$BT$2),AVEDEV(ARRAYFORMULA(XLOOKUP(FILTER(INDIRECT(""'""&amp;CE$1&amp;""'!$C$4:$C$66""),INDIRECT(""'""&amp;CE$1&amp;""'!$D$4:$D$66"")=CE$2),$G$3:$BQ$3,$G123:$BQ123))),"""")"),"")</f>
        <v/>
      </c>
      <c r="CG123" s="207">
        <f>IFERROR(__xludf.DUMMYFUNCTION("AVERAGE(ARRAYFORMULA(XLOOKUP(FILTER(INDIRECT(""'""&amp;CG$1&amp;""'!$C$4:$C$66""),INDIRECT(""'""&amp;CG$1&amp;""'!$D$4:$D$66"")=CG$2),$G$3:$BQ$3,$G123:$BQ123)))"),0.030637110000000002)</f>
        <v>0.03063711</v>
      </c>
      <c r="CH123" s="207" t="str">
        <f>IFERROR(__xludf.DUMMYFUNCTION("IF(OR(CG123&gt;$BS123+$BT123*$BT$2,CG123&lt;$BS123-$BT123*$BT$2),AVEDEV(ARRAYFORMULA(XLOOKUP(FILTER(INDIRECT(""'""&amp;CG$1&amp;""'!$C$4:$C$66""),INDIRECT(""'""&amp;CG$1&amp;""'!$D$4:$D$66"")=CG$2),$G$3:$BQ$3,$G123:$BQ123))),"""")"),"")</f>
        <v/>
      </c>
      <c r="CI123" s="206"/>
      <c r="CJ123" s="251">
        <f>IFERROR(__xludf.DUMMYFUNCTION("AVERAGE(ARRAYFORMULA(XLOOKUP(FILTER(INDIRECT(""'""&amp;CJ$1&amp;""'!$C$4:$C$66""),INDIRECT(""'""&amp;CJ$1&amp;""'!$D$4:$D$66"")=CJ$2),$G$3:$BQ$3,$G123:$BQ123)))"),-0.3177440006666667)</f>
        <v>-0.3177440007</v>
      </c>
      <c r="CK123" s="207" t="str">
        <f>IFERROR(__xludf.DUMMYFUNCTION("IF(OR(CJ123&gt;$BS123+$BT123*$BT$2,CJ123&lt;$BS123-$BT123*$BT$2),AVEDEV(ARRAYFORMULA(XLOOKUP(FILTER(INDIRECT(""'""&amp;CJ$1&amp;""'!$C$4:$C$66""),INDIRECT(""'""&amp;CJ$1&amp;""'!$D$4:$D$66"")=CJ$2),$G$3:$BQ$3,$G123:$BQ123))),"""")"),"")</f>
        <v/>
      </c>
      <c r="CL123" s="251">
        <f>IFERROR(__xludf.DUMMYFUNCTION("AVERAGE(ARRAYFORMULA(XLOOKUP(FILTER(INDIRECT(""'""&amp;CL$1&amp;""'!$C$4:$C$66""),INDIRECT(""'""&amp;CL$1&amp;""'!$D$4:$D$66"")=CL$2),$G$3:$BQ$3,$G123:$BQ123)))"),-0.6976858528205127)</f>
        <v>-0.6976858528</v>
      </c>
      <c r="CM123" s="207" t="str">
        <f>IFERROR(__xludf.DUMMYFUNCTION("IF(OR(CL123&gt;$BS123+$BT123*$BT$2,CL123&lt;$BS123-$BT123*$BT$2),AVEDEV(ARRAYFORMULA(XLOOKUP(FILTER(INDIRECT(""'""&amp;CL$1&amp;""'!$C$4:$C$66""),INDIRECT(""'""&amp;CL$1&amp;""'!$D$4:$D$66"")=CL$2),$G$3:$BQ$3,$G123:$BQ123))),"""")"),"")</f>
        <v/>
      </c>
      <c r="CN123" s="254">
        <f>IFERROR(__xludf.DUMMYFUNCTION("AVERAGE(ARRAYFORMULA(XLOOKUP(FILTER(INDIRECT(""'""&amp;CN$1&amp;""'!$C$4:$C$66""),INDIRECT(""'""&amp;CN$1&amp;""'!$D$4:$D$66"")=CN$2),$G$3:$BQ$3,$G123:$BQ123)))"),0.030637110000000002)</f>
        <v>0.03063711</v>
      </c>
      <c r="CO123" s="207" t="str">
        <f>IFERROR(__xludf.DUMMYFUNCTION("IF(OR(CN123&gt;$BS123+$BT123*$BT$2,CN123&lt;$BS123-$BT123*$BT$2),AVEDEV(ARRAYFORMULA(XLOOKUP(FILTER(INDIRECT(""'""&amp;CN$1&amp;""'!$C$4:$C$66""),INDIRECT(""'""&amp;CN$1&amp;""'!$D$4:$D$66"")=CN$2),$G$3:$BQ$3,$G123:$BQ123))),"""")"),"")</f>
        <v/>
      </c>
      <c r="CP123" s="252"/>
      <c r="CQ123" s="251">
        <f>IFERROR(__xludf.DUMMYFUNCTION("AVERAGE(ARRAYFORMULA(XLOOKUP(FILTER(INDIRECT(""'""&amp;CQ$1&amp;""'!$C$4:$C$66""),INDIRECT(""'""&amp;CQ$1&amp;""'!$D$4:$D$66"")=CQ$2),$G$3:$BQ$3,$G123:$BQ123)))"),-0.9377012257142858)</f>
        <v>-0.9377012257</v>
      </c>
      <c r="CR123" s="207" t="str">
        <f>IFERROR(__xludf.DUMMYFUNCTION("IF(OR(CQ123&gt;$BS123+$BT123*$BT$2,CQ123&lt;$BS123-$BT123*$BT$2),AVEDEV(ARRAYFORMULA(XLOOKUP(FILTER(INDIRECT(""'""&amp;CQ$1&amp;""'!$C$4:$C$66""),INDIRECT(""'""&amp;CQ$1&amp;""'!$D$4:$D$66"")=CQ$2),$G$3:$BQ$3,$G123:$BQ123))),"""")"),"")</f>
        <v/>
      </c>
      <c r="CS123" s="251">
        <f>IFERROR(__xludf.DUMMYFUNCTION("AVERAGE(ARRAYFORMULA(XLOOKUP(FILTER(INDIRECT(""'""&amp;CS$1&amp;""'!$C$4:$C$66""),INDIRECT(""'""&amp;CS$1&amp;""'!$D$4:$D$66"")=CS$2),$G$3:$BQ$3,$G123:$BQ123)))"),0.02710404222222222)</f>
        <v>0.02710404222</v>
      </c>
      <c r="CT123" s="207" t="str">
        <f>IFERROR(__xludf.DUMMYFUNCTION("IF(OR(CS123&gt;$BS123+$BT123*$BT$2,CS123&lt;$BS123-$BT123*$BT$2),AVEDEV(ARRAYFORMULA(XLOOKUP(FILTER(INDIRECT(""'""&amp;CS$1&amp;""'!$C$4:$C$66""),INDIRECT(""'""&amp;CS$1&amp;""'!$D$4:$D$66"")=CS$2),$G$3:$BQ$3,$G123:$BQ123))),"""")"),"")</f>
        <v/>
      </c>
      <c r="CU123" s="251">
        <f>IFERROR(__xludf.DUMMYFUNCTION("AVERAGE(ARRAYFORMULA(XLOOKUP(FILTER(INDIRECT(""'""&amp;CU$1&amp;""'!$C$4:$C$66""),INDIRECT(""'""&amp;CU$1&amp;""'!$D$4:$D$66"")=CU$2),$G$3:$BQ$3,$G123:$BQ123)))"),-0.15352316636363636)</f>
        <v>-0.1535231664</v>
      </c>
      <c r="CV123" s="207" t="str">
        <f>IFERROR(__xludf.DUMMYFUNCTION("IF(OR(CU123&gt;$BS123+$BT123*$BT$2,CU123&lt;$BS123-$BT123*$BT$2),AVEDEV(ARRAYFORMULA(XLOOKUP(FILTER(INDIRECT(""'""&amp;CU$1&amp;""'!$C$4:$C$66""),INDIRECT(""'""&amp;CU$1&amp;""'!$D$4:$D$66"")=CU$2),$G$3:$BQ$3,$G123:$BQ123))),"""")"),"")</f>
        <v/>
      </c>
      <c r="CW123" s="251">
        <f>IFERROR(__xludf.DUMMYFUNCTION("AVERAGE(ARRAYFORMULA(XLOOKUP(FILTER(INDIRECT(""'""&amp;CW$1&amp;""'!$C$4:$C$66""),INDIRECT(""'""&amp;CW$1&amp;""'!$D$4:$D$66"")=CW$2),$G$3:$BQ$3,$G123:$BQ123)))"),-1.8744342999999999)</f>
        <v>-1.8744343</v>
      </c>
      <c r="CX123" s="207">
        <f>IFERROR(__xludf.DUMMYFUNCTION("IF(OR(CW123&gt;$BS123+$BT123*$BT$2,CW123&lt;$BS123-$BT123*$BT$2),AVEDEV(ARRAYFORMULA(XLOOKUP(FILTER(INDIRECT(""'""&amp;CW$1&amp;""'!$C$4:$C$66""),INDIRECT(""'""&amp;CW$1&amp;""'!$D$4:$D$66"")=CW$2),$G$3:$BQ$3,$G123:$BQ123))),"""")"),0.03620750000000006)</f>
        <v>0.0362075</v>
      </c>
      <c r="CY123" s="254">
        <f>IFERROR(__xludf.DUMMYFUNCTION("AVERAGE(ARRAYFORMULA(XLOOKUP(FILTER(INDIRECT(""'""&amp;CY$1&amp;""'!$C$4:$C$66""),INDIRECT(""'""&amp;CY$1&amp;""'!$D$4:$D$66"")=CY$2),$G$3:$BQ$3,$G123:$BQ123)))"),-0.5595583385714286)</f>
        <v>-0.5595583386</v>
      </c>
      <c r="CZ123" s="207" t="str">
        <f>IFERROR(__xludf.DUMMYFUNCTION("IF(OR(CY123&gt;$BS123+$BT123*$BT$2,CY123&lt;$BS123-$BT123*$BT$2),AVEDEV(ARRAYFORMULA(XLOOKUP(FILTER(INDIRECT(""'""&amp;CY$1&amp;""'!$C$4:$C$66""),INDIRECT(""'""&amp;CY$1&amp;""'!$D$4:$D$66"")=CY$2),$G$3:$BQ$3,$G123:$BQ123))),"""")"),"")</f>
        <v/>
      </c>
      <c r="DA123" s="252"/>
      <c r="DB123" s="251">
        <f>IFERROR(__xludf.DUMMYFUNCTION("AVERAGE(ARRAYFORMULA(XLOOKUP(FILTER(INDIRECT(""'""&amp;DB$1&amp;""'!$C$4:$C$66""),INDIRECT(""'""&amp;DB$1&amp;""'!$D$4:$D$66"")=DB$2),$G$3:$BQ$3,$G123:$BQ123)))"),-0.6513419193333333)</f>
        <v>-0.6513419193</v>
      </c>
      <c r="DC123" s="207" t="str">
        <f>IFERROR(__xludf.DUMMYFUNCTION("IF(OR(DB123&gt;$BS123+$BT123*$BT$2,DB123&lt;$BS123-$BT123*$BT$2),AVEDEV(ARRAYFORMULA(XLOOKUP(FILTER(INDIRECT(""'""&amp;DB$1&amp;""'!$C$4:$C$66""),INDIRECT(""'""&amp;DB$1&amp;""'!$D$4:$D$66"")=DB$2),$G$3:$BQ$3,$G123:$BQ123))),"""")"),"")</f>
        <v/>
      </c>
      <c r="DD123" s="251">
        <f>IFERROR(__xludf.DUMMYFUNCTION("AVERAGE(ARRAYFORMULA(XLOOKUP(FILTER(INDIRECT(""'""&amp;DD$1&amp;""'!$C$4:$C$66""),INDIRECT(""'""&amp;DD$1&amp;""'!$D$4:$D$66"")=DD$2),$G$3:$BQ$3,$G123:$BQ123)))"),-0.17260454888888888)</f>
        <v>-0.1726045489</v>
      </c>
      <c r="DE123" s="207" t="str">
        <f>IFERROR(__xludf.DUMMYFUNCTION("IF(OR(DD123&gt;$BS123+$BT123*$BT$2,DD123&lt;$BS123-$BT123*$BT$2),AVEDEV(ARRAYFORMULA(XLOOKUP(FILTER(INDIRECT(""'""&amp;DD$1&amp;""'!$C$4:$C$66""),INDIRECT(""'""&amp;DD$1&amp;""'!$D$4:$D$66"")=DD$2),$G$3:$BQ$3,$G123:$BQ123))),"""")"),"")</f>
        <v/>
      </c>
      <c r="DF123" s="251">
        <f>IFERROR(__xludf.DUMMYFUNCTION("AVERAGE(ARRAYFORMULA(XLOOKUP(FILTER(INDIRECT(""'""&amp;DF$1&amp;""'!$C$4:$C$66""),INDIRECT(""'""&amp;DF$1&amp;""'!$D$4:$D$66"")=DF$2),$G$3:$BQ$3,$G123:$BQ123)))"),-0.4362017075000001)</f>
        <v>-0.4362017075</v>
      </c>
      <c r="DG123" s="207" t="str">
        <f>IFERROR(__xludf.DUMMYFUNCTION("IF(OR(DF123&gt;$BS123+$BT123*$BT$2,DF123&lt;$BS123-$BT123*$BT$2),AVEDEV(ARRAYFORMULA(XLOOKUP(FILTER(INDIRECT(""'""&amp;DF$1&amp;""'!$C$4:$C$66""),INDIRECT(""'""&amp;DF$1&amp;""'!$D$4:$D$66"")=DF$2),$G$3:$BQ$3,$G123:$BQ123))),"""")"),"")</f>
        <v/>
      </c>
      <c r="DH123" s="251">
        <f>IFERROR(__xludf.DUMMYFUNCTION("AVERAGE(ARRAYFORMULA(XLOOKUP(FILTER(INDIRECT(""'""&amp;DH$1&amp;""'!$C$4:$C$66""),INDIRECT(""'""&amp;DH$1&amp;""'!$D$4:$D$66"")=DH$2),$G$3:$BQ$3,$G123:$BQ123)))"),-0.4690469822222223)</f>
        <v>-0.4690469822</v>
      </c>
      <c r="DI123" s="207" t="str">
        <f>IFERROR(__xludf.DUMMYFUNCTION("IF(OR(DH123&gt;$BS123+$BT123*$BT$2,DH123&lt;$BS123-$BT123*$BT$2),AVEDEV(ARRAYFORMULA(XLOOKUP(FILTER(INDIRECT(""'""&amp;DH$1&amp;""'!$C$4:$C$66""),INDIRECT(""'""&amp;DH$1&amp;""'!$D$4:$D$66"")=DH$2),$G$3:$BQ$3,$G123:$BQ123))),"""")"),"")</f>
        <v/>
      </c>
      <c r="DJ123" s="243"/>
    </row>
    <row r="124">
      <c r="A124" s="2"/>
      <c r="B124" s="204">
        <v>120.0</v>
      </c>
      <c r="C124" s="204" t="s">
        <v>540</v>
      </c>
      <c r="D124" s="204" t="s">
        <v>566</v>
      </c>
      <c r="E124" s="205" t="b">
        <f>VLOOKUP(D124,'Feature Set List'!A121:C246,2,0)</f>
        <v>1</v>
      </c>
      <c r="F124" s="205" t="b">
        <f>VLOOKUP(D124,'Feature Set List'!A121:C246,3,0)</f>
        <v>1</v>
      </c>
      <c r="G124" s="205">
        <v>-0.5</v>
      </c>
      <c r="H124" s="205">
        <v>0.0</v>
      </c>
      <c r="I124" s="205">
        <v>-0.5</v>
      </c>
      <c r="J124" s="205">
        <v>0.5</v>
      </c>
      <c r="K124" s="205">
        <v>0.0</v>
      </c>
      <c r="L124" s="205">
        <v>-0.5</v>
      </c>
      <c r="M124" s="205">
        <v>0.5</v>
      </c>
      <c r="N124" s="205">
        <v>-0.5</v>
      </c>
      <c r="O124" s="205">
        <v>0.0</v>
      </c>
      <c r="P124" s="205">
        <v>-0.5</v>
      </c>
      <c r="Q124" s="205">
        <v>0.5</v>
      </c>
      <c r="R124" s="205">
        <v>-0.5</v>
      </c>
      <c r="S124" s="205">
        <v>0.0</v>
      </c>
      <c r="T124" s="205">
        <v>-0.5</v>
      </c>
      <c r="U124" s="205">
        <v>-0.5</v>
      </c>
      <c r="V124" s="205">
        <v>0.5</v>
      </c>
      <c r="W124" s="205">
        <v>-0.5</v>
      </c>
      <c r="X124" s="205">
        <v>0.0</v>
      </c>
      <c r="Y124" s="205">
        <v>-0.5</v>
      </c>
      <c r="Z124" s="205">
        <v>0.5</v>
      </c>
      <c r="AA124" s="205">
        <v>0.0</v>
      </c>
      <c r="AB124" s="205">
        <v>-0.5</v>
      </c>
      <c r="AC124" s="205">
        <v>0.0</v>
      </c>
      <c r="AD124" s="205">
        <v>1.0</v>
      </c>
      <c r="AE124" s="205">
        <v>0.5</v>
      </c>
      <c r="AF124" s="205">
        <v>-0.5</v>
      </c>
      <c r="AG124" s="205">
        <v>0.5</v>
      </c>
      <c r="AH124" s="205">
        <v>-0.5</v>
      </c>
      <c r="AI124" s="205">
        <v>-0.5</v>
      </c>
      <c r="AJ124" s="205">
        <v>-0.5</v>
      </c>
      <c r="AK124" s="205">
        <v>0.5</v>
      </c>
      <c r="AL124" s="205">
        <v>0.0</v>
      </c>
      <c r="AM124" s="205">
        <v>-0.5</v>
      </c>
      <c r="AN124" s="205">
        <v>-0.5</v>
      </c>
      <c r="AO124" s="205">
        <v>0.0</v>
      </c>
      <c r="AP124" s="205">
        <v>2.5</v>
      </c>
      <c r="AQ124" s="205">
        <v>0.5</v>
      </c>
      <c r="AR124" s="205">
        <v>1.0</v>
      </c>
      <c r="AS124" s="205">
        <v>-0.5</v>
      </c>
      <c r="AT124" s="205">
        <v>-0.5</v>
      </c>
      <c r="AU124" s="205">
        <v>2.0</v>
      </c>
      <c r="AV124" s="205">
        <v>0.0</v>
      </c>
      <c r="AW124" s="205">
        <v>0.5</v>
      </c>
      <c r="AX124" s="205">
        <v>0.5</v>
      </c>
      <c r="AY124" s="205">
        <v>0.0</v>
      </c>
      <c r="AZ124" s="205">
        <v>-0.5</v>
      </c>
      <c r="BA124" s="205">
        <v>-0.5</v>
      </c>
      <c r="BB124" s="205">
        <v>0.0</v>
      </c>
      <c r="BC124" s="205">
        <v>-0.5</v>
      </c>
      <c r="BD124" s="205">
        <v>-0.5</v>
      </c>
      <c r="BE124" s="205">
        <v>-0.5</v>
      </c>
      <c r="BF124" s="205">
        <v>-0.5</v>
      </c>
      <c r="BG124" s="205">
        <v>-0.5</v>
      </c>
      <c r="BH124" s="205">
        <v>0.5</v>
      </c>
      <c r="BI124" s="205">
        <v>2.0</v>
      </c>
      <c r="BJ124" s="205">
        <v>0.0</v>
      </c>
      <c r="BK124" s="205">
        <v>-0.5</v>
      </c>
      <c r="BL124" s="205">
        <v>-0.5</v>
      </c>
      <c r="BM124" s="205">
        <v>0.0</v>
      </c>
      <c r="BN124" s="205">
        <v>-0.5</v>
      </c>
      <c r="BO124" s="205">
        <v>-0.5</v>
      </c>
      <c r="BP124" s="205">
        <v>-0.5</v>
      </c>
      <c r="BQ124" s="205">
        <v>0.0</v>
      </c>
      <c r="BR124" s="206"/>
      <c r="BS124" s="250">
        <f t="shared" si="1"/>
        <v>-0.01587301587</v>
      </c>
      <c r="BT124" s="250">
        <f t="shared" si="2"/>
        <v>0.4764424288</v>
      </c>
      <c r="BU124" s="206"/>
      <c r="BV124" s="207">
        <f>IFERROR(__xludf.DUMMYFUNCTION("AVERAGE(ARRAYFORMULA(XLOOKUP(FILTER(INDIRECT(""'""&amp;BV$1&amp;""'!$C$4:$C$66""),INDIRECT(""'""&amp;BV$1&amp;""'!$D$4:$D$66"")=BV$2),$G$3:$BQ$3,$G124:$BQ124)))"),-0.21428571428571427)</f>
        <v>-0.2142857143</v>
      </c>
      <c r="BW124" s="207" t="str">
        <f>IFERROR(__xludf.DUMMYFUNCTION("IF(OR(BV124&gt;$BS124+$BT124*$BT$2,BV124&lt;$BS124-$BT124*$BT$2),AVEDEV(ARRAYFORMULA(XLOOKUP(FILTER(INDIRECT(""'""&amp;BV$1&amp;""'!$C$4:$C$66""),INDIRECT(""'""&amp;BV$1&amp;""'!$D$4:$D$66"")=BV$2),$G$3:$BQ$3,$G124:$BQ124))),"""")"),"")</f>
        <v/>
      </c>
      <c r="BX124" s="207">
        <f>IFERROR(__xludf.DUMMYFUNCTION("AVERAGE(ARRAYFORMULA(XLOOKUP(FILTER(INDIRECT(""'""&amp;BX$1&amp;""'!$C$4:$C$66""),INDIRECT(""'""&amp;BX$1&amp;""'!$D$4:$D$66"")=BX$2),$G$3:$BQ$3,$G124:$BQ124)))"),0.08333333333333333)</f>
        <v>0.08333333333</v>
      </c>
      <c r="BY124" s="207" t="str">
        <f>IFERROR(__xludf.DUMMYFUNCTION("IF(OR(BX124&gt;$BS124+$BT124*$BT$2,BX124&lt;$BS124-$BT124*$BT$2),AVEDEV(ARRAYFORMULA(XLOOKUP(FILTER(INDIRECT(""'""&amp;BX$1&amp;""'!$C$4:$C$66""),INDIRECT(""'""&amp;BX$1&amp;""'!$D$4:$D$66"")=BX$2),$G$3:$BQ$3,$G124:$BQ124))),"""")"),"")</f>
        <v/>
      </c>
      <c r="BZ124" s="207">
        <f>IFERROR(__xludf.DUMMYFUNCTION("AVERAGE(ARRAYFORMULA(XLOOKUP(FILTER(INDIRECT(""'""&amp;BZ$1&amp;""'!$C$4:$C$66""),INDIRECT(""'""&amp;BZ$1&amp;""'!$D$4:$D$66"")=BZ$2),$G$3:$BQ$3,$G124:$BQ124)))"),-0.36363636363636365)</f>
        <v>-0.3636363636</v>
      </c>
      <c r="CA124" s="207" t="str">
        <f>IFERROR(__xludf.DUMMYFUNCTION("IF(OR(BZ124&gt;$BS124+$BT124*$BT$2,BZ124&lt;$BS124-$BT124*$BT$2),AVEDEV(ARRAYFORMULA(XLOOKUP(FILTER(INDIRECT(""'""&amp;BZ$1&amp;""'!$C$4:$C$66""),INDIRECT(""'""&amp;BZ$1&amp;""'!$D$4:$D$66"")=BZ$2),$G$3:$BQ$3,$G124:$BQ124))),"""")"),"")</f>
        <v/>
      </c>
      <c r="CB124" s="209"/>
      <c r="CC124" s="207">
        <f>IFERROR(__xludf.DUMMYFUNCTION("AVERAGE(ARRAYFORMULA(XLOOKUP(FILTER(INDIRECT(""'""&amp;CC$1&amp;""'!$C$4:$C$66""),INDIRECT(""'""&amp;CC$1&amp;""'!$D$4:$D$66"")=CC$2),$G$3:$BQ$3,$G124:$BQ124)))"),0.21875)</f>
        <v>0.21875</v>
      </c>
      <c r="CD124" s="207" t="str">
        <f>IFERROR(__xludf.DUMMYFUNCTION("IF(OR(CC124&gt;$BS124+$BT124*$BT$2,CC124&lt;$BS124-$BT124*$BT$2),AVEDEV(ARRAYFORMULA(XLOOKUP(FILTER(INDIRECT(""'""&amp;CC$1&amp;""'!$C$4:$C$66""),INDIRECT(""'""&amp;CC$1&amp;""'!$D$4:$D$66"")=CC$2),$G$3:$BQ$3,$G124:$BQ124))),"""")"),"")</f>
        <v/>
      </c>
      <c r="CE124" s="207">
        <f>IFERROR(__xludf.DUMMYFUNCTION("AVERAGE(ARRAYFORMULA(XLOOKUP(FILTER(INDIRECT(""'""&amp;CE$1&amp;""'!$C$4:$C$66""),INDIRECT(""'""&amp;CE$1&amp;""'!$D$4:$D$66"")=CE$2),$G$3:$BQ$3,$G124:$BQ124)))"),-0.0967741935483871)</f>
        <v>-0.09677419355</v>
      </c>
      <c r="CF124" s="207" t="str">
        <f>IFERROR(__xludf.DUMMYFUNCTION("IF(OR(CE124&gt;$BS124+$BT124*$BT$2,CE124&lt;$BS124-$BT124*$BT$2),AVEDEV(ARRAYFORMULA(XLOOKUP(FILTER(INDIRECT(""'""&amp;CE$1&amp;""'!$C$4:$C$66""),INDIRECT(""'""&amp;CE$1&amp;""'!$D$4:$D$66"")=CE$2),$G$3:$BQ$3,$G124:$BQ124))),"""")"),"")</f>
        <v/>
      </c>
      <c r="CG124" s="207">
        <f>IFERROR(__xludf.DUMMYFUNCTION("AVERAGE(ARRAYFORMULA(XLOOKUP(FILTER(INDIRECT(""'""&amp;CG$1&amp;""'!$C$4:$C$66""),INDIRECT(""'""&amp;CG$1&amp;""'!$D$4:$D$66"")=CG$2),$G$3:$BQ$3,$G124:$BQ124)))"),-0.5)</f>
        <v>-0.5</v>
      </c>
      <c r="CH124" s="207">
        <f>IFERROR(__xludf.DUMMYFUNCTION("IF(OR(CG124&gt;$BS124+$BT124*$BT$2,CG124&lt;$BS124-$BT124*$BT$2),AVEDEV(ARRAYFORMULA(XLOOKUP(FILTER(INDIRECT(""'""&amp;CG$1&amp;""'!$C$4:$C$66""),INDIRECT(""'""&amp;CG$1&amp;""'!$D$4:$D$66"")=CG$2),$G$3:$BQ$3,$G124:$BQ124))),"""")"),0.0)</f>
        <v>0</v>
      </c>
      <c r="CI124" s="206"/>
      <c r="CJ124" s="251">
        <f>IFERROR(__xludf.DUMMYFUNCTION("AVERAGE(ARRAYFORMULA(XLOOKUP(FILTER(INDIRECT(""'""&amp;CJ$1&amp;""'!$C$4:$C$66""),INDIRECT(""'""&amp;CJ$1&amp;""'!$D$4:$D$66"")=CJ$2),$G$3:$BQ$3,$G124:$BQ124)))"),-0.26666666666666666)</f>
        <v>-0.2666666667</v>
      </c>
      <c r="CK124" s="207" t="str">
        <f>IFERROR(__xludf.DUMMYFUNCTION("IF(OR(CJ124&gt;$BS124+$BT124*$BT$2,CJ124&lt;$BS124-$BT124*$BT$2),AVEDEV(ARRAYFORMULA(XLOOKUP(FILTER(INDIRECT(""'""&amp;CJ$1&amp;""'!$C$4:$C$66""),INDIRECT(""'""&amp;CJ$1&amp;""'!$D$4:$D$66"")=CJ$2),$G$3:$BQ$3,$G124:$BQ124))),"""")"),"")</f>
        <v/>
      </c>
      <c r="CL124" s="251">
        <f>IFERROR(__xludf.DUMMYFUNCTION("AVERAGE(ARRAYFORMULA(XLOOKUP(FILTER(INDIRECT(""'""&amp;CL$1&amp;""'!$C$4:$C$66""),INDIRECT(""'""&amp;CL$1&amp;""'!$D$4:$D$66"")=CL$2),$G$3:$BQ$3,$G124:$BQ124)))"),0.1282051282051282)</f>
        <v>0.1282051282</v>
      </c>
      <c r="CM124" s="207" t="str">
        <f>IFERROR(__xludf.DUMMYFUNCTION("IF(OR(CL124&gt;$BS124+$BT124*$BT$2,CL124&lt;$BS124-$BT124*$BT$2),AVEDEV(ARRAYFORMULA(XLOOKUP(FILTER(INDIRECT(""'""&amp;CL$1&amp;""'!$C$4:$C$66""),INDIRECT(""'""&amp;CL$1&amp;""'!$D$4:$D$66"")=CL$2),$G$3:$BQ$3,$G124:$BQ124))),"""")"),"")</f>
        <v/>
      </c>
      <c r="CN124" s="251">
        <f>IFERROR(__xludf.DUMMYFUNCTION("AVERAGE(ARRAYFORMULA(XLOOKUP(FILTER(INDIRECT(""'""&amp;CN$1&amp;""'!$C$4:$C$66""),INDIRECT(""'""&amp;CN$1&amp;""'!$D$4:$D$66"")=CN$2),$G$3:$BQ$3,$G124:$BQ124)))"),-0.5)</f>
        <v>-0.5</v>
      </c>
      <c r="CO124" s="207">
        <f>IFERROR(__xludf.DUMMYFUNCTION("IF(OR(CN124&gt;$BS124+$BT124*$BT$2,CN124&lt;$BS124-$BT124*$BT$2),AVEDEV(ARRAYFORMULA(XLOOKUP(FILTER(INDIRECT(""'""&amp;CN$1&amp;""'!$C$4:$C$66""),INDIRECT(""'""&amp;CN$1&amp;""'!$D$4:$D$66"")=CN$2),$G$3:$BQ$3,$G124:$BQ124))),"""")"),0.0)</f>
        <v>0</v>
      </c>
      <c r="CP124" s="252"/>
      <c r="CQ124" s="251">
        <f>IFERROR(__xludf.DUMMYFUNCTION("AVERAGE(ARRAYFORMULA(XLOOKUP(FILTER(INDIRECT(""'""&amp;CQ$1&amp;""'!$C$4:$C$66""),INDIRECT(""'""&amp;CQ$1&amp;""'!$D$4:$D$66"")=CQ$2),$G$3:$BQ$3,$G124:$BQ124)))"),0.2857142857142857)</f>
        <v>0.2857142857</v>
      </c>
      <c r="CR124" s="207" t="str">
        <f>IFERROR(__xludf.DUMMYFUNCTION("IF(OR(CQ124&gt;$BS124+$BT124*$BT$2,CQ124&lt;$BS124-$BT124*$BT$2),AVEDEV(ARRAYFORMULA(XLOOKUP(FILTER(INDIRECT(""'""&amp;CQ$1&amp;""'!$C$4:$C$66""),INDIRECT(""'""&amp;CQ$1&amp;""'!$D$4:$D$66"")=CQ$2),$G$3:$BQ$3,$G124:$BQ124))),"""")"),"")</f>
        <v/>
      </c>
      <c r="CS124" s="251">
        <f>IFERROR(__xludf.DUMMYFUNCTION("AVERAGE(ARRAYFORMULA(XLOOKUP(FILTER(INDIRECT(""'""&amp;CS$1&amp;""'!$C$4:$C$66""),INDIRECT(""'""&amp;CS$1&amp;""'!$D$4:$D$66"")=CS$2),$G$3:$BQ$3,$G124:$BQ124)))"),-0.3888888888888889)</f>
        <v>-0.3888888889</v>
      </c>
      <c r="CT124" s="207" t="str">
        <f>IFERROR(__xludf.DUMMYFUNCTION("IF(OR(CS124&gt;$BS124+$BT124*$BT$2,CS124&lt;$BS124-$BT124*$BT$2),AVEDEV(ARRAYFORMULA(XLOOKUP(FILTER(INDIRECT(""'""&amp;CS$1&amp;""'!$C$4:$C$66""),INDIRECT(""'""&amp;CS$1&amp;""'!$D$4:$D$66"")=CS$2),$G$3:$BQ$3,$G124:$BQ124))),"""")"),"")</f>
        <v/>
      </c>
      <c r="CU124" s="251">
        <f>IFERROR(__xludf.DUMMYFUNCTION("AVERAGE(ARRAYFORMULA(XLOOKUP(FILTER(INDIRECT(""'""&amp;CU$1&amp;""'!$C$4:$C$66""),INDIRECT(""'""&amp;CU$1&amp;""'!$D$4:$D$66"")=CU$2),$G$3:$BQ$3,$G124:$BQ124)))"),-0.3181818181818182)</f>
        <v>-0.3181818182</v>
      </c>
      <c r="CV124" s="207" t="str">
        <f>IFERROR(__xludf.DUMMYFUNCTION("IF(OR(CU124&gt;$BS124+$BT124*$BT$2,CU124&lt;$BS124-$BT124*$BT$2),AVEDEV(ARRAYFORMULA(XLOOKUP(FILTER(INDIRECT(""'""&amp;CU$1&amp;""'!$C$4:$C$66""),INDIRECT(""'""&amp;CU$1&amp;""'!$D$4:$D$66"")=CU$2),$G$3:$BQ$3,$G124:$BQ124))),"""")"),"")</f>
        <v/>
      </c>
      <c r="CW124" s="251">
        <f>IFERROR(__xludf.DUMMYFUNCTION("AVERAGE(ARRAYFORMULA(XLOOKUP(FILTER(INDIRECT(""'""&amp;CW$1&amp;""'!$C$4:$C$66""),INDIRECT(""'""&amp;CW$1&amp;""'!$D$4:$D$66"")=CW$2),$G$3:$BQ$3,$G124:$BQ124)))"),0.75)</f>
        <v>0.75</v>
      </c>
      <c r="CX124" s="207">
        <f>IFERROR(__xludf.DUMMYFUNCTION("IF(OR(CW124&gt;$BS124+$BT124*$BT$2,CW124&lt;$BS124-$BT124*$BT$2),AVEDEV(ARRAYFORMULA(XLOOKUP(FILTER(INDIRECT(""'""&amp;CW$1&amp;""'!$C$4:$C$66""),INDIRECT(""'""&amp;CW$1&amp;""'!$D$4:$D$66"")=CW$2),$G$3:$BQ$3,$G124:$BQ124))),"""")"),0.25)</f>
        <v>0.25</v>
      </c>
      <c r="CY124" s="251">
        <f>IFERROR(__xludf.DUMMYFUNCTION("AVERAGE(ARRAYFORMULA(XLOOKUP(FILTER(INDIRECT(""'""&amp;CY$1&amp;""'!$C$4:$C$66""),INDIRECT(""'""&amp;CY$1&amp;""'!$D$4:$D$66"")=CY$2),$G$3:$BQ$3,$G124:$BQ124)))"),0.10714285714285714)</f>
        <v>0.1071428571</v>
      </c>
      <c r="CZ124" s="207" t="str">
        <f>IFERROR(__xludf.DUMMYFUNCTION("IF(OR(CY124&gt;$BS124+$BT124*$BT$2,CY124&lt;$BS124-$BT124*$BT$2),AVEDEV(ARRAYFORMULA(XLOOKUP(FILTER(INDIRECT(""'""&amp;CY$1&amp;""'!$C$4:$C$66""),INDIRECT(""'""&amp;CY$1&amp;""'!$D$4:$D$66"")=CY$2),$G$3:$BQ$3,$G124:$BQ124))),"""")"),"")</f>
        <v/>
      </c>
      <c r="DA124" s="252"/>
      <c r="DB124" s="251">
        <f>IFERROR(__xludf.DUMMYFUNCTION("AVERAGE(ARRAYFORMULA(XLOOKUP(FILTER(INDIRECT(""'""&amp;DB$1&amp;""'!$C$4:$C$66""),INDIRECT(""'""&amp;DB$1&amp;""'!$D$4:$D$66"")=DB$2),$G$3:$BQ$3,$G124:$BQ124)))"),0.1)</f>
        <v>0.1</v>
      </c>
      <c r="DC124" s="207" t="str">
        <f>IFERROR(__xludf.DUMMYFUNCTION("IF(OR(DB124&gt;$BS124+$BT124*$BT$2,DB124&lt;$BS124-$BT124*$BT$2),AVEDEV(ARRAYFORMULA(XLOOKUP(FILTER(INDIRECT(""'""&amp;DB$1&amp;""'!$C$4:$C$66""),INDIRECT(""'""&amp;DB$1&amp;""'!$D$4:$D$66"")=DB$2),$G$3:$BQ$3,$G124:$BQ124))),"""")"),"")</f>
        <v/>
      </c>
      <c r="DD124" s="251">
        <f>IFERROR(__xludf.DUMMYFUNCTION("AVERAGE(ARRAYFORMULA(XLOOKUP(FILTER(INDIRECT(""'""&amp;DD$1&amp;""'!$C$4:$C$66""),INDIRECT(""'""&amp;DD$1&amp;""'!$D$4:$D$66"")=DD$2),$G$3:$BQ$3,$G124:$BQ124)))"),-0.2777777777777778)</f>
        <v>-0.2777777778</v>
      </c>
      <c r="DE124" s="207" t="str">
        <f>IFERROR(__xludf.DUMMYFUNCTION("IF(OR(DD124&gt;$BS124+$BT124*$BT$2,DD124&lt;$BS124-$BT124*$BT$2),AVEDEV(ARRAYFORMULA(XLOOKUP(FILTER(INDIRECT(""'""&amp;DD$1&amp;""'!$C$4:$C$66""),INDIRECT(""'""&amp;DD$1&amp;""'!$D$4:$D$66"")=DD$2),$G$3:$BQ$3,$G124:$BQ124))),"""")"),"")</f>
        <v/>
      </c>
      <c r="DF124" s="251">
        <f>IFERROR(__xludf.DUMMYFUNCTION("AVERAGE(ARRAYFORMULA(XLOOKUP(FILTER(INDIRECT(""'""&amp;DF$1&amp;""'!$C$4:$C$66""),INDIRECT(""'""&amp;DF$1&amp;""'!$D$4:$D$66"")=DF$2),$G$3:$BQ$3,$G124:$BQ124)))"),-0.25)</f>
        <v>-0.25</v>
      </c>
      <c r="DG124" s="207" t="str">
        <f>IFERROR(__xludf.DUMMYFUNCTION("IF(OR(DF124&gt;$BS124+$BT124*$BT$2,DF124&lt;$BS124-$BT124*$BT$2),AVEDEV(ARRAYFORMULA(XLOOKUP(FILTER(INDIRECT(""'""&amp;DF$1&amp;""'!$C$4:$C$66""),INDIRECT(""'""&amp;DF$1&amp;""'!$D$4:$D$66"")=DF$2),$G$3:$BQ$3,$G124:$BQ124))),"""")"),"")</f>
        <v/>
      </c>
      <c r="DH124" s="251">
        <f>IFERROR(__xludf.DUMMYFUNCTION("AVERAGE(ARRAYFORMULA(XLOOKUP(FILTER(INDIRECT(""'""&amp;DH$1&amp;""'!$C$4:$C$66""),INDIRECT(""'""&amp;DH$1&amp;""'!$D$4:$D$66"")=DH$2),$G$3:$BQ$3,$G124:$BQ124)))"),-0.1111111111111111)</f>
        <v>-0.1111111111</v>
      </c>
      <c r="DI124" s="207" t="str">
        <f>IFERROR(__xludf.DUMMYFUNCTION("IF(OR(DH124&gt;$BS124+$BT124*$BT$2,DH124&lt;$BS124-$BT124*$BT$2),AVEDEV(ARRAYFORMULA(XLOOKUP(FILTER(INDIRECT(""'""&amp;DH$1&amp;""'!$C$4:$C$66""),INDIRECT(""'""&amp;DH$1&amp;""'!$D$4:$D$66"")=DH$2),$G$3:$BQ$3,$G124:$BQ124))),"""")"),"")</f>
        <v/>
      </c>
      <c r="DJ124" s="243"/>
    </row>
    <row r="125">
      <c r="A125" s="2"/>
      <c r="B125" s="204">
        <v>121.0</v>
      </c>
      <c r="C125" s="204" t="s">
        <v>540</v>
      </c>
      <c r="D125" s="204" t="s">
        <v>567</v>
      </c>
      <c r="E125" s="205" t="b">
        <f>VLOOKUP(D125,'Feature Set List'!A122:C246,2,0)</f>
        <v>1</v>
      </c>
      <c r="F125" s="205" t="b">
        <f>VLOOKUP(D125,'Feature Set List'!A122:C246,3,0)</f>
        <v>1</v>
      </c>
      <c r="G125" s="205">
        <v>1.53610419</v>
      </c>
      <c r="H125" s="205">
        <v>-0.1168359</v>
      </c>
      <c r="I125" s="205">
        <v>0.06895231</v>
      </c>
      <c r="J125" s="205">
        <v>0.06129094</v>
      </c>
      <c r="K125" s="205">
        <v>1.43842176</v>
      </c>
      <c r="L125" s="205">
        <v>-0.4303773</v>
      </c>
      <c r="M125" s="205">
        <v>-1.1762115</v>
      </c>
      <c r="N125" s="205">
        <v>-0.0459682</v>
      </c>
      <c r="O125" s="205">
        <v>-0.6797548</v>
      </c>
      <c r="P125" s="205">
        <v>-0.8015706</v>
      </c>
      <c r="Q125" s="205">
        <v>1.39819958</v>
      </c>
      <c r="R125" s="205">
        <v>-0.5726872</v>
      </c>
      <c r="S125" s="205">
        <v>-0.5619613</v>
      </c>
      <c r="T125" s="205">
        <v>-0.4817085</v>
      </c>
      <c r="U125" s="205">
        <v>-1.409117</v>
      </c>
      <c r="V125" s="205">
        <v>-0.8460065</v>
      </c>
      <c r="W125" s="205">
        <v>-0.5529592</v>
      </c>
      <c r="X125" s="205">
        <v>-0.5389772</v>
      </c>
      <c r="Y125" s="205">
        <v>1.65102471</v>
      </c>
      <c r="Z125" s="205">
        <v>0.42903658</v>
      </c>
      <c r="AA125" s="205">
        <v>-0.4305689</v>
      </c>
      <c r="AB125" s="205">
        <v>-0.4353572</v>
      </c>
      <c r="AC125" s="205">
        <v>0.29687799</v>
      </c>
      <c r="AD125" s="205">
        <v>1.32924727</v>
      </c>
      <c r="AE125" s="205">
        <v>0.69143842</v>
      </c>
      <c r="AF125" s="205">
        <v>0.11300517</v>
      </c>
      <c r="AG125" s="205">
        <v>0.0</v>
      </c>
      <c r="AH125" s="205">
        <v>-0.072783</v>
      </c>
      <c r="AI125" s="205">
        <v>0.49607355</v>
      </c>
      <c r="AJ125" s="205">
        <v>-0.1557173</v>
      </c>
      <c r="AK125" s="205">
        <v>-0.2986018</v>
      </c>
      <c r="AL125" s="205">
        <v>0.03830684</v>
      </c>
      <c r="AM125" s="205">
        <v>1.41352231</v>
      </c>
      <c r="AN125" s="205">
        <v>0.38498372</v>
      </c>
      <c r="AO125" s="205">
        <v>-0.9486688</v>
      </c>
      <c r="AP125" s="205">
        <v>1.42118368</v>
      </c>
      <c r="AQ125" s="205">
        <v>-0.6682628</v>
      </c>
      <c r="AR125" s="205">
        <v>-0.3880483</v>
      </c>
      <c r="AS125" s="205">
        <v>-0.7423865</v>
      </c>
      <c r="AT125" s="205">
        <v>-0.2876844</v>
      </c>
      <c r="AU125" s="205">
        <v>1.71423099</v>
      </c>
      <c r="AV125" s="205">
        <v>1.20666539</v>
      </c>
      <c r="AW125" s="205">
        <v>0.8504118</v>
      </c>
      <c r="AX125" s="205">
        <v>-0.3003256</v>
      </c>
      <c r="AY125" s="205">
        <v>-1.1714231</v>
      </c>
      <c r="AZ125" s="205">
        <v>0.13598927</v>
      </c>
      <c r="BA125" s="205">
        <v>-0.7192109</v>
      </c>
      <c r="BB125" s="205">
        <v>-0.2239035</v>
      </c>
      <c r="BC125" s="205">
        <v>0.18195748</v>
      </c>
      <c r="BD125" s="205">
        <v>0.3888144</v>
      </c>
      <c r="BE125" s="205">
        <v>-0.8594139</v>
      </c>
      <c r="BF125" s="205">
        <v>0.29304731</v>
      </c>
      <c r="BG125" s="205">
        <v>0.08044436</v>
      </c>
      <c r="BH125" s="205">
        <v>0.69335376</v>
      </c>
      <c r="BI125" s="205">
        <v>0.03447615</v>
      </c>
      <c r="BJ125" s="205">
        <v>0.01149205</v>
      </c>
      <c r="BK125" s="205">
        <v>-0.0153227</v>
      </c>
      <c r="BL125" s="205">
        <v>-1.0743153</v>
      </c>
      <c r="BM125" s="205">
        <v>0.34093086</v>
      </c>
      <c r="BN125" s="205">
        <v>2.06473856</v>
      </c>
      <c r="BO125" s="205">
        <v>1.42118368</v>
      </c>
      <c r="BP125" s="205">
        <v>1.46715189</v>
      </c>
      <c r="BQ125" s="205">
        <v>-0.5359127</v>
      </c>
      <c r="BR125" s="213"/>
      <c r="BS125" s="250">
        <f t="shared" si="1"/>
        <v>0.0969923027</v>
      </c>
      <c r="BT125" s="250">
        <f t="shared" si="2"/>
        <v>0.6645329128</v>
      </c>
      <c r="BU125" s="213"/>
      <c r="BV125" s="207">
        <f>IFERROR(__xludf.DUMMYFUNCTION("AVERAGE(ARRAYFORMULA(XLOOKUP(FILTER(INDIRECT(""'""&amp;BV$1&amp;""'!$C$4:$C$66""),INDIRECT(""'""&amp;BV$1&amp;""'!$D$4:$D$66"")=BV$2),$G$3:$BQ$3,$G125:$BQ125)))"),-0.8894026857142857)</f>
        <v>-0.8894026857</v>
      </c>
      <c r="BW125" s="207">
        <f>IFERROR(__xludf.DUMMYFUNCTION("IF(OR(BV125&gt;$BS125+$BT125*$BT$2,BV125&lt;$BS125-$BT125*$BT$2),AVEDEV(ARRAYFORMULA(XLOOKUP(FILTER(INDIRECT(""'""&amp;BV$1&amp;""'!$C$4:$C$66""),INDIRECT(""'""&amp;BV$1&amp;""'!$D$4:$D$66"")=BV$2),$G$3:$BQ$3,$G125:$BQ125))),"""")"),0.29883241632653057)</f>
        <v>0.2988324163</v>
      </c>
      <c r="BX125" s="207">
        <f>IFERROR(__xludf.DUMMYFUNCTION("AVERAGE(ARRAYFORMULA(XLOOKUP(FILTER(INDIRECT(""'""&amp;BX$1&amp;""'!$C$4:$C$66""),INDIRECT(""'""&amp;BX$1&amp;""'!$D$4:$D$66"")=BX$2),$G$3:$BQ$3,$G125:$BQ125)))"),0.251174285)</f>
        <v>0.251174285</v>
      </c>
      <c r="BY125" s="207" t="str">
        <f>IFERROR(__xludf.DUMMYFUNCTION("IF(OR(BX125&gt;$BS125+$BT125*$BT$2,BX125&lt;$BS125-$BT125*$BT$2),AVEDEV(ARRAYFORMULA(XLOOKUP(FILTER(INDIRECT(""'""&amp;BX$1&amp;""'!$C$4:$C$66""),INDIRECT(""'""&amp;BX$1&amp;""'!$D$4:$D$66"")=BX$2),$G$3:$BQ$3,$G125:$BQ125))),"""")"),"")</f>
        <v/>
      </c>
      <c r="BZ125" s="207">
        <f>IFERROR(__xludf.DUMMYFUNCTION("AVERAGE(ARRAYFORMULA(XLOOKUP(FILTER(INDIRECT(""'""&amp;BZ$1&amp;""'!$C$4:$C$66""),INDIRECT(""'""&amp;BZ$1&amp;""'!$D$4:$D$66"")=BZ$2),$G$3:$BQ$3,$G125:$BQ125)))"),-0.03499852727272726)</f>
        <v>-0.03499852727</v>
      </c>
      <c r="CA125" s="207" t="str">
        <f>IFERROR(__xludf.DUMMYFUNCTION("IF(OR(BZ125&gt;$BS125+$BT125*$BT$2,BZ125&lt;$BS125-$BT125*$BT$2),AVEDEV(ARRAYFORMULA(XLOOKUP(FILTER(INDIRECT(""'""&amp;BZ$1&amp;""'!$C$4:$C$66""),INDIRECT(""'""&amp;BZ$1&amp;""'!$D$4:$D$66"")=BZ$2),$G$3:$BQ$3,$G125:$BQ125))),"""")"),"")</f>
        <v/>
      </c>
      <c r="CB125" s="209"/>
      <c r="CC125" s="207">
        <f>IFERROR(__xludf.DUMMYFUNCTION("AVERAGE(ARRAYFORMULA(XLOOKUP(FILTER(INDIRECT(""'""&amp;CC$1&amp;""'!$C$4:$C$66""),INDIRECT(""'""&amp;CC$1&amp;""'!$D$4:$D$66"")=CC$2),$G$3:$BQ$3,$G125:$BQ125)))"),0.08471795999999998)</f>
        <v>0.08471796</v>
      </c>
      <c r="CD125" s="207" t="str">
        <f>IFERROR(__xludf.DUMMYFUNCTION("IF(OR(CC125&gt;$BS125+$BT125*$BT$2,CC125&lt;$BS125-$BT125*$BT$2),AVEDEV(ARRAYFORMULA(XLOOKUP(FILTER(INDIRECT(""'""&amp;CC$1&amp;""'!$C$4:$C$66""),INDIRECT(""'""&amp;CC$1&amp;""'!$D$4:$D$66"")=CC$2),$G$3:$BQ$3,$G125:$BQ125))),"""")"),"")</f>
        <v/>
      </c>
      <c r="CE125" s="207">
        <f>IFERROR(__xludf.DUMMYFUNCTION("AVERAGE(ARRAYFORMULA(XLOOKUP(FILTER(INDIRECT(""'""&amp;CE$1&amp;""'!$C$4:$C$66""),INDIRECT(""'""&amp;CE$1&amp;""'!$D$4:$D$66"")=CE$2),$G$3:$BQ$3,$G125:$BQ125)))"),0.16772834258064517)</f>
        <v>0.1677283426</v>
      </c>
      <c r="CF125" s="207" t="str">
        <f>IFERROR(__xludf.DUMMYFUNCTION("IF(OR(CE125&gt;$BS125+$BT125*$BT$2,CE125&lt;$BS125-$BT125*$BT$2),AVEDEV(ARRAYFORMULA(XLOOKUP(FILTER(INDIRECT(""'""&amp;CE$1&amp;""'!$C$4:$C$66""),INDIRECT(""'""&amp;CE$1&amp;""'!$D$4:$D$66"")=CE$2),$G$3:$BQ$3,$G125:$BQ125))),"""")"),"")</f>
        <v/>
      </c>
      <c r="CG125" s="207">
        <f>IFERROR(__xludf.DUMMYFUNCTION("AVERAGE(ARRAYFORMULA(XLOOKUP(FILTER(INDIRECT(""'""&amp;CG$1&amp;""'!$C$4:$C$66""),INDIRECT(""'""&amp;CG$1&amp;""'!$D$4:$D$66"")=CG$2),$G$3:$BQ$3,$G125:$BQ125)))"),-0.532886428)</f>
        <v>-0.532886428</v>
      </c>
      <c r="CH125" s="207" t="str">
        <f>IFERROR(__xludf.DUMMYFUNCTION("IF(OR(CG125&gt;$BS125+$BT125*$BT$2,CG125&lt;$BS125-$BT125*$BT$2),AVEDEV(ARRAYFORMULA(XLOOKUP(FILTER(INDIRECT(""'""&amp;CG$1&amp;""'!$C$4:$C$66""),INDIRECT(""'""&amp;CG$1&amp;""'!$D$4:$D$66"")=CG$2),$G$3:$BQ$3,$G125:$BQ125))),"""")"),"")</f>
        <v/>
      </c>
      <c r="CI125" s="213"/>
      <c r="CJ125" s="251">
        <f>IFERROR(__xludf.DUMMYFUNCTION("AVERAGE(ARRAYFORMULA(XLOOKUP(FILTER(INDIRECT(""'""&amp;CJ$1&amp;""'!$C$4:$C$66""),INDIRECT(""'""&amp;CJ$1&amp;""'!$D$4:$D$66"")=CJ$2),$G$3:$BQ$3,$G125:$BQ125)))"),0.10891910333333331)</f>
        <v>0.1089191033</v>
      </c>
      <c r="CK125" s="207" t="str">
        <f>IFERROR(__xludf.DUMMYFUNCTION("IF(OR(CJ125&gt;$BS125+$BT125*$BT$2,CJ125&lt;$BS125-$BT125*$BT$2),AVEDEV(ARRAYFORMULA(XLOOKUP(FILTER(INDIRECT(""'""&amp;CJ$1&amp;""'!$C$4:$C$66""),INDIRECT(""'""&amp;CJ$1&amp;""'!$D$4:$D$66"")=CJ$2),$G$3:$BQ$3,$G125:$BQ125))),"""")"),"")</f>
        <v/>
      </c>
      <c r="CL125" s="251">
        <f>IFERROR(__xludf.DUMMYFUNCTION("AVERAGE(ARRAYFORMULA(XLOOKUP(FILTER(INDIRECT(""'""&amp;CL$1&amp;""'!$C$4:$C$66""),INDIRECT(""'""&amp;CL$1&amp;""'!$D$4:$D$66"")=CL$2),$G$3:$BQ$3,$G125:$BQ125)))"),0.15496098102564101)</f>
        <v>0.154960981</v>
      </c>
      <c r="CM125" s="207" t="str">
        <f>IFERROR(__xludf.DUMMYFUNCTION("IF(OR(CL125&gt;$BS125+$BT125*$BT$2,CL125&lt;$BS125-$BT125*$BT$2),AVEDEV(ARRAYFORMULA(XLOOKUP(FILTER(INDIRECT(""'""&amp;CL$1&amp;""'!$C$4:$C$66""),INDIRECT(""'""&amp;CL$1&amp;""'!$D$4:$D$66"")=CL$2),$G$3:$BQ$3,$G125:$BQ125))),"""")"),"")</f>
        <v/>
      </c>
      <c r="CN125" s="251">
        <f>IFERROR(__xludf.DUMMYFUNCTION("AVERAGE(ARRAYFORMULA(XLOOKUP(FILTER(INDIRECT(""'""&amp;CN$1&amp;""'!$C$4:$C$66""),INDIRECT(""'""&amp;CN$1&amp;""'!$D$4:$D$66"")=CN$2),$G$3:$BQ$3,$G125:$BQ125)))"),-0.532886428)</f>
        <v>-0.532886428</v>
      </c>
      <c r="CO125" s="207" t="str">
        <f>IFERROR(__xludf.DUMMYFUNCTION("IF(OR(CN125&gt;$BS125+$BT125*$BT$2,CN125&lt;$BS125-$BT125*$BT$2),AVEDEV(ARRAYFORMULA(XLOOKUP(FILTER(INDIRECT(""'""&amp;CN$1&amp;""'!$C$4:$C$66""),INDIRECT(""'""&amp;CN$1&amp;""'!$D$4:$D$66"")=CN$2),$G$3:$BQ$3,$G125:$BQ125))),"""")"),"")</f>
        <v/>
      </c>
      <c r="CP125" s="255"/>
      <c r="CQ125" s="251">
        <f>IFERROR(__xludf.DUMMYFUNCTION("AVERAGE(ARRAYFORMULA(XLOOKUP(FILTER(INDIRECT(""'""&amp;CQ$1&amp;""'!$C$4:$C$66""),INDIRECT(""'""&amp;CQ$1&amp;""'!$D$4:$D$66"")=CQ$2),$G$3:$BQ$3,$G125:$BQ125)))"),0.13291104571428572)</f>
        <v>0.1329110457</v>
      </c>
      <c r="CR125" s="207" t="str">
        <f>IFERROR(__xludf.DUMMYFUNCTION("IF(OR(CQ125&gt;$BS125+$BT125*$BT$2,CQ125&lt;$BS125-$BT125*$BT$2),AVEDEV(ARRAYFORMULA(XLOOKUP(FILTER(INDIRECT(""'""&amp;CQ$1&amp;""'!$C$4:$C$66""),INDIRECT(""'""&amp;CQ$1&amp;""'!$D$4:$D$66"")=CQ$2),$G$3:$BQ$3,$G125:$BQ125))),"""")"),"")</f>
        <v/>
      </c>
      <c r="CS125" s="251">
        <f>IFERROR(__xludf.DUMMYFUNCTION("AVERAGE(ARRAYFORMULA(XLOOKUP(FILTER(INDIRECT(""'""&amp;CS$1&amp;""'!$C$4:$C$66""),INDIRECT(""'""&amp;CS$1&amp;""'!$D$4:$D$66"")=CS$2),$G$3:$BQ$3,$G125:$BQ125)))"),-0.09576710333333331)</f>
        <v>-0.09576710333</v>
      </c>
      <c r="CT125" s="207" t="str">
        <f>IFERROR(__xludf.DUMMYFUNCTION("IF(OR(CS125&gt;$BS125+$BT125*$BT$2,CS125&lt;$BS125-$BT125*$BT$2),AVEDEV(ARRAYFORMULA(XLOOKUP(FILTER(INDIRECT(""'""&amp;CS$1&amp;""'!$C$4:$C$66""),INDIRECT(""'""&amp;CS$1&amp;""'!$D$4:$D$66"")=CS$2),$G$3:$BQ$3,$G125:$BQ125))),"""")"),"")</f>
        <v/>
      </c>
      <c r="CU125" s="251">
        <f>IFERROR(__xludf.DUMMYFUNCTION("AVERAGE(ARRAYFORMULA(XLOOKUP(FILTER(INDIRECT(""'""&amp;CU$1&amp;""'!$C$4:$C$66""),INDIRECT(""'""&amp;CU$1&amp;""'!$D$4:$D$66"")=CU$2),$G$3:$BQ$3,$G125:$BQ125)))"),0.25148438181818183)</f>
        <v>0.2514843818</v>
      </c>
      <c r="CV125" s="207" t="str">
        <f>IFERROR(__xludf.DUMMYFUNCTION("IF(OR(CU125&gt;$BS125+$BT125*$BT$2,CU125&lt;$BS125-$BT125*$BT$2),AVEDEV(ARRAYFORMULA(XLOOKUP(FILTER(INDIRECT(""'""&amp;CU$1&amp;""'!$C$4:$C$66""),INDIRECT(""'""&amp;CU$1&amp;""'!$D$4:$D$66"")=CU$2),$G$3:$BQ$3,$G125:$BQ125))),"""")"),"")</f>
        <v/>
      </c>
      <c r="CW125" s="251">
        <f>IFERROR(__xludf.DUMMYFUNCTION("AVERAGE(ARRAYFORMULA(XLOOKUP(FILTER(INDIRECT(""'""&amp;CW$1&amp;""'!$C$4:$C$66""),INDIRECT(""'""&amp;CW$1&amp;""'!$D$4:$D$66"")=CW$2),$G$3:$BQ$3,$G125:$BQ125)))"),1.011300515)</f>
        <v>1.011300515</v>
      </c>
      <c r="CX125" s="207">
        <f>IFERROR(__xludf.DUMMYFUNCTION("IF(OR(CW125&gt;$BS125+$BT125*$BT$2,CW125&lt;$BS125-$BT125*$BT$2),AVEDEV(ARRAYFORMULA(XLOOKUP(FILTER(INDIRECT(""'""&amp;CW$1&amp;""'!$C$4:$C$66""),INDIRECT(""'""&amp;CW$1&amp;""'!$D$4:$D$66"")=CW$2),$G$3:$BQ$3,$G125:$BQ125))),"""")"),0.31794675499999997)</f>
        <v>0.317946755</v>
      </c>
      <c r="CY125" s="251">
        <f>IFERROR(__xludf.DUMMYFUNCTION("AVERAGE(ARRAYFORMULA(XLOOKUP(FILTER(INDIRECT(""'""&amp;CY$1&amp;""'!$C$4:$C$66""),INDIRECT(""'""&amp;CY$1&amp;""'!$D$4:$D$66"")=CY$2),$G$3:$BQ$3,$G125:$BQ125)))"),0.23854215071428572)</f>
        <v>0.2385421507</v>
      </c>
      <c r="CZ125" s="207" t="str">
        <f>IFERROR(__xludf.DUMMYFUNCTION("IF(OR(CY125&gt;$BS125+$BT125*$BT$2,CY125&lt;$BS125-$BT125*$BT$2),AVEDEV(ARRAYFORMULA(XLOOKUP(FILTER(INDIRECT(""'""&amp;CY$1&amp;""'!$C$4:$C$66""),INDIRECT(""'""&amp;CY$1&amp;""'!$D$4:$D$66"")=CY$2),$G$3:$BQ$3,$G125:$BQ125))),"""")"),"")</f>
        <v/>
      </c>
      <c r="DA125" s="255"/>
      <c r="DB125" s="251">
        <f>IFERROR(__xludf.DUMMYFUNCTION("AVERAGE(ARRAYFORMULA(XLOOKUP(FILTER(INDIRECT(""'""&amp;DB$1&amp;""'!$C$4:$C$66""),INDIRECT(""'""&amp;DB$1&amp;""'!$D$4:$D$66"")=DB$2),$G$3:$BQ$3,$G125:$BQ125)))"),0.13393347000000003)</f>
        <v>0.13393347</v>
      </c>
      <c r="DC125" s="207" t="str">
        <f>IFERROR(__xludf.DUMMYFUNCTION("IF(OR(DB125&gt;$BS125+$BT125*$BT$2,DB125&lt;$BS125-$BT125*$BT$2),AVEDEV(ARRAYFORMULA(XLOOKUP(FILTER(INDIRECT(""'""&amp;DB$1&amp;""'!$C$4:$C$66""),INDIRECT(""'""&amp;DB$1&amp;""'!$D$4:$D$66"")=DB$2),$G$3:$BQ$3,$G125:$BQ125))),"""")"),"")</f>
        <v/>
      </c>
      <c r="DD125" s="251">
        <f>IFERROR(__xludf.DUMMYFUNCTION("AVERAGE(ARRAYFORMULA(XLOOKUP(FILTER(INDIRECT(""'""&amp;DD$1&amp;""'!$C$4:$C$66""),INDIRECT(""'""&amp;DD$1&amp;""'!$D$4:$D$66"")=DD$2),$G$3:$BQ$3,$G125:$BQ125)))"),-0.11981528444444439)</f>
        <v>-0.1198152844</v>
      </c>
      <c r="DE125" s="207" t="str">
        <f>IFERROR(__xludf.DUMMYFUNCTION("IF(OR(DD125&gt;$BS125+$BT125*$BT$2,DD125&lt;$BS125-$BT125*$BT$2),AVEDEV(ARRAYFORMULA(XLOOKUP(FILTER(INDIRECT(""'""&amp;DD$1&amp;""'!$C$4:$C$66""),INDIRECT(""'""&amp;DD$1&amp;""'!$D$4:$D$66"")=DD$2),$G$3:$BQ$3,$G125:$BQ125))),"""")"),"")</f>
        <v/>
      </c>
      <c r="DF125" s="251">
        <f>IFERROR(__xludf.DUMMYFUNCTION("AVERAGE(ARRAYFORMULA(XLOOKUP(FILTER(INDIRECT(""'""&amp;DF$1&amp;""'!$C$4:$C$66""),INDIRECT(""'""&amp;DF$1&amp;""'!$D$4:$D$66"")=DF$2),$G$3:$BQ$3,$G125:$BQ125)))"),-0.60565504125)</f>
        <v>-0.6056550413</v>
      </c>
      <c r="DG125" s="207">
        <f>IFERROR(__xludf.DUMMYFUNCTION("IF(OR(DF125&gt;$BS125+$BT125*$BT$2,DF125&lt;$BS125-$BT125*$BT$2),AVEDEV(ARRAYFORMULA(XLOOKUP(FILTER(INDIRECT(""'""&amp;DF$1&amp;""'!$C$4:$C$66""),INDIRECT(""'""&amp;DF$1&amp;""'!$D$4:$D$66"")=DF$2),$G$3:$BQ$3,$G125:$BQ125))),"""")"),0.3608324440625)</f>
        <v>0.3608324441</v>
      </c>
      <c r="DH125" s="251">
        <f>IFERROR(__xludf.DUMMYFUNCTION("AVERAGE(ARRAYFORMULA(XLOOKUP(FILTER(INDIRECT(""'""&amp;DH$1&amp;""'!$C$4:$C$66""),INDIRECT(""'""&amp;DH$1&amp;""'!$D$4:$D$66"")=DH$2),$G$3:$BQ$3,$G125:$BQ125)))"),0.9771223066666666)</f>
        <v>0.9771223067</v>
      </c>
      <c r="DI125" s="207">
        <f>IFERROR(__xludf.DUMMYFUNCTION("IF(OR(DH125&gt;$BS125+$BT125*$BT$2,DH125&lt;$BS125-$BT125*$BT$2),AVEDEV(ARRAYFORMULA(XLOOKUP(FILTER(INDIRECT(""'""&amp;DH$1&amp;""'!$C$4:$C$66""),INDIRECT(""'""&amp;DH$1&amp;""'!$D$4:$D$66"")=DH$2),$G$3:$BQ$3,$G125:$BQ125))),"""")"),0.665356665925926)</f>
        <v>0.6653566659</v>
      </c>
      <c r="DJ125" s="256"/>
    </row>
    <row r="126">
      <c r="A126" s="2"/>
      <c r="B126" s="204">
        <v>122.0</v>
      </c>
      <c r="C126" s="204" t="s">
        <v>540</v>
      </c>
      <c r="D126" s="204" t="s">
        <v>568</v>
      </c>
      <c r="E126" s="205" t="b">
        <f>VLOOKUP(D126,'Feature Set List'!A123:C246,2,0)</f>
        <v>1</v>
      </c>
      <c r="F126" s="205" t="b">
        <f>VLOOKUP(D126,'Feature Set List'!A123:C246,3,0)</f>
        <v>1</v>
      </c>
      <c r="G126" s="205">
        <v>0.08958811</v>
      </c>
      <c r="H126" s="205">
        <v>0.87621545</v>
      </c>
      <c r="I126" s="205">
        <v>-0.9544412</v>
      </c>
      <c r="J126" s="205">
        <v>-0.3006664</v>
      </c>
      <c r="K126" s="205">
        <v>1.26515896</v>
      </c>
      <c r="L126" s="205">
        <v>0.21632252</v>
      </c>
      <c r="M126" s="205">
        <v>-0.2589315</v>
      </c>
      <c r="N126" s="205">
        <v>-0.718453</v>
      </c>
      <c r="O126" s="205">
        <v>0.70577953</v>
      </c>
      <c r="P126" s="205">
        <v>-0.0764777</v>
      </c>
      <c r="Q126" s="205">
        <v>1.07287228</v>
      </c>
      <c r="R126" s="205">
        <v>0.40205397</v>
      </c>
      <c r="S126" s="205">
        <v>-0.1057577</v>
      </c>
      <c r="T126" s="205">
        <v>0.9352125</v>
      </c>
      <c r="U126" s="205">
        <v>-1.2714957</v>
      </c>
      <c r="V126" s="205">
        <v>-0.1940347</v>
      </c>
      <c r="W126" s="205">
        <v>-0.0131105</v>
      </c>
      <c r="X126" s="205">
        <v>-1.3318038</v>
      </c>
      <c r="Y126" s="205">
        <v>1.01387523</v>
      </c>
      <c r="Z126" s="205">
        <v>0.42827488</v>
      </c>
      <c r="AA126" s="205">
        <v>-1.4189883</v>
      </c>
      <c r="AB126" s="205">
        <v>-0.2661422</v>
      </c>
      <c r="AC126" s="205">
        <v>0.31465093</v>
      </c>
      <c r="AD126" s="205">
        <v>0.42608981</v>
      </c>
      <c r="AE126" s="205">
        <v>-0.5482356</v>
      </c>
      <c r="AF126" s="205">
        <v>-0.6032995</v>
      </c>
      <c r="AG126" s="205">
        <v>-0.6681962</v>
      </c>
      <c r="AH126" s="205">
        <v>0.20321206</v>
      </c>
      <c r="AI126" s="205">
        <v>-0.3218617</v>
      </c>
      <c r="AJ126" s="205">
        <v>-1.1078335</v>
      </c>
      <c r="AK126" s="205">
        <v>-1.0287337</v>
      </c>
      <c r="AL126" s="205">
        <v>-0.2043046</v>
      </c>
      <c r="AM126" s="205">
        <v>0.20102699</v>
      </c>
      <c r="AN126" s="205">
        <v>0.88277068</v>
      </c>
      <c r="AO126" s="205">
        <v>-0.6828362</v>
      </c>
      <c r="AP126" s="205">
        <v>0.68174369</v>
      </c>
      <c r="AQ126" s="205">
        <v>-0.6081066</v>
      </c>
      <c r="AR126" s="205">
        <v>1.77209658</v>
      </c>
      <c r="AS126" s="205">
        <v>0.0</v>
      </c>
      <c r="AT126" s="205">
        <v>0.10051349</v>
      </c>
      <c r="AU126" s="205">
        <v>-1.2251721</v>
      </c>
      <c r="AV126" s="205">
        <v>-0.1997159</v>
      </c>
      <c r="AW126" s="205">
        <v>-1.0254561</v>
      </c>
      <c r="AX126" s="205">
        <v>-2.1658473</v>
      </c>
      <c r="AY126" s="205">
        <v>0.73200044</v>
      </c>
      <c r="AZ126" s="205">
        <v>-0.3876325</v>
      </c>
      <c r="BA126" s="205">
        <v>0.29717033</v>
      </c>
      <c r="BB126" s="205">
        <v>-0.4219382</v>
      </c>
      <c r="BC126" s="205">
        <v>0.5353436</v>
      </c>
      <c r="BD126" s="205">
        <v>0.33868677</v>
      </c>
      <c r="BE126" s="205">
        <v>-0.2825303</v>
      </c>
      <c r="BF126" s="205">
        <v>0.15514039</v>
      </c>
      <c r="BG126" s="205">
        <v>0.27531957</v>
      </c>
      <c r="BH126" s="205">
        <v>0.08084781</v>
      </c>
      <c r="BI126" s="205">
        <v>-0.7909975</v>
      </c>
      <c r="BJ126" s="205">
        <v>0.54626898</v>
      </c>
      <c r="BK126" s="205">
        <v>0.83251393</v>
      </c>
      <c r="BL126" s="205">
        <v>0.05681197</v>
      </c>
      <c r="BM126" s="205">
        <v>-0.4737245</v>
      </c>
      <c r="BN126" s="205">
        <v>0.9985797</v>
      </c>
      <c r="BO126" s="205">
        <v>0.01748061</v>
      </c>
      <c r="BP126" s="205">
        <v>0.46542117</v>
      </c>
      <c r="BQ126" s="205">
        <v>-0.5973998</v>
      </c>
      <c r="BR126" s="206"/>
      <c r="BS126" s="250">
        <f t="shared" si="1"/>
        <v>-0.0529378027</v>
      </c>
      <c r="BT126" s="250">
        <f t="shared" si="2"/>
        <v>0.5921549181</v>
      </c>
      <c r="BU126" s="206"/>
      <c r="BV126" s="207">
        <f>IFERROR(__xludf.DUMMYFUNCTION("AVERAGE(ARRAYFORMULA(XLOOKUP(FILTER(INDIRECT(""'""&amp;BV$1&amp;""'!$C$4:$C$66""),INDIRECT(""'""&amp;BV$1&amp;""'!$D$4:$D$66"")=BV$2),$G$3:$BQ$3,$G126:$BQ126)))"),-0.45739882714285723)</f>
        <v>-0.4573988271</v>
      </c>
      <c r="BW126" s="207" t="str">
        <f>IFERROR(__xludf.DUMMYFUNCTION("IF(OR(BV126&gt;$BS126+$BT126*$BT$2,BV126&lt;$BS126-$BT126*$BT$2),AVEDEV(ARRAYFORMULA(XLOOKUP(FILTER(INDIRECT(""'""&amp;BV$1&amp;""'!$C$4:$C$66""),INDIRECT(""'""&amp;BV$1&amp;""'!$D$4:$D$66"")=BV$2),$G$3:$BQ$3,$G126:$BQ126))),"""")"),"")</f>
        <v/>
      </c>
      <c r="BX126" s="207">
        <f>IFERROR(__xludf.DUMMYFUNCTION("AVERAGE(ARRAYFORMULA(XLOOKUP(FILTER(INDIRECT(""'""&amp;BX$1&amp;""'!$C$4:$C$66""),INDIRECT(""'""&amp;BX$1&amp;""'!$D$4:$D$66"")=BX$2),$G$3:$BQ$3,$G126:$BQ126)))"),0.023062958571428573)</f>
        <v>0.02306295857</v>
      </c>
      <c r="BY126" s="207" t="str">
        <f>IFERROR(__xludf.DUMMYFUNCTION("IF(OR(BX126&gt;$BS126+$BT126*$BT$2,BX126&lt;$BS126-$BT126*$BT$2),AVEDEV(ARRAYFORMULA(XLOOKUP(FILTER(INDIRECT(""'""&amp;BX$1&amp;""'!$C$4:$C$66""),INDIRECT(""'""&amp;BX$1&amp;""'!$D$4:$D$66"")=BX$2),$G$3:$BQ$3,$G126:$BQ126))),"""")"),"")</f>
        <v/>
      </c>
      <c r="BZ126" s="207">
        <f>IFERROR(__xludf.DUMMYFUNCTION("AVERAGE(ARRAYFORMULA(XLOOKUP(FILTER(INDIRECT(""'""&amp;BZ$1&amp;""'!$C$4:$C$66""),INDIRECT(""'""&amp;BZ$1&amp;""'!$D$4:$D$66"")=BZ$2),$G$3:$BQ$3,$G126:$BQ126)))"),0.06718113545454546)</f>
        <v>0.06718113545</v>
      </c>
      <c r="CA126" s="207" t="str">
        <f>IFERROR(__xludf.DUMMYFUNCTION("IF(OR(BZ126&gt;$BS126+$BT126*$BT$2,BZ126&lt;$BS126-$BT126*$BT$2),AVEDEV(ARRAYFORMULA(XLOOKUP(FILTER(INDIRECT(""'""&amp;BZ$1&amp;""'!$C$4:$C$66""),INDIRECT(""'""&amp;BZ$1&amp;""'!$D$4:$D$66"")=BZ$2),$G$3:$BQ$3,$G126:$BQ126))),"""")"),"")</f>
        <v/>
      </c>
      <c r="CB126" s="209"/>
      <c r="CC126" s="207">
        <f>IFERROR(__xludf.DUMMYFUNCTION("AVERAGE(ARRAYFORMULA(XLOOKUP(FILTER(INDIRECT(""'""&amp;CC$1&amp;""'!$C$4:$C$66""),INDIRECT(""'""&amp;CC$1&amp;""'!$D$4:$D$66"")=CC$2),$G$3:$BQ$3,$G126:$BQ126)))"),-0.25177537000000005)</f>
        <v>-0.25177537</v>
      </c>
      <c r="CD126" s="207" t="str">
        <f>IFERROR(__xludf.DUMMYFUNCTION("IF(OR(CC126&gt;$BS126+$BT126*$BT$2,CC126&lt;$BS126-$BT126*$BT$2),AVEDEV(ARRAYFORMULA(XLOOKUP(FILTER(INDIRECT(""'""&amp;CC$1&amp;""'!$C$4:$C$66""),INDIRECT(""'""&amp;CC$1&amp;""'!$D$4:$D$66"")=CC$2),$G$3:$BQ$3,$G126:$BQ126))),"""")"),"")</f>
        <v/>
      </c>
      <c r="CE126" s="207">
        <f>IFERROR(__xludf.DUMMYFUNCTION("AVERAGE(ARRAYFORMULA(XLOOKUP(FILTER(INDIRECT(""'""&amp;CE$1&amp;""'!$C$4:$C$66""),INDIRECT(""'""&amp;CE$1&amp;""'!$D$4:$D$66"")=CE$2),$G$3:$BQ$3,$G126:$BQ126)))"),0.123266474516129)</f>
        <v>0.1232664745</v>
      </c>
      <c r="CF126" s="207" t="str">
        <f>IFERROR(__xludf.DUMMYFUNCTION("IF(OR(CE126&gt;$BS126+$BT126*$BT$2,CE126&lt;$BS126-$BT126*$BT$2),AVEDEV(ARRAYFORMULA(XLOOKUP(FILTER(INDIRECT(""'""&amp;CE$1&amp;""'!$C$4:$C$66""),INDIRECT(""'""&amp;CE$1&amp;""'!$D$4:$D$66"")=CE$2),$G$3:$BQ$3,$G126:$BQ126))),"""")"),"")</f>
        <v/>
      </c>
      <c r="CG126" s="207">
        <f>IFERROR(__xludf.DUMMYFUNCTION("AVERAGE(ARRAYFORMULA(XLOOKUP(FILTER(INDIRECT(""'""&amp;CG$1&amp;""'!$C$4:$C$66""),INDIRECT(""'""&amp;CG$1&amp;""'!$D$4:$D$66"")=CG$2),$G$3:$BQ$3,$G126:$BQ126)))"),0.28624494)</f>
        <v>0.28624494</v>
      </c>
      <c r="CH126" s="207" t="str">
        <f>IFERROR(__xludf.DUMMYFUNCTION("IF(OR(CG126&gt;$BS126+$BT126*$BT$2,CG126&lt;$BS126-$BT126*$BT$2),AVEDEV(ARRAYFORMULA(XLOOKUP(FILTER(INDIRECT(""'""&amp;CG$1&amp;""'!$C$4:$C$66""),INDIRECT(""'""&amp;CG$1&amp;""'!$D$4:$D$66"")=CG$2),$G$3:$BQ$3,$G126:$BQ126))),"""")"),"")</f>
        <v/>
      </c>
      <c r="CI126" s="206"/>
      <c r="CJ126" s="251">
        <f>IFERROR(__xludf.DUMMYFUNCTION("AVERAGE(ARRAYFORMULA(XLOOKUP(FILTER(INDIRECT(""'""&amp;CJ$1&amp;""'!$C$4:$C$66""),INDIRECT(""'""&amp;CJ$1&amp;""'!$D$4:$D$66"")=CJ$2),$G$3:$BQ$3,$G126:$BQ126)))"),-0.33293274466666667)</f>
        <v>-0.3329327447</v>
      </c>
      <c r="CK126" s="207" t="str">
        <f>IFERROR(__xludf.DUMMYFUNCTION("IF(OR(CJ126&gt;$BS126+$BT126*$BT$2,CJ126&lt;$BS126-$BT126*$BT$2),AVEDEV(ARRAYFORMULA(XLOOKUP(FILTER(INDIRECT(""'""&amp;CJ$1&amp;""'!$C$4:$C$66""),INDIRECT(""'""&amp;CJ$1&amp;""'!$D$4:$D$66"")=CJ$2),$G$3:$BQ$3,$G126:$BQ126))),"""")"),"")</f>
        <v/>
      </c>
      <c r="CL126" s="251">
        <f>IFERROR(__xludf.DUMMYFUNCTION("AVERAGE(ARRAYFORMULA(XLOOKUP(FILTER(INDIRECT(""'""&amp;CL$1&amp;""'!$C$4:$C$66""),INDIRECT(""'""&amp;CL$1&amp;""'!$D$4:$D$66"")=CL$2),$G$3:$BQ$3,$G126:$BQ126)))"),0.05158460153846153)</f>
        <v>0.05158460154</v>
      </c>
      <c r="CM126" s="207" t="str">
        <f>IFERROR(__xludf.DUMMYFUNCTION("IF(OR(CL126&gt;$BS126+$BT126*$BT$2,CL126&lt;$BS126-$BT126*$BT$2),AVEDEV(ARRAYFORMULA(XLOOKUP(FILTER(INDIRECT(""'""&amp;CL$1&amp;""'!$C$4:$C$66""),INDIRECT(""'""&amp;CL$1&amp;""'!$D$4:$D$66"")=CL$2),$G$3:$BQ$3,$G126:$BQ126))),"""")"),"")</f>
        <v/>
      </c>
      <c r="CN126" s="251">
        <f>IFERROR(__xludf.DUMMYFUNCTION("AVERAGE(ARRAYFORMULA(XLOOKUP(FILTER(INDIRECT(""'""&amp;CN$1&amp;""'!$C$4:$C$66""),INDIRECT(""'""&amp;CN$1&amp;""'!$D$4:$D$66"")=CN$2),$G$3:$BQ$3,$G126:$BQ126)))"),0.28624494)</f>
        <v>0.28624494</v>
      </c>
      <c r="CO126" s="207" t="str">
        <f>IFERROR(__xludf.DUMMYFUNCTION("IF(OR(CN126&gt;$BS126+$BT126*$BT$2,CN126&lt;$BS126-$BT126*$BT$2),AVEDEV(ARRAYFORMULA(XLOOKUP(FILTER(INDIRECT(""'""&amp;CN$1&amp;""'!$C$4:$C$66""),INDIRECT(""'""&amp;CN$1&amp;""'!$D$4:$D$66"")=CN$2),$G$3:$BQ$3,$G126:$BQ126))),"""")"),"")</f>
        <v/>
      </c>
      <c r="CP126" s="252"/>
      <c r="CQ126" s="251">
        <f>IFERROR(__xludf.DUMMYFUNCTION("AVERAGE(ARRAYFORMULA(XLOOKUP(FILTER(INDIRECT(""'""&amp;CQ$1&amp;""'!$C$4:$C$66""),INDIRECT(""'""&amp;CQ$1&amp;""'!$D$4:$D$66"")=CQ$2),$G$3:$BQ$3,$G126:$BQ126)))"),-0.21945965285714286)</f>
        <v>-0.2194596529</v>
      </c>
      <c r="CR126" s="207" t="str">
        <f>IFERROR(__xludf.DUMMYFUNCTION("IF(OR(CQ126&gt;$BS126+$BT126*$BT$2,CQ126&lt;$BS126-$BT126*$BT$2),AVEDEV(ARRAYFORMULA(XLOOKUP(FILTER(INDIRECT(""'""&amp;CQ$1&amp;""'!$C$4:$C$66""),INDIRECT(""'""&amp;CQ$1&amp;""'!$D$4:$D$66"")=CQ$2),$G$3:$BQ$3,$G126:$BQ126))),"""")"),"")</f>
        <v/>
      </c>
      <c r="CS126" s="251">
        <f>IFERROR(__xludf.DUMMYFUNCTION("AVERAGE(ARRAYFORMULA(XLOOKUP(FILTER(INDIRECT(""'""&amp;CS$1&amp;""'!$C$4:$C$66""),INDIRECT(""'""&amp;CS$1&amp;""'!$D$4:$D$66"")=CS$2),$G$3:$BQ$3,$G126:$BQ126)))"),0.17781661)</f>
        <v>0.17781661</v>
      </c>
      <c r="CT126" s="207" t="str">
        <f>IFERROR(__xludf.DUMMYFUNCTION("IF(OR(CS126&gt;$BS126+$BT126*$BT$2,CS126&lt;$BS126-$BT126*$BT$2),AVEDEV(ARRAYFORMULA(XLOOKUP(FILTER(INDIRECT(""'""&amp;CS$1&amp;""'!$C$4:$C$66""),INDIRECT(""'""&amp;CS$1&amp;""'!$D$4:$D$66"")=CS$2),$G$3:$BQ$3,$G126:$BQ126))),"""")"),"")</f>
        <v/>
      </c>
      <c r="CU126" s="251">
        <f>IFERROR(__xludf.DUMMYFUNCTION("AVERAGE(ARRAYFORMULA(XLOOKUP(FILTER(INDIRECT(""'""&amp;CU$1&amp;""'!$C$4:$C$66""),INDIRECT(""'""&amp;CU$1&amp;""'!$D$4:$D$66"")=CU$2),$G$3:$BQ$3,$G126:$BQ126)))"),-0.11509390454545455)</f>
        <v>-0.1150939045</v>
      </c>
      <c r="CV126" s="207" t="str">
        <f>IFERROR(__xludf.DUMMYFUNCTION("IF(OR(CU126&gt;$BS126+$BT126*$BT$2,CU126&lt;$BS126-$BT126*$BT$2),AVEDEV(ARRAYFORMULA(XLOOKUP(FILTER(INDIRECT(""'""&amp;CU$1&amp;""'!$C$4:$C$66""),INDIRECT(""'""&amp;CU$1&amp;""'!$D$4:$D$66"")=CU$2),$G$3:$BQ$3,$G126:$BQ126))),"""")"),"")</f>
        <v/>
      </c>
      <c r="CW126" s="251">
        <f>IFERROR(__xludf.DUMMYFUNCTION("AVERAGE(ARRAYFORMULA(XLOOKUP(FILTER(INDIRECT(""'""&amp;CW$1&amp;""'!$C$4:$C$66""),INDIRECT(""'""&amp;CW$1&amp;""'!$D$4:$D$66"")=CW$2),$G$3:$BQ$3,$G126:$BQ126)))"),0.25346881)</f>
        <v>0.25346881</v>
      </c>
      <c r="CX126" s="207" t="str">
        <f>IFERROR(__xludf.DUMMYFUNCTION("IF(OR(CW126&gt;$BS126+$BT126*$BT$2,CW126&lt;$BS126-$BT126*$BT$2),AVEDEV(ARRAYFORMULA(XLOOKUP(FILTER(INDIRECT(""'""&amp;CW$1&amp;""'!$C$4:$C$66""),INDIRECT(""'""&amp;CW$1&amp;""'!$D$4:$D$66"")=CW$2),$G$3:$BQ$3,$G126:$BQ126))),"""")"),"")</f>
        <v/>
      </c>
      <c r="CY126" s="251">
        <f>IFERROR(__xludf.DUMMYFUNCTION("AVERAGE(ARRAYFORMULA(XLOOKUP(FILTER(INDIRECT(""'""&amp;CY$1&amp;""'!$C$4:$C$66""),INDIRECT(""'""&amp;CY$1&amp;""'!$D$4:$D$66"")=CY$2),$G$3:$BQ$3,$G126:$BQ126)))"),0.22481309071428576)</f>
        <v>0.2248130907</v>
      </c>
      <c r="CZ126" s="207" t="str">
        <f>IFERROR(__xludf.DUMMYFUNCTION("IF(OR(CY126&gt;$BS126+$BT126*$BT$2,CY126&lt;$BS126-$BT126*$BT$2),AVEDEV(ARRAYFORMULA(XLOOKUP(FILTER(INDIRECT(""'""&amp;CY$1&amp;""'!$C$4:$C$66""),INDIRECT(""'""&amp;CY$1&amp;""'!$D$4:$D$66"")=CY$2),$G$3:$BQ$3,$G126:$BQ126))),"""")"),"")</f>
        <v/>
      </c>
      <c r="DA126" s="252"/>
      <c r="DB126" s="251">
        <f>IFERROR(__xludf.DUMMYFUNCTION("AVERAGE(ARRAYFORMULA(XLOOKUP(FILTER(INDIRECT(""'""&amp;DB$1&amp;""'!$C$4:$C$66""),INDIRECT(""'""&amp;DB$1&amp;""'!$D$4:$D$66"")=DB$2),$G$3:$BQ$3,$G126:$BQ126)))"),-0.01606759133333331)</f>
        <v>-0.01606759133</v>
      </c>
      <c r="DC126" s="207" t="str">
        <f>IFERROR(__xludf.DUMMYFUNCTION("IF(OR(DB126&gt;$BS126+$BT126*$BT$2,DB126&lt;$BS126-$BT126*$BT$2),AVEDEV(ARRAYFORMULA(XLOOKUP(FILTER(INDIRECT(""'""&amp;DB$1&amp;""'!$C$4:$C$66""),INDIRECT(""'""&amp;DB$1&amp;""'!$D$4:$D$66"")=DB$2),$G$3:$BQ$3,$G126:$BQ126))),"""")"),"")</f>
        <v/>
      </c>
      <c r="DD126" s="251">
        <f>IFERROR(__xludf.DUMMYFUNCTION("AVERAGE(ARRAYFORMULA(XLOOKUP(FILTER(INDIRECT(""'""&amp;DD$1&amp;""'!$C$4:$C$66""),INDIRECT(""'""&amp;DD$1&amp;""'!$D$4:$D$66"")=DD$2),$G$3:$BQ$3,$G126:$BQ126)))"),0.05737037333333333)</f>
        <v>0.05737037333</v>
      </c>
      <c r="DE126" s="207" t="str">
        <f>IFERROR(__xludf.DUMMYFUNCTION("IF(OR(DD126&gt;$BS126+$BT126*$BT$2,DD126&lt;$BS126-$BT126*$BT$2),AVEDEV(ARRAYFORMULA(XLOOKUP(FILTER(INDIRECT(""'""&amp;DD$1&amp;""'!$C$4:$C$66""),INDIRECT(""'""&amp;DD$1&amp;""'!$D$4:$D$66"")=DD$2),$G$3:$BQ$3,$G126:$BQ126))),"""")"),"")</f>
        <v/>
      </c>
      <c r="DF126" s="251">
        <f>IFERROR(__xludf.DUMMYFUNCTION("AVERAGE(ARRAYFORMULA(XLOOKUP(FILTER(INDIRECT(""'""&amp;DF$1&amp;""'!$C$4:$C$66""),INDIRECT(""'""&amp;DF$1&amp;""'!$D$4:$D$66"")=DF$2),$G$3:$BQ$3,$G126:$BQ126)))"),-0.30648422)</f>
        <v>-0.30648422</v>
      </c>
      <c r="DG126" s="207" t="str">
        <f>IFERROR(__xludf.DUMMYFUNCTION("IF(OR(DF126&gt;$BS126+$BT126*$BT$2,DF126&lt;$BS126-$BT126*$BT$2),AVEDEV(ARRAYFORMULA(XLOOKUP(FILTER(INDIRECT(""'""&amp;DF$1&amp;""'!$C$4:$C$66""),INDIRECT(""'""&amp;DF$1&amp;""'!$D$4:$D$66"")=DF$2),$G$3:$BQ$3,$G126:$BQ126))),"""")"),"")</f>
        <v/>
      </c>
      <c r="DH126" s="251">
        <f>IFERROR(__xludf.DUMMYFUNCTION("AVERAGE(ARRAYFORMULA(XLOOKUP(FILTER(INDIRECT(""'""&amp;DH$1&amp;""'!$C$4:$C$66""),INDIRECT(""'""&amp;DH$1&amp;""'!$D$4:$D$66"")=DH$2),$G$3:$BQ$3,$G126:$BQ126)))"),0.12323828333333332)</f>
        <v>0.1232382833</v>
      </c>
      <c r="DI126" s="207" t="str">
        <f>IFERROR(__xludf.DUMMYFUNCTION("IF(OR(DH126&gt;$BS126+$BT126*$BT$2,DH126&lt;$BS126-$BT126*$BT$2),AVEDEV(ARRAYFORMULA(XLOOKUP(FILTER(INDIRECT(""'""&amp;DH$1&amp;""'!$C$4:$C$66""),INDIRECT(""'""&amp;DH$1&amp;""'!$D$4:$D$66"")=DH$2),$G$3:$BQ$3,$G126:$BQ126))),"""")"),"")</f>
        <v/>
      </c>
      <c r="DJ126" s="243"/>
    </row>
    <row r="127">
      <c r="A127" s="2"/>
      <c r="B127" s="204">
        <v>123.0</v>
      </c>
      <c r="C127" s="204" t="s">
        <v>540</v>
      </c>
      <c r="D127" s="204" t="s">
        <v>569</v>
      </c>
      <c r="E127" s="205" t="b">
        <f>VLOOKUP(D127,'Feature Set List'!A124:C246,2,0)</f>
        <v>1</v>
      </c>
      <c r="F127" s="205" t="b">
        <f>VLOOKUP(D127,'Feature Set List'!A124:C246,3,0)</f>
        <v>1</v>
      </c>
      <c r="G127" s="205">
        <v>-0.4625</v>
      </c>
      <c r="H127" s="205">
        <v>-0.4015625</v>
      </c>
      <c r="I127" s="205">
        <v>3.54427083</v>
      </c>
      <c r="J127" s="205">
        <v>0.25520833</v>
      </c>
      <c r="K127" s="205">
        <v>-1.0998958</v>
      </c>
      <c r="L127" s="205">
        <v>0.365625</v>
      </c>
      <c r="M127" s="205">
        <v>-0.2354167</v>
      </c>
      <c r="N127" s="205">
        <v>-0.3119792</v>
      </c>
      <c r="O127" s="205">
        <v>0.3078125</v>
      </c>
      <c r="P127" s="205">
        <v>1.45416667</v>
      </c>
      <c r="Q127" s="205">
        <v>-0.9135417</v>
      </c>
      <c r="R127" s="205">
        <v>-0.2291667</v>
      </c>
      <c r="S127" s="205">
        <v>1.23229167</v>
      </c>
      <c r="T127" s="205">
        <v>-0.0036458</v>
      </c>
      <c r="U127" s="205">
        <v>0.14583333</v>
      </c>
      <c r="V127" s="205">
        <v>3.52239583</v>
      </c>
      <c r="W127" s="205">
        <v>2.50416667</v>
      </c>
      <c r="X127" s="205">
        <v>3.0484375</v>
      </c>
      <c r="Y127" s="205">
        <v>-0.896875</v>
      </c>
      <c r="Z127" s="205">
        <v>0.009375</v>
      </c>
      <c r="AA127" s="205">
        <v>1.29635417</v>
      </c>
      <c r="AB127" s="205">
        <v>1.0578125</v>
      </c>
      <c r="AC127" s="205">
        <v>-0.0817708</v>
      </c>
      <c r="AD127" s="205">
        <v>-0.6213542</v>
      </c>
      <c r="AE127" s="205">
        <v>-0.440625</v>
      </c>
      <c r="AF127" s="205">
        <v>-0.1463542</v>
      </c>
      <c r="AG127" s="205">
        <v>0.58177083</v>
      </c>
      <c r="AH127" s="205">
        <v>1.67447917</v>
      </c>
      <c r="AI127" s="205">
        <v>-0.2307292</v>
      </c>
      <c r="AJ127" s="205">
        <v>3.221875</v>
      </c>
      <c r="AK127" s="205">
        <v>0.84270833</v>
      </c>
      <c r="AL127" s="205">
        <v>-0.3692708</v>
      </c>
      <c r="AM127" s="205">
        <v>-0.4203125</v>
      </c>
      <c r="AN127" s="205">
        <v>-0.509375</v>
      </c>
      <c r="AO127" s="205">
        <v>-0.0640625</v>
      </c>
      <c r="AP127" s="205">
        <v>-0.8182292</v>
      </c>
      <c r="AQ127" s="205">
        <v>1.17447917</v>
      </c>
      <c r="AR127" s="205">
        <v>-0.4463542</v>
      </c>
      <c r="AS127" s="205">
        <v>0.54947917</v>
      </c>
      <c r="AT127" s="205">
        <v>-0.2265625</v>
      </c>
      <c r="AU127" s="205">
        <v>-0.596875</v>
      </c>
      <c r="AV127" s="205">
        <v>-0.484375</v>
      </c>
      <c r="AW127" s="205">
        <v>-0.1833333</v>
      </c>
      <c r="AX127" s="205">
        <v>-0.3848958</v>
      </c>
      <c r="AY127" s="205">
        <v>0.04270833</v>
      </c>
      <c r="AZ127" s="205">
        <v>0.33385417</v>
      </c>
      <c r="BA127" s="205">
        <v>0.5234375</v>
      </c>
      <c r="BB127" s="205">
        <v>0.4734375</v>
      </c>
      <c r="BC127" s="205">
        <v>-1.0159375</v>
      </c>
      <c r="BD127" s="205">
        <v>0.55729167</v>
      </c>
      <c r="BE127" s="205">
        <v>4.6890625</v>
      </c>
      <c r="BF127" s="205">
        <v>0.0</v>
      </c>
      <c r="BG127" s="205">
        <v>0.18541667</v>
      </c>
      <c r="BH127" s="205">
        <v>-0.2526042</v>
      </c>
      <c r="BI127" s="205">
        <v>0.19791667</v>
      </c>
      <c r="BJ127" s="205">
        <v>0.05052083</v>
      </c>
      <c r="BK127" s="205">
        <v>-0.8307292</v>
      </c>
      <c r="BL127" s="205">
        <v>10.4651042</v>
      </c>
      <c r="BM127" s="205">
        <v>0.38697917</v>
      </c>
      <c r="BN127" s="205">
        <v>-0.8760417</v>
      </c>
      <c r="BO127" s="205">
        <v>-0.5098958</v>
      </c>
      <c r="BP127" s="205">
        <v>-0.84375</v>
      </c>
      <c r="BQ127" s="205">
        <v>1.12708333</v>
      </c>
      <c r="BR127" s="206"/>
      <c r="BS127" s="250">
        <f t="shared" si="1"/>
        <v>0.4906878287</v>
      </c>
      <c r="BT127" s="250">
        <f t="shared" si="2"/>
        <v>1.071225332</v>
      </c>
      <c r="BU127" s="206"/>
      <c r="BV127" s="207">
        <f>IFERROR(__xludf.DUMMYFUNCTION("AVERAGE(ARRAYFORMULA(XLOOKUP(FILTER(INDIRECT(""'""&amp;BV$1&amp;""'!$C$4:$C$66""),INDIRECT(""'""&amp;BV$1&amp;""'!$D$4:$D$66"")=BV$2),$G$3:$BQ$3,$G127:$BQ127)))"),2.6857886942857148)</f>
        <v>2.685788694</v>
      </c>
      <c r="BW127" s="207">
        <f>IFERROR(__xludf.DUMMYFUNCTION("IF(OR(BV127&gt;$BS127+$BT127*$BT$2,BV127&lt;$BS127-$BT127*$BT$2),AVEDEV(ARRAYFORMULA(XLOOKUP(FILTER(INDIRECT(""'""&amp;BV$1&amp;""'!$C$4:$C$66""),INDIRECT(""'""&amp;BV$1&amp;""'!$D$4:$D$66"")=BV$2),$G$3:$BQ$3,$G127:$BQ127))),"""")"),2.8986394620408165)</f>
        <v>2.898639462</v>
      </c>
      <c r="BX127" s="207">
        <f>IFERROR(__xludf.DUMMYFUNCTION("AVERAGE(ARRAYFORMULA(XLOOKUP(FILTER(INDIRECT(""'""&amp;BX$1&amp;""'!$C$4:$C$66""),INDIRECT(""'""&amp;BX$1&amp;""'!$D$4:$D$66"")=BX$2),$G$3:$BQ$3,$G127:$BQ127)))"),0.11392112785714283)</f>
        <v>0.1139211279</v>
      </c>
      <c r="BY127" s="207" t="str">
        <f>IFERROR(__xludf.DUMMYFUNCTION("IF(OR(BX127&gt;$BS127+$BT127*$BT$2,BX127&lt;$BS127-$BT127*$BT$2),AVEDEV(ARRAYFORMULA(XLOOKUP(FILTER(INDIRECT(""'""&amp;BX$1&amp;""'!$C$4:$C$66""),INDIRECT(""'""&amp;BX$1&amp;""'!$D$4:$D$66"")=BX$2),$G$3:$BQ$3,$G127:$BQ127))),"""")"),"")</f>
        <v/>
      </c>
      <c r="BZ127" s="207">
        <f>IFERROR(__xludf.DUMMYFUNCTION("AVERAGE(ARRAYFORMULA(XLOOKUP(FILTER(INDIRECT(""'""&amp;BZ$1&amp;""'!$C$4:$C$66""),INDIRECT(""'""&amp;BZ$1&amp;""'!$D$4:$D$66"")=BZ$2),$G$3:$BQ$3,$G127:$BQ127)))"),0.3475852254545454)</f>
        <v>0.3475852255</v>
      </c>
      <c r="CA127" s="207" t="str">
        <f>IFERROR(__xludf.DUMMYFUNCTION("IF(OR(BZ127&gt;$BS127+$BT127*$BT$2,BZ127&lt;$BS127-$BT127*$BT$2),AVEDEV(ARRAYFORMULA(XLOOKUP(FILTER(INDIRECT(""'""&amp;BZ$1&amp;""'!$C$4:$C$66""),INDIRECT(""'""&amp;BZ$1&amp;""'!$D$4:$D$66"")=BZ$2),$G$3:$BQ$3,$G127:$BQ127))),"""")"),"")</f>
        <v/>
      </c>
      <c r="CB127" s="209"/>
      <c r="CC127" s="207">
        <f>IFERROR(__xludf.DUMMYFUNCTION("AVERAGE(ARRAYFORMULA(XLOOKUP(FILTER(INDIRECT(""'""&amp;CC$1&amp;""'!$C$4:$C$66""),INDIRECT(""'""&amp;CC$1&amp;""'!$D$4:$D$66"")=CC$2),$G$3:$BQ$3,$G127:$BQ127)))"),0.20518228875000002)</f>
        <v>0.2051822888</v>
      </c>
      <c r="CD127" s="207" t="str">
        <f>IFERROR(__xludf.DUMMYFUNCTION("IF(OR(CC127&gt;$BS127+$BT127*$BT$2,CC127&lt;$BS127-$BT127*$BT$2),AVEDEV(ARRAYFORMULA(XLOOKUP(FILTER(INDIRECT(""'""&amp;CC$1&amp;""'!$C$4:$C$66""),INDIRECT(""'""&amp;CC$1&amp;""'!$D$4:$D$66"")=CC$2),$G$3:$BQ$3,$G127:$BQ127))),"""")"),"")</f>
        <v/>
      </c>
      <c r="CE127" s="207">
        <f>IFERROR(__xludf.DUMMYFUNCTION("AVERAGE(ARRAYFORMULA(XLOOKUP(FILTER(INDIRECT(""'""&amp;CE$1&amp;""'!$C$4:$C$66""),INDIRECT(""'""&amp;CE$1&amp;""'!$D$4:$D$66"")=CE$2),$G$3:$BQ$3,$G127:$BQ127)))"),0.3027116874193549)</f>
        <v>0.3027116874</v>
      </c>
      <c r="CF127" s="207" t="str">
        <f>IFERROR(__xludf.DUMMYFUNCTION("IF(OR(CE127&gt;$BS127+$BT127*$BT$2,CE127&lt;$BS127-$BT127*$BT$2),AVEDEV(ARRAYFORMULA(XLOOKUP(FILTER(INDIRECT(""'""&amp;CE$1&amp;""'!$C$4:$C$66""),INDIRECT(""'""&amp;CE$1&amp;""'!$D$4:$D$66"")=CE$2),$G$3:$BQ$3,$G127:$BQ127))),"""")"),"")</f>
        <v/>
      </c>
      <c r="CG127" s="207">
        <f>IFERROR(__xludf.DUMMYFUNCTION("AVERAGE(ARRAYFORMULA(XLOOKUP(FILTER(INDIRECT(""'""&amp;CG$1&amp;""'!$C$4:$C$66""),INDIRECT(""'""&amp;CG$1&amp;""'!$D$4:$D$66"")=CG$2),$G$3:$BQ$3,$G127:$BQ127)))"),0.5417708419999999)</f>
        <v>0.541770842</v>
      </c>
      <c r="CH127" s="207" t="str">
        <f>IFERROR(__xludf.DUMMYFUNCTION("IF(OR(CG127&gt;$BS127+$BT127*$BT$2,CG127&lt;$BS127-$BT127*$BT$2),AVEDEV(ARRAYFORMULA(XLOOKUP(FILTER(INDIRECT(""'""&amp;CG$1&amp;""'!$C$4:$C$66""),INDIRECT(""'""&amp;CG$1&amp;""'!$D$4:$D$66"")=CG$2),$G$3:$BQ$3,$G127:$BQ127))),"""")"),"")</f>
        <v/>
      </c>
      <c r="CI127" s="206"/>
      <c r="CJ127" s="251">
        <f>IFERROR(__xludf.DUMMYFUNCTION("AVERAGE(ARRAYFORMULA(XLOOKUP(FILTER(INDIRECT(""'""&amp;CJ$1&amp;""'!$C$4:$C$66""),INDIRECT(""'""&amp;CJ$1&amp;""'!$D$4:$D$66"")=CJ$2),$G$3:$BQ$3,$G127:$BQ127)))"),0.6561458360000001)</f>
        <v>0.656145836</v>
      </c>
      <c r="CK127" s="207" t="str">
        <f>IFERROR(__xludf.DUMMYFUNCTION("IF(OR(CJ127&gt;$BS127+$BT127*$BT$2,CJ127&lt;$BS127-$BT127*$BT$2),AVEDEV(ARRAYFORMULA(XLOOKUP(FILTER(INDIRECT(""'""&amp;CJ$1&amp;""'!$C$4:$C$66""),INDIRECT(""'""&amp;CJ$1&amp;""'!$D$4:$D$66"")=CJ$2),$G$3:$BQ$3,$G127:$BQ127))),"""")"),"")</f>
        <v/>
      </c>
      <c r="CL127" s="251">
        <f>IFERROR(__xludf.DUMMYFUNCTION("AVERAGE(ARRAYFORMULA(XLOOKUP(FILTER(INDIRECT(""'""&amp;CL$1&amp;""'!$C$4:$C$66""),INDIRECT(""'""&amp;CL$1&amp;""'!$D$4:$D$66"")=CL$2),$G$3:$BQ$3,$G127:$BQ127)))"),0.11262819897435894)</f>
        <v>0.112628199</v>
      </c>
      <c r="CM127" s="207" t="str">
        <f>IFERROR(__xludf.DUMMYFUNCTION("IF(OR(CL127&gt;$BS127+$BT127*$BT$2,CL127&lt;$BS127-$BT127*$BT$2),AVEDEV(ARRAYFORMULA(XLOOKUP(FILTER(INDIRECT(""'""&amp;CL$1&amp;""'!$C$4:$C$66""),INDIRECT(""'""&amp;CL$1&amp;""'!$D$4:$D$66"")=CL$2),$G$3:$BQ$3,$G127:$BQ127))),"""")"),"")</f>
        <v/>
      </c>
      <c r="CN127" s="251">
        <f>IFERROR(__xludf.DUMMYFUNCTION("AVERAGE(ARRAYFORMULA(XLOOKUP(FILTER(INDIRECT(""'""&amp;CN$1&amp;""'!$C$4:$C$66""),INDIRECT(""'""&amp;CN$1&amp;""'!$D$4:$D$66"")=CN$2),$G$3:$BQ$3,$G127:$BQ127)))"),0.5417708419999999)</f>
        <v>0.541770842</v>
      </c>
      <c r="CO127" s="207" t="str">
        <f>IFERROR(__xludf.DUMMYFUNCTION("IF(OR(CN127&gt;$BS127+$BT127*$BT$2,CN127&lt;$BS127-$BT127*$BT$2),AVEDEV(ARRAYFORMULA(XLOOKUP(FILTER(INDIRECT(""'""&amp;CN$1&amp;""'!$C$4:$C$66""),INDIRECT(""'""&amp;CN$1&amp;""'!$D$4:$D$66"")=CN$2),$G$3:$BQ$3,$G127:$BQ127))),"""")"),"")</f>
        <v/>
      </c>
      <c r="CP127" s="252"/>
      <c r="CQ127" s="251">
        <f>IFERROR(__xludf.DUMMYFUNCTION("AVERAGE(ARRAYFORMULA(XLOOKUP(FILTER(INDIRECT(""'""&amp;CQ$1&amp;""'!$C$4:$C$66""),INDIRECT(""'""&amp;CQ$1&amp;""'!$D$4:$D$66"")=CQ$2),$G$3:$BQ$3,$G127:$BQ127)))"),0.19929314928571426)</f>
        <v>0.1992931493</v>
      </c>
      <c r="CR127" s="207" t="str">
        <f>IFERROR(__xludf.DUMMYFUNCTION("IF(OR(CQ127&gt;$BS127+$BT127*$BT$2,CQ127&lt;$BS127-$BT127*$BT$2),AVEDEV(ARRAYFORMULA(XLOOKUP(FILTER(INDIRECT(""'""&amp;CQ$1&amp;""'!$C$4:$C$66""),INDIRECT(""'""&amp;CQ$1&amp;""'!$D$4:$D$66"")=CQ$2),$G$3:$BQ$3,$G127:$BQ127))),"""")"),"")</f>
        <v/>
      </c>
      <c r="CS127" s="251">
        <f>IFERROR(__xludf.DUMMYFUNCTION("AVERAGE(ARRAYFORMULA(XLOOKUP(FILTER(INDIRECT(""'""&amp;CS$1&amp;""'!$C$4:$C$66""),INDIRECT(""'""&amp;CS$1&amp;""'!$D$4:$D$66"")=CS$2),$G$3:$BQ$3,$G127:$BQ127)))"),0.3447337933333332)</f>
        <v>0.3447337933</v>
      </c>
      <c r="CT127" s="207" t="str">
        <f>IFERROR(__xludf.DUMMYFUNCTION("IF(OR(CS127&gt;$BS127+$BT127*$BT$2,CS127&lt;$BS127-$BT127*$BT$2),AVEDEV(ARRAYFORMULA(XLOOKUP(FILTER(INDIRECT(""'""&amp;CS$1&amp;""'!$C$4:$C$66""),INDIRECT(""'""&amp;CS$1&amp;""'!$D$4:$D$66"")=CS$2),$G$3:$BQ$3,$G127:$BQ127))),"""")"),"")</f>
        <v/>
      </c>
      <c r="CU127" s="251">
        <f>IFERROR(__xludf.DUMMYFUNCTION("AVERAGE(ARRAYFORMULA(XLOOKUP(FILTER(INDIRECT(""'""&amp;CU$1&amp;""'!$C$4:$C$66""),INDIRECT(""'""&amp;CU$1&amp;""'!$D$4:$D$66"")=CU$2),$G$3:$BQ$3,$G127:$BQ127)))"),0.36884470454545465)</f>
        <v>0.3688447045</v>
      </c>
      <c r="CV127" s="207" t="str">
        <f>IFERROR(__xludf.DUMMYFUNCTION("IF(OR(CU127&gt;$BS127+$BT127*$BT$2,CU127&lt;$BS127-$BT127*$BT$2),AVEDEV(ARRAYFORMULA(XLOOKUP(FILTER(INDIRECT(""'""&amp;CU$1&amp;""'!$C$4:$C$66""),INDIRECT(""'""&amp;CU$1&amp;""'!$D$4:$D$66"")=CU$2),$G$3:$BQ$3,$G127:$BQ127))),"""")"),"")</f>
        <v/>
      </c>
      <c r="CW127" s="251">
        <f>IFERROR(__xludf.DUMMYFUNCTION("AVERAGE(ARRAYFORMULA(XLOOKUP(FILTER(INDIRECT(""'""&amp;CW$1&amp;""'!$C$4:$C$66""),INDIRECT(""'""&amp;CW$1&amp;""'!$D$4:$D$66"")=CW$2),$G$3:$BQ$3,$G127:$BQ127)))"),-0.4369792)</f>
        <v>-0.4369792</v>
      </c>
      <c r="CX127" s="207" t="str">
        <f>IFERROR(__xludf.DUMMYFUNCTION("IF(OR(CW127&gt;$BS127+$BT127*$BT$2,CW127&lt;$BS127-$BT127*$BT$2),AVEDEV(ARRAYFORMULA(XLOOKUP(FILTER(INDIRECT(""'""&amp;CW$1&amp;""'!$C$4:$C$66""),INDIRECT(""'""&amp;CW$1&amp;""'!$D$4:$D$66"")=CW$2),$G$3:$BQ$3,$G127:$BQ127))),"""")"),"")</f>
        <v/>
      </c>
      <c r="CY127" s="251">
        <f>IFERROR(__xludf.DUMMYFUNCTION("AVERAGE(ARRAYFORMULA(XLOOKUP(FILTER(INDIRECT(""'""&amp;CY$1&amp;""'!$C$4:$C$66""),INDIRECT(""'""&amp;CY$1&amp;""'!$D$4:$D$66"")=CY$2),$G$3:$BQ$3,$G127:$BQ127)))"),-0.021748519285714276)</f>
        <v>-0.02174851929</v>
      </c>
      <c r="CZ127" s="207" t="str">
        <f>IFERROR(__xludf.DUMMYFUNCTION("IF(OR(CY127&gt;$BS127+$BT127*$BT$2,CY127&lt;$BS127-$BT127*$BT$2),AVEDEV(ARRAYFORMULA(XLOOKUP(FILTER(INDIRECT(""'""&amp;CY$1&amp;""'!$C$4:$C$66""),INDIRECT(""'""&amp;CY$1&amp;""'!$D$4:$D$66"")=CY$2),$G$3:$BQ$3,$G127:$BQ127))),"""")"),"")</f>
        <v/>
      </c>
      <c r="DA127" s="252"/>
      <c r="DB127" s="251">
        <f>IFERROR(__xludf.DUMMYFUNCTION("AVERAGE(ARRAYFORMULA(XLOOKUP(FILTER(INDIRECT(""'""&amp;DB$1&amp;""'!$C$4:$C$66""),INDIRECT(""'""&amp;DB$1&amp;""'!$D$4:$D$66"")=DB$2),$G$3:$BQ$3,$G127:$BQ127)))"),0.245427082)</f>
        <v>0.245427082</v>
      </c>
      <c r="DC127" s="207" t="str">
        <f>IFERROR(__xludf.DUMMYFUNCTION("IF(OR(DB127&gt;$BS127+$BT127*$BT$2,DB127&lt;$BS127-$BT127*$BT$2),AVEDEV(ARRAYFORMULA(XLOOKUP(FILTER(INDIRECT(""'""&amp;DB$1&amp;""'!$C$4:$C$66""),INDIRECT(""'""&amp;DB$1&amp;""'!$D$4:$D$66"")=DB$2),$G$3:$BQ$3,$G127:$BQ127))),"""")"),"")</f>
        <v/>
      </c>
      <c r="DD127" s="251">
        <f>IFERROR(__xludf.DUMMYFUNCTION("AVERAGE(ARRAYFORMULA(XLOOKUP(FILTER(INDIRECT(""'""&amp;DD$1&amp;""'!$C$4:$C$66""),INDIRECT(""'""&amp;DD$1&amp;""'!$D$4:$D$66"")=DD$2),$G$3:$BQ$3,$G127:$BQ127)))"),0.4498263899999999)</f>
        <v>0.44982639</v>
      </c>
      <c r="DE127" s="207" t="str">
        <f>IFERROR(__xludf.DUMMYFUNCTION("IF(OR(DD127&gt;$BS127+$BT127*$BT$2,DD127&lt;$BS127-$BT127*$BT$2),AVEDEV(ARRAYFORMULA(XLOOKUP(FILTER(INDIRECT(""'""&amp;DD$1&amp;""'!$C$4:$C$66""),INDIRECT(""'""&amp;DD$1&amp;""'!$D$4:$D$66"")=DD$2),$G$3:$BQ$3,$G127:$BQ127))),"""")"),"")</f>
        <v/>
      </c>
      <c r="DF127" s="251">
        <f>IFERROR(__xludf.DUMMYFUNCTION("AVERAGE(ARRAYFORMULA(XLOOKUP(FILTER(INDIRECT(""'""&amp;DF$1&amp;""'!$C$4:$C$66""),INDIRECT(""'""&amp;DF$1&amp;""'!$D$4:$D$66"")=DF$2),$G$3:$BQ$3,$G127:$BQ127)))"),0.79394530875)</f>
        <v>0.7939453088</v>
      </c>
      <c r="DG127" s="207" t="str">
        <f>IFERROR(__xludf.DUMMYFUNCTION("IF(OR(DF127&gt;$BS127+$BT127*$BT$2,DF127&lt;$BS127-$BT127*$BT$2),AVEDEV(ARRAYFORMULA(XLOOKUP(FILTER(INDIRECT(""'""&amp;DF$1&amp;""'!$C$4:$C$66""),INDIRECT(""'""&amp;DF$1&amp;""'!$D$4:$D$66"")=DF$2),$G$3:$BQ$3,$G127:$BQ127))),"""")"),"")</f>
        <v/>
      </c>
      <c r="DH127" s="251">
        <f>IFERROR(__xludf.DUMMYFUNCTION("AVERAGE(ARRAYFORMULA(XLOOKUP(FILTER(INDIRECT(""'""&amp;DH$1&amp;""'!$C$4:$C$66""),INDIRECT(""'""&amp;DH$1&amp;""'!$D$4:$D$66"")=DH$2),$G$3:$BQ$3,$G127:$BQ127)))"),-0.37303241444444446)</f>
        <v>-0.3730324144</v>
      </c>
      <c r="DI127" s="207" t="str">
        <f>IFERROR(__xludf.DUMMYFUNCTION("IF(OR(DH127&gt;$BS127+$BT127*$BT$2,DH127&lt;$BS127-$BT127*$BT$2),AVEDEV(ARRAYFORMULA(XLOOKUP(FILTER(INDIRECT(""'""&amp;DH$1&amp;""'!$C$4:$C$66""),INDIRECT(""'""&amp;DH$1&amp;""'!$D$4:$D$66"")=DH$2),$G$3:$BQ$3,$G127:$BQ127))),"""")"),"")</f>
        <v/>
      </c>
      <c r="DJ127" s="243"/>
    </row>
    <row r="128">
      <c r="A128" s="2"/>
      <c r="B128" s="204">
        <v>124.0</v>
      </c>
      <c r="C128" s="204" t="s">
        <v>540</v>
      </c>
      <c r="D128" s="204" t="s">
        <v>570</v>
      </c>
      <c r="E128" s="205" t="b">
        <f>VLOOKUP(D128,'Feature Set List'!A125:C246,2,0)</f>
        <v>1</v>
      </c>
      <c r="F128" s="205" t="b">
        <f>VLOOKUP(D128,'Feature Set List'!A125:C246,3,0)</f>
        <v>1</v>
      </c>
      <c r="G128" s="205">
        <v>0.8389699</v>
      </c>
      <c r="H128" s="205">
        <v>0.25131865</v>
      </c>
      <c r="I128" s="205">
        <v>0.07198262</v>
      </c>
      <c r="J128" s="205">
        <v>0.55600372</v>
      </c>
      <c r="K128" s="205">
        <v>-0.1880236</v>
      </c>
      <c r="L128" s="205">
        <v>-0.2755197</v>
      </c>
      <c r="M128" s="205">
        <v>-0.4995346</v>
      </c>
      <c r="N128" s="205">
        <v>0.12100527</v>
      </c>
      <c r="O128" s="205">
        <v>0.73037543</v>
      </c>
      <c r="P128" s="205">
        <v>-0.2283587</v>
      </c>
      <c r="Q128" s="205">
        <v>-0.4039715</v>
      </c>
      <c r="R128" s="205">
        <v>-0.8147688</v>
      </c>
      <c r="S128" s="205">
        <v>1.07353397</v>
      </c>
      <c r="T128" s="205">
        <v>-0.4269314</v>
      </c>
      <c r="U128" s="205">
        <v>0.46168166</v>
      </c>
      <c r="V128" s="205">
        <v>-0.4914676</v>
      </c>
      <c r="W128" s="205">
        <v>-0.1700279</v>
      </c>
      <c r="X128" s="205">
        <v>0.89730065</v>
      </c>
      <c r="Y128" s="205">
        <v>0.58578964</v>
      </c>
      <c r="Z128" s="205">
        <v>1.09339125</v>
      </c>
      <c r="AA128" s="205">
        <v>-0.1179026</v>
      </c>
      <c r="AB128" s="205">
        <v>0.31709587</v>
      </c>
      <c r="AC128" s="205">
        <v>0.65653118</v>
      </c>
      <c r="AD128" s="205">
        <v>0.16320199</v>
      </c>
      <c r="AE128" s="205">
        <v>0.81600993</v>
      </c>
      <c r="AF128" s="205">
        <v>-0.4393422</v>
      </c>
      <c r="AG128" s="205">
        <v>0.40521253</v>
      </c>
      <c r="AH128" s="205">
        <v>0.77939808</v>
      </c>
      <c r="AI128" s="205">
        <v>-0.8296618</v>
      </c>
      <c r="AJ128" s="205">
        <v>-0.3990071</v>
      </c>
      <c r="AK128" s="205">
        <v>-0.8861309</v>
      </c>
      <c r="AL128" s="205">
        <v>-0.6081291</v>
      </c>
      <c r="AM128" s="205">
        <v>0.55228048</v>
      </c>
      <c r="AN128" s="205">
        <v>-0.2569035</v>
      </c>
      <c r="AO128" s="205">
        <v>2.17561278</v>
      </c>
      <c r="AP128" s="205">
        <v>-0.2910332</v>
      </c>
      <c r="AQ128" s="205">
        <v>0.61123177</v>
      </c>
      <c r="AR128" s="205">
        <v>0.0</v>
      </c>
      <c r="AS128" s="205">
        <v>-0.3940428</v>
      </c>
      <c r="AT128" s="205">
        <v>1.15048092</v>
      </c>
      <c r="AU128" s="205">
        <v>0.08935774</v>
      </c>
      <c r="AV128" s="205">
        <v>1.56872479</v>
      </c>
      <c r="AW128" s="205">
        <v>-0.3555693</v>
      </c>
      <c r="AX128" s="205">
        <v>-0.4083152</v>
      </c>
      <c r="AY128" s="205">
        <v>3.10952529</v>
      </c>
      <c r="AZ128" s="205">
        <v>0.22153273</v>
      </c>
      <c r="BA128" s="205">
        <v>-0.2624884</v>
      </c>
      <c r="BB128" s="205">
        <v>0.44616817</v>
      </c>
      <c r="BC128" s="205">
        <v>-0.3319888</v>
      </c>
      <c r="BD128" s="205">
        <v>-0.3146137</v>
      </c>
      <c r="BE128" s="205">
        <v>0.46602544</v>
      </c>
      <c r="BF128" s="205">
        <v>-0.2153273</v>
      </c>
      <c r="BG128" s="205">
        <v>-0.3301272</v>
      </c>
      <c r="BH128" s="205">
        <v>0.67887062</v>
      </c>
      <c r="BI128" s="205">
        <v>-0.887372</v>
      </c>
      <c r="BJ128" s="205">
        <v>0.778157</v>
      </c>
      <c r="BK128" s="205">
        <v>-0.9246044</v>
      </c>
      <c r="BL128" s="205">
        <v>1.94477195</v>
      </c>
      <c r="BM128" s="205">
        <v>-1.1070431</v>
      </c>
      <c r="BN128" s="205">
        <v>-0.4306547</v>
      </c>
      <c r="BO128" s="205">
        <v>0.05522805</v>
      </c>
      <c r="BP128" s="205">
        <v>-0.6794912</v>
      </c>
      <c r="BQ128" s="205">
        <v>-1.2851381</v>
      </c>
      <c r="BR128" s="206"/>
      <c r="BS128" s="250">
        <f t="shared" si="1"/>
        <v>0.1335441217</v>
      </c>
      <c r="BT128" s="250">
        <f t="shared" si="2"/>
        <v>0.6261430191</v>
      </c>
      <c r="BU128" s="206"/>
      <c r="BV128" s="207">
        <f>IFERROR(__xludf.DUMMYFUNCTION("AVERAGE(ARRAYFORMULA(XLOOKUP(FILTER(INDIRECT(""'""&amp;BV$1&amp;""'!$C$4:$C$66""),INDIRECT(""'""&amp;BV$1&amp;""'!$D$4:$D$66"")=BV$2),$G$3:$BQ$3,$G128:$BQ128)))"),1.3572979914285714)</f>
        <v>1.357297991</v>
      </c>
      <c r="BW128" s="207">
        <f>IFERROR(__xludf.DUMMYFUNCTION("IF(OR(BV128&gt;$BS128+$BT128*$BT$2,BV128&lt;$BS128-$BT128*$BT$2),AVEDEV(ARRAYFORMULA(XLOOKUP(FILTER(INDIRECT(""'""&amp;BV$1&amp;""'!$C$4:$C$66""),INDIRECT(""'""&amp;BV$1&amp;""'!$D$4:$D$66"")=BV$2),$G$3:$BQ$3,$G128:$BQ128))),"""")"),0.90229029877551)</f>
        <v>0.9022902988</v>
      </c>
      <c r="BX128" s="207">
        <f>IFERROR(__xludf.DUMMYFUNCTION("AVERAGE(ARRAYFORMULA(XLOOKUP(FILTER(INDIRECT(""'""&amp;BX$1&amp;""'!$C$4:$C$66""),INDIRECT(""'""&amp;BX$1&amp;""'!$D$4:$D$66"")=BX$2),$G$3:$BQ$3,$G128:$BQ128)))"),0.019724304761904756)</f>
        <v>0.01972430476</v>
      </c>
      <c r="BY128" s="207" t="str">
        <f>IFERROR(__xludf.DUMMYFUNCTION("IF(OR(BX128&gt;$BS128+$BT128*$BT$2,BX128&lt;$BS128-$BT128*$BT$2),AVEDEV(ARRAYFORMULA(XLOOKUP(FILTER(INDIRECT(""'""&amp;BX$1&amp;""'!$C$4:$C$66""),INDIRECT(""'""&amp;BX$1&amp;""'!$D$4:$D$66"")=BX$2),$G$3:$BQ$3,$G128:$BQ128))),"""")"),"")</f>
        <v/>
      </c>
      <c r="BZ128" s="207">
        <f>IFERROR(__xludf.DUMMYFUNCTION("AVERAGE(ARRAYFORMULA(XLOOKUP(FILTER(INDIRECT(""'""&amp;BZ$1&amp;""'!$C$4:$C$66""),INDIRECT(""'""&amp;BZ$1&amp;""'!$D$4:$D$66"")=BZ$2),$G$3:$BQ$3,$G128:$BQ128)))"),-0.16026852090909094)</f>
        <v>-0.1602685209</v>
      </c>
      <c r="CA128" s="207" t="str">
        <f>IFERROR(__xludf.DUMMYFUNCTION("IF(OR(BZ128&gt;$BS128+$BT128*$BT$2,BZ128&lt;$BS128-$BT128*$BT$2),AVEDEV(ARRAYFORMULA(XLOOKUP(FILTER(INDIRECT(""'""&amp;BZ$1&amp;""'!$C$4:$C$66""),INDIRECT(""'""&amp;BZ$1&amp;""'!$D$4:$D$66"")=BZ$2),$G$3:$BQ$3,$G128:$BQ128))),"""")"),"")</f>
        <v/>
      </c>
      <c r="CB128" s="209"/>
      <c r="CC128" s="207">
        <f>IFERROR(__xludf.DUMMYFUNCTION("AVERAGE(ARRAYFORMULA(XLOOKUP(FILTER(INDIRECT(""'""&amp;CC$1&amp;""'!$C$4:$C$66""),INDIRECT(""'""&amp;CC$1&amp;""'!$D$4:$D$66"")=CC$2),$G$3:$BQ$3,$G128:$BQ128)))"),0.09761868249999998)</f>
        <v>0.0976186825</v>
      </c>
      <c r="CD128" s="207" t="str">
        <f>IFERROR(__xludf.DUMMYFUNCTION("IF(OR(CC128&gt;$BS128+$BT128*$BT$2,CC128&lt;$BS128-$BT128*$BT$2),AVEDEV(ARRAYFORMULA(XLOOKUP(FILTER(INDIRECT(""'""&amp;CC$1&amp;""'!$C$4:$C$66""),INDIRECT(""'""&amp;CC$1&amp;""'!$D$4:$D$66"")=CC$2),$G$3:$BQ$3,$G128:$BQ128))),"""")"),"")</f>
        <v/>
      </c>
      <c r="CE128" s="207">
        <f>IFERROR(__xludf.DUMMYFUNCTION("AVERAGE(ARRAYFORMULA(XLOOKUP(FILTER(INDIRECT(""'""&amp;CE$1&amp;""'!$C$4:$C$66""),INDIRECT(""'""&amp;CE$1&amp;""'!$D$4:$D$66"")=CE$2),$G$3:$BQ$3,$G128:$BQ128)))"),0.13709927612903225)</f>
        <v>0.1370992761</v>
      </c>
      <c r="CF128" s="207" t="str">
        <f>IFERROR(__xludf.DUMMYFUNCTION("IF(OR(CE128&gt;$BS128+$BT128*$BT$2,CE128&lt;$BS128-$BT128*$BT$2),AVEDEV(ARRAYFORMULA(XLOOKUP(FILTER(INDIRECT(""'""&amp;CE$1&amp;""'!$C$4:$C$66""),INDIRECT(""'""&amp;CE$1&amp;""'!$D$4:$D$66"")=CE$2),$G$3:$BQ$3,$G128:$BQ128))),"""")"),"")</f>
        <v/>
      </c>
      <c r="CG128" s="207">
        <f>IFERROR(__xludf.DUMMYFUNCTION("AVERAGE(ARRAYFORMULA(XLOOKUP(FILTER(INDIRECT(""'""&amp;CG$1&amp;""'!$C$4:$C$66""),INDIRECT(""'""&amp;CG$1&amp;""'!$D$4:$D$66"")=CG$2),$G$3:$BQ$3,$G128:$BQ128)))"),-0.3283897)</f>
        <v>-0.3283897</v>
      </c>
      <c r="CH128" s="207" t="str">
        <f>IFERROR(__xludf.DUMMYFUNCTION("IF(OR(CG128&gt;$BS128+$BT128*$BT$2,CG128&lt;$BS128-$BT128*$BT$2),AVEDEV(ARRAYFORMULA(XLOOKUP(FILTER(INDIRECT(""'""&amp;CG$1&amp;""'!$C$4:$C$66""),INDIRECT(""'""&amp;CG$1&amp;""'!$D$4:$D$66"")=CG$2),$G$3:$BQ$3,$G128:$BQ128))),"""")"),"")</f>
        <v/>
      </c>
      <c r="CI128" s="206"/>
      <c r="CJ128" s="251">
        <f>IFERROR(__xludf.DUMMYFUNCTION("AVERAGE(ARRAYFORMULA(XLOOKUP(FILTER(INDIRECT(""'""&amp;CJ$1&amp;""'!$C$4:$C$66""),INDIRECT(""'""&amp;CJ$1&amp;""'!$D$4:$D$66"")=CJ$2),$G$3:$BQ$3,$G128:$BQ128)))"),0.42444927066666666)</f>
        <v>0.4244492707</v>
      </c>
      <c r="CK128" s="207" t="str">
        <f>IFERROR(__xludf.DUMMYFUNCTION("IF(OR(CJ128&gt;$BS128+$BT128*$BT$2,CJ128&lt;$BS128-$BT128*$BT$2),AVEDEV(ARRAYFORMULA(XLOOKUP(FILTER(INDIRECT(""'""&amp;CJ$1&amp;""'!$C$4:$C$66""),INDIRECT(""'""&amp;CJ$1&amp;""'!$D$4:$D$66"")=CJ$2),$G$3:$BQ$3,$G128:$BQ128))),"""")"),"")</f>
        <v/>
      </c>
      <c r="CL128" s="251">
        <f>IFERROR(__xludf.DUMMYFUNCTION("AVERAGE(ARRAYFORMULA(XLOOKUP(FILTER(INDIRECT(""'""&amp;CL$1&amp;""'!$C$4:$C$66""),INDIRECT(""'""&amp;CL$1&amp;""'!$D$4:$D$66"")=CL$2),$G$3:$BQ$3,$G128:$BQ128)))"),0.048640782051282055)</f>
        <v>0.04864078205</v>
      </c>
      <c r="CM128" s="207" t="str">
        <f>IFERROR(__xludf.DUMMYFUNCTION("IF(OR(CL128&gt;$BS128+$BT128*$BT$2,CL128&lt;$BS128-$BT128*$BT$2),AVEDEV(ARRAYFORMULA(XLOOKUP(FILTER(INDIRECT(""'""&amp;CL$1&amp;""'!$C$4:$C$66""),INDIRECT(""'""&amp;CL$1&amp;""'!$D$4:$D$66"")=CL$2),$G$3:$BQ$3,$G128:$BQ128))),"""")"),"")</f>
        <v/>
      </c>
      <c r="CN128" s="253">
        <f>IFERROR(__xludf.DUMMYFUNCTION("AVERAGE(ARRAYFORMULA(XLOOKUP(FILTER(INDIRECT(""'""&amp;CN$1&amp;""'!$C$4:$C$66""),INDIRECT(""'""&amp;CN$1&amp;""'!$D$4:$D$66"")=CN$2),$G$3:$BQ$3,$G128:$BQ128)))"),-0.3283897)</f>
        <v>-0.3283897</v>
      </c>
      <c r="CO128" s="207" t="str">
        <f>IFERROR(__xludf.DUMMYFUNCTION("IF(OR(CN128&gt;$BS128+$BT128*$BT$2,CN128&lt;$BS128-$BT128*$BT$2),AVEDEV(ARRAYFORMULA(XLOOKUP(FILTER(INDIRECT(""'""&amp;CN$1&amp;""'!$C$4:$C$66""),INDIRECT(""'""&amp;CN$1&amp;""'!$D$4:$D$66"")=CN$2),$G$3:$BQ$3,$G128:$BQ128))),"""")"),"")</f>
        <v/>
      </c>
      <c r="CP128" s="252"/>
      <c r="CQ128" s="251">
        <f>IFERROR(__xludf.DUMMYFUNCTION("AVERAGE(ARRAYFORMULA(XLOOKUP(FILTER(INDIRECT(""'""&amp;CQ$1&amp;""'!$C$4:$C$66""),INDIRECT(""'""&amp;CQ$1&amp;""'!$D$4:$D$66"")=CQ$2),$G$3:$BQ$3,$G128:$BQ128)))"),-0.13151012357142858)</f>
        <v>-0.1315101236</v>
      </c>
      <c r="CR128" s="207" t="str">
        <f>IFERROR(__xludf.DUMMYFUNCTION("IF(OR(CQ128&gt;$BS128+$BT128*$BT$2,CQ128&lt;$BS128-$BT128*$BT$2),AVEDEV(ARRAYFORMULA(XLOOKUP(FILTER(INDIRECT(""'""&amp;CQ$1&amp;""'!$C$4:$C$66""),INDIRECT(""'""&amp;CQ$1&amp;""'!$D$4:$D$66"")=CQ$2),$G$3:$BQ$3,$G128:$BQ128))),"""")"),"")</f>
        <v/>
      </c>
      <c r="CS128" s="251">
        <f>IFERROR(__xludf.DUMMYFUNCTION("AVERAGE(ARRAYFORMULA(XLOOKUP(FILTER(INDIRECT(""'""&amp;CS$1&amp;""'!$C$4:$C$66""),INDIRECT(""'""&amp;CS$1&amp;""'!$D$4:$D$66"")=CS$2),$G$3:$BQ$3,$G128:$BQ128)))"),-0.09749370666666664)</f>
        <v>-0.09749370667</v>
      </c>
      <c r="CT128" s="207" t="str">
        <f>IFERROR(__xludf.DUMMYFUNCTION("IF(OR(CS128&gt;$BS128+$BT128*$BT$2,CS128&lt;$BS128-$BT128*$BT$2),AVEDEV(ARRAYFORMULA(XLOOKUP(FILTER(INDIRECT(""'""&amp;CS$1&amp;""'!$C$4:$C$66""),INDIRECT(""'""&amp;CS$1&amp;""'!$D$4:$D$66"")=CS$2),$G$3:$BQ$3,$G128:$BQ128))),"""")"),"")</f>
        <v/>
      </c>
      <c r="CU128" s="251">
        <f>IFERROR(__xludf.DUMMYFUNCTION("AVERAGE(ARRAYFORMULA(XLOOKUP(FILTER(INDIRECT(""'""&amp;CU$1&amp;""'!$C$4:$C$66""),INDIRECT(""'""&amp;CU$1&amp;""'!$D$4:$D$66"")=CU$2),$G$3:$BQ$3,$G128:$BQ128)))"),0.5387978427272728)</f>
        <v>0.5387978427</v>
      </c>
      <c r="CV128" s="207" t="str">
        <f>IFERROR(__xludf.DUMMYFUNCTION("IF(OR(CU128&gt;$BS128+$BT128*$BT$2,CU128&lt;$BS128-$BT128*$BT$2),AVEDEV(ARRAYFORMULA(XLOOKUP(FILTER(INDIRECT(""'""&amp;CU$1&amp;""'!$C$4:$C$66""),INDIRECT(""'""&amp;CU$1&amp;""'!$D$4:$D$66"")=CU$2),$G$3:$BQ$3,$G128:$BQ128))),"""")"),"")</f>
        <v/>
      </c>
      <c r="CW128" s="251">
        <f>IFERROR(__xludf.DUMMYFUNCTION("AVERAGE(ARRAYFORMULA(XLOOKUP(FILTER(INDIRECT(""'""&amp;CW$1&amp;""'!$C$4:$C$66""),INDIRECT(""'""&amp;CW$1&amp;""'!$D$4:$D$66"")=CW$2),$G$3:$BQ$3,$G128:$BQ128)))"),0.421036305)</f>
        <v>0.421036305</v>
      </c>
      <c r="CX128" s="207" t="str">
        <f>IFERROR(__xludf.DUMMYFUNCTION("IF(OR(CW128&gt;$BS128+$BT128*$BT$2,CW128&lt;$BS128-$BT128*$BT$2),AVEDEV(ARRAYFORMULA(XLOOKUP(FILTER(INDIRECT(""'""&amp;CW$1&amp;""'!$C$4:$C$66""),INDIRECT(""'""&amp;CW$1&amp;""'!$D$4:$D$66"")=CW$2),$G$3:$BQ$3,$G128:$BQ128))),"""")"),"")</f>
        <v/>
      </c>
      <c r="CY128" s="253">
        <f>IFERROR(__xludf.DUMMYFUNCTION("AVERAGE(ARRAYFORMULA(XLOOKUP(FILTER(INDIRECT(""'""&amp;CY$1&amp;""'!$C$4:$C$66""),INDIRECT(""'""&amp;CY$1&amp;""'!$D$4:$D$66"")=CY$2),$G$3:$BQ$3,$G128:$BQ128)))"),-0.23540623)</f>
        <v>-0.23540623</v>
      </c>
      <c r="CZ128" s="207" t="str">
        <f>IFERROR(__xludf.DUMMYFUNCTION("IF(OR(CY128&gt;$BS128+$BT128*$BT$2,CY128&lt;$BS128-$BT128*$BT$2),AVEDEV(ARRAYFORMULA(XLOOKUP(FILTER(INDIRECT(""'""&amp;CY$1&amp;""'!$C$4:$C$66""),INDIRECT(""'""&amp;CY$1&amp;""'!$D$4:$D$66"")=CY$2),$G$3:$BQ$3,$G128:$BQ128))),"""")"),"")</f>
        <v/>
      </c>
      <c r="DA128" s="252"/>
      <c r="DB128" s="251">
        <f>IFERROR(__xludf.DUMMYFUNCTION("AVERAGE(ARRAYFORMULA(XLOOKUP(FILTER(INDIRECT(""'""&amp;DB$1&amp;""'!$C$4:$C$66""),INDIRECT(""'""&amp;DB$1&amp;""'!$D$4:$D$66"")=DB$2),$G$3:$BQ$3,$G128:$BQ128)))"),-0.01898852066666666)</f>
        <v>-0.01898852067</v>
      </c>
      <c r="DC128" s="207" t="str">
        <f>IFERROR(__xludf.DUMMYFUNCTION("IF(OR(DB128&gt;$BS128+$BT128*$BT$2,DB128&lt;$BS128-$BT128*$BT$2),AVEDEV(ARRAYFORMULA(XLOOKUP(FILTER(INDIRECT(""'""&amp;DB$1&amp;""'!$C$4:$C$66""),INDIRECT(""'""&amp;DB$1&amp;""'!$D$4:$D$66"")=DB$2),$G$3:$BQ$3,$G128:$BQ128))),"""")"),"")</f>
        <v/>
      </c>
      <c r="DD128" s="251">
        <f>IFERROR(__xludf.DUMMYFUNCTION("AVERAGE(ARRAYFORMULA(XLOOKUP(FILTER(INDIRECT(""'""&amp;DD$1&amp;""'!$C$4:$C$66""),INDIRECT(""'""&amp;DD$1&amp;""'!$D$4:$D$66"")=DD$2),$G$3:$BQ$3,$G128:$BQ128)))"),-0.062467678888888885)</f>
        <v>-0.06246767889</v>
      </c>
      <c r="DE128" s="207" t="str">
        <f>IFERROR(__xludf.DUMMYFUNCTION("IF(OR(DD128&gt;$BS128+$BT128*$BT$2,DD128&lt;$BS128-$BT128*$BT$2),AVEDEV(ARRAYFORMULA(XLOOKUP(FILTER(INDIRECT(""'""&amp;DD$1&amp;""'!$C$4:$C$66""),INDIRECT(""'""&amp;DD$1&amp;""'!$D$4:$D$66"")=DD$2),$G$3:$BQ$3,$G128:$BQ128))),"""")"),"")</f>
        <v/>
      </c>
      <c r="DF128" s="251">
        <f>IFERROR(__xludf.DUMMYFUNCTION("AVERAGE(ARRAYFORMULA(XLOOKUP(FILTER(INDIRECT(""'""&amp;DF$1&amp;""'!$C$4:$C$66""),INDIRECT(""'""&amp;DF$1&amp;""'!$D$4:$D$66"")=DF$2),$G$3:$BQ$3,$G128:$BQ128)))"),0.5331213225)</f>
        <v>0.5331213225</v>
      </c>
      <c r="DG128" s="207" t="str">
        <f>IFERROR(__xludf.DUMMYFUNCTION("IF(OR(DF128&gt;$BS128+$BT128*$BT$2,DF128&lt;$BS128-$BT128*$BT$2),AVEDEV(ARRAYFORMULA(XLOOKUP(FILTER(INDIRECT(""'""&amp;DF$1&amp;""'!$C$4:$C$66""),INDIRECT(""'""&amp;DF$1&amp;""'!$D$4:$D$66"")=DF$2),$G$3:$BQ$3,$G128:$BQ128))),"""")"),"")</f>
        <v/>
      </c>
      <c r="DH128" s="251">
        <f>IFERROR(__xludf.DUMMYFUNCTION("AVERAGE(ARRAYFORMULA(XLOOKUP(FILTER(INDIRECT(""'""&amp;DH$1&amp;""'!$C$4:$C$66""),INDIRECT(""'""&amp;DH$1&amp;""'!$D$4:$D$66"")=DH$2),$G$3:$BQ$3,$G128:$BQ128)))"),0.04619575333333333)</f>
        <v>0.04619575333</v>
      </c>
      <c r="DI128" s="207" t="str">
        <f>IFERROR(__xludf.DUMMYFUNCTION("IF(OR(DH128&gt;$BS128+$BT128*$BT$2,DH128&lt;$BS128-$BT128*$BT$2),AVEDEV(ARRAYFORMULA(XLOOKUP(FILTER(INDIRECT(""'""&amp;DH$1&amp;""'!$C$4:$C$66""),INDIRECT(""'""&amp;DH$1&amp;""'!$D$4:$D$66"")=DH$2),$G$3:$BQ$3,$G128:$BQ128))),"""")"),"")</f>
        <v/>
      </c>
      <c r="DJ128" s="243"/>
    </row>
    <row r="129">
      <c r="A129" s="2"/>
      <c r="B129" s="204">
        <v>125.0</v>
      </c>
      <c r="C129" s="204" t="s">
        <v>540</v>
      </c>
      <c r="D129" s="204" t="s">
        <v>571</v>
      </c>
      <c r="E129" s="205" t="b">
        <f>VLOOKUP(D129,'Feature Set List'!A126:C246,2,0)</f>
        <v>1</v>
      </c>
      <c r="F129" s="205" t="b">
        <f>VLOOKUP(D129,'Feature Set List'!A126:C246,3,0)</f>
        <v>1</v>
      </c>
      <c r="G129" s="205">
        <v>0.0</v>
      </c>
      <c r="H129" s="205">
        <v>1.0</v>
      </c>
      <c r="I129" s="205">
        <v>0.0</v>
      </c>
      <c r="J129" s="205">
        <v>1.0</v>
      </c>
      <c r="K129" s="205">
        <v>1.0</v>
      </c>
      <c r="L129" s="205">
        <v>0.0</v>
      </c>
      <c r="M129" s="205">
        <v>0.0</v>
      </c>
      <c r="N129" s="205">
        <v>0.0</v>
      </c>
      <c r="O129" s="205">
        <v>0.0</v>
      </c>
      <c r="P129" s="205">
        <v>0.0</v>
      </c>
      <c r="Q129" s="205">
        <v>0.0</v>
      </c>
      <c r="R129" s="205">
        <v>0.0</v>
      </c>
      <c r="S129" s="205">
        <v>1.0</v>
      </c>
      <c r="T129" s="205">
        <v>0.0</v>
      </c>
      <c r="U129" s="205">
        <v>1.0</v>
      </c>
      <c r="V129" s="205">
        <v>0.0</v>
      </c>
      <c r="W129" s="205">
        <v>1.0</v>
      </c>
      <c r="X129" s="205">
        <v>1.0</v>
      </c>
      <c r="Y129" s="205">
        <v>0.0</v>
      </c>
      <c r="Z129" s="205">
        <v>1.0</v>
      </c>
      <c r="AA129" s="205">
        <v>1.0</v>
      </c>
      <c r="AB129" s="205">
        <v>0.0</v>
      </c>
      <c r="AC129" s="205">
        <v>0.0</v>
      </c>
      <c r="AD129" s="205">
        <v>1.0</v>
      </c>
      <c r="AE129" s="205">
        <v>1.0</v>
      </c>
      <c r="AF129" s="205">
        <v>1.0</v>
      </c>
      <c r="AG129" s="205">
        <v>1.0</v>
      </c>
      <c r="AH129" s="205">
        <v>1.0</v>
      </c>
      <c r="AI129" s="205">
        <v>0.0</v>
      </c>
      <c r="AJ129" s="205">
        <v>0.0</v>
      </c>
      <c r="AK129" s="205">
        <v>0.0</v>
      </c>
      <c r="AL129" s="205">
        <v>0.0</v>
      </c>
      <c r="AM129" s="205">
        <v>0.0</v>
      </c>
      <c r="AN129" s="205">
        <v>0.0</v>
      </c>
      <c r="AO129" s="205">
        <v>1.0</v>
      </c>
      <c r="AP129" s="205">
        <v>1.0</v>
      </c>
      <c r="AQ129" s="205">
        <v>1.0</v>
      </c>
      <c r="AR129" s="205">
        <v>2.0</v>
      </c>
      <c r="AS129" s="205">
        <v>0.0</v>
      </c>
      <c r="AT129" s="205">
        <v>1.0</v>
      </c>
      <c r="AU129" s="205">
        <v>1.0</v>
      </c>
      <c r="AV129" s="205">
        <v>0.0</v>
      </c>
      <c r="AW129" s="205">
        <v>0.0</v>
      </c>
      <c r="AX129" s="205">
        <v>1.0</v>
      </c>
      <c r="AY129" s="205">
        <v>2.0</v>
      </c>
      <c r="AZ129" s="205">
        <v>1.0</v>
      </c>
      <c r="BA129" s="205">
        <v>0.0</v>
      </c>
      <c r="BB129" s="205">
        <v>1.0</v>
      </c>
      <c r="BC129" s="205">
        <v>0.0</v>
      </c>
      <c r="BD129" s="205">
        <v>0.0</v>
      </c>
      <c r="BE129" s="205">
        <v>1.0</v>
      </c>
      <c r="BF129" s="205">
        <v>0.0</v>
      </c>
      <c r="BG129" s="205">
        <v>0.0</v>
      </c>
      <c r="BH129" s="205">
        <v>0.0</v>
      </c>
      <c r="BI129" s="205">
        <v>0.0</v>
      </c>
      <c r="BJ129" s="205">
        <v>0.0</v>
      </c>
      <c r="BK129" s="205">
        <v>0.0</v>
      </c>
      <c r="BL129" s="205">
        <v>1.0</v>
      </c>
      <c r="BM129" s="205">
        <v>0.0</v>
      </c>
      <c r="BN129" s="205">
        <v>0.0</v>
      </c>
      <c r="BO129" s="205">
        <v>0.0</v>
      </c>
      <c r="BP129" s="205">
        <v>0.0</v>
      </c>
      <c r="BQ129" s="205">
        <v>0.0</v>
      </c>
      <c r="BR129" s="206"/>
      <c r="BS129" s="250">
        <f t="shared" si="1"/>
        <v>0.4444444444</v>
      </c>
      <c r="BT129" s="250">
        <f t="shared" si="2"/>
        <v>0.5220458554</v>
      </c>
      <c r="BU129" s="206"/>
      <c r="BV129" s="207">
        <f>IFERROR(__xludf.DUMMYFUNCTION("AVERAGE(ARRAYFORMULA(XLOOKUP(FILTER(INDIRECT(""'""&amp;BV$1&amp;""'!$C$4:$C$66""),INDIRECT(""'""&amp;BV$1&amp;""'!$D$4:$D$66"")=BV$2),$G$3:$BQ$3,$G129:$BQ129)))"),1.1428571428571428)</f>
        <v>1.142857143</v>
      </c>
      <c r="BW129" s="207">
        <f>IFERROR(__xludf.DUMMYFUNCTION("IF(OR(BV129&gt;$BS129+$BT129*$BT$2,BV129&lt;$BS129-$BT129*$BT$2),AVEDEV(ARRAYFORMULA(XLOOKUP(FILTER(INDIRECT(""'""&amp;BV$1&amp;""'!$C$4:$C$66""),INDIRECT(""'""&amp;BV$1&amp;""'!$D$4:$D$66"")=BV$2),$G$3:$BQ$3,$G129:$BQ129))),"""")"),0.24489795918367344)</f>
        <v>0.2448979592</v>
      </c>
      <c r="BX129" s="207">
        <f>IFERROR(__xludf.DUMMYFUNCTION("AVERAGE(ARRAYFORMULA(XLOOKUP(FILTER(INDIRECT(""'""&amp;BX$1&amp;""'!$C$4:$C$66""),INDIRECT(""'""&amp;BX$1&amp;""'!$D$4:$D$66"")=BX$2),$G$3:$BQ$3,$G129:$BQ129)))"),0.38095238095238093)</f>
        <v>0.380952381</v>
      </c>
      <c r="BY129" s="207" t="str">
        <f>IFERROR(__xludf.DUMMYFUNCTION("IF(OR(BX129&gt;$BS129+$BT129*$BT$2,BX129&lt;$BS129-$BT129*$BT$2),AVEDEV(ARRAYFORMULA(XLOOKUP(FILTER(INDIRECT(""'""&amp;BX$1&amp;""'!$C$4:$C$66""),INDIRECT(""'""&amp;BX$1&amp;""'!$D$4:$D$66"")=BX$2),$G$3:$BQ$3,$G129:$BQ129))),"""")"),"")</f>
        <v/>
      </c>
      <c r="BZ129" s="207">
        <f>IFERROR(__xludf.DUMMYFUNCTION("AVERAGE(ARRAYFORMULA(XLOOKUP(FILTER(INDIRECT(""'""&amp;BZ$1&amp;""'!$C$4:$C$66""),INDIRECT(""'""&amp;BZ$1&amp;""'!$D$4:$D$66"")=BZ$2),$G$3:$BQ$3,$G129:$BQ129)))"),0.2727272727272727)</f>
        <v>0.2727272727</v>
      </c>
      <c r="CA129" s="207" t="str">
        <f>IFERROR(__xludf.DUMMYFUNCTION("IF(OR(BZ129&gt;$BS129+$BT129*$BT$2,BZ129&lt;$BS129-$BT129*$BT$2),AVEDEV(ARRAYFORMULA(XLOOKUP(FILTER(INDIRECT(""'""&amp;BZ$1&amp;""'!$C$4:$C$66""),INDIRECT(""'""&amp;BZ$1&amp;""'!$D$4:$D$66"")=BZ$2),$G$3:$BQ$3,$G129:$BQ129))),"""")"),"")</f>
        <v/>
      </c>
      <c r="CB129" s="209"/>
      <c r="CC129" s="207">
        <f>IFERROR(__xludf.DUMMYFUNCTION("AVERAGE(ARRAYFORMULA(XLOOKUP(FILTER(INDIRECT(""'""&amp;CC$1&amp;""'!$C$4:$C$66""),INDIRECT(""'""&amp;CC$1&amp;""'!$D$4:$D$66"")=CC$2),$G$3:$BQ$3,$G129:$BQ129)))"),0.625)</f>
        <v>0.625</v>
      </c>
      <c r="CD129" s="207" t="str">
        <f>IFERROR(__xludf.DUMMYFUNCTION("IF(OR(CC129&gt;$BS129+$BT129*$BT$2,CC129&lt;$BS129-$BT129*$BT$2),AVEDEV(ARRAYFORMULA(XLOOKUP(FILTER(INDIRECT(""'""&amp;CC$1&amp;""'!$C$4:$C$66""),INDIRECT(""'""&amp;CC$1&amp;""'!$D$4:$D$66"")=CC$2),$G$3:$BQ$3,$G129:$BQ129))),"""")"),"")</f>
        <v/>
      </c>
      <c r="CE129" s="207">
        <f>IFERROR(__xludf.DUMMYFUNCTION("AVERAGE(ARRAYFORMULA(XLOOKUP(FILTER(INDIRECT(""'""&amp;CE$1&amp;""'!$C$4:$C$66""),INDIRECT(""'""&amp;CE$1&amp;""'!$D$4:$D$66"")=CE$2),$G$3:$BQ$3,$G129:$BQ129)))"),0.3548387096774194)</f>
        <v>0.3548387097</v>
      </c>
      <c r="CF129" s="207" t="str">
        <f>IFERROR(__xludf.DUMMYFUNCTION("IF(OR(CE129&gt;$BS129+$BT129*$BT$2,CE129&lt;$BS129-$BT129*$BT$2),AVEDEV(ARRAYFORMULA(XLOOKUP(FILTER(INDIRECT(""'""&amp;CE$1&amp;""'!$C$4:$C$66""),INDIRECT(""'""&amp;CE$1&amp;""'!$D$4:$D$66"")=CE$2),$G$3:$BQ$3,$G129:$BQ129))),"""")"),"")</f>
        <v/>
      </c>
      <c r="CG129" s="207">
        <f>IFERROR(__xludf.DUMMYFUNCTION("AVERAGE(ARRAYFORMULA(XLOOKUP(FILTER(INDIRECT(""'""&amp;CG$1&amp;""'!$C$4:$C$66""),INDIRECT(""'""&amp;CG$1&amp;""'!$D$4:$D$66"")=CG$2),$G$3:$BQ$3,$G129:$BQ129)))"),0.0)</f>
        <v>0</v>
      </c>
      <c r="CH129" s="207" t="str">
        <f>IFERROR(__xludf.DUMMYFUNCTION("IF(OR(CG129&gt;$BS129+$BT129*$BT$2,CG129&lt;$BS129-$BT129*$BT$2),AVEDEV(ARRAYFORMULA(XLOOKUP(FILTER(INDIRECT(""'""&amp;CG$1&amp;""'!$C$4:$C$66""),INDIRECT(""'""&amp;CG$1&amp;""'!$D$4:$D$66"")=CG$2),$G$3:$BQ$3,$G129:$BQ129))),"""")"),"")</f>
        <v/>
      </c>
      <c r="CI129" s="206"/>
      <c r="CJ129" s="251">
        <f>IFERROR(__xludf.DUMMYFUNCTION("AVERAGE(ARRAYFORMULA(XLOOKUP(FILTER(INDIRECT(""'""&amp;CJ$1&amp;""'!$C$4:$C$66""),INDIRECT(""'""&amp;CJ$1&amp;""'!$D$4:$D$66"")=CJ$2),$G$3:$BQ$3,$G129:$BQ129)))"),0.5333333333333333)</f>
        <v>0.5333333333</v>
      </c>
      <c r="CK129" s="207" t="str">
        <f>IFERROR(__xludf.DUMMYFUNCTION("IF(OR(CJ129&gt;$BS129+$BT129*$BT$2,CJ129&lt;$BS129-$BT129*$BT$2),AVEDEV(ARRAYFORMULA(XLOOKUP(FILTER(INDIRECT(""'""&amp;CJ$1&amp;""'!$C$4:$C$66""),INDIRECT(""'""&amp;CJ$1&amp;""'!$D$4:$D$66"")=CJ$2),$G$3:$BQ$3,$G129:$BQ129))),"""")"),"")</f>
        <v/>
      </c>
      <c r="CL129" s="251">
        <f>IFERROR(__xludf.DUMMYFUNCTION("AVERAGE(ARRAYFORMULA(XLOOKUP(FILTER(INDIRECT(""'""&amp;CL$1&amp;""'!$C$4:$C$66""),INDIRECT(""'""&amp;CL$1&amp;""'!$D$4:$D$66"")=CL$2),$G$3:$BQ$3,$G129:$BQ129)))"),0.46153846153846156)</f>
        <v>0.4615384615</v>
      </c>
      <c r="CM129" s="207" t="str">
        <f>IFERROR(__xludf.DUMMYFUNCTION("IF(OR(CL129&gt;$BS129+$BT129*$BT$2,CL129&lt;$BS129-$BT129*$BT$2),AVEDEV(ARRAYFORMULA(XLOOKUP(FILTER(INDIRECT(""'""&amp;CL$1&amp;""'!$C$4:$C$66""),INDIRECT(""'""&amp;CL$1&amp;""'!$D$4:$D$66"")=CL$2),$G$3:$BQ$3,$G129:$BQ129))),"""")"),"")</f>
        <v/>
      </c>
      <c r="CN129" s="254">
        <f>IFERROR(__xludf.DUMMYFUNCTION("AVERAGE(ARRAYFORMULA(XLOOKUP(FILTER(INDIRECT(""'""&amp;CN$1&amp;""'!$C$4:$C$66""),INDIRECT(""'""&amp;CN$1&amp;""'!$D$4:$D$66"")=CN$2),$G$3:$BQ$3,$G129:$BQ129)))"),0.0)</f>
        <v>0</v>
      </c>
      <c r="CO129" s="207" t="str">
        <f>IFERROR(__xludf.DUMMYFUNCTION("IF(OR(CN129&gt;$BS129+$BT129*$BT$2,CN129&lt;$BS129-$BT129*$BT$2),AVEDEV(ARRAYFORMULA(XLOOKUP(FILTER(INDIRECT(""'""&amp;CN$1&amp;""'!$C$4:$C$66""),INDIRECT(""'""&amp;CN$1&amp;""'!$D$4:$D$66"")=CN$2),$G$3:$BQ$3,$G129:$BQ129))),"""")"),"")</f>
        <v/>
      </c>
      <c r="CP129" s="252"/>
      <c r="CQ129" s="251">
        <f>IFERROR(__xludf.DUMMYFUNCTION("AVERAGE(ARRAYFORMULA(XLOOKUP(FILTER(INDIRECT(""'""&amp;CQ$1&amp;""'!$C$4:$C$66""),INDIRECT(""'""&amp;CQ$1&amp;""'!$D$4:$D$66"")=CQ$2),$G$3:$BQ$3,$G129:$BQ129)))"),0.42857142857142855)</f>
        <v>0.4285714286</v>
      </c>
      <c r="CR129" s="207" t="str">
        <f>IFERROR(__xludf.DUMMYFUNCTION("IF(OR(CQ129&gt;$BS129+$BT129*$BT$2,CQ129&lt;$BS129-$BT129*$BT$2),AVEDEV(ARRAYFORMULA(XLOOKUP(FILTER(INDIRECT(""'""&amp;CQ$1&amp;""'!$C$4:$C$66""),INDIRECT(""'""&amp;CQ$1&amp;""'!$D$4:$D$66"")=CQ$2),$G$3:$BQ$3,$G129:$BQ129))),"""")"),"")</f>
        <v/>
      </c>
      <c r="CS129" s="251">
        <f>IFERROR(__xludf.DUMMYFUNCTION("AVERAGE(ARRAYFORMULA(XLOOKUP(FILTER(INDIRECT(""'""&amp;CS$1&amp;""'!$C$4:$C$66""),INDIRECT(""'""&amp;CS$1&amp;""'!$D$4:$D$66"")=CS$2),$G$3:$BQ$3,$G129:$BQ129)))"),0.2222222222222222)</f>
        <v>0.2222222222</v>
      </c>
      <c r="CT129" s="207" t="str">
        <f>IFERROR(__xludf.DUMMYFUNCTION("IF(OR(CS129&gt;$BS129+$BT129*$BT$2,CS129&lt;$BS129-$BT129*$BT$2),AVEDEV(ARRAYFORMULA(XLOOKUP(FILTER(INDIRECT(""'""&amp;CS$1&amp;""'!$C$4:$C$66""),INDIRECT(""'""&amp;CS$1&amp;""'!$D$4:$D$66"")=CS$2),$G$3:$BQ$3,$G129:$BQ129))),"""")"),"")</f>
        <v/>
      </c>
      <c r="CU129" s="251">
        <f>IFERROR(__xludf.DUMMYFUNCTION("AVERAGE(ARRAYFORMULA(XLOOKUP(FILTER(INDIRECT(""'""&amp;CU$1&amp;""'!$C$4:$C$66""),INDIRECT(""'""&amp;CU$1&amp;""'!$D$4:$D$66"")=CU$2),$G$3:$BQ$3,$G129:$BQ129)))"),0.45454545454545453)</f>
        <v>0.4545454545</v>
      </c>
      <c r="CV129" s="207" t="str">
        <f>IFERROR(__xludf.DUMMYFUNCTION("IF(OR(CU129&gt;$BS129+$BT129*$BT$2,CU129&lt;$BS129-$BT129*$BT$2),AVEDEV(ARRAYFORMULA(XLOOKUP(FILTER(INDIRECT(""'""&amp;CU$1&amp;""'!$C$4:$C$66""),INDIRECT(""'""&amp;CU$1&amp;""'!$D$4:$D$66"")=CU$2),$G$3:$BQ$3,$G129:$BQ129))),"""")"),"")</f>
        <v/>
      </c>
      <c r="CW129" s="251">
        <f>IFERROR(__xludf.DUMMYFUNCTION("AVERAGE(ARRAYFORMULA(XLOOKUP(FILTER(INDIRECT(""'""&amp;CW$1&amp;""'!$C$4:$C$66""),INDIRECT(""'""&amp;CW$1&amp;""'!$D$4:$D$66"")=CW$2),$G$3:$BQ$3,$G129:$BQ129)))"),0.5)</f>
        <v>0.5</v>
      </c>
      <c r="CX129" s="207" t="str">
        <f>IFERROR(__xludf.DUMMYFUNCTION("IF(OR(CW129&gt;$BS129+$BT129*$BT$2,CW129&lt;$BS129-$BT129*$BT$2),AVEDEV(ARRAYFORMULA(XLOOKUP(FILTER(INDIRECT(""'""&amp;CW$1&amp;""'!$C$4:$C$66""),INDIRECT(""'""&amp;CW$1&amp;""'!$D$4:$D$66"")=CW$2),$G$3:$BQ$3,$G129:$BQ129))),"""")"),"")</f>
        <v/>
      </c>
      <c r="CY129" s="254">
        <f>IFERROR(__xludf.DUMMYFUNCTION("AVERAGE(ARRAYFORMULA(XLOOKUP(FILTER(INDIRECT(""'""&amp;CY$1&amp;""'!$C$4:$C$66""),INDIRECT(""'""&amp;CY$1&amp;""'!$D$4:$D$66"")=CY$2),$G$3:$BQ$3,$G129:$BQ129)))"),0.2857142857142857)</f>
        <v>0.2857142857</v>
      </c>
      <c r="CZ129" s="207" t="str">
        <f>IFERROR(__xludf.DUMMYFUNCTION("IF(OR(CY129&gt;$BS129+$BT129*$BT$2,CY129&lt;$BS129-$BT129*$BT$2),AVEDEV(ARRAYFORMULA(XLOOKUP(FILTER(INDIRECT(""'""&amp;CY$1&amp;""'!$C$4:$C$66""),INDIRECT(""'""&amp;CY$1&amp;""'!$D$4:$D$66"")=CY$2),$G$3:$BQ$3,$G129:$BQ129))),"""")"),"")</f>
        <v/>
      </c>
      <c r="DA129" s="252"/>
      <c r="DB129" s="251">
        <f>IFERROR(__xludf.DUMMYFUNCTION("AVERAGE(ARRAYFORMULA(XLOOKUP(FILTER(INDIRECT(""'""&amp;DB$1&amp;""'!$C$4:$C$66""),INDIRECT(""'""&amp;DB$1&amp;""'!$D$4:$D$66"")=DB$2),$G$3:$BQ$3,$G129:$BQ129)))"),0.43333333333333335)</f>
        <v>0.4333333333</v>
      </c>
      <c r="DC129" s="207" t="str">
        <f>IFERROR(__xludf.DUMMYFUNCTION("IF(OR(DB129&gt;$BS129+$BT129*$BT$2,DB129&lt;$BS129-$BT129*$BT$2),AVEDEV(ARRAYFORMULA(XLOOKUP(FILTER(INDIRECT(""'""&amp;DB$1&amp;""'!$C$4:$C$66""),INDIRECT(""'""&amp;DB$1&amp;""'!$D$4:$D$66"")=DB$2),$G$3:$BQ$3,$G129:$BQ129))),"""")"),"")</f>
        <v/>
      </c>
      <c r="DD129" s="251">
        <f>IFERROR(__xludf.DUMMYFUNCTION("AVERAGE(ARRAYFORMULA(XLOOKUP(FILTER(INDIRECT(""'""&amp;DD$1&amp;""'!$C$4:$C$66""),INDIRECT(""'""&amp;DD$1&amp;""'!$D$4:$D$66"")=DD$2),$G$3:$BQ$3,$G129:$BQ129)))"),0.1111111111111111)</f>
        <v>0.1111111111</v>
      </c>
      <c r="DE129" s="207" t="str">
        <f>IFERROR(__xludf.DUMMYFUNCTION("IF(OR(DD129&gt;$BS129+$BT129*$BT$2,DD129&lt;$BS129-$BT129*$BT$2),AVEDEV(ARRAYFORMULA(XLOOKUP(FILTER(INDIRECT(""'""&amp;DD$1&amp;""'!$C$4:$C$66""),INDIRECT(""'""&amp;DD$1&amp;""'!$D$4:$D$66"")=DD$2),$G$3:$BQ$3,$G129:$BQ129))),"""")"),"")</f>
        <v/>
      </c>
      <c r="DF129" s="251">
        <f>IFERROR(__xludf.DUMMYFUNCTION("AVERAGE(ARRAYFORMULA(XLOOKUP(FILTER(INDIRECT(""'""&amp;DF$1&amp;""'!$C$4:$C$66""),INDIRECT(""'""&amp;DF$1&amp;""'!$D$4:$D$66"")=DF$2),$G$3:$BQ$3,$G129:$BQ129)))"),0.75)</f>
        <v>0.75</v>
      </c>
      <c r="DG129" s="207" t="str">
        <f>IFERROR(__xludf.DUMMYFUNCTION("IF(OR(DF129&gt;$BS129+$BT129*$BT$2,DF129&lt;$BS129-$BT129*$BT$2),AVEDEV(ARRAYFORMULA(XLOOKUP(FILTER(INDIRECT(""'""&amp;DF$1&amp;""'!$C$4:$C$66""),INDIRECT(""'""&amp;DF$1&amp;""'!$D$4:$D$66"")=DF$2),$G$3:$BQ$3,$G129:$BQ129))),"""")"),"")</f>
        <v/>
      </c>
      <c r="DH129" s="251">
        <f>IFERROR(__xludf.DUMMYFUNCTION("AVERAGE(ARRAYFORMULA(XLOOKUP(FILTER(INDIRECT(""'""&amp;DH$1&amp;""'!$C$4:$C$66""),INDIRECT(""'""&amp;DH$1&amp;""'!$D$4:$D$66"")=DH$2),$G$3:$BQ$3,$G129:$BQ129)))"),0.2222222222222222)</f>
        <v>0.2222222222</v>
      </c>
      <c r="DI129" s="207" t="str">
        <f>IFERROR(__xludf.DUMMYFUNCTION("IF(OR(DH129&gt;$BS129+$BT129*$BT$2,DH129&lt;$BS129-$BT129*$BT$2),AVEDEV(ARRAYFORMULA(XLOOKUP(FILTER(INDIRECT(""'""&amp;DH$1&amp;""'!$C$4:$C$66""),INDIRECT(""'""&amp;DH$1&amp;""'!$D$4:$D$66"")=DH$2),$G$3:$BQ$3,$G129:$BQ129))),"""")"),"")</f>
        <v/>
      </c>
      <c r="DJ129" s="243"/>
    </row>
    <row r="130">
      <c r="A130" s="2"/>
      <c r="B130" s="204">
        <v>126.0</v>
      </c>
      <c r="C130" s="204" t="s">
        <v>540</v>
      </c>
      <c r="D130" s="204" t="s">
        <v>572</v>
      </c>
      <c r="E130" s="205" t="b">
        <f>VLOOKUP(D130,'Feature Set List'!A127:C246,2,0)</f>
        <v>1</v>
      </c>
      <c r="F130" s="205" t="b">
        <f>VLOOKUP(D130,'Feature Set List'!A127:C246,3,0)</f>
        <v>1</v>
      </c>
      <c r="G130" s="205">
        <v>2.45297821</v>
      </c>
      <c r="H130" s="205">
        <v>-0.4989238</v>
      </c>
      <c r="I130" s="205">
        <v>-0.3363441</v>
      </c>
      <c r="J130" s="205">
        <v>0.34801151</v>
      </c>
      <c r="K130" s="205">
        <v>-0.7204039</v>
      </c>
      <c r="L130" s="205">
        <v>0.28122548</v>
      </c>
      <c r="M130" s="205">
        <v>0.01126511</v>
      </c>
      <c r="N130" s="205">
        <v>0.31984873</v>
      </c>
      <c r="O130" s="205">
        <v>0.22369295</v>
      </c>
      <c r="P130" s="205">
        <v>0.60871839</v>
      </c>
      <c r="Q130" s="205">
        <v>-0.64014</v>
      </c>
      <c r="R130" s="205">
        <v>0.0</v>
      </c>
      <c r="S130" s="205">
        <v>1.16151355</v>
      </c>
      <c r="T130" s="205">
        <v>0.40514172</v>
      </c>
      <c r="U130" s="205">
        <v>0.43048822</v>
      </c>
      <c r="V130" s="205">
        <v>-0.6783207</v>
      </c>
      <c r="W130" s="205">
        <v>0.48480216</v>
      </c>
      <c r="X130" s="205">
        <v>-0.3210557</v>
      </c>
      <c r="Y130" s="205">
        <v>1.65838547</v>
      </c>
      <c r="Z130" s="205">
        <v>-0.2715697</v>
      </c>
      <c r="AA130" s="205">
        <v>-0.4284766</v>
      </c>
      <c r="AB130" s="205">
        <v>0.91448573</v>
      </c>
      <c r="AC130" s="205">
        <v>1.17680192</v>
      </c>
      <c r="AD130" s="205">
        <v>-0.6992416</v>
      </c>
      <c r="AE130" s="205">
        <v>-0.4787673</v>
      </c>
      <c r="AF130" s="205">
        <v>-0.0535093</v>
      </c>
      <c r="AG130" s="205">
        <v>-0.0780511</v>
      </c>
      <c r="AH130" s="205">
        <v>1.21019493</v>
      </c>
      <c r="AI130" s="205">
        <v>0.03540464</v>
      </c>
      <c r="AJ130" s="205">
        <v>0.15569995</v>
      </c>
      <c r="AK130" s="205">
        <v>-0.8053348</v>
      </c>
      <c r="AL130" s="205">
        <v>-0.1351813</v>
      </c>
      <c r="AM130" s="205">
        <v>1.49906459</v>
      </c>
      <c r="AN130" s="205">
        <v>0.60590211</v>
      </c>
      <c r="AO130" s="205">
        <v>-0.0205186</v>
      </c>
      <c r="AP130" s="205">
        <v>-0.75432</v>
      </c>
      <c r="AQ130" s="205">
        <v>-0.2820301</v>
      </c>
      <c r="AR130" s="205">
        <v>-0.6612621</v>
      </c>
      <c r="AS130" s="205">
        <v>0.22892318</v>
      </c>
      <c r="AT130" s="205">
        <v>1.29226932</v>
      </c>
      <c r="AU130" s="205">
        <v>-0.6674579</v>
      </c>
      <c r="AV130" s="205">
        <v>2.1476132</v>
      </c>
      <c r="AW130" s="205">
        <v>-0.5563759</v>
      </c>
      <c r="AX130" s="205">
        <v>-0.7660276</v>
      </c>
      <c r="AY130" s="205">
        <v>2.30854338</v>
      </c>
      <c r="AZ130" s="205">
        <v>0.53750679</v>
      </c>
      <c r="BA130" s="205">
        <v>0.43571845</v>
      </c>
      <c r="BB130" s="205">
        <v>-0.2031743</v>
      </c>
      <c r="BC130" s="205">
        <v>0.22530225</v>
      </c>
      <c r="BD130" s="205">
        <v>-0.3797952</v>
      </c>
      <c r="BE130" s="205">
        <v>-0.5013377</v>
      </c>
      <c r="BF130" s="205">
        <v>-0.6102875</v>
      </c>
      <c r="BG130" s="205">
        <v>0.10420229</v>
      </c>
      <c r="BH130" s="205">
        <v>0.65699745</v>
      </c>
      <c r="BI130" s="205">
        <v>-0.7839311</v>
      </c>
      <c r="BJ130" s="205">
        <v>0.9615578</v>
      </c>
      <c r="BK130" s="205">
        <v>-0.2932952</v>
      </c>
      <c r="BL130" s="205">
        <v>-0.1605279</v>
      </c>
      <c r="BM130" s="205">
        <v>-0.8185713</v>
      </c>
      <c r="BN130" s="205">
        <v>-0.1106395</v>
      </c>
      <c r="BO130" s="205">
        <v>2.89513387</v>
      </c>
      <c r="BP130" s="205">
        <v>0.02454185</v>
      </c>
      <c r="BQ130" s="205">
        <v>-0.8475026</v>
      </c>
      <c r="BR130" s="206"/>
      <c r="BS130" s="250">
        <f t="shared" si="1"/>
        <v>0.178405727</v>
      </c>
      <c r="BT130" s="250">
        <f t="shared" si="2"/>
        <v>0.6613419828</v>
      </c>
      <c r="BU130" s="206"/>
      <c r="BV130" s="207">
        <f>IFERROR(__xludf.DUMMYFUNCTION("AVERAGE(ARRAYFORMULA(XLOOKUP(FILTER(INDIRECT(""'""&amp;BV$1&amp;""'!$C$4:$C$66""),INDIRECT(""'""&amp;BV$1&amp;""'!$D$4:$D$66"")=BV$2),$G$3:$BQ$3,$G130:$BQ130)))"),0.2189167714285714)</f>
        <v>0.2189167714</v>
      </c>
      <c r="BW130" s="207" t="str">
        <f>IFERROR(__xludf.DUMMYFUNCTION("IF(OR(BV130&gt;$BS130+$BT130*$BT$2,BV130&lt;$BS130-$BT130*$BT$2),AVEDEV(ARRAYFORMULA(XLOOKUP(FILTER(INDIRECT(""'""&amp;BV$1&amp;""'!$C$4:$C$66""),INDIRECT(""'""&amp;BV$1&amp;""'!$D$4:$D$66"")=BV$2),$G$3:$BQ$3,$G130:$BQ130))),"""")"),"")</f>
        <v/>
      </c>
      <c r="BX130" s="207">
        <f>IFERROR(__xludf.DUMMYFUNCTION("AVERAGE(ARRAYFORMULA(XLOOKUP(FILTER(INDIRECT(""'""&amp;BX$1&amp;""'!$C$4:$C$66""),INDIRECT(""'""&amp;BX$1&amp;""'!$D$4:$D$66"")=BX$2),$G$3:$BQ$3,$G130:$BQ130)))"),0.12112093857142855)</f>
        <v>0.1211209386</v>
      </c>
      <c r="BY130" s="207" t="str">
        <f>IFERROR(__xludf.DUMMYFUNCTION("IF(OR(BX130&gt;$BS130+$BT130*$BT$2,BX130&lt;$BS130-$BT130*$BT$2),AVEDEV(ARRAYFORMULA(XLOOKUP(FILTER(INDIRECT(""'""&amp;BX$1&amp;""'!$C$4:$C$66""),INDIRECT(""'""&amp;BX$1&amp;""'!$D$4:$D$66"")=BX$2),$G$3:$BQ$3,$G130:$BQ130))),"""")"),"")</f>
        <v/>
      </c>
      <c r="BZ130" s="207">
        <f>IFERROR(__xludf.DUMMYFUNCTION("AVERAGE(ARRAYFORMULA(XLOOKUP(FILTER(INDIRECT(""'""&amp;BZ$1&amp;""'!$C$4:$C$66""),INDIRECT(""'""&amp;BZ$1&amp;""'!$D$4:$D$66"")=BZ$2),$G$3:$BQ$3,$G130:$BQ130)))"),0.54578738)</f>
        <v>0.54578738</v>
      </c>
      <c r="CA130" s="207" t="str">
        <f>IFERROR(__xludf.DUMMYFUNCTION("IF(OR(BZ130&gt;$BS130+$BT130*$BT$2,BZ130&lt;$BS130-$BT130*$BT$2),AVEDEV(ARRAYFORMULA(XLOOKUP(FILTER(INDIRECT(""'""&amp;BZ$1&amp;""'!$C$4:$C$66""),INDIRECT(""'""&amp;BZ$1&amp;""'!$D$4:$D$66"")=BZ$2),$G$3:$BQ$3,$G130:$BQ130))),"""")"),"")</f>
        <v/>
      </c>
      <c r="CB130" s="209"/>
      <c r="CC130" s="207">
        <f>IFERROR(__xludf.DUMMYFUNCTION("AVERAGE(ARRAYFORMULA(XLOOKUP(FILTER(INDIRECT(""'""&amp;CC$1&amp;""'!$C$4:$C$66""),INDIRECT(""'""&amp;CC$1&amp;""'!$D$4:$D$66"")=CC$2),$G$3:$BQ$3,$G130:$BQ130)))"),-0.20249793625)</f>
        <v>-0.2024979363</v>
      </c>
      <c r="CD130" s="207" t="str">
        <f>IFERROR(__xludf.DUMMYFUNCTION("IF(OR(CC130&gt;$BS130+$BT130*$BT$2,CC130&lt;$BS130-$BT130*$BT$2),AVEDEV(ARRAYFORMULA(XLOOKUP(FILTER(INDIRECT(""'""&amp;CC$1&amp;""'!$C$4:$C$66""),INDIRECT(""'""&amp;CC$1&amp;""'!$D$4:$D$66"")=CC$2),$G$3:$BQ$3,$G130:$BQ130))),"""")"),"")</f>
        <v/>
      </c>
      <c r="CE130" s="207">
        <f>IFERROR(__xludf.DUMMYFUNCTION("AVERAGE(ARRAYFORMULA(XLOOKUP(FILTER(INDIRECT(""'""&amp;CE$1&amp;""'!$C$4:$C$66""),INDIRECT(""'""&amp;CE$1&amp;""'!$D$4:$D$66"")=CE$2),$G$3:$BQ$3,$G130:$BQ130)))"),0.3703313570967742)</f>
        <v>0.3703313571</v>
      </c>
      <c r="CF130" s="207" t="str">
        <f>IFERROR(__xludf.DUMMYFUNCTION("IF(OR(CE130&gt;$BS130+$BT130*$BT$2,CE130&lt;$BS130-$BT130*$BT$2),AVEDEV(ARRAYFORMULA(XLOOKUP(FILTER(INDIRECT(""'""&amp;CE$1&amp;""'!$C$4:$C$66""),INDIRECT(""'""&amp;CE$1&amp;""'!$D$4:$D$66"")=CE$2),$G$3:$BQ$3,$G130:$BQ130))),"""")"),"")</f>
        <v/>
      </c>
      <c r="CG130" s="207">
        <f>IFERROR(__xludf.DUMMYFUNCTION("AVERAGE(ARRAYFORMULA(XLOOKUP(FILTER(INDIRECT(""'""&amp;CG$1&amp;""'!$C$4:$C$66""),INDIRECT(""'""&amp;CG$1&amp;""'!$D$4:$D$66"")=CG$2),$G$3:$BQ$3,$G130:$BQ130)))"),0.356540806)</f>
        <v>0.356540806</v>
      </c>
      <c r="CH130" s="207" t="str">
        <f>IFERROR(__xludf.DUMMYFUNCTION("IF(OR(CG130&gt;$BS130+$BT130*$BT$2,CG130&lt;$BS130-$BT130*$BT$2),AVEDEV(ARRAYFORMULA(XLOOKUP(FILTER(INDIRECT(""'""&amp;CG$1&amp;""'!$C$4:$C$66""),INDIRECT(""'""&amp;CG$1&amp;""'!$D$4:$D$66"")=CG$2),$G$3:$BQ$3,$G130:$BQ130))),"""")"),"")</f>
        <v/>
      </c>
      <c r="CI130" s="206"/>
      <c r="CJ130" s="251">
        <f>IFERROR(__xludf.DUMMYFUNCTION("AVERAGE(ARRAYFORMULA(XLOOKUP(FILTER(INDIRECT(""'""&amp;CJ$1&amp;""'!$C$4:$C$66""),INDIRECT(""'""&amp;CJ$1&amp;""'!$D$4:$D$66"")=CJ$2),$G$3:$BQ$3,$G130:$BQ130)))"),0.6399469000000001)</f>
        <v>0.6399469</v>
      </c>
      <c r="CK130" s="207" t="str">
        <f>IFERROR(__xludf.DUMMYFUNCTION("IF(OR(CJ130&gt;$BS130+$BT130*$BT$2,CJ130&lt;$BS130-$BT130*$BT$2),AVEDEV(ARRAYFORMULA(XLOOKUP(FILTER(INDIRECT(""'""&amp;CJ$1&amp;""'!$C$4:$C$66""),INDIRECT(""'""&amp;CJ$1&amp;""'!$D$4:$D$66"")=CJ$2),$G$3:$BQ$3,$G130:$BQ130))),"""")"),"")</f>
        <v/>
      </c>
      <c r="CL130" s="251">
        <f>IFERROR(__xludf.DUMMYFUNCTION("AVERAGE(ARRAYFORMULA(XLOOKUP(FILTER(INDIRECT(""'""&amp;CL$1&amp;""'!$C$4:$C$66""),INDIRECT(""'""&amp;CL$1&amp;""'!$D$4:$D$66"")=CL$2),$G$3:$BQ$3,$G130:$BQ130)))"),0.03594303512820512)</f>
        <v>0.03594303513</v>
      </c>
      <c r="CM130" s="207" t="str">
        <f>IFERROR(__xludf.DUMMYFUNCTION("IF(OR(CL130&gt;$BS130+$BT130*$BT$2,CL130&lt;$BS130-$BT130*$BT$2),AVEDEV(ARRAYFORMULA(XLOOKUP(FILTER(INDIRECT(""'""&amp;CL$1&amp;""'!$C$4:$C$66""),INDIRECT(""'""&amp;CL$1&amp;""'!$D$4:$D$66"")=CL$2),$G$3:$BQ$3,$G130:$BQ130))),"""")"),"")</f>
        <v/>
      </c>
      <c r="CN130" s="251">
        <f>IFERROR(__xludf.DUMMYFUNCTION("AVERAGE(ARRAYFORMULA(XLOOKUP(FILTER(INDIRECT(""'""&amp;CN$1&amp;""'!$C$4:$C$66""),INDIRECT(""'""&amp;CN$1&amp;""'!$D$4:$D$66"")=CN$2),$G$3:$BQ$3,$G130:$BQ130)))"),0.356540806)</f>
        <v>0.356540806</v>
      </c>
      <c r="CO130" s="207" t="str">
        <f>IFERROR(__xludf.DUMMYFUNCTION("IF(OR(CN130&gt;$BS130+$BT130*$BT$2,CN130&lt;$BS130-$BT130*$BT$2),AVEDEV(ARRAYFORMULA(XLOOKUP(FILTER(INDIRECT(""'""&amp;CN$1&amp;""'!$C$4:$C$66""),INDIRECT(""'""&amp;CN$1&amp;""'!$D$4:$D$66"")=CN$2),$G$3:$BQ$3,$G130:$BQ130))),"""")"),"")</f>
        <v/>
      </c>
      <c r="CP130" s="252"/>
      <c r="CQ130" s="251">
        <f>IFERROR(__xludf.DUMMYFUNCTION("AVERAGE(ARRAYFORMULA(XLOOKUP(FILTER(INDIRECT(""'""&amp;CQ$1&amp;""'!$C$4:$C$66""),INDIRECT(""'""&amp;CQ$1&amp;""'!$D$4:$D$66"")=CQ$2),$G$3:$BQ$3,$G130:$BQ130)))"),-0.3191159157142857)</f>
        <v>-0.3191159157</v>
      </c>
      <c r="CR130" s="207" t="str">
        <f>IFERROR(__xludf.DUMMYFUNCTION("IF(OR(CQ130&gt;$BS130+$BT130*$BT$2,CQ130&lt;$BS130-$BT130*$BT$2),AVEDEV(ARRAYFORMULA(XLOOKUP(FILTER(INDIRECT(""'""&amp;CQ$1&amp;""'!$C$4:$C$66""),INDIRECT(""'""&amp;CQ$1&amp;""'!$D$4:$D$66"")=CQ$2),$G$3:$BQ$3,$G130:$BQ130))),"""")"),"")</f>
        <v/>
      </c>
      <c r="CS130" s="251">
        <f>IFERROR(__xludf.DUMMYFUNCTION("AVERAGE(ARRAYFORMULA(XLOOKUP(FILTER(INDIRECT(""'""&amp;CS$1&amp;""'!$C$4:$C$66""),INDIRECT(""'""&amp;CS$1&amp;""'!$D$4:$D$66"")=CS$2),$G$3:$BQ$3,$G130:$BQ130)))"),0.6983028544444444)</f>
        <v>0.6983028544</v>
      </c>
      <c r="CT130" s="207" t="str">
        <f>IFERROR(__xludf.DUMMYFUNCTION("IF(OR(CS130&gt;$BS130+$BT130*$BT$2,CS130&lt;$BS130-$BT130*$BT$2),AVEDEV(ARRAYFORMULA(XLOOKUP(FILTER(INDIRECT(""'""&amp;CS$1&amp;""'!$C$4:$C$66""),INDIRECT(""'""&amp;CS$1&amp;""'!$D$4:$D$66"")=CS$2),$G$3:$BQ$3,$G130:$BQ130))),"""")"),"")</f>
        <v/>
      </c>
      <c r="CU130" s="251">
        <f>IFERROR(__xludf.DUMMYFUNCTION("AVERAGE(ARRAYFORMULA(XLOOKUP(FILTER(INDIRECT(""'""&amp;CU$1&amp;""'!$C$4:$C$66""),INDIRECT(""'""&amp;CU$1&amp;""'!$D$4:$D$66"")=CU$2),$G$3:$BQ$3,$G130:$BQ130)))"),1.1373008718181818)</f>
        <v>1.137300872</v>
      </c>
      <c r="CV130" s="207">
        <f>IFERROR(__xludf.DUMMYFUNCTION("IF(OR(CU130&gt;$BS130+$BT130*$BT$2,CU130&lt;$BS130-$BT130*$BT$2),AVEDEV(ARRAYFORMULA(XLOOKUP(FILTER(INDIRECT(""'""&amp;CU$1&amp;""'!$C$4:$C$66""),INDIRECT(""'""&amp;CU$1&amp;""'!$D$4:$D$66"")=CU$2),$G$3:$BQ$3,$G130:$BQ130))),"""")"),0.622088232231405)</f>
        <v>0.6220882322</v>
      </c>
      <c r="CW130" s="251">
        <f>IFERROR(__xludf.DUMMYFUNCTION("AVERAGE(ARRAYFORMULA(XLOOKUP(FILTER(INDIRECT(""'""&amp;CW$1&amp;""'!$C$4:$C$66""),INDIRECT(""'""&amp;CW$1&amp;""'!$D$4:$D$66"")=CW$2),$G$3:$BQ$3,$G130:$BQ130)))"),-0.021122075000000018)</f>
        <v>-0.021122075</v>
      </c>
      <c r="CX130" s="207" t="str">
        <f>IFERROR(__xludf.DUMMYFUNCTION("IF(OR(CW130&gt;$BS130+$BT130*$BT$2,CW130&lt;$BS130-$BT130*$BT$2),AVEDEV(ARRAYFORMULA(XLOOKUP(FILTER(INDIRECT(""'""&amp;CW$1&amp;""'!$C$4:$C$66""),INDIRECT(""'""&amp;CW$1&amp;""'!$D$4:$D$66"")=CW$2),$G$3:$BQ$3,$G130:$BQ130))),"""")"),"")</f>
        <v/>
      </c>
      <c r="CY130" s="251">
        <f>IFERROR(__xludf.DUMMYFUNCTION("AVERAGE(ARRAYFORMULA(XLOOKUP(FILTER(INDIRECT(""'""&amp;CY$1&amp;""'!$C$4:$C$66""),INDIRECT(""'""&amp;CY$1&amp;""'!$D$4:$D$66"")=CY$2),$G$3:$BQ$3,$G130:$BQ130)))"),-0.13459826357142854)</f>
        <v>-0.1345982636</v>
      </c>
      <c r="CZ130" s="207" t="str">
        <f>IFERROR(__xludf.DUMMYFUNCTION("IF(OR(CY130&gt;$BS130+$BT130*$BT$2,CY130&lt;$BS130-$BT130*$BT$2),AVEDEV(ARRAYFORMULA(XLOOKUP(FILTER(INDIRECT(""'""&amp;CY$1&amp;""'!$C$4:$C$66""),INDIRECT(""'""&amp;CY$1&amp;""'!$D$4:$D$66"")=CY$2),$G$3:$BQ$3,$G130:$BQ130))),"""")"),"")</f>
        <v/>
      </c>
      <c r="DA130" s="252"/>
      <c r="DB130" s="251">
        <f>IFERROR(__xludf.DUMMYFUNCTION("AVERAGE(ARRAYFORMULA(XLOOKUP(FILTER(INDIRECT(""'""&amp;DB$1&amp;""'!$C$4:$C$66""),INDIRECT(""'""&amp;DB$1&amp;""'!$D$4:$D$66"")=DB$2),$G$3:$BQ$3,$G130:$BQ130)))"),-0.07100252066666668)</f>
        <v>-0.07100252067</v>
      </c>
      <c r="DC130" s="207" t="str">
        <f>IFERROR(__xludf.DUMMYFUNCTION("IF(OR(DB130&gt;$BS130+$BT130*$BT$2,DB130&lt;$BS130-$BT130*$BT$2),AVEDEV(ARRAYFORMULA(XLOOKUP(FILTER(INDIRECT(""'""&amp;DB$1&amp;""'!$C$4:$C$66""),INDIRECT(""'""&amp;DB$1&amp;""'!$D$4:$D$66"")=DB$2),$G$3:$BQ$3,$G130:$BQ130))),"""")"),"")</f>
        <v/>
      </c>
      <c r="DD130" s="251">
        <f>IFERROR(__xludf.DUMMYFUNCTION("AVERAGE(ARRAYFORMULA(XLOOKUP(FILTER(INDIRECT(""'""&amp;DD$1&amp;""'!$C$4:$C$66""),INDIRECT(""'""&amp;DD$1&amp;""'!$D$4:$D$66"")=DD$2),$G$3:$BQ$3,$G130:$BQ130)))"),0.6676546022222222)</f>
        <v>0.6676546022</v>
      </c>
      <c r="DE130" s="207" t="str">
        <f>IFERROR(__xludf.DUMMYFUNCTION("IF(OR(DD130&gt;$BS130+$BT130*$BT$2,DD130&lt;$BS130-$BT130*$BT$2),AVEDEV(ARRAYFORMULA(XLOOKUP(FILTER(INDIRECT(""'""&amp;DD$1&amp;""'!$C$4:$C$66""),INDIRECT(""'""&amp;DD$1&amp;""'!$D$4:$D$66"")=DD$2),$G$3:$BQ$3,$G130:$BQ130))),"""")"),"")</f>
        <v/>
      </c>
      <c r="DF130" s="251">
        <f>IFERROR(__xludf.DUMMYFUNCTION("AVERAGE(ARRAYFORMULA(XLOOKUP(FILTER(INDIRECT(""'""&amp;DF$1&amp;""'!$C$4:$C$66""),INDIRECT(""'""&amp;DF$1&amp;""'!$D$4:$D$66"")=DF$2),$G$3:$BQ$3,$G130:$BQ130)))"),0.54862103)</f>
        <v>0.54862103</v>
      </c>
      <c r="DG130" s="207" t="str">
        <f>IFERROR(__xludf.DUMMYFUNCTION("IF(OR(DF130&gt;$BS130+$BT130*$BT$2,DF130&lt;$BS130-$BT130*$BT$2),AVEDEV(ARRAYFORMULA(XLOOKUP(FILTER(INDIRECT(""'""&amp;DF$1&amp;""'!$C$4:$C$66""),INDIRECT(""'""&amp;DF$1&amp;""'!$D$4:$D$66"")=DF$2),$G$3:$BQ$3,$G130:$BQ130))),"""")"),"")</f>
        <v/>
      </c>
      <c r="DH130" s="251">
        <f>IFERROR(__xludf.DUMMYFUNCTION("AVERAGE(ARRAYFORMULA(XLOOKUP(FILTER(INDIRECT(""'""&amp;DH$1&amp;""'!$C$4:$C$66""),INDIRECT(""'""&amp;DH$1&amp;""'!$D$4:$D$66"")=DH$2),$G$3:$BQ$3,$G130:$BQ130)))"),0.6131931399999999)</f>
        <v>0.61319314</v>
      </c>
      <c r="DI130" s="207" t="str">
        <f>IFERROR(__xludf.DUMMYFUNCTION("IF(OR(DH130&gt;$BS130+$BT130*$BT$2,DH130&lt;$BS130-$BT130*$BT$2),AVEDEV(ARRAYFORMULA(XLOOKUP(FILTER(INDIRECT(""'""&amp;DH$1&amp;""'!$C$4:$C$66""),INDIRECT(""'""&amp;DH$1&amp;""'!$D$4:$D$66"")=DH$2),$G$3:$BQ$3,$G130:$BQ130))),"""")"),"")</f>
        <v/>
      </c>
      <c r="DJ130" s="243"/>
    </row>
    <row r="131">
      <c r="A131" s="2"/>
      <c r="B131" s="204">
        <v>127.0</v>
      </c>
      <c r="C131" s="204" t="s">
        <v>540</v>
      </c>
      <c r="D131" s="204" t="s">
        <v>573</v>
      </c>
      <c r="E131" s="205" t="b">
        <f>VLOOKUP(D131,'Feature Set List'!A128:C246,2,0)</f>
        <v>1</v>
      </c>
      <c r="F131" s="205" t="b">
        <f>VLOOKUP(D131,'Feature Set List'!A128:C246,3,0)</f>
        <v>0</v>
      </c>
      <c r="G131" s="205">
        <v>2.10643543</v>
      </c>
      <c r="H131" s="205">
        <v>-0.5466293</v>
      </c>
      <c r="I131" s="205">
        <v>0.71818414</v>
      </c>
      <c r="J131" s="205">
        <v>-0.7766726</v>
      </c>
      <c r="K131" s="205">
        <v>-0.0870526</v>
      </c>
      <c r="L131" s="205">
        <v>0.23004336</v>
      </c>
      <c r="M131" s="205">
        <v>0.22528267</v>
      </c>
      <c r="N131" s="205">
        <v>-0.4393437</v>
      </c>
      <c r="O131" s="205">
        <v>-0.682819</v>
      </c>
      <c r="P131" s="205">
        <v>0.84145201</v>
      </c>
      <c r="Q131" s="205">
        <v>0.0</v>
      </c>
      <c r="R131" s="205">
        <v>-0.0785514</v>
      </c>
      <c r="S131" s="205">
        <v>-0.6777183</v>
      </c>
      <c r="T131" s="205">
        <v>1.34812548</v>
      </c>
      <c r="U131" s="205">
        <v>-0.8128709</v>
      </c>
      <c r="V131" s="205">
        <v>-0.848049</v>
      </c>
      <c r="W131" s="205">
        <v>0.36028224</v>
      </c>
      <c r="X131" s="205">
        <v>-0.6957409</v>
      </c>
      <c r="Y131" s="205">
        <v>1.06248406</v>
      </c>
      <c r="Z131" s="205">
        <v>-0.6858795</v>
      </c>
      <c r="AA131" s="205">
        <v>-0.1849868</v>
      </c>
      <c r="AB131" s="205">
        <v>0.18124628</v>
      </c>
      <c r="AC131" s="205">
        <v>0.49936241</v>
      </c>
      <c r="AD131" s="205">
        <v>0.6627561</v>
      </c>
      <c r="AE131" s="205">
        <v>-0.4709683</v>
      </c>
      <c r="AF131" s="205">
        <v>0.30043356</v>
      </c>
      <c r="AG131" s="205">
        <v>0.08858284</v>
      </c>
      <c r="AH131" s="205">
        <v>0.48082972</v>
      </c>
      <c r="AI131" s="205">
        <v>1.02677888</v>
      </c>
      <c r="AJ131" s="205">
        <v>-0.1346595</v>
      </c>
      <c r="AK131" s="205">
        <v>-0.5700927</v>
      </c>
      <c r="AL131" s="205">
        <v>-0.179376</v>
      </c>
      <c r="AM131" s="205">
        <v>0.98257247</v>
      </c>
      <c r="AN131" s="205">
        <v>0.70611239</v>
      </c>
      <c r="AO131" s="205">
        <v>-0.1181671</v>
      </c>
      <c r="AP131" s="205">
        <v>-0.0402958</v>
      </c>
      <c r="AQ131" s="205">
        <v>-0.7441979</v>
      </c>
      <c r="AR131" s="205">
        <v>-0.7345065</v>
      </c>
      <c r="AS131" s="205">
        <v>0.63334183</v>
      </c>
      <c r="AT131" s="205">
        <v>-0.1453711</v>
      </c>
      <c r="AU131" s="205">
        <v>-0.2800306</v>
      </c>
      <c r="AV131" s="205">
        <v>-0.1162969</v>
      </c>
      <c r="AW131" s="205">
        <v>0.42727195</v>
      </c>
      <c r="AX131" s="205">
        <v>-0.7290657</v>
      </c>
      <c r="AY131" s="205">
        <v>-0.7812633</v>
      </c>
      <c r="AZ131" s="205">
        <v>0.10354501</v>
      </c>
      <c r="BA131" s="205">
        <v>0.74113746</v>
      </c>
      <c r="BB131" s="205">
        <v>-0.5954263</v>
      </c>
      <c r="BC131" s="205">
        <v>-0.2997535</v>
      </c>
      <c r="BD131" s="205">
        <v>0.65969566</v>
      </c>
      <c r="BE131" s="205">
        <v>-0.0576384</v>
      </c>
      <c r="BF131" s="205">
        <v>-0.2234124</v>
      </c>
      <c r="BG131" s="205">
        <v>1.34982572</v>
      </c>
      <c r="BH131" s="205">
        <v>0.51738502</v>
      </c>
      <c r="BI131" s="205">
        <v>-0.0385956</v>
      </c>
      <c r="BJ131" s="205">
        <v>0.37405424</v>
      </c>
      <c r="BK131" s="205">
        <v>0.60528777</v>
      </c>
      <c r="BL131" s="205">
        <v>-0.3220267</v>
      </c>
      <c r="BM131" s="205">
        <v>0.31709598</v>
      </c>
      <c r="BN131" s="205">
        <v>1.5351526</v>
      </c>
      <c r="BO131" s="205">
        <v>1.14579614</v>
      </c>
      <c r="BP131" s="205">
        <v>1.25801241</v>
      </c>
      <c r="BQ131" s="205">
        <v>0.16951458</v>
      </c>
      <c r="BR131" s="206"/>
      <c r="BS131" s="250">
        <f t="shared" si="1"/>
        <v>0.1358828906</v>
      </c>
      <c r="BT131" s="250">
        <f t="shared" si="2"/>
        <v>0.5563602772</v>
      </c>
      <c r="BU131" s="206"/>
      <c r="BV131" s="207">
        <f>IFERROR(__xludf.DUMMYFUNCTION("AVERAGE(ARRAYFORMULA(XLOOKUP(FILTER(INDIRECT(""'""&amp;BV$1&amp;""'!$C$4:$C$66""),INDIRECT(""'""&amp;BV$1&amp;""'!$D$4:$D$66"")=BV$2),$G$3:$BQ$3,$G131:$BQ131)))"),-0.48330480000000003)</f>
        <v>-0.4833048</v>
      </c>
      <c r="BW131" s="207">
        <f>IFERROR(__xludf.DUMMYFUNCTION("IF(OR(BV131&gt;$BS131+$BT131*$BT$2,BV131&lt;$BS131-$BT131*$BT$2),AVEDEV(ARRAYFORMULA(XLOOKUP(FILTER(INDIRECT(""'""&amp;BV$1&amp;""'!$C$4:$C$66""),INDIRECT(""'""&amp;BV$1&amp;""'!$D$4:$D$66"")=BV$2),$G$3:$BQ$3,$G131:$BQ131))),"""")"),0.2720234857142857)</f>
        <v>0.2720234857</v>
      </c>
      <c r="BX131" s="207">
        <f>IFERROR(__xludf.DUMMYFUNCTION("AVERAGE(ARRAYFORMULA(XLOOKUP(FILTER(INDIRECT(""'""&amp;BX$1&amp;""'!$C$4:$C$66""),INDIRECT(""'""&amp;BX$1&amp;""'!$D$4:$D$66"")=BX$2),$G$3:$BQ$3,$G131:$BQ131)))"),0.07641879166666667)</f>
        <v>0.07641879167</v>
      </c>
      <c r="BY131" s="207" t="str">
        <f>IFERROR(__xludf.DUMMYFUNCTION("IF(OR(BX131&gt;$BS131+$BT131*$BT$2,BX131&lt;$BS131-$BT131*$BT$2),AVEDEV(ARRAYFORMULA(XLOOKUP(FILTER(INDIRECT(""'""&amp;BX$1&amp;""'!$C$4:$C$66""),INDIRECT(""'""&amp;BX$1&amp;""'!$D$4:$D$66"")=BX$2),$G$3:$BQ$3,$G131:$BQ131))),"""")"),"")</f>
        <v/>
      </c>
      <c r="BZ131" s="207">
        <f>IFERROR(__xludf.DUMMYFUNCTION("AVERAGE(ARRAYFORMULA(XLOOKUP(FILTER(INDIRECT(""'""&amp;BZ$1&amp;""'!$C$4:$C$66""),INDIRECT(""'""&amp;BZ$1&amp;""'!$D$4:$D$66"")=BZ$2),$G$3:$BQ$3,$G131:$BQ131)))"),0.69421066)</f>
        <v>0.69421066</v>
      </c>
      <c r="CA131" s="207">
        <f>IFERROR(__xludf.DUMMYFUNCTION("IF(OR(BZ131&gt;$BS131+$BT131*$BT$2,BZ131&lt;$BS131-$BT131*$BT$2),AVEDEV(ARRAYFORMULA(XLOOKUP(FILTER(INDIRECT(""'""&amp;BZ$1&amp;""'!$C$4:$C$66""),INDIRECT(""'""&amp;BZ$1&amp;""'!$D$4:$D$66"")=BZ$2),$G$3:$BQ$3,$G131:$BQ131))),"""")"),0.4779238436363636)</f>
        <v>0.4779238436</v>
      </c>
      <c r="CB131" s="209"/>
      <c r="CC131" s="207">
        <f>IFERROR(__xludf.DUMMYFUNCTION("AVERAGE(ARRAYFORMULA(XLOOKUP(FILTER(INDIRECT(""'""&amp;CC$1&amp;""'!$C$4:$C$66""),INDIRECT(""'""&amp;CC$1&amp;""'!$D$4:$D$66"")=CC$2),$G$3:$BQ$3,$G131:$BQ131)))"),-0.297359308125)</f>
        <v>-0.2973593081</v>
      </c>
      <c r="CD131" s="207" t="str">
        <f>IFERROR(__xludf.DUMMYFUNCTION("IF(OR(CC131&gt;$BS131+$BT131*$BT$2,CC131&lt;$BS131-$BT131*$BT$2),AVEDEV(ARRAYFORMULA(XLOOKUP(FILTER(INDIRECT(""'""&amp;CC$1&amp;""'!$C$4:$C$66""),INDIRECT(""'""&amp;CC$1&amp;""'!$D$4:$D$66"")=CC$2),$G$3:$BQ$3,$G131:$BQ131))),"""")"),"")</f>
        <v/>
      </c>
      <c r="CE131" s="207">
        <f>IFERROR(__xludf.DUMMYFUNCTION("AVERAGE(ARRAYFORMULA(XLOOKUP(FILTER(INDIRECT(""'""&amp;CE$1&amp;""'!$C$4:$C$66""),INDIRECT(""'""&amp;CE$1&amp;""'!$D$4:$D$66"")=CE$2),$G$3:$BQ$3,$G131:$BQ131)))"),0.20441350612903225)</f>
        <v>0.2044135061</v>
      </c>
      <c r="CF131" s="207" t="str">
        <f>IFERROR(__xludf.DUMMYFUNCTION("IF(OR(CE131&gt;$BS131+$BT131*$BT$2,CE131&lt;$BS131-$BT131*$BT$2),AVEDEV(ARRAYFORMULA(XLOOKUP(FILTER(INDIRECT(""'""&amp;CE$1&amp;""'!$C$4:$C$66""),INDIRECT(""'""&amp;CE$1&amp;""'!$D$4:$D$66"")=CE$2),$G$3:$BQ$3,$G131:$BQ131))),"""")"),"")</f>
        <v/>
      </c>
      <c r="CG131" s="207">
        <f>IFERROR(__xludf.DUMMYFUNCTION("AVERAGE(ARRAYFORMULA(XLOOKUP(FILTER(INDIRECT(""'""&amp;CG$1&amp;""'!$C$4:$C$66""),INDIRECT(""'""&amp;CG$1&amp;""'!$D$4:$D$66"")=CG$2),$G$3:$BQ$3,$G131:$BQ131)))"),0.9827765000000002)</f>
        <v>0.9827765</v>
      </c>
      <c r="CH131" s="207">
        <f>IFERROR(__xludf.DUMMYFUNCTION("IF(OR(CG131&gt;$BS131+$BT131*$BT$2,CG131&lt;$BS131-$BT131*$BT$2),AVEDEV(ARRAYFORMULA(XLOOKUP(FILTER(INDIRECT(""'""&amp;CG$1&amp;""'!$C$4:$C$66""),INDIRECT(""'""&amp;CG$1&amp;""'!$D$4:$D$66"")=CG$2),$G$3:$BQ$3,$G131:$BQ131))),"""")"),0.29295928)</f>
        <v>0.29295928</v>
      </c>
      <c r="CI131" s="206"/>
      <c r="CJ131" s="251">
        <f>IFERROR(__xludf.DUMMYFUNCTION("AVERAGE(ARRAYFORMULA(XLOOKUP(FILTER(INDIRECT(""'""&amp;CJ$1&amp;""'!$C$4:$C$66""),INDIRECT(""'""&amp;CJ$1&amp;""'!$D$4:$D$66"")=CJ$2),$G$3:$BQ$3,$G131:$BQ131)))"),0.1593935746666667)</f>
        <v>0.1593935747</v>
      </c>
      <c r="CK131" s="207" t="str">
        <f>IFERROR(__xludf.DUMMYFUNCTION("IF(OR(CJ131&gt;$BS131+$BT131*$BT$2,CJ131&lt;$BS131-$BT131*$BT$2),AVEDEV(ARRAYFORMULA(XLOOKUP(FILTER(INDIRECT(""'""&amp;CJ$1&amp;""'!$C$4:$C$66""),INDIRECT(""'""&amp;CJ$1&amp;""'!$D$4:$D$66"")=CJ$2),$G$3:$BQ$3,$G131:$BQ131))),"""")"),"")</f>
        <v/>
      </c>
      <c r="CL131" s="251">
        <f>IFERROR(__xludf.DUMMYFUNCTION("AVERAGE(ARRAYFORMULA(XLOOKUP(FILTER(INDIRECT(""'""&amp;CL$1&amp;""'!$C$4:$C$66""),INDIRECT(""'""&amp;CL$1&amp;""'!$D$4:$D$66"")=CL$2),$G$3:$BQ$3,$G131:$BQ131)))"),0.012308038205128208)</f>
        <v>0.01230803821</v>
      </c>
      <c r="CM131" s="207" t="str">
        <f>IFERROR(__xludf.DUMMYFUNCTION("IF(OR(CL131&gt;$BS131+$BT131*$BT$2,CL131&lt;$BS131-$BT131*$BT$2),AVEDEV(ARRAYFORMULA(XLOOKUP(FILTER(INDIRECT(""'""&amp;CL$1&amp;""'!$C$4:$C$66""),INDIRECT(""'""&amp;CL$1&amp;""'!$D$4:$D$66"")=CL$2),$G$3:$BQ$3,$G131:$BQ131))),"""")"),"")</f>
        <v/>
      </c>
      <c r="CN131" s="251">
        <f>IFERROR(__xludf.DUMMYFUNCTION("AVERAGE(ARRAYFORMULA(XLOOKUP(FILTER(INDIRECT(""'""&amp;CN$1&amp;""'!$C$4:$C$66""),INDIRECT(""'""&amp;CN$1&amp;""'!$D$4:$D$66"")=CN$2),$G$3:$BQ$3,$G131:$BQ131)))"),0.9827765000000002)</f>
        <v>0.9827765</v>
      </c>
      <c r="CO131" s="207">
        <f>IFERROR(__xludf.DUMMYFUNCTION("IF(OR(CN131&gt;$BS131+$BT131*$BT$2,CN131&lt;$BS131-$BT131*$BT$2),AVEDEV(ARRAYFORMULA(XLOOKUP(FILTER(INDIRECT(""'""&amp;CN$1&amp;""'!$C$4:$C$66""),INDIRECT(""'""&amp;CN$1&amp;""'!$D$4:$D$66"")=CN$2),$G$3:$BQ$3,$G131:$BQ131))),"""")"),0.29295928)</f>
        <v>0.29295928</v>
      </c>
      <c r="CP131" s="252"/>
      <c r="CQ131" s="251">
        <f>IFERROR(__xludf.DUMMYFUNCTION("AVERAGE(ARRAYFORMULA(XLOOKUP(FILTER(INDIRECT(""'""&amp;CQ$1&amp;""'!$C$4:$C$66""),INDIRECT(""'""&amp;CQ$1&amp;""'!$D$4:$D$66"")=CQ$2),$G$3:$BQ$3,$G131:$BQ131)))"),-0.19222259000000003)</f>
        <v>-0.19222259</v>
      </c>
      <c r="CR131" s="207" t="str">
        <f>IFERROR(__xludf.DUMMYFUNCTION("IF(OR(CQ131&gt;$BS131+$BT131*$BT$2,CQ131&lt;$BS131-$BT131*$BT$2),AVEDEV(ARRAYFORMULA(XLOOKUP(FILTER(INDIRECT(""'""&amp;CQ$1&amp;""'!$C$4:$C$66""),INDIRECT(""'""&amp;CQ$1&amp;""'!$D$4:$D$66"")=CQ$2),$G$3:$BQ$3,$G131:$BQ131))),"""")"),"")</f>
        <v/>
      </c>
      <c r="CS131" s="251">
        <f>IFERROR(__xludf.DUMMYFUNCTION("AVERAGE(ARRAYFORMULA(XLOOKUP(FILTER(INDIRECT(""'""&amp;CS$1&amp;""'!$C$4:$C$66""),INDIRECT(""'""&amp;CS$1&amp;""'!$D$4:$D$66"")=CS$2),$G$3:$BQ$3,$G131:$BQ131)))"),0.8017418077777778)</f>
        <v>0.8017418078</v>
      </c>
      <c r="CT131" s="207">
        <f>IFERROR(__xludf.DUMMYFUNCTION("IF(OR(CS131&gt;$BS131+$BT131*$BT$2,CS131&lt;$BS131-$BT131*$BT$2),AVEDEV(ARRAYFORMULA(XLOOKUP(FILTER(INDIRECT(""'""&amp;CS$1&amp;""'!$C$4:$C$66""),INDIRECT(""'""&amp;CS$1&amp;""'!$D$4:$D$66"")=CS$2),$G$3:$BQ$3,$G131:$BQ131))),"""")"),0.4781177219753086)</f>
        <v>0.478117722</v>
      </c>
      <c r="CU131" s="251">
        <f>IFERROR(__xludf.DUMMYFUNCTION("AVERAGE(ARRAYFORMULA(XLOOKUP(FILTER(INDIRECT(""'""&amp;CU$1&amp;""'!$C$4:$C$66""),INDIRECT(""'""&amp;CU$1&amp;""'!$D$4:$D$66"")=CU$2),$G$3:$BQ$3,$G131:$BQ131)))"),0.32898224090909095)</f>
        <v>0.3289822409</v>
      </c>
      <c r="CV131" s="207" t="str">
        <f>IFERROR(__xludf.DUMMYFUNCTION("IF(OR(CU131&gt;$BS131+$BT131*$BT$2,CU131&lt;$BS131-$BT131*$BT$2),AVEDEV(ARRAYFORMULA(XLOOKUP(FILTER(INDIRECT(""'""&amp;CU$1&amp;""'!$C$4:$C$66""),INDIRECT(""'""&amp;CU$1&amp;""'!$D$4:$D$66"")=CU$2),$G$3:$BQ$3,$G131:$BQ131))),"""")"),"")</f>
        <v/>
      </c>
      <c r="CW131" s="251">
        <f>IFERROR(__xludf.DUMMYFUNCTION("AVERAGE(ARRAYFORMULA(XLOOKUP(FILTER(INDIRECT(""'""&amp;CW$1&amp;""'!$C$4:$C$66""),INDIRECT(""'""&amp;CW$1&amp;""'!$D$4:$D$66"")=CW$2),$G$3:$BQ$3,$G131:$BQ131)))"),0.59007056)</f>
        <v>0.59007056</v>
      </c>
      <c r="CX131" s="207" t="str">
        <f>IFERROR(__xludf.DUMMYFUNCTION("IF(OR(CW131&gt;$BS131+$BT131*$BT$2,CW131&lt;$BS131-$BT131*$BT$2),AVEDEV(ARRAYFORMULA(XLOOKUP(FILTER(INDIRECT(""'""&amp;CW$1&amp;""'!$C$4:$C$66""),INDIRECT(""'""&amp;CW$1&amp;""'!$D$4:$D$66"")=CW$2),$G$3:$BQ$3,$G131:$BQ131))),"""")"),"")</f>
        <v/>
      </c>
      <c r="CY131" s="251">
        <f>IFERROR(__xludf.DUMMYFUNCTION("AVERAGE(ARRAYFORMULA(XLOOKUP(FILTER(INDIRECT(""'""&amp;CY$1&amp;""'!$C$4:$C$66""),INDIRECT(""'""&amp;CY$1&amp;""'!$D$4:$D$66"")=CY$2),$G$3:$BQ$3,$G131:$BQ131)))"),0.04707253714285716)</f>
        <v>0.04707253714</v>
      </c>
      <c r="CZ131" s="207" t="str">
        <f>IFERROR(__xludf.DUMMYFUNCTION("IF(OR(CY131&gt;$BS131+$BT131*$BT$2,CY131&lt;$BS131-$BT131*$BT$2),AVEDEV(ARRAYFORMULA(XLOOKUP(FILTER(INDIRECT(""'""&amp;CY$1&amp;""'!$C$4:$C$66""),INDIRECT(""'""&amp;CY$1&amp;""'!$D$4:$D$66"")=CY$2),$G$3:$BQ$3,$G131:$BQ131))),"""")"),"")</f>
        <v/>
      </c>
      <c r="DA131" s="252"/>
      <c r="DB131" s="251">
        <f>IFERROR(__xludf.DUMMYFUNCTION("AVERAGE(ARRAYFORMULA(XLOOKUP(FILTER(INDIRECT(""'""&amp;DB$1&amp;""'!$C$4:$C$66""),INDIRECT(""'""&amp;DB$1&amp;""'!$D$4:$D$66"")=DB$2),$G$3:$BQ$3,$G131:$BQ131)))"),-0.02460710533333333)</f>
        <v>-0.02460710533</v>
      </c>
      <c r="DC131" s="207" t="str">
        <f>IFERROR(__xludf.DUMMYFUNCTION("IF(OR(DB131&gt;$BS131+$BT131*$BT$2,DB131&lt;$BS131-$BT131*$BT$2),AVEDEV(ARRAYFORMULA(XLOOKUP(FILTER(INDIRECT(""'""&amp;DB$1&amp;""'!$C$4:$C$66""),INDIRECT(""'""&amp;DB$1&amp;""'!$D$4:$D$66"")=DB$2),$G$3:$BQ$3,$G131:$BQ131))),"""")"),"")</f>
        <v/>
      </c>
      <c r="DD131" s="251">
        <f>IFERROR(__xludf.DUMMYFUNCTION("AVERAGE(ARRAYFORMULA(XLOOKUP(FILTER(INDIRECT(""'""&amp;DD$1&amp;""'!$C$4:$C$66""),INDIRECT(""'""&amp;DD$1&amp;""'!$D$4:$D$66"")=DD$2),$G$3:$BQ$3,$G131:$BQ131)))"),0.6726175255555555)</f>
        <v>0.6726175256</v>
      </c>
      <c r="DE131" s="207" t="str">
        <f>IFERROR(__xludf.DUMMYFUNCTION("IF(OR(DD131&gt;$BS131+$BT131*$BT$2,DD131&lt;$BS131-$BT131*$BT$2),AVEDEV(ARRAYFORMULA(XLOOKUP(FILTER(INDIRECT(""'""&amp;DD$1&amp;""'!$C$4:$C$66""),INDIRECT(""'""&amp;DD$1&amp;""'!$D$4:$D$66"")=DD$2),$G$3:$BQ$3,$G131:$BQ131))),"""")"),"")</f>
        <v/>
      </c>
      <c r="DF131" s="251">
        <f>IFERROR(__xludf.DUMMYFUNCTION("AVERAGE(ARRAYFORMULA(XLOOKUP(FILTER(INDIRECT(""'""&amp;DF$1&amp;""'!$C$4:$C$66""),INDIRECT(""'""&amp;DF$1&amp;""'!$D$4:$D$66"")=DF$2),$G$3:$BQ$3,$G131:$BQ131)))"),-0.40616552375)</f>
        <v>-0.4061655238</v>
      </c>
      <c r="DG131" s="207" t="str">
        <f>IFERROR(__xludf.DUMMYFUNCTION("IF(OR(DF131&gt;$BS131+$BT131*$BT$2,DF131&lt;$BS131-$BT131*$BT$2),AVEDEV(ARRAYFORMULA(XLOOKUP(FILTER(INDIRECT(""'""&amp;DF$1&amp;""'!$C$4:$C$66""),INDIRECT(""'""&amp;DF$1&amp;""'!$D$4:$D$66"")=DF$2),$G$3:$BQ$3,$G131:$BQ131))),"""")"),"")</f>
        <v/>
      </c>
      <c r="DH131" s="251">
        <f>IFERROR(__xludf.DUMMYFUNCTION("AVERAGE(ARRAYFORMULA(XLOOKUP(FILTER(INDIRECT(""'""&amp;DH$1&amp;""'!$C$4:$C$66""),INDIRECT(""'""&amp;DH$1&amp;""'!$D$4:$D$66"")=DH$2),$G$3:$BQ$3,$G131:$BQ131)))"),0.80746597)</f>
        <v>0.80746597</v>
      </c>
      <c r="DI131" s="207">
        <f>IFERROR(__xludf.DUMMYFUNCTION("IF(OR(DH131&gt;$BS131+$BT131*$BT$2,DH131&lt;$BS131-$BT131*$BT$2),AVEDEV(ARRAYFORMULA(XLOOKUP(FILTER(INDIRECT(""'""&amp;DH$1&amp;""'!$C$4:$C$66""),INDIRECT(""'""&amp;DH$1&amp;""'!$D$4:$D$66"")=DH$2),$G$3:$BQ$3,$G131:$BQ131))),"""")"),0.33247586444444444)</f>
        <v>0.3324758644</v>
      </c>
      <c r="DJ131" s="243"/>
    </row>
    <row r="132">
      <c r="A132" s="2"/>
      <c r="B132" s="204">
        <v>128.0</v>
      </c>
      <c r="C132" s="204" t="s">
        <v>540</v>
      </c>
      <c r="D132" s="204" t="s">
        <v>574</v>
      </c>
      <c r="E132" s="205" t="b">
        <f>VLOOKUP(D132,'Feature Set List'!A129:C246,2,0)</f>
        <v>1</v>
      </c>
      <c r="F132" s="205" t="b">
        <f>VLOOKUP(D132,'Feature Set List'!A129:C246,3,0)</f>
        <v>0</v>
      </c>
      <c r="G132" s="205">
        <v>1.10710368</v>
      </c>
      <c r="H132" s="205">
        <v>-0.5714482</v>
      </c>
      <c r="I132" s="205">
        <v>0.28565551</v>
      </c>
      <c r="J132" s="205">
        <v>-0.5714482</v>
      </c>
      <c r="K132" s="205">
        <v>-0.5714482</v>
      </c>
      <c r="L132" s="205">
        <v>0.28565551</v>
      </c>
      <c r="M132" s="205">
        <v>0.42855184</v>
      </c>
      <c r="N132" s="205">
        <v>-0.5714482</v>
      </c>
      <c r="O132" s="205">
        <v>-0.5714482</v>
      </c>
      <c r="P132" s="205">
        <v>0.57131103</v>
      </c>
      <c r="Q132" s="205">
        <v>0.28565551</v>
      </c>
      <c r="R132" s="205">
        <v>-0.2857926</v>
      </c>
      <c r="S132" s="205">
        <v>-0.5714482</v>
      </c>
      <c r="T132" s="205">
        <v>0.57131103</v>
      </c>
      <c r="U132" s="205">
        <v>-0.5714482</v>
      </c>
      <c r="V132" s="205">
        <v>-0.5714482</v>
      </c>
      <c r="W132" s="205">
        <v>0.42855184</v>
      </c>
      <c r="X132" s="205">
        <v>-0.5714482</v>
      </c>
      <c r="Y132" s="205">
        <v>0.85751509</v>
      </c>
      <c r="Z132" s="205">
        <v>-0.5714482</v>
      </c>
      <c r="AA132" s="205">
        <v>-0.5714482</v>
      </c>
      <c r="AB132" s="205">
        <v>0.14275919</v>
      </c>
      <c r="AC132" s="205">
        <v>0.68568294</v>
      </c>
      <c r="AD132" s="205">
        <v>0.35710368</v>
      </c>
      <c r="AE132" s="205">
        <v>-0.5714482</v>
      </c>
      <c r="AF132" s="205">
        <v>0.42855184</v>
      </c>
      <c r="AG132" s="205">
        <v>0.35710368</v>
      </c>
      <c r="AH132" s="205">
        <v>0.57131103</v>
      </c>
      <c r="AI132" s="205">
        <v>0.71420735</v>
      </c>
      <c r="AJ132" s="205">
        <v>-0.2857926</v>
      </c>
      <c r="AK132" s="205">
        <v>-0.5714482</v>
      </c>
      <c r="AL132" s="205">
        <v>-0.4857378</v>
      </c>
      <c r="AM132" s="205">
        <v>0.68568294</v>
      </c>
      <c r="AN132" s="205">
        <v>0.85751509</v>
      </c>
      <c r="AO132" s="205">
        <v>0.0</v>
      </c>
      <c r="AP132" s="205">
        <v>-0.5714482</v>
      </c>
      <c r="AQ132" s="205">
        <v>-0.5714482</v>
      </c>
      <c r="AR132" s="205">
        <v>-0.5714482</v>
      </c>
      <c r="AS132" s="205">
        <v>0.42855184</v>
      </c>
      <c r="AT132" s="205">
        <v>-0.5714482</v>
      </c>
      <c r="AU132" s="205">
        <v>-0.4571722</v>
      </c>
      <c r="AV132" s="205">
        <v>-0.5714482</v>
      </c>
      <c r="AW132" s="205">
        <v>-0.0714482</v>
      </c>
      <c r="AX132" s="205">
        <v>-0.5714482</v>
      </c>
      <c r="AY132" s="205">
        <v>-0.4285518</v>
      </c>
      <c r="AZ132" s="205">
        <v>0.28565551</v>
      </c>
      <c r="BA132" s="205">
        <v>0.28565551</v>
      </c>
      <c r="BB132" s="205">
        <v>-0.5714482</v>
      </c>
      <c r="BC132" s="205">
        <v>-0.5714482</v>
      </c>
      <c r="BD132" s="205">
        <v>0.49986286</v>
      </c>
      <c r="BE132" s="205">
        <v>0.0</v>
      </c>
      <c r="BF132" s="205">
        <v>0.21420735</v>
      </c>
      <c r="BG132" s="205">
        <v>0.14275919</v>
      </c>
      <c r="BH132" s="205">
        <v>0.35710368</v>
      </c>
      <c r="BI132" s="205">
        <v>-0.4285518</v>
      </c>
      <c r="BJ132" s="205">
        <v>-0.2143445</v>
      </c>
      <c r="BK132" s="205">
        <v>0.42855184</v>
      </c>
      <c r="BL132" s="205">
        <v>-0.1428963</v>
      </c>
      <c r="BM132" s="205">
        <v>0.0</v>
      </c>
      <c r="BN132" s="205">
        <v>0.57131103</v>
      </c>
      <c r="BO132" s="205">
        <v>0.92882611</v>
      </c>
      <c r="BP132" s="205">
        <v>0.71420735</v>
      </c>
      <c r="BQ132" s="205">
        <v>0.05704882</v>
      </c>
      <c r="BR132" s="206"/>
      <c r="BS132" s="250">
        <f t="shared" si="1"/>
        <v>-0.004217938571</v>
      </c>
      <c r="BT132" s="250">
        <f t="shared" si="2"/>
        <v>0.4658464077</v>
      </c>
      <c r="BU132" s="206"/>
      <c r="BV132" s="207">
        <f>IFERROR(__xludf.DUMMYFUNCTION("AVERAGE(ARRAYFORMULA(XLOOKUP(FILTER(INDIRECT(""'""&amp;BV$1&amp;""'!$C$4:$C$66""),INDIRECT(""'""&amp;BV$1&amp;""'!$D$4:$D$66"")=BV$2),$G$3:$BQ$3,$G132:$BQ132)))"),-0.32654181428571427)</f>
        <v>-0.3265418143</v>
      </c>
      <c r="BW132" s="207" t="str">
        <f>IFERROR(__xludf.DUMMYFUNCTION("IF(OR(BV132&gt;$BS132+$BT132*$BT$2,BV132&lt;$BS132-$BT132*$BT$2),AVEDEV(ARRAYFORMULA(XLOOKUP(FILTER(INDIRECT(""'""&amp;BV$1&amp;""'!$C$4:$C$66""),INDIRECT(""'""&amp;BV$1&amp;""'!$D$4:$D$66"")=BV$2),$G$3:$BQ$3,$G132:$BQ132))),"""")"),"")</f>
        <v/>
      </c>
      <c r="BX132" s="207">
        <f>IFERROR(__xludf.DUMMYFUNCTION("AVERAGE(ARRAYFORMULA(XLOOKUP(FILTER(INDIRECT(""'""&amp;BX$1&amp;""'!$C$4:$C$66""),INDIRECT(""'""&amp;BX$1&amp;""'!$D$4:$D$66"")=BX$2),$G$3:$BQ$3,$G132:$BQ132)))"),-0.08471777333333333)</f>
        <v>-0.08471777333</v>
      </c>
      <c r="BY132" s="207" t="str">
        <f>IFERROR(__xludf.DUMMYFUNCTION("IF(OR(BX132&gt;$BS132+$BT132*$BT$2,BX132&lt;$BS132-$BT132*$BT$2),AVEDEV(ARRAYFORMULA(XLOOKUP(FILTER(INDIRECT(""'""&amp;BX$1&amp;""'!$C$4:$C$66""),INDIRECT(""'""&amp;BX$1&amp;""'!$D$4:$D$66"")=BX$2),$G$3:$BQ$3,$G132:$BQ132))),"""")"),"")</f>
        <v/>
      </c>
      <c r="BZ132" s="207">
        <f>IFERROR(__xludf.DUMMYFUNCTION("AVERAGE(ARRAYFORMULA(XLOOKUP(FILTER(INDIRECT(""'""&amp;BZ$1&amp;""'!$C$4:$C$66""),INDIRECT(""'""&amp;BZ$1&amp;""'!$D$4:$D$66"")=BZ$2),$G$3:$BQ$3,$G132:$BQ132)))"),0.4772602618181818)</f>
        <v>0.4772602618</v>
      </c>
      <c r="CA132" s="207">
        <f>IFERROR(__xludf.DUMMYFUNCTION("IF(OR(BZ132&gt;$BS132+$BT132*$BT$2,BZ132&lt;$BS132-$BT132*$BT$2),AVEDEV(ARRAYFORMULA(XLOOKUP(FILTER(INDIRECT(""'""&amp;BZ$1&amp;""'!$C$4:$C$66""),INDIRECT(""'""&amp;BZ$1&amp;""'!$D$4:$D$66"")=BZ$2),$G$3:$BQ$3,$G132:$BQ132))),"""")"),0.2178545059504132)</f>
        <v>0.217854506</v>
      </c>
      <c r="CB132" s="209"/>
      <c r="CC132" s="207">
        <f>IFERROR(__xludf.DUMMYFUNCTION("AVERAGE(ARRAYFORMULA(XLOOKUP(FILTER(INDIRECT(""'""&amp;CC$1&amp;""'!$C$4:$C$66""),INDIRECT(""'""&amp;CC$1&amp;""'!$D$4:$D$66"")=CC$2),$G$3:$BQ$3,$G132:$BQ132)))"),-0.35270676374999993)</f>
        <v>-0.3527067638</v>
      </c>
      <c r="CD132" s="207" t="str">
        <f>IFERROR(__xludf.DUMMYFUNCTION("IF(OR(CC132&gt;$BS132+$BT132*$BT$2,CC132&lt;$BS132-$BT132*$BT$2),AVEDEV(ARRAYFORMULA(XLOOKUP(FILTER(INDIRECT(""'""&amp;CC$1&amp;""'!$C$4:$C$66""),INDIRECT(""'""&amp;CC$1&amp;""'!$D$4:$D$66"")=CC$2),$G$3:$BQ$3,$G132:$BQ132))),"""")"),"")</f>
        <v/>
      </c>
      <c r="CE132" s="207">
        <f>IFERROR(__xludf.DUMMYFUNCTION("AVERAGE(ARRAYFORMULA(XLOOKUP(FILTER(INDIRECT(""'""&amp;CE$1&amp;""'!$C$4:$C$66""),INDIRECT(""'""&amp;CE$1&amp;""'!$D$4:$D$66"")=CE$2),$G$3:$BQ$3,$G132:$BQ132)))"),0.09261143322580648)</f>
        <v>0.09261143323</v>
      </c>
      <c r="CF132" s="207" t="str">
        <f>IFERROR(__xludf.DUMMYFUNCTION("IF(OR(CE132&gt;$BS132+$BT132*$BT$2,CE132&lt;$BS132-$BT132*$BT$2),AVEDEV(ARRAYFORMULA(XLOOKUP(FILTER(INDIRECT(""'""&amp;CE$1&amp;""'!$C$4:$C$66""),INDIRECT(""'""&amp;CE$1&amp;""'!$D$4:$D$66"")=CE$2),$G$3:$BQ$3,$G132:$BQ132))),"""")"),"")</f>
        <v/>
      </c>
      <c r="CG132" s="207">
        <f>IFERROR(__xludf.DUMMYFUNCTION("AVERAGE(ARRAYFORMULA(XLOOKUP(FILTER(INDIRECT(""'""&amp;CG$1&amp;""'!$C$4:$C$66""),INDIRECT(""'""&amp;CG$1&amp;""'!$D$4:$D$66"")=CG$2),$G$3:$BQ$3,$G132:$BQ132)))"),0.39991772000000003)</f>
        <v>0.39991772</v>
      </c>
      <c r="CH132" s="207" t="str">
        <f>IFERROR(__xludf.DUMMYFUNCTION("IF(OR(CG132&gt;$BS132+$BT132*$BT$2,CG132&lt;$BS132-$BT132*$BT$2),AVEDEV(ARRAYFORMULA(XLOOKUP(FILTER(INDIRECT(""'""&amp;CG$1&amp;""'!$C$4:$C$66""),INDIRECT(""'""&amp;CG$1&amp;""'!$D$4:$D$66"")=CG$2),$G$3:$BQ$3,$G132:$BQ132))),"""")"),"")</f>
        <v/>
      </c>
      <c r="CI132" s="206"/>
      <c r="CJ132" s="251">
        <f>IFERROR(__xludf.DUMMYFUNCTION("AVERAGE(ARRAYFORMULA(XLOOKUP(FILTER(INDIRECT(""'""&amp;CJ$1&amp;""'!$C$4:$C$66""),INDIRECT(""'""&amp;CJ$1&amp;""'!$D$4:$D$66"")=CJ$2),$G$3:$BQ$3,$G132:$BQ132)))"),0.019537376000000037)</f>
        <v>0.019537376</v>
      </c>
      <c r="CK132" s="207" t="str">
        <f>IFERROR(__xludf.DUMMYFUNCTION("IF(OR(CJ132&gt;$BS132+$BT132*$BT$2,CJ132&lt;$BS132-$BT132*$BT$2),AVEDEV(ARRAYFORMULA(XLOOKUP(FILTER(INDIRECT(""'""&amp;CJ$1&amp;""'!$C$4:$C$66""),INDIRECT(""'""&amp;CJ$1&amp;""'!$D$4:$D$66"")=CJ$2),$G$3:$BQ$3,$G132:$BQ132))),"""")"),"")</f>
        <v/>
      </c>
      <c r="CL132" s="251">
        <f>IFERROR(__xludf.DUMMYFUNCTION("AVERAGE(ARRAYFORMULA(XLOOKUP(FILTER(INDIRECT(""'""&amp;CL$1&amp;""'!$C$4:$C$66""),INDIRECT(""'""&amp;CL$1&amp;""'!$D$4:$D$66"")=CL$2),$G$3:$BQ$3,$G132:$BQ132)))"),-0.0703545958974359)</f>
        <v>-0.0703545959</v>
      </c>
      <c r="CM132" s="207" t="str">
        <f>IFERROR(__xludf.DUMMYFUNCTION("IF(OR(CL132&gt;$BS132+$BT132*$BT$2,CL132&lt;$BS132-$BT132*$BT$2),AVEDEV(ARRAYFORMULA(XLOOKUP(FILTER(INDIRECT(""'""&amp;CL$1&amp;""'!$C$4:$C$66""),INDIRECT(""'""&amp;CL$1&amp;""'!$D$4:$D$66"")=CL$2),$G$3:$BQ$3,$G132:$BQ132))),"""")"),"")</f>
        <v/>
      </c>
      <c r="CN132" s="251">
        <f>IFERROR(__xludf.DUMMYFUNCTION("AVERAGE(ARRAYFORMULA(XLOOKUP(FILTER(INDIRECT(""'""&amp;CN$1&amp;""'!$C$4:$C$66""),INDIRECT(""'""&amp;CN$1&amp;""'!$D$4:$D$66"")=CN$2),$G$3:$BQ$3,$G132:$BQ132)))"),0.39991772000000003)</f>
        <v>0.39991772</v>
      </c>
      <c r="CO132" s="207" t="str">
        <f>IFERROR(__xludf.DUMMYFUNCTION("IF(OR(CN132&gt;$BS132+$BT132*$BT$2,CN132&lt;$BS132-$BT132*$BT$2),AVEDEV(ARRAYFORMULA(XLOOKUP(FILTER(INDIRECT(""'""&amp;CN$1&amp;""'!$C$4:$C$66""),INDIRECT(""'""&amp;CN$1&amp;""'!$D$4:$D$66"")=CN$2),$G$3:$BQ$3,$G132:$BQ132))),"""")"),"")</f>
        <v/>
      </c>
      <c r="CP132" s="252"/>
      <c r="CQ132" s="251">
        <f>IFERROR(__xludf.DUMMYFUNCTION("AVERAGE(ARRAYFORMULA(XLOOKUP(FILTER(INDIRECT(""'""&amp;CQ$1&amp;""'!$C$4:$C$66""),INDIRECT(""'""&amp;CQ$1&amp;""'!$D$4:$D$66"")=CQ$2),$G$3:$BQ$3,$G132:$BQ132)))"),-0.24390724142857137)</f>
        <v>-0.2439072414</v>
      </c>
      <c r="CR132" s="207" t="str">
        <f>IFERROR(__xludf.DUMMYFUNCTION("IF(OR(CQ132&gt;$BS132+$BT132*$BT$2,CQ132&lt;$BS132-$BT132*$BT$2),AVEDEV(ARRAYFORMULA(XLOOKUP(FILTER(INDIRECT(""'""&amp;CQ$1&amp;""'!$C$4:$C$66""),INDIRECT(""'""&amp;CQ$1&amp;""'!$D$4:$D$66"")=CQ$2),$G$3:$BQ$3,$G132:$BQ132))),"""")"),"")</f>
        <v/>
      </c>
      <c r="CS132" s="251">
        <f>IFERROR(__xludf.DUMMYFUNCTION("AVERAGE(ARRAYFORMULA(XLOOKUP(FILTER(INDIRECT(""'""&amp;CS$1&amp;""'!$C$4:$C$66""),INDIRECT(""'""&amp;CS$1&amp;""'!$D$4:$D$66"")=CS$2),$G$3:$BQ$3,$G132:$BQ132)))"),0.5515785966666666)</f>
        <v>0.5515785967</v>
      </c>
      <c r="CT132" s="207">
        <f>IFERROR(__xludf.DUMMYFUNCTION("IF(OR(CS132&gt;$BS132+$BT132*$BT$2,CS132&lt;$BS132-$BT132*$BT$2),AVEDEV(ARRAYFORMULA(XLOOKUP(FILTER(INDIRECT(""'""&amp;CS$1&amp;""'!$C$4:$C$66""),INDIRECT(""'""&amp;CS$1&amp;""'!$D$4:$D$66"")=CS$2),$G$3:$BQ$3,$G132:$BQ132))),"""")"),0.20020587629629627)</f>
        <v>0.2002058763</v>
      </c>
      <c r="CU132" s="251">
        <f>IFERROR(__xludf.DUMMYFUNCTION("AVERAGE(ARRAYFORMULA(XLOOKUP(FILTER(INDIRECT(""'""&amp;CU$1&amp;""'!$C$4:$C$66""),INDIRECT(""'""&amp;CU$1&amp;""'!$D$4:$D$66"")=CU$2),$G$3:$BQ$3,$G132:$BQ132)))"),0.10517128272727277)</f>
        <v>0.1051712827</v>
      </c>
      <c r="CV132" s="207" t="str">
        <f>IFERROR(__xludf.DUMMYFUNCTION("IF(OR(CU132&gt;$BS132+$BT132*$BT$2,CU132&lt;$BS132-$BT132*$BT$2),AVEDEV(ARRAYFORMULA(XLOOKUP(FILTER(INDIRECT(""'""&amp;CU$1&amp;""'!$C$4:$C$66""),INDIRECT(""'""&amp;CU$1&amp;""'!$D$4:$D$66"")=CU$2),$G$3:$BQ$3,$G132:$BQ132))),"""")"),"")</f>
        <v/>
      </c>
      <c r="CW132" s="251">
        <f>IFERROR(__xludf.DUMMYFUNCTION("AVERAGE(ARRAYFORMULA(XLOOKUP(FILTER(INDIRECT(""'""&amp;CW$1&amp;""'!$C$4:$C$66""),INDIRECT(""'""&amp;CW$1&amp;""'!$D$4:$D$66"")=CW$2),$G$3:$BQ$3,$G132:$BQ132)))"),0.35710368)</f>
        <v>0.35710368</v>
      </c>
      <c r="CX132" s="207" t="str">
        <f>IFERROR(__xludf.DUMMYFUNCTION("IF(OR(CW132&gt;$BS132+$BT132*$BT$2,CW132&lt;$BS132-$BT132*$BT$2),AVEDEV(ARRAYFORMULA(XLOOKUP(FILTER(INDIRECT(""'""&amp;CW$1&amp;""'!$C$4:$C$66""),INDIRECT(""'""&amp;CW$1&amp;""'!$D$4:$D$66"")=CW$2),$G$3:$BQ$3,$G132:$BQ132))),"""")"),"")</f>
        <v/>
      </c>
      <c r="CY132" s="251">
        <f>IFERROR(__xludf.DUMMYFUNCTION("AVERAGE(ARRAYFORMULA(XLOOKUP(FILTER(INDIRECT(""'""&amp;CY$1&amp;""'!$C$4:$C$66""),INDIRECT(""'""&amp;CY$1&amp;""'!$D$4:$D$66"")=CY$2),$G$3:$BQ$3,$G132:$BQ132)))"),-0.11328462142857142)</f>
        <v>-0.1132846214</v>
      </c>
      <c r="CZ132" s="207" t="str">
        <f>IFERROR(__xludf.DUMMYFUNCTION("IF(OR(CY132&gt;$BS132+$BT132*$BT$2,CY132&lt;$BS132-$BT132*$BT$2),AVEDEV(ARRAYFORMULA(XLOOKUP(FILTER(INDIRECT(""'""&amp;CY$1&amp;""'!$C$4:$C$66""),INDIRECT(""'""&amp;CY$1&amp;""'!$D$4:$D$66"")=CY$2),$G$3:$BQ$3,$G132:$BQ132))),"""")"),"")</f>
        <v/>
      </c>
      <c r="DA132" s="252"/>
      <c r="DB132" s="251">
        <f>IFERROR(__xludf.DUMMYFUNCTION("AVERAGE(ARRAYFORMULA(XLOOKUP(FILTER(INDIRECT(""'""&amp;DB$1&amp;""'!$C$4:$C$66""),INDIRECT(""'""&amp;DB$1&amp;""'!$D$4:$D$66"")=DB$2),$G$3:$BQ$3,$G132:$BQ132)))"),-0.13192998533333333)</f>
        <v>-0.1319299853</v>
      </c>
      <c r="DC132" s="207" t="str">
        <f>IFERROR(__xludf.DUMMYFUNCTION("IF(OR(DB132&gt;$BS132+$BT132*$BT$2,DB132&lt;$BS132-$BT132*$BT$2),AVEDEV(ARRAYFORMULA(XLOOKUP(FILTER(INDIRECT(""'""&amp;DB$1&amp;""'!$C$4:$C$66""),INDIRECT(""'""&amp;DB$1&amp;""'!$D$4:$D$66"")=DB$2),$G$3:$BQ$3,$G132:$BQ132))),"""")"),"")</f>
        <v/>
      </c>
      <c r="DD132" s="251">
        <f>IFERROR(__xludf.DUMMYFUNCTION("AVERAGE(ARRAYFORMULA(XLOOKUP(FILTER(INDIRECT(""'""&amp;DD$1&amp;""'!$C$4:$C$66""),INDIRECT(""'""&amp;DD$1&amp;""'!$D$4:$D$66"")=DD$2),$G$3:$BQ$3,$G132:$BQ132)))"),0.34518802666666665)</f>
        <v>0.3451880267</v>
      </c>
      <c r="DE132" s="207" t="str">
        <f>IFERROR(__xludf.DUMMYFUNCTION("IF(OR(DD132&gt;$BS132+$BT132*$BT$2,DD132&lt;$BS132-$BT132*$BT$2),AVEDEV(ARRAYFORMULA(XLOOKUP(FILTER(INDIRECT(""'""&amp;DD$1&amp;""'!$C$4:$C$66""),INDIRECT(""'""&amp;DD$1&amp;""'!$D$4:$D$66"")=DD$2),$G$3:$BQ$3,$G132:$BQ132))),"""")"),"")</f>
        <v/>
      </c>
      <c r="DF132" s="251">
        <f>IFERROR(__xludf.DUMMYFUNCTION("AVERAGE(ARRAYFORMULA(XLOOKUP(FILTER(INDIRECT(""'""&amp;DF$1&amp;""'!$C$4:$C$66""),INDIRECT(""'""&amp;DF$1&amp;""'!$D$4:$D$66"")=DF$2),$G$3:$BQ$3,$G132:$BQ132)))"),-0.37503428625)</f>
        <v>-0.3750342863</v>
      </c>
      <c r="DG132" s="207" t="str">
        <f>IFERROR(__xludf.DUMMYFUNCTION("IF(OR(DF132&gt;$BS132+$BT132*$BT$2,DF132&lt;$BS132-$BT132*$BT$2),AVEDEV(ARRAYFORMULA(XLOOKUP(FILTER(INDIRECT(""'""&amp;DF$1&amp;""'!$C$4:$C$66""),INDIRECT(""'""&amp;DF$1&amp;""'!$D$4:$D$66"")=DF$2),$G$3:$BQ$3,$G132:$BQ132))),"""")"),"")</f>
        <v/>
      </c>
      <c r="DH132" s="251">
        <f>IFERROR(__xludf.DUMMYFUNCTION("AVERAGE(ARRAYFORMULA(XLOOKUP(FILTER(INDIRECT(""'""&amp;DH$1&amp;""'!$C$4:$C$66""),INDIRECT(""'""&amp;DH$1&amp;""'!$D$4:$D$66"")=DH$2),$G$3:$BQ$3,$G132:$BQ132)))"),0.5047997788888889)</f>
        <v>0.5047997789</v>
      </c>
      <c r="DI132" s="207">
        <f>IFERROR(__xludf.DUMMYFUNCTION("IF(OR(DH132&gt;$BS132+$BT132*$BT$2,DH132&lt;$BS132-$BT132*$BT$2),AVEDEV(ARRAYFORMULA(XLOOKUP(FILTER(INDIRECT(""'""&amp;DH$1&amp;""'!$C$4:$C$66""),INDIRECT(""'""&amp;DH$1&amp;""'!$D$4:$D$66"")=DH$2),$G$3:$BQ$3,$G132:$BQ132))),"""")"),0.2275857898765432)</f>
        <v>0.2275857899</v>
      </c>
      <c r="DJ132" s="243"/>
    </row>
    <row r="133">
      <c r="A133" s="2"/>
      <c r="B133" s="204">
        <v>129.0</v>
      </c>
      <c r="C133" s="204" t="s">
        <v>540</v>
      </c>
      <c r="D133" s="204" t="s">
        <v>575</v>
      </c>
      <c r="E133" s="205" t="b">
        <f>VLOOKUP(D133,'Feature Set List'!A130:C246,2,0)</f>
        <v>1</v>
      </c>
      <c r="F133" s="205" t="b">
        <f>VLOOKUP(D133,'Feature Set List'!A130:C246,3,0)</f>
        <v>0</v>
      </c>
      <c r="G133" s="205">
        <v>11.6908605</v>
      </c>
      <c r="H133" s="205">
        <v>-0.2866966</v>
      </c>
      <c r="I133" s="205">
        <v>0.69477605</v>
      </c>
      <c r="J133" s="205">
        <v>-0.348534</v>
      </c>
      <c r="K133" s="205">
        <v>0.01623532</v>
      </c>
      <c r="L133" s="205">
        <v>-0.4702512</v>
      </c>
      <c r="M133" s="205">
        <v>-0.5498997</v>
      </c>
      <c r="N133" s="205">
        <v>0.05586859</v>
      </c>
      <c r="O133" s="205">
        <v>-0.4823322</v>
      </c>
      <c r="P133" s="205">
        <v>8.82102951</v>
      </c>
      <c r="Q133" s="205">
        <v>-0.4207812</v>
      </c>
      <c r="R133" s="205">
        <v>-0.4552574</v>
      </c>
      <c r="S133" s="205">
        <v>0.62314965</v>
      </c>
      <c r="T133" s="205">
        <v>12.6315538</v>
      </c>
      <c r="U133" s="205">
        <v>-0.5679018</v>
      </c>
      <c r="V133" s="205">
        <v>-0.5451724</v>
      </c>
      <c r="W133" s="205">
        <v>-0.4023971</v>
      </c>
      <c r="X133" s="205">
        <v>0.22013179</v>
      </c>
      <c r="Y133" s="205">
        <v>2.52220418</v>
      </c>
      <c r="Z133" s="205">
        <v>0.15662305</v>
      </c>
      <c r="AA133" s="205">
        <v>0.15041543</v>
      </c>
      <c r="AB133" s="205">
        <v>-0.0974119</v>
      </c>
      <c r="AC133" s="205">
        <v>-0.3491548</v>
      </c>
      <c r="AD133" s="205">
        <v>0.35526693</v>
      </c>
      <c r="AE133" s="205">
        <v>0.01766784</v>
      </c>
      <c r="AF133" s="205">
        <v>-0.4569287</v>
      </c>
      <c r="AG133" s="205">
        <v>-0.4309044</v>
      </c>
      <c r="AH133" s="205">
        <v>-0.12845</v>
      </c>
      <c r="AI133" s="205">
        <v>0.0</v>
      </c>
      <c r="AJ133" s="205">
        <v>1.08490116</v>
      </c>
      <c r="AK133" s="205">
        <v>-0.2573775</v>
      </c>
      <c r="AL133" s="205">
        <v>-0.2124916</v>
      </c>
      <c r="AM133" s="205">
        <v>0.5949766</v>
      </c>
      <c r="AN133" s="205">
        <v>-0.382676</v>
      </c>
      <c r="AO133" s="205">
        <v>-0.5192914</v>
      </c>
      <c r="AP133" s="205">
        <v>0.18384108</v>
      </c>
      <c r="AQ133" s="205">
        <v>0.23923217</v>
      </c>
      <c r="AR133" s="205">
        <v>-0.3991978</v>
      </c>
      <c r="AS133" s="205">
        <v>5.58351638</v>
      </c>
      <c r="AT133" s="205">
        <v>-0.369449</v>
      </c>
      <c r="AU133" s="205">
        <v>0.25833254</v>
      </c>
      <c r="AV133" s="205">
        <v>1.10543406</v>
      </c>
      <c r="AW133" s="205">
        <v>1.14315729</v>
      </c>
      <c r="AX133" s="205">
        <v>-0.4058829</v>
      </c>
      <c r="AY133" s="205">
        <v>-0.5232547</v>
      </c>
      <c r="AZ133" s="205">
        <v>-0.2077166</v>
      </c>
      <c r="BA133" s="205">
        <v>8.60137523</v>
      </c>
      <c r="BB133" s="205">
        <v>-0.449193</v>
      </c>
      <c r="BC133" s="205">
        <v>-0.1093496</v>
      </c>
      <c r="BD133" s="205">
        <v>1.28115748</v>
      </c>
      <c r="BE133" s="205">
        <v>0.53528794</v>
      </c>
      <c r="BF133" s="205">
        <v>-0.5317544</v>
      </c>
      <c r="BG133" s="205">
        <v>14.3649126</v>
      </c>
      <c r="BH133" s="205">
        <v>0.0974119</v>
      </c>
      <c r="BI133" s="205">
        <v>-0.2172667</v>
      </c>
      <c r="BJ133" s="205">
        <v>0.26358514</v>
      </c>
      <c r="BK133" s="205">
        <v>-0.2158342</v>
      </c>
      <c r="BL133" s="205">
        <v>-0.2938592</v>
      </c>
      <c r="BM133" s="205">
        <v>-0.0062076</v>
      </c>
      <c r="BN133" s="205">
        <v>3.65581129</v>
      </c>
      <c r="BO133" s="205">
        <v>1.98166364</v>
      </c>
      <c r="BP133" s="205">
        <v>0.0563461</v>
      </c>
      <c r="BQ133" s="205">
        <v>1.29405023</v>
      </c>
      <c r="BR133" s="206"/>
      <c r="BS133" s="250">
        <f t="shared" si="1"/>
        <v>1.098220633</v>
      </c>
      <c r="BT133" s="250">
        <f t="shared" si="2"/>
        <v>1.917455808</v>
      </c>
      <c r="BU133" s="206"/>
      <c r="BV133" s="207">
        <f>IFERROR(__xludf.DUMMYFUNCTION("AVERAGE(ARRAYFORMULA(XLOOKUP(FILTER(INDIRECT(""'""&amp;BV$1&amp;""'!$C$4:$C$66""),INDIRECT(""'""&amp;BV$1&amp;""'!$D$4:$D$66"")=BV$2),$G$3:$BQ$3,$G133:$BQ133)))"),-0.2282971957142857)</f>
        <v>-0.2282971957</v>
      </c>
      <c r="BW133" s="207" t="str">
        <f>IFERROR(__xludf.DUMMYFUNCTION("IF(OR(BV133&gt;$BS133+$BT133*$BT$2,BV133&lt;$BS133-$BT133*$BT$2),AVEDEV(ARRAYFORMULA(XLOOKUP(FILTER(INDIRECT(""'""&amp;BV$1&amp;""'!$C$4:$C$66""),INDIRECT(""'""&amp;BV$1&amp;""'!$D$4:$D$66"")=BV$2),$G$3:$BQ$3,$G133:$BQ133))),"""")"),"")</f>
        <v/>
      </c>
      <c r="BX133" s="207">
        <f>IFERROR(__xludf.DUMMYFUNCTION("AVERAGE(ARRAYFORMULA(XLOOKUP(FILTER(INDIRECT(""'""&amp;BX$1&amp;""'!$C$4:$C$66""),INDIRECT(""'""&amp;BX$1&amp;""'!$D$4:$D$66"")=BX$2),$G$3:$BQ$3,$G133:$BQ133)))"),0.6280498059523809)</f>
        <v>0.628049806</v>
      </c>
      <c r="BY133" s="207" t="str">
        <f>IFERROR(__xludf.DUMMYFUNCTION("IF(OR(BX133&gt;$BS133+$BT133*$BT$2,BX133&lt;$BS133-$BT133*$BT$2),AVEDEV(ARRAYFORMULA(XLOOKUP(FILTER(INDIRECT(""'""&amp;BX$1&amp;""'!$C$4:$C$66""),INDIRECT(""'""&amp;BX$1&amp;""'!$D$4:$D$66"")=BX$2),$G$3:$BQ$3,$G133:$BQ133))),"""")"),"")</f>
        <v/>
      </c>
      <c r="BZ133" s="207">
        <f>IFERROR(__xludf.DUMMYFUNCTION("AVERAGE(ARRAYFORMULA(XLOOKUP(FILTER(INDIRECT(""'""&amp;BZ$1&amp;""'!$C$4:$C$66""),INDIRECT(""'""&amp;BZ$1&amp;""'!$D$4:$D$66"")=BZ$2),$G$3:$BQ$3,$G133:$BQ133)))"),3.8339656654545453)</f>
        <v>3.833965665</v>
      </c>
      <c r="CA133" s="207">
        <f>IFERROR(__xludf.DUMMYFUNCTION("IF(OR(BZ133&gt;$BS133+$BT133*$BT$2,BZ133&lt;$BS133-$BT133*$BT$2),AVEDEV(ARRAYFORMULA(XLOOKUP(FILTER(INDIRECT(""'""&amp;BZ$1&amp;""'!$C$4:$C$66""),INDIRECT(""'""&amp;BZ$1&amp;""'!$D$4:$D$66"")=BZ$2),$G$3:$BQ$3,$G133:$BQ133))),"""")"),4.8016284323966945)</f>
        <v>4.801628432</v>
      </c>
      <c r="CB133" s="209"/>
      <c r="CC133" s="207">
        <f>IFERROR(__xludf.DUMMYFUNCTION("AVERAGE(ARRAYFORMULA(XLOOKUP(FILTER(INDIRECT(""'""&amp;CC$1&amp;""'!$C$4:$C$66""),INDIRECT(""'""&amp;CC$1&amp;""'!$D$4:$D$66"")=CC$2),$G$3:$BQ$3,$G133:$BQ133)))"),-0.133186300625)</f>
        <v>-0.1331863006</v>
      </c>
      <c r="CD133" s="207" t="str">
        <f>IFERROR(__xludf.DUMMYFUNCTION("IF(OR(CC133&gt;$BS133+$BT133*$BT$2,CC133&lt;$BS133-$BT133*$BT$2),AVEDEV(ARRAYFORMULA(XLOOKUP(FILTER(INDIRECT(""'""&amp;CC$1&amp;""'!$C$4:$C$66""),INDIRECT(""'""&amp;CC$1&amp;""'!$D$4:$D$66"")=CC$2),$G$3:$BQ$3,$G133:$BQ133))),"""")"),"")</f>
        <v/>
      </c>
      <c r="CE133" s="207">
        <f>IFERROR(__xludf.DUMMYFUNCTION("AVERAGE(ARRAYFORMULA(XLOOKUP(FILTER(INDIRECT(""'""&amp;CE$1&amp;""'!$C$4:$C$66""),INDIRECT(""'""&amp;CE$1&amp;""'!$D$4:$D$66"")=CE$2),$G$3:$BQ$3,$G133:$BQ133)))"),0.21980677612903227)</f>
        <v>0.2198067761</v>
      </c>
      <c r="CF133" s="207" t="str">
        <f>IFERROR(__xludf.DUMMYFUNCTION("IF(OR(CE133&gt;$BS133+$BT133*$BT$2,CE133&lt;$BS133-$BT133*$BT$2),AVEDEV(ARRAYFORMULA(XLOOKUP(FILTER(INDIRECT(""'""&amp;CE$1&amp;""'!$C$4:$C$66""),INDIRECT(""'""&amp;CE$1&amp;""'!$D$4:$D$66"")=CE$2),$G$3:$BQ$3,$G133:$BQ133))),"""")"),"")</f>
        <v/>
      </c>
      <c r="CG133" s="207">
        <f>IFERROR(__xludf.DUMMYFUNCTION("AVERAGE(ARRAYFORMULA(XLOOKUP(FILTER(INDIRECT(""'""&amp;CG$1&amp;""'!$C$4:$C$66""),INDIRECT(""'""&amp;CG$1&amp;""'!$D$4:$D$66"")=CG$2),$G$3:$BQ$3,$G133:$BQ133)))"),10.000477504)</f>
        <v>10.0004775</v>
      </c>
      <c r="CH133" s="207">
        <f>IFERROR(__xludf.DUMMYFUNCTION("IF(OR(CG133&gt;$BS133+$BT133*$BT$2,CG133&lt;$BS133-$BT133*$BT$2),AVEDEV(ARRAYFORMULA(XLOOKUP(FILTER(INDIRECT(""'""&amp;CG$1&amp;""'!$C$4:$C$66""),INDIRECT(""'""&amp;CG$1&amp;""'!$D$4:$D$66"")=CG$2),$G$3:$BQ$3,$G133:$BQ133))),"""")"),2.7982045567999996)</f>
        <v>2.798204557</v>
      </c>
      <c r="CI133" s="206"/>
      <c r="CJ133" s="251">
        <f>IFERROR(__xludf.DUMMYFUNCTION("AVERAGE(ARRAYFORMULA(XLOOKUP(FILTER(INDIRECT(""'""&amp;CJ$1&amp;""'!$C$4:$C$66""),INDIRECT(""'""&amp;CJ$1&amp;""'!$D$4:$D$66"")=CJ$2),$G$3:$BQ$3,$G133:$BQ133)))"),1.0137554539999998)</f>
        <v>1.013755454</v>
      </c>
      <c r="CK133" s="207" t="str">
        <f>IFERROR(__xludf.DUMMYFUNCTION("IF(OR(CJ133&gt;$BS133+$BT133*$BT$2,CJ133&lt;$BS133-$BT133*$BT$2),AVEDEV(ARRAYFORMULA(XLOOKUP(FILTER(INDIRECT(""'""&amp;CJ$1&amp;""'!$C$4:$C$66""),INDIRECT(""'""&amp;CJ$1&amp;""'!$D$4:$D$66"")=CJ$2),$G$3:$BQ$3,$G133:$BQ133))),"""")"),"")</f>
        <v/>
      </c>
      <c r="CL133" s="251">
        <f>IFERROR(__xludf.DUMMYFUNCTION("AVERAGE(ARRAYFORMULA(XLOOKUP(FILTER(INDIRECT(""'""&amp;CL$1&amp;""'!$C$4:$C$66""),INDIRECT(""'""&amp;CL$1&amp;""'!$D$4:$D$66"")=CL$2),$G$3:$BQ$3,$G133:$BQ133)))"),0.05227624794871794)</f>
        <v>0.05227624795</v>
      </c>
      <c r="CM133" s="207" t="str">
        <f>IFERROR(__xludf.DUMMYFUNCTION("IF(OR(CL133&gt;$BS133+$BT133*$BT$2,CL133&lt;$BS133-$BT133*$BT$2),AVEDEV(ARRAYFORMULA(XLOOKUP(FILTER(INDIRECT(""'""&amp;CL$1&amp;""'!$C$4:$C$66""),INDIRECT(""'""&amp;CL$1&amp;""'!$D$4:$D$66"")=CL$2),$G$3:$BQ$3,$G133:$BQ133))),"""")"),"")</f>
        <v/>
      </c>
      <c r="CN133" s="251">
        <f>IFERROR(__xludf.DUMMYFUNCTION("AVERAGE(ARRAYFORMULA(XLOOKUP(FILTER(INDIRECT(""'""&amp;CN$1&amp;""'!$C$4:$C$66""),INDIRECT(""'""&amp;CN$1&amp;""'!$D$4:$D$66"")=CN$2),$G$3:$BQ$3,$G133:$BQ133)))"),10.000477504)</f>
        <v>10.0004775</v>
      </c>
      <c r="CO133" s="207">
        <f>IFERROR(__xludf.DUMMYFUNCTION("IF(OR(CN133&gt;$BS133+$BT133*$BT$2,CN133&lt;$BS133-$BT133*$BT$2),AVEDEV(ARRAYFORMULA(XLOOKUP(FILTER(INDIRECT(""'""&amp;CN$1&amp;""'!$C$4:$C$66""),INDIRECT(""'""&amp;CN$1&amp;""'!$D$4:$D$66"")=CN$2),$G$3:$BQ$3,$G133:$BQ133))),"""")"),2.7982045567999996)</f>
        <v>2.798204557</v>
      </c>
      <c r="CP133" s="252"/>
      <c r="CQ133" s="251">
        <f>IFERROR(__xludf.DUMMYFUNCTION("AVERAGE(ARRAYFORMULA(XLOOKUP(FILTER(INDIRECT(""'""&amp;CQ$1&amp;""'!$C$4:$C$66""),INDIRECT(""'""&amp;CQ$1&amp;""'!$D$4:$D$66"")=CQ$2),$G$3:$BQ$3,$G133:$BQ133)))"),-0.08492843785714288)</f>
        <v>-0.08492843786</v>
      </c>
      <c r="CR133" s="207" t="str">
        <f>IFERROR(__xludf.DUMMYFUNCTION("IF(OR(CQ133&gt;$BS133+$BT133*$BT$2,CQ133&lt;$BS133-$BT133*$BT$2),AVEDEV(ARRAYFORMULA(XLOOKUP(FILTER(INDIRECT(""'""&amp;CQ$1&amp;""'!$C$4:$C$66""),INDIRECT(""'""&amp;CQ$1&amp;""'!$D$4:$D$66"")=CQ$2),$G$3:$BQ$3,$G133:$BQ133))),"""")"),"")</f>
        <v/>
      </c>
      <c r="CS133" s="251">
        <f>IFERROR(__xludf.DUMMYFUNCTION("AVERAGE(ARRAYFORMULA(XLOOKUP(FILTER(INDIRECT(""'""&amp;CS$1&amp;""'!$C$4:$C$66""),INDIRECT(""'""&amp;CS$1&amp;""'!$D$4:$D$66"")=CS$2),$G$3:$BQ$3,$G133:$BQ133)))"),4.7097273911111115)</f>
        <v>4.709727391</v>
      </c>
      <c r="CT133" s="207">
        <f>IFERROR(__xludf.DUMMYFUNCTION("IF(OR(CS133&gt;$BS133+$BT133*$BT$2,CS133&lt;$BS133-$BT133*$BT$2),AVEDEV(ARRAYFORMULA(XLOOKUP(FILTER(INDIRECT(""'""&amp;CS$1&amp;""'!$C$4:$C$66""),INDIRECT(""'""&amp;CS$1&amp;""'!$D$4:$D$66"")=CS$2),$G$3:$BQ$3,$G133:$BQ133))),"""")"),5.090202105679013)</f>
        <v>5.090202106</v>
      </c>
      <c r="CU133" s="251">
        <f>IFERROR(__xludf.DUMMYFUNCTION("AVERAGE(ARRAYFORMULA(XLOOKUP(FILTER(INDIRECT(""'""&amp;CU$1&amp;""'!$C$4:$C$66""),INDIRECT(""'""&amp;CU$1&amp;""'!$D$4:$D$66"")=CU$2),$G$3:$BQ$3,$G133:$BQ133)))"),1.6062154254545455)</f>
        <v>1.606215425</v>
      </c>
      <c r="CV133" s="207" t="str">
        <f>IFERROR(__xludf.DUMMYFUNCTION("IF(OR(CU133&gt;$BS133+$BT133*$BT$2,CU133&lt;$BS133-$BT133*$BT$2),AVEDEV(ARRAYFORMULA(XLOOKUP(FILTER(INDIRECT(""'""&amp;CU$1&amp;""'!$C$4:$C$66""),INDIRECT(""'""&amp;CU$1&amp;""'!$D$4:$D$66"")=CU$2),$G$3:$BQ$3,$G133:$BQ133))),"""")"),"")</f>
        <v/>
      </c>
      <c r="CW133" s="251">
        <f>IFERROR(__xludf.DUMMYFUNCTION("AVERAGE(ARRAYFORMULA(XLOOKUP(FILTER(INDIRECT(""'""&amp;CW$1&amp;""'!$C$4:$C$66""),INDIRECT(""'""&amp;CW$1&amp;""'!$D$4:$D$66"")=CW$2),$G$3:$BQ$3,$G133:$BQ133)))"),0.226339415)</f>
        <v>0.226339415</v>
      </c>
      <c r="CX133" s="207" t="str">
        <f>IFERROR(__xludf.DUMMYFUNCTION("IF(OR(CW133&gt;$BS133+$BT133*$BT$2,CW133&lt;$BS133-$BT133*$BT$2),AVEDEV(ARRAYFORMULA(XLOOKUP(FILTER(INDIRECT(""'""&amp;CW$1&amp;""'!$C$4:$C$66""),INDIRECT(""'""&amp;CW$1&amp;""'!$D$4:$D$66"")=CW$2),$G$3:$BQ$3,$G133:$BQ133))),"""")"),"")</f>
        <v/>
      </c>
      <c r="CY133" s="251">
        <f>IFERROR(__xludf.DUMMYFUNCTION("AVERAGE(ARRAYFORMULA(XLOOKUP(FILTER(INDIRECT(""'""&amp;CY$1&amp;""'!$C$4:$C$66""),INDIRECT(""'""&amp;CY$1&amp;""'!$D$4:$D$66"")=CY$2),$G$3:$BQ$3,$G133:$BQ133)))"),0.2598980835714286)</f>
        <v>0.2598980836</v>
      </c>
      <c r="CZ133" s="207" t="str">
        <f>IFERROR(__xludf.DUMMYFUNCTION("IF(OR(CY133&gt;$BS133+$BT133*$BT$2,CY133&lt;$BS133-$BT133*$BT$2),AVEDEV(ARRAYFORMULA(XLOOKUP(FILTER(INDIRECT(""'""&amp;CY$1&amp;""'!$C$4:$C$66""),INDIRECT(""'""&amp;CY$1&amp;""'!$D$4:$D$66"")=CY$2),$G$3:$BQ$3,$G133:$BQ133))),"""")"),"")</f>
        <v/>
      </c>
      <c r="DA133" s="252"/>
      <c r="DB133" s="251">
        <f>IFERROR(__xludf.DUMMYFUNCTION("AVERAGE(ARRAYFORMULA(XLOOKUP(FILTER(INDIRECT(""'""&amp;DB$1&amp;""'!$C$4:$C$66""),INDIRECT(""'""&amp;DB$1&amp;""'!$D$4:$D$66"")=DB$2),$G$3:$BQ$3,$G133:$BQ133)))"),0.3808423286666667)</f>
        <v>0.3808423287</v>
      </c>
      <c r="DC133" s="207" t="str">
        <f>IFERROR(__xludf.DUMMYFUNCTION("IF(OR(DB133&gt;$BS133+$BT133*$BT$2,DB133&lt;$BS133-$BT133*$BT$2),AVEDEV(ARRAYFORMULA(XLOOKUP(FILTER(INDIRECT(""'""&amp;DB$1&amp;""'!$C$4:$C$66""),INDIRECT(""'""&amp;DB$1&amp;""'!$D$4:$D$66"")=DB$2),$G$3:$BQ$3,$G133:$BQ133))),"""")"),"")</f>
        <v/>
      </c>
      <c r="DD133" s="251">
        <f>IFERROR(__xludf.DUMMYFUNCTION("AVERAGE(ARRAYFORMULA(XLOOKUP(FILTER(INDIRECT(""'""&amp;DD$1&amp;""'!$C$4:$C$66""),INDIRECT(""'""&amp;DD$1&amp;""'!$D$4:$D$66"")=DD$2),$G$3:$BQ$3,$G133:$BQ133)))"),4.602388611111111)</f>
        <v>4.602388611</v>
      </c>
      <c r="DE133" s="207">
        <f>IFERROR(__xludf.DUMMYFUNCTION("IF(OR(DD133&gt;$BS133+$BT133*$BT$2,DD133&lt;$BS133-$BT133*$BT$2),AVEDEV(ARRAYFORMULA(XLOOKUP(FILTER(INDIRECT(""'""&amp;DD$1&amp;""'!$C$4:$C$66""),INDIRECT(""'""&amp;DD$1&amp;""'!$D$4:$D$66"")=DD$2),$G$3:$BQ$3,$G133:$BQ133))),"""")"),5.185614354567901)</f>
        <v>5.185614355</v>
      </c>
      <c r="DF133" s="251">
        <f>IFERROR(__xludf.DUMMYFUNCTION("AVERAGE(ARRAYFORMULA(XLOOKUP(FILTER(INDIRECT(""'""&amp;DF$1&amp;""'!$C$4:$C$66""),INDIRECT(""'""&amp;DF$1&amp;""'!$D$4:$D$66"")=DF$2),$G$3:$BQ$3,$G133:$BQ133)))"),-0.04724955750000001)</f>
        <v>-0.0472495575</v>
      </c>
      <c r="DG133" s="207" t="str">
        <f>IFERROR(__xludf.DUMMYFUNCTION("IF(OR(DF133&gt;$BS133+$BT133*$BT$2,DF133&lt;$BS133-$BT133*$BT$2),AVEDEV(ARRAYFORMULA(XLOOKUP(FILTER(INDIRECT(""'""&amp;DF$1&amp;""'!$C$4:$C$66""),INDIRECT(""'""&amp;DF$1&amp;""'!$D$4:$D$66"")=DF$2),$G$3:$BQ$3,$G133:$BQ133))),"""")"),"")</f>
        <v/>
      </c>
      <c r="DH133" s="251">
        <f>IFERROR(__xludf.DUMMYFUNCTION("AVERAGE(ARRAYFORMULA(XLOOKUP(FILTER(INDIRECT(""'""&amp;DH$1&amp;""'!$C$4:$C$66""),INDIRECT(""'""&amp;DH$1&amp;""'!$D$4:$D$66"")=DH$2),$G$3:$BQ$3,$G133:$BQ133)))"),1.7196755011111113)</f>
        <v>1.719675501</v>
      </c>
      <c r="DI133" s="207" t="str">
        <f>IFERROR(__xludf.DUMMYFUNCTION("IF(OR(DH133&gt;$BS133+$BT133*$BT$2,DH133&lt;$BS133-$BT133*$BT$2),AVEDEV(ARRAYFORMULA(XLOOKUP(FILTER(INDIRECT(""'""&amp;DH$1&amp;""'!$C$4:$C$66""),INDIRECT(""'""&amp;DH$1&amp;""'!$D$4:$D$66"")=DH$2),$G$3:$BQ$3,$G133:$BQ133))),"""")"),"")</f>
        <v/>
      </c>
      <c r="DJ133" s="243"/>
    </row>
    <row r="134">
      <c r="A134" s="2"/>
      <c r="B134" s="204">
        <v>130.0</v>
      </c>
      <c r="C134" s="204" t="s">
        <v>540</v>
      </c>
      <c r="D134" s="204" t="s">
        <v>576</v>
      </c>
      <c r="E134" s="205" t="b">
        <f>VLOOKUP(D134,'Feature Set List'!A131:C246,2,0)</f>
        <v>1</v>
      </c>
      <c r="F134" s="205" t="b">
        <f>VLOOKUP(D134,'Feature Set List'!A131:C246,3,0)</f>
        <v>1</v>
      </c>
      <c r="G134" s="205">
        <v>-0.1499456</v>
      </c>
      <c r="H134" s="205">
        <v>1.51848831</v>
      </c>
      <c r="I134" s="205">
        <v>4.04839587</v>
      </c>
      <c r="J134" s="205">
        <v>0.32939097</v>
      </c>
      <c r="K134" s="205">
        <v>-0.3900353</v>
      </c>
      <c r="L134" s="205">
        <v>0.46859706</v>
      </c>
      <c r="M134" s="205">
        <v>1.07123437</v>
      </c>
      <c r="N134" s="205">
        <v>-0.1016857</v>
      </c>
      <c r="O134" s="205">
        <v>0.06824361</v>
      </c>
      <c r="P134" s="205">
        <v>0.79431756</v>
      </c>
      <c r="Q134" s="205">
        <v>-0.4755574</v>
      </c>
      <c r="R134" s="205">
        <v>0.45731376</v>
      </c>
      <c r="S134" s="205">
        <v>-0.2258021</v>
      </c>
      <c r="T134" s="205">
        <v>-0.2271615</v>
      </c>
      <c r="U134" s="205">
        <v>2.63458401</v>
      </c>
      <c r="V134" s="205">
        <v>-0.4699565</v>
      </c>
      <c r="W134" s="205">
        <v>0.69154432</v>
      </c>
      <c r="X134" s="205">
        <v>-0.4140701</v>
      </c>
      <c r="Y134" s="205">
        <v>-0.2566612</v>
      </c>
      <c r="Z134" s="205">
        <v>0.22009244</v>
      </c>
      <c r="AA134" s="205">
        <v>-0.2675367</v>
      </c>
      <c r="AB134" s="205">
        <v>1.48994018</v>
      </c>
      <c r="AC134" s="205">
        <v>-0.218869</v>
      </c>
      <c r="AD134" s="205">
        <v>0.97471452</v>
      </c>
      <c r="AE134" s="205">
        <v>-0.2574769</v>
      </c>
      <c r="AF134" s="205">
        <v>-0.1113377</v>
      </c>
      <c r="AG134" s="205">
        <v>-0.3942088</v>
      </c>
      <c r="AH134" s="205">
        <v>1.00326264</v>
      </c>
      <c r="AI134" s="205">
        <v>0.2271615</v>
      </c>
      <c r="AJ134" s="205">
        <v>0.52446982</v>
      </c>
      <c r="AK134" s="205">
        <v>-0.2822186</v>
      </c>
      <c r="AL134" s="205">
        <v>-0.12969</v>
      </c>
      <c r="AM134" s="205">
        <v>0.03262643</v>
      </c>
      <c r="AN134" s="205">
        <v>-0.180261</v>
      </c>
      <c r="AO134" s="205">
        <v>1.73735726</v>
      </c>
      <c r="AP134" s="205">
        <v>0.20595432</v>
      </c>
      <c r="AQ134" s="205">
        <v>-0.3193312</v>
      </c>
      <c r="AR134" s="205">
        <v>-0.3095432</v>
      </c>
      <c r="AS134" s="205">
        <v>3.53045133</v>
      </c>
      <c r="AT134" s="205">
        <v>-0.055329</v>
      </c>
      <c r="AU134" s="205">
        <v>10.3181077</v>
      </c>
      <c r="AV134" s="205">
        <v>1.62996194</v>
      </c>
      <c r="AW134" s="205">
        <v>-0.3168842</v>
      </c>
      <c r="AX134" s="205">
        <v>-0.223491</v>
      </c>
      <c r="AY134" s="205">
        <v>-0.376876</v>
      </c>
      <c r="AZ134" s="205">
        <v>0.20241979</v>
      </c>
      <c r="BA134" s="205">
        <v>0.1523926</v>
      </c>
      <c r="BB134" s="205">
        <v>-0.3061446</v>
      </c>
      <c r="BC134" s="205">
        <v>-0.394603</v>
      </c>
      <c r="BD134" s="205">
        <v>10.6620446</v>
      </c>
      <c r="BE134" s="205">
        <v>2.97580207</v>
      </c>
      <c r="BF134" s="205">
        <v>-0.2026917</v>
      </c>
      <c r="BG134" s="205">
        <v>-0.2100326</v>
      </c>
      <c r="BH134" s="205">
        <v>0.954323</v>
      </c>
      <c r="BI134" s="205">
        <v>-0.3066884</v>
      </c>
      <c r="BJ134" s="205">
        <v>0.04159869</v>
      </c>
      <c r="BK134" s="205">
        <v>-0.0908102</v>
      </c>
      <c r="BL134" s="205">
        <v>2.64274062</v>
      </c>
      <c r="BM134" s="205">
        <v>0.64355628</v>
      </c>
      <c r="BN134" s="205">
        <v>0.0</v>
      </c>
      <c r="BO134" s="205">
        <v>-0.3728929</v>
      </c>
      <c r="BP134" s="205">
        <v>0.15687874</v>
      </c>
      <c r="BQ134" s="205">
        <v>-0.2472811</v>
      </c>
      <c r="BR134" s="206"/>
      <c r="BS134" s="250">
        <f t="shared" si="1"/>
        <v>0.7003633827</v>
      </c>
      <c r="BT134" s="250">
        <f t="shared" si="2"/>
        <v>1.167616249</v>
      </c>
      <c r="BU134" s="206"/>
      <c r="BV134" s="207">
        <f>IFERROR(__xludf.DUMMYFUNCTION("AVERAGE(ARRAYFORMULA(XLOOKUP(FILTER(INDIRECT(""'""&amp;BV$1&amp;""'!$C$4:$C$66""),INDIRECT(""'""&amp;BV$1&amp;""'!$D$4:$D$66"")=BV$2),$G$3:$BQ$3,$G134:$BQ134)))"),1.2704847514285713)</f>
        <v>1.270484751</v>
      </c>
      <c r="BW134" s="207" t="str">
        <f>IFERROR(__xludf.DUMMYFUNCTION("IF(OR(BV134&gt;$BS134+$BT134*$BT$2,BV134&lt;$BS134-$BT134*$BT$2),AVEDEV(ARRAYFORMULA(XLOOKUP(FILTER(INDIRECT(""'""&amp;BV$1&amp;""'!$C$4:$C$66""),INDIRECT(""'""&amp;BV$1&amp;""'!$D$4:$D$66"")=BV$2),$G$3:$BQ$3,$G134:$BQ134))),"""")"),"")</f>
        <v/>
      </c>
      <c r="BX134" s="207">
        <f>IFERROR(__xludf.DUMMYFUNCTION("AVERAGE(ARRAYFORMULA(XLOOKUP(FILTER(INDIRECT(""'""&amp;BX$1&amp;""'!$C$4:$C$66""),INDIRECT(""'""&amp;BX$1&amp;""'!$D$4:$D$66"")=BX$2),$G$3:$BQ$3,$G134:$BQ134)))"),0.16480942142857144)</f>
        <v>0.1648094214</v>
      </c>
      <c r="BY134" s="207" t="str">
        <f>IFERROR(__xludf.DUMMYFUNCTION("IF(OR(BX134&gt;$BS134+$BT134*$BT$2,BX134&lt;$BS134-$BT134*$BT$2),AVEDEV(ARRAYFORMULA(XLOOKUP(FILTER(INDIRECT(""'""&amp;BX$1&amp;""'!$C$4:$C$66""),INDIRECT(""'""&amp;BX$1&amp;""'!$D$4:$D$66"")=BX$2),$G$3:$BQ$3,$G134:$BQ134))),"""")"),"")</f>
        <v/>
      </c>
      <c r="BZ134" s="207">
        <f>IFERROR(__xludf.DUMMYFUNCTION("AVERAGE(ARRAYFORMULA(XLOOKUP(FILTER(INDIRECT(""'""&amp;BZ$1&amp;""'!$C$4:$C$66""),INDIRECT(""'""&amp;BZ$1&amp;""'!$D$4:$D$66"")=BZ$2),$G$3:$BQ$3,$G134:$BQ134)))"),0.2980869072727273)</f>
        <v>0.2980869073</v>
      </c>
      <c r="CA134" s="207" t="str">
        <f>IFERROR(__xludf.DUMMYFUNCTION("IF(OR(BZ134&gt;$BS134+$BT134*$BT$2,BZ134&lt;$BS134-$BT134*$BT$2),AVEDEV(ARRAYFORMULA(XLOOKUP(FILTER(INDIRECT(""'""&amp;BZ$1&amp;""'!$C$4:$C$66""),INDIRECT(""'""&amp;BZ$1&amp;""'!$D$4:$D$66"")=BZ$2),$G$3:$BQ$3,$G134:$BQ134))),"""")"),"")</f>
        <v/>
      </c>
      <c r="CB134" s="209"/>
      <c r="CC134" s="207">
        <f>IFERROR(__xludf.DUMMYFUNCTION("AVERAGE(ARRAYFORMULA(XLOOKUP(FILTER(INDIRECT(""'""&amp;CC$1&amp;""'!$C$4:$C$66""),INDIRECT(""'""&amp;CC$1&amp;""'!$D$4:$D$66"")=CC$2),$G$3:$BQ$3,$G134:$BQ134)))"),0.11372603812500001)</f>
        <v>0.1137260381</v>
      </c>
      <c r="CD134" s="207" t="str">
        <f>IFERROR(__xludf.DUMMYFUNCTION("IF(OR(CC134&gt;$BS134+$BT134*$BT$2,CC134&lt;$BS134-$BT134*$BT$2),AVEDEV(ARRAYFORMULA(XLOOKUP(FILTER(INDIRECT(""'""&amp;CC$1&amp;""'!$C$4:$C$66""),INDIRECT(""'""&amp;CC$1&amp;""'!$D$4:$D$66"")=CC$2),$G$3:$BQ$3,$G134:$BQ134))),"""")"),"")</f>
        <v/>
      </c>
      <c r="CE134" s="207">
        <f>IFERROR(__xludf.DUMMYFUNCTION("AVERAGE(ARRAYFORMULA(XLOOKUP(FILTER(INDIRECT(""'""&amp;CE$1&amp;""'!$C$4:$C$66""),INDIRECT(""'""&amp;CE$1&amp;""'!$D$4:$D$66"")=CE$2),$G$3:$BQ$3,$G134:$BQ134)))"),0.31229192193548394)</f>
        <v>0.3122919219</v>
      </c>
      <c r="CF134" s="207" t="str">
        <f>IFERROR(__xludf.DUMMYFUNCTION("IF(OR(CE134&gt;$BS134+$BT134*$BT$2,CE134&lt;$BS134-$BT134*$BT$2),AVEDEV(ARRAYFORMULA(XLOOKUP(FILTER(INDIRECT(""'""&amp;CE$1&amp;""'!$C$4:$C$66""),INDIRECT(""'""&amp;CE$1&amp;""'!$D$4:$D$66"")=CE$2),$G$3:$BQ$3,$G134:$BQ134))),"""")"),"")</f>
        <v/>
      </c>
      <c r="CG134" s="207">
        <f>IFERROR(__xludf.DUMMYFUNCTION("AVERAGE(ARRAYFORMULA(XLOOKUP(FILTER(INDIRECT(""'""&amp;CG$1&amp;""'!$C$4:$C$66""),INDIRECT(""'""&amp;CG$1&amp;""'!$D$4:$D$66"")=CG$2),$G$3:$BQ$3,$G134:$BQ134)))"),0.807993478)</f>
        <v>0.807993478</v>
      </c>
      <c r="CH134" s="207" t="str">
        <f>IFERROR(__xludf.DUMMYFUNCTION("IF(OR(CG134&gt;$BS134+$BT134*$BT$2,CG134&lt;$BS134-$BT134*$BT$2),AVEDEV(ARRAYFORMULA(XLOOKUP(FILTER(INDIRECT(""'""&amp;CG$1&amp;""'!$C$4:$C$66""),INDIRECT(""'""&amp;CG$1&amp;""'!$D$4:$D$66"")=CG$2),$G$3:$BQ$3,$G134:$BQ134))),"""")"),"")</f>
        <v/>
      </c>
      <c r="CI134" s="206"/>
      <c r="CJ134" s="251">
        <f>IFERROR(__xludf.DUMMYFUNCTION("AVERAGE(ARRAYFORMULA(XLOOKUP(FILTER(INDIRECT(""'""&amp;CJ$1&amp;""'!$C$4:$C$66""),INDIRECT(""'""&amp;CJ$1&amp;""'!$D$4:$D$66"")=CJ$2),$G$3:$BQ$3,$G134:$BQ134)))"),0.42310223199999997)</f>
        <v>0.423102232</v>
      </c>
      <c r="CK134" s="207" t="str">
        <f>IFERROR(__xludf.DUMMYFUNCTION("IF(OR(CJ134&gt;$BS134+$BT134*$BT$2,CJ134&lt;$BS134-$BT134*$BT$2),AVEDEV(ARRAYFORMULA(XLOOKUP(FILTER(INDIRECT(""'""&amp;CJ$1&amp;""'!$C$4:$C$66""),INDIRECT(""'""&amp;CJ$1&amp;""'!$D$4:$D$66"")=CJ$2),$G$3:$BQ$3,$G134:$BQ134))),"""")"),"")</f>
        <v/>
      </c>
      <c r="CL134" s="251">
        <f>IFERROR(__xludf.DUMMYFUNCTION("AVERAGE(ARRAYFORMULA(XLOOKUP(FILTER(INDIRECT(""'""&amp;CL$1&amp;""'!$C$4:$C$66""),INDIRECT(""'""&amp;CL$1&amp;""'!$D$4:$D$66"")=CL$2),$G$3:$BQ$3,$G134:$BQ134)))"),0.15551547307692304)</f>
        <v>0.1555154731</v>
      </c>
      <c r="CM134" s="207" t="str">
        <f>IFERROR(__xludf.DUMMYFUNCTION("IF(OR(CL134&gt;$BS134+$BT134*$BT$2,CL134&lt;$BS134-$BT134*$BT$2),AVEDEV(ARRAYFORMULA(XLOOKUP(FILTER(INDIRECT(""'""&amp;CL$1&amp;""'!$C$4:$C$66""),INDIRECT(""'""&amp;CL$1&amp;""'!$D$4:$D$66"")=CL$2),$G$3:$BQ$3,$G134:$BQ134))),"""")"),"")</f>
        <v/>
      </c>
      <c r="CN134" s="253">
        <f>IFERROR(__xludf.DUMMYFUNCTION("AVERAGE(ARRAYFORMULA(XLOOKUP(FILTER(INDIRECT(""'""&amp;CN$1&amp;""'!$C$4:$C$66""),INDIRECT(""'""&amp;CN$1&amp;""'!$D$4:$D$66"")=CN$2),$G$3:$BQ$3,$G134:$BQ134)))"),0.807993478)</f>
        <v>0.807993478</v>
      </c>
      <c r="CO134" s="207" t="str">
        <f>IFERROR(__xludf.DUMMYFUNCTION("IF(OR(CN134&gt;$BS134+$BT134*$BT$2,CN134&lt;$BS134-$BT134*$BT$2),AVEDEV(ARRAYFORMULA(XLOOKUP(FILTER(INDIRECT(""'""&amp;CN$1&amp;""'!$C$4:$C$66""),INDIRECT(""'""&amp;CN$1&amp;""'!$D$4:$D$66"")=CN$2),$G$3:$BQ$3,$G134:$BQ134))),"""")"),"")</f>
        <v/>
      </c>
      <c r="CP134" s="252"/>
      <c r="CQ134" s="251">
        <f>IFERROR(__xludf.DUMMYFUNCTION("AVERAGE(ARRAYFORMULA(XLOOKUP(FILTER(INDIRECT(""'""&amp;CQ$1&amp;""'!$C$4:$C$66""),INDIRECT(""'""&amp;CQ$1&amp;""'!$D$4:$D$66"")=CQ$2),$G$3:$BQ$3,$G134:$BQ134)))"),-0.020282764285714287)</f>
        <v>-0.02028276429</v>
      </c>
      <c r="CR134" s="207" t="str">
        <f>IFERROR(__xludf.DUMMYFUNCTION("IF(OR(CQ134&gt;$BS134+$BT134*$BT$2,CQ134&lt;$BS134-$BT134*$BT$2),AVEDEV(ARRAYFORMULA(XLOOKUP(FILTER(INDIRECT(""'""&amp;CQ$1&amp;""'!$C$4:$C$66""),INDIRECT(""'""&amp;CQ$1&amp;""'!$D$4:$D$66"")=CQ$2),$G$3:$BQ$3,$G134:$BQ134))),"""")"),"")</f>
        <v/>
      </c>
      <c r="CS134" s="251">
        <f>IFERROR(__xludf.DUMMYFUNCTION("AVERAGE(ARRAYFORMULA(XLOOKUP(FILTER(INDIRECT(""'""&amp;CS$1&amp;""'!$C$4:$C$66""),INDIRECT(""'""&amp;CS$1&amp;""'!$D$4:$D$66"")=CS$2),$G$3:$BQ$3,$G134:$BQ134)))"),0.27033110111111114)</f>
        <v>0.2703311011</v>
      </c>
      <c r="CT134" s="207" t="str">
        <f>IFERROR(__xludf.DUMMYFUNCTION("IF(OR(CS134&gt;$BS134+$BT134*$BT$2,CS134&lt;$BS134-$BT134*$BT$2),AVEDEV(ARRAYFORMULA(XLOOKUP(FILTER(INDIRECT(""'""&amp;CS$1&amp;""'!$C$4:$C$66""),INDIRECT(""'""&amp;CS$1&amp;""'!$D$4:$D$66"")=CS$2),$G$3:$BQ$3,$G134:$BQ134))),"""")"),"")</f>
        <v/>
      </c>
      <c r="CU134" s="251">
        <f>IFERROR(__xludf.DUMMYFUNCTION("AVERAGE(ARRAYFORMULA(XLOOKUP(FILTER(INDIRECT(""'""&amp;CU$1&amp;""'!$C$4:$C$66""),INDIRECT(""'""&amp;CU$1&amp;""'!$D$4:$D$66"")=CU$2),$G$3:$BQ$3,$G134:$BQ134)))"),0.2734316981818182)</f>
        <v>0.2734316982</v>
      </c>
      <c r="CV134" s="207" t="str">
        <f>IFERROR(__xludf.DUMMYFUNCTION("IF(OR(CU134&gt;$BS134+$BT134*$BT$2,CU134&lt;$BS134-$BT134*$BT$2),AVEDEV(ARRAYFORMULA(XLOOKUP(FILTER(INDIRECT(""'""&amp;CU$1&amp;""'!$C$4:$C$66""),INDIRECT(""'""&amp;CU$1&amp;""'!$D$4:$D$66"")=CU$2),$G$3:$BQ$3,$G134:$BQ134))),"""")"),"")</f>
        <v/>
      </c>
      <c r="CW134" s="251">
        <f>IFERROR(__xludf.DUMMYFUNCTION("AVERAGE(ARRAYFORMULA(XLOOKUP(FILTER(INDIRECT(""'""&amp;CW$1&amp;""'!$C$4:$C$66""),INDIRECT(""'""&amp;CW$1&amp;""'!$D$4:$D$66"")=CW$2),$G$3:$BQ$3,$G134:$BQ134)))"),0.96451876)</f>
        <v>0.96451876</v>
      </c>
      <c r="CX134" s="207" t="str">
        <f>IFERROR(__xludf.DUMMYFUNCTION("IF(OR(CW134&gt;$BS134+$BT134*$BT$2,CW134&lt;$BS134-$BT134*$BT$2),AVEDEV(ARRAYFORMULA(XLOOKUP(FILTER(INDIRECT(""'""&amp;CW$1&amp;""'!$C$4:$C$66""),INDIRECT(""'""&amp;CW$1&amp;""'!$D$4:$D$66"")=CW$2),$G$3:$BQ$3,$G134:$BQ134))),"""")"),"")</f>
        <v/>
      </c>
      <c r="CY134" s="253">
        <f>IFERROR(__xludf.DUMMYFUNCTION("AVERAGE(ARRAYFORMULA(XLOOKUP(FILTER(INDIRECT(""'""&amp;CY$1&amp;""'!$C$4:$C$66""),INDIRECT(""'""&amp;CY$1&amp;""'!$D$4:$D$66"")=CY$2),$G$3:$BQ$3,$G134:$BQ134)))"),-0.04777343142857144)</f>
        <v>-0.04777343143</v>
      </c>
      <c r="CZ134" s="207" t="str">
        <f>IFERROR(__xludf.DUMMYFUNCTION("IF(OR(CY134&gt;$BS134+$BT134*$BT$2,CY134&lt;$BS134-$BT134*$BT$2),AVEDEV(ARRAYFORMULA(XLOOKUP(FILTER(INDIRECT(""'""&amp;CY$1&amp;""'!$C$4:$C$66""),INDIRECT(""'""&amp;CY$1&amp;""'!$D$4:$D$66"")=CY$2),$G$3:$BQ$3,$G134:$BQ134))),"""")"),"")</f>
        <v/>
      </c>
      <c r="DA134" s="252"/>
      <c r="DB134" s="251">
        <f>IFERROR(__xludf.DUMMYFUNCTION("AVERAGE(ARRAYFORMULA(XLOOKUP(FILTER(INDIRECT(""'""&amp;DB$1&amp;""'!$C$4:$C$66""),INDIRECT(""'""&amp;DB$1&amp;""'!$D$4:$D$66"")=DB$2),$G$3:$BQ$3,$G134:$BQ134)))"),0.09707359533333333)</f>
        <v>0.09707359533</v>
      </c>
      <c r="DC134" s="207" t="str">
        <f>IFERROR(__xludf.DUMMYFUNCTION("IF(OR(DB134&gt;$BS134+$BT134*$BT$2,DB134&lt;$BS134-$BT134*$BT$2),AVEDEV(ARRAYFORMULA(XLOOKUP(FILTER(INDIRECT(""'""&amp;DB$1&amp;""'!$C$4:$C$66""),INDIRECT(""'""&amp;DB$1&amp;""'!$D$4:$D$66"")=DB$2),$G$3:$BQ$3,$G134:$BQ134))),"""")"),"")</f>
        <v/>
      </c>
      <c r="DD134" s="251">
        <f>IFERROR(__xludf.DUMMYFUNCTION("AVERAGE(ARRAYFORMULA(XLOOKUP(FILTER(INDIRECT(""'""&amp;DD$1&amp;""'!$C$4:$C$66""),INDIRECT(""'""&amp;DD$1&amp;""'!$D$4:$D$66"")=DD$2),$G$3:$BQ$3,$G134:$BQ134)))"),0.5638330033333334)</f>
        <v>0.5638330033</v>
      </c>
      <c r="DE134" s="207" t="str">
        <f>IFERROR(__xludf.DUMMYFUNCTION("IF(OR(DD134&gt;$BS134+$BT134*$BT$2,DD134&lt;$BS134-$BT134*$BT$2),AVEDEV(ARRAYFORMULA(XLOOKUP(FILTER(INDIRECT(""'""&amp;DD$1&amp;""'!$C$4:$C$66""),INDIRECT(""'""&amp;DD$1&amp;""'!$D$4:$D$66"")=DD$2),$G$3:$BQ$3,$G134:$BQ134))),"""")"),"")</f>
        <v/>
      </c>
      <c r="DF134" s="251">
        <f>IFERROR(__xludf.DUMMYFUNCTION("AVERAGE(ARRAYFORMULA(XLOOKUP(FILTER(INDIRECT(""'""&amp;DF$1&amp;""'!$C$4:$C$66""),INDIRECT(""'""&amp;DF$1&amp;""'!$D$4:$D$66"")=DF$2),$G$3:$BQ$3,$G134:$BQ134)))"),0.37710202375)</f>
        <v>0.3771020238</v>
      </c>
      <c r="DG134" s="207" t="str">
        <f>IFERROR(__xludf.DUMMYFUNCTION("IF(OR(DF134&gt;$BS134+$BT134*$BT$2,DF134&lt;$BS134-$BT134*$BT$2),AVEDEV(ARRAYFORMULA(XLOOKUP(FILTER(INDIRECT(""'""&amp;DF$1&amp;""'!$C$4:$C$66""),INDIRECT(""'""&amp;DF$1&amp;""'!$D$4:$D$66"")=DF$2),$G$3:$BQ$3,$G134:$BQ134))),"""")"),"")</f>
        <v/>
      </c>
      <c r="DH134" s="251">
        <f>IFERROR(__xludf.DUMMYFUNCTION("AVERAGE(ARRAYFORMULA(XLOOKUP(FILTER(INDIRECT(""'""&amp;DH$1&amp;""'!$C$4:$C$66""),INDIRECT(""'""&amp;DH$1&amp;""'!$D$4:$D$66"")=DH$2),$G$3:$BQ$3,$G134:$BQ134)))"),0.4927043644444445)</f>
        <v>0.4927043644</v>
      </c>
      <c r="DI134" s="207" t="str">
        <f>IFERROR(__xludf.DUMMYFUNCTION("IF(OR(DH134&gt;$BS134+$BT134*$BT$2,DH134&lt;$BS134-$BT134*$BT$2),AVEDEV(ARRAYFORMULA(XLOOKUP(FILTER(INDIRECT(""'""&amp;DH$1&amp;""'!$C$4:$C$66""),INDIRECT(""'""&amp;DH$1&amp;""'!$D$4:$D$66"")=DH$2),$G$3:$BQ$3,$G134:$BQ134))),"""")"),"")</f>
        <v/>
      </c>
      <c r="DJ134" s="243"/>
    </row>
    <row r="135">
      <c r="A135" s="2"/>
      <c r="B135" s="204">
        <v>131.0</v>
      </c>
      <c r="C135" s="204" t="s">
        <v>540</v>
      </c>
      <c r="D135" s="204" t="s">
        <v>577</v>
      </c>
      <c r="E135" s="205" t="b">
        <f>VLOOKUP(D135,'Feature Set List'!A132:C246,2,0)</f>
        <v>1</v>
      </c>
      <c r="F135" s="205" t="b">
        <f>VLOOKUP(D135,'Feature Set List'!A132:C246,3,0)</f>
        <v>0</v>
      </c>
      <c r="G135" s="205">
        <v>0.0</v>
      </c>
      <c r="H135" s="205">
        <v>0.0</v>
      </c>
      <c r="I135" s="205">
        <v>0.0</v>
      </c>
      <c r="J135" s="205">
        <v>0.0</v>
      </c>
      <c r="K135" s="205">
        <v>0.0</v>
      </c>
      <c r="L135" s="205">
        <v>0.0</v>
      </c>
      <c r="M135" s="205">
        <v>0.0</v>
      </c>
      <c r="N135" s="205">
        <v>0.0</v>
      </c>
      <c r="O135" s="205">
        <v>0.0</v>
      </c>
      <c r="P135" s="215">
        <v>-1.0E-4</v>
      </c>
      <c r="Q135" s="205">
        <v>0.0</v>
      </c>
      <c r="R135" s="205">
        <v>-0.0125</v>
      </c>
      <c r="S135" s="205">
        <v>0.0</v>
      </c>
      <c r="T135" s="205">
        <v>0.0</v>
      </c>
      <c r="U135" s="205">
        <v>0.0</v>
      </c>
      <c r="V135" s="205">
        <v>0.0</v>
      </c>
      <c r="W135" s="205">
        <v>0.0</v>
      </c>
      <c r="X135" s="205">
        <v>0.0</v>
      </c>
      <c r="Y135" s="205">
        <v>0.0</v>
      </c>
      <c r="Z135" s="205">
        <v>-0.1906</v>
      </c>
      <c r="AA135" s="205">
        <v>0.0</v>
      </c>
      <c r="AB135" s="205">
        <v>0.0</v>
      </c>
      <c r="AC135" s="205">
        <v>0.0</v>
      </c>
      <c r="AD135" s="205">
        <v>0.0</v>
      </c>
      <c r="AE135" s="205">
        <v>0.0</v>
      </c>
      <c r="AF135" s="205">
        <v>0.0</v>
      </c>
      <c r="AG135" s="205">
        <v>0.0</v>
      </c>
      <c r="AH135" s="205">
        <v>0.0</v>
      </c>
      <c r="AI135" s="205">
        <v>0.0</v>
      </c>
      <c r="AJ135" s="205">
        <v>0.0</v>
      </c>
      <c r="AK135" s="205">
        <v>0.0</v>
      </c>
      <c r="AL135" s="205">
        <v>0.0</v>
      </c>
      <c r="AM135" s="205">
        <v>0.0</v>
      </c>
      <c r="AN135" s="205">
        <v>0.0</v>
      </c>
      <c r="AO135" s="205">
        <v>-0.0809</v>
      </c>
      <c r="AP135" s="205">
        <v>0.0</v>
      </c>
      <c r="AQ135" s="205">
        <v>0.0</v>
      </c>
      <c r="AR135" s="205">
        <v>0.0</v>
      </c>
      <c r="AS135" s="205">
        <v>0.0</v>
      </c>
      <c r="AT135" s="205">
        <v>0.0</v>
      </c>
      <c r="AU135" s="205">
        <v>-0.2046</v>
      </c>
      <c r="AV135" s="205">
        <v>0.0</v>
      </c>
      <c r="AW135" s="205">
        <v>0.0</v>
      </c>
      <c r="AX135" s="205">
        <v>0.0</v>
      </c>
      <c r="AY135" s="205">
        <v>-0.0183</v>
      </c>
      <c r="AZ135" s="205">
        <v>0.0</v>
      </c>
      <c r="BA135" s="205">
        <v>0.0</v>
      </c>
      <c r="BB135" s="205">
        <v>-0.0207</v>
      </c>
      <c r="BC135" s="205">
        <v>0.0</v>
      </c>
      <c r="BD135" s="205">
        <v>0.0</v>
      </c>
      <c r="BE135" s="205">
        <v>0.0</v>
      </c>
      <c r="BF135" s="205">
        <v>0.0</v>
      </c>
      <c r="BG135" s="205">
        <v>0.0</v>
      </c>
      <c r="BH135" s="205">
        <v>0.0</v>
      </c>
      <c r="BI135" s="205">
        <v>0.0</v>
      </c>
      <c r="BJ135" s="205">
        <v>0.0</v>
      </c>
      <c r="BK135" s="205">
        <v>0.0</v>
      </c>
      <c r="BL135" s="205">
        <v>0.0</v>
      </c>
      <c r="BM135" s="205">
        <v>0.0</v>
      </c>
      <c r="BN135" s="205">
        <v>0.0</v>
      </c>
      <c r="BO135" s="205">
        <v>0.0</v>
      </c>
      <c r="BP135" s="205">
        <v>0.0</v>
      </c>
      <c r="BQ135" s="205">
        <v>0.0</v>
      </c>
      <c r="BR135" s="206"/>
      <c r="BS135" s="250">
        <f t="shared" si="1"/>
        <v>-0.008376190476</v>
      </c>
      <c r="BT135" s="250">
        <f t="shared" si="2"/>
        <v>0.0151537415</v>
      </c>
      <c r="BU135" s="206"/>
      <c r="BV135" s="207">
        <f>IFERROR(__xludf.DUMMYFUNCTION("AVERAGE(ARRAYFORMULA(XLOOKUP(FILTER(INDIRECT(""'""&amp;BV$1&amp;""'!$C$4:$C$66""),INDIRECT(""'""&amp;BV$1&amp;""'!$D$4:$D$66"")=BV$2),$G$3:$BQ$3,$G135:$BQ135)))"),-0.017128571428571427)</f>
        <v>-0.01712857143</v>
      </c>
      <c r="BW135" s="207" t="str">
        <f>IFERROR(__xludf.DUMMYFUNCTION("IF(OR(BV135&gt;$BS135+$BT135*$BT$2,BV135&lt;$BS135-$BT135*$BT$2),AVEDEV(ARRAYFORMULA(XLOOKUP(FILTER(INDIRECT(""'""&amp;BV$1&amp;""'!$C$4:$C$66""),INDIRECT(""'""&amp;BV$1&amp;""'!$D$4:$D$66"")=BV$2),$G$3:$BQ$3,$G135:$BQ135))),"""")"),"")</f>
        <v/>
      </c>
      <c r="BX135" s="207">
        <f>IFERROR(__xludf.DUMMYFUNCTION("AVERAGE(ARRAYFORMULA(XLOOKUP(FILTER(INDIRECT(""'""&amp;BX$1&amp;""'!$C$4:$C$66""),INDIRECT(""'""&amp;BX$1&amp;""'!$D$4:$D$66"")=BX$2),$G$3:$BQ$3,$G135:$BQ135)))"),-0.004835714285714286)</f>
        <v>-0.004835714286</v>
      </c>
      <c r="BY135" s="207" t="str">
        <f>IFERROR(__xludf.DUMMYFUNCTION("IF(OR(BX135&gt;$BS135+$BT135*$BT$2,BX135&lt;$BS135-$BT135*$BT$2),AVEDEV(ARRAYFORMULA(XLOOKUP(FILTER(INDIRECT(""'""&amp;BX$1&amp;""'!$C$4:$C$66""),INDIRECT(""'""&amp;BX$1&amp;""'!$D$4:$D$66"")=BX$2),$G$3:$BQ$3,$G135:$BQ135))),"""")"),"")</f>
        <v/>
      </c>
      <c r="BZ135" s="207">
        <f>IFERROR(__xludf.DUMMYFUNCTION("AVERAGE(ARRAYFORMULA(XLOOKUP(FILTER(INDIRECT(""'""&amp;BZ$1&amp;""'!$C$4:$C$66""),INDIRECT(""'""&amp;BZ$1&amp;""'!$D$4:$D$66"")=BZ$2),$G$3:$BQ$3,$G135:$BQ135)))"),-9.090909090909091E-6)</f>
        <v>-0.000009090909091</v>
      </c>
      <c r="CA135" s="207" t="str">
        <f>IFERROR(__xludf.DUMMYFUNCTION("IF(OR(BZ135&gt;$BS135+$BT135*$BT$2,BZ135&lt;$BS135-$BT135*$BT$2),AVEDEV(ARRAYFORMULA(XLOOKUP(FILTER(INDIRECT(""'""&amp;BZ$1&amp;""'!$C$4:$C$66""),INDIRECT(""'""&amp;BZ$1&amp;""'!$D$4:$D$66"")=BZ$2),$G$3:$BQ$3,$G135:$BQ135))),"""")"),"")</f>
        <v/>
      </c>
      <c r="CB135" s="209"/>
      <c r="CC135" s="207">
        <f>IFERROR(__xludf.DUMMYFUNCTION("AVERAGE(ARRAYFORMULA(XLOOKUP(FILTER(INDIRECT(""'""&amp;CC$1&amp;""'!$C$4:$C$66""),INDIRECT(""'""&amp;CC$1&amp;""'!$D$4:$D$66"")=CC$2),$G$3:$BQ$3,$G135:$BQ135)))"),-0.00129375)</f>
        <v>-0.00129375</v>
      </c>
      <c r="CD135" s="207" t="str">
        <f>IFERROR(__xludf.DUMMYFUNCTION("IF(OR(CC135&gt;$BS135+$BT135*$BT$2,CC135&lt;$BS135-$BT135*$BT$2),AVEDEV(ARRAYFORMULA(XLOOKUP(FILTER(INDIRECT(""'""&amp;CC$1&amp;""'!$C$4:$C$66""),INDIRECT(""'""&amp;CC$1&amp;""'!$D$4:$D$66"")=CC$2),$G$3:$BQ$3,$G135:$BQ135))),"""")"),"")</f>
        <v/>
      </c>
      <c r="CE135" s="207">
        <f>IFERROR(__xludf.DUMMYFUNCTION("AVERAGE(ARRAYFORMULA(XLOOKUP(FILTER(INDIRECT(""'""&amp;CE$1&amp;""'!$C$4:$C$66""),INDIRECT(""'""&amp;CE$1&amp;""'!$D$4:$D$66"")=CE$2),$G$3:$BQ$3,$G135:$BQ135)))"),-0.007141935483870967)</f>
        <v>-0.007141935484</v>
      </c>
      <c r="CF135" s="207" t="str">
        <f>IFERROR(__xludf.DUMMYFUNCTION("IF(OR(CE135&gt;$BS135+$BT135*$BT$2,CE135&lt;$BS135-$BT135*$BT$2),AVEDEV(ARRAYFORMULA(XLOOKUP(FILTER(INDIRECT(""'""&amp;CE$1&amp;""'!$C$4:$C$66""),INDIRECT(""'""&amp;CE$1&amp;""'!$D$4:$D$66"")=CE$2),$G$3:$BQ$3,$G135:$BQ135))),"""")"),"")</f>
        <v/>
      </c>
      <c r="CG135" s="207">
        <f>IFERROR(__xludf.DUMMYFUNCTION("AVERAGE(ARRAYFORMULA(XLOOKUP(FILTER(INDIRECT(""'""&amp;CG$1&amp;""'!$C$4:$C$66""),INDIRECT(""'""&amp;CG$1&amp;""'!$D$4:$D$66"")=CG$2),$G$3:$BQ$3,$G135:$BQ135)))"),-2.0E-5)</f>
        <v>-0.00002</v>
      </c>
      <c r="CH135" s="207" t="str">
        <f>IFERROR(__xludf.DUMMYFUNCTION("IF(OR(CG135&gt;$BS135+$BT135*$BT$2,CG135&lt;$BS135-$BT135*$BT$2),AVEDEV(ARRAYFORMULA(XLOOKUP(FILTER(INDIRECT(""'""&amp;CG$1&amp;""'!$C$4:$C$66""),INDIRECT(""'""&amp;CG$1&amp;""'!$D$4:$D$66"")=CG$2),$G$3:$BQ$3,$G135:$BQ135))),"""")"),"")</f>
        <v/>
      </c>
      <c r="CI135" s="206"/>
      <c r="CJ135" s="251">
        <f>IFERROR(__xludf.DUMMYFUNCTION("AVERAGE(ARRAYFORMULA(XLOOKUP(FILTER(INDIRECT(""'""&amp;CJ$1&amp;""'!$C$4:$C$66""),INDIRECT(""'""&amp;CJ$1&amp;""'!$D$4:$D$66"")=CJ$2),$G$3:$BQ$3,$G135:$BQ135)))"),-0.00138)</f>
        <v>-0.00138</v>
      </c>
      <c r="CK135" s="207" t="str">
        <f>IFERROR(__xludf.DUMMYFUNCTION("IF(OR(CJ135&gt;$BS135+$BT135*$BT$2,CJ135&lt;$BS135-$BT135*$BT$2),AVEDEV(ARRAYFORMULA(XLOOKUP(FILTER(INDIRECT(""'""&amp;CJ$1&amp;""'!$C$4:$C$66""),INDIRECT(""'""&amp;CJ$1&amp;""'!$D$4:$D$66"")=CJ$2),$G$3:$BQ$3,$G135:$BQ135))),"""")"),"")</f>
        <v/>
      </c>
      <c r="CL135" s="251">
        <f>IFERROR(__xludf.DUMMYFUNCTION("AVERAGE(ARRAYFORMULA(XLOOKUP(FILTER(INDIRECT(""'""&amp;CL$1&amp;""'!$C$4:$C$66""),INDIRECT(""'""&amp;CL$1&amp;""'!$D$4:$D$66"")=CL$2),$G$3:$BQ$3,$G135:$BQ135)))"),-0.0077512820512820515)</f>
        <v>-0.007751282051</v>
      </c>
      <c r="CM135" s="207" t="str">
        <f>IFERROR(__xludf.DUMMYFUNCTION("IF(OR(CL135&gt;$BS135+$BT135*$BT$2,CL135&lt;$BS135-$BT135*$BT$2),AVEDEV(ARRAYFORMULA(XLOOKUP(FILTER(INDIRECT(""'""&amp;CL$1&amp;""'!$C$4:$C$66""),INDIRECT(""'""&amp;CL$1&amp;""'!$D$4:$D$66"")=CL$2),$G$3:$BQ$3,$G135:$BQ135))),"""")"),"")</f>
        <v/>
      </c>
      <c r="CN135" s="251">
        <f>IFERROR(__xludf.DUMMYFUNCTION("AVERAGE(ARRAYFORMULA(XLOOKUP(FILTER(INDIRECT(""'""&amp;CN$1&amp;""'!$C$4:$C$66""),INDIRECT(""'""&amp;CN$1&amp;""'!$D$4:$D$66"")=CN$2),$G$3:$BQ$3,$G135:$BQ135)))"),-2.0E-5)</f>
        <v>-0.00002</v>
      </c>
      <c r="CO135" s="207" t="str">
        <f>IFERROR(__xludf.DUMMYFUNCTION("IF(OR(CN135&gt;$BS135+$BT135*$BT$2,CN135&lt;$BS135-$BT135*$BT$2),AVEDEV(ARRAYFORMULA(XLOOKUP(FILTER(INDIRECT(""'""&amp;CN$1&amp;""'!$C$4:$C$66""),INDIRECT(""'""&amp;CN$1&amp;""'!$D$4:$D$66"")=CN$2),$G$3:$BQ$3,$G135:$BQ135))),"""")"),"")</f>
        <v/>
      </c>
      <c r="CP135" s="252"/>
      <c r="CQ135" s="251">
        <f>IFERROR(__xludf.DUMMYFUNCTION("AVERAGE(ARRAYFORMULA(XLOOKUP(FILTER(INDIRECT(""'""&amp;CQ$1&amp;""'!$C$4:$C$66""),INDIRECT(""'""&amp;CQ$1&amp;""'!$D$4:$D$66"")=CQ$2),$G$3:$BQ$3,$G135:$BQ135)))"),0.0)</f>
        <v>0</v>
      </c>
      <c r="CR135" s="207" t="str">
        <f>IFERROR(__xludf.DUMMYFUNCTION("IF(OR(CQ135&gt;$BS135+$BT135*$BT$2,CQ135&lt;$BS135-$BT135*$BT$2),AVEDEV(ARRAYFORMULA(XLOOKUP(FILTER(INDIRECT(""'""&amp;CQ$1&amp;""'!$C$4:$C$66""),INDIRECT(""'""&amp;CQ$1&amp;""'!$D$4:$D$66"")=CQ$2),$G$3:$BQ$3,$G135:$BQ135))),"""")"),"")</f>
        <v/>
      </c>
      <c r="CS135" s="251">
        <f>IFERROR(__xludf.DUMMYFUNCTION("AVERAGE(ARRAYFORMULA(XLOOKUP(FILTER(INDIRECT(""'""&amp;CS$1&amp;""'!$C$4:$C$66""),INDIRECT(""'""&amp;CS$1&amp;""'!$D$4:$D$66"")=CS$2),$G$3:$BQ$3,$G135:$BQ135)))"),-1.1111111111111112E-5)</f>
        <v>-0.00001111111111</v>
      </c>
      <c r="CT135" s="207" t="str">
        <f>IFERROR(__xludf.DUMMYFUNCTION("IF(OR(CS135&gt;$BS135+$BT135*$BT$2,CS135&lt;$BS135-$BT135*$BT$2),AVEDEV(ARRAYFORMULA(XLOOKUP(FILTER(INDIRECT(""'""&amp;CS$1&amp;""'!$C$4:$C$66""),INDIRECT(""'""&amp;CS$1&amp;""'!$D$4:$D$66"")=CS$2),$G$3:$BQ$3,$G135:$BQ135))),"""")"),"")</f>
        <v/>
      </c>
      <c r="CU135" s="251">
        <f>IFERROR(__xludf.DUMMYFUNCTION("AVERAGE(ARRAYFORMULA(XLOOKUP(FILTER(INDIRECT(""'""&amp;CU$1&amp;""'!$C$4:$C$66""),INDIRECT(""'""&amp;CU$1&amp;""'!$D$4:$D$66"")=CU$2),$G$3:$BQ$3,$G135:$BQ135)))"),0.0)</f>
        <v>0</v>
      </c>
      <c r="CV135" s="207" t="str">
        <f>IFERROR(__xludf.DUMMYFUNCTION("IF(OR(CU135&gt;$BS135+$BT135*$BT$2,CU135&lt;$BS135-$BT135*$BT$2),AVEDEV(ARRAYFORMULA(XLOOKUP(FILTER(INDIRECT(""'""&amp;CU$1&amp;""'!$C$4:$C$66""),INDIRECT(""'""&amp;CU$1&amp;""'!$D$4:$D$66"")=CU$2),$G$3:$BQ$3,$G135:$BQ135))),"""")"),"")</f>
        <v/>
      </c>
      <c r="CW135" s="251">
        <f>IFERROR(__xludf.DUMMYFUNCTION("AVERAGE(ARRAYFORMULA(XLOOKUP(FILTER(INDIRECT(""'""&amp;CW$1&amp;""'!$C$4:$C$66""),INDIRECT(""'""&amp;CW$1&amp;""'!$D$4:$D$66"")=CW$2),$G$3:$BQ$3,$G135:$BQ135)))"),0.0)</f>
        <v>0</v>
      </c>
      <c r="CX135" s="207" t="str">
        <f>IFERROR(__xludf.DUMMYFUNCTION("IF(OR(CW135&gt;$BS135+$BT135*$BT$2,CW135&lt;$BS135-$BT135*$BT$2),AVEDEV(ARRAYFORMULA(XLOOKUP(FILTER(INDIRECT(""'""&amp;CW$1&amp;""'!$C$4:$C$66""),INDIRECT(""'""&amp;CW$1&amp;""'!$D$4:$D$66"")=CW$2),$G$3:$BQ$3,$G135:$BQ135))),"""")"),"")</f>
        <v/>
      </c>
      <c r="CY135" s="251">
        <f>IFERROR(__xludf.DUMMYFUNCTION("AVERAGE(ARRAYFORMULA(XLOOKUP(FILTER(INDIRECT(""'""&amp;CY$1&amp;""'!$C$4:$C$66""),INDIRECT(""'""&amp;CY$1&amp;""'!$D$4:$D$66"")=CY$2),$G$3:$BQ$3,$G135:$BQ135)))"),-0.014507142857142857)</f>
        <v>-0.01450714286</v>
      </c>
      <c r="CZ135" s="207" t="str">
        <f>IFERROR(__xludf.DUMMYFUNCTION("IF(OR(CY135&gt;$BS135+$BT135*$BT$2,CY135&lt;$BS135-$BT135*$BT$2),AVEDEV(ARRAYFORMULA(XLOOKUP(FILTER(INDIRECT(""'""&amp;CY$1&amp;""'!$C$4:$C$66""),INDIRECT(""'""&amp;CY$1&amp;""'!$D$4:$D$66"")=CY$2),$G$3:$BQ$3,$G135:$BQ135))),"""")"),"")</f>
        <v/>
      </c>
      <c r="DA135" s="252"/>
      <c r="DB135" s="251">
        <f>IFERROR(__xludf.DUMMYFUNCTION("AVERAGE(ARRAYFORMULA(XLOOKUP(FILTER(INDIRECT(""'""&amp;DB$1&amp;""'!$C$4:$C$66""),INDIRECT(""'""&amp;DB$1&amp;""'!$D$4:$D$66"")=DB$2),$G$3:$BQ$3,$G135:$BQ135)))"),-0.007043333333333333)</f>
        <v>-0.007043333333</v>
      </c>
      <c r="DC135" s="207" t="str">
        <f>IFERROR(__xludf.DUMMYFUNCTION("IF(OR(DB135&gt;$BS135+$BT135*$BT$2,DB135&lt;$BS135-$BT135*$BT$2),AVEDEV(ARRAYFORMULA(XLOOKUP(FILTER(INDIRECT(""'""&amp;DB$1&amp;""'!$C$4:$C$66""),INDIRECT(""'""&amp;DB$1&amp;""'!$D$4:$D$66"")=DB$2),$G$3:$BQ$3,$G135:$BQ135))),"""")"),"")</f>
        <v/>
      </c>
      <c r="DD135" s="251">
        <f>IFERROR(__xludf.DUMMYFUNCTION("AVERAGE(ARRAYFORMULA(XLOOKUP(FILTER(INDIRECT(""'""&amp;DD$1&amp;""'!$C$4:$C$66""),INDIRECT(""'""&amp;DD$1&amp;""'!$D$4:$D$66"")=DD$2),$G$3:$BQ$3,$G135:$BQ135)))"),-1.1111111111111112E-5)</f>
        <v>-0.00001111111111</v>
      </c>
      <c r="DE135" s="207" t="str">
        <f>IFERROR(__xludf.DUMMYFUNCTION("IF(OR(DD135&gt;$BS135+$BT135*$BT$2,DD135&lt;$BS135-$BT135*$BT$2),AVEDEV(ARRAYFORMULA(XLOOKUP(FILTER(INDIRECT(""'""&amp;DD$1&amp;""'!$C$4:$C$66""),INDIRECT(""'""&amp;DD$1&amp;""'!$D$4:$D$66"")=DD$2),$G$3:$BQ$3,$G135:$BQ135))),"""")"),"")</f>
        <v/>
      </c>
      <c r="DF135" s="251">
        <f>IFERROR(__xludf.DUMMYFUNCTION("AVERAGE(ARRAYFORMULA(XLOOKUP(FILTER(INDIRECT(""'""&amp;DF$1&amp;""'!$C$4:$C$66""),INDIRECT(""'""&amp;DF$1&amp;""'!$D$4:$D$66"")=DF$2),$G$3:$BQ$3,$G135:$BQ135)))"),-0.00385)</f>
        <v>-0.00385</v>
      </c>
      <c r="DG135" s="207" t="str">
        <f>IFERROR(__xludf.DUMMYFUNCTION("IF(OR(DF135&gt;$BS135+$BT135*$BT$2,DF135&lt;$BS135-$BT135*$BT$2),AVEDEV(ARRAYFORMULA(XLOOKUP(FILTER(INDIRECT(""'""&amp;DF$1&amp;""'!$C$4:$C$66""),INDIRECT(""'""&amp;DF$1&amp;""'!$D$4:$D$66"")=DF$2),$G$3:$BQ$3,$G135:$BQ135))),"""")"),"")</f>
        <v/>
      </c>
      <c r="DH135" s="251">
        <f>IFERROR(__xludf.DUMMYFUNCTION("AVERAGE(ARRAYFORMULA(XLOOKUP(FILTER(INDIRECT(""'""&amp;DH$1&amp;""'!$C$4:$C$66""),INDIRECT(""'""&amp;DH$1&amp;""'!$D$4:$D$66"")=DH$2),$G$3:$BQ$3,$G135:$BQ135)))"),0.0)</f>
        <v>0</v>
      </c>
      <c r="DI135" s="207" t="str">
        <f>IFERROR(__xludf.DUMMYFUNCTION("IF(OR(DH135&gt;$BS135+$BT135*$BT$2,DH135&lt;$BS135-$BT135*$BT$2),AVEDEV(ARRAYFORMULA(XLOOKUP(FILTER(INDIRECT(""'""&amp;DH$1&amp;""'!$C$4:$C$66""),INDIRECT(""'""&amp;DH$1&amp;""'!$D$4:$D$66"")=DH$2),$G$3:$BQ$3,$G135:$BQ135))),"""")"),"")</f>
        <v/>
      </c>
      <c r="DJ135" s="243"/>
    </row>
    <row r="136">
      <c r="A136" s="2"/>
      <c r="B136" s="204">
        <v>132.0</v>
      </c>
      <c r="C136" s="204" t="s">
        <v>540</v>
      </c>
      <c r="D136" s="204" t="s">
        <v>578</v>
      </c>
      <c r="E136" s="205" t="b">
        <f>VLOOKUP(D136,'Feature Set List'!A133:C246,2,0)</f>
        <v>1</v>
      </c>
      <c r="F136" s="205" t="b">
        <f>VLOOKUP(D136,'Feature Set List'!A133:C246,3,0)</f>
        <v>1</v>
      </c>
      <c r="G136" s="205">
        <v>0.77198917</v>
      </c>
      <c r="H136" s="205">
        <v>0.4594046</v>
      </c>
      <c r="I136" s="205">
        <v>1.29228687</v>
      </c>
      <c r="J136" s="205">
        <v>0.58728011</v>
      </c>
      <c r="K136" s="205">
        <v>-0.0947226</v>
      </c>
      <c r="L136" s="205">
        <v>0.38971583</v>
      </c>
      <c r="M136" s="205">
        <v>-0.0399188</v>
      </c>
      <c r="N136" s="205">
        <v>0.09742896</v>
      </c>
      <c r="O136" s="205">
        <v>0.0</v>
      </c>
      <c r="P136" s="205">
        <v>0.03788904</v>
      </c>
      <c r="Q136" s="205">
        <v>-1.2381597</v>
      </c>
      <c r="R136" s="205">
        <v>-1.2110961</v>
      </c>
      <c r="S136" s="205">
        <v>-0.6184032</v>
      </c>
      <c r="T136" s="205">
        <v>0.27063599</v>
      </c>
      <c r="U136" s="205">
        <v>0.34709066</v>
      </c>
      <c r="V136" s="205">
        <v>0.09066306</v>
      </c>
      <c r="W136" s="205">
        <v>0.13599459</v>
      </c>
      <c r="X136" s="205">
        <v>-0.7801083</v>
      </c>
      <c r="Y136" s="205">
        <v>-0.0304465</v>
      </c>
      <c r="Z136" s="205">
        <v>-2.8917456</v>
      </c>
      <c r="AA136" s="205">
        <v>-0.9519621</v>
      </c>
      <c r="AB136" s="205">
        <v>1.24221922</v>
      </c>
      <c r="AC136" s="205">
        <v>0.38159675</v>
      </c>
      <c r="AD136" s="205">
        <v>-0.4607578</v>
      </c>
      <c r="AE136" s="205">
        <v>0.09269283</v>
      </c>
      <c r="AF136" s="205">
        <v>0.00879567</v>
      </c>
      <c r="AG136" s="205">
        <v>-0.2198917</v>
      </c>
      <c r="AH136" s="205">
        <v>0.21853857</v>
      </c>
      <c r="AI136" s="205">
        <v>-0.0290934</v>
      </c>
      <c r="AJ136" s="205">
        <v>-0.0994587</v>
      </c>
      <c r="AK136" s="205">
        <v>0.47361299</v>
      </c>
      <c r="AL136" s="205">
        <v>-0.4133965</v>
      </c>
      <c r="AM136" s="205">
        <v>0.16644114</v>
      </c>
      <c r="AN136" s="205">
        <v>-0.9844384</v>
      </c>
      <c r="AO136" s="205">
        <v>-0.9594046</v>
      </c>
      <c r="AP136" s="205">
        <v>-0.0446549</v>
      </c>
      <c r="AQ136" s="205">
        <v>-1.2002706</v>
      </c>
      <c r="AR136" s="205">
        <v>-1.3971583</v>
      </c>
      <c r="AS136" s="205">
        <v>0.68132612</v>
      </c>
      <c r="AT136" s="205">
        <v>0.50202977</v>
      </c>
      <c r="AU136" s="205">
        <v>0.83558863</v>
      </c>
      <c r="AV136" s="205">
        <v>-1.3261164</v>
      </c>
      <c r="AW136" s="205">
        <v>-0.9560217</v>
      </c>
      <c r="AX136" s="205">
        <v>-0.4722598</v>
      </c>
      <c r="AY136" s="205">
        <v>-1.7929635</v>
      </c>
      <c r="AZ136" s="205">
        <v>-0.1759134</v>
      </c>
      <c r="BA136" s="205">
        <v>0.64817321</v>
      </c>
      <c r="BB136" s="205">
        <v>-0.8430311</v>
      </c>
      <c r="BC136" s="205">
        <v>-0.6393775</v>
      </c>
      <c r="BD136" s="205">
        <v>1.66508796</v>
      </c>
      <c r="BE136" s="205">
        <v>0.73477673</v>
      </c>
      <c r="BF136" s="205">
        <v>0.14682003</v>
      </c>
      <c r="BG136" s="205">
        <v>0.46549391</v>
      </c>
      <c r="BH136" s="205">
        <v>0.05345061</v>
      </c>
      <c r="BI136" s="205">
        <v>-0.6102842</v>
      </c>
      <c r="BJ136" s="205">
        <v>-0.2916103</v>
      </c>
      <c r="BK136" s="205">
        <v>-0.9627876</v>
      </c>
      <c r="BL136" s="205">
        <v>0.91136671</v>
      </c>
      <c r="BM136" s="205">
        <v>0.08863329</v>
      </c>
      <c r="BN136" s="205">
        <v>-0.1339648</v>
      </c>
      <c r="BO136" s="205">
        <v>0.02841678</v>
      </c>
      <c r="BP136" s="205">
        <v>0.41339648</v>
      </c>
      <c r="BQ136" s="205">
        <v>-0.0101488</v>
      </c>
      <c r="BR136" s="206"/>
      <c r="BS136" s="250">
        <f t="shared" si="1"/>
        <v>-0.1212814384</v>
      </c>
      <c r="BT136" s="250">
        <f t="shared" si="2"/>
        <v>0.5911228152</v>
      </c>
      <c r="BU136" s="206"/>
      <c r="BV136" s="207">
        <f>IFERROR(__xludf.DUMMYFUNCTION("AVERAGE(ARRAYFORMULA(XLOOKUP(FILTER(INDIRECT(""'""&amp;BV$1&amp;""'!$C$4:$C$66""),INDIRECT(""'""&amp;BV$1&amp;""'!$D$4:$D$66"")=BV$2),$G$3:$BQ$3,$G136:$BQ136)))"),-0.3403247714285714)</f>
        <v>-0.3403247714</v>
      </c>
      <c r="BW136" s="207" t="str">
        <f>IFERROR(__xludf.DUMMYFUNCTION("IF(OR(BV136&gt;$BS136+$BT136*$BT$2,BV136&lt;$BS136-$BT136*$BT$2),AVEDEV(ARRAYFORMULA(XLOOKUP(FILTER(INDIRECT(""'""&amp;BV$1&amp;""'!$C$4:$C$66""),INDIRECT(""'""&amp;BV$1&amp;""'!$D$4:$D$66"")=BV$2),$G$3:$BQ$3,$G136:$BQ136))),"""")"),"")</f>
        <v/>
      </c>
      <c r="BX136" s="207">
        <f>IFERROR(__xludf.DUMMYFUNCTION("AVERAGE(ARRAYFORMULA(XLOOKUP(FILTER(INDIRECT(""'""&amp;BX$1&amp;""'!$C$4:$C$66""),INDIRECT(""'""&amp;BX$1&amp;""'!$D$4:$D$66"")=BX$2),$G$3:$BQ$3,$G136:$BQ136)))"),-0.26564211357142853)</f>
        <v>-0.2656421136</v>
      </c>
      <c r="BY136" s="207" t="str">
        <f>IFERROR(__xludf.DUMMYFUNCTION("IF(OR(BX136&gt;$BS136+$BT136*$BT$2,BX136&lt;$BS136-$BT136*$BT$2),AVEDEV(ARRAYFORMULA(XLOOKUP(FILTER(INDIRECT(""'""&amp;BX$1&amp;""'!$C$4:$C$66""),INDIRECT(""'""&amp;BX$1&amp;""'!$D$4:$D$66"")=BX$2),$G$3:$BQ$3,$G136:$BQ136))),"""")"),"")</f>
        <v/>
      </c>
      <c r="BZ136" s="207">
        <f>IFERROR(__xludf.DUMMYFUNCTION("AVERAGE(ARRAYFORMULA(XLOOKUP(FILTER(INDIRECT(""'""&amp;BZ$1&amp;""'!$C$4:$C$66""),INDIRECT(""'""&amp;BZ$1&amp;""'!$D$4:$D$66"")=BZ$2),$G$3:$BQ$3,$G136:$BQ136)))"),0.19141346272727275)</f>
        <v>0.1914134627</v>
      </c>
      <c r="CA136" s="207" t="str">
        <f>IFERROR(__xludf.DUMMYFUNCTION("IF(OR(BZ136&gt;$BS136+$BT136*$BT$2,BZ136&lt;$BS136-$BT136*$BT$2),AVEDEV(ARRAYFORMULA(XLOOKUP(FILTER(INDIRECT(""'""&amp;BZ$1&amp;""'!$C$4:$C$66""),INDIRECT(""'""&amp;BZ$1&amp;""'!$D$4:$D$66"")=BZ$2),$G$3:$BQ$3,$G136:$BQ136))),"""")"),"")</f>
        <v/>
      </c>
      <c r="CB136" s="209"/>
      <c r="CC136" s="207">
        <f>IFERROR(__xludf.DUMMYFUNCTION("AVERAGE(ARRAYFORMULA(XLOOKUP(FILTER(INDIRECT(""'""&amp;CC$1&amp;""'!$C$4:$C$66""),INDIRECT(""'""&amp;CC$1&amp;""'!$D$4:$D$66"")=CC$2),$G$3:$BQ$3,$G136:$BQ136)))"),-0.03691643687500001)</f>
        <v>-0.03691643688</v>
      </c>
      <c r="CD136" s="207" t="str">
        <f>IFERROR(__xludf.DUMMYFUNCTION("IF(OR(CC136&gt;$BS136+$BT136*$BT$2,CC136&lt;$BS136-$BT136*$BT$2),AVEDEV(ARRAYFORMULA(XLOOKUP(FILTER(INDIRECT(""'""&amp;CC$1&amp;""'!$C$4:$C$66""),INDIRECT(""'""&amp;CC$1&amp;""'!$D$4:$D$66"")=CC$2),$G$3:$BQ$3,$G136:$BQ136))),"""")"),"")</f>
        <v/>
      </c>
      <c r="CE136" s="207">
        <f>IFERROR(__xludf.DUMMYFUNCTION("AVERAGE(ARRAYFORMULA(XLOOKUP(FILTER(INDIRECT(""'""&amp;CE$1&amp;""'!$C$4:$C$66""),INDIRECT(""'""&amp;CE$1&amp;""'!$D$4:$D$66"")=CE$2),$G$3:$BQ$3,$G136:$BQ136)))"),-0.3592911067741935)</f>
        <v>-0.3592911068</v>
      </c>
      <c r="CF136" s="207" t="str">
        <f>IFERROR(__xludf.DUMMYFUNCTION("IF(OR(CE136&gt;$BS136+$BT136*$BT$2,CE136&lt;$BS136-$BT136*$BT$2),AVEDEV(ARRAYFORMULA(XLOOKUP(FILTER(INDIRECT(""'""&amp;CE$1&amp;""'!$C$4:$C$66""),INDIRECT(""'""&amp;CE$1&amp;""'!$D$4:$D$66"")=CE$2),$G$3:$BQ$3,$G136:$BQ136))),"""")"),"")</f>
        <v/>
      </c>
      <c r="CG136" s="207">
        <f>IFERROR(__xludf.DUMMYFUNCTION("AVERAGE(ARRAYFORMULA(XLOOKUP(FILTER(INDIRECT(""'""&amp;CG$1&amp;""'!$C$4:$C$66""),INDIRECT(""'""&amp;CG$1&amp;""'!$D$4:$D$66"")=CG$2),$G$3:$BQ$3,$G136:$BQ136)))"),0.420703654)</f>
        <v>0.420703654</v>
      </c>
      <c r="CH136" s="207" t="str">
        <f>IFERROR(__xludf.DUMMYFUNCTION("IF(OR(CG136&gt;$BS136+$BT136*$BT$2,CG136&lt;$BS136-$BT136*$BT$2),AVEDEV(ARRAYFORMULA(XLOOKUP(FILTER(INDIRECT(""'""&amp;CG$1&amp;""'!$C$4:$C$66""),INDIRECT(""'""&amp;CG$1&amp;""'!$D$4:$D$66"")=CG$2),$G$3:$BQ$3,$G136:$BQ136))),"""")"),"")</f>
        <v/>
      </c>
      <c r="CI136" s="206"/>
      <c r="CJ136" s="251">
        <f>IFERROR(__xludf.DUMMYFUNCTION("AVERAGE(ARRAYFORMULA(XLOOKUP(FILTER(INDIRECT(""'""&amp;CJ$1&amp;""'!$C$4:$C$66""),INDIRECT(""'""&amp;CJ$1&amp;""'!$D$4:$D$66"")=CJ$2),$G$3:$BQ$3,$G136:$BQ136)))"),0.12665764866666665)</f>
        <v>0.1266576487</v>
      </c>
      <c r="CK136" s="207" t="str">
        <f>IFERROR(__xludf.DUMMYFUNCTION("IF(OR(CJ136&gt;$BS136+$BT136*$BT$2,CJ136&lt;$BS136-$BT136*$BT$2),AVEDEV(ARRAYFORMULA(XLOOKUP(FILTER(INDIRECT(""'""&amp;CJ$1&amp;""'!$C$4:$C$66""),INDIRECT(""'""&amp;CJ$1&amp;""'!$D$4:$D$66"")=CJ$2),$G$3:$BQ$3,$G136:$BQ136))),"""")"),"")</f>
        <v/>
      </c>
      <c r="CL136" s="251">
        <f>IFERROR(__xludf.DUMMYFUNCTION("AVERAGE(ARRAYFORMULA(XLOOKUP(FILTER(INDIRECT(""'""&amp;CL$1&amp;""'!$C$4:$C$66""),INDIRECT(""'""&amp;CL$1&amp;""'!$D$4:$D$66"")=CL$2),$G$3:$BQ$3,$G136:$BQ136)))"),-0.4191908664102563)</f>
        <v>-0.4191908664</v>
      </c>
      <c r="CM136" s="207" t="str">
        <f>IFERROR(__xludf.DUMMYFUNCTION("IF(OR(CL136&gt;$BS136+$BT136*$BT$2,CL136&lt;$BS136-$BT136*$BT$2),AVEDEV(ARRAYFORMULA(XLOOKUP(FILTER(INDIRECT(""'""&amp;CL$1&amp;""'!$C$4:$C$66""),INDIRECT(""'""&amp;CL$1&amp;""'!$D$4:$D$66"")=CL$2),$G$3:$BQ$3,$G136:$BQ136))),"""")"),"")</f>
        <v/>
      </c>
      <c r="CN136" s="251">
        <f>IFERROR(__xludf.DUMMYFUNCTION("AVERAGE(ARRAYFORMULA(XLOOKUP(FILTER(INDIRECT(""'""&amp;CN$1&amp;""'!$C$4:$C$66""),INDIRECT(""'""&amp;CN$1&amp;""'!$D$4:$D$66"")=CN$2),$G$3:$BQ$3,$G136:$BQ136)))"),0.420703654)</f>
        <v>0.420703654</v>
      </c>
      <c r="CO136" s="207" t="str">
        <f>IFERROR(__xludf.DUMMYFUNCTION("IF(OR(CN136&gt;$BS136+$BT136*$BT$2,CN136&lt;$BS136-$BT136*$BT$2),AVEDEV(ARRAYFORMULA(XLOOKUP(FILTER(INDIRECT(""'""&amp;CN$1&amp;""'!$C$4:$C$66""),INDIRECT(""'""&amp;CN$1&amp;""'!$D$4:$D$66"")=CN$2),$G$3:$BQ$3,$G136:$BQ136))),"""")"),"")</f>
        <v/>
      </c>
      <c r="CP136" s="252"/>
      <c r="CQ136" s="251">
        <f>IFERROR(__xludf.DUMMYFUNCTION("AVERAGE(ARRAYFORMULA(XLOOKUP(FILTER(INDIRECT(""'""&amp;CQ$1&amp;""'!$C$4:$C$66""),INDIRECT(""'""&amp;CQ$1&amp;""'!$D$4:$D$66"")=CQ$2),$G$3:$BQ$3,$G136:$BQ136)))"),-0.13415813000000001)</f>
        <v>-0.13415813</v>
      </c>
      <c r="CR136" s="207" t="str">
        <f>IFERROR(__xludf.DUMMYFUNCTION("IF(OR(CQ136&gt;$BS136+$BT136*$BT$2,CQ136&lt;$BS136-$BT136*$BT$2),AVEDEV(ARRAYFORMULA(XLOOKUP(FILTER(INDIRECT(""'""&amp;CQ$1&amp;""'!$C$4:$C$66""),INDIRECT(""'""&amp;CQ$1&amp;""'!$D$4:$D$66"")=CQ$2),$G$3:$BQ$3,$G136:$BQ136))),"""")"),"")</f>
        <v/>
      </c>
      <c r="CS136" s="251">
        <f>IFERROR(__xludf.DUMMYFUNCTION("AVERAGE(ARRAYFORMULA(XLOOKUP(FILTER(INDIRECT(""'""&amp;CS$1&amp;""'!$C$4:$C$66""),INDIRECT(""'""&amp;CS$1&amp;""'!$D$4:$D$66"")=CS$2),$G$3:$BQ$3,$G136:$BQ136)))"),0.2436475777777778)</f>
        <v>0.2436475778</v>
      </c>
      <c r="CT136" s="207" t="str">
        <f>IFERROR(__xludf.DUMMYFUNCTION("IF(OR(CS136&gt;$BS136+$BT136*$BT$2,CS136&lt;$BS136-$BT136*$BT$2),AVEDEV(ARRAYFORMULA(XLOOKUP(FILTER(INDIRECT(""'""&amp;CS$1&amp;""'!$C$4:$C$66""),INDIRECT(""'""&amp;CS$1&amp;""'!$D$4:$D$66"")=CS$2),$G$3:$BQ$3,$G136:$BQ136))),"""")"),"")</f>
        <v/>
      </c>
      <c r="CU136" s="251">
        <f>IFERROR(__xludf.DUMMYFUNCTION("AVERAGE(ARRAYFORMULA(XLOOKUP(FILTER(INDIRECT(""'""&amp;CU$1&amp;""'!$C$4:$C$66""),INDIRECT(""'""&amp;CU$1&amp;""'!$D$4:$D$66"")=CU$2),$G$3:$BQ$3,$G136:$BQ136)))"),-0.0061508145454545774)</f>
        <v>-0.006150814545</v>
      </c>
      <c r="CV136" s="207" t="str">
        <f>IFERROR(__xludf.DUMMYFUNCTION("IF(OR(CU136&gt;$BS136+$BT136*$BT$2,CU136&lt;$BS136-$BT136*$BT$2),AVEDEV(ARRAYFORMULA(XLOOKUP(FILTER(INDIRECT(""'""&amp;CU$1&amp;""'!$C$4:$C$66""),INDIRECT(""'""&amp;CU$1&amp;""'!$D$4:$D$66"")=CU$2),$G$3:$BQ$3,$G136:$BQ136))),"""")"),"")</f>
        <v/>
      </c>
      <c r="CW136" s="251">
        <f>IFERROR(__xludf.DUMMYFUNCTION("AVERAGE(ARRAYFORMULA(XLOOKUP(FILTER(INDIRECT(""'""&amp;CW$1&amp;""'!$C$4:$C$66""),INDIRECT(""'""&amp;CW$1&amp;""'!$D$4:$D$66"")=CW$2),$G$3:$BQ$3,$G136:$BQ136)))"),-0.203653595)</f>
        <v>-0.203653595</v>
      </c>
      <c r="CX136" s="207" t="str">
        <f>IFERROR(__xludf.DUMMYFUNCTION("IF(OR(CW136&gt;$BS136+$BT136*$BT$2,CW136&lt;$BS136-$BT136*$BT$2),AVEDEV(ARRAYFORMULA(XLOOKUP(FILTER(INDIRECT(""'""&amp;CW$1&amp;""'!$C$4:$C$66""),INDIRECT(""'""&amp;CW$1&amp;""'!$D$4:$D$66"")=CW$2),$G$3:$BQ$3,$G136:$BQ136))),"""")"),"")</f>
        <v/>
      </c>
      <c r="CY136" s="251">
        <f>IFERROR(__xludf.DUMMYFUNCTION("AVERAGE(ARRAYFORMULA(XLOOKUP(FILTER(INDIRECT(""'""&amp;CY$1&amp;""'!$C$4:$C$66""),INDIRECT(""'""&amp;CY$1&amp;""'!$D$4:$D$66"")=CY$2),$G$3:$BQ$3,$G136:$BQ136)))"),-0.6833075514285715)</f>
        <v>-0.6833075514</v>
      </c>
      <c r="CZ136" s="207" t="str">
        <f>IFERROR(__xludf.DUMMYFUNCTION("IF(OR(CY136&gt;$BS136+$BT136*$BT$2,CY136&lt;$BS136-$BT136*$BT$2),AVEDEV(ARRAYFORMULA(XLOOKUP(FILTER(INDIRECT(""'""&amp;CY$1&amp;""'!$C$4:$C$66""),INDIRECT(""'""&amp;CY$1&amp;""'!$D$4:$D$66"")=CY$2),$G$3:$BQ$3,$G136:$BQ136))),"""")"),"")</f>
        <v/>
      </c>
      <c r="DA136" s="252"/>
      <c r="DB136" s="251">
        <f>IFERROR(__xludf.DUMMYFUNCTION("AVERAGE(ARRAYFORMULA(XLOOKUP(FILTER(INDIRECT(""'""&amp;DB$1&amp;""'!$C$4:$C$66""),INDIRECT(""'""&amp;DB$1&amp;""'!$D$4:$D$66"")=DB$2),$G$3:$BQ$3,$G136:$BQ136)))"),-0.16799728966666666)</f>
        <v>-0.1679972897</v>
      </c>
      <c r="DC136" s="207" t="str">
        <f>IFERROR(__xludf.DUMMYFUNCTION("IF(OR(DB136&gt;$BS136+$BT136*$BT$2,DB136&lt;$BS136-$BT136*$BT$2),AVEDEV(ARRAYFORMULA(XLOOKUP(FILTER(INDIRECT(""'""&amp;DB$1&amp;""'!$C$4:$C$66""),INDIRECT(""'""&amp;DB$1&amp;""'!$D$4:$D$66"")=DB$2),$G$3:$BQ$3,$G136:$BQ136))),"""")"),"")</f>
        <v/>
      </c>
      <c r="DD136" s="251">
        <f>IFERROR(__xludf.DUMMYFUNCTION("AVERAGE(ARRAYFORMULA(XLOOKUP(FILTER(INDIRECT(""'""&amp;DD$1&amp;""'!$C$4:$C$66""),INDIRECT(""'""&amp;DD$1&amp;""'!$D$4:$D$66"")=DD$2),$G$3:$BQ$3,$G136:$BQ136)))"),0.10855510222222223)</f>
        <v>0.1085551022</v>
      </c>
      <c r="DE136" s="207" t="str">
        <f>IFERROR(__xludf.DUMMYFUNCTION("IF(OR(DD136&gt;$BS136+$BT136*$BT$2,DD136&lt;$BS136-$BT136*$BT$2),AVEDEV(ARRAYFORMULA(XLOOKUP(FILTER(INDIRECT(""'""&amp;DD$1&amp;""'!$C$4:$C$66""),INDIRECT(""'""&amp;DD$1&amp;""'!$D$4:$D$66"")=DD$2),$G$3:$BQ$3,$G136:$BQ136))),"""")"),"")</f>
        <v/>
      </c>
      <c r="DF136" s="251">
        <f>IFERROR(__xludf.DUMMYFUNCTION("AVERAGE(ARRAYFORMULA(XLOOKUP(FILTER(INDIRECT(""'""&amp;DF$1&amp;""'!$C$4:$C$66""),INDIRECT(""'""&amp;DF$1&amp;""'!$D$4:$D$66"")=DF$2),$G$3:$BQ$3,$G136:$BQ136)))"),-0.5628382925)</f>
        <v>-0.5628382925</v>
      </c>
      <c r="DG136" s="207" t="str">
        <f>IFERROR(__xludf.DUMMYFUNCTION("IF(OR(DF136&gt;$BS136+$BT136*$BT$2,DF136&lt;$BS136-$BT136*$BT$2),AVEDEV(ARRAYFORMULA(XLOOKUP(FILTER(INDIRECT(""'""&amp;DF$1&amp;""'!$C$4:$C$66""),INDIRECT(""'""&amp;DF$1&amp;""'!$D$4:$D$66"")=DF$2),$G$3:$BQ$3,$G136:$BQ136))),"""")"),"")</f>
        <v/>
      </c>
      <c r="DH136" s="251">
        <f>IFERROR(__xludf.DUMMYFUNCTION("AVERAGE(ARRAYFORMULA(XLOOKUP(FILTER(INDIRECT(""'""&amp;DH$1&amp;""'!$C$4:$C$66""),INDIRECT(""'""&amp;DH$1&amp;""'!$D$4:$D$66"")=DH$2),$G$3:$BQ$3,$G136:$BQ136)))"),-0.07141783111111111)</f>
        <v>-0.07141783111</v>
      </c>
      <c r="DI136" s="207" t="str">
        <f>IFERROR(__xludf.DUMMYFUNCTION("IF(OR(DH136&gt;$BS136+$BT136*$BT$2,DH136&lt;$BS136-$BT136*$BT$2),AVEDEV(ARRAYFORMULA(XLOOKUP(FILTER(INDIRECT(""'""&amp;DH$1&amp;""'!$C$4:$C$66""),INDIRECT(""'""&amp;DH$1&amp;""'!$D$4:$D$66"")=DH$2),$G$3:$BQ$3,$G136:$BQ136))),"""")"),"")</f>
        <v/>
      </c>
      <c r="DJ136" s="243"/>
    </row>
    <row r="137">
      <c r="A137" s="2"/>
      <c r="B137" s="204">
        <v>133.0</v>
      </c>
      <c r="C137" s="204" t="s">
        <v>540</v>
      </c>
      <c r="D137" s="204" t="s">
        <v>579</v>
      </c>
      <c r="E137" s="205" t="b">
        <f>VLOOKUP(D137,'Feature Set List'!A134:C246,2,0)</f>
        <v>1</v>
      </c>
      <c r="F137" s="205" t="b">
        <f>VLOOKUP(D137,'Feature Set List'!A134:C246,3,0)</f>
        <v>1</v>
      </c>
      <c r="G137" s="205">
        <v>-0.2994012</v>
      </c>
      <c r="H137" s="205">
        <v>-0.0032934</v>
      </c>
      <c r="I137" s="205">
        <v>1.39520958</v>
      </c>
      <c r="J137" s="205">
        <v>-0.0857784</v>
      </c>
      <c r="K137" s="205">
        <v>-0.7756886</v>
      </c>
      <c r="L137" s="205">
        <v>0.03922156</v>
      </c>
      <c r="M137" s="205">
        <v>0.89820359</v>
      </c>
      <c r="N137" s="205">
        <v>-0.3988024</v>
      </c>
      <c r="O137" s="205">
        <v>-0.4962575</v>
      </c>
      <c r="P137" s="205">
        <v>0.87125749</v>
      </c>
      <c r="Q137" s="205">
        <v>-0.8426048</v>
      </c>
      <c r="R137" s="205">
        <v>0.2994012</v>
      </c>
      <c r="S137" s="205">
        <v>-0.1273952</v>
      </c>
      <c r="T137" s="205">
        <v>0.2994012</v>
      </c>
      <c r="U137" s="205">
        <v>0.66317365</v>
      </c>
      <c r="V137" s="205">
        <v>-0.8233533</v>
      </c>
      <c r="W137" s="205">
        <v>0.73502994</v>
      </c>
      <c r="X137" s="205">
        <v>-0.4693114</v>
      </c>
      <c r="Y137" s="205">
        <v>0.28458084</v>
      </c>
      <c r="Z137" s="205">
        <v>0.0</v>
      </c>
      <c r="AA137" s="205">
        <v>-0.1968563</v>
      </c>
      <c r="AB137" s="205">
        <v>0.29266467</v>
      </c>
      <c r="AC137" s="205">
        <v>0.30434132</v>
      </c>
      <c r="AD137" s="205">
        <v>3.89221557</v>
      </c>
      <c r="AE137" s="205">
        <v>0.6497006</v>
      </c>
      <c r="AF137" s="205">
        <v>0.29296407</v>
      </c>
      <c r="AG137" s="205">
        <v>-0.812994</v>
      </c>
      <c r="AH137" s="205">
        <v>0.42260479</v>
      </c>
      <c r="AI137" s="205">
        <v>1.48802395</v>
      </c>
      <c r="AJ137" s="205">
        <v>0.29476048</v>
      </c>
      <c r="AK137" s="205">
        <v>-0.3008982</v>
      </c>
      <c r="AL137" s="205">
        <v>-0.2994012</v>
      </c>
      <c r="AM137" s="205">
        <v>1.34730539</v>
      </c>
      <c r="AN137" s="205">
        <v>-0.2994012</v>
      </c>
      <c r="AO137" s="205">
        <v>-0.0489521</v>
      </c>
      <c r="AP137" s="205">
        <v>0.28188623</v>
      </c>
      <c r="AQ137" s="205">
        <v>-0.8233533</v>
      </c>
      <c r="AR137" s="205">
        <v>-0.3901198</v>
      </c>
      <c r="AS137" s="205">
        <v>12.6257485</v>
      </c>
      <c r="AT137" s="205">
        <v>-0.3115269</v>
      </c>
      <c r="AU137" s="205">
        <v>66.6916168</v>
      </c>
      <c r="AV137" s="205">
        <v>1.45958084</v>
      </c>
      <c r="AW137" s="205">
        <v>-0.3125749</v>
      </c>
      <c r="AX137" s="205">
        <v>-0.3857784</v>
      </c>
      <c r="AY137" s="205">
        <v>-0.8592216</v>
      </c>
      <c r="AZ137" s="205">
        <v>0.89820359</v>
      </c>
      <c r="BA137" s="205">
        <v>1.29790419</v>
      </c>
      <c r="BB137" s="205">
        <v>-0.5335329</v>
      </c>
      <c r="BC137" s="205">
        <v>-0.4610778</v>
      </c>
      <c r="BD137" s="205">
        <v>165.568862</v>
      </c>
      <c r="BE137" s="205">
        <v>0.2245509</v>
      </c>
      <c r="BF137" s="205">
        <v>-0.2808383</v>
      </c>
      <c r="BG137" s="205">
        <v>0.2994012</v>
      </c>
      <c r="BH137" s="205">
        <v>3.89221557</v>
      </c>
      <c r="BI137" s="205">
        <v>-0.2994012</v>
      </c>
      <c r="BJ137" s="205">
        <v>0.64670659</v>
      </c>
      <c r="BK137" s="205">
        <v>-0.008982</v>
      </c>
      <c r="BL137" s="205">
        <v>-0.3008982</v>
      </c>
      <c r="BM137" s="205">
        <v>-0.0261976</v>
      </c>
      <c r="BN137" s="205">
        <v>0.78742515</v>
      </c>
      <c r="BO137" s="205">
        <v>-0.2994012</v>
      </c>
      <c r="BP137" s="205">
        <v>0.82185629</v>
      </c>
      <c r="BQ137" s="205">
        <v>-0.2994012</v>
      </c>
      <c r="BR137" s="206"/>
      <c r="BS137" s="250">
        <f t="shared" si="1"/>
        <v>4.096719417</v>
      </c>
      <c r="BT137" s="250">
        <f t="shared" si="2"/>
        <v>7.384002192</v>
      </c>
      <c r="BU137" s="206"/>
      <c r="BV137" s="207">
        <f>IFERROR(__xludf.DUMMYFUNCTION("AVERAGE(ARRAYFORMULA(XLOOKUP(FILTER(INDIRECT(""'""&amp;BV$1&amp;""'!$C$4:$C$66""),INDIRECT(""'""&amp;BV$1&amp;""'!$D$4:$D$66"")=BV$2),$G$3:$BQ$3,$G137:$BQ137)))"),-0.1891702357142857)</f>
        <v>-0.1891702357</v>
      </c>
      <c r="BW137" s="207" t="str">
        <f>IFERROR(__xludf.DUMMYFUNCTION("IF(OR(BV137&gt;$BS137+$BT137*$BT$2,BV137&lt;$BS137-$BT137*$BT$2),AVEDEV(ARRAYFORMULA(XLOOKUP(FILTER(INDIRECT(""'""&amp;BV$1&amp;""'!$C$4:$C$66""),INDIRECT(""'""&amp;BV$1&amp;""'!$D$4:$D$66"")=BV$2),$G$3:$BQ$3,$G137:$BQ137))),"""")"),"")</f>
        <v/>
      </c>
      <c r="BX137" s="207">
        <f>IFERROR(__xludf.DUMMYFUNCTION("AVERAGE(ARRAYFORMULA(XLOOKUP(FILTER(INDIRECT(""'""&amp;BX$1&amp;""'!$C$4:$C$66""),INDIRECT(""'""&amp;BX$1&amp;""'!$D$4:$D$66"")=BX$2),$G$3:$BQ$3,$G137:$BQ137)))"),0.4873966390476192)</f>
        <v>0.487396639</v>
      </c>
      <c r="BY137" s="207" t="str">
        <f>IFERROR(__xludf.DUMMYFUNCTION("IF(OR(BX137&gt;$BS137+$BT137*$BT$2,BX137&lt;$BS137-$BT137*$BT$2),AVEDEV(ARRAYFORMULA(XLOOKUP(FILTER(INDIRECT(""'""&amp;BX$1&amp;""'!$C$4:$C$66""),INDIRECT(""'""&amp;BX$1&amp;""'!$D$4:$D$66"")=BX$2),$G$3:$BQ$3,$G137:$BQ137))),"""")"),"")</f>
        <v/>
      </c>
      <c r="BZ137" s="207">
        <f>IFERROR(__xludf.DUMMYFUNCTION("AVERAGE(ARRAYFORMULA(XLOOKUP(FILTER(INDIRECT(""'""&amp;BZ$1&amp;""'!$C$4:$C$66""),INDIRECT(""'""&amp;BZ$1&amp;""'!$D$4:$D$66"")=BZ$2),$G$3:$BQ$3,$G137:$BQ137)))"),0.48101524272727275)</f>
        <v>0.4810152427</v>
      </c>
      <c r="CA137" s="207" t="str">
        <f>IFERROR(__xludf.DUMMYFUNCTION("IF(OR(BZ137&gt;$BS137+$BT137*$BT$2,BZ137&lt;$BS137-$BT137*$BT$2),AVEDEV(ARRAYFORMULA(XLOOKUP(FILTER(INDIRECT(""'""&amp;BZ$1&amp;""'!$C$4:$C$66""),INDIRECT(""'""&amp;BZ$1&amp;""'!$D$4:$D$66"")=BZ$2),$G$3:$BQ$3,$G137:$BQ137))),"""")"),"")</f>
        <v/>
      </c>
      <c r="CB137" s="209"/>
      <c r="CC137" s="207">
        <f>IFERROR(__xludf.DUMMYFUNCTION("AVERAGE(ARRAYFORMULA(XLOOKUP(FILTER(INDIRECT(""'""&amp;CC$1&amp;""'!$C$4:$C$66""),INDIRECT(""'""&amp;CC$1&amp;""'!$D$4:$D$66"")=CC$2),$G$3:$BQ$3,$G137:$BQ137)))"),-0.14874063562499995)</f>
        <v>-0.1487406356</v>
      </c>
      <c r="CD137" s="207" t="str">
        <f>IFERROR(__xludf.DUMMYFUNCTION("IF(OR(CC137&gt;$BS137+$BT137*$BT$2,CC137&lt;$BS137-$BT137*$BT$2),AVEDEV(ARRAYFORMULA(XLOOKUP(FILTER(INDIRECT(""'""&amp;CC$1&amp;""'!$C$4:$C$66""),INDIRECT(""'""&amp;CC$1&amp;""'!$D$4:$D$66"")=CC$2),$G$3:$BQ$3,$G137:$BQ137))),"""")"),"")</f>
        <v/>
      </c>
      <c r="CE137" s="207">
        <f>IFERROR(__xludf.DUMMYFUNCTION("AVERAGE(ARRAYFORMULA(XLOOKUP(FILTER(INDIRECT(""'""&amp;CE$1&amp;""'!$C$4:$C$66""),INDIRECT(""'""&amp;CE$1&amp;""'!$D$4:$D$66"")=CE$2),$G$3:$BQ$3,$G137:$BQ137)))"),0.44012362419354845)</f>
        <v>0.4401236242</v>
      </c>
      <c r="CF137" s="207" t="str">
        <f>IFERROR(__xludf.DUMMYFUNCTION("IF(OR(CE137&gt;$BS137+$BT137*$BT$2,CE137&lt;$BS137-$BT137*$BT$2),AVEDEV(ARRAYFORMULA(XLOOKUP(FILTER(INDIRECT(""'""&amp;CE$1&amp;""'!$C$4:$C$66""),INDIRECT(""'""&amp;CE$1&amp;""'!$D$4:$D$66"")=CE$2),$G$3:$BQ$3,$G137:$BQ137))),"""")"),"")</f>
        <v/>
      </c>
      <c r="CG137" s="207">
        <f>IFERROR(__xludf.DUMMYFUNCTION("AVERAGE(ARRAYFORMULA(XLOOKUP(FILTER(INDIRECT(""'""&amp;CG$1&amp;""'!$C$4:$C$66""),INDIRECT(""'""&amp;CG$1&amp;""'!$D$4:$D$66"")=CG$2),$G$3:$BQ$3,$G137:$BQ137)))"),3.078742516)</f>
        <v>3.078742516</v>
      </c>
      <c r="CH137" s="207" t="str">
        <f>IFERROR(__xludf.DUMMYFUNCTION("IF(OR(CG137&gt;$BS137+$BT137*$BT$2,CG137&lt;$BS137-$BT137*$BT$2),AVEDEV(ARRAYFORMULA(XLOOKUP(FILTER(INDIRECT(""'""&amp;CG$1&amp;""'!$C$4:$C$66""),INDIRECT(""'""&amp;CG$1&amp;""'!$D$4:$D$66"")=CG$2),$G$3:$BQ$3,$G137:$BQ137))),"""")"),"")</f>
        <v/>
      </c>
      <c r="CI137" s="206"/>
      <c r="CJ137" s="251">
        <f>IFERROR(__xludf.DUMMYFUNCTION("AVERAGE(ARRAYFORMULA(XLOOKUP(FILTER(INDIRECT(""'""&amp;CJ$1&amp;""'!$C$4:$C$66""),INDIRECT(""'""&amp;CJ$1&amp;""'!$D$4:$D$66"")=CJ$2),$G$3:$BQ$3,$G137:$BQ137)))"),0.020439124666666652)</f>
        <v>0.02043912467</v>
      </c>
      <c r="CK137" s="207" t="str">
        <f>IFERROR(__xludf.DUMMYFUNCTION("IF(OR(CJ137&gt;$BS137+$BT137*$BT$2,CJ137&lt;$BS137-$BT137*$BT$2),AVEDEV(ARRAYFORMULA(XLOOKUP(FILTER(INDIRECT(""'""&amp;CJ$1&amp;""'!$C$4:$C$66""),INDIRECT(""'""&amp;CJ$1&amp;""'!$D$4:$D$66"")=CJ$2),$G$3:$BQ$3,$G137:$BQ137))),"""")"),"")</f>
        <v/>
      </c>
      <c r="CL137" s="251">
        <f>IFERROR(__xludf.DUMMYFUNCTION("AVERAGE(ARRAYFORMULA(XLOOKUP(FILTER(INDIRECT(""'""&amp;CL$1&amp;""'!$C$4:$C$66""),INDIRECT(""'""&amp;CL$1&amp;""'!$D$4:$D$66"")=CL$2),$G$3:$BQ$3,$G137:$BQ137)))"),0.23174957974358984)</f>
        <v>0.2317495797</v>
      </c>
      <c r="CM137" s="207" t="str">
        <f>IFERROR(__xludf.DUMMYFUNCTION("IF(OR(CL137&gt;$BS137+$BT137*$BT$2,CL137&lt;$BS137-$BT137*$BT$2),AVEDEV(ARRAYFORMULA(XLOOKUP(FILTER(INDIRECT(""'""&amp;CL$1&amp;""'!$C$4:$C$66""),INDIRECT(""'""&amp;CL$1&amp;""'!$D$4:$D$66"")=CL$2),$G$3:$BQ$3,$G137:$BQ137))),"""")"),"")</f>
        <v/>
      </c>
      <c r="CN137" s="251">
        <f>IFERROR(__xludf.DUMMYFUNCTION("AVERAGE(ARRAYFORMULA(XLOOKUP(FILTER(INDIRECT(""'""&amp;CN$1&amp;""'!$C$4:$C$66""),INDIRECT(""'""&amp;CN$1&amp;""'!$D$4:$D$66"")=CN$2),$G$3:$BQ$3,$G137:$BQ137)))"),3.078742516)</f>
        <v>3.078742516</v>
      </c>
      <c r="CO137" s="207" t="str">
        <f>IFERROR(__xludf.DUMMYFUNCTION("IF(OR(CN137&gt;$BS137+$BT137*$BT$2,CN137&lt;$BS137-$BT137*$BT$2),AVEDEV(ARRAYFORMULA(XLOOKUP(FILTER(INDIRECT(""'""&amp;CN$1&amp;""'!$C$4:$C$66""),INDIRECT(""'""&amp;CN$1&amp;""'!$D$4:$D$66"")=CN$2),$G$3:$BQ$3,$G137:$BQ137))),"""")"),"")</f>
        <v/>
      </c>
      <c r="CP137" s="252"/>
      <c r="CQ137" s="251">
        <f>IFERROR(__xludf.DUMMYFUNCTION("AVERAGE(ARRAYFORMULA(XLOOKUP(FILTER(INDIRECT(""'""&amp;CQ$1&amp;""'!$C$4:$C$66""),INDIRECT(""'""&amp;CQ$1&amp;""'!$D$4:$D$66"")=CQ$2),$G$3:$BQ$3,$G137:$BQ137)))"),-0.12361847285714286)</f>
        <v>-0.1236184729</v>
      </c>
      <c r="CR137" s="207" t="str">
        <f>IFERROR(__xludf.DUMMYFUNCTION("IF(OR(CQ137&gt;$BS137+$BT137*$BT$2,CQ137&lt;$BS137-$BT137*$BT$2),AVEDEV(ARRAYFORMULA(XLOOKUP(FILTER(INDIRECT(""'""&amp;CQ$1&amp;""'!$C$4:$C$66""),INDIRECT(""'""&amp;CQ$1&amp;""'!$D$4:$D$66"")=CQ$2),$G$3:$BQ$3,$G137:$BQ137))),"""")"),"")</f>
        <v/>
      </c>
      <c r="CS137" s="251">
        <f>IFERROR(__xludf.DUMMYFUNCTION("AVERAGE(ARRAYFORMULA(XLOOKUP(FILTER(INDIRECT(""'""&amp;CS$1&amp;""'!$C$4:$C$66""),INDIRECT(""'""&amp;CS$1&amp;""'!$D$4:$D$66"")=CS$2),$G$3:$BQ$3,$G137:$BQ137)))"),0.49101796444444445)</f>
        <v>0.4910179644</v>
      </c>
      <c r="CT137" s="207" t="str">
        <f>IFERROR(__xludf.DUMMYFUNCTION("IF(OR(CS137&gt;$BS137+$BT137*$BT$2,CS137&lt;$BS137-$BT137*$BT$2),AVEDEV(ARRAYFORMULA(XLOOKUP(FILTER(INDIRECT(""'""&amp;CS$1&amp;""'!$C$4:$C$66""),INDIRECT(""'""&amp;CS$1&amp;""'!$D$4:$D$66"")=CS$2),$G$3:$BQ$3,$G137:$BQ137))),"""")"),"")</f>
        <v/>
      </c>
      <c r="CU137" s="251">
        <f>IFERROR(__xludf.DUMMYFUNCTION("AVERAGE(ARRAYFORMULA(XLOOKUP(FILTER(INDIRECT(""'""&amp;CU$1&amp;""'!$C$4:$C$66""),INDIRECT(""'""&amp;CU$1&amp;""'!$D$4:$D$66"")=CU$2),$G$3:$BQ$3,$G137:$BQ137)))"),0.3717202)</f>
        <v>0.3717202</v>
      </c>
      <c r="CV137" s="207" t="str">
        <f>IFERROR(__xludf.DUMMYFUNCTION("IF(OR(CU137&gt;$BS137+$BT137*$BT$2,CU137&lt;$BS137-$BT137*$BT$2),AVEDEV(ARRAYFORMULA(XLOOKUP(FILTER(INDIRECT(""'""&amp;CU$1&amp;""'!$C$4:$C$66""),INDIRECT(""'""&amp;CU$1&amp;""'!$D$4:$D$66"")=CU$2),$G$3:$BQ$3,$G137:$BQ137))),"""")"),"")</f>
        <v/>
      </c>
      <c r="CW137" s="251">
        <f>IFERROR(__xludf.DUMMYFUNCTION("AVERAGE(ARRAYFORMULA(XLOOKUP(FILTER(INDIRECT(""'""&amp;CW$1&amp;""'!$C$4:$C$66""),INDIRECT(""'""&amp;CW$1&amp;""'!$D$4:$D$66"")=CW$2),$G$3:$BQ$3,$G137:$BQ137)))"),3.89221557)</f>
        <v>3.89221557</v>
      </c>
      <c r="CX137" s="207" t="str">
        <f>IFERROR(__xludf.DUMMYFUNCTION("IF(OR(CW137&gt;$BS137+$BT137*$BT$2,CW137&lt;$BS137-$BT137*$BT$2),AVEDEV(ARRAYFORMULA(XLOOKUP(FILTER(INDIRECT(""'""&amp;CW$1&amp;""'!$C$4:$C$66""),INDIRECT(""'""&amp;CW$1&amp;""'!$D$4:$D$66"")=CW$2),$G$3:$BQ$3,$G137:$BQ137))),"""")"),"")</f>
        <v/>
      </c>
      <c r="CY137" s="251">
        <f>IFERROR(__xludf.DUMMYFUNCTION("AVERAGE(ARRAYFORMULA(XLOOKUP(FILTER(INDIRECT(""'""&amp;CY$1&amp;""'!$C$4:$C$66""),INDIRECT(""'""&amp;CY$1&amp;""'!$D$4:$D$66"")=CY$2),$G$3:$BQ$3,$G137:$BQ137)))"),-0.044563727857142854)</f>
        <v>-0.04456372786</v>
      </c>
      <c r="CZ137" s="207" t="str">
        <f>IFERROR(__xludf.DUMMYFUNCTION("IF(OR(CY137&gt;$BS137+$BT137*$BT$2,CY137&lt;$BS137-$BT137*$BT$2),AVEDEV(ARRAYFORMULA(XLOOKUP(FILTER(INDIRECT(""'""&amp;CY$1&amp;""'!$C$4:$C$66""),INDIRECT(""'""&amp;CY$1&amp;""'!$D$4:$D$66"")=CY$2),$G$3:$BQ$3,$G137:$BQ137))),"""")"),"")</f>
        <v/>
      </c>
      <c r="DA137" s="252"/>
      <c r="DB137" s="251">
        <f>IFERROR(__xludf.DUMMYFUNCTION("AVERAGE(ARRAYFORMULA(XLOOKUP(FILTER(INDIRECT(""'""&amp;DB$1&amp;""'!$C$4:$C$66""),INDIRECT(""'""&amp;DB$1&amp;""'!$D$4:$D$66"")=DB$2),$G$3:$BQ$3,$G137:$BQ137)))"),-0.08714569866666667)</f>
        <v>-0.08714569867</v>
      </c>
      <c r="DC137" s="207" t="str">
        <f>IFERROR(__xludf.DUMMYFUNCTION("IF(OR(DB137&gt;$BS137+$BT137*$BT$2,DB137&lt;$BS137-$BT137*$BT$2),AVEDEV(ARRAYFORMULA(XLOOKUP(FILTER(INDIRECT(""'""&amp;DB$1&amp;""'!$C$4:$C$66""),INDIRECT(""'""&amp;DB$1&amp;""'!$D$4:$D$66"")=DB$2),$G$3:$BQ$3,$G137:$BQ137))),"""")"),"")</f>
        <v/>
      </c>
      <c r="DD137" s="251">
        <f>IFERROR(__xludf.DUMMYFUNCTION("AVERAGE(ARRAYFORMULA(XLOOKUP(FILTER(INDIRECT(""'""&amp;DD$1&amp;""'!$C$4:$C$66""),INDIRECT(""'""&amp;DD$1&amp;""'!$D$4:$D$66"")=DD$2),$G$3:$BQ$3,$G137:$BQ137)))"),0.5861111122222222)</f>
        <v>0.5861111122</v>
      </c>
      <c r="DE137" s="207" t="str">
        <f>IFERROR(__xludf.DUMMYFUNCTION("IF(OR(DD137&gt;$BS137+$BT137*$BT$2,DD137&lt;$BS137-$BT137*$BT$2),AVEDEV(ARRAYFORMULA(XLOOKUP(FILTER(INDIRECT(""'""&amp;DD$1&amp;""'!$C$4:$C$66""),INDIRECT(""'""&amp;DD$1&amp;""'!$D$4:$D$66"")=DD$2),$G$3:$BQ$3,$G137:$BQ137))),"""")"),"")</f>
        <v/>
      </c>
      <c r="DF137" s="251">
        <f>IFERROR(__xludf.DUMMYFUNCTION("AVERAGE(ARRAYFORMULA(XLOOKUP(FILTER(INDIRECT(""'""&amp;DF$1&amp;""'!$C$4:$C$66""),INDIRECT(""'""&amp;DF$1&amp;""'!$D$4:$D$66"")=DF$2),$G$3:$BQ$3,$G137:$BQ137)))"),0.05947603999999998)</f>
        <v>0.05947604</v>
      </c>
      <c r="DG137" s="207" t="str">
        <f>IFERROR(__xludf.DUMMYFUNCTION("IF(OR(DF137&gt;$BS137+$BT137*$BT$2,DF137&lt;$BS137-$BT137*$BT$2),AVEDEV(ARRAYFORMULA(XLOOKUP(FILTER(INDIRECT(""'""&amp;DF$1&amp;""'!$C$4:$C$66""),INDIRECT(""'""&amp;DF$1&amp;""'!$D$4:$D$66"")=DF$2),$G$3:$BQ$3,$G137:$BQ137))),"""")"),"")</f>
        <v/>
      </c>
      <c r="DH137" s="251">
        <f>IFERROR(__xludf.DUMMYFUNCTION("AVERAGE(ARRAYFORMULA(XLOOKUP(FILTER(INDIRECT(""'""&amp;DH$1&amp;""'!$C$4:$C$66""),INDIRECT(""'""&amp;DH$1&amp;""'!$D$4:$D$66"")=DH$2),$G$3:$BQ$3,$G137:$BQ137)))"),2.5011643322222223)</f>
        <v>2.501164332</v>
      </c>
      <c r="DI137" s="207" t="str">
        <f>IFERROR(__xludf.DUMMYFUNCTION("IF(OR(DH137&gt;$BS137+$BT137*$BT$2,DH137&lt;$BS137-$BT137*$BT$2),AVEDEV(ARRAYFORMULA(XLOOKUP(FILTER(INDIRECT(""'""&amp;DH$1&amp;""'!$C$4:$C$66""),INDIRECT(""'""&amp;DH$1&amp;""'!$D$4:$D$66"")=DH$2),$G$3:$BQ$3,$G137:$BQ137))),"""")"),"")</f>
        <v/>
      </c>
      <c r="DJ137" s="243"/>
    </row>
    <row r="138">
      <c r="A138" s="2"/>
      <c r="B138" s="204">
        <v>134.0</v>
      </c>
      <c r="C138" s="204" t="s">
        <v>540</v>
      </c>
      <c r="D138" s="204" t="s">
        <v>580</v>
      </c>
      <c r="E138" s="205" t="b">
        <f>VLOOKUP(D138,'Feature Set List'!A135:C246,2,0)</f>
        <v>1</v>
      </c>
      <c r="F138" s="205" t="b">
        <f>VLOOKUP(D138,'Feature Set List'!A135:C246,3,0)</f>
        <v>0</v>
      </c>
      <c r="G138" s="205">
        <v>1.59051273</v>
      </c>
      <c r="H138" s="205">
        <v>-0.3390303</v>
      </c>
      <c r="I138" s="205">
        <v>-0.7115452</v>
      </c>
      <c r="J138" s="205">
        <v>0.10115103</v>
      </c>
      <c r="K138" s="205">
        <v>-0.9264039</v>
      </c>
      <c r="L138" s="205">
        <v>1.03662365</v>
      </c>
      <c r="M138" s="205">
        <v>-0.2936868</v>
      </c>
      <c r="N138" s="205">
        <v>0.42762469</v>
      </c>
      <c r="O138" s="205">
        <v>-0.2608999</v>
      </c>
      <c r="P138" s="205">
        <v>0.26299268</v>
      </c>
      <c r="Q138" s="205">
        <v>-0.9550052</v>
      </c>
      <c r="R138" s="205">
        <v>-1.5488664</v>
      </c>
      <c r="S138" s="205">
        <v>0.07743286</v>
      </c>
      <c r="T138" s="205">
        <v>0.69410534</v>
      </c>
      <c r="U138" s="205">
        <v>-0.1974189</v>
      </c>
      <c r="V138" s="205">
        <v>-0.8789676</v>
      </c>
      <c r="W138" s="205">
        <v>0.0</v>
      </c>
      <c r="X138" s="205">
        <v>1.8018835</v>
      </c>
      <c r="Y138" s="205">
        <v>0.09766306</v>
      </c>
      <c r="Z138" s="205">
        <v>0.47436345</v>
      </c>
      <c r="AA138" s="205">
        <v>-0.1450994</v>
      </c>
      <c r="AB138" s="205">
        <v>0.42622951</v>
      </c>
      <c r="AC138" s="205">
        <v>2.45483083</v>
      </c>
      <c r="AD138" s="205">
        <v>0.12347401</v>
      </c>
      <c r="AE138" s="205">
        <v>0.64248343</v>
      </c>
      <c r="AF138" s="205">
        <v>-0.018835</v>
      </c>
      <c r="AG138" s="205">
        <v>0.72619463</v>
      </c>
      <c r="AH138" s="205">
        <v>0.3439135</v>
      </c>
      <c r="AI138" s="205">
        <v>-0.3341472</v>
      </c>
      <c r="AJ138" s="205">
        <v>-0.0279037</v>
      </c>
      <c r="AK138" s="205">
        <v>-0.2560167</v>
      </c>
      <c r="AL138" s="205">
        <v>-0.463202</v>
      </c>
      <c r="AM138" s="205">
        <v>-0.1848622</v>
      </c>
      <c r="AN138" s="205">
        <v>-1.04639</v>
      </c>
      <c r="AO138" s="205">
        <v>-1.6050924</v>
      </c>
      <c r="AP138" s="205">
        <v>-0.837112</v>
      </c>
      <c r="AQ138" s="205">
        <v>0.17788629</v>
      </c>
      <c r="AR138" s="205">
        <v>-0.4046041</v>
      </c>
      <c r="AS138" s="205">
        <v>-0.0418556</v>
      </c>
      <c r="AT138" s="205">
        <v>-0.5280781</v>
      </c>
      <c r="AU138" s="205">
        <v>1.02895012</v>
      </c>
      <c r="AV138" s="205">
        <v>-0.7129404</v>
      </c>
      <c r="AW138" s="205">
        <v>1.40006976</v>
      </c>
      <c r="AX138" s="205">
        <v>-0.4199512</v>
      </c>
      <c r="AY138" s="205">
        <v>-0.1116149</v>
      </c>
      <c r="AZ138" s="205">
        <v>-0.6975933</v>
      </c>
      <c r="BA138" s="205">
        <v>0.9996512</v>
      </c>
      <c r="BB138" s="205">
        <v>0.44087897</v>
      </c>
      <c r="BC138" s="205">
        <v>-0.0844088</v>
      </c>
      <c r="BD138" s="205">
        <v>6.13184513</v>
      </c>
      <c r="BE138" s="205">
        <v>0.90687129</v>
      </c>
      <c r="BF138" s="205">
        <v>0.728985</v>
      </c>
      <c r="BG138" s="205">
        <v>0.46320195</v>
      </c>
      <c r="BH138" s="205">
        <v>0.89361702</v>
      </c>
      <c r="BI138" s="205">
        <v>-0.5650506</v>
      </c>
      <c r="BJ138" s="205">
        <v>0.01674224</v>
      </c>
      <c r="BK138" s="205">
        <v>-1.4610394</v>
      </c>
      <c r="BL138" s="205">
        <v>-1.1733519</v>
      </c>
      <c r="BM138" s="205">
        <v>1.56330659</v>
      </c>
      <c r="BN138" s="205">
        <v>0.14858737</v>
      </c>
      <c r="BO138" s="205">
        <v>2.24764562</v>
      </c>
      <c r="BP138" s="205">
        <v>0.42762469</v>
      </c>
      <c r="BQ138" s="205">
        <v>-0.5580746</v>
      </c>
      <c r="BR138" s="206"/>
      <c r="BS138" s="250">
        <f t="shared" si="1"/>
        <v>0.1756872133</v>
      </c>
      <c r="BT138" s="250">
        <f t="shared" si="2"/>
        <v>0.7587336901</v>
      </c>
      <c r="BU138" s="206"/>
      <c r="BV138" s="207">
        <f>IFERROR(__xludf.DUMMYFUNCTION("AVERAGE(ARRAYFORMULA(XLOOKUP(FILTER(INDIRECT(""'""&amp;BV$1&amp;""'!$C$4:$C$66""),INDIRECT(""'""&amp;BV$1&amp;""'!$D$4:$D$66"")=BV$2),$G$3:$BQ$3,$G138:$BQ138)))"),0.008879379999999961)</f>
        <v>0.00887938</v>
      </c>
      <c r="BW138" s="207" t="str">
        <f>IFERROR(__xludf.DUMMYFUNCTION("IF(OR(BV138&gt;$BS138+$BT138*$BT$2,BV138&lt;$BS138-$BT138*$BT$2),AVEDEV(ARRAYFORMULA(XLOOKUP(FILTER(INDIRECT(""'""&amp;BV$1&amp;""'!$C$4:$C$66""),INDIRECT(""'""&amp;BV$1&amp;""'!$D$4:$D$66"")=BV$2),$G$3:$BQ$3,$G138:$BQ138))),"""")"),"")</f>
        <v/>
      </c>
      <c r="BX138" s="207">
        <f>IFERROR(__xludf.DUMMYFUNCTION("AVERAGE(ARRAYFORMULA(XLOOKUP(FILTER(INDIRECT(""'""&amp;BX$1&amp;""'!$C$4:$C$66""),INDIRECT(""'""&amp;BX$1&amp;""'!$D$4:$D$66"")=BX$2),$G$3:$BQ$3,$G138:$BQ138)))"),-0.016139319523809505)</f>
        <v>-0.01613931952</v>
      </c>
      <c r="BY138" s="207" t="str">
        <f>IFERROR(__xludf.DUMMYFUNCTION("IF(OR(BX138&gt;$BS138+$BT138*$BT$2,BX138&lt;$BS138-$BT138*$BT$2),AVEDEV(ARRAYFORMULA(XLOOKUP(FILTER(INDIRECT(""'""&amp;BX$1&amp;""'!$C$4:$C$66""),INDIRECT(""'""&amp;BX$1&amp;""'!$D$4:$D$66"")=BX$2),$G$3:$BQ$3,$G138:$BQ138))),"""")"),"")</f>
        <v/>
      </c>
      <c r="BZ138" s="207">
        <f>IFERROR(__xludf.DUMMYFUNCTION("AVERAGE(ARRAYFORMULA(XLOOKUP(FILTER(INDIRECT(""'""&amp;BZ$1&amp;""'!$C$4:$C$66""),INDIRECT(""'""&amp;BZ$1&amp;""'!$D$4:$D$66"")=BZ$2),$G$3:$BQ$3,$G138:$BQ138)))"),0.4758854681818182)</f>
        <v>0.4758854682</v>
      </c>
      <c r="CA138" s="207" t="str">
        <f>IFERROR(__xludf.DUMMYFUNCTION("IF(OR(BZ138&gt;$BS138+$BT138*$BT$2,BZ138&lt;$BS138-$BT138*$BT$2),AVEDEV(ARRAYFORMULA(XLOOKUP(FILTER(INDIRECT(""'""&amp;BZ$1&amp;""'!$C$4:$C$66""),INDIRECT(""'""&amp;BZ$1&amp;""'!$D$4:$D$66"")=BZ$2),$G$3:$BQ$3,$G138:$BQ138))),"""")"),"")</f>
        <v/>
      </c>
      <c r="CB138" s="209"/>
      <c r="CC138" s="207">
        <f>IFERROR(__xludf.DUMMYFUNCTION("AVERAGE(ARRAYFORMULA(XLOOKUP(FILTER(INDIRECT(""'""&amp;CC$1&amp;""'!$C$4:$C$66""),INDIRECT(""'""&amp;CC$1&amp;""'!$D$4:$D$66"")=CC$2),$G$3:$BQ$3,$G138:$BQ138)))"),0.021756193750000027)</f>
        <v>0.02175619375</v>
      </c>
      <c r="CD138" s="207" t="str">
        <f>IFERROR(__xludf.DUMMYFUNCTION("IF(OR(CC138&gt;$BS138+$BT138*$BT$2,CC138&lt;$BS138-$BT138*$BT$2),AVEDEV(ARRAYFORMULA(XLOOKUP(FILTER(INDIRECT(""'""&amp;CC$1&amp;""'!$C$4:$C$66""),INDIRECT(""'""&amp;CC$1&amp;""'!$D$4:$D$66"")=CC$2),$G$3:$BQ$3,$G138:$BQ138))),"""")"),"")</f>
        <v/>
      </c>
      <c r="CE138" s="207">
        <f>IFERROR(__xludf.DUMMYFUNCTION("AVERAGE(ARRAYFORMULA(XLOOKUP(FILTER(INDIRECT(""'""&amp;CE$1&amp;""'!$C$4:$C$66""),INDIRECT(""'""&amp;CE$1&amp;""'!$D$4:$D$66"")=CE$2),$G$3:$BQ$3,$G138:$BQ138)))"),-0.05508061677419356)</f>
        <v>-0.05508061677</v>
      </c>
      <c r="CF138" s="207" t="str">
        <f>IFERROR(__xludf.DUMMYFUNCTION("IF(OR(CE138&gt;$BS138+$BT138*$BT$2,CE138&lt;$BS138-$BT138*$BT$2),AVEDEV(ARRAYFORMULA(XLOOKUP(FILTER(INDIRECT(""'""&amp;CE$1&amp;""'!$C$4:$C$66""),INDIRECT(""'""&amp;CE$1&amp;""'!$D$4:$D$66"")=CE$2),$G$3:$BQ$3,$G138:$BQ138))),"""")"),"")</f>
        <v/>
      </c>
      <c r="CG138" s="207">
        <f>IFERROR(__xludf.DUMMYFUNCTION("AVERAGE(ARRAYFORMULA(XLOOKUP(FILTER(INDIRECT(""'""&amp;CG$1&amp;""'!$C$4:$C$66""),INDIRECT(""'""&amp;CG$1&amp;""'!$D$4:$D$66"")=CG$2),$G$3:$BQ$3,$G138:$BQ138)))"),0.475619114)</f>
        <v>0.475619114</v>
      </c>
      <c r="CH138" s="207" t="str">
        <f>IFERROR(__xludf.DUMMYFUNCTION("IF(OR(CG138&gt;$BS138+$BT138*$BT$2,CG138&lt;$BS138-$BT138*$BT$2),AVEDEV(ARRAYFORMULA(XLOOKUP(FILTER(INDIRECT(""'""&amp;CG$1&amp;""'!$C$4:$C$66""),INDIRECT(""'""&amp;CG$1&amp;""'!$D$4:$D$66"")=CG$2),$G$3:$BQ$3,$G138:$BQ138))),"""")"),"")</f>
        <v/>
      </c>
      <c r="CI138" s="206"/>
      <c r="CJ138" s="251">
        <f>IFERROR(__xludf.DUMMYFUNCTION("AVERAGE(ARRAYFORMULA(XLOOKUP(FILTER(INDIRECT(""'""&amp;CJ$1&amp;""'!$C$4:$C$66""),INDIRECT(""'""&amp;CJ$1&amp;""'!$D$4:$D$66"")=CJ$2),$G$3:$BQ$3,$G138:$BQ138)))"),0.8048831546666667)</f>
        <v>0.8048831547</v>
      </c>
      <c r="CK138" s="207" t="str">
        <f>IFERROR(__xludf.DUMMYFUNCTION("IF(OR(CJ138&gt;$BS138+$BT138*$BT$2,CJ138&lt;$BS138-$BT138*$BT$2),AVEDEV(ARRAYFORMULA(XLOOKUP(FILTER(INDIRECT(""'""&amp;CJ$1&amp;""'!$C$4:$C$66""),INDIRECT(""'""&amp;CJ$1&amp;""'!$D$4:$D$66"")=CJ$2),$G$3:$BQ$3,$G138:$BQ138))),"""")"),"")</f>
        <v/>
      </c>
      <c r="CL138" s="251">
        <f>IFERROR(__xludf.DUMMYFUNCTION("AVERAGE(ARRAYFORMULA(XLOOKUP(FILTER(INDIRECT(""'""&amp;CL$1&amp;""'!$C$4:$C$66""),INDIRECT(""'""&amp;CL$1&amp;""'!$D$4:$D$66"")=CL$2),$G$3:$BQ$3,$G138:$BQ138)))"),-0.2220242717948718)</f>
        <v>-0.2220242718</v>
      </c>
      <c r="CM138" s="207" t="str">
        <f>IFERROR(__xludf.DUMMYFUNCTION("IF(OR(CL138&gt;$BS138+$BT138*$BT$2,CL138&lt;$BS138-$BT138*$BT$2),AVEDEV(ARRAYFORMULA(XLOOKUP(FILTER(INDIRECT(""'""&amp;CL$1&amp;""'!$C$4:$C$66""),INDIRECT(""'""&amp;CL$1&amp;""'!$D$4:$D$66"")=CL$2),$G$3:$BQ$3,$G138:$BQ138))),"""")"),"")</f>
        <v/>
      </c>
      <c r="CN138" s="251">
        <f>IFERROR(__xludf.DUMMYFUNCTION("AVERAGE(ARRAYFORMULA(XLOOKUP(FILTER(INDIRECT(""'""&amp;CN$1&amp;""'!$C$4:$C$66""),INDIRECT(""'""&amp;CN$1&amp;""'!$D$4:$D$66"")=CN$2),$G$3:$BQ$3,$G138:$BQ138)))"),0.475619114)</f>
        <v>0.475619114</v>
      </c>
      <c r="CO138" s="207" t="str">
        <f>IFERROR(__xludf.DUMMYFUNCTION("IF(OR(CN138&gt;$BS138+$BT138*$BT$2,CN138&lt;$BS138-$BT138*$BT$2),AVEDEV(ARRAYFORMULA(XLOOKUP(FILTER(INDIRECT(""'""&amp;CN$1&amp;""'!$C$4:$C$66""),INDIRECT(""'""&amp;CN$1&amp;""'!$D$4:$D$66"")=CN$2),$G$3:$BQ$3,$G138:$BQ138))),"""")"),"")</f>
        <v/>
      </c>
      <c r="CP138" s="252"/>
      <c r="CQ138" s="251">
        <f>IFERROR(__xludf.DUMMYFUNCTION("AVERAGE(ARRAYFORMULA(XLOOKUP(FILTER(INDIRECT(""'""&amp;CQ$1&amp;""'!$C$4:$C$66""),INDIRECT(""'""&amp;CQ$1&amp;""'!$D$4:$D$66"")=CQ$2),$G$3:$BQ$3,$G138:$BQ138)))"),-0.026080026428571396)</f>
        <v>-0.02608002643</v>
      </c>
      <c r="CR138" s="207" t="str">
        <f>IFERROR(__xludf.DUMMYFUNCTION("IF(OR(CQ138&gt;$BS138+$BT138*$BT$2,CQ138&lt;$BS138-$BT138*$BT$2),AVEDEV(ARRAYFORMULA(XLOOKUP(FILTER(INDIRECT(""'""&amp;CQ$1&amp;""'!$C$4:$C$66""),INDIRECT(""'""&amp;CQ$1&amp;""'!$D$4:$D$66"")=CQ$2),$G$3:$BQ$3,$G138:$BQ138))),"""")"),"")</f>
        <v/>
      </c>
      <c r="CS138" s="251">
        <f>IFERROR(__xludf.DUMMYFUNCTION("AVERAGE(ARRAYFORMULA(XLOOKUP(FILTER(INDIRECT(""'""&amp;CS$1&amp;""'!$C$4:$C$66""),INDIRECT(""'""&amp;CS$1&amp;""'!$D$4:$D$66"")=CS$2),$G$3:$BQ$3,$G138:$BQ138)))"),0.48544742888888887)</f>
        <v>0.4854474289</v>
      </c>
      <c r="CT138" s="207" t="str">
        <f>IFERROR(__xludf.DUMMYFUNCTION("IF(OR(CS138&gt;$BS138+$BT138*$BT$2,CS138&lt;$BS138-$BT138*$BT$2),AVEDEV(ARRAYFORMULA(XLOOKUP(FILTER(INDIRECT(""'""&amp;CS$1&amp;""'!$C$4:$C$66""),INDIRECT(""'""&amp;CS$1&amp;""'!$D$4:$D$66"")=CS$2),$G$3:$BQ$3,$G138:$BQ138))),"""")"),"")</f>
        <v/>
      </c>
      <c r="CU138" s="251">
        <f>IFERROR(__xludf.DUMMYFUNCTION("AVERAGE(ARRAYFORMULA(XLOOKUP(FILTER(INDIRECT(""'""&amp;CU$1&amp;""'!$C$4:$C$66""),INDIRECT(""'""&amp;CU$1&amp;""'!$D$4:$D$66"")=CU$2),$G$3:$BQ$3,$G138:$BQ138)))"),0.3404255336363637)</f>
        <v>0.3404255336</v>
      </c>
      <c r="CV138" s="207" t="str">
        <f>IFERROR(__xludf.DUMMYFUNCTION("IF(OR(CU138&gt;$BS138+$BT138*$BT$2,CU138&lt;$BS138-$BT138*$BT$2),AVEDEV(ARRAYFORMULA(XLOOKUP(FILTER(INDIRECT(""'""&amp;CU$1&amp;""'!$C$4:$C$66""),INDIRECT(""'""&amp;CU$1&amp;""'!$D$4:$D$66"")=CU$2),$G$3:$BQ$3,$G138:$BQ138))),"""")"),"")</f>
        <v/>
      </c>
      <c r="CW138" s="251">
        <f>IFERROR(__xludf.DUMMYFUNCTION("AVERAGE(ARRAYFORMULA(XLOOKUP(FILTER(INDIRECT(""'""&amp;CW$1&amp;""'!$C$4:$C$66""),INDIRECT(""'""&amp;CW$1&amp;""'!$D$4:$D$66"")=CW$2),$G$3:$BQ$3,$G138:$BQ138)))"),0.508545515)</f>
        <v>0.508545515</v>
      </c>
      <c r="CX138" s="207" t="str">
        <f>IFERROR(__xludf.DUMMYFUNCTION("IF(OR(CW138&gt;$BS138+$BT138*$BT$2,CW138&lt;$BS138-$BT138*$BT$2),AVEDEV(ARRAYFORMULA(XLOOKUP(FILTER(INDIRECT(""'""&amp;CW$1&amp;""'!$C$4:$C$66""),INDIRECT(""'""&amp;CW$1&amp;""'!$D$4:$D$66"")=CW$2),$G$3:$BQ$3,$G138:$BQ138))),"""")"),"")</f>
        <v/>
      </c>
      <c r="CY138" s="251">
        <f>IFERROR(__xludf.DUMMYFUNCTION("AVERAGE(ARRAYFORMULA(XLOOKUP(FILTER(INDIRECT(""'""&amp;CY$1&amp;""'!$C$4:$C$66""),INDIRECT(""'""&amp;CY$1&amp;""'!$D$4:$D$66"")=CY$2),$G$3:$BQ$3,$G138:$BQ138)))"),-0.34313119642857143)</f>
        <v>-0.3431311964</v>
      </c>
      <c r="CZ138" s="207" t="str">
        <f>IFERROR(__xludf.DUMMYFUNCTION("IF(OR(CY138&gt;$BS138+$BT138*$BT$2,CY138&lt;$BS138-$BT138*$BT$2),AVEDEV(ARRAYFORMULA(XLOOKUP(FILTER(INDIRECT(""'""&amp;CY$1&amp;""'!$C$4:$C$66""),INDIRECT(""'""&amp;CY$1&amp;""'!$D$4:$D$66"")=CY$2),$G$3:$BQ$3,$G138:$BQ138))),"""")"),"")</f>
        <v/>
      </c>
      <c r="DA138" s="252"/>
      <c r="DB138" s="251">
        <f>IFERROR(__xludf.DUMMYFUNCTION("AVERAGE(ARRAYFORMULA(XLOOKUP(FILTER(INDIRECT(""'""&amp;DB$1&amp;""'!$C$4:$C$66""),INDIRECT(""'""&amp;DB$1&amp;""'!$D$4:$D$66"")=DB$2),$G$3:$BQ$3,$G138:$BQ138)))"),-0.029796536666666658)</f>
        <v>-0.02979653667</v>
      </c>
      <c r="DC138" s="207" t="str">
        <f>IFERROR(__xludf.DUMMYFUNCTION("IF(OR(DB138&gt;$BS138+$BT138*$BT$2,DB138&lt;$BS138-$BT138*$BT$2),AVEDEV(ARRAYFORMULA(XLOOKUP(FILTER(INDIRECT(""'""&amp;DB$1&amp;""'!$C$4:$C$66""),INDIRECT(""'""&amp;DB$1&amp;""'!$D$4:$D$66"")=DB$2),$G$3:$BQ$3,$G138:$BQ138))),"""")"),"")</f>
        <v/>
      </c>
      <c r="DD138" s="251">
        <f>IFERROR(__xludf.DUMMYFUNCTION("AVERAGE(ARRAYFORMULA(XLOOKUP(FILTER(INDIRECT(""'""&amp;DD$1&amp;""'!$C$4:$C$66""),INDIRECT(""'""&amp;DD$1&amp;""'!$D$4:$D$66"")=DD$2),$G$3:$BQ$3,$G138:$BQ138)))"),0.5711738877777778)</f>
        <v>0.5711738878</v>
      </c>
      <c r="DE138" s="207" t="str">
        <f>IFERROR(__xludf.DUMMYFUNCTION("IF(OR(DD138&gt;$BS138+$BT138*$BT$2,DD138&lt;$BS138-$BT138*$BT$2),AVEDEV(ARRAYFORMULA(XLOOKUP(FILTER(INDIRECT(""'""&amp;DD$1&amp;""'!$C$4:$C$66""),INDIRECT(""'""&amp;DD$1&amp;""'!$D$4:$D$66"")=DD$2),$G$3:$BQ$3,$G138:$BQ138))),"""")"),"")</f>
        <v/>
      </c>
      <c r="DF138" s="251">
        <f>IFERROR(__xludf.DUMMYFUNCTION("AVERAGE(ARRAYFORMULA(XLOOKUP(FILTER(INDIRECT(""'""&amp;DF$1&amp;""'!$C$4:$C$66""),INDIRECT(""'""&amp;DF$1&amp;""'!$D$4:$D$66"")=DF$2),$G$3:$BQ$3,$G138:$BQ138)))"),-0.363995455)</f>
        <v>-0.363995455</v>
      </c>
      <c r="DG138" s="207" t="str">
        <f>IFERROR(__xludf.DUMMYFUNCTION("IF(OR(DF138&gt;$BS138+$BT138*$BT$2,DF138&lt;$BS138-$BT138*$BT$2),AVEDEV(ARRAYFORMULA(XLOOKUP(FILTER(INDIRECT(""'""&amp;DF$1&amp;""'!$C$4:$C$66""),INDIRECT(""'""&amp;DF$1&amp;""'!$D$4:$D$66"")=DF$2),$G$3:$BQ$3,$G138:$BQ138))),"""")"),"")</f>
        <v/>
      </c>
      <c r="DH138" s="251">
        <f>IFERROR(__xludf.DUMMYFUNCTION("AVERAGE(ARRAYFORMULA(XLOOKUP(FILTER(INDIRECT(""'""&amp;DH$1&amp;""'!$C$4:$C$66""),INDIRECT(""'""&amp;DH$1&amp;""'!$D$4:$D$66"")=DH$2),$G$3:$BQ$3,$G138:$BQ138)))"),0.5183893377777777)</f>
        <v>0.5183893378</v>
      </c>
      <c r="DI138" s="207" t="str">
        <f>IFERROR(__xludf.DUMMYFUNCTION("IF(OR(DH138&gt;$BS138+$BT138*$BT$2,DH138&lt;$BS138-$BT138*$BT$2),AVEDEV(ARRAYFORMULA(XLOOKUP(FILTER(INDIRECT(""'""&amp;DH$1&amp;""'!$C$4:$C$66""),INDIRECT(""'""&amp;DH$1&amp;""'!$D$4:$D$66"")=DH$2),$G$3:$BQ$3,$G138:$BQ138))),"""")"),"")</f>
        <v/>
      </c>
      <c r="DJ138" s="243"/>
    </row>
    <row r="139">
      <c r="A139" s="2"/>
      <c r="B139" s="204">
        <v>135.0</v>
      </c>
      <c r="C139" s="204" t="s">
        <v>540</v>
      </c>
      <c r="D139" s="204" t="s">
        <v>581</v>
      </c>
      <c r="E139" s="205" t="b">
        <f>VLOOKUP(D139,'Feature Set List'!A136:C246,2,0)</f>
        <v>1</v>
      </c>
      <c r="F139" s="205" t="b">
        <f>VLOOKUP(D139,'Feature Set List'!A136:C246,3,0)</f>
        <v>1</v>
      </c>
      <c r="G139" s="205">
        <v>-0.1470291</v>
      </c>
      <c r="H139" s="205">
        <v>1.18469445</v>
      </c>
      <c r="I139" s="205">
        <v>-0.1493406</v>
      </c>
      <c r="J139" s="205">
        <v>-0.0703775</v>
      </c>
      <c r="K139" s="205">
        <v>-0.1925165</v>
      </c>
      <c r="L139" s="205">
        <v>-0.249644</v>
      </c>
      <c r="M139" s="205">
        <v>-0.0518853</v>
      </c>
      <c r="N139" s="205">
        <v>0.25595938</v>
      </c>
      <c r="O139" s="205">
        <v>-0.2954616</v>
      </c>
      <c r="P139" s="205">
        <v>-0.1866551</v>
      </c>
      <c r="Q139" s="205">
        <v>-0.2392009</v>
      </c>
      <c r="R139" s="205">
        <v>0.53292882</v>
      </c>
      <c r="S139" s="205">
        <v>0.6204363</v>
      </c>
      <c r="T139" s="205">
        <v>2.90966504</v>
      </c>
      <c r="U139" s="205">
        <v>-0.2082843</v>
      </c>
      <c r="V139" s="205">
        <v>-0.1861185</v>
      </c>
      <c r="W139" s="205">
        <v>-0.1998225</v>
      </c>
      <c r="X139" s="205">
        <v>0.40455699</v>
      </c>
      <c r="Y139" s="205">
        <v>1.44474026</v>
      </c>
      <c r="Z139" s="205">
        <v>0.17340516</v>
      </c>
      <c r="AA139" s="205">
        <v>0.40001651</v>
      </c>
      <c r="AB139" s="205">
        <v>-0.2590552</v>
      </c>
      <c r="AC139" s="205">
        <v>-0.0584071</v>
      </c>
      <c r="AD139" s="205">
        <v>3.63738055</v>
      </c>
      <c r="AE139" s="205">
        <v>3.8755495</v>
      </c>
      <c r="AF139" s="205">
        <v>1.52357955</v>
      </c>
      <c r="AG139" s="205">
        <v>-0.2862155</v>
      </c>
      <c r="AH139" s="205">
        <v>0.0</v>
      </c>
      <c r="AI139" s="205">
        <v>-0.1553671</v>
      </c>
      <c r="AJ139" s="205">
        <v>-0.2135265</v>
      </c>
      <c r="AK139" s="205">
        <v>0.48257074</v>
      </c>
      <c r="AL139" s="205">
        <v>0.0883743</v>
      </c>
      <c r="AM139" s="205">
        <v>0.71165872</v>
      </c>
      <c r="AN139" s="205">
        <v>0.66873052</v>
      </c>
      <c r="AO139" s="205">
        <v>-0.0525458</v>
      </c>
      <c r="AP139" s="205">
        <v>0.17959672</v>
      </c>
      <c r="AQ139" s="205">
        <v>-0.1964378</v>
      </c>
      <c r="AR139" s="205">
        <v>1.00844117</v>
      </c>
      <c r="AS139" s="205">
        <v>1.82655357</v>
      </c>
      <c r="AT139" s="205">
        <v>-0.1258952</v>
      </c>
      <c r="AU139" s="205">
        <v>185.973665</v>
      </c>
      <c r="AV139" s="205">
        <v>-0.2634718</v>
      </c>
      <c r="AW139" s="205">
        <v>1.22225662</v>
      </c>
      <c r="AX139" s="205">
        <v>0.44253194</v>
      </c>
      <c r="AY139" s="205">
        <v>-0.2960395</v>
      </c>
      <c r="AZ139" s="205">
        <v>0.96097249</v>
      </c>
      <c r="BA139" s="205">
        <v>-0.1415805</v>
      </c>
      <c r="BB139" s="205">
        <v>-0.2332982</v>
      </c>
      <c r="BC139" s="205">
        <v>0.81278765</v>
      </c>
      <c r="BD139" s="205">
        <v>50.9562256</v>
      </c>
      <c r="BE139" s="205">
        <v>-0.1648608</v>
      </c>
      <c r="BF139" s="205">
        <v>-0.0924607</v>
      </c>
      <c r="BG139" s="205">
        <v>0.07186346</v>
      </c>
      <c r="BH139" s="205">
        <v>4.58551586</v>
      </c>
      <c r="BI139" s="205">
        <v>1.25858048</v>
      </c>
      <c r="BJ139" s="205">
        <v>-0.1056694</v>
      </c>
      <c r="BK139" s="205">
        <v>0.09250201</v>
      </c>
      <c r="BL139" s="205">
        <v>-0.1877696</v>
      </c>
      <c r="BM139" s="205">
        <v>-0.2285101</v>
      </c>
      <c r="BN139" s="205">
        <v>1.45505954</v>
      </c>
      <c r="BO139" s="205">
        <v>0.81443873</v>
      </c>
      <c r="BP139" s="205">
        <v>-0.1506615</v>
      </c>
      <c r="BQ139" s="205">
        <v>-0.0463955</v>
      </c>
      <c r="BR139" s="206"/>
      <c r="BS139" s="250">
        <f t="shared" si="1"/>
        <v>4.208583078</v>
      </c>
      <c r="BT139" s="250">
        <f t="shared" si="2"/>
        <v>7.266338325</v>
      </c>
      <c r="BU139" s="206"/>
      <c r="BV139" s="207">
        <f>IFERROR(__xludf.DUMMYFUNCTION("AVERAGE(ARRAYFORMULA(XLOOKUP(FILTER(INDIRECT(""'""&amp;BV$1&amp;""'!$C$4:$C$66""),INDIRECT(""'""&amp;BV$1&amp;""'!$D$4:$D$66"")=BV$2),$G$3:$BQ$3,$G139:$BQ139)))"),-0.10546302999999999)</f>
        <v>-0.10546303</v>
      </c>
      <c r="BW139" s="207" t="str">
        <f>IFERROR(__xludf.DUMMYFUNCTION("IF(OR(BV139&gt;$BS139+$BT139*$BT$2,BV139&lt;$BS139-$BT139*$BT$2),AVEDEV(ARRAYFORMULA(XLOOKUP(FILTER(INDIRECT(""'""&amp;BV$1&amp;""'!$C$4:$C$66""),INDIRECT(""'""&amp;BV$1&amp;""'!$D$4:$D$66"")=BV$2),$G$3:$BQ$3,$G139:$BQ139))),"""")"),"")</f>
        <v/>
      </c>
      <c r="BX139" s="207">
        <f>IFERROR(__xludf.DUMMYFUNCTION("AVERAGE(ARRAYFORMULA(XLOOKUP(FILTER(INDIRECT(""'""&amp;BX$1&amp;""'!$C$4:$C$66""),INDIRECT(""'""&amp;BX$1&amp;""'!$D$4:$D$66"")=BX$2),$G$3:$BQ$3,$G139:$BQ139)))"),0.558680819047619)</f>
        <v>0.558680819</v>
      </c>
      <c r="BY139" s="207" t="str">
        <f>IFERROR(__xludf.DUMMYFUNCTION("IF(OR(BX139&gt;$BS139+$BT139*$BT$2,BX139&lt;$BS139-$BT139*$BT$2),AVEDEV(ARRAYFORMULA(XLOOKUP(FILTER(INDIRECT(""'""&amp;BX$1&amp;""'!$C$4:$C$66""),INDIRECT(""'""&amp;BX$1&amp;""'!$D$4:$D$66"")=BX$2),$G$3:$BQ$3,$G139:$BQ139))),"""")"),"")</f>
        <v/>
      </c>
      <c r="BZ139" s="207">
        <f>IFERROR(__xludf.DUMMYFUNCTION("AVERAGE(ARRAYFORMULA(XLOOKUP(FILTER(INDIRECT(""'""&amp;BZ$1&amp;""'!$C$4:$C$66""),INDIRECT(""'""&amp;BZ$1&amp;""'!$D$4:$D$66"")=BZ$2),$G$3:$BQ$3,$G139:$BQ139)))"),0.512166430909091)</f>
        <v>0.5121664309</v>
      </c>
      <c r="CA139" s="207" t="str">
        <f>IFERROR(__xludf.DUMMYFUNCTION("IF(OR(BZ139&gt;$BS139+$BT139*$BT$2,BZ139&lt;$BS139-$BT139*$BT$2),AVEDEV(ARRAYFORMULA(XLOOKUP(FILTER(INDIRECT(""'""&amp;BZ$1&amp;""'!$C$4:$C$66""),INDIRECT(""'""&amp;BZ$1&amp;""'!$D$4:$D$66"")=BZ$2),$G$3:$BQ$3,$G139:$BQ139))),"""")"),"")</f>
        <v/>
      </c>
      <c r="CB139" s="209"/>
      <c r="CC139" s="207">
        <f>IFERROR(__xludf.DUMMYFUNCTION("AVERAGE(ARRAYFORMULA(XLOOKUP(FILTER(INDIRECT(""'""&amp;CC$1&amp;""'!$C$4:$C$66""),INDIRECT(""'""&amp;CC$1&amp;""'!$D$4:$D$66"")=CC$2),$G$3:$BQ$3,$G139:$BQ139)))"),0.340853506875)</f>
        <v>0.3408535069</v>
      </c>
      <c r="CD139" s="207" t="str">
        <f>IFERROR(__xludf.DUMMYFUNCTION("IF(OR(CC139&gt;$BS139+$BT139*$BT$2,CC139&lt;$BS139-$BT139*$BT$2),AVEDEV(ARRAYFORMULA(XLOOKUP(FILTER(INDIRECT(""'""&amp;CC$1&amp;""'!$C$4:$C$66""),INDIRECT(""'""&amp;CC$1&amp;""'!$D$4:$D$66"")=CC$2),$G$3:$BQ$3,$G139:$BQ139))),"""")"),"")</f>
        <v/>
      </c>
      <c r="CE139" s="207">
        <f>IFERROR(__xludf.DUMMYFUNCTION("AVERAGE(ARRAYFORMULA(XLOOKUP(FILTER(INDIRECT(""'""&amp;CE$1&amp;""'!$C$4:$C$66""),INDIRECT(""'""&amp;CE$1&amp;""'!$D$4:$D$66"")=CE$2),$G$3:$BQ$3,$G139:$BQ139)))"),0.5281473264516129)</f>
        <v>0.5281473265</v>
      </c>
      <c r="CF139" s="207" t="str">
        <f>IFERROR(__xludf.DUMMYFUNCTION("IF(OR(CE139&gt;$BS139+$BT139*$BT$2,CE139&lt;$BS139-$BT139*$BT$2),AVEDEV(ARRAYFORMULA(XLOOKUP(FILTER(INDIRECT(""'""&amp;CE$1&amp;""'!$C$4:$C$66""),INDIRECT(""'""&amp;CE$1&amp;""'!$D$4:$D$66"")=CE$2),$G$3:$BQ$3,$G139:$BQ139))),"""")"),"")</f>
        <v/>
      </c>
      <c r="CG139" s="207">
        <f>IFERROR(__xludf.DUMMYFUNCTION("AVERAGE(ARRAYFORMULA(XLOOKUP(FILTER(INDIRECT(""'""&amp;CG$1&amp;""'!$C$4:$C$66""),INDIRECT(""'""&amp;CG$1&amp;""'!$D$4:$D$66"")=CG$2),$G$3:$BQ$3,$G139:$BQ139)))"),0.8959692940000001)</f>
        <v>0.895969294</v>
      </c>
      <c r="CH139" s="207" t="str">
        <f>IFERROR(__xludf.DUMMYFUNCTION("IF(OR(CG139&gt;$BS139+$BT139*$BT$2,CG139&lt;$BS139-$BT139*$BT$2),AVEDEV(ARRAYFORMULA(XLOOKUP(FILTER(INDIRECT(""'""&amp;CG$1&amp;""'!$C$4:$C$66""),INDIRECT(""'""&amp;CG$1&amp;""'!$D$4:$D$66"")=CG$2),$G$3:$BQ$3,$G139:$BQ139))),"""")"),"")</f>
        <v/>
      </c>
      <c r="CI139" s="206"/>
      <c r="CJ139" s="251">
        <f>IFERROR(__xludf.DUMMYFUNCTION("AVERAGE(ARRAYFORMULA(XLOOKUP(FILTER(INDIRECT(""'""&amp;CJ$1&amp;""'!$C$4:$C$66""),INDIRECT(""'""&amp;CJ$1&amp;""'!$D$4:$D$66"")=CJ$2),$G$3:$BQ$3,$G139:$BQ139)))"),0.38466142466666664)</f>
        <v>0.3846614247</v>
      </c>
      <c r="CK139" s="207" t="str">
        <f>IFERROR(__xludf.DUMMYFUNCTION("IF(OR(CJ139&gt;$BS139+$BT139*$BT$2,CJ139&lt;$BS139-$BT139*$BT$2),AVEDEV(ARRAYFORMULA(XLOOKUP(FILTER(INDIRECT(""'""&amp;CJ$1&amp;""'!$C$4:$C$66""),INDIRECT(""'""&amp;CJ$1&amp;""'!$D$4:$D$66"")=CJ$2),$G$3:$BQ$3,$G139:$BQ139))),"""")"),"")</f>
        <v/>
      </c>
      <c r="CL139" s="251">
        <f>IFERROR(__xludf.DUMMYFUNCTION("AVERAGE(ARRAYFORMULA(XLOOKUP(FILTER(INDIRECT(""'""&amp;CL$1&amp;""'!$C$4:$C$66""),INDIRECT(""'""&amp;CL$1&amp;""'!$D$4:$D$66"")=CL$2),$G$3:$BQ$3,$G139:$BQ139)))"),0.46918424846153844)</f>
        <v>0.4691842485</v>
      </c>
      <c r="CM139" s="207" t="str">
        <f>IFERROR(__xludf.DUMMYFUNCTION("IF(OR(CL139&gt;$BS139+$BT139*$BT$2,CL139&lt;$BS139-$BT139*$BT$2),AVEDEV(ARRAYFORMULA(XLOOKUP(FILTER(INDIRECT(""'""&amp;CL$1&amp;""'!$C$4:$C$66""),INDIRECT(""'""&amp;CL$1&amp;""'!$D$4:$D$66"")=CL$2),$G$3:$BQ$3,$G139:$BQ139))),"""")"),"")</f>
        <v/>
      </c>
      <c r="CN139" s="251">
        <f>IFERROR(__xludf.DUMMYFUNCTION("AVERAGE(ARRAYFORMULA(XLOOKUP(FILTER(INDIRECT(""'""&amp;CN$1&amp;""'!$C$4:$C$66""),INDIRECT(""'""&amp;CN$1&amp;""'!$D$4:$D$66"")=CN$2),$G$3:$BQ$3,$G139:$BQ139)))"),0.8959692940000001)</f>
        <v>0.895969294</v>
      </c>
      <c r="CO139" s="207" t="str">
        <f>IFERROR(__xludf.DUMMYFUNCTION("IF(OR(CN139&gt;$BS139+$BT139*$BT$2,CN139&lt;$BS139-$BT139*$BT$2),AVEDEV(ARRAYFORMULA(XLOOKUP(FILTER(INDIRECT(""'""&amp;CN$1&amp;""'!$C$4:$C$66""),INDIRECT(""'""&amp;CN$1&amp;""'!$D$4:$D$66"")=CN$2),$G$3:$BQ$3,$G139:$BQ139))),"""")"),"")</f>
        <v/>
      </c>
      <c r="CP139" s="252"/>
      <c r="CQ139" s="251">
        <f>IFERROR(__xludf.DUMMYFUNCTION("AVERAGE(ARRAYFORMULA(XLOOKUP(FILTER(INDIRECT(""'""&amp;CQ$1&amp;""'!$C$4:$C$66""),INDIRECT(""'""&amp;CQ$1&amp;""'!$D$4:$D$66"")=CQ$2),$G$3:$BQ$3,$G139:$BQ139)))"),0.4567519014285714)</f>
        <v>0.4567519014</v>
      </c>
      <c r="CR139" s="207" t="str">
        <f>IFERROR(__xludf.DUMMYFUNCTION("IF(OR(CQ139&gt;$BS139+$BT139*$BT$2,CQ139&lt;$BS139-$BT139*$BT$2),AVEDEV(ARRAYFORMULA(XLOOKUP(FILTER(INDIRECT(""'""&amp;CQ$1&amp;""'!$C$4:$C$66""),INDIRECT(""'""&amp;CQ$1&amp;""'!$D$4:$D$66"")=CQ$2),$G$3:$BQ$3,$G139:$BQ139))),"""")"),"")</f>
        <v/>
      </c>
      <c r="CS139" s="251">
        <f>IFERROR(__xludf.DUMMYFUNCTION("AVERAGE(ARRAYFORMULA(XLOOKUP(FILTER(INDIRECT(""'""&amp;CS$1&amp;""'!$C$4:$C$66""),INDIRECT(""'""&amp;CS$1&amp;""'!$D$4:$D$66"")=CS$2),$G$3:$BQ$3,$G139:$BQ139)))"),0.5445964833333333)</f>
        <v>0.5445964833</v>
      </c>
      <c r="CT139" s="207" t="str">
        <f>IFERROR(__xludf.DUMMYFUNCTION("IF(OR(CS139&gt;$BS139+$BT139*$BT$2,CS139&lt;$BS139-$BT139*$BT$2),AVEDEV(ARRAYFORMULA(XLOOKUP(FILTER(INDIRECT(""'""&amp;CS$1&amp;""'!$C$4:$C$66""),INDIRECT(""'""&amp;CS$1&amp;""'!$D$4:$D$66"")=CS$2),$G$3:$BQ$3,$G139:$BQ139))),"""")"),"")</f>
        <v/>
      </c>
      <c r="CU139" s="251">
        <f>IFERROR(__xludf.DUMMYFUNCTION("AVERAGE(ARRAYFORMULA(XLOOKUP(FILTER(INDIRECT(""'""&amp;CU$1&amp;""'!$C$4:$C$66""),INDIRECT(""'""&amp;CU$1&amp;""'!$D$4:$D$66"")=CU$2),$G$3:$BQ$3,$G139:$BQ139)))"),0.26114153727272726)</f>
        <v>0.2611415373</v>
      </c>
      <c r="CV139" s="207" t="str">
        <f>IFERROR(__xludf.DUMMYFUNCTION("IF(OR(CU139&gt;$BS139+$BT139*$BT$2,CU139&lt;$BS139-$BT139*$BT$2),AVEDEV(ARRAYFORMULA(XLOOKUP(FILTER(INDIRECT(""'""&amp;CU$1&amp;""'!$C$4:$C$66""),INDIRECT(""'""&amp;CU$1&amp;""'!$D$4:$D$66"")=CU$2),$G$3:$BQ$3,$G139:$BQ139))),"""")"),"")</f>
        <v/>
      </c>
      <c r="CW139" s="251">
        <f>IFERROR(__xludf.DUMMYFUNCTION("AVERAGE(ARRAYFORMULA(XLOOKUP(FILTER(INDIRECT(""'""&amp;CW$1&amp;""'!$C$4:$C$66""),INDIRECT(""'""&amp;CW$1&amp;""'!$D$4:$D$66"")=CW$2),$G$3:$BQ$3,$G139:$BQ139)))"),4.111448205)</f>
        <v>4.111448205</v>
      </c>
      <c r="CX139" s="207" t="str">
        <f>IFERROR(__xludf.DUMMYFUNCTION("IF(OR(CW139&gt;$BS139+$BT139*$BT$2,CW139&lt;$BS139-$BT139*$BT$2),AVEDEV(ARRAYFORMULA(XLOOKUP(FILTER(INDIRECT(""'""&amp;CW$1&amp;""'!$C$4:$C$66""),INDIRECT(""'""&amp;CW$1&amp;""'!$D$4:$D$66"")=CW$2),$G$3:$BQ$3,$G139:$BQ139))),"""")"),"")</f>
        <v/>
      </c>
      <c r="CY139" s="251">
        <f>IFERROR(__xludf.DUMMYFUNCTION("AVERAGE(ARRAYFORMULA(XLOOKUP(FILTER(INDIRECT(""'""&amp;CY$1&amp;""'!$C$4:$C$66""),INDIRECT(""'""&amp;CY$1&amp;""'!$D$4:$D$66"")=CY$2),$G$3:$BQ$3,$G139:$BQ139)))"),0.37868213428571423)</f>
        <v>0.3786821343</v>
      </c>
      <c r="CZ139" s="207" t="str">
        <f>IFERROR(__xludf.DUMMYFUNCTION("IF(OR(CY139&gt;$BS139+$BT139*$BT$2,CY139&lt;$BS139-$BT139*$BT$2),AVEDEV(ARRAYFORMULA(XLOOKUP(FILTER(INDIRECT(""'""&amp;CY$1&amp;""'!$C$4:$C$66""),INDIRECT(""'""&amp;CY$1&amp;""'!$D$4:$D$66"")=CY$2),$G$3:$BQ$3,$G139:$BQ139))),"""")"),"")</f>
        <v/>
      </c>
      <c r="DA139" s="252"/>
      <c r="DB139" s="251">
        <f>IFERROR(__xludf.DUMMYFUNCTION("AVERAGE(ARRAYFORMULA(XLOOKUP(FILTER(INDIRECT(""'""&amp;DB$1&amp;""'!$C$4:$C$66""),INDIRECT(""'""&amp;DB$1&amp;""'!$D$4:$D$66"")=DB$2),$G$3:$BQ$3,$G139:$BQ139)))"),0.234140297)</f>
        <v>0.234140297</v>
      </c>
      <c r="DC139" s="207" t="str">
        <f>IFERROR(__xludf.DUMMYFUNCTION("IF(OR(DB139&gt;$BS139+$BT139*$BT$2,DB139&lt;$BS139-$BT139*$BT$2),AVEDEV(ARRAYFORMULA(XLOOKUP(FILTER(INDIRECT(""'""&amp;DB$1&amp;""'!$C$4:$C$66""),INDIRECT(""'""&amp;DB$1&amp;""'!$D$4:$D$66"")=DB$2),$G$3:$BQ$3,$G139:$BQ139))),"""")"),"")</f>
        <v/>
      </c>
      <c r="DD139" s="251">
        <f>IFERROR(__xludf.DUMMYFUNCTION("AVERAGE(ARRAYFORMULA(XLOOKUP(FILTER(INDIRECT(""'""&amp;DD$1&amp;""'!$C$4:$C$66""),INDIRECT(""'""&amp;DD$1&amp;""'!$D$4:$D$66"")=DD$2),$G$3:$BQ$3,$G139:$BQ139)))"),0.1601185155555556)</f>
        <v>0.1601185156</v>
      </c>
      <c r="DE139" s="207" t="str">
        <f>IFERROR(__xludf.DUMMYFUNCTION("IF(OR(DD139&gt;$BS139+$BT139*$BT$2,DD139&lt;$BS139-$BT139*$BT$2),AVEDEV(ARRAYFORMULA(XLOOKUP(FILTER(INDIRECT(""'""&amp;DD$1&amp;""'!$C$4:$C$66""),INDIRECT(""'""&amp;DD$1&amp;""'!$D$4:$D$66"")=DD$2),$G$3:$BQ$3,$G139:$BQ139))),"""")"),"")</f>
        <v/>
      </c>
      <c r="DF139" s="251">
        <f>IFERROR(__xludf.DUMMYFUNCTION("AVERAGE(ARRAYFORMULA(XLOOKUP(FILTER(INDIRECT(""'""&amp;DF$1&amp;""'!$C$4:$C$66""),INDIRECT(""'""&amp;DF$1&amp;""'!$D$4:$D$66"")=DF$2),$G$3:$BQ$3,$G139:$BQ139)))"),0.1876302775)</f>
        <v>0.1876302775</v>
      </c>
      <c r="DG139" s="207" t="str">
        <f>IFERROR(__xludf.DUMMYFUNCTION("IF(OR(DF139&gt;$BS139+$BT139*$BT$2,DF139&lt;$BS139-$BT139*$BT$2),AVEDEV(ARRAYFORMULA(XLOOKUP(FILTER(INDIRECT(""'""&amp;DF$1&amp;""'!$C$4:$C$66""),INDIRECT(""'""&amp;DF$1&amp;""'!$D$4:$D$66"")=DF$2),$G$3:$BQ$3,$G139:$BQ139))),"""")"),"")</f>
        <v/>
      </c>
      <c r="DH139" s="251">
        <f>IFERROR(__xludf.DUMMYFUNCTION("AVERAGE(ARRAYFORMULA(XLOOKUP(FILTER(INDIRECT(""'""&amp;DH$1&amp;""'!$C$4:$C$66""),INDIRECT(""'""&amp;DH$1&amp;""'!$D$4:$D$66"")=DH$2),$G$3:$BQ$3,$G139:$BQ139)))"),1.913464822222222)</f>
        <v>1.913464822</v>
      </c>
      <c r="DI139" s="207" t="str">
        <f>IFERROR(__xludf.DUMMYFUNCTION("IF(OR(DH139&gt;$BS139+$BT139*$BT$2,DH139&lt;$BS139-$BT139*$BT$2),AVEDEV(ARRAYFORMULA(XLOOKUP(FILTER(INDIRECT(""'""&amp;DH$1&amp;""'!$C$4:$C$66""),INDIRECT(""'""&amp;DH$1&amp;""'!$D$4:$D$66"")=DH$2),$G$3:$BQ$3,$G139:$BQ139))),"""")"),"")</f>
        <v/>
      </c>
      <c r="DJ139" s="243"/>
    </row>
    <row r="140">
      <c r="A140" s="2"/>
      <c r="B140" s="204">
        <v>136.0</v>
      </c>
      <c r="C140" s="204" t="s">
        <v>540</v>
      </c>
      <c r="D140" s="204" t="s">
        <v>582</v>
      </c>
      <c r="E140" s="205" t="b">
        <f>VLOOKUP(D140,'Feature Set List'!A137:C246,2,0)</f>
        <v>1</v>
      </c>
      <c r="F140" s="205" t="b">
        <f>VLOOKUP(D140,'Feature Set List'!A137:C246,3,0)</f>
        <v>0</v>
      </c>
      <c r="G140" s="205">
        <v>0.08948881</v>
      </c>
      <c r="H140" s="205">
        <v>2.90213723</v>
      </c>
      <c r="I140" s="205">
        <v>-0.1794776</v>
      </c>
      <c r="J140" s="205">
        <v>0.63392076</v>
      </c>
      <c r="K140" s="205">
        <v>1.98725159</v>
      </c>
      <c r="L140" s="205">
        <v>-0.072241</v>
      </c>
      <c r="M140" s="205">
        <v>-0.2899638</v>
      </c>
      <c r="N140" s="205">
        <v>0.35320585</v>
      </c>
      <c r="O140" s="205">
        <v>-0.0929884</v>
      </c>
      <c r="P140" s="205">
        <v>-0.4374453</v>
      </c>
      <c r="Q140" s="205">
        <v>0.79915011</v>
      </c>
      <c r="R140" s="205">
        <v>-0.5631046</v>
      </c>
      <c r="S140" s="205">
        <v>-0.1817273</v>
      </c>
      <c r="T140" s="205">
        <v>0.04274466</v>
      </c>
      <c r="U140" s="205">
        <v>-0.4606924</v>
      </c>
      <c r="V140" s="205">
        <v>1.62654668</v>
      </c>
      <c r="W140" s="205">
        <v>-0.4769404</v>
      </c>
      <c r="X140" s="205">
        <v>1.31533558</v>
      </c>
      <c r="Y140" s="205">
        <v>-0.1307337</v>
      </c>
      <c r="Z140" s="205">
        <v>0.05399325</v>
      </c>
      <c r="AA140" s="205">
        <v>-0.2684664</v>
      </c>
      <c r="AB140" s="205">
        <v>-0.1709786</v>
      </c>
      <c r="AC140" s="205">
        <v>-0.2204724</v>
      </c>
      <c r="AD140" s="205">
        <v>2.14973128</v>
      </c>
      <c r="AE140" s="205">
        <v>4.20447444</v>
      </c>
      <c r="AF140" s="205">
        <v>0.00874891</v>
      </c>
      <c r="AG140" s="205">
        <v>0.76590426</v>
      </c>
      <c r="AH140" s="205">
        <v>-0.3022122</v>
      </c>
      <c r="AI140" s="205">
        <v>-0.1259843</v>
      </c>
      <c r="AJ140" s="205">
        <v>-0.5640295</v>
      </c>
      <c r="AK140" s="205">
        <v>1.95475566</v>
      </c>
      <c r="AL140" s="205">
        <v>-0.1962255</v>
      </c>
      <c r="AM140" s="205">
        <v>-0.1449819</v>
      </c>
      <c r="AN140" s="205">
        <v>-0.4596925</v>
      </c>
      <c r="AO140" s="205">
        <v>-0.5204349</v>
      </c>
      <c r="AP140" s="205">
        <v>2.03974503</v>
      </c>
      <c r="AQ140" s="205">
        <v>0.63892013</v>
      </c>
      <c r="AR140" s="205">
        <v>6.00674916</v>
      </c>
      <c r="AS140" s="205">
        <v>-0.1607299</v>
      </c>
      <c r="AT140" s="205">
        <v>0.51818523</v>
      </c>
      <c r="AU140" s="205">
        <v>112.063492</v>
      </c>
      <c r="AV140" s="205">
        <v>-0.5576803</v>
      </c>
      <c r="AW140" s="205">
        <v>0.04699413</v>
      </c>
      <c r="AX140" s="205">
        <v>6.28921385</v>
      </c>
      <c r="AY140" s="205">
        <v>-0.671691</v>
      </c>
      <c r="AZ140" s="205">
        <v>-0.3154606</v>
      </c>
      <c r="BA140" s="205">
        <v>-0.1754781</v>
      </c>
      <c r="BB140" s="205">
        <v>-0.2394701</v>
      </c>
      <c r="BC140" s="205">
        <v>-0.1847269</v>
      </c>
      <c r="BD140" s="205">
        <v>2.1672291</v>
      </c>
      <c r="BE140" s="205">
        <v>0.76190476</v>
      </c>
      <c r="BF140" s="205">
        <v>1.95725534</v>
      </c>
      <c r="BG140" s="205">
        <v>0.03149606</v>
      </c>
      <c r="BH140" s="205">
        <v>3.33708286</v>
      </c>
      <c r="BI140" s="205">
        <v>0.05274341</v>
      </c>
      <c r="BJ140" s="205">
        <v>-0.3142107</v>
      </c>
      <c r="BK140" s="205">
        <v>-0.1617298</v>
      </c>
      <c r="BL140" s="205">
        <v>-0.2327209</v>
      </c>
      <c r="BM140" s="205">
        <v>0.0</v>
      </c>
      <c r="BN140" s="205">
        <v>0.15173103</v>
      </c>
      <c r="BO140" s="205">
        <v>-0.4086989</v>
      </c>
      <c r="BP140" s="205">
        <v>0.12523435</v>
      </c>
      <c r="BQ140" s="205">
        <v>0.61642295</v>
      </c>
      <c r="BR140" s="206"/>
      <c r="BS140" s="250">
        <f t="shared" si="1"/>
        <v>2.32397458</v>
      </c>
      <c r="BT140" s="250">
        <f t="shared" si="2"/>
        <v>3.83680324</v>
      </c>
      <c r="BU140" s="206"/>
      <c r="BV140" s="207">
        <f>IFERROR(__xludf.DUMMYFUNCTION("AVERAGE(ARRAYFORMULA(XLOOKUP(FILTER(INDIRECT(""'""&amp;BV$1&amp;""'!$C$4:$C$66""),INDIRECT(""'""&amp;BV$1&amp;""'!$D$4:$D$66"")=BV$2),$G$3:$BQ$3,$G140:$BQ140)))"),-0.006824137142857202)</f>
        <v>-0.006824137143</v>
      </c>
      <c r="BW140" s="207" t="str">
        <f>IFERROR(__xludf.DUMMYFUNCTION("IF(OR(BV140&gt;$BS140+$BT140*$BT$2,BV140&lt;$BS140-$BT140*$BT$2),AVEDEV(ARRAYFORMULA(XLOOKUP(FILTER(INDIRECT(""'""&amp;BV$1&amp;""'!$C$4:$C$66""),INDIRECT(""'""&amp;BV$1&amp;""'!$D$4:$D$66"")=BV$2),$G$3:$BQ$3,$G140:$BQ140))),"""")"),"")</f>
        <v/>
      </c>
      <c r="BX140" s="207">
        <f>IFERROR(__xludf.DUMMYFUNCTION("AVERAGE(ARRAYFORMULA(XLOOKUP(FILTER(INDIRECT(""'""&amp;BX$1&amp;""'!$C$4:$C$66""),INDIRECT(""'""&amp;BX$1&amp;""'!$D$4:$D$66"")=BX$2),$G$3:$BQ$3,$G140:$BQ140)))"),0.8134334414285718)</f>
        <v>0.8134334414</v>
      </c>
      <c r="BY140" s="207" t="str">
        <f>IFERROR(__xludf.DUMMYFUNCTION("IF(OR(BX140&gt;$BS140+$BT140*$BT$2,BX140&lt;$BS140-$BT140*$BT$2),AVEDEV(ARRAYFORMULA(XLOOKUP(FILTER(INDIRECT(""'""&amp;BX$1&amp;""'!$C$4:$C$66""),INDIRECT(""'""&amp;BX$1&amp;""'!$D$4:$D$66"")=BX$2),$G$3:$BQ$3,$G140:$BQ140))),"""")"),"")</f>
        <v/>
      </c>
      <c r="BZ140" s="207">
        <f>IFERROR(__xludf.DUMMYFUNCTION("AVERAGE(ARRAYFORMULA(XLOOKUP(FILTER(INDIRECT(""'""&amp;BZ$1&amp;""'!$C$4:$C$66""),INDIRECT(""'""&amp;BZ$1&amp;""'!$D$4:$D$66"")=BZ$2),$G$3:$BQ$3,$G140:$BQ140)))"),-0.15975277454545453)</f>
        <v>-0.1597527745</v>
      </c>
      <c r="CA140" s="207" t="str">
        <f>IFERROR(__xludf.DUMMYFUNCTION("IF(OR(BZ140&gt;$BS140+$BT140*$BT$2,BZ140&lt;$BS140-$BT140*$BT$2),AVEDEV(ARRAYFORMULA(XLOOKUP(FILTER(INDIRECT(""'""&amp;BZ$1&amp;""'!$C$4:$C$66""),INDIRECT(""'""&amp;BZ$1&amp;""'!$D$4:$D$66"")=BZ$2),$G$3:$BQ$3,$G140:$BQ140))),"""")"),"")</f>
        <v/>
      </c>
      <c r="CB140" s="209"/>
      <c r="CC140" s="207">
        <f>IFERROR(__xludf.DUMMYFUNCTION("AVERAGE(ARRAYFORMULA(XLOOKUP(FILTER(INDIRECT(""'""&amp;CC$1&amp;""'!$C$4:$C$66""),INDIRECT(""'""&amp;CC$1&amp;""'!$D$4:$D$66"")=CC$2),$G$3:$BQ$3,$G140:$BQ140)))"),1.175196845625)</f>
        <v>1.175196846</v>
      </c>
      <c r="CD140" s="207" t="str">
        <f>IFERROR(__xludf.DUMMYFUNCTION("IF(OR(CC140&gt;$BS140+$BT140*$BT$2,CC140&lt;$BS140-$BT140*$BT$2),AVEDEV(ARRAYFORMULA(XLOOKUP(FILTER(INDIRECT(""'""&amp;CC$1&amp;""'!$C$4:$C$66""),INDIRECT(""'""&amp;CC$1&amp;""'!$D$4:$D$66"")=CC$2),$G$3:$BQ$3,$G140:$BQ140))),"""")"),"")</f>
        <v/>
      </c>
      <c r="CE140" s="207">
        <f>IFERROR(__xludf.DUMMYFUNCTION("AVERAGE(ARRAYFORMULA(XLOOKUP(FILTER(INDIRECT(""'""&amp;CE$1&amp;""'!$C$4:$C$66""),INDIRECT(""'""&amp;CE$1&amp;""'!$D$4:$D$66"")=CE$2),$G$3:$BQ$3,$G140:$BQ140)))"),0.055370497096774204)</f>
        <v>0.0553704971</v>
      </c>
      <c r="CF140" s="207" t="str">
        <f>IFERROR(__xludf.DUMMYFUNCTION("IF(OR(CE140&gt;$BS140+$BT140*$BT$2,CE140&lt;$BS140-$BT140*$BT$2),AVEDEV(ARRAYFORMULA(XLOOKUP(FILTER(INDIRECT(""'""&amp;CE$1&amp;""'!$C$4:$C$66""),INDIRECT(""'""&amp;CE$1&amp;""'!$D$4:$D$66"")=CE$2),$G$3:$BQ$3,$G140:$BQ140))),"""")"),"")</f>
        <v/>
      </c>
      <c r="CG140" s="207">
        <f>IFERROR(__xludf.DUMMYFUNCTION("AVERAGE(ARRAYFORMULA(XLOOKUP(FILTER(INDIRECT(""'""&amp;CG$1&amp;""'!$C$4:$C$66""),INDIRECT(""'""&amp;CG$1&amp;""'!$D$4:$D$66"")=CG$2),$G$3:$BQ$3,$G140:$BQ140)))"),-0.13988251599999998)</f>
        <v>-0.139882516</v>
      </c>
      <c r="CH140" s="207" t="str">
        <f>IFERROR(__xludf.DUMMYFUNCTION("IF(OR(CG140&gt;$BS140+$BT140*$BT$2,CG140&lt;$BS140-$BT140*$BT$2),AVEDEV(ARRAYFORMULA(XLOOKUP(FILTER(INDIRECT(""'""&amp;CG$1&amp;""'!$C$4:$C$66""),INDIRECT(""'""&amp;CG$1&amp;""'!$D$4:$D$66"")=CG$2),$G$3:$BQ$3,$G140:$BQ140))),"""")"),"")</f>
        <v/>
      </c>
      <c r="CI140" s="206"/>
      <c r="CJ140" s="251">
        <f>IFERROR(__xludf.DUMMYFUNCTION("AVERAGE(ARRAYFORMULA(XLOOKUP(FILTER(INDIRECT(""'""&amp;CJ$1&amp;""'!$C$4:$C$66""),INDIRECT(""'""&amp;CJ$1&amp;""'!$D$4:$D$66"")=CJ$2),$G$3:$BQ$3,$G140:$BQ140)))"),0.336057998)</f>
        <v>0.336057998</v>
      </c>
      <c r="CK140" s="207" t="str">
        <f>IFERROR(__xludf.DUMMYFUNCTION("IF(OR(CJ140&gt;$BS140+$BT140*$BT$2,CJ140&lt;$BS140-$BT140*$BT$2),AVEDEV(ARRAYFORMULA(XLOOKUP(FILTER(INDIRECT(""'""&amp;CJ$1&amp;""'!$C$4:$C$66""),INDIRECT(""'""&amp;CJ$1&amp;""'!$D$4:$D$66"")=CJ$2),$G$3:$BQ$3,$G140:$BQ140))),"""")"),"")</f>
        <v/>
      </c>
      <c r="CL140" s="251">
        <f>IFERROR(__xludf.DUMMYFUNCTION("AVERAGE(ARRAYFORMULA(XLOOKUP(FILTER(INDIRECT(""'""&amp;CL$1&amp;""'!$C$4:$C$66""),INDIRECT(""'""&amp;CL$1&amp;""'!$D$4:$D$66"")=CL$2),$G$3:$BQ$3,$G140:$BQ140)))"),0.724369706923077)</f>
        <v>0.7243697069</v>
      </c>
      <c r="CM140" s="207" t="str">
        <f>IFERROR(__xludf.DUMMYFUNCTION("IF(OR(CL140&gt;$BS140+$BT140*$BT$2,CL140&lt;$BS140-$BT140*$BT$2),AVEDEV(ARRAYFORMULA(XLOOKUP(FILTER(INDIRECT(""'""&amp;CL$1&amp;""'!$C$4:$C$66""),INDIRECT(""'""&amp;CL$1&amp;""'!$D$4:$D$66"")=CL$2),$G$3:$BQ$3,$G140:$BQ140))),"""")"),"")</f>
        <v/>
      </c>
      <c r="CN140" s="251">
        <f>IFERROR(__xludf.DUMMYFUNCTION("AVERAGE(ARRAYFORMULA(XLOOKUP(FILTER(INDIRECT(""'""&amp;CN$1&amp;""'!$C$4:$C$66""),INDIRECT(""'""&amp;CN$1&amp;""'!$D$4:$D$66"")=CN$2),$G$3:$BQ$3,$G140:$BQ140)))"),-0.13988251599999998)</f>
        <v>-0.139882516</v>
      </c>
      <c r="CO140" s="207" t="str">
        <f>IFERROR(__xludf.DUMMYFUNCTION("IF(OR(CN140&gt;$BS140+$BT140*$BT$2,CN140&lt;$BS140-$BT140*$BT$2),AVEDEV(ARRAYFORMULA(XLOOKUP(FILTER(INDIRECT(""'""&amp;CN$1&amp;""'!$C$4:$C$66""),INDIRECT(""'""&amp;CN$1&amp;""'!$D$4:$D$66"")=CN$2),$G$3:$BQ$3,$G140:$BQ140))),"""")"),"")</f>
        <v/>
      </c>
      <c r="CP140" s="252"/>
      <c r="CQ140" s="251">
        <f>IFERROR(__xludf.DUMMYFUNCTION("AVERAGE(ARRAYFORMULA(XLOOKUP(FILTER(INDIRECT(""'""&amp;CQ$1&amp;""'!$C$4:$C$66""),INDIRECT(""'""&amp;CQ$1&amp;""'!$D$4:$D$66"")=CQ$2),$G$3:$BQ$3,$G140:$BQ140)))"),1.1885657078571428)</f>
        <v>1.188565708</v>
      </c>
      <c r="CR140" s="207" t="str">
        <f>IFERROR(__xludf.DUMMYFUNCTION("IF(OR(CQ140&gt;$BS140+$BT140*$BT$2,CQ140&lt;$BS140-$BT140*$BT$2),AVEDEV(ARRAYFORMULA(XLOOKUP(FILTER(INDIRECT(""'""&amp;CQ$1&amp;""'!$C$4:$C$66""),INDIRECT(""'""&amp;CQ$1&amp;""'!$D$4:$D$66"")=CQ$2),$G$3:$BQ$3,$G140:$BQ140))),"""")"),"")</f>
        <v/>
      </c>
      <c r="CS140" s="251">
        <f>IFERROR(__xludf.DUMMYFUNCTION("AVERAGE(ARRAYFORMULA(XLOOKUP(FILTER(INDIRECT(""'""&amp;CS$1&amp;""'!$C$4:$C$66""),INDIRECT(""'""&amp;CS$1&amp;""'!$D$4:$D$66"")=CS$2),$G$3:$BQ$3,$G140:$BQ140)))"),-0.16020221333333332)</f>
        <v>-0.1602022133</v>
      </c>
      <c r="CT140" s="207" t="str">
        <f>IFERROR(__xludf.DUMMYFUNCTION("IF(OR(CS140&gt;$BS140+$BT140*$BT$2,CS140&lt;$BS140-$BT140*$BT$2),AVEDEV(ARRAYFORMULA(XLOOKUP(FILTER(INDIRECT(""'""&amp;CS$1&amp;""'!$C$4:$C$66""),INDIRECT(""'""&amp;CS$1&amp;""'!$D$4:$D$66"")=CS$2),$G$3:$BQ$3,$G140:$BQ140))),"""")"),"")</f>
        <v/>
      </c>
      <c r="CU140" s="251">
        <f>IFERROR(__xludf.DUMMYFUNCTION("AVERAGE(ARRAYFORMULA(XLOOKUP(FILTER(INDIRECT(""'""&amp;CU$1&amp;""'!$C$4:$C$66""),INDIRECT(""'""&amp;CU$1&amp;""'!$D$4:$D$66"")=CU$2),$G$3:$BQ$3,$G140:$BQ140)))"),-0.18372702818181816)</f>
        <v>-0.1837270282</v>
      </c>
      <c r="CV140" s="207" t="str">
        <f>IFERROR(__xludf.DUMMYFUNCTION("IF(OR(CU140&gt;$BS140+$BT140*$BT$2,CU140&lt;$BS140-$BT140*$BT$2),AVEDEV(ARRAYFORMULA(XLOOKUP(FILTER(INDIRECT(""'""&amp;CU$1&amp;""'!$C$4:$C$66""),INDIRECT(""'""&amp;CU$1&amp;""'!$D$4:$D$66"")=CU$2),$G$3:$BQ$3,$G140:$BQ140))),"""")"),"")</f>
        <v/>
      </c>
      <c r="CW140" s="251">
        <f>IFERROR(__xludf.DUMMYFUNCTION("AVERAGE(ARRAYFORMULA(XLOOKUP(FILTER(INDIRECT(""'""&amp;CW$1&amp;""'!$C$4:$C$66""),INDIRECT(""'""&amp;CW$1&amp;""'!$D$4:$D$66"")=CW$2),$G$3:$BQ$3,$G140:$BQ140)))"),2.74340707)</f>
        <v>2.74340707</v>
      </c>
      <c r="CX140" s="207" t="str">
        <f>IFERROR(__xludf.DUMMYFUNCTION("IF(OR(CW140&gt;$BS140+$BT140*$BT$2,CW140&lt;$BS140-$BT140*$BT$2),AVEDEV(ARRAYFORMULA(XLOOKUP(FILTER(INDIRECT(""'""&amp;CW$1&amp;""'!$C$4:$C$66""),INDIRECT(""'""&amp;CW$1&amp;""'!$D$4:$D$66"")=CW$2),$G$3:$BQ$3,$G140:$BQ140))),"""")"),"")</f>
        <v/>
      </c>
      <c r="CY140" s="251">
        <f>IFERROR(__xludf.DUMMYFUNCTION("AVERAGE(ARRAYFORMULA(XLOOKUP(FILTER(INDIRECT(""'""&amp;CY$1&amp;""'!$C$4:$C$66""),INDIRECT(""'""&amp;CY$1&amp;""'!$D$4:$D$66"")=CY$2),$G$3:$BQ$3,$G140:$BQ140)))"),0.8511775364285715)</f>
        <v>0.8511775364</v>
      </c>
      <c r="CZ140" s="207" t="str">
        <f>IFERROR(__xludf.DUMMYFUNCTION("IF(OR(CY140&gt;$BS140+$BT140*$BT$2,CY140&lt;$BS140-$BT140*$BT$2),AVEDEV(ARRAYFORMULA(XLOOKUP(FILTER(INDIRECT(""'""&amp;CY$1&amp;""'!$C$4:$C$66""),INDIRECT(""'""&amp;CY$1&amp;""'!$D$4:$D$66"")=CY$2),$G$3:$BQ$3,$G140:$BQ140))),"""")"),"")</f>
        <v/>
      </c>
      <c r="DA140" s="252"/>
      <c r="DB140" s="251">
        <f>IFERROR(__xludf.DUMMYFUNCTION("AVERAGE(ARRAYFORMULA(XLOOKUP(FILTER(INDIRECT(""'""&amp;DB$1&amp;""'!$C$4:$C$66""),INDIRECT(""'""&amp;DB$1&amp;""'!$D$4:$D$66"")=DB$2),$G$3:$BQ$3,$G140:$BQ140)))"),0.8645585980000002)</f>
        <v>0.864558598</v>
      </c>
      <c r="DC140" s="207" t="str">
        <f>IFERROR(__xludf.DUMMYFUNCTION("IF(OR(DB140&gt;$BS140+$BT140*$BT$2,DB140&lt;$BS140-$BT140*$BT$2),AVEDEV(ARRAYFORMULA(XLOOKUP(FILTER(INDIRECT(""'""&amp;DB$1&amp;""'!$C$4:$C$66""),INDIRECT(""'""&amp;DB$1&amp;""'!$D$4:$D$66"")=DB$2),$G$3:$BQ$3,$G140:$BQ140))),"""")"),"")</f>
        <v/>
      </c>
      <c r="DD140" s="251">
        <f>IFERROR(__xludf.DUMMYFUNCTION("AVERAGE(ARRAYFORMULA(XLOOKUP(FILTER(INDIRECT(""'""&amp;DD$1&amp;""'!$C$4:$C$66""),INDIRECT(""'""&amp;DD$1&amp;""'!$D$4:$D$66"")=DD$2),$G$3:$BQ$3,$G140:$BQ140)))"),-0.20861282555555555)</f>
        <v>-0.2086128256</v>
      </c>
      <c r="DE140" s="207" t="str">
        <f>IFERROR(__xludf.DUMMYFUNCTION("IF(OR(DD140&gt;$BS140+$BT140*$BT$2,DD140&lt;$BS140-$BT140*$BT$2),AVEDEV(ARRAYFORMULA(XLOOKUP(FILTER(INDIRECT(""'""&amp;DD$1&amp;""'!$C$4:$C$66""),INDIRECT(""'""&amp;DD$1&amp;""'!$D$4:$D$66"")=DD$2),$G$3:$BQ$3,$G140:$BQ140))),"""")"),"")</f>
        <v/>
      </c>
      <c r="DF140" s="251">
        <f>IFERROR(__xludf.DUMMYFUNCTION("AVERAGE(ARRAYFORMULA(XLOOKUP(FILTER(INDIRECT(""'""&amp;DF$1&amp;""'!$C$4:$C$66""),INDIRECT(""'""&amp;DF$1&amp;""'!$D$4:$D$66"")=DF$2),$G$3:$BQ$3,$G140:$BQ140)))"),-0.389770025)</f>
        <v>-0.389770025</v>
      </c>
      <c r="DG140" s="207" t="str">
        <f>IFERROR(__xludf.DUMMYFUNCTION("IF(OR(DF140&gt;$BS140+$BT140*$BT$2,DF140&lt;$BS140-$BT140*$BT$2),AVEDEV(ARRAYFORMULA(XLOOKUP(FILTER(INDIRECT(""'""&amp;DF$1&amp;""'!$C$4:$C$66""),INDIRECT(""'""&amp;DF$1&amp;""'!$D$4:$D$66"")=DF$2),$G$3:$BQ$3,$G140:$BQ140))),"""")"),"")</f>
        <v/>
      </c>
      <c r="DH140" s="251">
        <f>IFERROR(__xludf.DUMMYFUNCTION("AVERAGE(ARRAYFORMULA(XLOOKUP(FILTER(INDIRECT(""'""&amp;DH$1&amp;""'!$C$4:$C$66""),INDIRECT(""'""&amp;DH$1&amp;""'!$D$4:$D$66"")=DH$2),$G$3:$BQ$3,$G140:$BQ140)))"),0.5387937566666666)</f>
        <v>0.5387937567</v>
      </c>
      <c r="DI140" s="207" t="str">
        <f>IFERROR(__xludf.DUMMYFUNCTION("IF(OR(DH140&gt;$BS140+$BT140*$BT$2,DH140&lt;$BS140-$BT140*$BT$2),AVEDEV(ARRAYFORMULA(XLOOKUP(FILTER(INDIRECT(""'""&amp;DH$1&amp;""'!$C$4:$C$66""),INDIRECT(""'""&amp;DH$1&amp;""'!$D$4:$D$66"")=DH$2),$G$3:$BQ$3,$G140:$BQ140))),"""")"),"")</f>
        <v/>
      </c>
      <c r="DJ140" s="243"/>
    </row>
    <row r="141">
      <c r="A141" s="2"/>
      <c r="B141" s="204">
        <v>137.0</v>
      </c>
      <c r="C141" s="204" t="s">
        <v>540</v>
      </c>
      <c r="D141" s="204" t="s">
        <v>583</v>
      </c>
      <c r="E141" s="205" t="b">
        <f>VLOOKUP(D141,'Feature Set List'!A138:C246,2,0)</f>
        <v>1</v>
      </c>
      <c r="F141" s="205" t="b">
        <f>VLOOKUP(D141,'Feature Set List'!A138:C246,3,0)</f>
        <v>1</v>
      </c>
      <c r="G141" s="205">
        <v>-0.0484718</v>
      </c>
      <c r="H141" s="205">
        <v>1.64165219</v>
      </c>
      <c r="I141" s="205">
        <v>-0.0484718</v>
      </c>
      <c r="J141" s="205">
        <v>0.04523767</v>
      </c>
      <c r="K141" s="205">
        <v>-0.0206824</v>
      </c>
      <c r="L141" s="205">
        <v>-0.0808928</v>
      </c>
      <c r="M141" s="205">
        <v>-0.0027151</v>
      </c>
      <c r="N141" s="205">
        <v>0.40430417</v>
      </c>
      <c r="O141" s="205">
        <v>-0.0636442</v>
      </c>
      <c r="P141" s="205">
        <v>-0.0659999</v>
      </c>
      <c r="Q141" s="205">
        <v>0.0</v>
      </c>
      <c r="R141" s="205">
        <v>0.27573816</v>
      </c>
      <c r="S141" s="205">
        <v>1.29069094</v>
      </c>
      <c r="T141" s="205">
        <v>3.04589647</v>
      </c>
      <c r="U141" s="205">
        <v>-0.0570162</v>
      </c>
      <c r="V141" s="205">
        <v>0.05134655</v>
      </c>
      <c r="W141" s="205">
        <v>-0.0775788</v>
      </c>
      <c r="X141" s="205">
        <v>0.99562796</v>
      </c>
      <c r="Y141" s="205">
        <v>3.00636841</v>
      </c>
      <c r="Z141" s="205">
        <v>0.05134655</v>
      </c>
      <c r="AA141" s="205">
        <v>0.89101835</v>
      </c>
      <c r="AB141" s="205">
        <v>-0.056577</v>
      </c>
      <c r="AC141" s="205">
        <v>-0.0751033</v>
      </c>
      <c r="AD141" s="205">
        <v>0.07630113</v>
      </c>
      <c r="AE141" s="205">
        <v>3.98019604</v>
      </c>
      <c r="AF141" s="205">
        <v>3.02872772</v>
      </c>
      <c r="AG141" s="205">
        <v>-0.0982612</v>
      </c>
      <c r="AH141" s="205">
        <v>0.22618834</v>
      </c>
      <c r="AI141" s="205">
        <v>-0.0651215</v>
      </c>
      <c r="AJ141" s="205">
        <v>-0.0276696</v>
      </c>
      <c r="AK141" s="205">
        <v>1.44481044</v>
      </c>
      <c r="AL141" s="205">
        <v>0.20690344</v>
      </c>
      <c r="AM141" s="205">
        <v>-0.1050488</v>
      </c>
      <c r="AN141" s="205">
        <v>1.22640794</v>
      </c>
      <c r="AO141" s="205">
        <v>0.02203989</v>
      </c>
      <c r="AP141" s="205">
        <v>-0.0149328</v>
      </c>
      <c r="AQ141" s="205">
        <v>0.05134655</v>
      </c>
      <c r="AR141" s="205">
        <v>1.20684354</v>
      </c>
      <c r="AS141" s="205">
        <v>-0.0609291</v>
      </c>
      <c r="AT141" s="205">
        <v>-0.0469545</v>
      </c>
      <c r="AU141" s="205">
        <v>180.123615</v>
      </c>
      <c r="AV141" s="205">
        <v>-0.0859236</v>
      </c>
      <c r="AW141" s="205">
        <v>1.41366713</v>
      </c>
      <c r="AX141" s="205">
        <v>0.71094608</v>
      </c>
      <c r="AY141" s="205">
        <v>-0.0567767</v>
      </c>
      <c r="AZ141" s="205">
        <v>-0.0900761</v>
      </c>
      <c r="BA141" s="205">
        <v>-0.0798547</v>
      </c>
      <c r="BB141" s="205">
        <v>-0.0922721</v>
      </c>
      <c r="BC141" s="205">
        <v>1.01758799</v>
      </c>
      <c r="BD141" s="205">
        <v>-0.0463956</v>
      </c>
      <c r="BE141" s="205">
        <v>-0.0152123</v>
      </c>
      <c r="BF141" s="205">
        <v>0.05753529</v>
      </c>
      <c r="BG141" s="205">
        <v>-0.0526242</v>
      </c>
      <c r="BH141" s="205">
        <v>6.24008305</v>
      </c>
      <c r="BI141" s="205">
        <v>1.44880318</v>
      </c>
      <c r="BJ141" s="205">
        <v>-0.0940289</v>
      </c>
      <c r="BK141" s="205">
        <v>-0.0531034</v>
      </c>
      <c r="BL141" s="205">
        <v>-0.0443193</v>
      </c>
      <c r="BM141" s="205">
        <v>-0.0451578</v>
      </c>
      <c r="BN141" s="205">
        <v>0.63628197</v>
      </c>
      <c r="BO141" s="205">
        <v>1.44880318</v>
      </c>
      <c r="BP141" s="205">
        <v>-0.0443193</v>
      </c>
      <c r="BQ141" s="205">
        <v>0.03305983</v>
      </c>
      <c r="BR141" s="206"/>
      <c r="BS141" s="250">
        <f t="shared" si="1"/>
        <v>3.404495879</v>
      </c>
      <c r="BT141" s="250">
        <f t="shared" si="2"/>
        <v>5.718425602</v>
      </c>
      <c r="BU141" s="206"/>
      <c r="BV141" s="207">
        <f>IFERROR(__xludf.DUMMYFUNCTION("AVERAGE(ARRAYFORMULA(XLOOKUP(FILTER(INDIRECT(""'""&amp;BV$1&amp;""'!$C$4:$C$66""),INDIRECT(""'""&amp;BV$1&amp;""'!$D$4:$D$66"")=BV$2),$G$3:$BQ$3,$G141:$BQ141)))"),0.10743875)</f>
        <v>0.10743875</v>
      </c>
      <c r="BW141" s="207" t="str">
        <f>IFERROR(__xludf.DUMMYFUNCTION("IF(OR(BV141&gt;$BS141+$BT141*$BT$2,BV141&lt;$BS141-$BT141*$BT$2),AVEDEV(ARRAYFORMULA(XLOOKUP(FILTER(INDIRECT(""'""&amp;BV$1&amp;""'!$C$4:$C$66""),INDIRECT(""'""&amp;BV$1&amp;""'!$D$4:$D$66"")=BV$2),$G$3:$BQ$3,$G141:$BQ141))),"""")"),"")</f>
        <v/>
      </c>
      <c r="BX141" s="207">
        <f>IFERROR(__xludf.DUMMYFUNCTION("AVERAGE(ARRAYFORMULA(XLOOKUP(FILTER(INDIRECT(""'""&amp;BX$1&amp;""'!$C$4:$C$66""),INDIRECT(""'""&amp;BX$1&amp;""'!$D$4:$D$66"")=BX$2),$G$3:$BQ$3,$G141:$BQ141)))"),0.5979089500000001)</f>
        <v>0.59790895</v>
      </c>
      <c r="BY141" s="207" t="str">
        <f>IFERROR(__xludf.DUMMYFUNCTION("IF(OR(BX141&gt;$BS141+$BT141*$BT$2,BX141&lt;$BS141-$BT141*$BT$2),AVEDEV(ARRAYFORMULA(XLOOKUP(FILTER(INDIRECT(""'""&amp;BX$1&amp;""'!$C$4:$C$66""),INDIRECT(""'""&amp;BX$1&amp;""'!$D$4:$D$66"")=BX$2),$G$3:$BQ$3,$G141:$BQ141))),"""")"),"")</f>
        <v/>
      </c>
      <c r="BZ141" s="207">
        <f>IFERROR(__xludf.DUMMYFUNCTION("AVERAGE(ARRAYFORMULA(XLOOKUP(FILTER(INDIRECT(""'""&amp;BZ$1&amp;""'!$C$4:$C$66""),INDIRECT(""'""&amp;BZ$1&amp;""'!$D$4:$D$66"")=BZ$2),$G$3:$BQ$3,$G141:$BQ141)))"),0.7809314181818181)</f>
        <v>0.7809314182</v>
      </c>
      <c r="CA141" s="207" t="str">
        <f>IFERROR(__xludf.DUMMYFUNCTION("IF(OR(BZ141&gt;$BS141+$BT141*$BT$2,BZ141&lt;$BS141-$BT141*$BT$2),AVEDEV(ARRAYFORMULA(XLOOKUP(FILTER(INDIRECT(""'""&amp;BZ$1&amp;""'!$C$4:$C$66""),INDIRECT(""'""&amp;BZ$1&amp;""'!$D$4:$D$66"")=BZ$2),$G$3:$BQ$3,$G141:$BQ141))),"""")"),"")</f>
        <v/>
      </c>
      <c r="CB141" s="209"/>
      <c r="CC141" s="207">
        <f>IFERROR(__xludf.DUMMYFUNCTION("AVERAGE(ARRAYFORMULA(XLOOKUP(FILTER(INDIRECT(""'""&amp;CC$1&amp;""'!$C$4:$C$66""),INDIRECT(""'""&amp;CC$1&amp;""'!$D$4:$D$66"")=CC$2),$G$3:$BQ$3,$G141:$BQ141)))"),0.543428458125)</f>
        <v>0.5434284581</v>
      </c>
      <c r="CD141" s="207" t="str">
        <f>IFERROR(__xludf.DUMMYFUNCTION("IF(OR(CC141&gt;$BS141+$BT141*$BT$2,CC141&lt;$BS141-$BT141*$BT$2),AVEDEV(ARRAYFORMULA(XLOOKUP(FILTER(INDIRECT(""'""&amp;CC$1&amp;""'!$C$4:$C$66""),INDIRECT(""'""&amp;CC$1&amp;""'!$D$4:$D$66"")=CC$2),$G$3:$BQ$3,$G141:$BQ141))),"""")"),"")</f>
        <v/>
      </c>
      <c r="CE141" s="207">
        <f>IFERROR(__xludf.DUMMYFUNCTION("AVERAGE(ARRAYFORMULA(XLOOKUP(FILTER(INDIRECT(""'""&amp;CE$1&amp;""'!$C$4:$C$66""),INDIRECT(""'""&amp;CE$1&amp;""'!$D$4:$D$66"")=CE$2),$G$3:$BQ$3,$G141:$BQ141)))"),0.6040915193548387)</f>
        <v>0.6040915194</v>
      </c>
      <c r="CF141" s="207" t="str">
        <f>IFERROR(__xludf.DUMMYFUNCTION("IF(OR(CE141&gt;$BS141+$BT141*$BT$2,CE141&lt;$BS141-$BT141*$BT$2),AVEDEV(ARRAYFORMULA(XLOOKUP(FILTER(INDIRECT(""'""&amp;CE$1&amp;""'!$C$4:$C$66""),INDIRECT(""'""&amp;CE$1&amp;""'!$D$4:$D$66"")=CE$2),$G$3:$BQ$3,$G141:$BQ141))),"""")"),"")</f>
        <v/>
      </c>
      <c r="CG141" s="207">
        <f>IFERROR(__xludf.DUMMYFUNCTION("AVERAGE(ARRAYFORMULA(XLOOKUP(FILTER(INDIRECT(""'""&amp;CG$1&amp;""'!$C$4:$C$66""),INDIRECT(""'""&amp;CG$1&amp;""'!$D$4:$D$66"")=CG$2),$G$3:$BQ$3,$G141:$BQ141)))"),0.557297714)</f>
        <v>0.557297714</v>
      </c>
      <c r="CH141" s="207" t="str">
        <f>IFERROR(__xludf.DUMMYFUNCTION("IF(OR(CG141&gt;$BS141+$BT141*$BT$2,CG141&lt;$BS141-$BT141*$BT$2),AVEDEV(ARRAYFORMULA(XLOOKUP(FILTER(INDIRECT(""'""&amp;CG$1&amp;""'!$C$4:$C$66""),INDIRECT(""'""&amp;CG$1&amp;""'!$D$4:$D$66"")=CG$2),$G$3:$BQ$3,$G141:$BQ141))),"""")"),"")</f>
        <v/>
      </c>
      <c r="CI141" s="206"/>
      <c r="CJ141" s="251">
        <f>IFERROR(__xludf.DUMMYFUNCTION("AVERAGE(ARRAYFORMULA(XLOOKUP(FILTER(INDIRECT(""'""&amp;CJ$1&amp;""'!$C$4:$C$66""),INDIRECT(""'""&amp;CJ$1&amp;""'!$D$4:$D$66"")=CJ$2),$G$3:$BQ$3,$G141:$BQ141)))"),0.70104943)</f>
        <v>0.70104943</v>
      </c>
      <c r="CK141" s="207" t="str">
        <f>IFERROR(__xludf.DUMMYFUNCTION("IF(OR(CJ141&gt;$BS141+$BT141*$BT$2,CJ141&lt;$BS141-$BT141*$BT$2),AVEDEV(ARRAYFORMULA(XLOOKUP(FILTER(INDIRECT(""'""&amp;CJ$1&amp;""'!$C$4:$C$66""),INDIRECT(""'""&amp;CJ$1&amp;""'!$D$4:$D$66"")=CJ$2),$G$3:$BQ$3,$G141:$BQ141))),"""")"),"")</f>
        <v/>
      </c>
      <c r="CL141" s="251">
        <f>IFERROR(__xludf.DUMMYFUNCTION("AVERAGE(ARRAYFORMULA(XLOOKUP(FILTER(INDIRECT(""'""&amp;CL$1&amp;""'!$C$4:$C$66""),INDIRECT(""'""&amp;CL$1&amp;""'!$D$4:$D$66"")=CL$2),$G$3:$BQ$3,$G141:$BQ141)))"),0.5435021033333335)</f>
        <v>0.5435021033</v>
      </c>
      <c r="CM141" s="207" t="str">
        <f>IFERROR(__xludf.DUMMYFUNCTION("IF(OR(CL141&gt;$BS141+$BT141*$BT$2,CL141&lt;$BS141-$BT141*$BT$2),AVEDEV(ARRAYFORMULA(XLOOKUP(FILTER(INDIRECT(""'""&amp;CL$1&amp;""'!$C$4:$C$66""),INDIRECT(""'""&amp;CL$1&amp;""'!$D$4:$D$66"")=CL$2),$G$3:$BQ$3,$G141:$BQ141))),"""")"),"")</f>
        <v/>
      </c>
      <c r="CN141" s="251">
        <f>IFERROR(__xludf.DUMMYFUNCTION("AVERAGE(ARRAYFORMULA(XLOOKUP(FILTER(INDIRECT(""'""&amp;CN$1&amp;""'!$C$4:$C$66""),INDIRECT(""'""&amp;CN$1&amp;""'!$D$4:$D$66"")=CN$2),$G$3:$BQ$3,$G141:$BQ141)))"),0.557297714)</f>
        <v>0.557297714</v>
      </c>
      <c r="CO141" s="207" t="str">
        <f>IFERROR(__xludf.DUMMYFUNCTION("IF(OR(CN141&gt;$BS141+$BT141*$BT$2,CN141&lt;$BS141-$BT141*$BT$2),AVEDEV(ARRAYFORMULA(XLOOKUP(FILTER(INDIRECT(""'""&amp;CN$1&amp;""'!$C$4:$C$66""),INDIRECT(""'""&amp;CN$1&amp;""'!$D$4:$D$66"")=CN$2),$G$3:$BQ$3,$G141:$BQ141))),"""")"),"")</f>
        <v/>
      </c>
      <c r="CP141" s="252"/>
      <c r="CQ141" s="251">
        <f>IFERROR(__xludf.DUMMYFUNCTION("AVERAGE(ARRAYFORMULA(XLOOKUP(FILTER(INDIRECT(""'""&amp;CQ$1&amp;""'!$C$4:$C$66""),INDIRECT(""'""&amp;CQ$1&amp;""'!$D$4:$D$66"")=CQ$2),$G$3:$BQ$3,$G141:$BQ141)))"),0.6475414692857143)</f>
        <v>0.6475414693</v>
      </c>
      <c r="CR141" s="207" t="str">
        <f>IFERROR(__xludf.DUMMYFUNCTION("IF(OR(CQ141&gt;$BS141+$BT141*$BT$2,CQ141&lt;$BS141-$BT141*$BT$2),AVEDEV(ARRAYFORMULA(XLOOKUP(FILTER(INDIRECT(""'""&amp;CQ$1&amp;""'!$C$4:$C$66""),INDIRECT(""'""&amp;CQ$1&amp;""'!$D$4:$D$66"")=CQ$2),$G$3:$BQ$3,$G141:$BQ141))),"""")"),"")</f>
        <v/>
      </c>
      <c r="CS141" s="251">
        <f>IFERROR(__xludf.DUMMYFUNCTION("AVERAGE(ARRAYFORMULA(XLOOKUP(FILTER(INDIRECT(""'""&amp;CS$1&amp;""'!$C$4:$C$66""),INDIRECT(""'""&amp;CS$1&amp;""'!$D$4:$D$66"")=CS$2),$G$3:$BQ$3,$G141:$BQ141)))"),0.9694977222222223)</f>
        <v>0.9694977222</v>
      </c>
      <c r="CT141" s="207" t="str">
        <f>IFERROR(__xludf.DUMMYFUNCTION("IF(OR(CS141&gt;$BS141+$BT141*$BT$2,CS141&lt;$BS141-$BT141*$BT$2),AVEDEV(ARRAYFORMULA(XLOOKUP(FILTER(INDIRECT(""'""&amp;CS$1&amp;""'!$C$4:$C$66""),INDIRECT(""'""&amp;CS$1&amp;""'!$D$4:$D$66"")=CS$2),$G$3:$BQ$3,$G141:$BQ141))),"""")"),"")</f>
        <v/>
      </c>
      <c r="CU141" s="251">
        <f>IFERROR(__xludf.DUMMYFUNCTION("AVERAGE(ARRAYFORMULA(XLOOKUP(FILTER(INDIRECT(""'""&amp;CU$1&amp;""'!$C$4:$C$66""),INDIRECT(""'""&amp;CU$1&amp;""'!$D$4:$D$66"")=CU$2),$G$3:$BQ$3,$G141:$BQ141)))"),0.3040357554545455)</f>
        <v>0.3040357555</v>
      </c>
      <c r="CV141" s="207" t="str">
        <f>IFERROR(__xludf.DUMMYFUNCTION("IF(OR(CU141&gt;$BS141+$BT141*$BT$2,CU141&lt;$BS141-$BT141*$BT$2),AVEDEV(ARRAYFORMULA(XLOOKUP(FILTER(INDIRECT(""'""&amp;CU$1&amp;""'!$C$4:$C$66""),INDIRECT(""'""&amp;CU$1&amp;""'!$D$4:$D$66"")=CU$2),$G$3:$BQ$3,$G141:$BQ141))),"""")"),"")</f>
        <v/>
      </c>
      <c r="CW141" s="251">
        <f>IFERROR(__xludf.DUMMYFUNCTION("AVERAGE(ARRAYFORMULA(XLOOKUP(FILTER(INDIRECT(""'""&amp;CW$1&amp;""'!$C$4:$C$66""),INDIRECT(""'""&amp;CW$1&amp;""'!$D$4:$D$66"")=CW$2),$G$3:$BQ$3,$G141:$BQ141)))"),3.15819209)</f>
        <v>3.15819209</v>
      </c>
      <c r="CX141" s="207" t="str">
        <f>IFERROR(__xludf.DUMMYFUNCTION("IF(OR(CW141&gt;$BS141+$BT141*$BT$2,CW141&lt;$BS141-$BT141*$BT$2),AVEDEV(ARRAYFORMULA(XLOOKUP(FILTER(INDIRECT(""'""&amp;CW$1&amp;""'!$C$4:$C$66""),INDIRECT(""'""&amp;CW$1&amp;""'!$D$4:$D$66"")=CW$2),$G$3:$BQ$3,$G141:$BQ141))),"""")"),"")</f>
        <v/>
      </c>
      <c r="CY141" s="251">
        <f>IFERROR(__xludf.DUMMYFUNCTION("AVERAGE(ARRAYFORMULA(XLOOKUP(FILTER(INDIRECT(""'""&amp;CY$1&amp;""'!$C$4:$C$66""),INDIRECT(""'""&amp;CY$1&amp;""'!$D$4:$D$66"")=CY$2),$G$3:$BQ$3,$G141:$BQ141)))"),0.4555252314285715)</f>
        <v>0.4555252314</v>
      </c>
      <c r="CZ141" s="207" t="str">
        <f>IFERROR(__xludf.DUMMYFUNCTION("IF(OR(CY141&gt;$BS141+$BT141*$BT$2,CY141&lt;$BS141-$BT141*$BT$2),AVEDEV(ARRAYFORMULA(XLOOKUP(FILTER(INDIRECT(""'""&amp;CY$1&amp;""'!$C$4:$C$66""),INDIRECT(""'""&amp;CY$1&amp;""'!$D$4:$D$66"")=CY$2),$G$3:$BQ$3,$G141:$BQ141))),"""")"),"")</f>
        <v/>
      </c>
      <c r="DA141" s="252"/>
      <c r="DB141" s="251">
        <f>IFERROR(__xludf.DUMMYFUNCTION("AVERAGE(ARRAYFORMULA(XLOOKUP(FILTER(INDIRECT(""'""&amp;DB$1&amp;""'!$C$4:$C$66""),INDIRECT(""'""&amp;DB$1&amp;""'!$D$4:$D$66"")=DB$2),$G$3:$BQ$3,$G141:$BQ141)))"),0.3956159783333334)</f>
        <v>0.3956159783</v>
      </c>
      <c r="DC141" s="207" t="str">
        <f>IFERROR(__xludf.DUMMYFUNCTION("IF(OR(DB141&gt;$BS141+$BT141*$BT$2,DB141&lt;$BS141-$BT141*$BT$2),AVEDEV(ARRAYFORMULA(XLOOKUP(FILTER(INDIRECT(""'""&amp;DB$1&amp;""'!$C$4:$C$66""),INDIRECT(""'""&amp;DB$1&amp;""'!$D$4:$D$66"")=DB$2),$G$3:$BQ$3,$G141:$BQ141))),"""")"),"")</f>
        <v/>
      </c>
      <c r="DD141" s="251">
        <f>IFERROR(__xludf.DUMMYFUNCTION("AVERAGE(ARRAYFORMULA(XLOOKUP(FILTER(INDIRECT(""'""&amp;DD$1&amp;""'!$C$4:$C$66""),INDIRECT(""'""&amp;DD$1&amp;""'!$D$4:$D$66"")=DD$2),$G$3:$BQ$3,$G141:$BQ141)))"),0.2843668855555556)</f>
        <v>0.2843668856</v>
      </c>
      <c r="DE141" s="207" t="str">
        <f>IFERROR(__xludf.DUMMYFUNCTION("IF(OR(DD141&gt;$BS141+$BT141*$BT$2,DD141&lt;$BS141-$BT141*$BT$2),AVEDEV(ARRAYFORMULA(XLOOKUP(FILTER(INDIRECT(""'""&amp;DD$1&amp;""'!$C$4:$C$66""),INDIRECT(""'""&amp;DD$1&amp;""'!$D$4:$D$66"")=DD$2),$G$3:$BQ$3,$G141:$BQ141))),"""")"),"")</f>
        <v/>
      </c>
      <c r="DF141" s="251">
        <f>IFERROR(__xludf.DUMMYFUNCTION("AVERAGE(ARRAYFORMULA(XLOOKUP(FILTER(INDIRECT(""'""&amp;DF$1&amp;""'!$C$4:$C$66""),INDIRECT(""'""&amp;DF$1&amp;""'!$D$4:$D$66"")=DF$2),$G$3:$BQ$3,$G141:$BQ141)))"),0.27028308125)</f>
        <v>0.2702830813</v>
      </c>
      <c r="DG141" s="207" t="str">
        <f>IFERROR(__xludf.DUMMYFUNCTION("IF(OR(DF141&gt;$BS141+$BT141*$BT$2,DF141&lt;$BS141-$BT141*$BT$2),AVEDEV(ARRAYFORMULA(XLOOKUP(FILTER(INDIRECT(""'""&amp;DF$1&amp;""'!$C$4:$C$66""),INDIRECT(""'""&amp;DF$1&amp;""'!$D$4:$D$66"")=DF$2),$G$3:$BQ$3,$G141:$BQ141))),"""")"),"")</f>
        <v/>
      </c>
      <c r="DH141" s="251">
        <f>IFERROR(__xludf.DUMMYFUNCTION("AVERAGE(ARRAYFORMULA(XLOOKUP(FILTER(INDIRECT(""'""&amp;DH$1&amp;""'!$C$4:$C$66""),INDIRECT(""'""&amp;DH$1&amp;""'!$D$4:$D$66"")=DH$2),$G$3:$BQ$3,$G141:$BQ141)))"),1.7426949655555555)</f>
        <v>1.742694966</v>
      </c>
      <c r="DI141" s="207" t="str">
        <f>IFERROR(__xludf.DUMMYFUNCTION("IF(OR(DH141&gt;$BS141+$BT141*$BT$2,DH141&lt;$BS141-$BT141*$BT$2),AVEDEV(ARRAYFORMULA(XLOOKUP(FILTER(INDIRECT(""'""&amp;DH$1&amp;""'!$C$4:$C$66""),INDIRECT(""'""&amp;DH$1&amp;""'!$D$4:$D$66"")=DH$2),$G$3:$BQ$3,$G141:$BQ141))),"""")"),"")</f>
        <v/>
      </c>
      <c r="DJ141" s="243"/>
    </row>
    <row r="142">
      <c r="A142" s="2"/>
      <c r="B142" s="204">
        <v>138.0</v>
      </c>
      <c r="C142" s="204" t="s">
        <v>540</v>
      </c>
      <c r="D142" s="204" t="s">
        <v>584</v>
      </c>
      <c r="E142" s="205" t="b">
        <f>VLOOKUP(D142,'Feature Set List'!A139:C246,2,0)</f>
        <v>1</v>
      </c>
      <c r="F142" s="205" t="b">
        <f>VLOOKUP(D142,'Feature Set List'!A139:C246,3,0)</f>
        <v>0</v>
      </c>
      <c r="G142" s="205">
        <v>0.50301568</v>
      </c>
      <c r="H142" s="205">
        <v>2.50904704</v>
      </c>
      <c r="I142" s="205">
        <v>0.47165259</v>
      </c>
      <c r="J142" s="205">
        <v>0.0</v>
      </c>
      <c r="K142" s="205">
        <v>0.7575392</v>
      </c>
      <c r="L142" s="205">
        <v>-0.3811821</v>
      </c>
      <c r="M142" s="205">
        <v>0.55528749</v>
      </c>
      <c r="N142" s="205">
        <v>-0.1021311</v>
      </c>
      <c r="O142" s="205">
        <v>-0.6622437</v>
      </c>
      <c r="P142" s="205">
        <v>0.12102935</v>
      </c>
      <c r="Q142" s="205">
        <v>-0.9927624</v>
      </c>
      <c r="R142" s="205">
        <v>-0.575392</v>
      </c>
      <c r="S142" s="205">
        <v>-0.7880981</v>
      </c>
      <c r="T142" s="205">
        <v>-0.575392</v>
      </c>
      <c r="U142" s="205">
        <v>-0.0172899</v>
      </c>
      <c r="V142" s="205">
        <v>0.51347004</v>
      </c>
      <c r="W142" s="205">
        <v>-0.1986329</v>
      </c>
      <c r="X142" s="205">
        <v>0.25613189</v>
      </c>
      <c r="Y142" s="205">
        <v>0.34579815</v>
      </c>
      <c r="Z142" s="205">
        <v>0.51347004</v>
      </c>
      <c r="AA142" s="205">
        <v>-0.4503418</v>
      </c>
      <c r="AB142" s="205">
        <v>-0.3634901</v>
      </c>
      <c r="AC142" s="205">
        <v>-0.4917571</v>
      </c>
      <c r="AD142" s="205">
        <v>-0.9943707</v>
      </c>
      <c r="AE142" s="205">
        <v>3.66184158</v>
      </c>
      <c r="AF142" s="205">
        <v>0.33614797</v>
      </c>
      <c r="AG142" s="205">
        <v>0.79171693</v>
      </c>
      <c r="AH142" s="205">
        <v>-0.5741858</v>
      </c>
      <c r="AI142" s="205">
        <v>0.34579815</v>
      </c>
      <c r="AJ142" s="205">
        <v>-0.9107358</v>
      </c>
      <c r="AK142" s="205">
        <v>-0.4917571</v>
      </c>
      <c r="AL142" s="205">
        <v>-0.4917571</v>
      </c>
      <c r="AM142" s="205">
        <v>0.44632087</v>
      </c>
      <c r="AN142" s="205">
        <v>0.42983514</v>
      </c>
      <c r="AO142" s="205">
        <v>1.08685163</v>
      </c>
      <c r="AP142" s="205">
        <v>1.11741053</v>
      </c>
      <c r="AQ142" s="205">
        <v>0.51347004</v>
      </c>
      <c r="AR142" s="205">
        <v>12.1499799</v>
      </c>
      <c r="AS142" s="205">
        <v>-0.6172095</v>
      </c>
      <c r="AT142" s="205">
        <v>0.54402895</v>
      </c>
      <c r="AU142" s="205">
        <v>1813.94331</v>
      </c>
      <c r="AV142" s="205">
        <v>-0.8689184</v>
      </c>
      <c r="AW142" s="205">
        <v>0.7535183</v>
      </c>
      <c r="AX142" s="205">
        <v>20.1274628</v>
      </c>
      <c r="AY142" s="205">
        <v>-0.4917571</v>
      </c>
      <c r="AZ142" s="205">
        <v>-0.659429</v>
      </c>
      <c r="BA142" s="205">
        <v>0.00321673</v>
      </c>
      <c r="BB142" s="205">
        <v>-0.3952553</v>
      </c>
      <c r="BC142" s="205">
        <v>0.00402091</v>
      </c>
      <c r="BD142" s="205">
        <v>-0.4917571</v>
      </c>
      <c r="BE142" s="205">
        <v>-0.1568154</v>
      </c>
      <c r="BF142" s="205">
        <v>0.59750704</v>
      </c>
      <c r="BG142" s="205">
        <v>-0.1568154</v>
      </c>
      <c r="BH142" s="205">
        <v>-0.9943707</v>
      </c>
      <c r="BI142" s="205">
        <v>-0.8266988</v>
      </c>
      <c r="BJ142" s="205">
        <v>-0.4459188</v>
      </c>
      <c r="BK142" s="205">
        <v>0.46200241</v>
      </c>
      <c r="BL142" s="205">
        <v>0.01085645</v>
      </c>
      <c r="BM142" s="205">
        <v>-0.2573382</v>
      </c>
      <c r="BN142" s="205">
        <v>-0.637314</v>
      </c>
      <c r="BO142" s="205">
        <v>-0.5544833</v>
      </c>
      <c r="BP142" s="205">
        <v>0.38801769</v>
      </c>
      <c r="BQ142" s="205">
        <v>0.01085645</v>
      </c>
      <c r="BR142" s="206"/>
      <c r="BS142" s="250">
        <f t="shared" si="1"/>
        <v>29.32785732</v>
      </c>
      <c r="BT142" s="250">
        <f t="shared" si="2"/>
        <v>56.65445882</v>
      </c>
      <c r="BU142" s="206"/>
      <c r="BV142" s="207">
        <f>IFERROR(__xludf.DUMMYFUNCTION("AVERAGE(ARRAYFORMULA(XLOOKUP(FILTER(INDIRECT(""'""&amp;BV$1&amp;""'!$C$4:$C$66""),INDIRECT(""'""&amp;BV$1&amp;""'!$D$4:$D$66"")=BV$2),$G$3:$BQ$3,$G142:$BQ142)))"),0.04181746714285715)</f>
        <v>0.04181746714</v>
      </c>
      <c r="BW142" s="207" t="str">
        <f>IFERROR(__xludf.DUMMYFUNCTION("IF(OR(BV142&gt;$BS142+$BT142*$BT$2,BV142&lt;$BS142-$BT142*$BT$2),AVEDEV(ARRAYFORMULA(XLOOKUP(FILTER(INDIRECT(""'""&amp;BV$1&amp;""'!$C$4:$C$66""),INDIRECT(""'""&amp;BV$1&amp;""'!$D$4:$D$66"")=BV$2),$G$3:$BQ$3,$G142:$BQ142))),"""")"),"")</f>
        <v/>
      </c>
      <c r="BX142" s="207">
        <f>IFERROR(__xludf.DUMMYFUNCTION("AVERAGE(ARRAYFORMULA(XLOOKUP(FILTER(INDIRECT(""'""&amp;BX$1&amp;""'!$C$4:$C$66""),INDIRECT(""'""&amp;BX$1&amp;""'!$D$4:$D$66"")=BX$2),$G$3:$BQ$3,$G142:$BQ142)))"),0.8011086264285716)</f>
        <v>0.8011086264</v>
      </c>
      <c r="BY142" s="207" t="str">
        <f>IFERROR(__xludf.DUMMYFUNCTION("IF(OR(BX142&gt;$BS142+$BT142*$BT$2,BX142&lt;$BS142-$BT142*$BT$2),AVEDEV(ARRAYFORMULA(XLOOKUP(FILTER(INDIRECT(""'""&amp;BX$1&amp;""'!$C$4:$C$66""),INDIRECT(""'""&amp;BX$1&amp;""'!$D$4:$D$66"")=BX$2),$G$3:$BQ$3,$G142:$BQ142))),"""")"),"")</f>
        <v/>
      </c>
      <c r="BZ142" s="207">
        <f>IFERROR(__xludf.DUMMYFUNCTION("AVERAGE(ARRAYFORMULA(XLOOKUP(FILTER(INDIRECT(""'""&amp;BZ$1&amp;""'!$C$4:$C$66""),INDIRECT(""'""&amp;BZ$1&amp;""'!$D$4:$D$66"")=BZ$2),$G$3:$BQ$3,$G142:$BQ142)))"),-0.018861711818181828)</f>
        <v>-0.01886171182</v>
      </c>
      <c r="CA142" s="207" t="str">
        <f>IFERROR(__xludf.DUMMYFUNCTION("IF(OR(BZ142&gt;$BS142+$BT142*$BT$2,BZ142&lt;$BS142-$BT142*$BT$2),AVEDEV(ARRAYFORMULA(XLOOKUP(FILTER(INDIRECT(""'""&amp;BZ$1&amp;""'!$C$4:$C$66""),INDIRECT(""'""&amp;BZ$1&amp;""'!$D$4:$D$66"")=BZ$2),$G$3:$BQ$3,$G142:$BQ142))),"""")"),"")</f>
        <v/>
      </c>
      <c r="CB142" s="209"/>
      <c r="CC142" s="207">
        <f>IFERROR(__xludf.DUMMYFUNCTION("AVERAGE(ARRAYFORMULA(XLOOKUP(FILTER(INDIRECT(""'""&amp;CC$1&amp;""'!$C$4:$C$66""),INDIRECT(""'""&amp;CC$1&amp;""'!$D$4:$D$66"")=CC$2),$G$3:$BQ$3,$G142:$BQ142)))"),0.69368215)</f>
        <v>0.69368215</v>
      </c>
      <c r="CD142" s="207" t="str">
        <f>IFERROR(__xludf.DUMMYFUNCTION("IF(OR(CC142&gt;$BS142+$BT142*$BT$2,CC142&lt;$BS142-$BT142*$BT$2),AVEDEV(ARRAYFORMULA(XLOOKUP(FILTER(INDIRECT(""'""&amp;CC$1&amp;""'!$C$4:$C$66""),INDIRECT(""'""&amp;CC$1&amp;""'!$D$4:$D$66"")=CC$2),$G$3:$BQ$3,$G142:$BQ142))),"""")"),"")</f>
        <v/>
      </c>
      <c r="CE142" s="207">
        <f>IFERROR(__xludf.DUMMYFUNCTION("AVERAGE(ARRAYFORMULA(XLOOKUP(FILTER(INDIRECT(""'""&amp;CE$1&amp;""'!$C$4:$C$66""),INDIRECT(""'""&amp;CE$1&amp;""'!$D$4:$D$66"")=CE$2),$G$3:$BQ$3,$G142:$BQ142)))"),-0.3053036993548387)</f>
        <v>-0.3053036994</v>
      </c>
      <c r="CF142" s="207" t="str">
        <f>IFERROR(__xludf.DUMMYFUNCTION("IF(OR(CE142&gt;$BS142+$BT142*$BT$2,CE142&lt;$BS142-$BT142*$BT$2),AVEDEV(ARRAYFORMULA(XLOOKUP(FILTER(INDIRECT(""'""&amp;CE$1&amp;""'!$C$4:$C$66""),INDIRECT(""'""&amp;CE$1&amp;""'!$D$4:$D$66"")=CE$2),$G$3:$BQ$3,$G142:$BQ142))),"""")"),"")</f>
        <v/>
      </c>
      <c r="CG142" s="207">
        <f>IFERROR(__xludf.DUMMYFUNCTION("AVERAGE(ARRAYFORMULA(XLOOKUP(FILTER(INDIRECT(""'""&amp;CG$1&amp;""'!$C$4:$C$66""),INDIRECT(""'""&amp;CG$1&amp;""'!$D$4:$D$66"")=CG$2),$G$3:$BQ$3,$G142:$BQ142)))"),-0.245034164)</f>
        <v>-0.245034164</v>
      </c>
      <c r="CH142" s="207" t="str">
        <f>IFERROR(__xludf.DUMMYFUNCTION("IF(OR(CG142&gt;$BS142+$BT142*$BT$2,CG142&lt;$BS142-$BT142*$BT$2),AVEDEV(ARRAYFORMULA(XLOOKUP(FILTER(INDIRECT(""'""&amp;CG$1&amp;""'!$C$4:$C$66""),INDIRECT(""'""&amp;CG$1&amp;""'!$D$4:$D$66"")=CG$2),$G$3:$BQ$3,$G142:$BQ142))),"""")"),"")</f>
        <v/>
      </c>
      <c r="CI142" s="206"/>
      <c r="CJ142" s="251">
        <f>IFERROR(__xludf.DUMMYFUNCTION("AVERAGE(ARRAYFORMULA(XLOOKUP(FILTER(INDIRECT(""'""&amp;CJ$1&amp;""'!$C$4:$C$66""),INDIRECT(""'""&amp;CJ$1&amp;""'!$D$4:$D$66"")=CJ$2),$G$3:$BQ$3,$G142:$BQ142)))"),0.12984855)</f>
        <v>0.12984855</v>
      </c>
      <c r="CK142" s="207" t="str">
        <f>IFERROR(__xludf.DUMMYFUNCTION("IF(OR(CJ142&gt;$BS142+$BT142*$BT$2,CJ142&lt;$BS142-$BT142*$BT$2),AVEDEV(ARRAYFORMULA(XLOOKUP(FILTER(INDIRECT(""'""&amp;CJ$1&amp;""'!$C$4:$C$66""),INDIRECT(""'""&amp;CJ$1&amp;""'!$D$4:$D$66"")=CJ$2),$G$3:$BQ$3,$G142:$BQ142))),"""")"),"")</f>
        <v/>
      </c>
      <c r="CL142" s="251">
        <f>IFERROR(__xludf.DUMMYFUNCTION("AVERAGE(ARRAYFORMULA(XLOOKUP(FILTER(INDIRECT(""'""&amp;CL$1&amp;""'!$C$4:$C$66""),INDIRECT(""'""&amp;CL$1&amp;""'!$D$4:$D$66"")=CL$2),$G$3:$BQ$3,$G142:$BQ142)))"),0.8461126120512822)</f>
        <v>0.8461126121</v>
      </c>
      <c r="CM142" s="207" t="str">
        <f>IFERROR(__xludf.DUMMYFUNCTION("IF(OR(CL142&gt;$BS142+$BT142*$BT$2,CL142&lt;$BS142-$BT142*$BT$2),AVEDEV(ARRAYFORMULA(XLOOKUP(FILTER(INDIRECT(""'""&amp;CL$1&amp;""'!$C$4:$C$66""),INDIRECT(""'""&amp;CL$1&amp;""'!$D$4:$D$66"")=CL$2),$G$3:$BQ$3,$G142:$BQ142))),"""")"),"")</f>
        <v/>
      </c>
      <c r="CN142" s="251">
        <f>IFERROR(__xludf.DUMMYFUNCTION("AVERAGE(ARRAYFORMULA(XLOOKUP(FILTER(INDIRECT(""'""&amp;CN$1&amp;""'!$C$4:$C$66""),INDIRECT(""'""&amp;CN$1&amp;""'!$D$4:$D$66"")=CN$2),$G$3:$BQ$3,$G142:$BQ142)))"),-0.245034164)</f>
        <v>-0.245034164</v>
      </c>
      <c r="CO142" s="207" t="str">
        <f>IFERROR(__xludf.DUMMYFUNCTION("IF(OR(CN142&gt;$BS142+$BT142*$BT$2,CN142&lt;$BS142-$BT142*$BT$2),AVEDEV(ARRAYFORMULA(XLOOKUP(FILTER(INDIRECT(""'""&amp;CN$1&amp;""'!$C$4:$C$66""),INDIRECT(""'""&amp;CN$1&amp;""'!$D$4:$D$66"")=CN$2),$G$3:$BQ$3,$G142:$BQ142))),"""")"),"")</f>
        <v/>
      </c>
      <c r="CP142" s="252"/>
      <c r="CQ142" s="251">
        <f>IFERROR(__xludf.DUMMYFUNCTION("AVERAGE(ARRAYFORMULA(XLOOKUP(FILTER(INDIRECT(""'""&amp;CQ$1&amp;""'!$C$4:$C$66""),INDIRECT(""'""&amp;CQ$1&amp;""'!$D$4:$D$66"")=CQ$2),$G$3:$BQ$3,$G142:$BQ142)))"),0.7271526257142857)</f>
        <v>0.7271526257</v>
      </c>
      <c r="CR142" s="207" t="str">
        <f>IFERROR(__xludf.DUMMYFUNCTION("IF(OR(CQ142&gt;$BS142+$BT142*$BT$2,CQ142&lt;$BS142-$BT142*$BT$2),AVEDEV(ARRAYFORMULA(XLOOKUP(FILTER(INDIRECT(""'""&amp;CQ$1&amp;""'!$C$4:$C$66""),INDIRECT(""'""&amp;CQ$1&amp;""'!$D$4:$D$66"")=CQ$2),$G$3:$BQ$3,$G142:$BQ142))),"""")"),"")</f>
        <v/>
      </c>
      <c r="CS142" s="251">
        <f>IFERROR(__xludf.DUMMYFUNCTION("AVERAGE(ARRAYFORMULA(XLOOKUP(FILTER(INDIRECT(""'""&amp;CS$1&amp;""'!$C$4:$C$66""),INDIRECT(""'""&amp;CS$1&amp;""'!$D$4:$D$66"")=CS$2),$G$3:$BQ$3,$G142:$BQ142)))"),0.07880981888888888)</f>
        <v>0.07880981889</v>
      </c>
      <c r="CT142" s="207" t="str">
        <f>IFERROR(__xludf.DUMMYFUNCTION("IF(OR(CS142&gt;$BS142+$BT142*$BT$2,CS142&lt;$BS142-$BT142*$BT$2),AVEDEV(ARRAYFORMULA(XLOOKUP(FILTER(INDIRECT(""'""&amp;CS$1&amp;""'!$C$4:$C$66""),INDIRECT(""'""&amp;CS$1&amp;""'!$D$4:$D$66"")=CS$2),$G$3:$BQ$3,$G142:$BQ142))),"""")"),"")</f>
        <v/>
      </c>
      <c r="CU142" s="251">
        <f>IFERROR(__xludf.DUMMYFUNCTION("AVERAGE(ARRAYFORMULA(XLOOKUP(FILTER(INDIRECT(""'""&amp;CU$1&amp;""'!$C$4:$C$66""),INDIRECT(""'""&amp;CU$1&amp;""'!$D$4:$D$66"")=CU$2),$G$3:$BQ$3,$G142:$BQ142)))"),-0.3561062890909091)</f>
        <v>-0.3561062891</v>
      </c>
      <c r="CV142" s="207" t="str">
        <f>IFERROR(__xludf.DUMMYFUNCTION("IF(OR(CU142&gt;$BS142+$BT142*$BT$2,CU142&lt;$BS142-$BT142*$BT$2),AVEDEV(ARRAYFORMULA(XLOOKUP(FILTER(INDIRECT(""'""&amp;CU$1&amp;""'!$C$4:$C$66""),INDIRECT(""'""&amp;CU$1&amp;""'!$D$4:$D$66"")=CU$2),$G$3:$BQ$3,$G142:$BQ142))),"""")"),"")</f>
        <v/>
      </c>
      <c r="CW142" s="251">
        <f>IFERROR(__xludf.DUMMYFUNCTION("AVERAGE(ARRAYFORMULA(XLOOKUP(FILTER(INDIRECT(""'""&amp;CW$1&amp;""'!$C$4:$C$66""),INDIRECT(""'""&amp;CW$1&amp;""'!$D$4:$D$66"")=CW$2),$G$3:$BQ$3,$G142:$BQ142)))"),-0.9943707)</f>
        <v>-0.9943707</v>
      </c>
      <c r="CX142" s="207" t="str">
        <f>IFERROR(__xludf.DUMMYFUNCTION("IF(OR(CW142&gt;$BS142+$BT142*$BT$2,CW142&lt;$BS142-$BT142*$BT$2),AVEDEV(ARRAYFORMULA(XLOOKUP(FILTER(INDIRECT(""'""&amp;CW$1&amp;""'!$C$4:$C$66""),INDIRECT(""'""&amp;CW$1&amp;""'!$D$4:$D$66"")=CW$2),$G$3:$BQ$3,$G142:$BQ142))),"""")"),"")</f>
        <v/>
      </c>
      <c r="CY142" s="251">
        <f>IFERROR(__xludf.DUMMYFUNCTION("AVERAGE(ARRAYFORMULA(XLOOKUP(FILTER(INDIRECT(""'""&amp;CY$1&amp;""'!$C$4:$C$66""),INDIRECT(""'""&amp;CY$1&amp;""'!$D$4:$D$66"")=CY$2),$G$3:$BQ$3,$G142:$BQ142)))"),2.040898387857143)</f>
        <v>2.040898388</v>
      </c>
      <c r="CZ142" s="207" t="str">
        <f>IFERROR(__xludf.DUMMYFUNCTION("IF(OR(CY142&gt;$BS142+$BT142*$BT$2,CY142&lt;$BS142-$BT142*$BT$2),AVEDEV(ARRAYFORMULA(XLOOKUP(FILTER(INDIRECT(""'""&amp;CY$1&amp;""'!$C$4:$C$66""),INDIRECT(""'""&amp;CY$1&amp;""'!$D$4:$D$66"")=CY$2),$G$3:$BQ$3,$G142:$BQ142))),"""")"),"")</f>
        <v/>
      </c>
      <c r="DA142" s="252"/>
      <c r="DB142" s="251">
        <f>IFERROR(__xludf.DUMMYFUNCTION("AVERAGE(ARRAYFORMULA(XLOOKUP(FILTER(INDIRECT(""'""&amp;DB$1&amp;""'!$C$4:$C$66""),INDIRECT(""'""&amp;DB$1&amp;""'!$D$4:$D$66"")=DB$2),$G$3:$BQ$3,$G142:$BQ142)))"),0.9266050180000001)</f>
        <v>0.926605018</v>
      </c>
      <c r="DC142" s="207" t="str">
        <f>IFERROR(__xludf.DUMMYFUNCTION("IF(OR(DB142&gt;$BS142+$BT142*$BT$2,DB142&lt;$BS142-$BT142*$BT$2),AVEDEV(ARRAYFORMULA(XLOOKUP(FILTER(INDIRECT(""'""&amp;DB$1&amp;""'!$C$4:$C$66""),INDIRECT(""'""&amp;DB$1&amp;""'!$D$4:$D$66"")=DB$2),$G$3:$BQ$3,$G142:$BQ142))),"""")"),"")</f>
        <v/>
      </c>
      <c r="DD142" s="251">
        <f>IFERROR(__xludf.DUMMYFUNCTION("AVERAGE(ARRAYFORMULA(XLOOKUP(FILTER(INDIRECT(""'""&amp;DD$1&amp;""'!$C$4:$C$66""),INDIRECT(""'""&amp;DD$1&amp;""'!$D$4:$D$66"")=DD$2),$G$3:$BQ$3,$G142:$BQ142)))"),-0.12210159444444445)</f>
        <v>-0.1221015944</v>
      </c>
      <c r="DE142" s="207" t="str">
        <f>IFERROR(__xludf.DUMMYFUNCTION("IF(OR(DD142&gt;$BS142+$BT142*$BT$2,DD142&lt;$BS142-$BT142*$BT$2),AVEDEV(ARRAYFORMULA(XLOOKUP(FILTER(INDIRECT(""'""&amp;DD$1&amp;""'!$C$4:$C$66""),INDIRECT(""'""&amp;DD$1&amp;""'!$D$4:$D$66"")=DD$2),$G$3:$BQ$3,$G142:$BQ142))),"""")"),"")</f>
        <v/>
      </c>
      <c r="DF142" s="251">
        <f>IFERROR(__xludf.DUMMYFUNCTION("AVERAGE(ARRAYFORMULA(XLOOKUP(FILTER(INDIRECT(""'""&amp;DF$1&amp;""'!$C$4:$C$66""),INDIRECT(""'""&amp;DF$1&amp;""'!$D$4:$D$66"")=DF$2),$G$3:$BQ$3,$G142:$BQ142)))"),-0.569410925)</f>
        <v>-0.569410925</v>
      </c>
      <c r="DG142" s="207" t="str">
        <f>IFERROR(__xludf.DUMMYFUNCTION("IF(OR(DF142&gt;$BS142+$BT142*$BT$2,DF142&lt;$BS142-$BT142*$BT$2),AVEDEV(ARRAYFORMULA(XLOOKUP(FILTER(INDIRECT(""'""&amp;DF$1&amp;""'!$C$4:$C$66""),INDIRECT(""'""&amp;DF$1&amp;""'!$D$4:$D$66"")=DF$2),$G$3:$BQ$3,$G142:$BQ142))),"""")"),"")</f>
        <v/>
      </c>
      <c r="DH142" s="251">
        <f>IFERROR(__xludf.DUMMYFUNCTION("AVERAGE(ARRAYFORMULA(XLOOKUP(FILTER(INDIRECT(""'""&amp;DH$1&amp;""'!$C$4:$C$66""),INDIRECT(""'""&amp;DH$1&amp;""'!$D$4:$D$66"")=DH$2),$G$3:$BQ$3,$G142:$BQ142)))"),-0.21288476777777782)</f>
        <v>-0.2128847678</v>
      </c>
      <c r="DI142" s="207" t="str">
        <f>IFERROR(__xludf.DUMMYFUNCTION("IF(OR(DH142&gt;$BS142+$BT142*$BT$2,DH142&lt;$BS142-$BT142*$BT$2),AVEDEV(ARRAYFORMULA(XLOOKUP(FILTER(INDIRECT(""'""&amp;DH$1&amp;""'!$C$4:$C$66""),INDIRECT(""'""&amp;DH$1&amp;""'!$D$4:$D$66"")=DH$2),$G$3:$BQ$3,$G142:$BQ142))),"""")"),"")</f>
        <v/>
      </c>
      <c r="DJ142" s="243"/>
    </row>
    <row r="143">
      <c r="A143" s="2"/>
      <c r="B143" s="204">
        <v>139.0</v>
      </c>
      <c r="C143" s="204" t="s">
        <v>540</v>
      </c>
      <c r="D143" s="204" t="s">
        <v>585</v>
      </c>
      <c r="E143" s="205" t="b">
        <f>VLOOKUP(D143,'Feature Set List'!A140:C246,2,0)</f>
        <v>1</v>
      </c>
      <c r="F143" s="205" t="b">
        <f>VLOOKUP(D143,'Feature Set List'!A140:C246,3,0)</f>
        <v>1</v>
      </c>
      <c r="G143" s="205">
        <v>-0.1034211</v>
      </c>
      <c r="H143" s="205">
        <v>0.14630301</v>
      </c>
      <c r="I143" s="205">
        <v>0.02522466</v>
      </c>
      <c r="J143" s="205">
        <v>-0.2023648</v>
      </c>
      <c r="K143" s="205">
        <v>-0.6172474</v>
      </c>
      <c r="L143" s="205">
        <v>-0.3166325</v>
      </c>
      <c r="M143" s="205">
        <v>0.18224815</v>
      </c>
      <c r="N143" s="205">
        <v>0.0</v>
      </c>
      <c r="O143" s="205">
        <v>-0.5936623</v>
      </c>
      <c r="P143" s="205">
        <v>0.00693678</v>
      </c>
      <c r="Q143" s="205">
        <v>-0.7996216</v>
      </c>
      <c r="R143" s="205">
        <v>1.00268012</v>
      </c>
      <c r="S143" s="205">
        <v>0.66277787</v>
      </c>
      <c r="T143" s="205">
        <v>-0.7996216</v>
      </c>
      <c r="U143" s="205">
        <v>-0.2765884</v>
      </c>
      <c r="V143" s="205">
        <v>-0.7996216</v>
      </c>
      <c r="W143" s="205">
        <v>-0.0435125</v>
      </c>
      <c r="X143" s="205">
        <v>0.03342267</v>
      </c>
      <c r="Y143" s="205">
        <v>2.27778654</v>
      </c>
      <c r="Z143" s="205">
        <v>0.36575753</v>
      </c>
      <c r="AA143" s="205">
        <v>0.56629355</v>
      </c>
      <c r="AB143" s="205">
        <v>-0.3899732</v>
      </c>
      <c r="AC143" s="205">
        <v>0.47737664</v>
      </c>
      <c r="AD143" s="205">
        <v>8.14251931</v>
      </c>
      <c r="AE143" s="205">
        <v>-0.7996216</v>
      </c>
      <c r="AF143" s="205">
        <v>2.1573388</v>
      </c>
      <c r="AG143" s="205">
        <v>-0.6805612</v>
      </c>
      <c r="AH143" s="205">
        <v>-0.0372064</v>
      </c>
      <c r="AI143" s="205">
        <v>0.66277787</v>
      </c>
      <c r="AJ143" s="205">
        <v>-0.1267539</v>
      </c>
      <c r="AK143" s="205">
        <v>0.8677282</v>
      </c>
      <c r="AL143" s="205">
        <v>-0.1223396</v>
      </c>
      <c r="AM143" s="205">
        <v>3.00993221</v>
      </c>
      <c r="AN143" s="205">
        <v>0.46917862</v>
      </c>
      <c r="AO143" s="205">
        <v>-0.0901781</v>
      </c>
      <c r="AP143" s="205">
        <v>1.00772505</v>
      </c>
      <c r="AQ143" s="205">
        <v>-0.7385653</v>
      </c>
      <c r="AR143" s="205">
        <v>-0.7996216</v>
      </c>
      <c r="AS143" s="205">
        <v>12.2226076</v>
      </c>
      <c r="AT143" s="205">
        <v>-0.1867255</v>
      </c>
      <c r="AU143" s="205">
        <v>-0.7996216</v>
      </c>
      <c r="AV143" s="205">
        <v>-0.062431</v>
      </c>
      <c r="AW143" s="205">
        <v>-0.7996216</v>
      </c>
      <c r="AX143" s="205">
        <v>0.12612329</v>
      </c>
      <c r="AY143" s="205">
        <v>-0.7856409</v>
      </c>
      <c r="AZ143" s="205">
        <v>2.45120605</v>
      </c>
      <c r="BA143" s="205">
        <v>0.49944821</v>
      </c>
      <c r="BB143" s="205">
        <v>-0.3809554</v>
      </c>
      <c r="BC143" s="205">
        <v>-0.7996216</v>
      </c>
      <c r="BD143" s="205">
        <v>232.780703</v>
      </c>
      <c r="BE143" s="205">
        <v>-0.2255084</v>
      </c>
      <c r="BF143" s="205">
        <v>-0.1507173</v>
      </c>
      <c r="BG143" s="205">
        <v>0.82673814</v>
      </c>
      <c r="BH143" s="205">
        <v>8.81727889</v>
      </c>
      <c r="BI143" s="205">
        <v>-0.7996216</v>
      </c>
      <c r="BJ143" s="205">
        <v>0.49251143</v>
      </c>
      <c r="BK143" s="205">
        <v>0.67349834</v>
      </c>
      <c r="BL143" s="205">
        <v>-0.4501971</v>
      </c>
      <c r="BM143" s="205">
        <v>-0.3681539</v>
      </c>
      <c r="BN143" s="205">
        <v>2.94623995</v>
      </c>
      <c r="BO143" s="205">
        <v>0.15954596</v>
      </c>
      <c r="BP143" s="205">
        <v>0.32224499</v>
      </c>
      <c r="BQ143" s="205">
        <v>0.01072048</v>
      </c>
      <c r="BR143" s="206"/>
      <c r="BS143" s="250">
        <f t="shared" si="1"/>
        <v>4.289634021</v>
      </c>
      <c r="BT143" s="250">
        <f t="shared" si="2"/>
        <v>7.771573737</v>
      </c>
      <c r="BU143" s="206"/>
      <c r="BV143" s="207">
        <f>IFERROR(__xludf.DUMMYFUNCTION("AVERAGE(ARRAYFORMULA(XLOOKUP(FILTER(INDIRECT(""'""&amp;BV$1&amp;""'!$C$4:$C$66""),INDIRECT(""'""&amp;BV$1&amp;""'!$D$4:$D$66"")=BV$2),$G$3:$BQ$3,$G143:$BQ143)))"),-0.3108065185714285)</f>
        <v>-0.3108065186</v>
      </c>
      <c r="BW143" s="207" t="str">
        <f>IFERROR(__xludf.DUMMYFUNCTION("IF(OR(BV143&gt;$BS143+$BT143*$BT$2,BV143&lt;$BS143-$BT143*$BT$2),AVEDEV(ARRAYFORMULA(XLOOKUP(FILTER(INDIRECT(""'""&amp;BV$1&amp;""'!$C$4:$C$66""),INDIRECT(""'""&amp;BV$1&amp;""'!$D$4:$D$66"")=BV$2),$G$3:$BQ$3,$G143:$BQ143))),"""")"),"")</f>
        <v/>
      </c>
      <c r="BX143" s="207">
        <f>IFERROR(__xludf.DUMMYFUNCTION("AVERAGE(ARRAYFORMULA(XLOOKUP(FILTER(INDIRECT(""'""&amp;BX$1&amp;""'!$C$4:$C$66""),INDIRECT(""'""&amp;BX$1&amp;""'!$D$4:$D$66"")=BX$2),$G$3:$BQ$3,$G143:$BQ143)))"),0.8207776178571431)</f>
        <v>0.8207776179</v>
      </c>
      <c r="BY143" s="207" t="str">
        <f>IFERROR(__xludf.DUMMYFUNCTION("IF(OR(BX143&gt;$BS143+$BT143*$BT$2,BX143&lt;$BS143-$BT143*$BT$2),AVEDEV(ARRAYFORMULA(XLOOKUP(FILTER(INDIRECT(""'""&amp;BX$1&amp;""'!$C$4:$C$66""),INDIRECT(""'""&amp;BX$1&amp;""'!$D$4:$D$66"")=BX$2),$G$3:$BQ$3,$G143:$BQ143))),"""")"),"")</f>
        <v/>
      </c>
      <c r="BZ143" s="207">
        <f>IFERROR(__xludf.DUMMYFUNCTION("AVERAGE(ARRAYFORMULA(XLOOKUP(FILTER(INDIRECT(""'""&amp;BZ$1&amp;""'!$C$4:$C$66""),INDIRECT(""'""&amp;BZ$1&amp;""'!$D$4:$D$66"")=BZ$2),$G$3:$BQ$3,$G143:$BQ143)))"),0.5403293572727274)</f>
        <v>0.5403293573</v>
      </c>
      <c r="CA143" s="207" t="str">
        <f>IFERROR(__xludf.DUMMYFUNCTION("IF(OR(BZ143&gt;$BS143+$BT143*$BT$2,BZ143&lt;$BS143-$BT143*$BT$2),AVEDEV(ARRAYFORMULA(XLOOKUP(FILTER(INDIRECT(""'""&amp;BZ$1&amp;""'!$C$4:$C$66""),INDIRECT(""'""&amp;BZ$1&amp;""'!$D$4:$D$66"")=BZ$2),$G$3:$BQ$3,$G143:$BQ143))),"""")"),"")</f>
        <v/>
      </c>
      <c r="CB143" s="209"/>
      <c r="CC143" s="207">
        <f>IFERROR(__xludf.DUMMYFUNCTION("AVERAGE(ARRAYFORMULA(XLOOKUP(FILTER(INDIRECT(""'""&amp;CC$1&amp;""'!$C$4:$C$66""),INDIRECT(""'""&amp;CC$1&amp;""'!$D$4:$D$66"")=CC$2),$G$3:$BQ$3,$G143:$BQ143)))"),-0.184253498125)</f>
        <v>-0.1842534981</v>
      </c>
      <c r="CD143" s="207" t="str">
        <f>IFERROR(__xludf.DUMMYFUNCTION("IF(OR(CC143&gt;$BS143+$BT143*$BT$2,CC143&lt;$BS143-$BT143*$BT$2),AVEDEV(ARRAYFORMULA(XLOOKUP(FILTER(INDIRECT(""'""&amp;CC$1&amp;""'!$C$4:$C$66""),INDIRECT(""'""&amp;CC$1&amp;""'!$D$4:$D$66"")=CC$2),$G$3:$BQ$3,$G143:$BQ143))),"""")"),"")</f>
        <v/>
      </c>
      <c r="CE143" s="207">
        <f>IFERROR(__xludf.DUMMYFUNCTION("AVERAGE(ARRAYFORMULA(XLOOKUP(FILTER(INDIRECT(""'""&amp;CE$1&amp;""'!$C$4:$C$66""),INDIRECT(""'""&amp;CE$1&amp;""'!$D$4:$D$66"")=CE$2),$G$3:$BQ$3,$G143:$BQ143)))"),0.9653246441935484)</f>
        <v>0.9653246442</v>
      </c>
      <c r="CF143" s="207" t="str">
        <f>IFERROR(__xludf.DUMMYFUNCTION("IF(OR(CE143&gt;$BS143+$BT143*$BT$2,CE143&lt;$BS143-$BT143*$BT$2),AVEDEV(ARRAYFORMULA(XLOOKUP(FILTER(INDIRECT(""'""&amp;CE$1&amp;""'!$C$4:$C$66""),INDIRECT(""'""&amp;CE$1&amp;""'!$D$4:$D$66"")=CE$2),$G$3:$BQ$3,$G143:$BQ143))),"""")"),"")</f>
        <v/>
      </c>
      <c r="CG143" s="207">
        <f>IFERROR(__xludf.DUMMYFUNCTION("AVERAGE(ARRAYFORMULA(XLOOKUP(FILTER(INDIRECT(""'""&amp;CG$1&amp;""'!$C$4:$C$66""),INDIRECT(""'""&amp;CG$1&amp;""'!$D$4:$D$66"")=CG$2),$G$3:$BQ$3,$G143:$BQ143)))"),2.551221826)</f>
        <v>2.551221826</v>
      </c>
      <c r="CH143" s="207" t="str">
        <f>IFERROR(__xludf.DUMMYFUNCTION("IF(OR(CG143&gt;$BS143+$BT143*$BT$2,CG143&lt;$BS143-$BT143*$BT$2),AVEDEV(ARRAYFORMULA(XLOOKUP(FILTER(INDIRECT(""'""&amp;CG$1&amp;""'!$C$4:$C$66""),INDIRECT(""'""&amp;CG$1&amp;""'!$D$4:$D$66"")=CG$2),$G$3:$BQ$3,$G143:$BQ143))),"""")"),"")</f>
        <v/>
      </c>
      <c r="CI143" s="206"/>
      <c r="CJ143" s="251">
        <f>IFERROR(__xludf.DUMMYFUNCTION("AVERAGE(ARRAYFORMULA(XLOOKUP(FILTER(INDIRECT(""'""&amp;CJ$1&amp;""'!$C$4:$C$66""),INDIRECT(""'""&amp;CJ$1&amp;""'!$D$4:$D$66"")=CJ$2),$G$3:$BQ$3,$G143:$BQ143)))"),0.04975143066666666)</f>
        <v>0.04975143067</v>
      </c>
      <c r="CK143" s="207" t="str">
        <f>IFERROR(__xludf.DUMMYFUNCTION("IF(OR(CJ143&gt;$BS143+$BT143*$BT$2,CJ143&lt;$BS143-$BT143*$BT$2),AVEDEV(ARRAYFORMULA(XLOOKUP(FILTER(INDIRECT(""'""&amp;CJ$1&amp;""'!$C$4:$C$66""),INDIRECT(""'""&amp;CJ$1&amp;""'!$D$4:$D$66"")=CJ$2),$G$3:$BQ$3,$G143:$BQ143))),"""")"),"")</f>
        <v/>
      </c>
      <c r="CL143" s="251">
        <f>IFERROR(__xludf.DUMMYFUNCTION("AVERAGE(ARRAYFORMULA(XLOOKUP(FILTER(INDIRECT(""'""&amp;CL$1&amp;""'!$C$4:$C$66""),INDIRECT(""'""&amp;CL$1&amp;""'!$D$4:$D$66"")=CL$2),$G$3:$BQ$3,$G143:$BQ143)))"),0.6458577887179486)</f>
        <v>0.6458577887</v>
      </c>
      <c r="CM143" s="207" t="str">
        <f>IFERROR(__xludf.DUMMYFUNCTION("IF(OR(CL143&gt;$BS143+$BT143*$BT$2,CL143&lt;$BS143-$BT143*$BT$2),AVEDEV(ARRAYFORMULA(XLOOKUP(FILTER(INDIRECT(""'""&amp;CL$1&amp;""'!$C$4:$C$66""),INDIRECT(""'""&amp;CL$1&amp;""'!$D$4:$D$66"")=CL$2),$G$3:$BQ$3,$G143:$BQ143))),"""")"),"")</f>
        <v/>
      </c>
      <c r="CN143" s="251">
        <f>IFERROR(__xludf.DUMMYFUNCTION("AVERAGE(ARRAYFORMULA(XLOOKUP(FILTER(INDIRECT(""'""&amp;CN$1&amp;""'!$C$4:$C$66""),INDIRECT(""'""&amp;CN$1&amp;""'!$D$4:$D$66"")=CN$2),$G$3:$BQ$3,$G143:$BQ143)))"),2.551221826)</f>
        <v>2.551221826</v>
      </c>
      <c r="CO143" s="207" t="str">
        <f>IFERROR(__xludf.DUMMYFUNCTION("IF(OR(CN143&gt;$BS143+$BT143*$BT$2,CN143&lt;$BS143-$BT143*$BT$2),AVEDEV(ARRAYFORMULA(XLOOKUP(FILTER(INDIRECT(""'""&amp;CN$1&amp;""'!$C$4:$C$66""),INDIRECT(""'""&amp;CN$1&amp;""'!$D$4:$D$66"")=CN$2),$G$3:$BQ$3,$G143:$BQ143))),"""")"),"")</f>
        <v/>
      </c>
      <c r="CP143" s="252"/>
      <c r="CQ143" s="251">
        <f>IFERROR(__xludf.DUMMYFUNCTION("AVERAGE(ARRAYFORMULA(XLOOKUP(FILTER(INDIRECT(""'""&amp;CQ$1&amp;""'!$C$4:$C$66""),INDIRECT(""'""&amp;CQ$1&amp;""'!$D$4:$D$66"")=CQ$2),$G$3:$BQ$3,$G143:$BQ143)))"),-0.066812895)</f>
        <v>-0.066812895</v>
      </c>
      <c r="CR143" s="207" t="str">
        <f>IFERROR(__xludf.DUMMYFUNCTION("IF(OR(CQ143&gt;$BS143+$BT143*$BT$2,CQ143&lt;$BS143-$BT143*$BT$2),AVEDEV(ARRAYFORMULA(XLOOKUP(FILTER(INDIRECT(""'""&amp;CQ$1&amp;""'!$C$4:$C$66""),INDIRECT(""'""&amp;CQ$1&amp;""'!$D$4:$D$66"")=CQ$2),$G$3:$BQ$3,$G143:$BQ143))),"""")"),"")</f>
        <v/>
      </c>
      <c r="CS143" s="251">
        <f>IFERROR(__xludf.DUMMYFUNCTION("AVERAGE(ARRAYFORMULA(XLOOKUP(FILTER(INDIRECT(""'""&amp;CS$1&amp;""'!$C$4:$C$66""),INDIRECT(""'""&amp;CS$1&amp;""'!$D$4:$D$66"")=CS$2),$G$3:$BQ$3,$G143:$BQ143)))"),0.4289523088888889)</f>
        <v>0.4289523089</v>
      </c>
      <c r="CT143" s="207" t="str">
        <f>IFERROR(__xludf.DUMMYFUNCTION("IF(OR(CS143&gt;$BS143+$BT143*$BT$2,CS143&lt;$BS143-$BT143*$BT$2),AVEDEV(ARRAYFORMULA(XLOOKUP(FILTER(INDIRECT(""'""&amp;CS$1&amp;""'!$C$4:$C$66""),INDIRECT(""'""&amp;CS$1&amp;""'!$D$4:$D$66"")=CS$2),$G$3:$BQ$3,$G143:$BQ143))),"""")"),"")</f>
        <v/>
      </c>
      <c r="CU143" s="251">
        <f>IFERROR(__xludf.DUMMYFUNCTION("AVERAGE(ARRAYFORMULA(XLOOKUP(FILTER(INDIRECT(""'""&amp;CU$1&amp;""'!$C$4:$C$66""),INDIRECT(""'""&amp;CU$1&amp;""'!$D$4:$D$66"")=CU$2),$G$3:$BQ$3,$G143:$BQ143)))"),0.6797758472727273)</f>
        <v>0.6797758473</v>
      </c>
      <c r="CV143" s="207" t="str">
        <f>IFERROR(__xludf.DUMMYFUNCTION("IF(OR(CU143&gt;$BS143+$BT143*$BT$2,CU143&lt;$BS143-$BT143*$BT$2),AVEDEV(ARRAYFORMULA(XLOOKUP(FILTER(INDIRECT(""'""&amp;CU$1&amp;""'!$C$4:$C$66""),INDIRECT(""'""&amp;CU$1&amp;""'!$D$4:$D$66"")=CU$2),$G$3:$BQ$3,$G143:$BQ143))),"""")"),"")</f>
        <v/>
      </c>
      <c r="CW143" s="251">
        <f>IFERROR(__xludf.DUMMYFUNCTION("AVERAGE(ARRAYFORMULA(XLOOKUP(FILTER(INDIRECT(""'""&amp;CW$1&amp;""'!$C$4:$C$66""),INDIRECT(""'""&amp;CW$1&amp;""'!$D$4:$D$66"")=CW$2),$G$3:$BQ$3,$G143:$BQ143)))"),8.4798991)</f>
        <v>8.4798991</v>
      </c>
      <c r="CX143" s="207" t="str">
        <f>IFERROR(__xludf.DUMMYFUNCTION("IF(OR(CW143&gt;$BS143+$BT143*$BT$2,CW143&lt;$BS143-$BT143*$BT$2),AVEDEV(ARRAYFORMULA(XLOOKUP(FILTER(INDIRECT(""'""&amp;CW$1&amp;""'!$C$4:$C$66""),INDIRECT(""'""&amp;CW$1&amp;""'!$D$4:$D$66"")=CW$2),$G$3:$BQ$3,$G143:$BQ143))),"""")"),"")</f>
        <v/>
      </c>
      <c r="CY143" s="251">
        <f>IFERROR(__xludf.DUMMYFUNCTION("AVERAGE(ARRAYFORMULA(XLOOKUP(FILTER(INDIRECT(""'""&amp;CY$1&amp;""'!$C$4:$C$66""),INDIRECT(""'""&amp;CY$1&amp;""'!$D$4:$D$66"")=CY$2),$G$3:$BQ$3,$G143:$BQ143)))"),0.12975384357142852)</f>
        <v>0.1297538436</v>
      </c>
      <c r="CZ143" s="207" t="str">
        <f>IFERROR(__xludf.DUMMYFUNCTION("IF(OR(CY143&gt;$BS143+$BT143*$BT$2,CY143&lt;$BS143-$BT143*$BT$2),AVEDEV(ARRAYFORMULA(XLOOKUP(FILTER(INDIRECT(""'""&amp;CY$1&amp;""'!$C$4:$C$66""),INDIRECT(""'""&amp;CY$1&amp;""'!$D$4:$D$66"")=CY$2),$G$3:$BQ$3,$G143:$BQ143))),"""")"),"")</f>
        <v/>
      </c>
      <c r="DA143" s="252"/>
      <c r="DB143" s="251">
        <f>IFERROR(__xludf.DUMMYFUNCTION("AVERAGE(ARRAYFORMULA(XLOOKUP(FILTER(INDIRECT(""'""&amp;DB$1&amp;""'!$C$4:$C$66""),INDIRECT(""'""&amp;DB$1&amp;""'!$D$4:$D$66"")=DB$2),$G$3:$BQ$3,$G143:$BQ143)))"),-0.04271963033333335)</f>
        <v>-0.04271963033</v>
      </c>
      <c r="DC143" s="207" t="str">
        <f>IFERROR(__xludf.DUMMYFUNCTION("IF(OR(DB143&gt;$BS143+$BT143*$BT$2,DB143&lt;$BS143-$BT143*$BT$2),AVEDEV(ARRAYFORMULA(XLOOKUP(FILTER(INDIRECT(""'""&amp;DB$1&amp;""'!$C$4:$C$66""),INDIRECT(""'""&amp;DB$1&amp;""'!$D$4:$D$66"")=DB$2),$G$3:$BQ$3,$G143:$BQ143))),"""")"),"")</f>
        <v/>
      </c>
      <c r="DD143" s="251">
        <f>IFERROR(__xludf.DUMMYFUNCTION("AVERAGE(ARRAYFORMULA(XLOOKUP(FILTER(INDIRECT(""'""&amp;DD$1&amp;""'!$C$4:$C$66""),INDIRECT(""'""&amp;DD$1&amp;""'!$D$4:$D$66"")=DD$2),$G$3:$BQ$3,$G143:$BQ143)))"),-0.11168216222222223)</f>
        <v>-0.1116821622</v>
      </c>
      <c r="DE143" s="207" t="str">
        <f>IFERROR(__xludf.DUMMYFUNCTION("IF(OR(DD143&gt;$BS143+$BT143*$BT$2,DD143&lt;$BS143-$BT143*$BT$2),AVEDEV(ARRAYFORMULA(XLOOKUP(FILTER(INDIRECT(""'""&amp;DD$1&amp;""'!$C$4:$C$66""),INDIRECT(""'""&amp;DD$1&amp;""'!$D$4:$D$66"")=DD$2),$G$3:$BQ$3,$G143:$BQ143))),"""")"),"")</f>
        <v/>
      </c>
      <c r="DF143" s="251">
        <f>IFERROR(__xludf.DUMMYFUNCTION("AVERAGE(ARRAYFORMULA(XLOOKUP(FILTER(INDIRECT(""'""&amp;DF$1&amp;""'!$C$4:$C$66""),INDIRECT(""'""&amp;DF$1&amp;""'!$D$4:$D$66"")=DF$2),$G$3:$BQ$3,$G143:$BQ143)))"),0.36253901124999993)</f>
        <v>0.3625390113</v>
      </c>
      <c r="DG143" s="207" t="str">
        <f>IFERROR(__xludf.DUMMYFUNCTION("IF(OR(DF143&gt;$BS143+$BT143*$BT$2,DF143&lt;$BS143-$BT143*$BT$2),AVEDEV(ARRAYFORMULA(XLOOKUP(FILTER(INDIRECT(""'""&amp;DF$1&amp;""'!$C$4:$C$66""),INDIRECT(""'""&amp;DF$1&amp;""'!$D$4:$D$66"")=DF$2),$G$3:$BQ$3,$G143:$BQ143))),"""")"),"")</f>
        <v/>
      </c>
      <c r="DH143" s="251">
        <f>IFERROR(__xludf.DUMMYFUNCTION("AVERAGE(ARRAYFORMULA(XLOOKUP(FILTER(INDIRECT(""'""&amp;DH$1&amp;""'!$C$4:$C$66""),INDIRECT(""'""&amp;DH$1&amp;""'!$D$4:$D$66"")=DH$2),$G$3:$BQ$3,$G143:$BQ143)))"),4.325958628888889)</f>
        <v>4.325958629</v>
      </c>
      <c r="DI143" s="207" t="str">
        <f>IFERROR(__xludf.DUMMYFUNCTION("IF(OR(DH143&gt;$BS143+$BT143*$BT$2,DH143&lt;$BS143-$BT143*$BT$2),AVEDEV(ARRAYFORMULA(XLOOKUP(FILTER(INDIRECT(""'""&amp;DH$1&amp;""'!$C$4:$C$66""),INDIRECT(""'""&amp;DH$1&amp;""'!$D$4:$D$66"")=DH$2),$G$3:$BQ$3,$G143:$BQ143))),"""")"),"")</f>
        <v/>
      </c>
      <c r="DJ143" s="243"/>
    </row>
    <row r="144">
      <c r="A144" s="2"/>
      <c r="B144" s="204">
        <v>140.0</v>
      </c>
      <c r="C144" s="204" t="s">
        <v>540</v>
      </c>
      <c r="D144" s="204" t="s">
        <v>586</v>
      </c>
      <c r="E144" s="205" t="b">
        <f>VLOOKUP(D144,'Feature Set List'!A141:C246,2,0)</f>
        <v>1</v>
      </c>
      <c r="F144" s="205" t="b">
        <f>VLOOKUP(D144,'Feature Set List'!A141:C246,3,0)</f>
        <v>0</v>
      </c>
      <c r="G144" s="205">
        <v>0.44067797</v>
      </c>
      <c r="H144" s="205">
        <v>1.45056497</v>
      </c>
      <c r="I144" s="205">
        <v>-0.430791</v>
      </c>
      <c r="J144" s="205">
        <v>0.45621469</v>
      </c>
      <c r="K144" s="205">
        <v>0.71045198</v>
      </c>
      <c r="L144" s="205">
        <v>0.11935028</v>
      </c>
      <c r="M144" s="205">
        <v>-0.6101695</v>
      </c>
      <c r="N144" s="205">
        <v>0.3799435</v>
      </c>
      <c r="O144" s="205">
        <v>-0.3446328</v>
      </c>
      <c r="P144" s="205">
        <v>-0.5402542</v>
      </c>
      <c r="Q144" s="205">
        <v>0.07344633</v>
      </c>
      <c r="R144" s="205">
        <v>-1.1326977</v>
      </c>
      <c r="S144" s="205">
        <v>-0.2655367</v>
      </c>
      <c r="T144" s="205">
        <v>0.14971751</v>
      </c>
      <c r="U144" s="205">
        <v>-0.843291</v>
      </c>
      <c r="V144" s="205">
        <v>0.63347458</v>
      </c>
      <c r="W144" s="205">
        <v>-0.6814972</v>
      </c>
      <c r="X144" s="205">
        <v>1.37146893</v>
      </c>
      <c r="Y144" s="205">
        <v>-0.2189266</v>
      </c>
      <c r="Z144" s="205">
        <v>0.17584746</v>
      </c>
      <c r="AA144" s="205">
        <v>-0.555791</v>
      </c>
      <c r="AB144" s="205">
        <v>-0.1384181</v>
      </c>
      <c r="AC144" s="205">
        <v>0.22881356</v>
      </c>
      <c r="AD144" s="205">
        <v>1.57062147</v>
      </c>
      <c r="AE144" s="205">
        <v>2.58403955</v>
      </c>
      <c r="AF144" s="205">
        <v>-0.1384181</v>
      </c>
      <c r="AG144" s="205">
        <v>0.92584746</v>
      </c>
      <c r="AH144" s="205">
        <v>-0.5261299</v>
      </c>
      <c r="AI144" s="205">
        <v>-0.4357345</v>
      </c>
      <c r="AJ144" s="205">
        <v>-0.8884887</v>
      </c>
      <c r="AK144" s="205">
        <v>1.09816384</v>
      </c>
      <c r="AL144" s="205">
        <v>-0.6320621</v>
      </c>
      <c r="AM144" s="205">
        <v>-0.1560734</v>
      </c>
      <c r="AN144" s="205">
        <v>-0.8468927</v>
      </c>
      <c r="AO144" s="205">
        <v>-1.0933616</v>
      </c>
      <c r="AP144" s="205">
        <v>0.39124294</v>
      </c>
      <c r="AQ144" s="205">
        <v>0.51271186</v>
      </c>
      <c r="AR144" s="205">
        <v>2.41313559</v>
      </c>
      <c r="AS144" s="205">
        <v>-0.319209</v>
      </c>
      <c r="AT144" s="205">
        <v>-7.062E-4</v>
      </c>
      <c r="AU144" s="205">
        <v>-1.4639831</v>
      </c>
      <c r="AV144" s="205">
        <v>-0.8829802</v>
      </c>
      <c r="AW144" s="205">
        <v>0.45621469</v>
      </c>
      <c r="AX144" s="205">
        <v>1.71680791</v>
      </c>
      <c r="AY144" s="205">
        <v>-0.9555791</v>
      </c>
      <c r="AZ144" s="205">
        <v>-0.5614407</v>
      </c>
      <c r="BA144" s="205">
        <v>0.26624294</v>
      </c>
      <c r="BB144" s="205">
        <v>0.03954802</v>
      </c>
      <c r="BC144" s="205">
        <v>-0.3538136</v>
      </c>
      <c r="BD144" s="205">
        <v>6.41737288</v>
      </c>
      <c r="BE144" s="205">
        <v>0.66949153</v>
      </c>
      <c r="BF144" s="205">
        <v>1.41454802</v>
      </c>
      <c r="BG144" s="205">
        <v>0.05225989</v>
      </c>
      <c r="BH144" s="205">
        <v>2.20127119</v>
      </c>
      <c r="BI144" s="205">
        <v>-0.1935028</v>
      </c>
      <c r="BJ144" s="205">
        <v>-0.5134181</v>
      </c>
      <c r="BK144" s="205">
        <v>-0.7857345</v>
      </c>
      <c r="BL144" s="205">
        <v>-0.585452</v>
      </c>
      <c r="BM144" s="205">
        <v>0.47740113</v>
      </c>
      <c r="BN144" s="205">
        <v>0.0</v>
      </c>
      <c r="BO144" s="205">
        <v>-0.1850282</v>
      </c>
      <c r="BP144" s="205">
        <v>0.09392655</v>
      </c>
      <c r="BQ144" s="205">
        <v>0.34887006</v>
      </c>
      <c r="BR144" s="206"/>
      <c r="BS144" s="250">
        <f t="shared" si="1"/>
        <v>0.1993599203</v>
      </c>
      <c r="BT144" s="250">
        <f t="shared" si="2"/>
        <v>0.7730461953</v>
      </c>
      <c r="BU144" s="206"/>
      <c r="BV144" s="207">
        <f>IFERROR(__xludf.DUMMYFUNCTION("AVERAGE(ARRAYFORMULA(XLOOKUP(FILTER(INDIRECT(""'""&amp;BV$1&amp;""'!$C$4:$C$66""),INDIRECT(""'""&amp;BV$1&amp;""'!$D$4:$D$66"")=BV$2),$G$3:$BQ$3,$G144:$BQ144)))"),-0.19959646)</f>
        <v>-0.19959646</v>
      </c>
      <c r="BW144" s="207" t="str">
        <f>IFERROR(__xludf.DUMMYFUNCTION("IF(OR(BV144&gt;$BS144+$BT144*$BT$2,BV144&lt;$BS144-$BT144*$BT$2),AVEDEV(ARRAYFORMULA(XLOOKUP(FILTER(INDIRECT(""'""&amp;BV$1&amp;""'!$C$4:$C$66""),INDIRECT(""'""&amp;BV$1&amp;""'!$D$4:$D$66"")=BV$2),$G$3:$BQ$3,$G144:$BQ144))),"""")"),"")</f>
        <v/>
      </c>
      <c r="BX144" s="207">
        <f>IFERROR(__xludf.DUMMYFUNCTION("AVERAGE(ARRAYFORMULA(XLOOKUP(FILTER(INDIRECT(""'""&amp;BX$1&amp;""'!$C$4:$C$66""),INDIRECT(""'""&amp;BX$1&amp;""'!$D$4:$D$66"")=BX$2),$G$3:$BQ$3,$G144:$BQ144)))"),0.2555135211904762)</f>
        <v>0.2555135212</v>
      </c>
      <c r="BY144" s="207" t="str">
        <f>IFERROR(__xludf.DUMMYFUNCTION("IF(OR(BX144&gt;$BS144+$BT144*$BT$2,BX144&lt;$BS144-$BT144*$BT$2),AVEDEV(ARRAYFORMULA(XLOOKUP(FILTER(INDIRECT(""'""&amp;BX$1&amp;""'!$C$4:$C$66""),INDIRECT(""'""&amp;BX$1&amp;""'!$D$4:$D$66"")=BX$2),$G$3:$BQ$3,$G144:$BQ144))),"""")"),"")</f>
        <v/>
      </c>
      <c r="BZ144" s="207">
        <f>IFERROR(__xludf.DUMMYFUNCTION("AVERAGE(ARRAYFORMULA(XLOOKUP(FILTER(INDIRECT(""'""&amp;BZ$1&amp;""'!$C$4:$C$66""),INDIRECT(""'""&amp;BZ$1&amp;""'!$D$4:$D$66"")=BZ$2),$G$3:$BQ$3,$G144:$BQ144)))"),-0.11793786090909092)</f>
        <v>-0.1179378609</v>
      </c>
      <c r="CA144" s="207" t="str">
        <f>IFERROR(__xludf.DUMMYFUNCTION("IF(OR(BZ144&gt;$BS144+$BT144*$BT$2,BZ144&lt;$BS144-$BT144*$BT$2),AVEDEV(ARRAYFORMULA(XLOOKUP(FILTER(INDIRECT(""'""&amp;BZ$1&amp;""'!$C$4:$C$66""),INDIRECT(""'""&amp;BZ$1&amp;""'!$D$4:$D$66"")=BZ$2),$G$3:$BQ$3,$G144:$BQ144))),"""")"),"")</f>
        <v/>
      </c>
      <c r="CB144" s="209"/>
      <c r="CC144" s="207">
        <f>IFERROR(__xludf.DUMMYFUNCTION("AVERAGE(ARRAYFORMULA(XLOOKUP(FILTER(INDIRECT(""'""&amp;CC$1&amp;""'!$C$4:$C$66""),INDIRECT(""'""&amp;CC$1&amp;""'!$D$4:$D$66"")=CC$2),$G$3:$BQ$3,$G144:$BQ144)))"),0.61082715)</f>
        <v>0.61082715</v>
      </c>
      <c r="CD144" s="207" t="str">
        <f>IFERROR(__xludf.DUMMYFUNCTION("IF(OR(CC144&gt;$BS144+$BT144*$BT$2,CC144&lt;$BS144-$BT144*$BT$2),AVEDEV(ARRAYFORMULA(XLOOKUP(FILTER(INDIRECT(""'""&amp;CC$1&amp;""'!$C$4:$C$66""),INDIRECT(""'""&amp;CC$1&amp;""'!$D$4:$D$66"")=CC$2),$G$3:$BQ$3,$G144:$BQ144))),"""")"),"")</f>
        <v/>
      </c>
      <c r="CE144" s="207">
        <f>IFERROR(__xludf.DUMMYFUNCTION("AVERAGE(ARRAYFORMULA(XLOOKUP(FILTER(INDIRECT(""'""&amp;CE$1&amp;""'!$C$4:$C$66""),INDIRECT(""'""&amp;CE$1&amp;""'!$D$4:$D$66"")=CE$2),$G$3:$BQ$3,$G144:$BQ144)))"),-0.19034080870967748)</f>
        <v>-0.1903408087</v>
      </c>
      <c r="CF144" s="207" t="str">
        <f>IFERROR(__xludf.DUMMYFUNCTION("IF(OR(CE144&gt;$BS144+$BT144*$BT$2,CE144&lt;$BS144-$BT144*$BT$2),AVEDEV(ARRAYFORMULA(XLOOKUP(FILTER(INDIRECT(""'""&amp;CE$1&amp;""'!$C$4:$C$66""),INDIRECT(""'""&amp;CE$1&amp;""'!$D$4:$D$66"")=CE$2),$G$3:$BQ$3,$G144:$BQ144))),"""")"),"")</f>
        <v/>
      </c>
      <c r="CG144" s="207">
        <f>IFERROR(__xludf.DUMMYFUNCTION("AVERAGE(ARRAYFORMULA(XLOOKUP(FILTER(INDIRECT(""'""&amp;CG$1&amp;""'!$C$4:$C$66""),INDIRECT(""'""&amp;CG$1&amp;""'!$D$4:$D$66"")=CG$2),$G$3:$BQ$3,$G144:$BQ144)))"),-0.07824857200000002)</f>
        <v>-0.078248572</v>
      </c>
      <c r="CH144" s="207" t="str">
        <f>IFERROR(__xludf.DUMMYFUNCTION("IF(OR(CG144&gt;$BS144+$BT144*$BT$2,CG144&lt;$BS144-$BT144*$BT$2),AVEDEV(ARRAYFORMULA(XLOOKUP(FILTER(INDIRECT(""'""&amp;CG$1&amp;""'!$C$4:$C$66""),INDIRECT(""'""&amp;CG$1&amp;""'!$D$4:$D$66"")=CG$2),$G$3:$BQ$3,$G144:$BQ144))),"""")"),"")</f>
        <v/>
      </c>
      <c r="CI144" s="206"/>
      <c r="CJ144" s="251">
        <f>IFERROR(__xludf.DUMMYFUNCTION("AVERAGE(ARRAYFORMULA(XLOOKUP(FILTER(INDIRECT(""'""&amp;CJ$1&amp;""'!$C$4:$C$66""),INDIRECT(""'""&amp;CJ$1&amp;""'!$D$4:$D$66"")=CJ$2),$G$3:$BQ$3,$G144:$BQ144)))"),0.24820621266666662)</f>
        <v>0.2482062127</v>
      </c>
      <c r="CK144" s="207" t="str">
        <f>IFERROR(__xludf.DUMMYFUNCTION("IF(OR(CJ144&gt;$BS144+$BT144*$BT$2,CJ144&lt;$BS144-$BT144*$BT$2),AVEDEV(ARRAYFORMULA(XLOOKUP(FILTER(INDIRECT(""'""&amp;CJ$1&amp;""'!$C$4:$C$66""),INDIRECT(""'""&amp;CJ$1&amp;""'!$D$4:$D$66"")=CJ$2),$G$3:$BQ$3,$G144:$BQ144))),"""")"),"")</f>
        <v/>
      </c>
      <c r="CL144" s="251">
        <f>IFERROR(__xludf.DUMMYFUNCTION("AVERAGE(ARRAYFORMULA(XLOOKUP(FILTER(INDIRECT(""'""&amp;CL$1&amp;""'!$C$4:$C$66""),INDIRECT(""'""&amp;CL$1&amp;""'!$D$4:$D$66"")=CL$2),$G$3:$BQ$3,$G144:$BQ144)))"),0.13565840692307696)</f>
        <v>0.1356584069</v>
      </c>
      <c r="CM144" s="207" t="str">
        <f>IFERROR(__xludf.DUMMYFUNCTION("IF(OR(CL144&gt;$BS144+$BT144*$BT$2,CL144&lt;$BS144-$BT144*$BT$2),AVEDEV(ARRAYFORMULA(XLOOKUP(FILTER(INDIRECT(""'""&amp;CL$1&amp;""'!$C$4:$C$66""),INDIRECT(""'""&amp;CL$1&amp;""'!$D$4:$D$66"")=CL$2),$G$3:$BQ$3,$G144:$BQ144))),"""")"),"")</f>
        <v/>
      </c>
      <c r="CN144" s="251">
        <f>IFERROR(__xludf.DUMMYFUNCTION("AVERAGE(ARRAYFORMULA(XLOOKUP(FILTER(INDIRECT(""'""&amp;CN$1&amp;""'!$C$4:$C$66""),INDIRECT(""'""&amp;CN$1&amp;""'!$D$4:$D$66"")=CN$2),$G$3:$BQ$3,$G144:$BQ144)))"),-0.07824857200000002)</f>
        <v>-0.078248572</v>
      </c>
      <c r="CO144" s="207" t="str">
        <f>IFERROR(__xludf.DUMMYFUNCTION("IF(OR(CN144&gt;$BS144+$BT144*$BT$2,CN144&lt;$BS144-$BT144*$BT$2),AVEDEV(ARRAYFORMULA(XLOOKUP(FILTER(INDIRECT(""'""&amp;CN$1&amp;""'!$C$4:$C$66""),INDIRECT(""'""&amp;CN$1&amp;""'!$D$4:$D$66"")=CN$2),$G$3:$BQ$3,$G144:$BQ144))),"""")"),"")</f>
        <v/>
      </c>
      <c r="CP144" s="252"/>
      <c r="CQ144" s="251">
        <f>IFERROR(__xludf.DUMMYFUNCTION("AVERAGE(ARRAYFORMULA(XLOOKUP(FILTER(INDIRECT(""'""&amp;CQ$1&amp;""'!$C$4:$C$66""),INDIRECT(""'""&amp;CQ$1&amp;""'!$D$4:$D$66"")=CQ$2),$G$3:$BQ$3,$G144:$BQ144)))"),0.6035310714285714)</f>
        <v>0.6035310714</v>
      </c>
      <c r="CR144" s="207" t="str">
        <f>IFERROR(__xludf.DUMMYFUNCTION("IF(OR(CQ144&gt;$BS144+$BT144*$BT$2,CQ144&lt;$BS144-$BT144*$BT$2),AVEDEV(ARRAYFORMULA(XLOOKUP(FILTER(INDIRECT(""'""&amp;CQ$1&amp;""'!$C$4:$C$66""),INDIRECT(""'""&amp;CQ$1&amp;""'!$D$4:$D$66"")=CQ$2),$G$3:$BQ$3,$G144:$BQ144))),"""")"),"")</f>
        <v/>
      </c>
      <c r="CS144" s="251">
        <f>IFERROR(__xludf.DUMMYFUNCTION("AVERAGE(ARRAYFORMULA(XLOOKUP(FILTER(INDIRECT(""'""&amp;CS$1&amp;""'!$C$4:$C$66""),INDIRECT(""'""&amp;CS$1&amp;""'!$D$4:$D$66"")=CS$2),$G$3:$BQ$3,$G144:$BQ144)))"),-0.13480854444444446)</f>
        <v>-0.1348085444</v>
      </c>
      <c r="CT144" s="207" t="str">
        <f>IFERROR(__xludf.DUMMYFUNCTION("IF(OR(CS144&gt;$BS144+$BT144*$BT$2,CS144&lt;$BS144-$BT144*$BT$2),AVEDEV(ARRAYFORMULA(XLOOKUP(FILTER(INDIRECT(""'""&amp;CS$1&amp;""'!$C$4:$C$66""),INDIRECT(""'""&amp;CS$1&amp;""'!$D$4:$D$66"")=CS$2),$G$3:$BQ$3,$G144:$BQ144))),"""")"),"")</f>
        <v/>
      </c>
      <c r="CU144" s="251">
        <f>IFERROR(__xludf.DUMMYFUNCTION("AVERAGE(ARRAYFORMULA(XLOOKUP(FILTER(INDIRECT(""'""&amp;CU$1&amp;""'!$C$4:$C$66""),INDIRECT(""'""&amp;CU$1&amp;""'!$D$4:$D$66"")=CU$2),$G$3:$BQ$3,$G144:$BQ144)))"),-0.27191190454545455)</f>
        <v>-0.2719119045</v>
      </c>
      <c r="CV144" s="207" t="str">
        <f>IFERROR(__xludf.DUMMYFUNCTION("IF(OR(CU144&gt;$BS144+$BT144*$BT$2,CU144&lt;$BS144-$BT144*$BT$2),AVEDEV(ARRAYFORMULA(XLOOKUP(FILTER(INDIRECT(""'""&amp;CU$1&amp;""'!$C$4:$C$66""),INDIRECT(""'""&amp;CU$1&amp;""'!$D$4:$D$66"")=CU$2),$G$3:$BQ$3,$G144:$BQ144))),"""")"),"")</f>
        <v/>
      </c>
      <c r="CW144" s="251">
        <f>IFERROR(__xludf.DUMMYFUNCTION("AVERAGE(ARRAYFORMULA(XLOOKUP(FILTER(INDIRECT(""'""&amp;CW$1&amp;""'!$C$4:$C$66""),INDIRECT(""'""&amp;CW$1&amp;""'!$D$4:$D$66"")=CW$2),$G$3:$BQ$3,$G144:$BQ144)))"),1.88594633)</f>
        <v>1.88594633</v>
      </c>
      <c r="CX144" s="207">
        <f>IFERROR(__xludf.DUMMYFUNCTION("IF(OR(CW144&gt;$BS144+$BT144*$BT$2,CW144&lt;$BS144-$BT144*$BT$2),AVEDEV(ARRAYFORMULA(XLOOKUP(FILTER(INDIRECT(""'""&amp;CW$1&amp;""'!$C$4:$C$66""),INDIRECT(""'""&amp;CW$1&amp;""'!$D$4:$D$66"")=CW$2),$G$3:$BQ$3,$G144:$BQ144))),"""")"),0.31532485999999993)</f>
        <v>0.31532486</v>
      </c>
      <c r="CY144" s="251">
        <f>IFERROR(__xludf.DUMMYFUNCTION("AVERAGE(ARRAYFORMULA(XLOOKUP(FILTER(INDIRECT(""'""&amp;CY$1&amp;""'!$C$4:$C$66""),INDIRECT(""'""&amp;CY$1&amp;""'!$D$4:$D$66"")=CY$2),$G$3:$BQ$3,$G144:$BQ144)))"),0.03918482142857139)</f>
        <v>0.03918482143</v>
      </c>
      <c r="CZ144" s="207" t="str">
        <f>IFERROR(__xludf.DUMMYFUNCTION("IF(OR(CY144&gt;$BS144+$BT144*$BT$2,CY144&lt;$BS144-$BT144*$BT$2),AVEDEV(ARRAYFORMULA(XLOOKUP(FILTER(INDIRECT(""'""&amp;CY$1&amp;""'!$C$4:$C$66""),INDIRECT(""'""&amp;CY$1&amp;""'!$D$4:$D$66"")=CY$2),$G$3:$BQ$3,$G144:$BQ144))),"""")"),"")</f>
        <v/>
      </c>
      <c r="DA144" s="252"/>
      <c r="DB144" s="251">
        <f>IFERROR(__xludf.DUMMYFUNCTION("AVERAGE(ARRAYFORMULA(XLOOKUP(FILTER(INDIRECT(""'""&amp;DB$1&amp;""'!$C$4:$C$66""),INDIRECT(""'""&amp;DB$1&amp;""'!$D$4:$D$66"")=DB$2),$G$3:$BQ$3,$G144:$BQ144)))"),0.31766007333333335)</f>
        <v>0.3176600733</v>
      </c>
      <c r="DC144" s="207" t="str">
        <f>IFERROR(__xludf.DUMMYFUNCTION("IF(OR(DB144&gt;$BS144+$BT144*$BT$2,DB144&lt;$BS144-$BT144*$BT$2),AVEDEV(ARRAYFORMULA(XLOOKUP(FILTER(INDIRECT(""'""&amp;DB$1&amp;""'!$C$4:$C$66""),INDIRECT(""'""&amp;DB$1&amp;""'!$D$4:$D$66"")=DB$2),$G$3:$BQ$3,$G144:$BQ144))),"""")"),"")</f>
        <v/>
      </c>
      <c r="DD144" s="251">
        <f>IFERROR(__xludf.DUMMYFUNCTION("AVERAGE(ARRAYFORMULA(XLOOKUP(FILTER(INDIRECT(""'""&amp;DD$1&amp;""'!$C$4:$C$66""),INDIRECT(""'""&amp;DD$1&amp;""'!$D$4:$D$66"")=DD$2),$G$3:$BQ$3,$G144:$BQ144)))"),-0.1401679188888889)</f>
        <v>-0.1401679189</v>
      </c>
      <c r="DE144" s="207" t="str">
        <f>IFERROR(__xludf.DUMMYFUNCTION("IF(OR(DD144&gt;$BS144+$BT144*$BT$2,DD144&lt;$BS144-$BT144*$BT$2),AVEDEV(ARRAYFORMULA(XLOOKUP(FILTER(INDIRECT(""'""&amp;DD$1&amp;""'!$C$4:$C$66""),INDIRECT(""'""&amp;DD$1&amp;""'!$D$4:$D$66"")=DD$2),$G$3:$BQ$3,$G144:$BQ144))),"""")"),"")</f>
        <v/>
      </c>
      <c r="DF144" s="251">
        <f>IFERROR(__xludf.DUMMYFUNCTION("AVERAGE(ARRAYFORMULA(XLOOKUP(FILTER(INDIRECT(""'""&amp;DF$1&amp;""'!$C$4:$C$66""),INDIRECT(""'""&amp;DF$1&amp;""'!$D$4:$D$66"")=DF$2),$G$3:$BQ$3,$G144:$BQ144)))"),-0.6934322125000001)</f>
        <v>-0.6934322125</v>
      </c>
      <c r="DG144" s="207">
        <f>IFERROR(__xludf.DUMMYFUNCTION("IF(OR(DF144&gt;$BS144+$BT144*$BT$2,DF144&lt;$BS144-$BT144*$BT$2),AVEDEV(ARRAYFORMULA(XLOOKUP(FILTER(INDIRECT(""'""&amp;DF$1&amp;""'!$C$4:$C$66""),INDIRECT(""'""&amp;DF$1&amp;""'!$D$4:$D$66"")=DF$2),$G$3:$BQ$3,$G144:$BQ144))),"""")"),0.2615819125)</f>
        <v>0.2615819125</v>
      </c>
      <c r="DH144" s="251">
        <f>IFERROR(__xludf.DUMMYFUNCTION("AVERAGE(ARRAYFORMULA(XLOOKUP(FILTER(INDIRECT(""'""&amp;DH$1&amp;""'!$C$4:$C$66""),INDIRECT(""'""&amp;DH$1&amp;""'!$D$4:$D$66"")=DH$2),$G$3:$BQ$3,$G144:$BQ144)))"),0.35671689444444443)</f>
        <v>0.3567168944</v>
      </c>
      <c r="DI144" s="207" t="str">
        <f>IFERROR(__xludf.DUMMYFUNCTION("IF(OR(DH144&gt;$BS144+$BT144*$BT$2,DH144&lt;$BS144-$BT144*$BT$2),AVEDEV(ARRAYFORMULA(XLOOKUP(FILTER(INDIRECT(""'""&amp;DH$1&amp;""'!$C$4:$C$66""),INDIRECT(""'""&amp;DH$1&amp;""'!$D$4:$D$66"")=DH$2),$G$3:$BQ$3,$G144:$BQ144))),"""")"),"")</f>
        <v/>
      </c>
      <c r="DJ144" s="243"/>
    </row>
    <row r="145">
      <c r="A145" s="2"/>
      <c r="B145" s="204">
        <v>141.0</v>
      </c>
      <c r="C145" s="204" t="s">
        <v>540</v>
      </c>
      <c r="D145" s="204" t="s">
        <v>587</v>
      </c>
      <c r="E145" s="205" t="b">
        <f>VLOOKUP(D145,'Feature Set List'!A142:C246,2,0)</f>
        <v>1</v>
      </c>
      <c r="F145" s="205" t="b">
        <f>VLOOKUP(D145,'Feature Set List'!A142:C246,3,0)</f>
        <v>0</v>
      </c>
      <c r="G145" s="205">
        <v>0.56994819</v>
      </c>
      <c r="H145" s="205">
        <v>-0.0325685</v>
      </c>
      <c r="I145" s="205">
        <v>-1.2088823</v>
      </c>
      <c r="J145" s="205">
        <v>-0.0088823</v>
      </c>
      <c r="K145" s="205">
        <v>-0.6478164</v>
      </c>
      <c r="L145" s="205">
        <v>0.12139156</v>
      </c>
      <c r="M145" s="205">
        <v>1.00370096</v>
      </c>
      <c r="N145" s="205">
        <v>0.32124352</v>
      </c>
      <c r="O145" s="205">
        <v>-0.5772021</v>
      </c>
      <c r="P145" s="205">
        <v>0.96965211</v>
      </c>
      <c r="Q145" s="205">
        <v>-0.4728349</v>
      </c>
      <c r="R145" s="205">
        <v>-0.3850481</v>
      </c>
      <c r="S145" s="205">
        <v>0.13323464</v>
      </c>
      <c r="T145" s="205">
        <v>0.16284234</v>
      </c>
      <c r="U145" s="205">
        <v>-0.6478164</v>
      </c>
      <c r="V145" s="205">
        <v>-0.3906736</v>
      </c>
      <c r="W145" s="205">
        <v>0.41598816</v>
      </c>
      <c r="X145" s="205">
        <v>1.89045152</v>
      </c>
      <c r="Y145" s="205">
        <v>0.23834197</v>
      </c>
      <c r="Z145" s="205">
        <v>1.24352332</v>
      </c>
      <c r="AA145" s="205">
        <v>0.0</v>
      </c>
      <c r="AB145" s="205">
        <v>-0.9082161</v>
      </c>
      <c r="AC145" s="205">
        <v>0.8527017</v>
      </c>
      <c r="AD145" s="205">
        <v>0.99481865</v>
      </c>
      <c r="AE145" s="205">
        <v>0.55070318</v>
      </c>
      <c r="AF145" s="205">
        <v>-0.1554404</v>
      </c>
      <c r="AG145" s="205">
        <v>0.75203553</v>
      </c>
      <c r="AH145" s="205">
        <v>0.02516654</v>
      </c>
      <c r="AI145" s="205">
        <v>0.05773501</v>
      </c>
      <c r="AJ145" s="205">
        <v>-0.2013323</v>
      </c>
      <c r="AK145" s="205">
        <v>-0.63849</v>
      </c>
      <c r="AL145" s="205">
        <v>-0.3096965</v>
      </c>
      <c r="AM145" s="205">
        <v>-0.0532939</v>
      </c>
      <c r="AN145" s="205">
        <v>-0.3252406</v>
      </c>
      <c r="AO145" s="205">
        <v>-0.4553664</v>
      </c>
      <c r="AP145" s="205">
        <v>-1.0749075</v>
      </c>
      <c r="AQ145" s="205">
        <v>0.45003701</v>
      </c>
      <c r="AR145" s="205">
        <v>-0.0651369</v>
      </c>
      <c r="AS145" s="205">
        <v>-0.6504811</v>
      </c>
      <c r="AT145" s="205">
        <v>-0.7541081</v>
      </c>
      <c r="AU145" s="205">
        <v>-1.7794226</v>
      </c>
      <c r="AV145" s="205">
        <v>0.58919319</v>
      </c>
      <c r="AW145" s="205">
        <v>1.34566987</v>
      </c>
      <c r="AX145" s="205">
        <v>-0.7185788</v>
      </c>
      <c r="AY145" s="205">
        <v>0.70466321</v>
      </c>
      <c r="AZ145" s="205">
        <v>-0.3582531</v>
      </c>
      <c r="BA145" s="205">
        <v>0.73871207</v>
      </c>
      <c r="BB145" s="205">
        <v>2.17172465</v>
      </c>
      <c r="BC145" s="205">
        <v>0.02072539</v>
      </c>
      <c r="BD145" s="205">
        <v>-0.6984456</v>
      </c>
      <c r="BE145" s="205">
        <v>-0.0148038</v>
      </c>
      <c r="BF145" s="205">
        <v>0.28867506</v>
      </c>
      <c r="BG145" s="205">
        <v>0.25018505</v>
      </c>
      <c r="BH145" s="205">
        <v>0.83197631</v>
      </c>
      <c r="BI145" s="205">
        <v>-0.4852702</v>
      </c>
      <c r="BJ145" s="205">
        <v>-0.3125093</v>
      </c>
      <c r="BK145" s="205">
        <v>-0.6361214</v>
      </c>
      <c r="BL145" s="205">
        <v>-1.4552184</v>
      </c>
      <c r="BM145" s="205">
        <v>0.52109548</v>
      </c>
      <c r="BN145" s="205">
        <v>-0.1228719</v>
      </c>
      <c r="BO145" s="205">
        <v>1.22279793</v>
      </c>
      <c r="BP145" s="205">
        <v>0.10066617</v>
      </c>
      <c r="BQ145" s="205">
        <v>0.00444115</v>
      </c>
      <c r="BR145" s="206"/>
      <c r="BS145" s="250">
        <f t="shared" si="1"/>
        <v>0.04760495143</v>
      </c>
      <c r="BT145" s="250">
        <f t="shared" si="2"/>
        <v>0.5765323721</v>
      </c>
      <c r="BU145" s="206"/>
      <c r="BV145" s="207">
        <f>IFERROR(__xludf.DUMMYFUNCTION("AVERAGE(ARRAYFORMULA(XLOOKUP(FILTER(INDIRECT(""'""&amp;BV$1&amp;""'!$C$4:$C$66""),INDIRECT(""'""&amp;BV$1&amp;""'!$D$4:$D$66"")=BV$2),$G$3:$BQ$3,$G145:$BQ145)))"),0.31337634000000003)</f>
        <v>0.31337634</v>
      </c>
      <c r="BW145" s="207" t="str">
        <f>IFERROR(__xludf.DUMMYFUNCTION("IF(OR(BV145&gt;$BS145+$BT145*$BT$2,BV145&lt;$BS145-$BT145*$BT$2),AVEDEV(ARRAYFORMULA(XLOOKUP(FILTER(INDIRECT(""'""&amp;BV$1&amp;""'!$C$4:$C$66""),INDIRECT(""'""&amp;BV$1&amp;""'!$D$4:$D$66"")=BV$2),$G$3:$BQ$3,$G145:$BQ145))),"""")"),"")</f>
        <v/>
      </c>
      <c r="BX145" s="207">
        <f>IFERROR(__xludf.DUMMYFUNCTION("AVERAGE(ARRAYFORMULA(XLOOKUP(FILTER(INDIRECT(""'""&amp;BX$1&amp;""'!$C$4:$C$66""),INDIRECT(""'""&amp;BX$1&amp;""'!$D$4:$D$66"")=BX$2),$G$3:$BQ$3,$G145:$BQ145)))"),0.006291636190476214)</f>
        <v>0.00629163619</v>
      </c>
      <c r="BY145" s="207" t="str">
        <f>IFERROR(__xludf.DUMMYFUNCTION("IF(OR(BX145&gt;$BS145+$BT145*$BT$2,BX145&lt;$BS145-$BT145*$BT$2),AVEDEV(ARRAYFORMULA(XLOOKUP(FILTER(INDIRECT(""'""&amp;BX$1&amp;""'!$C$4:$C$66""),INDIRECT(""'""&amp;BX$1&amp;""'!$D$4:$D$66"")=BX$2),$G$3:$BQ$3,$G145:$BQ145))),"""")"),"")</f>
        <v/>
      </c>
      <c r="BZ145" s="207">
        <f>IFERROR(__xludf.DUMMYFUNCTION("AVERAGE(ARRAYFORMULA(XLOOKUP(FILTER(INDIRECT(""'""&amp;BZ$1&amp;""'!$C$4:$C$66""),INDIRECT(""'""&amp;BZ$1&amp;""'!$D$4:$D$66"")=BZ$2),$G$3:$BQ$3,$G145:$BQ145)))"),0.38436175818181817)</f>
        <v>0.3843617582</v>
      </c>
      <c r="CA145" s="207" t="str">
        <f>IFERROR(__xludf.DUMMYFUNCTION("IF(OR(BZ145&gt;$BS145+$BT145*$BT$2,BZ145&lt;$BS145-$BT145*$BT$2),AVEDEV(ARRAYFORMULA(XLOOKUP(FILTER(INDIRECT(""'""&amp;BZ$1&amp;""'!$C$4:$C$66""),INDIRECT(""'""&amp;BZ$1&amp;""'!$D$4:$D$66"")=BZ$2),$G$3:$BQ$3,$G145:$BQ145))),"""")"),"")</f>
        <v/>
      </c>
      <c r="CB145" s="209"/>
      <c r="CC145" s="207">
        <f>IFERROR(__xludf.DUMMYFUNCTION("AVERAGE(ARRAYFORMULA(XLOOKUP(FILTER(INDIRECT(""'""&amp;CC$1&amp;""'!$C$4:$C$66""),INDIRECT(""'""&amp;CC$1&amp;""'!$D$4:$D$66"")=CC$2),$G$3:$BQ$3,$G145:$BQ145)))"),0.108910064375)</f>
        <v>0.1089100644</v>
      </c>
      <c r="CD145" s="207" t="str">
        <f>IFERROR(__xludf.DUMMYFUNCTION("IF(OR(CC145&gt;$BS145+$BT145*$BT$2,CC145&lt;$BS145-$BT145*$BT$2),AVEDEV(ARRAYFORMULA(XLOOKUP(FILTER(INDIRECT(""'""&amp;CC$1&amp;""'!$C$4:$C$66""),INDIRECT(""'""&amp;CC$1&amp;""'!$D$4:$D$66"")=CC$2),$G$3:$BQ$3,$G145:$BQ145))),"""")"),"")</f>
        <v/>
      </c>
      <c r="CE145" s="207">
        <f>IFERROR(__xludf.DUMMYFUNCTION("AVERAGE(ARRAYFORMULA(XLOOKUP(FILTER(INDIRECT(""'""&amp;CE$1&amp;""'!$C$4:$C$66""),INDIRECT(""'""&amp;CE$1&amp;""'!$D$4:$D$66"")=CE$2),$G$3:$BQ$3,$G145:$BQ145)))"),0.06330317161290322)</f>
        <v>0.06330317161</v>
      </c>
      <c r="CF145" s="207" t="str">
        <f>IFERROR(__xludf.DUMMYFUNCTION("IF(OR(CE145&gt;$BS145+$BT145*$BT$2,CE145&lt;$BS145-$BT145*$BT$2),AVEDEV(ARRAYFORMULA(XLOOKUP(FILTER(INDIRECT(""'""&amp;CE$1&amp;""'!$C$4:$C$66""),INDIRECT(""'""&amp;CE$1&amp;""'!$D$4:$D$66"")=CE$2),$G$3:$BQ$3,$G145:$BQ145))),"""")"),"")</f>
        <v/>
      </c>
      <c r="CG145" s="207">
        <f>IFERROR(__xludf.DUMMYFUNCTION("AVERAGE(ARRAYFORMULA(XLOOKUP(FILTER(INDIRECT(""'""&amp;CG$1&amp;""'!$C$4:$C$66""),INDIRECT(""'""&amp;CG$1&amp;""'!$D$4:$D$66"")=CG$2),$G$3:$BQ$3,$G145:$BQ145)))"),0.294182094)</f>
        <v>0.294182094</v>
      </c>
      <c r="CH145" s="207" t="str">
        <f>IFERROR(__xludf.DUMMYFUNCTION("IF(OR(CG145&gt;$BS145+$BT145*$BT$2,CG145&lt;$BS145-$BT145*$BT$2),AVEDEV(ARRAYFORMULA(XLOOKUP(FILTER(INDIRECT(""'""&amp;CG$1&amp;""'!$C$4:$C$66""),INDIRECT(""'""&amp;CG$1&amp;""'!$D$4:$D$66"")=CG$2),$G$3:$BQ$3,$G145:$BQ145))),"""")"),"")</f>
        <v/>
      </c>
      <c r="CI145" s="206"/>
      <c r="CJ145" s="251">
        <f>IFERROR(__xludf.DUMMYFUNCTION("AVERAGE(ARRAYFORMULA(XLOOKUP(FILTER(INDIRECT(""'""&amp;CJ$1&amp;""'!$C$4:$C$66""),INDIRECT(""'""&amp;CJ$1&amp;""'!$D$4:$D$66"")=CJ$2),$G$3:$BQ$3,$G145:$BQ145)))"),0.402615352)</f>
        <v>0.402615352</v>
      </c>
      <c r="CK145" s="207" t="str">
        <f>IFERROR(__xludf.DUMMYFUNCTION("IF(OR(CJ145&gt;$BS145+$BT145*$BT$2,CJ145&lt;$BS145-$BT145*$BT$2),AVEDEV(ARRAYFORMULA(XLOOKUP(FILTER(INDIRECT(""'""&amp;CJ$1&amp;""'!$C$4:$C$66""),INDIRECT(""'""&amp;CJ$1&amp;""'!$D$4:$D$66"")=CJ$2),$G$3:$BQ$3,$G145:$BQ145))),"""")"),"")</f>
        <v/>
      </c>
      <c r="CL145" s="251">
        <f>IFERROR(__xludf.DUMMYFUNCTION("AVERAGE(ARRAYFORMULA(XLOOKUP(FILTER(INDIRECT(""'""&amp;CL$1&amp;""'!$C$4:$C$66""),INDIRECT(""'""&amp;CL$1&amp;""'!$D$4:$D$66"")=CL$2),$G$3:$BQ$3,$G145:$BQ145)))"),0.016177951025641023)</f>
        <v>0.01617795103</v>
      </c>
      <c r="CM145" s="207" t="str">
        <f>IFERROR(__xludf.DUMMYFUNCTION("IF(OR(CL145&gt;$BS145+$BT145*$BT$2,CL145&lt;$BS145-$BT145*$BT$2),AVEDEV(ARRAYFORMULA(XLOOKUP(FILTER(INDIRECT(""'""&amp;CL$1&amp;""'!$C$4:$C$66""),INDIRECT(""'""&amp;CL$1&amp;""'!$D$4:$D$66"")=CL$2),$G$3:$BQ$3,$G145:$BQ145))),"""")"),"")</f>
        <v/>
      </c>
      <c r="CN145" s="253">
        <f>IFERROR(__xludf.DUMMYFUNCTION("AVERAGE(ARRAYFORMULA(XLOOKUP(FILTER(INDIRECT(""'""&amp;CN$1&amp;""'!$C$4:$C$66""),INDIRECT(""'""&amp;CN$1&amp;""'!$D$4:$D$66"")=CN$2),$G$3:$BQ$3,$G145:$BQ145)))"),0.294182094)</f>
        <v>0.294182094</v>
      </c>
      <c r="CO145" s="207" t="str">
        <f>IFERROR(__xludf.DUMMYFUNCTION("IF(OR(CN145&gt;$BS145+$BT145*$BT$2,CN145&lt;$BS145-$BT145*$BT$2),AVEDEV(ARRAYFORMULA(XLOOKUP(FILTER(INDIRECT(""'""&amp;CN$1&amp;""'!$C$4:$C$66""),INDIRECT(""'""&amp;CN$1&amp;""'!$D$4:$D$66"")=CN$2),$G$3:$BQ$3,$G145:$BQ145))),"""")"),"")</f>
        <v/>
      </c>
      <c r="CP145" s="252"/>
      <c r="CQ145" s="251">
        <f>IFERROR(__xludf.DUMMYFUNCTION("AVERAGE(ARRAYFORMULA(XLOOKUP(FILTER(INDIRECT(""'""&amp;CQ$1&amp;""'!$C$4:$C$66""),INDIRECT(""'""&amp;CQ$1&amp;""'!$D$4:$D$66"")=CQ$2),$G$3:$BQ$3,$G145:$BQ145)))"),0.04819709857142857)</f>
        <v>0.04819709857</v>
      </c>
      <c r="CR145" s="207" t="str">
        <f>IFERROR(__xludf.DUMMYFUNCTION("IF(OR(CQ145&gt;$BS145+$BT145*$BT$2,CQ145&lt;$BS145-$BT145*$BT$2),AVEDEV(ARRAYFORMULA(XLOOKUP(FILTER(INDIRECT(""'""&amp;CQ$1&amp;""'!$C$4:$C$66""),INDIRECT(""'""&amp;CQ$1&amp;""'!$D$4:$D$66"")=CQ$2),$G$3:$BQ$3,$G145:$BQ145))),"""")"),"")</f>
        <v/>
      </c>
      <c r="CS145" s="251">
        <f>IFERROR(__xludf.DUMMYFUNCTION("AVERAGE(ARRAYFORMULA(XLOOKUP(FILTER(INDIRECT(""'""&amp;CS$1&amp;""'!$C$4:$C$66""),INDIRECT(""'""&amp;CS$1&amp;""'!$D$4:$D$66"")=CS$2),$G$3:$BQ$3,$G145:$BQ145)))"),0.45168188444444446)</f>
        <v>0.4516818844</v>
      </c>
      <c r="CT145" s="207" t="str">
        <f>IFERROR(__xludf.DUMMYFUNCTION("IF(OR(CS145&gt;$BS145+$BT145*$BT$2,CS145&lt;$BS145-$BT145*$BT$2),AVEDEV(ARRAYFORMULA(XLOOKUP(FILTER(INDIRECT(""'""&amp;CS$1&amp;""'!$C$4:$C$66""),INDIRECT(""'""&amp;CS$1&amp;""'!$D$4:$D$66"")=CS$2),$G$3:$BQ$3,$G145:$BQ145))),"""")"),"")</f>
        <v/>
      </c>
      <c r="CU145" s="251">
        <f>IFERROR(__xludf.DUMMYFUNCTION("AVERAGE(ARRAYFORMULA(XLOOKUP(FILTER(INDIRECT(""'""&amp;CU$1&amp;""'!$C$4:$C$66""),INDIRECT(""'""&amp;CU$1&amp;""'!$D$4:$D$66"")=CU$2),$G$3:$BQ$3,$G145:$BQ145)))"),0.0908552590909091)</f>
        <v>0.09085525909</v>
      </c>
      <c r="CV145" s="207" t="str">
        <f>IFERROR(__xludf.DUMMYFUNCTION("IF(OR(CU145&gt;$BS145+$BT145*$BT$2,CU145&lt;$BS145-$BT145*$BT$2),AVEDEV(ARRAYFORMULA(XLOOKUP(FILTER(INDIRECT(""'""&amp;CU$1&amp;""'!$C$4:$C$66""),INDIRECT(""'""&amp;CU$1&amp;""'!$D$4:$D$66"")=CU$2),$G$3:$BQ$3,$G145:$BQ145))),"""")"),"")</f>
        <v/>
      </c>
      <c r="CW145" s="251">
        <f>IFERROR(__xludf.DUMMYFUNCTION("AVERAGE(ARRAYFORMULA(XLOOKUP(FILTER(INDIRECT(""'""&amp;CW$1&amp;""'!$C$4:$C$66""),INDIRECT(""'""&amp;CW$1&amp;""'!$D$4:$D$66"")=CW$2),$G$3:$BQ$3,$G145:$BQ145)))"),0.91339748)</f>
        <v>0.91339748</v>
      </c>
      <c r="CX145" s="207">
        <f>IFERROR(__xludf.DUMMYFUNCTION("IF(OR(CW145&gt;$BS145+$BT145*$BT$2,CW145&lt;$BS145-$BT145*$BT$2),AVEDEV(ARRAYFORMULA(XLOOKUP(FILTER(INDIRECT(""'""&amp;CW$1&amp;""'!$C$4:$C$66""),INDIRECT(""'""&amp;CW$1&amp;""'!$D$4:$D$66"")=CW$2),$G$3:$BQ$3,$G145:$BQ145))),"""")"),0.08142116999999999)</f>
        <v>0.08142117</v>
      </c>
      <c r="CY145" s="253">
        <f>IFERROR(__xludf.DUMMYFUNCTION("AVERAGE(ARRAYFORMULA(XLOOKUP(FILTER(INDIRECT(""'""&amp;CY$1&amp;""'!$C$4:$C$66""),INDIRECT(""'""&amp;CY$1&amp;""'!$D$4:$D$66"")=CY$2),$G$3:$BQ$3,$G145:$BQ145)))"),-0.16404779071428569)</f>
        <v>-0.1640477907</v>
      </c>
      <c r="CZ145" s="207" t="str">
        <f>IFERROR(__xludf.DUMMYFUNCTION("IF(OR(CY145&gt;$BS145+$BT145*$BT$2,CY145&lt;$BS145-$BT145*$BT$2),AVEDEV(ARRAYFORMULA(XLOOKUP(FILTER(INDIRECT(""'""&amp;CY$1&amp;""'!$C$4:$C$66""),INDIRECT(""'""&amp;CY$1&amp;""'!$D$4:$D$66"")=CY$2),$G$3:$BQ$3,$G145:$BQ145))),"""")"),"")</f>
        <v/>
      </c>
      <c r="DA145" s="252"/>
      <c r="DB145" s="251">
        <f>IFERROR(__xludf.DUMMYFUNCTION("AVERAGE(ARRAYFORMULA(XLOOKUP(FILTER(INDIRECT(""'""&amp;DB$1&amp;""'!$C$4:$C$66""),INDIRECT(""'""&amp;DB$1&amp;""'!$D$4:$D$66"")=DB$2),$G$3:$BQ$3,$G145:$BQ145)))"),-0.021371824)</f>
        <v>-0.021371824</v>
      </c>
      <c r="DC145" s="207" t="str">
        <f>IFERROR(__xludf.DUMMYFUNCTION("IF(OR(DB145&gt;$BS145+$BT145*$BT$2,DB145&lt;$BS145-$BT145*$BT$2),AVEDEV(ARRAYFORMULA(XLOOKUP(FILTER(INDIRECT(""'""&amp;DB$1&amp;""'!$C$4:$C$66""),INDIRECT(""'""&amp;DB$1&amp;""'!$D$4:$D$66"")=DB$2),$G$3:$BQ$3,$G145:$BQ145))),"""")"),"")</f>
        <v/>
      </c>
      <c r="DD145" s="251">
        <f>IFERROR(__xludf.DUMMYFUNCTION("AVERAGE(ARRAYFORMULA(XLOOKUP(FILTER(INDIRECT(""'""&amp;DD$1&amp;""'!$C$4:$C$66""),INDIRECT(""'""&amp;DD$1&amp;""'!$D$4:$D$66"")=DD$2),$G$3:$BQ$3,$G145:$BQ145)))"),0.5658360066666667)</f>
        <v>0.5658360067</v>
      </c>
      <c r="DE145" s="207" t="str">
        <f>IFERROR(__xludf.DUMMYFUNCTION("IF(OR(DD145&gt;$BS145+$BT145*$BT$2,DD145&lt;$BS145-$BT145*$BT$2),AVEDEV(ARRAYFORMULA(XLOOKUP(FILTER(INDIRECT(""'""&amp;DD$1&amp;""'!$C$4:$C$66""),INDIRECT(""'""&amp;DD$1&amp;""'!$D$4:$D$66"")=DD$2),$G$3:$BQ$3,$G145:$BQ145))),"""")"),"")</f>
        <v/>
      </c>
      <c r="DF145" s="251">
        <f>IFERROR(__xludf.DUMMYFUNCTION("AVERAGE(ARRAYFORMULA(XLOOKUP(FILTER(INDIRECT(""'""&amp;DF$1&amp;""'!$C$4:$C$66""),INDIRECT(""'""&amp;DF$1&amp;""'!$D$4:$D$66"")=DF$2),$G$3:$BQ$3,$G145:$BQ145)))"),-0.16646926874999998)</f>
        <v>-0.1664692688</v>
      </c>
      <c r="DG145" s="207" t="str">
        <f>IFERROR(__xludf.DUMMYFUNCTION("IF(OR(DF145&gt;$BS145+$BT145*$BT$2,DF145&lt;$BS145-$BT145*$BT$2),AVEDEV(ARRAYFORMULA(XLOOKUP(FILTER(INDIRECT(""'""&amp;DF$1&amp;""'!$C$4:$C$66""),INDIRECT(""'""&amp;DF$1&amp;""'!$D$4:$D$66"")=DF$2),$G$3:$BQ$3,$G145:$BQ145))),"""")"),"")</f>
        <v/>
      </c>
      <c r="DH145" s="251">
        <f>IFERROR(__xludf.DUMMYFUNCTION("AVERAGE(ARRAYFORMULA(XLOOKUP(FILTER(INDIRECT(""'""&amp;DH$1&amp;""'!$C$4:$C$66""),INDIRECT(""'""&amp;DH$1&amp;""'!$D$4:$D$66"")=DH$2),$G$3:$BQ$3,$G145:$BQ145)))"),0.4057241588888889)</f>
        <v>0.4057241589</v>
      </c>
      <c r="DI145" s="207" t="str">
        <f>IFERROR(__xludf.DUMMYFUNCTION("IF(OR(DH145&gt;$BS145+$BT145*$BT$2,DH145&lt;$BS145-$BT145*$BT$2),AVEDEV(ARRAYFORMULA(XLOOKUP(FILTER(INDIRECT(""'""&amp;DH$1&amp;""'!$C$4:$C$66""),INDIRECT(""'""&amp;DH$1&amp;""'!$D$4:$D$66"")=DH$2),$G$3:$BQ$3,$G145:$BQ145))),"""")"),"")</f>
        <v/>
      </c>
      <c r="DJ145" s="243"/>
    </row>
    <row r="146">
      <c r="A146" s="2"/>
      <c r="B146" s="204">
        <v>142.0</v>
      </c>
      <c r="C146" s="204" t="s">
        <v>540</v>
      </c>
      <c r="D146" s="204" t="s">
        <v>588</v>
      </c>
      <c r="E146" s="205" t="b">
        <f>VLOOKUP(D146,'Feature Set List'!A143:C246,2,0)</f>
        <v>1</v>
      </c>
      <c r="F146" s="205" t="b">
        <f>VLOOKUP(D146,'Feature Set List'!A143:C246,3,0)</f>
        <v>0</v>
      </c>
      <c r="G146" s="205">
        <v>0.5</v>
      </c>
      <c r="H146" s="205">
        <v>0.5</v>
      </c>
      <c r="I146" s="205">
        <v>0.0</v>
      </c>
      <c r="J146" s="205">
        <v>0.5</v>
      </c>
      <c r="K146" s="205">
        <v>-0.75</v>
      </c>
      <c r="L146" s="205">
        <v>-0.75</v>
      </c>
      <c r="M146" s="205">
        <v>-0.5</v>
      </c>
      <c r="N146" s="205">
        <v>0.5</v>
      </c>
      <c r="O146" s="205">
        <v>-0.5</v>
      </c>
      <c r="P146" s="205">
        <v>-0.5</v>
      </c>
      <c r="Q146" s="205">
        <v>0.5</v>
      </c>
      <c r="R146" s="205">
        <v>-0.25</v>
      </c>
      <c r="S146" s="205">
        <v>0.0</v>
      </c>
      <c r="T146" s="205">
        <v>-0.25</v>
      </c>
      <c r="U146" s="205">
        <v>0.25</v>
      </c>
      <c r="V146" s="205">
        <v>0.5</v>
      </c>
      <c r="W146" s="205">
        <v>-0.75</v>
      </c>
      <c r="X146" s="205">
        <v>0.5</v>
      </c>
      <c r="Y146" s="205">
        <v>-0.75</v>
      </c>
      <c r="Z146" s="205">
        <v>0.5</v>
      </c>
      <c r="AA146" s="205">
        <v>0.0</v>
      </c>
      <c r="AB146" s="205">
        <v>-0.25</v>
      </c>
      <c r="AC146" s="205">
        <v>-0.25</v>
      </c>
      <c r="AD146" s="205">
        <v>0.5</v>
      </c>
      <c r="AE146" s="205">
        <v>0.5</v>
      </c>
      <c r="AF146" s="205">
        <v>-0.75</v>
      </c>
      <c r="AG146" s="205">
        <v>0.5</v>
      </c>
      <c r="AH146" s="205">
        <v>0.0</v>
      </c>
      <c r="AI146" s="205">
        <v>-0.5</v>
      </c>
      <c r="AJ146" s="205">
        <v>-0.5</v>
      </c>
      <c r="AK146" s="205">
        <v>0.5</v>
      </c>
      <c r="AL146" s="205">
        <v>0.25</v>
      </c>
      <c r="AM146" s="205">
        <v>0.0</v>
      </c>
      <c r="AN146" s="205">
        <v>0.25</v>
      </c>
      <c r="AO146" s="205">
        <v>0.0</v>
      </c>
      <c r="AP146" s="205">
        <v>0.5</v>
      </c>
      <c r="AQ146" s="205">
        <v>0.5</v>
      </c>
      <c r="AR146" s="205">
        <v>0.5</v>
      </c>
      <c r="AS146" s="205">
        <v>-0.75</v>
      </c>
      <c r="AT146" s="205">
        <v>0.0</v>
      </c>
      <c r="AU146" s="205">
        <v>-0.5</v>
      </c>
      <c r="AV146" s="205">
        <v>0.5</v>
      </c>
      <c r="AW146" s="205">
        <v>0.5</v>
      </c>
      <c r="AX146" s="205">
        <v>0.5</v>
      </c>
      <c r="AY146" s="205">
        <v>0.5</v>
      </c>
      <c r="AZ146" s="205">
        <v>0.25</v>
      </c>
      <c r="BA146" s="205">
        <v>-0.5</v>
      </c>
      <c r="BB146" s="205">
        <v>0.0</v>
      </c>
      <c r="BC146" s="205">
        <v>0.5</v>
      </c>
      <c r="BD146" s="205">
        <v>-0.75</v>
      </c>
      <c r="BE146" s="205">
        <v>0.5</v>
      </c>
      <c r="BF146" s="205">
        <v>-0.25</v>
      </c>
      <c r="BG146" s="205">
        <v>-0.75</v>
      </c>
      <c r="BH146" s="205">
        <v>0.5</v>
      </c>
      <c r="BI146" s="205">
        <v>-0.5</v>
      </c>
      <c r="BJ146" s="205">
        <v>0.5</v>
      </c>
      <c r="BK146" s="205">
        <v>-0.25</v>
      </c>
      <c r="BL146" s="205">
        <v>-0.5</v>
      </c>
      <c r="BM146" s="205">
        <v>-0.5</v>
      </c>
      <c r="BN146" s="205">
        <v>-0.75</v>
      </c>
      <c r="BO146" s="205">
        <v>-0.5</v>
      </c>
      <c r="BP146" s="205">
        <v>-0.5</v>
      </c>
      <c r="BQ146" s="205">
        <v>-0.75</v>
      </c>
      <c r="BR146" s="206"/>
      <c r="BS146" s="250">
        <f t="shared" si="1"/>
        <v>-0.03968253968</v>
      </c>
      <c r="BT146" s="250">
        <f t="shared" si="2"/>
        <v>0.4409171076</v>
      </c>
      <c r="BU146" s="206"/>
      <c r="BV146" s="207">
        <f>IFERROR(__xludf.DUMMYFUNCTION("AVERAGE(ARRAYFORMULA(XLOOKUP(FILTER(INDIRECT(""'""&amp;BV$1&amp;""'!$C$4:$C$66""),INDIRECT(""'""&amp;BV$1&amp;""'!$D$4:$D$66"")=BV$2),$G$3:$BQ$3,$G146:$BQ146)))"),0.17857142857142858)</f>
        <v>0.1785714286</v>
      </c>
      <c r="BW146" s="207" t="str">
        <f>IFERROR(__xludf.DUMMYFUNCTION("IF(OR(BV146&gt;$BS146+$BT146*$BT$2,BV146&lt;$BS146-$BT146*$BT$2),AVEDEV(ARRAYFORMULA(XLOOKUP(FILTER(INDIRECT(""'""&amp;BV$1&amp;""'!$C$4:$C$66""),INDIRECT(""'""&amp;BV$1&amp;""'!$D$4:$D$66"")=BV$2),$G$3:$BQ$3,$G146:$BQ146))),"""")"),"")</f>
        <v/>
      </c>
      <c r="BX146" s="207">
        <f>IFERROR(__xludf.DUMMYFUNCTION("AVERAGE(ARRAYFORMULA(XLOOKUP(FILTER(INDIRECT(""'""&amp;BX$1&amp;""'!$C$4:$C$66""),INDIRECT(""'""&amp;BX$1&amp;""'!$D$4:$D$66"")=BX$2),$G$3:$BQ$3,$G146:$BQ146)))"),0.047619047619047616)</f>
        <v>0.04761904762</v>
      </c>
      <c r="BY146" s="207" t="str">
        <f>IFERROR(__xludf.DUMMYFUNCTION("IF(OR(BX146&gt;$BS146+$BT146*$BT$2,BX146&lt;$BS146-$BT146*$BT$2),AVEDEV(ARRAYFORMULA(XLOOKUP(FILTER(INDIRECT(""'""&amp;BX$1&amp;""'!$C$4:$C$66""),INDIRECT(""'""&amp;BX$1&amp;""'!$D$4:$D$66"")=BX$2),$G$3:$BQ$3,$G146:$BQ146))),"""")"),"")</f>
        <v/>
      </c>
      <c r="BZ146" s="207">
        <f>IFERROR(__xludf.DUMMYFUNCTION("AVERAGE(ARRAYFORMULA(XLOOKUP(FILTER(INDIRECT(""'""&amp;BZ$1&amp;""'!$C$4:$C$66""),INDIRECT(""'""&amp;BZ$1&amp;""'!$D$4:$D$66"")=BZ$2),$G$3:$BQ$3,$G146:$BQ146)))"),-0.4090909090909091)</f>
        <v>-0.4090909091</v>
      </c>
      <c r="CA146" s="207" t="str">
        <f>IFERROR(__xludf.DUMMYFUNCTION("IF(OR(BZ146&gt;$BS146+$BT146*$BT$2,BZ146&lt;$BS146-$BT146*$BT$2),AVEDEV(ARRAYFORMULA(XLOOKUP(FILTER(INDIRECT(""'""&amp;BZ$1&amp;""'!$C$4:$C$66""),INDIRECT(""'""&amp;BZ$1&amp;""'!$D$4:$D$66"")=BZ$2),$G$3:$BQ$3,$G146:$BQ146))),"""")"),"")</f>
        <v/>
      </c>
      <c r="CB146" s="209"/>
      <c r="CC146" s="207">
        <f>IFERROR(__xludf.DUMMYFUNCTION("AVERAGE(ARRAYFORMULA(XLOOKUP(FILTER(INDIRECT(""'""&amp;CC$1&amp;""'!$C$4:$C$66""),INDIRECT(""'""&amp;CC$1&amp;""'!$D$4:$D$66"")=CC$2),$G$3:$BQ$3,$G146:$BQ146)))"),0.234375)</f>
        <v>0.234375</v>
      </c>
      <c r="CD146" s="207" t="str">
        <f>IFERROR(__xludf.DUMMYFUNCTION("IF(OR(CC146&gt;$BS146+$BT146*$BT$2,CC146&lt;$BS146-$BT146*$BT$2),AVEDEV(ARRAYFORMULA(XLOOKUP(FILTER(INDIRECT(""'""&amp;CC$1&amp;""'!$C$4:$C$66""),INDIRECT(""'""&amp;CC$1&amp;""'!$D$4:$D$66"")=CC$2),$G$3:$BQ$3,$G146:$BQ146))),"""")"),"")</f>
        <v/>
      </c>
      <c r="CE146" s="207">
        <f>IFERROR(__xludf.DUMMYFUNCTION("AVERAGE(ARRAYFORMULA(XLOOKUP(FILTER(INDIRECT(""'""&amp;CE$1&amp;""'!$C$4:$C$66""),INDIRECT(""'""&amp;CE$1&amp;""'!$D$4:$D$66"")=CE$2),$G$3:$BQ$3,$G146:$BQ146)))"),-0.08870967741935484)</f>
        <v>-0.08870967742</v>
      </c>
      <c r="CF146" s="207" t="str">
        <f>IFERROR(__xludf.DUMMYFUNCTION("IF(OR(CE146&gt;$BS146+$BT146*$BT$2,CE146&lt;$BS146-$BT146*$BT$2),AVEDEV(ARRAYFORMULA(XLOOKUP(FILTER(INDIRECT(""'""&amp;CE$1&amp;""'!$C$4:$C$66""),INDIRECT(""'""&amp;CE$1&amp;""'!$D$4:$D$66"")=CE$2),$G$3:$BQ$3,$G146:$BQ146))),"""")"),"")</f>
        <v/>
      </c>
      <c r="CG146" s="207">
        <f>IFERROR(__xludf.DUMMYFUNCTION("AVERAGE(ARRAYFORMULA(XLOOKUP(FILTER(INDIRECT(""'""&amp;CG$1&amp;""'!$C$4:$C$66""),INDIRECT(""'""&amp;CG$1&amp;""'!$D$4:$D$66"")=CG$2),$G$3:$BQ$3,$G146:$BQ146)))"),-0.55)</f>
        <v>-0.55</v>
      </c>
      <c r="CH146" s="207">
        <f>IFERROR(__xludf.DUMMYFUNCTION("IF(OR(CG146&gt;$BS146+$BT146*$BT$2,CG146&lt;$BS146-$BT146*$BT$2),AVEDEV(ARRAYFORMULA(XLOOKUP(FILTER(INDIRECT(""'""&amp;CG$1&amp;""'!$C$4:$C$66""),INDIRECT(""'""&amp;CG$1&amp;""'!$D$4:$D$66"")=CG$2),$G$3:$BQ$3,$G146:$BQ146))),"""")"),0.16)</f>
        <v>0.16</v>
      </c>
      <c r="CI146" s="206"/>
      <c r="CJ146" s="251">
        <f>IFERROR(__xludf.DUMMYFUNCTION("AVERAGE(ARRAYFORMULA(XLOOKUP(FILTER(INDIRECT(""'""&amp;CJ$1&amp;""'!$C$4:$C$66""),INDIRECT(""'""&amp;CJ$1&amp;""'!$D$4:$D$66"")=CJ$2),$G$3:$BQ$3,$G146:$BQ146)))"),0.03333333333333333)</f>
        <v>0.03333333333</v>
      </c>
      <c r="CK146" s="207" t="str">
        <f>IFERROR(__xludf.DUMMYFUNCTION("IF(OR(CJ146&gt;$BS146+$BT146*$BT$2,CJ146&lt;$BS146-$BT146*$BT$2),AVEDEV(ARRAYFORMULA(XLOOKUP(FILTER(INDIRECT(""'""&amp;CJ$1&amp;""'!$C$4:$C$66""),INDIRECT(""'""&amp;CJ$1&amp;""'!$D$4:$D$66"")=CJ$2),$G$3:$BQ$3,$G146:$BQ146))),"""")"),"")</f>
        <v/>
      </c>
      <c r="CL146" s="251">
        <f>IFERROR(__xludf.DUMMYFUNCTION("AVERAGE(ARRAYFORMULA(XLOOKUP(FILTER(INDIRECT(""'""&amp;CL$1&amp;""'!$C$4:$C$66""),INDIRECT(""'""&amp;CL$1&amp;""'!$D$4:$D$66"")=CL$2),$G$3:$BQ$3,$G146:$BQ146)))"),0.038461538461538464)</f>
        <v>0.03846153846</v>
      </c>
      <c r="CM146" s="207" t="str">
        <f>IFERROR(__xludf.DUMMYFUNCTION("IF(OR(CL146&gt;$BS146+$BT146*$BT$2,CL146&lt;$BS146-$BT146*$BT$2),AVEDEV(ARRAYFORMULA(XLOOKUP(FILTER(INDIRECT(""'""&amp;CL$1&amp;""'!$C$4:$C$66""),INDIRECT(""'""&amp;CL$1&amp;""'!$D$4:$D$66"")=CL$2),$G$3:$BQ$3,$G146:$BQ146))),"""")"),"")</f>
        <v/>
      </c>
      <c r="CN146" s="251">
        <f>IFERROR(__xludf.DUMMYFUNCTION("AVERAGE(ARRAYFORMULA(XLOOKUP(FILTER(INDIRECT(""'""&amp;CN$1&amp;""'!$C$4:$C$66""),INDIRECT(""'""&amp;CN$1&amp;""'!$D$4:$D$66"")=CN$2),$G$3:$BQ$3,$G146:$BQ146)))"),-0.55)</f>
        <v>-0.55</v>
      </c>
      <c r="CO146" s="207">
        <f>IFERROR(__xludf.DUMMYFUNCTION("IF(OR(CN146&gt;$BS146+$BT146*$BT$2,CN146&lt;$BS146-$BT146*$BT$2),AVEDEV(ARRAYFORMULA(XLOOKUP(FILTER(INDIRECT(""'""&amp;CN$1&amp;""'!$C$4:$C$66""),INDIRECT(""'""&amp;CN$1&amp;""'!$D$4:$D$66"")=CN$2),$G$3:$BQ$3,$G146:$BQ146))),"""")"),0.16)</f>
        <v>0.16</v>
      </c>
      <c r="CP146" s="252"/>
      <c r="CQ146" s="251">
        <f>IFERROR(__xludf.DUMMYFUNCTION("AVERAGE(ARRAYFORMULA(XLOOKUP(FILTER(INDIRECT(""'""&amp;CQ$1&amp;""'!$C$4:$C$66""),INDIRECT(""'""&amp;CQ$1&amp;""'!$D$4:$D$66"")=CQ$2),$G$3:$BQ$3,$G146:$BQ146)))"),0.30357142857142855)</f>
        <v>0.3035714286</v>
      </c>
      <c r="CR146" s="207" t="str">
        <f>IFERROR(__xludf.DUMMYFUNCTION("IF(OR(CQ146&gt;$BS146+$BT146*$BT$2,CQ146&lt;$BS146-$BT146*$BT$2),AVEDEV(ARRAYFORMULA(XLOOKUP(FILTER(INDIRECT(""'""&amp;CQ$1&amp;""'!$C$4:$C$66""),INDIRECT(""'""&amp;CQ$1&amp;""'!$D$4:$D$66"")=CQ$2),$G$3:$BQ$3,$G146:$BQ146))),"""")"),"")</f>
        <v/>
      </c>
      <c r="CS146" s="251">
        <f>IFERROR(__xludf.DUMMYFUNCTION("AVERAGE(ARRAYFORMULA(XLOOKUP(FILTER(INDIRECT(""'""&amp;CS$1&amp;""'!$C$4:$C$66""),INDIRECT(""'""&amp;CS$1&amp;""'!$D$4:$D$66"")=CS$2),$G$3:$BQ$3,$G146:$BQ146)))"),-0.4722222222222222)</f>
        <v>-0.4722222222</v>
      </c>
      <c r="CT146" s="207" t="str">
        <f>IFERROR(__xludf.DUMMYFUNCTION("IF(OR(CS146&gt;$BS146+$BT146*$BT$2,CS146&lt;$BS146-$BT146*$BT$2),AVEDEV(ARRAYFORMULA(XLOOKUP(FILTER(INDIRECT(""'""&amp;CS$1&amp;""'!$C$4:$C$66""),INDIRECT(""'""&amp;CS$1&amp;""'!$D$4:$D$66"")=CS$2),$G$3:$BQ$3,$G146:$BQ146))),"""")"),"")</f>
        <v/>
      </c>
      <c r="CU146" s="251">
        <f>IFERROR(__xludf.DUMMYFUNCTION("AVERAGE(ARRAYFORMULA(XLOOKUP(FILTER(INDIRECT(""'""&amp;CU$1&amp;""'!$C$4:$C$66""),INDIRECT(""'""&amp;CU$1&amp;""'!$D$4:$D$66"")=CU$2),$G$3:$BQ$3,$G146:$BQ146)))"),-0.09090909090909091)</f>
        <v>-0.09090909091</v>
      </c>
      <c r="CV146" s="207" t="str">
        <f>IFERROR(__xludf.DUMMYFUNCTION("IF(OR(CU146&gt;$BS146+$BT146*$BT$2,CU146&lt;$BS146-$BT146*$BT$2),AVEDEV(ARRAYFORMULA(XLOOKUP(FILTER(INDIRECT(""'""&amp;CU$1&amp;""'!$C$4:$C$66""),INDIRECT(""'""&amp;CU$1&amp;""'!$D$4:$D$66"")=CU$2),$G$3:$BQ$3,$G146:$BQ146))),"""")"),"")</f>
        <v/>
      </c>
      <c r="CW146" s="251">
        <f>IFERROR(__xludf.DUMMYFUNCTION("AVERAGE(ARRAYFORMULA(XLOOKUP(FILTER(INDIRECT(""'""&amp;CW$1&amp;""'!$C$4:$C$66""),INDIRECT(""'""&amp;CW$1&amp;""'!$D$4:$D$66"")=CW$2),$G$3:$BQ$3,$G146:$BQ146)))"),0.5)</f>
        <v>0.5</v>
      </c>
      <c r="CX146" s="207">
        <f>IFERROR(__xludf.DUMMYFUNCTION("IF(OR(CW146&gt;$BS146+$BT146*$BT$2,CW146&lt;$BS146-$BT146*$BT$2),AVEDEV(ARRAYFORMULA(XLOOKUP(FILTER(INDIRECT(""'""&amp;CW$1&amp;""'!$C$4:$C$66""),INDIRECT(""'""&amp;CW$1&amp;""'!$D$4:$D$66"")=CW$2),$G$3:$BQ$3,$G146:$BQ146))),"""")"),0.0)</f>
        <v>0</v>
      </c>
      <c r="CY146" s="251">
        <f>IFERROR(__xludf.DUMMYFUNCTION("AVERAGE(ARRAYFORMULA(XLOOKUP(FILTER(INDIRECT(""'""&amp;CY$1&amp;""'!$C$4:$C$66""),INDIRECT(""'""&amp;CY$1&amp;""'!$D$4:$D$66"")=CY$2),$G$3:$BQ$3,$G146:$BQ146)))"),-0.03571428571428571)</f>
        <v>-0.03571428571</v>
      </c>
      <c r="CZ146" s="207" t="str">
        <f>IFERROR(__xludf.DUMMYFUNCTION("IF(OR(CY146&gt;$BS146+$BT146*$BT$2,CY146&lt;$BS146-$BT146*$BT$2),AVEDEV(ARRAYFORMULA(XLOOKUP(FILTER(INDIRECT(""'""&amp;CY$1&amp;""'!$C$4:$C$66""),INDIRECT(""'""&amp;CY$1&amp;""'!$D$4:$D$66"")=CY$2),$G$3:$BQ$3,$G146:$BQ146))),"""")"),"")</f>
        <v/>
      </c>
      <c r="DA146" s="252"/>
      <c r="DB146" s="251">
        <f>IFERROR(__xludf.DUMMYFUNCTION("AVERAGE(ARRAYFORMULA(XLOOKUP(FILTER(INDIRECT(""'""&amp;DB$1&amp;""'!$C$4:$C$66""),INDIRECT(""'""&amp;DB$1&amp;""'!$D$4:$D$66"")=DB$2),$G$3:$BQ$3,$G146:$BQ146)))"),0.10833333333333334)</f>
        <v>0.1083333333</v>
      </c>
      <c r="DC146" s="207" t="str">
        <f>IFERROR(__xludf.DUMMYFUNCTION("IF(OR(DB146&gt;$BS146+$BT146*$BT$2,DB146&lt;$BS146-$BT146*$BT$2),AVEDEV(ARRAYFORMULA(XLOOKUP(FILTER(INDIRECT(""'""&amp;DB$1&amp;""'!$C$4:$C$66""),INDIRECT(""'""&amp;DB$1&amp;""'!$D$4:$D$66"")=DB$2),$G$3:$BQ$3,$G146:$BQ146))),"""")"),"")</f>
        <v/>
      </c>
      <c r="DD146" s="251">
        <f>IFERROR(__xludf.DUMMYFUNCTION("AVERAGE(ARRAYFORMULA(XLOOKUP(FILTER(INDIRECT(""'""&amp;DD$1&amp;""'!$C$4:$C$66""),INDIRECT(""'""&amp;DD$1&amp;""'!$D$4:$D$66"")=DD$2),$G$3:$BQ$3,$G146:$BQ146)))"),-0.3055555555555556)</f>
        <v>-0.3055555556</v>
      </c>
      <c r="DE146" s="207" t="str">
        <f>IFERROR(__xludf.DUMMYFUNCTION("IF(OR(DD146&gt;$BS146+$BT146*$BT$2,DD146&lt;$BS146-$BT146*$BT$2),AVEDEV(ARRAYFORMULA(XLOOKUP(FILTER(INDIRECT(""'""&amp;DD$1&amp;""'!$C$4:$C$66""),INDIRECT(""'""&amp;DD$1&amp;""'!$D$4:$D$66"")=DD$2),$G$3:$BQ$3,$G146:$BQ146))),"""")"),"")</f>
        <v/>
      </c>
      <c r="DF146" s="251">
        <f>IFERROR(__xludf.DUMMYFUNCTION("AVERAGE(ARRAYFORMULA(XLOOKUP(FILTER(INDIRECT(""'""&amp;DF$1&amp;""'!$C$4:$C$66""),INDIRECT(""'""&amp;DF$1&amp;""'!$D$4:$D$66"")=DF$2),$G$3:$BQ$3,$G146:$BQ146)))"),-0.03125)</f>
        <v>-0.03125</v>
      </c>
      <c r="DG146" s="207" t="str">
        <f>IFERROR(__xludf.DUMMYFUNCTION("IF(OR(DF146&gt;$BS146+$BT146*$BT$2,DF146&lt;$BS146-$BT146*$BT$2),AVEDEV(ARRAYFORMULA(XLOOKUP(FILTER(INDIRECT(""'""&amp;DF$1&amp;""'!$C$4:$C$66""),INDIRECT(""'""&amp;DF$1&amp;""'!$D$4:$D$66"")=DF$2),$G$3:$BQ$3,$G146:$BQ146))),"""")"),"")</f>
        <v/>
      </c>
      <c r="DH146" s="251">
        <f>IFERROR(__xludf.DUMMYFUNCTION("AVERAGE(ARRAYFORMULA(XLOOKUP(FILTER(INDIRECT(""'""&amp;DH$1&amp;""'!$C$4:$C$66""),INDIRECT(""'""&amp;DH$1&amp;""'!$D$4:$D$66"")=DH$2),$G$3:$BQ$3,$G146:$BQ146)))"),-0.2222222222222222)</f>
        <v>-0.2222222222</v>
      </c>
      <c r="DI146" s="207" t="str">
        <f>IFERROR(__xludf.DUMMYFUNCTION("IF(OR(DH146&gt;$BS146+$BT146*$BT$2,DH146&lt;$BS146-$BT146*$BT$2),AVEDEV(ARRAYFORMULA(XLOOKUP(FILTER(INDIRECT(""'""&amp;DH$1&amp;""'!$C$4:$C$66""),INDIRECT(""'""&amp;DH$1&amp;""'!$D$4:$D$66"")=DH$2),$G$3:$BQ$3,$G146:$BQ146))),"""")"),"")</f>
        <v/>
      </c>
      <c r="DJ146" s="243"/>
    </row>
    <row r="147">
      <c r="A147" s="2"/>
      <c r="B147" s="204">
        <v>143.0</v>
      </c>
      <c r="C147" s="204" t="s">
        <v>540</v>
      </c>
      <c r="D147" s="204" t="s">
        <v>589</v>
      </c>
      <c r="E147" s="205" t="b">
        <f>VLOOKUP(D147,'Feature Set List'!A144:C246,2,0)</f>
        <v>1</v>
      </c>
      <c r="F147" s="205" t="b">
        <f>VLOOKUP(D147,'Feature Set List'!A144:C246,3,0)</f>
        <v>0</v>
      </c>
      <c r="G147" s="205">
        <v>-0.3333333</v>
      </c>
      <c r="H147" s="205">
        <v>0.0</v>
      </c>
      <c r="I147" s="205">
        <v>0.0</v>
      </c>
      <c r="J147" s="205">
        <v>0.66666667</v>
      </c>
      <c r="K147" s="205">
        <v>4.66666667</v>
      </c>
      <c r="L147" s="205">
        <v>0.66666667</v>
      </c>
      <c r="M147" s="205">
        <v>1.0</v>
      </c>
      <c r="N147" s="205">
        <v>1.66666667</v>
      </c>
      <c r="O147" s="205">
        <v>0.0</v>
      </c>
      <c r="P147" s="205">
        <v>0.33333333</v>
      </c>
      <c r="Q147" s="205">
        <v>0.0</v>
      </c>
      <c r="R147" s="205">
        <v>0.0</v>
      </c>
      <c r="S147" s="205">
        <v>0.0</v>
      </c>
      <c r="T147" s="205">
        <v>0.33333333</v>
      </c>
      <c r="U147" s="205">
        <v>2.0</v>
      </c>
      <c r="V147" s="205">
        <v>0.0</v>
      </c>
      <c r="W147" s="205">
        <v>0.0</v>
      </c>
      <c r="X147" s="205">
        <v>1.66666667</v>
      </c>
      <c r="Y147" s="205">
        <v>0.33333333</v>
      </c>
      <c r="Z147" s="205">
        <v>-1.6666667</v>
      </c>
      <c r="AA147" s="205">
        <v>1.0</v>
      </c>
      <c r="AB147" s="205">
        <v>0.0</v>
      </c>
      <c r="AC147" s="205">
        <v>-1.0</v>
      </c>
      <c r="AD147" s="205">
        <v>0.0</v>
      </c>
      <c r="AE147" s="205">
        <v>2.66666667</v>
      </c>
      <c r="AF147" s="205">
        <v>0.33333333</v>
      </c>
      <c r="AG147" s="205">
        <v>-1.6666667</v>
      </c>
      <c r="AH147" s="205">
        <v>0.66666667</v>
      </c>
      <c r="AI147" s="205">
        <v>-1.0</v>
      </c>
      <c r="AJ147" s="205">
        <v>0.66666667</v>
      </c>
      <c r="AK147" s="205">
        <v>0.0</v>
      </c>
      <c r="AL147" s="205">
        <v>0.0</v>
      </c>
      <c r="AM147" s="205">
        <v>1.66666667</v>
      </c>
      <c r="AN147" s="205">
        <v>-0.6666667</v>
      </c>
      <c r="AO147" s="205">
        <v>1.33333333</v>
      </c>
      <c r="AP147" s="205">
        <v>-1.3333333</v>
      </c>
      <c r="AQ147" s="205">
        <v>-1.6666667</v>
      </c>
      <c r="AR147" s="205">
        <v>-1.6666667</v>
      </c>
      <c r="AS147" s="205">
        <v>1.0</v>
      </c>
      <c r="AT147" s="205">
        <v>3.33333333</v>
      </c>
      <c r="AU147" s="205">
        <v>0.66666667</v>
      </c>
      <c r="AV147" s="205">
        <v>0.0</v>
      </c>
      <c r="AW147" s="205">
        <v>0.0</v>
      </c>
      <c r="AX147" s="205">
        <v>0.0</v>
      </c>
      <c r="AY147" s="205">
        <v>0.0</v>
      </c>
      <c r="AZ147" s="205">
        <v>0.0</v>
      </c>
      <c r="BA147" s="205">
        <v>0.0</v>
      </c>
      <c r="BB147" s="205">
        <v>-1.3333333</v>
      </c>
      <c r="BC147" s="205">
        <v>1.0</v>
      </c>
      <c r="BD147" s="205">
        <v>4.0</v>
      </c>
      <c r="BE147" s="205">
        <v>0.0</v>
      </c>
      <c r="BF147" s="205">
        <v>3.33333333</v>
      </c>
      <c r="BG147" s="205">
        <v>0.0</v>
      </c>
      <c r="BH147" s="205">
        <v>0.0</v>
      </c>
      <c r="BI147" s="205">
        <v>0.66666667</v>
      </c>
      <c r="BJ147" s="205">
        <v>-1.0</v>
      </c>
      <c r="BK147" s="205">
        <v>-1.3333333</v>
      </c>
      <c r="BL147" s="205">
        <v>1.0</v>
      </c>
      <c r="BM147" s="205">
        <v>0.0</v>
      </c>
      <c r="BN147" s="205">
        <v>3.0</v>
      </c>
      <c r="BO147" s="205">
        <v>1.0</v>
      </c>
      <c r="BP147" s="205">
        <v>-0.6666667</v>
      </c>
      <c r="BQ147" s="205">
        <v>0.0</v>
      </c>
      <c r="BR147" s="206"/>
      <c r="BS147" s="250">
        <f t="shared" si="1"/>
        <v>0.4021164013</v>
      </c>
      <c r="BT147" s="250">
        <f t="shared" si="2"/>
        <v>0.9550684486</v>
      </c>
      <c r="BU147" s="206"/>
      <c r="BV147" s="207">
        <f>IFERROR(__xludf.DUMMYFUNCTION("AVERAGE(ARRAYFORMULA(XLOOKUP(FILTER(INDIRECT(""'""&amp;BV$1&amp;""'!$C$4:$C$66""),INDIRECT(""'""&amp;BV$1&amp;""'!$D$4:$D$66"")=BV$2),$G$3:$BQ$3,$G147:$BQ147)))"),0.6666666714285714)</f>
        <v>0.6666666714</v>
      </c>
      <c r="BW147" s="207" t="str">
        <f>IFERROR(__xludf.DUMMYFUNCTION("IF(OR(BV147&gt;$BS147+$BT147*$BT$2,BV147&lt;$BS147-$BT147*$BT$2),AVEDEV(ARRAYFORMULA(XLOOKUP(FILTER(INDIRECT(""'""&amp;BV$1&amp;""'!$C$4:$C$66""),INDIRECT(""'""&amp;BV$1&amp;""'!$D$4:$D$66"")=BV$2),$G$3:$BQ$3,$G147:$BQ147))),"""")"),"")</f>
        <v/>
      </c>
      <c r="BX147" s="207">
        <f>IFERROR(__xludf.DUMMYFUNCTION("AVERAGE(ARRAYFORMULA(XLOOKUP(FILTER(INDIRECT(""'""&amp;BX$1&amp;""'!$C$4:$C$66""),INDIRECT(""'""&amp;BX$1&amp;""'!$D$4:$D$66"")=BX$2),$G$3:$BQ$3,$G147:$BQ147)))"),0.31746031476190467)</f>
        <v>0.3174603148</v>
      </c>
      <c r="BY147" s="207" t="str">
        <f>IFERROR(__xludf.DUMMYFUNCTION("IF(OR(BX147&gt;$BS147+$BT147*$BT$2,BX147&lt;$BS147-$BT147*$BT$2),AVEDEV(ARRAYFORMULA(XLOOKUP(FILTER(INDIRECT(""'""&amp;BX$1&amp;""'!$C$4:$C$66""),INDIRECT(""'""&amp;BX$1&amp;""'!$D$4:$D$66"")=BX$2),$G$3:$BQ$3,$G147:$BQ147))),"""")"),"")</f>
        <v/>
      </c>
      <c r="BZ147" s="207">
        <f>IFERROR(__xludf.DUMMYFUNCTION("AVERAGE(ARRAYFORMULA(XLOOKUP(FILTER(INDIRECT(""'""&amp;BZ$1&amp;""'!$C$4:$C$66""),INDIRECT(""'""&amp;BZ$1&amp;""'!$D$4:$D$66"")=BZ$2),$G$3:$BQ$3,$G147:$BQ147)))"),0.2424242445454545)</f>
        <v>0.2424242445</v>
      </c>
      <c r="CA147" s="207" t="str">
        <f>IFERROR(__xludf.DUMMYFUNCTION("IF(OR(BZ147&gt;$BS147+$BT147*$BT$2,BZ147&lt;$BS147-$BT147*$BT$2),AVEDEV(ARRAYFORMULA(XLOOKUP(FILTER(INDIRECT(""'""&amp;BZ$1&amp;""'!$C$4:$C$66""),INDIRECT(""'""&amp;BZ$1&amp;""'!$D$4:$D$66"")=BZ$2),$G$3:$BQ$3,$G147:$BQ147))),"""")"),"")</f>
        <v/>
      </c>
      <c r="CB147" s="209"/>
      <c r="CC147" s="207">
        <f>IFERROR(__xludf.DUMMYFUNCTION("AVERAGE(ARRAYFORMULA(XLOOKUP(FILTER(INDIRECT(""'""&amp;CC$1&amp;""'!$C$4:$C$66""),INDIRECT(""'""&amp;CC$1&amp;""'!$D$4:$D$66"")=CC$2),$G$3:$BQ$3,$G147:$BQ147)))"),0.70833333375)</f>
        <v>0.7083333338</v>
      </c>
      <c r="CD147" s="207" t="str">
        <f>IFERROR(__xludf.DUMMYFUNCTION("IF(OR(CC147&gt;$BS147+$BT147*$BT$2,CC147&lt;$BS147-$BT147*$BT$2),AVEDEV(ARRAYFORMULA(XLOOKUP(FILTER(INDIRECT(""'""&amp;CC$1&amp;""'!$C$4:$C$66""),INDIRECT(""'""&amp;CC$1&amp;""'!$D$4:$D$66"")=CC$2),$G$3:$BQ$3,$G147:$BQ147))),"""")"),"")</f>
        <v/>
      </c>
      <c r="CE147" s="207">
        <f>IFERROR(__xludf.DUMMYFUNCTION("AVERAGE(ARRAYFORMULA(XLOOKUP(FILTER(INDIRECT(""'""&amp;CE$1&amp;""'!$C$4:$C$66""),INDIRECT(""'""&amp;CE$1&amp;""'!$D$4:$D$66"")=CE$2),$G$3:$BQ$3,$G147:$BQ147)))"),0.15053763258064515)</f>
        <v>0.1505376326</v>
      </c>
      <c r="CF147" s="207" t="str">
        <f>IFERROR(__xludf.DUMMYFUNCTION("IF(OR(CE147&gt;$BS147+$BT147*$BT$2,CE147&lt;$BS147-$BT147*$BT$2),AVEDEV(ARRAYFORMULA(XLOOKUP(FILTER(INDIRECT(""'""&amp;CE$1&amp;""'!$C$4:$C$66""),INDIRECT(""'""&amp;CE$1&amp;""'!$D$4:$D$66"")=CE$2),$G$3:$BQ$3,$G147:$BQ147))),"""")"),"")</f>
        <v/>
      </c>
      <c r="CG147" s="207">
        <f>IFERROR(__xludf.DUMMYFUNCTION("AVERAGE(ARRAYFORMULA(XLOOKUP(FILTER(INDIRECT(""'""&amp;CG$1&amp;""'!$C$4:$C$66""),INDIRECT(""'""&amp;CG$1&amp;""'!$D$4:$D$66"")=CG$2),$G$3:$BQ$3,$G147:$BQ147)))"),0.3333333319999999)</f>
        <v>0.333333332</v>
      </c>
      <c r="CH147" s="207" t="str">
        <f>IFERROR(__xludf.DUMMYFUNCTION("IF(OR(CG147&gt;$BS147+$BT147*$BT$2,CG147&lt;$BS147-$BT147*$BT$2),AVEDEV(ARRAYFORMULA(XLOOKUP(FILTER(INDIRECT(""'""&amp;CG$1&amp;""'!$C$4:$C$66""),INDIRECT(""'""&amp;CG$1&amp;""'!$D$4:$D$66"")=CG$2),$G$3:$BQ$3,$G147:$BQ147))),"""")"),"")</f>
        <v/>
      </c>
      <c r="CI147" s="206"/>
      <c r="CJ147" s="251">
        <f>IFERROR(__xludf.DUMMYFUNCTION("AVERAGE(ARRAYFORMULA(XLOOKUP(FILTER(INDIRECT(""'""&amp;CJ$1&amp;""'!$C$4:$C$66""),INDIRECT(""'""&amp;CJ$1&amp;""'!$D$4:$D$66"")=CJ$2),$G$3:$BQ$3,$G147:$BQ147)))"),0.7777777826666666)</f>
        <v>0.7777777827</v>
      </c>
      <c r="CK147" s="207" t="str">
        <f>IFERROR(__xludf.DUMMYFUNCTION("IF(OR(CJ147&gt;$BS147+$BT147*$BT$2,CJ147&lt;$BS147-$BT147*$BT$2),AVEDEV(ARRAYFORMULA(XLOOKUP(FILTER(INDIRECT(""'""&amp;CJ$1&amp;""'!$C$4:$C$66""),INDIRECT(""'""&amp;CJ$1&amp;""'!$D$4:$D$66"")=CJ$2),$G$3:$BQ$3,$G147:$BQ147))),"""")"),"")</f>
        <v/>
      </c>
      <c r="CL147" s="251">
        <f>IFERROR(__xludf.DUMMYFUNCTION("AVERAGE(ARRAYFORMULA(XLOOKUP(FILTER(INDIRECT(""'""&amp;CL$1&amp;""'!$C$4:$C$66""),INDIRECT(""'""&amp;CL$1&amp;""'!$D$4:$D$66"")=CL$2),$G$3:$BQ$3,$G147:$BQ147)))"),0.16239315923076922)</f>
        <v>0.1623931592</v>
      </c>
      <c r="CM147" s="207" t="str">
        <f>IFERROR(__xludf.DUMMYFUNCTION("IF(OR(CL147&gt;$BS147+$BT147*$BT$2,CL147&lt;$BS147-$BT147*$BT$2),AVEDEV(ARRAYFORMULA(XLOOKUP(FILTER(INDIRECT(""'""&amp;CL$1&amp;""'!$C$4:$C$66""),INDIRECT(""'""&amp;CL$1&amp;""'!$D$4:$D$66"")=CL$2),$G$3:$BQ$3,$G147:$BQ147))),"""")"),"")</f>
        <v/>
      </c>
      <c r="CN147" s="251">
        <f>IFERROR(__xludf.DUMMYFUNCTION("AVERAGE(ARRAYFORMULA(XLOOKUP(FILTER(INDIRECT(""'""&amp;CN$1&amp;""'!$C$4:$C$66""),INDIRECT(""'""&amp;CN$1&amp;""'!$D$4:$D$66"")=CN$2),$G$3:$BQ$3,$G147:$BQ147)))"),0.3333333319999999)</f>
        <v>0.333333332</v>
      </c>
      <c r="CO147" s="207" t="str">
        <f>IFERROR(__xludf.DUMMYFUNCTION("IF(OR(CN147&gt;$BS147+$BT147*$BT$2,CN147&lt;$BS147-$BT147*$BT$2),AVEDEV(ARRAYFORMULA(XLOOKUP(FILTER(INDIRECT(""'""&amp;CN$1&amp;""'!$C$4:$C$66""),INDIRECT(""'""&amp;CN$1&amp;""'!$D$4:$D$66"")=CN$2),$G$3:$BQ$3,$G147:$BQ147))),"""")"),"")</f>
        <v/>
      </c>
      <c r="CP147" s="252"/>
      <c r="CQ147" s="251">
        <f>IFERROR(__xludf.DUMMYFUNCTION("AVERAGE(ARRAYFORMULA(XLOOKUP(FILTER(INDIRECT(""'""&amp;CQ$1&amp;""'!$C$4:$C$66""),INDIRECT(""'""&amp;CQ$1&amp;""'!$D$4:$D$66"")=CQ$2),$G$3:$BQ$3,$G147:$BQ147)))"),0.0952380957142857)</f>
        <v>0.09523809571</v>
      </c>
      <c r="CR147" s="207" t="str">
        <f>IFERROR(__xludf.DUMMYFUNCTION("IF(OR(CQ147&gt;$BS147+$BT147*$BT$2,CQ147&lt;$BS147-$BT147*$BT$2),AVEDEV(ARRAYFORMULA(XLOOKUP(FILTER(INDIRECT(""'""&amp;CQ$1&amp;""'!$C$4:$C$66""),INDIRECT(""'""&amp;CQ$1&amp;""'!$D$4:$D$66"")=CQ$2),$G$3:$BQ$3,$G147:$BQ147))),"""")"),"")</f>
        <v/>
      </c>
      <c r="CS147" s="251">
        <f>IFERROR(__xludf.DUMMYFUNCTION("AVERAGE(ARRAYFORMULA(XLOOKUP(FILTER(INDIRECT(""'""&amp;CS$1&amp;""'!$C$4:$C$66""),INDIRECT(""'""&amp;CS$1&amp;""'!$D$4:$D$66"")=CS$2),$G$3:$BQ$3,$G147:$BQ147)))"),0.29629629888888886)</f>
        <v>0.2962962989</v>
      </c>
      <c r="CT147" s="207" t="str">
        <f>IFERROR(__xludf.DUMMYFUNCTION("IF(OR(CS147&gt;$BS147+$BT147*$BT$2,CS147&lt;$BS147-$BT147*$BT$2),AVEDEV(ARRAYFORMULA(XLOOKUP(FILTER(INDIRECT(""'""&amp;CS$1&amp;""'!$C$4:$C$66""),INDIRECT(""'""&amp;CS$1&amp;""'!$D$4:$D$66"")=CS$2),$G$3:$BQ$3,$G147:$BQ147))),"""")"),"")</f>
        <v/>
      </c>
      <c r="CU147" s="251">
        <f>IFERROR(__xludf.DUMMYFUNCTION("AVERAGE(ARRAYFORMULA(XLOOKUP(FILTER(INDIRECT(""'""&amp;CU$1&amp;""'!$C$4:$C$66""),INDIRECT(""'""&amp;CU$1&amp;""'!$D$4:$D$66"")=CU$2),$G$3:$BQ$3,$G147:$BQ147)))"),0.6060606063636363)</f>
        <v>0.6060606064</v>
      </c>
      <c r="CV147" s="207" t="str">
        <f>IFERROR(__xludf.DUMMYFUNCTION("IF(OR(CU147&gt;$BS147+$BT147*$BT$2,CU147&lt;$BS147-$BT147*$BT$2),AVEDEV(ARRAYFORMULA(XLOOKUP(FILTER(INDIRECT(""'""&amp;CU$1&amp;""'!$C$4:$C$66""),INDIRECT(""'""&amp;CU$1&amp;""'!$D$4:$D$66"")=CU$2),$G$3:$BQ$3,$G147:$BQ147))),"""")"),"")</f>
        <v/>
      </c>
      <c r="CW147" s="251">
        <f>IFERROR(__xludf.DUMMYFUNCTION("AVERAGE(ARRAYFORMULA(XLOOKUP(FILTER(INDIRECT(""'""&amp;CW$1&amp;""'!$C$4:$C$66""),INDIRECT(""'""&amp;CW$1&amp;""'!$D$4:$D$66"")=CW$2),$G$3:$BQ$3,$G147:$BQ147)))"),0.0)</f>
        <v>0</v>
      </c>
      <c r="CX147" s="207" t="str">
        <f>IFERROR(__xludf.DUMMYFUNCTION("IF(OR(CW147&gt;$BS147+$BT147*$BT$2,CW147&lt;$BS147-$BT147*$BT$2),AVEDEV(ARRAYFORMULA(XLOOKUP(FILTER(INDIRECT(""'""&amp;CW$1&amp;""'!$C$4:$C$66""),INDIRECT(""'""&amp;CW$1&amp;""'!$D$4:$D$66"")=CW$2),$G$3:$BQ$3,$G147:$BQ147))),"""")"),"")</f>
        <v/>
      </c>
      <c r="CY147" s="251">
        <f>IFERROR(__xludf.DUMMYFUNCTION("AVERAGE(ARRAYFORMULA(XLOOKUP(FILTER(INDIRECT(""'""&amp;CY$1&amp;""'!$C$4:$C$66""),INDIRECT(""'""&amp;CY$1&amp;""'!$D$4:$D$66"")=CY$2),$G$3:$BQ$3,$G147:$BQ147)))"),-0.02380953285714283)</f>
        <v>-0.02380953286</v>
      </c>
      <c r="CZ147" s="207" t="str">
        <f>IFERROR(__xludf.DUMMYFUNCTION("IF(OR(CY147&gt;$BS147+$BT147*$BT$2,CY147&lt;$BS147-$BT147*$BT$2),AVEDEV(ARRAYFORMULA(XLOOKUP(FILTER(INDIRECT(""'""&amp;CY$1&amp;""'!$C$4:$C$66""),INDIRECT(""'""&amp;CY$1&amp;""'!$D$4:$D$66"")=CY$2),$G$3:$BQ$3,$G147:$BQ147))),"""")"),"")</f>
        <v/>
      </c>
      <c r="DA147" s="252"/>
      <c r="DB147" s="251">
        <f>IFERROR(__xludf.DUMMYFUNCTION("AVERAGE(ARRAYFORMULA(XLOOKUP(FILTER(INDIRECT(""'""&amp;DB$1&amp;""'!$C$4:$C$66""),INDIRECT(""'""&amp;DB$1&amp;""'!$D$4:$D$66"")=DB$2),$G$3:$BQ$3,$G147:$BQ147)))"),0.17777777599999994)</f>
        <v>0.177777776</v>
      </c>
      <c r="DC147" s="207" t="str">
        <f>IFERROR(__xludf.DUMMYFUNCTION("IF(OR(DB147&gt;$BS147+$BT147*$BT$2,DB147&lt;$BS147-$BT147*$BT$2),AVEDEV(ARRAYFORMULA(XLOOKUP(FILTER(INDIRECT(""'""&amp;DB$1&amp;""'!$C$4:$C$66""),INDIRECT(""'""&amp;DB$1&amp;""'!$D$4:$D$66"")=DB$2),$G$3:$BQ$3,$G147:$BQ147))),"""")"),"")</f>
        <v/>
      </c>
      <c r="DD147" s="251">
        <f>IFERROR(__xludf.DUMMYFUNCTION("AVERAGE(ARRAYFORMULA(XLOOKUP(FILTER(INDIRECT(""'""&amp;DD$1&amp;""'!$C$4:$C$66""),INDIRECT(""'""&amp;DD$1&amp;""'!$D$4:$D$66"")=DD$2),$G$3:$BQ$3,$G147:$BQ147)))"),0.22222222555555554)</f>
        <v>0.2222222256</v>
      </c>
      <c r="DE147" s="207" t="str">
        <f>IFERROR(__xludf.DUMMYFUNCTION("IF(OR(DD147&gt;$BS147+$BT147*$BT$2,DD147&lt;$BS147-$BT147*$BT$2),AVEDEV(ARRAYFORMULA(XLOOKUP(FILTER(INDIRECT(""'""&amp;DD$1&amp;""'!$C$4:$C$66""),INDIRECT(""'""&amp;DD$1&amp;""'!$D$4:$D$66"")=DD$2),$G$3:$BQ$3,$G147:$BQ147))),"""")"),"")</f>
        <v/>
      </c>
      <c r="DF147" s="251">
        <f>IFERROR(__xludf.DUMMYFUNCTION("AVERAGE(ARRAYFORMULA(XLOOKUP(FILTER(INDIRECT(""'""&amp;DF$1&amp;""'!$C$4:$C$66""),INDIRECT(""'""&amp;DF$1&amp;""'!$D$4:$D$66"")=DF$2),$G$3:$BQ$3,$G147:$BQ147)))"),0.45833333375)</f>
        <v>0.4583333338</v>
      </c>
      <c r="DG147" s="207" t="str">
        <f>IFERROR(__xludf.DUMMYFUNCTION("IF(OR(DF147&gt;$BS147+$BT147*$BT$2,DF147&lt;$BS147-$BT147*$BT$2),AVEDEV(ARRAYFORMULA(XLOOKUP(FILTER(INDIRECT(""'""&amp;DF$1&amp;""'!$C$4:$C$66""),INDIRECT(""'""&amp;DF$1&amp;""'!$D$4:$D$66"")=DF$2),$G$3:$BQ$3,$G147:$BQ147))),"""")"),"")</f>
        <v/>
      </c>
      <c r="DH147" s="251">
        <f>IFERROR(__xludf.DUMMYFUNCTION("AVERAGE(ARRAYFORMULA(XLOOKUP(FILTER(INDIRECT(""'""&amp;DH$1&amp;""'!$C$4:$C$66""),INDIRECT(""'""&amp;DH$1&amp;""'!$D$4:$D$66"")=DH$2),$G$3:$BQ$3,$G147:$BQ147)))"),0.8148148144444445)</f>
        <v>0.8148148144</v>
      </c>
      <c r="DI147" s="207" t="str">
        <f>IFERROR(__xludf.DUMMYFUNCTION("IF(OR(DH147&gt;$BS147+$BT147*$BT$2,DH147&lt;$BS147-$BT147*$BT$2),AVEDEV(ARRAYFORMULA(XLOOKUP(FILTER(INDIRECT(""'""&amp;DH$1&amp;""'!$C$4:$C$66""),INDIRECT(""'""&amp;DH$1&amp;""'!$D$4:$D$66"")=DH$2),$G$3:$BQ$3,$G147:$BQ147))),"""")"),"")</f>
        <v/>
      </c>
      <c r="DJ147" s="243"/>
    </row>
    <row r="148">
      <c r="A148" s="2"/>
      <c r="B148" s="204">
        <v>144.0</v>
      </c>
      <c r="C148" s="204" t="s">
        <v>540</v>
      </c>
      <c r="D148" s="204" t="s">
        <v>590</v>
      </c>
      <c r="E148" s="205" t="b">
        <f>VLOOKUP(D148,'Feature Set List'!A145:C246,2,0)</f>
        <v>1</v>
      </c>
      <c r="F148" s="205" t="b">
        <f>VLOOKUP(D148,'Feature Set List'!A145:C246,3,0)</f>
        <v>0</v>
      </c>
      <c r="G148" s="205">
        <v>0.0</v>
      </c>
      <c r="H148" s="205">
        <v>1.66666667</v>
      </c>
      <c r="I148" s="205">
        <v>1.66666667</v>
      </c>
      <c r="J148" s="205">
        <v>0.0</v>
      </c>
      <c r="K148" s="205">
        <v>2.66666667</v>
      </c>
      <c r="L148" s="205">
        <v>1.0</v>
      </c>
      <c r="M148" s="205">
        <v>-0.3333333</v>
      </c>
      <c r="N148" s="205">
        <v>0.0</v>
      </c>
      <c r="O148" s="205">
        <v>1.66666667</v>
      </c>
      <c r="P148" s="205">
        <v>-0.3333333</v>
      </c>
      <c r="Q148" s="205">
        <v>0.0</v>
      </c>
      <c r="R148" s="205">
        <v>1.66666667</v>
      </c>
      <c r="S148" s="205">
        <v>1.66666667</v>
      </c>
      <c r="T148" s="205">
        <v>0.33333333</v>
      </c>
      <c r="U148" s="205">
        <v>1.66666667</v>
      </c>
      <c r="V148" s="205">
        <v>0.0</v>
      </c>
      <c r="W148" s="205">
        <v>-0.3333333</v>
      </c>
      <c r="X148" s="205">
        <v>0.0</v>
      </c>
      <c r="Y148" s="205">
        <v>0.0</v>
      </c>
      <c r="Z148" s="205">
        <v>0.0</v>
      </c>
      <c r="AA148" s="205">
        <v>0.33333333</v>
      </c>
      <c r="AB148" s="205">
        <v>0.0</v>
      </c>
      <c r="AC148" s="205">
        <v>0.0</v>
      </c>
      <c r="AD148" s="205">
        <v>0.0</v>
      </c>
      <c r="AE148" s="205">
        <v>0.0</v>
      </c>
      <c r="AF148" s="205">
        <v>0.0</v>
      </c>
      <c r="AG148" s="205">
        <v>0.0</v>
      </c>
      <c r="AH148" s="205">
        <v>0.33333333</v>
      </c>
      <c r="AI148" s="205">
        <v>-0.6666667</v>
      </c>
      <c r="AJ148" s="205">
        <v>1.66666667</v>
      </c>
      <c r="AK148" s="205">
        <v>0.0</v>
      </c>
      <c r="AL148" s="205">
        <v>0.0</v>
      </c>
      <c r="AM148" s="205">
        <v>0.0</v>
      </c>
      <c r="AN148" s="205">
        <v>0.0</v>
      </c>
      <c r="AO148" s="205">
        <v>1.0</v>
      </c>
      <c r="AP148" s="205">
        <v>0.0</v>
      </c>
      <c r="AQ148" s="205">
        <v>0.0</v>
      </c>
      <c r="AR148" s="205">
        <v>0.0</v>
      </c>
      <c r="AS148" s="205">
        <v>1.0</v>
      </c>
      <c r="AT148" s="205">
        <v>1.66666667</v>
      </c>
      <c r="AU148" s="205">
        <v>-1.3333333</v>
      </c>
      <c r="AV148" s="205">
        <v>1.66666667</v>
      </c>
      <c r="AW148" s="205">
        <v>0.0</v>
      </c>
      <c r="AX148" s="205">
        <v>0.0</v>
      </c>
      <c r="AY148" s="205">
        <v>0.0</v>
      </c>
      <c r="AZ148" s="205">
        <v>1.66666667</v>
      </c>
      <c r="BA148" s="205">
        <v>-0.3333333</v>
      </c>
      <c r="BB148" s="205">
        <v>0.0</v>
      </c>
      <c r="BC148" s="205">
        <v>0.0</v>
      </c>
      <c r="BD148" s="205">
        <v>2.33333333</v>
      </c>
      <c r="BE148" s="205">
        <v>1.66666667</v>
      </c>
      <c r="BF148" s="205">
        <v>1.66666667</v>
      </c>
      <c r="BG148" s="205">
        <v>0.0</v>
      </c>
      <c r="BH148" s="205">
        <v>0.0</v>
      </c>
      <c r="BI148" s="205">
        <v>0.0</v>
      </c>
      <c r="BJ148" s="205">
        <v>0.0</v>
      </c>
      <c r="BK148" s="205">
        <v>0.0</v>
      </c>
      <c r="BL148" s="205">
        <v>-0.3333333</v>
      </c>
      <c r="BM148" s="205">
        <v>0.0</v>
      </c>
      <c r="BN148" s="205">
        <v>1.0</v>
      </c>
      <c r="BO148" s="205">
        <v>1.33333333</v>
      </c>
      <c r="BP148" s="205">
        <v>0.0</v>
      </c>
      <c r="BQ148" s="205">
        <v>0.66666667</v>
      </c>
      <c r="BR148" s="206"/>
      <c r="BS148" s="250">
        <f t="shared" si="1"/>
        <v>0.4497354529</v>
      </c>
      <c r="BT148" s="250">
        <f t="shared" si="2"/>
        <v>0.6985806661</v>
      </c>
      <c r="BU148" s="206"/>
      <c r="BV148" s="207">
        <f>IFERROR(__xludf.DUMMYFUNCTION("AVERAGE(ARRAYFORMULA(XLOOKUP(FILTER(INDIRECT(""'""&amp;BV$1&amp;""'!$C$4:$C$66""),INDIRECT(""'""&amp;BV$1&amp;""'!$D$4:$D$66"")=BV$2),$G$3:$BQ$3,$G148:$BQ148)))"),0.5714285771428571)</f>
        <v>0.5714285771</v>
      </c>
      <c r="BW148" s="207" t="str">
        <f>IFERROR(__xludf.DUMMYFUNCTION("IF(OR(BV148&gt;$BS148+$BT148*$BT$2,BV148&lt;$BS148-$BT148*$BT$2),AVEDEV(ARRAYFORMULA(XLOOKUP(FILTER(INDIRECT(""'""&amp;BV$1&amp;""'!$C$4:$C$66""),INDIRECT(""'""&amp;BV$1&amp;""'!$D$4:$D$66"")=BV$2),$G$3:$BQ$3,$G148:$BQ148))),"""")"),"")</f>
        <v/>
      </c>
      <c r="BX148" s="207">
        <f>IFERROR(__xludf.DUMMYFUNCTION("AVERAGE(ARRAYFORMULA(XLOOKUP(FILTER(INDIRECT(""'""&amp;BX$1&amp;""'!$C$4:$C$66""),INDIRECT(""'""&amp;BX$1&amp;""'!$D$4:$D$66"")=BX$2),$G$3:$BQ$3,$G148:$BQ148)))"),0.47619047595238095)</f>
        <v>0.476190476</v>
      </c>
      <c r="BY148" s="207" t="str">
        <f>IFERROR(__xludf.DUMMYFUNCTION("IF(OR(BX148&gt;$BS148+$BT148*$BT$2,BX148&lt;$BS148-$BT148*$BT$2),AVEDEV(ARRAYFORMULA(XLOOKUP(FILTER(INDIRECT(""'""&amp;BX$1&amp;""'!$C$4:$C$66""),INDIRECT(""'""&amp;BX$1&amp;""'!$D$4:$D$66"")=BX$2),$G$3:$BQ$3,$G148:$BQ148))),"""")"),"")</f>
        <v/>
      </c>
      <c r="BZ148" s="207">
        <f>IFERROR(__xludf.DUMMYFUNCTION("AVERAGE(ARRAYFORMULA(XLOOKUP(FILTER(INDIRECT(""'""&amp;BZ$1&amp;""'!$C$4:$C$66""),INDIRECT(""'""&amp;BZ$1&amp;""'!$D$4:$D$66"")=BZ$2),$G$3:$BQ$3,$G148:$BQ148)))"),0.15151516363636358)</f>
        <v>0.1515151636</v>
      </c>
      <c r="CA148" s="207" t="str">
        <f>IFERROR(__xludf.DUMMYFUNCTION("IF(OR(BZ148&gt;$BS148+$BT148*$BT$2,BZ148&lt;$BS148-$BT148*$BT$2),AVEDEV(ARRAYFORMULA(XLOOKUP(FILTER(INDIRECT(""'""&amp;BZ$1&amp;""'!$C$4:$C$66""),INDIRECT(""'""&amp;BZ$1&amp;""'!$D$4:$D$66"")=BZ$2),$G$3:$BQ$3,$G148:$BQ148))),"""")"),"")</f>
        <v/>
      </c>
      <c r="CB148" s="209"/>
      <c r="CC148" s="207">
        <f>IFERROR(__xludf.DUMMYFUNCTION("AVERAGE(ARRAYFORMULA(XLOOKUP(FILTER(INDIRECT(""'""&amp;CC$1&amp;""'!$C$4:$C$66""),INDIRECT(""'""&amp;CC$1&amp;""'!$D$4:$D$66"")=CC$2),$G$3:$BQ$3,$G148:$BQ148)))"),0.541666665625)</f>
        <v>0.5416666656</v>
      </c>
      <c r="CD148" s="207" t="str">
        <f>IFERROR(__xludf.DUMMYFUNCTION("IF(OR(CC148&gt;$BS148+$BT148*$BT$2,CC148&lt;$BS148-$BT148*$BT$2),AVEDEV(ARRAYFORMULA(XLOOKUP(FILTER(INDIRECT(""'""&amp;CC$1&amp;""'!$C$4:$C$66""),INDIRECT(""'""&amp;CC$1&amp;""'!$D$4:$D$66"")=CC$2),$G$3:$BQ$3,$G148:$BQ148))),"""")"),"")</f>
        <v/>
      </c>
      <c r="CE148" s="207">
        <f>IFERROR(__xludf.DUMMYFUNCTION("AVERAGE(ARRAYFORMULA(XLOOKUP(FILTER(INDIRECT(""'""&amp;CE$1&amp;""'!$C$4:$C$66""),INDIRECT(""'""&amp;CE$1&amp;""'!$D$4:$D$66"")=CE$2),$G$3:$BQ$3,$G148:$BQ148)))"),0.46236559419354833)</f>
        <v>0.4623655942</v>
      </c>
      <c r="CF148" s="207" t="str">
        <f>IFERROR(__xludf.DUMMYFUNCTION("IF(OR(CE148&gt;$BS148+$BT148*$BT$2,CE148&lt;$BS148-$BT148*$BT$2),AVEDEV(ARRAYFORMULA(XLOOKUP(FILTER(INDIRECT(""'""&amp;CE$1&amp;""'!$C$4:$C$66""),INDIRECT(""'""&amp;CE$1&amp;""'!$D$4:$D$66"")=CE$2),$G$3:$BQ$3,$G148:$BQ148))),"""")"),"")</f>
        <v/>
      </c>
      <c r="CG148" s="207">
        <f>IFERROR(__xludf.DUMMYFUNCTION("AVERAGE(ARRAYFORMULA(XLOOKUP(FILTER(INDIRECT(""'""&amp;CG$1&amp;""'!$C$4:$C$66""),INDIRECT(""'""&amp;CG$1&amp;""'!$D$4:$D$66"")=CG$2),$G$3:$BQ$3,$G148:$BQ148)))"),0.133333346)</f>
        <v>0.133333346</v>
      </c>
      <c r="CH148" s="207" t="str">
        <f>IFERROR(__xludf.DUMMYFUNCTION("IF(OR(CG148&gt;$BS148+$BT148*$BT$2,CG148&lt;$BS148-$BT148*$BT$2),AVEDEV(ARRAYFORMULA(XLOOKUP(FILTER(INDIRECT(""'""&amp;CG$1&amp;""'!$C$4:$C$66""),INDIRECT(""'""&amp;CG$1&amp;""'!$D$4:$D$66"")=CG$2),$G$3:$BQ$3,$G148:$BQ148))),"""")"),"")</f>
        <v/>
      </c>
      <c r="CI148" s="206"/>
      <c r="CJ148" s="251">
        <f>IFERROR(__xludf.DUMMYFUNCTION("AVERAGE(ARRAYFORMULA(XLOOKUP(FILTER(INDIRECT(""'""&amp;CJ$1&amp;""'!$C$4:$C$66""),INDIRECT(""'""&amp;CJ$1&amp;""'!$D$4:$D$66"")=CJ$2),$G$3:$BQ$3,$G148:$BQ148)))"),0.4666666666666667)</f>
        <v>0.4666666667</v>
      </c>
      <c r="CK148" s="207" t="str">
        <f>IFERROR(__xludf.DUMMYFUNCTION("IF(OR(CJ148&gt;$BS148+$BT148*$BT$2,CJ148&lt;$BS148-$BT148*$BT$2),AVEDEV(ARRAYFORMULA(XLOOKUP(FILTER(INDIRECT(""'""&amp;CJ$1&amp;""'!$C$4:$C$66""),INDIRECT(""'""&amp;CJ$1&amp;""'!$D$4:$D$66"")=CJ$2),$G$3:$BQ$3,$G148:$BQ148))),"""")"),"")</f>
        <v/>
      </c>
      <c r="CL148" s="251">
        <f>IFERROR(__xludf.DUMMYFUNCTION("AVERAGE(ARRAYFORMULA(XLOOKUP(FILTER(INDIRECT(""'""&amp;CL$1&amp;""'!$C$4:$C$66""),INDIRECT(""'""&amp;CL$1&amp;""'!$D$4:$D$66"")=CL$2),$G$3:$BQ$3,$G148:$BQ148)))"),0.4700854717948718)</f>
        <v>0.4700854718</v>
      </c>
      <c r="CM148" s="207" t="str">
        <f>IFERROR(__xludf.DUMMYFUNCTION("IF(OR(CL148&gt;$BS148+$BT148*$BT$2,CL148&lt;$BS148-$BT148*$BT$2),AVEDEV(ARRAYFORMULA(XLOOKUP(FILTER(INDIRECT(""'""&amp;CL$1&amp;""'!$C$4:$C$66""),INDIRECT(""'""&amp;CL$1&amp;""'!$D$4:$D$66"")=CL$2),$G$3:$BQ$3,$G148:$BQ148))),"""")"),"")</f>
        <v/>
      </c>
      <c r="CN148" s="251">
        <f>IFERROR(__xludf.DUMMYFUNCTION("AVERAGE(ARRAYFORMULA(XLOOKUP(FILTER(INDIRECT(""'""&amp;CN$1&amp;""'!$C$4:$C$66""),INDIRECT(""'""&amp;CN$1&amp;""'!$D$4:$D$66"")=CN$2),$G$3:$BQ$3,$G148:$BQ148)))"),0.133333346)</f>
        <v>0.133333346</v>
      </c>
      <c r="CO148" s="207" t="str">
        <f>IFERROR(__xludf.DUMMYFUNCTION("IF(OR(CN148&gt;$BS148+$BT148*$BT$2,CN148&lt;$BS148-$BT148*$BT$2),AVEDEV(ARRAYFORMULA(XLOOKUP(FILTER(INDIRECT(""'""&amp;CN$1&amp;""'!$C$4:$C$66""),INDIRECT(""'""&amp;CN$1&amp;""'!$D$4:$D$66"")=CN$2),$G$3:$BQ$3,$G148:$BQ148))),"""")"),"")</f>
        <v/>
      </c>
      <c r="CP148" s="252"/>
      <c r="CQ148" s="251">
        <f>IFERROR(__xludf.DUMMYFUNCTION("AVERAGE(ARRAYFORMULA(XLOOKUP(FILTER(INDIRECT(""'""&amp;CQ$1&amp;""'!$C$4:$C$66""),INDIRECT(""'""&amp;CQ$1&amp;""'!$D$4:$D$66"")=CQ$2),$G$3:$BQ$3,$G148:$BQ148)))"),0.19047618857142856)</f>
        <v>0.1904761886</v>
      </c>
      <c r="CR148" s="207" t="str">
        <f>IFERROR(__xludf.DUMMYFUNCTION("IF(OR(CQ148&gt;$BS148+$BT148*$BT$2,CQ148&lt;$BS148-$BT148*$BT$2),AVEDEV(ARRAYFORMULA(XLOOKUP(FILTER(INDIRECT(""'""&amp;CQ$1&amp;""'!$C$4:$C$66""),INDIRECT(""'""&amp;CQ$1&amp;""'!$D$4:$D$66"")=CQ$2),$G$3:$BQ$3,$G148:$BQ148))),"""")"),"")</f>
        <v/>
      </c>
      <c r="CS148" s="251">
        <f>IFERROR(__xludf.DUMMYFUNCTION("AVERAGE(ARRAYFORMULA(XLOOKUP(FILTER(INDIRECT(""'""&amp;CS$1&amp;""'!$C$4:$C$66""),INDIRECT(""'""&amp;CS$1&amp;""'!$D$4:$D$66"")=CS$2),$G$3:$BQ$3,$G148:$BQ148)))"),1.4444444436841527E-8)</f>
        <v>0.00000001444444444</v>
      </c>
      <c r="CT148" s="207" t="str">
        <f>IFERROR(__xludf.DUMMYFUNCTION("IF(OR(CS148&gt;$BS148+$BT148*$BT$2,CS148&lt;$BS148-$BT148*$BT$2),AVEDEV(ARRAYFORMULA(XLOOKUP(FILTER(INDIRECT(""'""&amp;CS$1&amp;""'!$C$4:$C$66""),INDIRECT(""'""&amp;CS$1&amp;""'!$D$4:$D$66"")=CS$2),$G$3:$BQ$3,$G148:$BQ148))),"""")"),"")</f>
        <v/>
      </c>
      <c r="CU148" s="251">
        <f>IFERROR(__xludf.DUMMYFUNCTION("AVERAGE(ARRAYFORMULA(XLOOKUP(FILTER(INDIRECT(""'""&amp;CU$1&amp;""'!$C$4:$C$66""),INDIRECT(""'""&amp;CU$1&amp;""'!$D$4:$D$66"")=CU$2),$G$3:$BQ$3,$G148:$BQ148)))"),0.7878787881818181)</f>
        <v>0.7878787882</v>
      </c>
      <c r="CV148" s="207" t="str">
        <f>IFERROR(__xludf.DUMMYFUNCTION("IF(OR(CU148&gt;$BS148+$BT148*$BT$2,CU148&lt;$BS148-$BT148*$BT$2),AVEDEV(ARRAYFORMULA(XLOOKUP(FILTER(INDIRECT(""'""&amp;CU$1&amp;""'!$C$4:$C$66""),INDIRECT(""'""&amp;CU$1&amp;""'!$D$4:$D$66"")=CU$2),$G$3:$BQ$3,$G148:$BQ148))),"""")"),"")</f>
        <v/>
      </c>
      <c r="CW148" s="251">
        <f>IFERROR(__xludf.DUMMYFUNCTION("AVERAGE(ARRAYFORMULA(XLOOKUP(FILTER(INDIRECT(""'""&amp;CW$1&amp;""'!$C$4:$C$66""),INDIRECT(""'""&amp;CW$1&amp;""'!$D$4:$D$66"")=CW$2),$G$3:$BQ$3,$G148:$BQ148)))"),0.0)</f>
        <v>0</v>
      </c>
      <c r="CX148" s="207" t="str">
        <f>IFERROR(__xludf.DUMMYFUNCTION("IF(OR(CW148&gt;$BS148+$BT148*$BT$2,CW148&lt;$BS148-$BT148*$BT$2),AVEDEV(ARRAYFORMULA(XLOOKUP(FILTER(INDIRECT(""'""&amp;CW$1&amp;""'!$C$4:$C$66""),INDIRECT(""'""&amp;CW$1&amp;""'!$D$4:$D$66"")=CW$2),$G$3:$BQ$3,$G148:$BQ148))),"""")"),"")</f>
        <v/>
      </c>
      <c r="CY148" s="251">
        <f>IFERROR(__xludf.DUMMYFUNCTION("AVERAGE(ARRAYFORMULA(XLOOKUP(FILTER(INDIRECT(""'""&amp;CY$1&amp;""'!$C$4:$C$66""),INDIRECT(""'""&amp;CY$1&amp;""'!$D$4:$D$66"")=CY$2),$G$3:$BQ$3,$G148:$BQ148)))"),0.4761904771428571)</f>
        <v>0.4761904771</v>
      </c>
      <c r="CZ148" s="207" t="str">
        <f>IFERROR(__xludf.DUMMYFUNCTION("IF(OR(CY148&gt;$BS148+$BT148*$BT$2,CY148&lt;$BS148-$BT148*$BT$2),AVEDEV(ARRAYFORMULA(XLOOKUP(FILTER(INDIRECT(""'""&amp;CY$1&amp;""'!$C$4:$C$66""),INDIRECT(""'""&amp;CY$1&amp;""'!$D$4:$D$66"")=CY$2),$G$3:$BQ$3,$G148:$BQ148))),"""")"),"")</f>
        <v/>
      </c>
      <c r="DA148" s="252"/>
      <c r="DB148" s="251">
        <f>IFERROR(__xludf.DUMMYFUNCTION("AVERAGE(ARRAYFORMULA(XLOOKUP(FILTER(INDIRECT(""'""&amp;DB$1&amp;""'!$C$4:$C$66""),INDIRECT(""'""&amp;DB$1&amp;""'!$D$4:$D$66"")=DB$2),$G$3:$BQ$3,$G148:$BQ148)))"),0.32222222166666664)</f>
        <v>0.3222222217</v>
      </c>
      <c r="DC148" s="207" t="str">
        <f>IFERROR(__xludf.DUMMYFUNCTION("IF(OR(DB148&gt;$BS148+$BT148*$BT$2,DB148&lt;$BS148-$BT148*$BT$2),AVEDEV(ARRAYFORMULA(XLOOKUP(FILTER(INDIRECT(""'""&amp;DB$1&amp;""'!$C$4:$C$66""),INDIRECT(""'""&amp;DB$1&amp;""'!$D$4:$D$66"")=DB$2),$G$3:$BQ$3,$G148:$BQ148))),"""")"),"")</f>
        <v/>
      </c>
      <c r="DD148" s="251">
        <f>IFERROR(__xludf.DUMMYFUNCTION("AVERAGE(ARRAYFORMULA(XLOOKUP(FILTER(INDIRECT(""'""&amp;DD$1&amp;""'!$C$4:$C$66""),INDIRECT(""'""&amp;DD$1&amp;""'!$D$4:$D$66"")=DD$2),$G$3:$BQ$3,$G148:$BQ148)))"),0.18518519999999997)</f>
        <v>0.1851852</v>
      </c>
      <c r="DE148" s="207" t="str">
        <f>IFERROR(__xludf.DUMMYFUNCTION("IF(OR(DD148&gt;$BS148+$BT148*$BT$2,DD148&lt;$BS148-$BT148*$BT$2),AVEDEV(ARRAYFORMULA(XLOOKUP(FILTER(INDIRECT(""'""&amp;DD$1&amp;""'!$C$4:$C$66""),INDIRECT(""'""&amp;DD$1&amp;""'!$D$4:$D$66"")=DD$2),$G$3:$BQ$3,$G148:$BQ148))),"""")"),"")</f>
        <v/>
      </c>
      <c r="DF148" s="251">
        <f>IFERROR(__xludf.DUMMYFUNCTION("AVERAGE(ARRAYFORMULA(XLOOKUP(FILTER(INDIRECT(""'""&amp;DF$1&amp;""'!$C$4:$C$66""),INDIRECT(""'""&amp;DF$1&amp;""'!$D$4:$D$66"")=DF$2),$G$3:$BQ$3,$G148:$BQ148)))"),1.29166666875)</f>
        <v>1.291666669</v>
      </c>
      <c r="DG148" s="207">
        <f>IFERROR(__xludf.DUMMYFUNCTION("IF(OR(DF148&gt;$BS148+$BT148*$BT$2,DF148&lt;$BS148-$BT148*$BT$2),AVEDEV(ARRAYFORMULA(XLOOKUP(FILTER(INDIRECT(""'""&amp;DF$1&amp;""'!$C$4:$C$66""),INDIRECT(""'""&amp;DF$1&amp;""'!$D$4:$D$66"")=DF$2),$G$3:$BQ$3,$G148:$BQ148))),"""")"),0.5625000018749999)</f>
        <v>0.5625000019</v>
      </c>
      <c r="DH148" s="251">
        <f>IFERROR(__xludf.DUMMYFUNCTION("AVERAGE(ARRAYFORMULA(XLOOKUP(FILTER(INDIRECT(""'""&amp;DH$1&amp;""'!$C$4:$C$66""),INDIRECT(""'""&amp;DH$1&amp;""'!$D$4:$D$66"")=DH$2),$G$3:$BQ$3,$G148:$BQ148)))"),0.37037037000000006)</f>
        <v>0.37037037</v>
      </c>
      <c r="DI148" s="207" t="str">
        <f>IFERROR(__xludf.DUMMYFUNCTION("IF(OR(DH148&gt;$BS148+$BT148*$BT$2,DH148&lt;$BS148-$BT148*$BT$2),AVEDEV(ARRAYFORMULA(XLOOKUP(FILTER(INDIRECT(""'""&amp;DH$1&amp;""'!$C$4:$C$66""),INDIRECT(""'""&amp;DH$1&amp;""'!$D$4:$D$66"")=DH$2),$G$3:$BQ$3,$G148:$BQ148))),"""")"),"")</f>
        <v/>
      </c>
      <c r="DJ148" s="243"/>
    </row>
    <row r="149">
      <c r="A149" s="2"/>
      <c r="B149" s="204">
        <v>145.0</v>
      </c>
      <c r="C149" s="204" t="s">
        <v>540</v>
      </c>
      <c r="D149" s="204" t="s">
        <v>591</v>
      </c>
      <c r="E149" s="205" t="b">
        <f>VLOOKUP(D149,'Feature Set List'!A146:C246,2,0)</f>
        <v>1</v>
      </c>
      <c r="F149" s="205" t="b">
        <f>VLOOKUP(D149,'Feature Set List'!A146:C246,3,0)</f>
        <v>0</v>
      </c>
      <c r="G149" s="205">
        <v>-1.0</v>
      </c>
      <c r="H149" s="205">
        <v>1.0</v>
      </c>
      <c r="I149" s="205">
        <v>3.0</v>
      </c>
      <c r="J149" s="205">
        <v>0.0</v>
      </c>
      <c r="K149" s="205">
        <v>-1.0</v>
      </c>
      <c r="L149" s="205">
        <v>-1.0</v>
      </c>
      <c r="M149" s="205">
        <v>-1.0</v>
      </c>
      <c r="N149" s="205">
        <v>3.0</v>
      </c>
      <c r="O149" s="205">
        <v>0.0</v>
      </c>
      <c r="P149" s="205">
        <v>-1.0</v>
      </c>
      <c r="Q149" s="205">
        <v>0.0</v>
      </c>
      <c r="R149" s="205">
        <v>0.0</v>
      </c>
      <c r="S149" s="205">
        <v>3.0</v>
      </c>
      <c r="T149" s="205">
        <v>0.0</v>
      </c>
      <c r="U149" s="205">
        <v>0.0</v>
      </c>
      <c r="V149" s="205">
        <v>0.0</v>
      </c>
      <c r="W149" s="205">
        <v>-1.0</v>
      </c>
      <c r="X149" s="205">
        <v>-1.0</v>
      </c>
      <c r="Y149" s="205">
        <v>-1.0</v>
      </c>
      <c r="Z149" s="205">
        <v>0.0</v>
      </c>
      <c r="AA149" s="205">
        <v>-1.0</v>
      </c>
      <c r="AB149" s="205">
        <v>0.0</v>
      </c>
      <c r="AC149" s="205">
        <v>-1.0</v>
      </c>
      <c r="AD149" s="205">
        <v>1.0</v>
      </c>
      <c r="AE149" s="205">
        <v>3.0</v>
      </c>
      <c r="AF149" s="205">
        <v>-1.0</v>
      </c>
      <c r="AG149" s="205">
        <v>0.0</v>
      </c>
      <c r="AH149" s="205">
        <v>-1.0</v>
      </c>
      <c r="AI149" s="205">
        <v>-1.0</v>
      </c>
      <c r="AJ149" s="205">
        <v>-1.0</v>
      </c>
      <c r="AK149" s="205">
        <v>2.95</v>
      </c>
      <c r="AL149" s="205">
        <v>0.0</v>
      </c>
      <c r="AM149" s="205">
        <v>-1.0</v>
      </c>
      <c r="AN149" s="205">
        <v>-0.6</v>
      </c>
      <c r="AO149" s="205">
        <v>3.0</v>
      </c>
      <c r="AP149" s="205">
        <v>0.0</v>
      </c>
      <c r="AQ149" s="205">
        <v>3.0</v>
      </c>
      <c r="AR149" s="205">
        <v>-1.0</v>
      </c>
      <c r="AS149" s="205">
        <v>0.0</v>
      </c>
      <c r="AT149" s="205">
        <v>3.0</v>
      </c>
      <c r="AU149" s="205">
        <v>0.0</v>
      </c>
      <c r="AV149" s="205">
        <v>0.0</v>
      </c>
      <c r="AW149" s="205">
        <v>0.0</v>
      </c>
      <c r="AX149" s="205">
        <v>0.0</v>
      </c>
      <c r="AY149" s="205">
        <v>2.95</v>
      </c>
      <c r="AZ149" s="205">
        <v>0.0</v>
      </c>
      <c r="BA149" s="205">
        <v>-1.0</v>
      </c>
      <c r="BB149" s="205">
        <v>0.0</v>
      </c>
      <c r="BC149" s="205">
        <v>-0.6</v>
      </c>
      <c r="BD149" s="205">
        <v>-1.0</v>
      </c>
      <c r="BE149" s="205">
        <v>1.0</v>
      </c>
      <c r="BF149" s="205">
        <v>0.0</v>
      </c>
      <c r="BG149" s="205">
        <v>-1.0</v>
      </c>
      <c r="BH149" s="205">
        <v>1.0</v>
      </c>
      <c r="BI149" s="205">
        <v>0.0</v>
      </c>
      <c r="BJ149" s="205">
        <v>-0.6</v>
      </c>
      <c r="BK149" s="205">
        <v>-1.0</v>
      </c>
      <c r="BL149" s="205">
        <v>0.0</v>
      </c>
      <c r="BM149" s="205">
        <v>-1.0</v>
      </c>
      <c r="BN149" s="205">
        <v>-1.0</v>
      </c>
      <c r="BO149" s="205">
        <v>-1.0</v>
      </c>
      <c r="BP149" s="205">
        <v>-1.0</v>
      </c>
      <c r="BQ149" s="205">
        <v>-1.0</v>
      </c>
      <c r="BR149" s="206"/>
      <c r="BS149" s="250">
        <f t="shared" si="1"/>
        <v>0.06507936508</v>
      </c>
      <c r="BT149" s="250">
        <f t="shared" si="2"/>
        <v>0.9540942303</v>
      </c>
      <c r="BU149" s="206"/>
      <c r="BV149" s="207">
        <f>IFERROR(__xludf.DUMMYFUNCTION("AVERAGE(ARRAYFORMULA(XLOOKUP(FILTER(INDIRECT(""'""&amp;BV$1&amp;""'!$C$4:$C$66""),INDIRECT(""'""&amp;BV$1&amp;""'!$D$4:$D$66"")=BV$2),$G$3:$BQ$3,$G149:$BQ149)))"),0.85)</f>
        <v>0.85</v>
      </c>
      <c r="BW149" s="207" t="str">
        <f>IFERROR(__xludf.DUMMYFUNCTION("IF(OR(BV149&gt;$BS149+$BT149*$BT$2,BV149&lt;$BS149-$BT149*$BT$2),AVEDEV(ARRAYFORMULA(XLOOKUP(FILTER(INDIRECT(""'""&amp;BV$1&amp;""'!$C$4:$C$66""),INDIRECT(""'""&amp;BV$1&amp;""'!$D$4:$D$66"")=BV$2),$G$3:$BQ$3,$G149:$BQ149))),"""")"),"")</f>
        <v/>
      </c>
      <c r="BX149" s="207">
        <f>IFERROR(__xludf.DUMMYFUNCTION("AVERAGE(ARRAYFORMULA(XLOOKUP(FILTER(INDIRECT(""'""&amp;BX$1&amp;""'!$C$4:$C$66""),INDIRECT(""'""&amp;BX$1&amp;""'!$D$4:$D$66"")=BX$2),$G$3:$BQ$3,$G149:$BQ149)))"),0.12261904761904763)</f>
        <v>0.1226190476</v>
      </c>
      <c r="BY149" s="207" t="str">
        <f>IFERROR(__xludf.DUMMYFUNCTION("IF(OR(BX149&gt;$BS149+$BT149*$BT$2,BX149&lt;$BS149-$BT149*$BT$2),AVEDEV(ARRAYFORMULA(XLOOKUP(FILTER(INDIRECT(""'""&amp;BX$1&amp;""'!$C$4:$C$66""),INDIRECT(""'""&amp;BX$1&amp;""'!$D$4:$D$66"")=BX$2),$G$3:$BQ$3,$G149:$BQ149))),"""")"),"")</f>
        <v/>
      </c>
      <c r="BZ149" s="207">
        <f>IFERROR(__xludf.DUMMYFUNCTION("AVERAGE(ARRAYFORMULA(XLOOKUP(FILTER(INDIRECT(""'""&amp;BZ$1&amp;""'!$C$4:$C$66""),INDIRECT(""'""&amp;BZ$1&amp;""'!$D$4:$D$66"")=BZ$2),$G$3:$BQ$3,$G149:$BQ149)))"),-0.8181818181818182)</f>
        <v>-0.8181818182</v>
      </c>
      <c r="CA149" s="207" t="str">
        <f>IFERROR(__xludf.DUMMYFUNCTION("IF(OR(BZ149&gt;$BS149+$BT149*$BT$2,BZ149&lt;$BS149-$BT149*$BT$2),AVEDEV(ARRAYFORMULA(XLOOKUP(FILTER(INDIRECT(""'""&amp;BZ$1&amp;""'!$C$4:$C$66""),INDIRECT(""'""&amp;BZ$1&amp;""'!$D$4:$D$66"")=BZ$2),$G$3:$BQ$3,$G149:$BQ149))),"""")"),"")</f>
        <v/>
      </c>
      <c r="CB149" s="209"/>
      <c r="CC149" s="207">
        <f>IFERROR(__xludf.DUMMYFUNCTION("AVERAGE(ARRAYFORMULA(XLOOKUP(FILTER(INDIRECT(""'""&amp;CC$1&amp;""'!$C$4:$C$66""),INDIRECT(""'""&amp;CC$1&amp;""'!$D$4:$D$66"")=CC$2),$G$3:$BQ$3,$G149:$BQ149)))"),0.871875)</f>
        <v>0.871875</v>
      </c>
      <c r="CD149" s="207" t="str">
        <f>IFERROR(__xludf.DUMMYFUNCTION("IF(OR(CC149&gt;$BS149+$BT149*$BT$2,CC149&lt;$BS149-$BT149*$BT$2),AVEDEV(ARRAYFORMULA(XLOOKUP(FILTER(INDIRECT(""'""&amp;CC$1&amp;""'!$C$4:$C$66""),INDIRECT(""'""&amp;CC$1&amp;""'!$D$4:$D$66"")=CC$2),$G$3:$BQ$3,$G149:$BQ149))),"""")"),"")</f>
        <v/>
      </c>
      <c r="CE149" s="207">
        <f>IFERROR(__xludf.DUMMYFUNCTION("AVERAGE(ARRAYFORMULA(XLOOKUP(FILTER(INDIRECT(""'""&amp;CE$1&amp;""'!$C$4:$C$66""),INDIRECT(""'""&amp;CE$1&amp;""'!$D$4:$D$66"")=CE$2),$G$3:$BQ$3,$G149:$BQ149)))"),-0.22096774193548385)</f>
        <v>-0.2209677419</v>
      </c>
      <c r="CF149" s="207" t="str">
        <f>IFERROR(__xludf.DUMMYFUNCTION("IF(OR(CE149&gt;$BS149+$BT149*$BT$2,CE149&lt;$BS149-$BT149*$BT$2),AVEDEV(ARRAYFORMULA(XLOOKUP(FILTER(INDIRECT(""'""&amp;CE$1&amp;""'!$C$4:$C$66""),INDIRECT(""'""&amp;CE$1&amp;""'!$D$4:$D$66"")=CE$2),$G$3:$BQ$3,$G149:$BQ149))),"""")"),"")</f>
        <v/>
      </c>
      <c r="CG149" s="207">
        <f>IFERROR(__xludf.DUMMYFUNCTION("AVERAGE(ARRAYFORMULA(XLOOKUP(FILTER(INDIRECT(""'""&amp;CG$1&amp;""'!$C$4:$C$66""),INDIRECT(""'""&amp;CG$1&amp;""'!$D$4:$D$66"")=CG$2),$G$3:$BQ$3,$G149:$BQ149)))"),-0.6)</f>
        <v>-0.6</v>
      </c>
      <c r="CH149" s="207" t="str">
        <f>IFERROR(__xludf.DUMMYFUNCTION("IF(OR(CG149&gt;$BS149+$BT149*$BT$2,CG149&lt;$BS149-$BT149*$BT$2),AVEDEV(ARRAYFORMULA(XLOOKUP(FILTER(INDIRECT(""'""&amp;CG$1&amp;""'!$C$4:$C$66""),INDIRECT(""'""&amp;CG$1&amp;""'!$D$4:$D$66"")=CG$2),$G$3:$BQ$3,$G149:$BQ149))),"""")"),"")</f>
        <v/>
      </c>
      <c r="CI149" s="206"/>
      <c r="CJ149" s="251">
        <f>IFERROR(__xludf.DUMMYFUNCTION("AVERAGE(ARRAYFORMULA(XLOOKUP(FILTER(INDIRECT(""'""&amp;CJ$1&amp;""'!$C$4:$C$66""),INDIRECT(""'""&amp;CJ$1&amp;""'!$D$4:$D$66"")=CJ$2),$G$3:$BQ$3,$G149:$BQ149)))"),0.13333333333333333)</f>
        <v>0.1333333333</v>
      </c>
      <c r="CK149" s="207" t="str">
        <f>IFERROR(__xludf.DUMMYFUNCTION("IF(OR(CJ149&gt;$BS149+$BT149*$BT$2,CJ149&lt;$BS149-$BT149*$BT$2),AVEDEV(ARRAYFORMULA(XLOOKUP(FILTER(INDIRECT(""'""&amp;CJ$1&amp;""'!$C$4:$C$66""),INDIRECT(""'""&amp;CJ$1&amp;""'!$D$4:$D$66"")=CJ$2),$G$3:$BQ$3,$G149:$BQ149))),"""")"),"")</f>
        <v/>
      </c>
      <c r="CL149" s="251">
        <f>IFERROR(__xludf.DUMMYFUNCTION("AVERAGE(ARRAYFORMULA(XLOOKUP(FILTER(INDIRECT(""'""&amp;CL$1&amp;""'!$C$4:$C$66""),INDIRECT(""'""&amp;CL$1&amp;""'!$D$4:$D$66"")=CL$2),$G$3:$BQ$3,$G149:$BQ149)))"),0.07948717948717952)</f>
        <v>0.07948717949</v>
      </c>
      <c r="CM149" s="207" t="str">
        <f>IFERROR(__xludf.DUMMYFUNCTION("IF(OR(CL149&gt;$BS149+$BT149*$BT$2,CL149&lt;$BS149-$BT149*$BT$2),AVEDEV(ARRAYFORMULA(XLOOKUP(FILTER(INDIRECT(""'""&amp;CL$1&amp;""'!$C$4:$C$66""),INDIRECT(""'""&amp;CL$1&amp;""'!$D$4:$D$66"")=CL$2),$G$3:$BQ$3,$G149:$BQ149))),"""")"),"")</f>
        <v/>
      </c>
      <c r="CN149" s="251">
        <f>IFERROR(__xludf.DUMMYFUNCTION("AVERAGE(ARRAYFORMULA(XLOOKUP(FILTER(INDIRECT(""'""&amp;CN$1&amp;""'!$C$4:$C$66""),INDIRECT(""'""&amp;CN$1&amp;""'!$D$4:$D$66"")=CN$2),$G$3:$BQ$3,$G149:$BQ149)))"),-0.6)</f>
        <v>-0.6</v>
      </c>
      <c r="CO149" s="207" t="str">
        <f>IFERROR(__xludf.DUMMYFUNCTION("IF(OR(CN149&gt;$BS149+$BT149*$BT$2,CN149&lt;$BS149-$BT149*$BT$2),AVEDEV(ARRAYFORMULA(XLOOKUP(FILTER(INDIRECT(""'""&amp;CN$1&amp;""'!$C$4:$C$66""),INDIRECT(""'""&amp;CN$1&amp;""'!$D$4:$D$66"")=CN$2),$G$3:$BQ$3,$G149:$BQ149))),"""")"),"")</f>
        <v/>
      </c>
      <c r="CP149" s="252"/>
      <c r="CQ149" s="251">
        <f>IFERROR(__xludf.DUMMYFUNCTION("AVERAGE(ARRAYFORMULA(XLOOKUP(FILTER(INDIRECT(""'""&amp;CQ$1&amp;""'!$C$4:$C$66""),INDIRECT(""'""&amp;CQ$1&amp;""'!$D$4:$D$66"")=CQ$2),$G$3:$BQ$3,$G149:$BQ149)))"),0.7821428571428571)</f>
        <v>0.7821428571</v>
      </c>
      <c r="CR149" s="207" t="str">
        <f>IFERROR(__xludf.DUMMYFUNCTION("IF(OR(CQ149&gt;$BS149+$BT149*$BT$2,CQ149&lt;$BS149-$BT149*$BT$2),AVEDEV(ARRAYFORMULA(XLOOKUP(FILTER(INDIRECT(""'""&amp;CQ$1&amp;""'!$C$4:$C$66""),INDIRECT(""'""&amp;CQ$1&amp;""'!$D$4:$D$66"")=CQ$2),$G$3:$BQ$3,$G149:$BQ149))),"""")"),"")</f>
        <v/>
      </c>
      <c r="CS149" s="251">
        <f>IFERROR(__xludf.DUMMYFUNCTION("AVERAGE(ARRAYFORMULA(XLOOKUP(FILTER(INDIRECT(""'""&amp;CS$1&amp;""'!$C$4:$C$66""),INDIRECT(""'""&amp;CS$1&amp;""'!$D$4:$D$66"")=CS$2),$G$3:$BQ$3,$G149:$BQ149)))"),-0.8888888888888888)</f>
        <v>-0.8888888889</v>
      </c>
      <c r="CT149" s="207" t="str">
        <f>IFERROR(__xludf.DUMMYFUNCTION("IF(OR(CS149&gt;$BS149+$BT149*$BT$2,CS149&lt;$BS149-$BT149*$BT$2),AVEDEV(ARRAYFORMULA(XLOOKUP(FILTER(INDIRECT(""'""&amp;CS$1&amp;""'!$C$4:$C$66""),INDIRECT(""'""&amp;CS$1&amp;""'!$D$4:$D$66"")=CS$2),$G$3:$BQ$3,$G149:$BQ149))),"""")"),"")</f>
        <v/>
      </c>
      <c r="CU149" s="251">
        <f>IFERROR(__xludf.DUMMYFUNCTION("AVERAGE(ARRAYFORMULA(XLOOKUP(FILTER(INDIRECT(""'""&amp;CU$1&amp;""'!$C$4:$C$66""),INDIRECT(""'""&amp;CU$1&amp;""'!$D$4:$D$66"")=CU$2),$G$3:$BQ$3,$G149:$BQ149)))"),0.0)</f>
        <v>0</v>
      </c>
      <c r="CV149" s="207" t="str">
        <f>IFERROR(__xludf.DUMMYFUNCTION("IF(OR(CU149&gt;$BS149+$BT149*$BT$2,CU149&lt;$BS149-$BT149*$BT$2),AVEDEV(ARRAYFORMULA(XLOOKUP(FILTER(INDIRECT(""'""&amp;CU$1&amp;""'!$C$4:$C$66""),INDIRECT(""'""&amp;CU$1&amp;""'!$D$4:$D$66"")=CU$2),$G$3:$BQ$3,$G149:$BQ149))),"""")"),"")</f>
        <v/>
      </c>
      <c r="CW149" s="251">
        <f>IFERROR(__xludf.DUMMYFUNCTION("AVERAGE(ARRAYFORMULA(XLOOKUP(FILTER(INDIRECT(""'""&amp;CW$1&amp;""'!$C$4:$C$66""),INDIRECT(""'""&amp;CW$1&amp;""'!$D$4:$D$66"")=CW$2),$G$3:$BQ$3,$G149:$BQ149)))"),1.0)</f>
        <v>1</v>
      </c>
      <c r="CX149" s="207" t="str">
        <f>IFERROR(__xludf.DUMMYFUNCTION("IF(OR(CW149&gt;$BS149+$BT149*$BT$2,CW149&lt;$BS149-$BT149*$BT$2),AVEDEV(ARRAYFORMULA(XLOOKUP(FILTER(INDIRECT(""'""&amp;CW$1&amp;""'!$C$4:$C$66""),INDIRECT(""'""&amp;CW$1&amp;""'!$D$4:$D$66"")=CW$2),$G$3:$BQ$3,$G149:$BQ149))),"""")"),"")</f>
        <v/>
      </c>
      <c r="CY149" s="251">
        <f>IFERROR(__xludf.DUMMYFUNCTION("AVERAGE(ARRAYFORMULA(XLOOKUP(FILTER(INDIRECT(""'""&amp;CY$1&amp;""'!$C$4:$C$66""),INDIRECT(""'""&amp;CY$1&amp;""'!$D$4:$D$66"")=CY$2),$G$3:$BQ$3,$G149:$BQ149)))"),-0.4857142857142857)</f>
        <v>-0.4857142857</v>
      </c>
      <c r="CZ149" s="207" t="str">
        <f>IFERROR(__xludf.DUMMYFUNCTION("IF(OR(CY149&gt;$BS149+$BT149*$BT$2,CY149&lt;$BS149-$BT149*$BT$2),AVEDEV(ARRAYFORMULA(XLOOKUP(FILTER(INDIRECT(""'""&amp;CY$1&amp;""'!$C$4:$C$66""),INDIRECT(""'""&amp;CY$1&amp;""'!$D$4:$D$66"")=CY$2),$G$3:$BQ$3,$G149:$BQ149))),"""")"),"")</f>
        <v/>
      </c>
      <c r="DA149" s="252"/>
      <c r="DB149" s="251">
        <f>IFERROR(__xludf.DUMMYFUNCTION("AVERAGE(ARRAYFORMULA(XLOOKUP(FILTER(INDIRECT(""'""&amp;DB$1&amp;""'!$C$4:$C$66""),INDIRECT(""'""&amp;DB$1&amp;""'!$D$4:$D$66"")=DB$2),$G$3:$BQ$3,$G149:$BQ149)))"),0.23833333333333334)</f>
        <v>0.2383333333</v>
      </c>
      <c r="DC149" s="207" t="str">
        <f>IFERROR(__xludf.DUMMYFUNCTION("IF(OR(DB149&gt;$BS149+$BT149*$BT$2,DB149&lt;$BS149-$BT149*$BT$2),AVEDEV(ARRAYFORMULA(XLOOKUP(FILTER(INDIRECT(""'""&amp;DB$1&amp;""'!$C$4:$C$66""),INDIRECT(""'""&amp;DB$1&amp;""'!$D$4:$D$66"")=DB$2),$G$3:$BQ$3,$G149:$BQ149))),"""")"),"")</f>
        <v/>
      </c>
      <c r="DD149" s="251">
        <f>IFERROR(__xludf.DUMMYFUNCTION("AVERAGE(ARRAYFORMULA(XLOOKUP(FILTER(INDIRECT(""'""&amp;DD$1&amp;""'!$C$4:$C$66""),INDIRECT(""'""&amp;DD$1&amp;""'!$D$4:$D$66"")=DD$2),$G$3:$BQ$3,$G149:$BQ149)))"),-0.7777777777777778)</f>
        <v>-0.7777777778</v>
      </c>
      <c r="DE149" s="207" t="str">
        <f>IFERROR(__xludf.DUMMYFUNCTION("IF(OR(DD149&gt;$BS149+$BT149*$BT$2,DD149&lt;$BS149-$BT149*$BT$2),AVEDEV(ARRAYFORMULA(XLOOKUP(FILTER(INDIRECT(""'""&amp;DD$1&amp;""'!$C$4:$C$66""),INDIRECT(""'""&amp;DD$1&amp;""'!$D$4:$D$66"")=DD$2),$G$3:$BQ$3,$G149:$BQ149))),"""")"),"")</f>
        <v/>
      </c>
      <c r="DF149" s="251">
        <f>IFERROR(__xludf.DUMMYFUNCTION("AVERAGE(ARRAYFORMULA(XLOOKUP(FILTER(INDIRECT(""'""&amp;DF$1&amp;""'!$C$4:$C$66""),INDIRECT(""'""&amp;DF$1&amp;""'!$D$4:$D$66"")=DF$2),$G$3:$BQ$3,$G149:$BQ149)))"),0.49375)</f>
        <v>0.49375</v>
      </c>
      <c r="DG149" s="207" t="str">
        <f>IFERROR(__xludf.DUMMYFUNCTION("IF(OR(DF149&gt;$BS149+$BT149*$BT$2,DF149&lt;$BS149-$BT149*$BT$2),AVEDEV(ARRAYFORMULA(XLOOKUP(FILTER(INDIRECT(""'""&amp;DF$1&amp;""'!$C$4:$C$66""),INDIRECT(""'""&amp;DF$1&amp;""'!$D$4:$D$66"")=DF$2),$G$3:$BQ$3,$G149:$BQ149))),"""")"),"")</f>
        <v/>
      </c>
      <c r="DH149" s="251">
        <f>IFERROR(__xludf.DUMMYFUNCTION("AVERAGE(ARRAYFORMULA(XLOOKUP(FILTER(INDIRECT(""'""&amp;DH$1&amp;""'!$C$4:$C$66""),INDIRECT(""'""&amp;DH$1&amp;""'!$D$4:$D$66"")=DH$2),$G$3:$BQ$3,$G149:$BQ149)))"),-0.3333333333333333)</f>
        <v>-0.3333333333</v>
      </c>
      <c r="DI149" s="207" t="str">
        <f>IFERROR(__xludf.DUMMYFUNCTION("IF(OR(DH149&gt;$BS149+$BT149*$BT$2,DH149&lt;$BS149-$BT149*$BT$2),AVEDEV(ARRAYFORMULA(XLOOKUP(FILTER(INDIRECT(""'""&amp;DH$1&amp;""'!$C$4:$C$66""),INDIRECT(""'""&amp;DH$1&amp;""'!$D$4:$D$66"")=DH$2),$G$3:$BQ$3,$G149:$BQ149))),"""")"),"")</f>
        <v/>
      </c>
      <c r="DJ149" s="243"/>
    </row>
    <row r="150">
      <c r="A150" s="2"/>
      <c r="B150" s="204">
        <v>146.0</v>
      </c>
      <c r="C150" s="204" t="s">
        <v>540</v>
      </c>
      <c r="D150" s="204" t="s">
        <v>592</v>
      </c>
      <c r="E150" s="205" t="b">
        <f>VLOOKUP(D150,'Feature Set List'!A147:C246,2,0)</f>
        <v>1</v>
      </c>
      <c r="F150" s="205" t="b">
        <f>VLOOKUP(D150,'Feature Set List'!A147:C246,3,0)</f>
        <v>0</v>
      </c>
      <c r="G150" s="205">
        <v>0.0</v>
      </c>
      <c r="H150" s="205">
        <v>-1.0</v>
      </c>
      <c r="I150" s="205">
        <v>-1.0</v>
      </c>
      <c r="J150" s="205">
        <v>-1.0</v>
      </c>
      <c r="K150" s="205">
        <v>0.0</v>
      </c>
      <c r="L150" s="205">
        <v>0.0</v>
      </c>
      <c r="M150" s="205">
        <v>0.95</v>
      </c>
      <c r="N150" s="205">
        <v>0.0</v>
      </c>
      <c r="O150" s="205">
        <v>-1.0</v>
      </c>
      <c r="P150" s="205">
        <v>-0.6</v>
      </c>
      <c r="Q150" s="205">
        <v>-1.0</v>
      </c>
      <c r="R150" s="205">
        <v>-1.0</v>
      </c>
      <c r="S150" s="205">
        <v>0.0</v>
      </c>
      <c r="T150" s="205">
        <v>-1.0</v>
      </c>
      <c r="U150" s="205">
        <v>-1.0</v>
      </c>
      <c r="V150" s="205">
        <v>3.0</v>
      </c>
      <c r="W150" s="205">
        <v>-0.6</v>
      </c>
      <c r="X150" s="205">
        <v>3.0</v>
      </c>
      <c r="Y150" s="205">
        <v>0.0</v>
      </c>
      <c r="Z150" s="205">
        <v>3.0</v>
      </c>
      <c r="AA150" s="205">
        <v>-0.6</v>
      </c>
      <c r="AB150" s="205">
        <v>-1.0</v>
      </c>
      <c r="AC150" s="205">
        <v>-0.6</v>
      </c>
      <c r="AD150" s="205">
        <v>-0.6</v>
      </c>
      <c r="AE150" s="205">
        <v>-1.0</v>
      </c>
      <c r="AF150" s="205">
        <v>0.0</v>
      </c>
      <c r="AG150" s="205">
        <v>1.0</v>
      </c>
      <c r="AH150" s="205">
        <v>0.0</v>
      </c>
      <c r="AI150" s="205">
        <v>1.0</v>
      </c>
      <c r="AJ150" s="205">
        <v>0.0</v>
      </c>
      <c r="AK150" s="205">
        <v>0.0</v>
      </c>
      <c r="AL150" s="205">
        <v>-1.0</v>
      </c>
      <c r="AM150" s="205">
        <v>0.0</v>
      </c>
      <c r="AN150" s="205">
        <v>-1.0</v>
      </c>
      <c r="AO150" s="205">
        <v>0.0</v>
      </c>
      <c r="AP150" s="205">
        <v>3.0</v>
      </c>
      <c r="AQ150" s="205">
        <v>0.0</v>
      </c>
      <c r="AR150" s="205">
        <v>1.0</v>
      </c>
      <c r="AS150" s="205">
        <v>-1.0</v>
      </c>
      <c r="AT150" s="205">
        <v>0.0</v>
      </c>
      <c r="AU150" s="205">
        <v>-1.0</v>
      </c>
      <c r="AV150" s="205">
        <v>3.0</v>
      </c>
      <c r="AW150" s="205">
        <v>-1.0</v>
      </c>
      <c r="AX150" s="205">
        <v>3.0</v>
      </c>
      <c r="AY150" s="205">
        <v>-1.0</v>
      </c>
      <c r="AZ150" s="205">
        <v>3.0</v>
      </c>
      <c r="BA150" s="205">
        <v>-0.6</v>
      </c>
      <c r="BB150" s="205">
        <v>-1.0</v>
      </c>
      <c r="BC150" s="205">
        <v>-1.0</v>
      </c>
      <c r="BD150" s="205">
        <v>-0.75</v>
      </c>
      <c r="BE150" s="205">
        <v>3.0</v>
      </c>
      <c r="BF150" s="205">
        <v>3.0</v>
      </c>
      <c r="BG150" s="205">
        <v>0.0</v>
      </c>
      <c r="BH150" s="205">
        <v>-0.6</v>
      </c>
      <c r="BI150" s="205">
        <v>-1.0</v>
      </c>
      <c r="BJ150" s="205">
        <v>-1.0</v>
      </c>
      <c r="BK150" s="205">
        <v>1.0</v>
      </c>
      <c r="BL150" s="205">
        <v>-0.6</v>
      </c>
      <c r="BM150" s="205">
        <v>0.0</v>
      </c>
      <c r="BN150" s="205">
        <v>0.0</v>
      </c>
      <c r="BO150" s="205">
        <v>0.0</v>
      </c>
      <c r="BP150" s="205">
        <v>1.05</v>
      </c>
      <c r="BQ150" s="205">
        <v>0.0</v>
      </c>
      <c r="BR150" s="206"/>
      <c r="BS150" s="250">
        <f t="shared" si="1"/>
        <v>0.1182539683</v>
      </c>
      <c r="BT150" s="250">
        <f t="shared" si="2"/>
        <v>0.9913076342</v>
      </c>
      <c r="BU150" s="206"/>
      <c r="BV150" s="207">
        <f>IFERROR(__xludf.DUMMYFUNCTION("AVERAGE(ARRAYFORMULA(XLOOKUP(FILTER(INDIRECT(""'""&amp;BV$1&amp;""'!$C$4:$C$66""),INDIRECT(""'""&amp;BV$1&amp;""'!$D$4:$D$66"")=BV$2),$G$3:$BQ$3,$G150:$BQ150)))"),0.34285714285714286)</f>
        <v>0.3428571429</v>
      </c>
      <c r="BW150" s="207" t="str">
        <f>IFERROR(__xludf.DUMMYFUNCTION("IF(OR(BV150&gt;$BS150+$BT150*$BT$2,BV150&lt;$BS150-$BT150*$BT$2),AVEDEV(ARRAYFORMULA(XLOOKUP(FILTER(INDIRECT(""'""&amp;BV$1&amp;""'!$C$4:$C$66""),INDIRECT(""'""&amp;BV$1&amp;""'!$D$4:$D$66"")=BV$2),$G$3:$BQ$3,$G150:$BQ150))),"""")"),"")</f>
        <v/>
      </c>
      <c r="BX150" s="207">
        <f>IFERROR(__xludf.DUMMYFUNCTION("AVERAGE(ARRAYFORMULA(XLOOKUP(FILTER(INDIRECT(""'""&amp;BX$1&amp;""'!$C$4:$C$66""),INDIRECT(""'""&amp;BX$1&amp;""'!$D$4:$D$66"")=BX$2),$G$3:$BQ$3,$G150:$BQ150)))"),0.15833333333333335)</f>
        <v>0.1583333333</v>
      </c>
      <c r="BY150" s="207" t="str">
        <f>IFERROR(__xludf.DUMMYFUNCTION("IF(OR(BX150&gt;$BS150+$BT150*$BT$2,BX150&lt;$BS150-$BT150*$BT$2),AVEDEV(ARRAYFORMULA(XLOOKUP(FILTER(INDIRECT(""'""&amp;BX$1&amp;""'!$C$4:$C$66""),INDIRECT(""'""&amp;BX$1&amp;""'!$D$4:$D$66"")=BX$2),$G$3:$BQ$3,$G150:$BQ150))),"""")"),"")</f>
        <v/>
      </c>
      <c r="BZ150" s="207">
        <f>IFERROR(__xludf.DUMMYFUNCTION("AVERAGE(ARRAYFORMULA(XLOOKUP(FILTER(INDIRECT(""'""&amp;BZ$1&amp;""'!$C$4:$C$66""),INDIRECT(""'""&amp;BZ$1&amp;""'!$D$4:$D$66"")=BZ$2),$G$3:$BQ$3,$G150:$BQ150)))"),0.10454545454545454)</f>
        <v>0.1045454545</v>
      </c>
      <c r="CA150" s="207" t="str">
        <f>IFERROR(__xludf.DUMMYFUNCTION("IF(OR(BZ150&gt;$BS150+$BT150*$BT$2,BZ150&lt;$BS150-$BT150*$BT$2),AVEDEV(ARRAYFORMULA(XLOOKUP(FILTER(INDIRECT(""'""&amp;BZ$1&amp;""'!$C$4:$C$66""),INDIRECT(""'""&amp;BZ$1&amp;""'!$D$4:$D$66"")=BZ$2),$G$3:$BQ$3,$G150:$BQ150))),"""")"),"")</f>
        <v/>
      </c>
      <c r="CB150" s="209"/>
      <c r="CC150" s="207">
        <f>IFERROR(__xludf.DUMMYFUNCTION("AVERAGE(ARRAYFORMULA(XLOOKUP(FILTER(INDIRECT(""'""&amp;CC$1&amp;""'!$C$4:$C$66""),INDIRECT(""'""&amp;CC$1&amp;""'!$D$4:$D$66"")=CC$2),$G$3:$BQ$3,$G150:$BQ150)))"),0.3125)</f>
        <v>0.3125</v>
      </c>
      <c r="CD150" s="207" t="str">
        <f>IFERROR(__xludf.DUMMYFUNCTION("IF(OR(CC150&gt;$BS150+$BT150*$BT$2,CC150&lt;$BS150-$BT150*$BT$2),AVEDEV(ARRAYFORMULA(XLOOKUP(FILTER(INDIRECT(""'""&amp;CC$1&amp;""'!$C$4:$C$66""),INDIRECT(""'""&amp;CC$1&amp;""'!$D$4:$D$66"")=CC$2),$G$3:$BQ$3,$G150:$BQ150))),"""")"),"")</f>
        <v/>
      </c>
      <c r="CE150" s="207">
        <f>IFERROR(__xludf.DUMMYFUNCTION("AVERAGE(ARRAYFORMULA(XLOOKUP(FILTER(INDIRECT(""'""&amp;CE$1&amp;""'!$C$4:$C$66""),INDIRECT(""'""&amp;CE$1&amp;""'!$D$4:$D$66"")=CE$2),$G$3:$BQ$3,$G150:$BQ150)))"),0.06451612903225806)</f>
        <v>0.06451612903</v>
      </c>
      <c r="CF150" s="207" t="str">
        <f>IFERROR(__xludf.DUMMYFUNCTION("IF(OR(CE150&gt;$BS150+$BT150*$BT$2,CE150&lt;$BS150-$BT150*$BT$2),AVEDEV(ARRAYFORMULA(XLOOKUP(FILTER(INDIRECT(""'""&amp;CE$1&amp;""'!$C$4:$C$66""),INDIRECT(""'""&amp;CE$1&amp;""'!$D$4:$D$66"")=CE$2),$G$3:$BQ$3,$G150:$BQ150))),"""")"),"")</f>
        <v/>
      </c>
      <c r="CG150" s="207">
        <f>IFERROR(__xludf.DUMMYFUNCTION("AVERAGE(ARRAYFORMULA(XLOOKUP(FILTER(INDIRECT(""'""&amp;CG$1&amp;""'!$C$4:$C$66""),INDIRECT(""'""&amp;CG$1&amp;""'!$D$4:$D$66"")=CG$2),$G$3:$BQ$3,$G150:$BQ150)))"),-0.64)</f>
        <v>-0.64</v>
      </c>
      <c r="CH150" s="207" t="str">
        <f>IFERROR(__xludf.DUMMYFUNCTION("IF(OR(CG150&gt;$BS150+$BT150*$BT$2,CG150&lt;$BS150-$BT150*$BT$2),AVEDEV(ARRAYFORMULA(XLOOKUP(FILTER(INDIRECT(""'""&amp;CG$1&amp;""'!$C$4:$C$66""),INDIRECT(""'""&amp;CG$1&amp;""'!$D$4:$D$66"")=CG$2),$G$3:$BQ$3,$G150:$BQ150))),"""")"),"")</f>
        <v/>
      </c>
      <c r="CI150" s="206"/>
      <c r="CJ150" s="251">
        <f>IFERROR(__xludf.DUMMYFUNCTION("AVERAGE(ARRAYFORMULA(XLOOKUP(FILTER(INDIRECT(""'""&amp;CJ$1&amp;""'!$C$4:$C$66""),INDIRECT(""'""&amp;CJ$1&amp;""'!$D$4:$D$66"")=CJ$2),$G$3:$BQ$3,$G150:$BQ150)))"),0.05333333333333333)</f>
        <v>0.05333333333</v>
      </c>
      <c r="CK150" s="207" t="str">
        <f>IFERROR(__xludf.DUMMYFUNCTION("IF(OR(CJ150&gt;$BS150+$BT150*$BT$2,CJ150&lt;$BS150-$BT150*$BT$2),AVEDEV(ARRAYFORMULA(XLOOKUP(FILTER(INDIRECT(""'""&amp;CJ$1&amp;""'!$C$4:$C$66""),INDIRECT(""'""&amp;CJ$1&amp;""'!$D$4:$D$66"")=CJ$2),$G$3:$BQ$3,$G150:$BQ150))),"""")"),"")</f>
        <v/>
      </c>
      <c r="CL150" s="251">
        <f>IFERROR(__xludf.DUMMYFUNCTION("AVERAGE(ARRAYFORMULA(XLOOKUP(FILTER(INDIRECT(""'""&amp;CL$1&amp;""'!$C$4:$C$66""),INDIRECT(""'""&amp;CL$1&amp;""'!$D$4:$D$66"")=CL$2),$G$3:$BQ$3,$G150:$BQ150)))"),0.3384615384615384)</f>
        <v>0.3384615385</v>
      </c>
      <c r="CM150" s="207" t="str">
        <f>IFERROR(__xludf.DUMMYFUNCTION("IF(OR(CL150&gt;$BS150+$BT150*$BT$2,CL150&lt;$BS150-$BT150*$BT$2),AVEDEV(ARRAYFORMULA(XLOOKUP(FILTER(INDIRECT(""'""&amp;CL$1&amp;""'!$C$4:$C$66""),INDIRECT(""'""&amp;CL$1&amp;""'!$D$4:$D$66"")=CL$2),$G$3:$BQ$3,$G150:$BQ150))),"""")"),"")</f>
        <v/>
      </c>
      <c r="CN150" s="251">
        <f>IFERROR(__xludf.DUMMYFUNCTION("AVERAGE(ARRAYFORMULA(XLOOKUP(FILTER(INDIRECT(""'""&amp;CN$1&amp;""'!$C$4:$C$66""),INDIRECT(""'""&amp;CN$1&amp;""'!$D$4:$D$66"")=CN$2),$G$3:$BQ$3,$G150:$BQ150)))"),-0.64)</f>
        <v>-0.64</v>
      </c>
      <c r="CO150" s="207" t="str">
        <f>IFERROR(__xludf.DUMMYFUNCTION("IF(OR(CN150&gt;$BS150+$BT150*$BT$2,CN150&lt;$BS150-$BT150*$BT$2),AVEDEV(ARRAYFORMULA(XLOOKUP(FILTER(INDIRECT(""'""&amp;CN$1&amp;""'!$C$4:$C$66""),INDIRECT(""'""&amp;CN$1&amp;""'!$D$4:$D$66"")=CN$2),$G$3:$BQ$3,$G150:$BQ150))),"""")"),"")</f>
        <v/>
      </c>
      <c r="CP150" s="252"/>
      <c r="CQ150" s="251">
        <f>IFERROR(__xludf.DUMMYFUNCTION("AVERAGE(ARRAYFORMULA(XLOOKUP(FILTER(INDIRECT(""'""&amp;CQ$1&amp;""'!$C$4:$C$66""),INDIRECT(""'""&amp;CQ$1&amp;""'!$D$4:$D$66"")=CQ$2),$G$3:$BQ$3,$G150:$BQ150)))"),0.5)</f>
        <v>0.5</v>
      </c>
      <c r="CR150" s="207" t="str">
        <f>IFERROR(__xludf.DUMMYFUNCTION("IF(OR(CQ150&gt;$BS150+$BT150*$BT$2,CQ150&lt;$BS150-$BT150*$BT$2),AVEDEV(ARRAYFORMULA(XLOOKUP(FILTER(INDIRECT(""'""&amp;CQ$1&amp;""'!$C$4:$C$66""),INDIRECT(""'""&amp;CQ$1&amp;""'!$D$4:$D$66"")=CQ$2),$G$3:$BQ$3,$G150:$BQ150))),"""")"),"")</f>
        <v/>
      </c>
      <c r="CS150" s="251">
        <f>IFERROR(__xludf.DUMMYFUNCTION("AVERAGE(ARRAYFORMULA(XLOOKUP(FILTER(INDIRECT(""'""&amp;CS$1&amp;""'!$C$4:$C$66""),INDIRECT(""'""&amp;CS$1&amp;""'!$D$4:$D$66"")=CS$2),$G$3:$BQ$3,$G150:$BQ150)))"),-0.20555555555555557)</f>
        <v>-0.2055555556</v>
      </c>
      <c r="CT150" s="207" t="str">
        <f>IFERROR(__xludf.DUMMYFUNCTION("IF(OR(CS150&gt;$BS150+$BT150*$BT$2,CS150&lt;$BS150-$BT150*$BT$2),AVEDEV(ARRAYFORMULA(XLOOKUP(FILTER(INDIRECT(""'""&amp;CS$1&amp;""'!$C$4:$C$66""),INDIRECT(""'""&amp;CS$1&amp;""'!$D$4:$D$66"")=CS$2),$G$3:$BQ$3,$G150:$BQ150))),"""")"),"")</f>
        <v/>
      </c>
      <c r="CU150" s="251">
        <f>IFERROR(__xludf.DUMMYFUNCTION("AVERAGE(ARRAYFORMULA(XLOOKUP(FILTER(INDIRECT(""'""&amp;CU$1&amp;""'!$C$4:$C$66""),INDIRECT(""'""&amp;CU$1&amp;""'!$D$4:$D$66"")=CU$2),$G$3:$BQ$3,$G150:$BQ150)))"),0.34545454545454546)</f>
        <v>0.3454545455</v>
      </c>
      <c r="CV150" s="207" t="str">
        <f>IFERROR(__xludf.DUMMYFUNCTION("IF(OR(CU150&gt;$BS150+$BT150*$BT$2,CU150&lt;$BS150-$BT150*$BT$2),AVEDEV(ARRAYFORMULA(XLOOKUP(FILTER(INDIRECT(""'""&amp;CU$1&amp;""'!$C$4:$C$66""),INDIRECT(""'""&amp;CU$1&amp;""'!$D$4:$D$66"")=CU$2),$G$3:$BQ$3,$G150:$BQ150))),"""")"),"")</f>
        <v/>
      </c>
      <c r="CW150" s="251">
        <f>IFERROR(__xludf.DUMMYFUNCTION("AVERAGE(ARRAYFORMULA(XLOOKUP(FILTER(INDIRECT(""'""&amp;CW$1&amp;""'!$C$4:$C$66""),INDIRECT(""'""&amp;CW$1&amp;""'!$D$4:$D$66"")=CW$2),$G$3:$BQ$3,$G150:$BQ150)))"),-0.6)</f>
        <v>-0.6</v>
      </c>
      <c r="CX150" s="207" t="str">
        <f>IFERROR(__xludf.DUMMYFUNCTION("IF(OR(CW150&gt;$BS150+$BT150*$BT$2,CW150&lt;$BS150-$BT150*$BT$2),AVEDEV(ARRAYFORMULA(XLOOKUP(FILTER(INDIRECT(""'""&amp;CW$1&amp;""'!$C$4:$C$66""),INDIRECT(""'""&amp;CW$1&amp;""'!$D$4:$D$66"")=CW$2),$G$3:$BQ$3,$G150:$BQ150))),"""")"),"")</f>
        <v/>
      </c>
      <c r="CY150" s="251">
        <f>IFERROR(__xludf.DUMMYFUNCTION("AVERAGE(ARRAYFORMULA(XLOOKUP(FILTER(INDIRECT(""'""&amp;CY$1&amp;""'!$C$4:$C$66""),INDIRECT(""'""&amp;CY$1&amp;""'!$D$4:$D$66"")=CY$2),$G$3:$BQ$3,$G150:$BQ150)))"),0.07499999999999998)</f>
        <v>0.075</v>
      </c>
      <c r="CZ150" s="207" t="str">
        <f>IFERROR(__xludf.DUMMYFUNCTION("IF(OR(CY150&gt;$BS150+$BT150*$BT$2,CY150&lt;$BS150-$BT150*$BT$2),AVEDEV(ARRAYFORMULA(XLOOKUP(FILTER(INDIRECT(""'""&amp;CY$1&amp;""'!$C$4:$C$66""),INDIRECT(""'""&amp;CY$1&amp;""'!$D$4:$D$66"")=CY$2),$G$3:$BQ$3,$G150:$BQ150))),"""")"),"")</f>
        <v/>
      </c>
      <c r="DA150" s="252"/>
      <c r="DB150" s="251">
        <f>IFERROR(__xludf.DUMMYFUNCTION("AVERAGE(ARRAYFORMULA(XLOOKUP(FILTER(INDIRECT(""'""&amp;DB$1&amp;""'!$C$4:$C$66""),INDIRECT(""'""&amp;DB$1&amp;""'!$D$4:$D$66"")=DB$2),$G$3:$BQ$3,$G150:$BQ150)))"),0.3483333333333334)</f>
        <v>0.3483333333</v>
      </c>
      <c r="DC150" s="207" t="str">
        <f>IFERROR(__xludf.DUMMYFUNCTION("IF(OR(DB150&gt;$BS150+$BT150*$BT$2,DB150&lt;$BS150-$BT150*$BT$2),AVEDEV(ARRAYFORMULA(XLOOKUP(FILTER(INDIRECT(""'""&amp;DB$1&amp;""'!$C$4:$C$66""),INDIRECT(""'""&amp;DB$1&amp;""'!$D$4:$D$66"")=DB$2),$G$3:$BQ$3,$G150:$BQ150))),"""")"),"")</f>
        <v/>
      </c>
      <c r="DD150" s="251">
        <f>IFERROR(__xludf.DUMMYFUNCTION("AVERAGE(ARRAYFORMULA(XLOOKUP(FILTER(INDIRECT(""'""&amp;DD$1&amp;""'!$C$4:$C$66""),INDIRECT(""'""&amp;DD$1&amp;""'!$D$4:$D$66"")=DD$2),$G$3:$BQ$3,$G150:$BQ150)))"),0.12777777777777777)</f>
        <v>0.1277777778</v>
      </c>
      <c r="DE150" s="207" t="str">
        <f>IFERROR(__xludf.DUMMYFUNCTION("IF(OR(DD150&gt;$BS150+$BT150*$BT$2,DD150&lt;$BS150-$BT150*$BT$2),AVEDEV(ARRAYFORMULA(XLOOKUP(FILTER(INDIRECT(""'""&amp;DD$1&amp;""'!$C$4:$C$66""),INDIRECT(""'""&amp;DD$1&amp;""'!$D$4:$D$66"")=DD$2),$G$3:$BQ$3,$G150:$BQ150))),"""")"),"")</f>
        <v/>
      </c>
      <c r="DF150" s="251">
        <f>IFERROR(__xludf.DUMMYFUNCTION("AVERAGE(ARRAYFORMULA(XLOOKUP(FILTER(INDIRECT(""'""&amp;DF$1&amp;""'!$C$4:$C$66""),INDIRECT(""'""&amp;DF$1&amp;""'!$D$4:$D$66"")=DF$2),$G$3:$BQ$3,$G150:$BQ150)))"),-0.2)</f>
        <v>-0.2</v>
      </c>
      <c r="DG150" s="207" t="str">
        <f>IFERROR(__xludf.DUMMYFUNCTION("IF(OR(DF150&gt;$BS150+$BT150*$BT$2,DF150&lt;$BS150-$BT150*$BT$2),AVEDEV(ARRAYFORMULA(XLOOKUP(FILTER(INDIRECT(""'""&amp;DF$1&amp;""'!$C$4:$C$66""),INDIRECT(""'""&amp;DF$1&amp;""'!$D$4:$D$66"")=DF$2),$G$3:$BQ$3,$G150:$BQ150))),"""")"),"")</f>
        <v/>
      </c>
      <c r="DH150" s="251">
        <f>IFERROR(__xludf.DUMMYFUNCTION("AVERAGE(ARRAYFORMULA(XLOOKUP(FILTER(INDIRECT(""'""&amp;DH$1&amp;""'!$C$4:$C$66""),INDIRECT(""'""&amp;DH$1&amp;""'!$D$4:$D$66"")=DH$2),$G$3:$BQ$3,$G150:$BQ150)))"),-0.35555555555555557)</f>
        <v>-0.3555555556</v>
      </c>
      <c r="DI150" s="207" t="str">
        <f>IFERROR(__xludf.DUMMYFUNCTION("IF(OR(DH150&gt;$BS150+$BT150*$BT$2,DH150&lt;$BS150-$BT150*$BT$2),AVEDEV(ARRAYFORMULA(XLOOKUP(FILTER(INDIRECT(""'""&amp;DH$1&amp;""'!$C$4:$C$66""),INDIRECT(""'""&amp;DH$1&amp;""'!$D$4:$D$66"")=DH$2),$G$3:$BQ$3,$G150:$BQ150))),"""")"),"")</f>
        <v/>
      </c>
      <c r="DJ150" s="243"/>
    </row>
    <row r="151">
      <c r="A151" s="2"/>
      <c r="B151" s="204">
        <v>147.0</v>
      </c>
      <c r="C151" s="204" t="s">
        <v>540</v>
      </c>
      <c r="D151" s="204" t="s">
        <v>593</v>
      </c>
      <c r="E151" s="205" t="b">
        <f>VLOOKUP(D151,'Feature Set List'!A148:C246,2,0)</f>
        <v>1</v>
      </c>
      <c r="F151" s="205" t="b">
        <f>VLOOKUP(D151,'Feature Set List'!A148:C246,3,0)</f>
        <v>0</v>
      </c>
      <c r="G151" s="205">
        <v>0.0</v>
      </c>
      <c r="H151" s="205">
        <v>1.0</v>
      </c>
      <c r="I151" s="205">
        <v>3.0</v>
      </c>
      <c r="J151" s="205">
        <v>0.0</v>
      </c>
      <c r="K151" s="205">
        <v>0.0</v>
      </c>
      <c r="L151" s="205">
        <v>0.0</v>
      </c>
      <c r="M151" s="205">
        <v>0.95</v>
      </c>
      <c r="N151" s="205">
        <v>1.0</v>
      </c>
      <c r="O151" s="205">
        <v>0.0</v>
      </c>
      <c r="P151" s="205">
        <v>-0.6</v>
      </c>
      <c r="Q151" s="205">
        <v>0.0</v>
      </c>
      <c r="R151" s="205">
        <v>0.0</v>
      </c>
      <c r="S151" s="205">
        <v>1.0</v>
      </c>
      <c r="T151" s="205">
        <v>0.0</v>
      </c>
      <c r="U151" s="205">
        <v>0.0</v>
      </c>
      <c r="V151" s="205">
        <v>1.0</v>
      </c>
      <c r="W151" s="205">
        <v>-0.6</v>
      </c>
      <c r="X151" s="205">
        <v>3.0</v>
      </c>
      <c r="Y151" s="205">
        <v>0.0</v>
      </c>
      <c r="Z151" s="205">
        <v>1.0</v>
      </c>
      <c r="AA151" s="205">
        <v>-0.6</v>
      </c>
      <c r="AB151" s="205">
        <v>0.0</v>
      </c>
      <c r="AC151" s="205">
        <v>-0.6</v>
      </c>
      <c r="AD151" s="205">
        <v>0.334</v>
      </c>
      <c r="AE151" s="205">
        <v>3.0</v>
      </c>
      <c r="AF151" s="205">
        <v>0.0</v>
      </c>
      <c r="AG151" s="205">
        <v>-0.334</v>
      </c>
      <c r="AH151" s="205">
        <v>0.0</v>
      </c>
      <c r="AI151" s="205">
        <v>1.0</v>
      </c>
      <c r="AJ151" s="205">
        <v>0.0</v>
      </c>
      <c r="AK151" s="205">
        <v>0.966</v>
      </c>
      <c r="AL151" s="205">
        <v>0.0</v>
      </c>
      <c r="AM151" s="205">
        <v>0.0</v>
      </c>
      <c r="AN151" s="205">
        <v>-0.6</v>
      </c>
      <c r="AO151" s="205">
        <v>1.0</v>
      </c>
      <c r="AP151" s="205">
        <v>1.0</v>
      </c>
      <c r="AQ151" s="205">
        <v>1.0</v>
      </c>
      <c r="AR151" s="205">
        <v>1.0</v>
      </c>
      <c r="AS151" s="205">
        <v>0.0</v>
      </c>
      <c r="AT151" s="205">
        <v>1.0</v>
      </c>
      <c r="AU151" s="205">
        <v>0.0</v>
      </c>
      <c r="AV151" s="205">
        <v>1.0</v>
      </c>
      <c r="AW151" s="205">
        <v>0.0</v>
      </c>
      <c r="AX151" s="205">
        <v>1.0</v>
      </c>
      <c r="AY151" s="205">
        <v>2.95</v>
      </c>
      <c r="AZ151" s="205">
        <v>1.0</v>
      </c>
      <c r="BA151" s="205">
        <v>-0.6</v>
      </c>
      <c r="BB151" s="205">
        <v>0.0</v>
      </c>
      <c r="BC151" s="205">
        <v>-0.6</v>
      </c>
      <c r="BD151" s="205">
        <v>-0.75</v>
      </c>
      <c r="BE151" s="205">
        <v>0.0</v>
      </c>
      <c r="BF151" s="205">
        <v>1.0</v>
      </c>
      <c r="BG151" s="205">
        <v>0.0</v>
      </c>
      <c r="BH151" s="205">
        <v>0.334</v>
      </c>
      <c r="BI151" s="205">
        <v>0.0</v>
      </c>
      <c r="BJ151" s="205">
        <v>-0.6</v>
      </c>
      <c r="BK151" s="205">
        <v>1.0</v>
      </c>
      <c r="BL151" s="205">
        <v>-0.5</v>
      </c>
      <c r="BM151" s="205">
        <v>0.0</v>
      </c>
      <c r="BN151" s="205">
        <v>0.0</v>
      </c>
      <c r="BO151" s="205">
        <v>0.0</v>
      </c>
      <c r="BP151" s="205">
        <v>1.05</v>
      </c>
      <c r="BQ151" s="205">
        <v>0.0</v>
      </c>
      <c r="BR151" s="206"/>
      <c r="BS151" s="250">
        <f t="shared" si="1"/>
        <v>0.4</v>
      </c>
      <c r="BT151" s="250">
        <f t="shared" si="2"/>
        <v>0.6893968254</v>
      </c>
      <c r="BU151" s="206"/>
      <c r="BV151" s="207">
        <f>IFERROR(__xludf.DUMMYFUNCTION("AVERAGE(ARRAYFORMULA(XLOOKUP(FILTER(INDIRECT(""'""&amp;BV$1&amp;""'!$C$4:$C$66""),INDIRECT(""'""&amp;BV$1&amp;""'!$D$4:$D$66"")=BV$2),$G$3:$BQ$3,$G151:$BQ151)))"),0.9214285714285715)</f>
        <v>0.9214285714</v>
      </c>
      <c r="BW151" s="207" t="str">
        <f>IFERROR(__xludf.DUMMYFUNCTION("IF(OR(BV151&gt;$BS151+$BT151*$BT$2,BV151&lt;$BS151-$BT151*$BT$2),AVEDEV(ARRAYFORMULA(XLOOKUP(FILTER(INDIRECT(""'""&amp;BV$1&amp;""'!$C$4:$C$66""),INDIRECT(""'""&amp;BV$1&amp;""'!$D$4:$D$66"")=BV$2),$G$3:$BQ$3,$G151:$BQ151))),"""")"),"")</f>
        <v/>
      </c>
      <c r="BX151" s="207">
        <f>IFERROR(__xludf.DUMMYFUNCTION("AVERAGE(ARRAYFORMULA(XLOOKUP(FILTER(INDIRECT(""'""&amp;BX$1&amp;""'!$C$4:$C$66""),INDIRECT(""'""&amp;BX$1&amp;""'!$D$4:$D$66"")=BX$2),$G$3:$BQ$3,$G151:$BQ151)))"),0.38928571428571423)</f>
        <v>0.3892857143</v>
      </c>
      <c r="BY151" s="207" t="str">
        <f>IFERROR(__xludf.DUMMYFUNCTION("IF(OR(BX151&gt;$BS151+$BT151*$BT$2,BX151&lt;$BS151-$BT151*$BT$2),AVEDEV(ARRAYFORMULA(XLOOKUP(FILTER(INDIRECT(""'""&amp;BX$1&amp;""'!$C$4:$C$66""),INDIRECT(""'""&amp;BX$1&amp;""'!$D$4:$D$66"")=BX$2),$G$3:$BQ$3,$G151:$BQ151))),"""")"),"")</f>
        <v/>
      </c>
      <c r="BZ151" s="207">
        <f>IFERROR(__xludf.DUMMYFUNCTION("AVERAGE(ARRAYFORMULA(XLOOKUP(FILTER(INDIRECT(""'""&amp;BZ$1&amp;""'!$C$4:$C$66""),INDIRECT(""'""&amp;BZ$1&amp;""'!$D$4:$D$66"")=BZ$2),$G$3:$BQ$3,$G151:$BQ151)))"),0.01363636363636364)</f>
        <v>0.01363636364</v>
      </c>
      <c r="CA151" s="207" t="str">
        <f>IFERROR(__xludf.DUMMYFUNCTION("IF(OR(BZ151&gt;$BS151+$BT151*$BT$2,BZ151&lt;$BS151-$BT151*$BT$2),AVEDEV(ARRAYFORMULA(XLOOKUP(FILTER(INDIRECT(""'""&amp;BZ$1&amp;""'!$C$4:$C$66""),INDIRECT(""'""&amp;BZ$1&amp;""'!$D$4:$D$66"")=BZ$2),$G$3:$BQ$3,$G151:$BQ151))),"""")"),"")</f>
        <v/>
      </c>
      <c r="CB151" s="209"/>
      <c r="CC151" s="207">
        <f>IFERROR(__xludf.DUMMYFUNCTION("AVERAGE(ARRAYFORMULA(XLOOKUP(FILTER(INDIRECT(""'""&amp;CC$1&amp;""'!$C$4:$C$66""),INDIRECT(""'""&amp;CC$1&amp;""'!$D$4:$D$66"")=CC$2),$G$3:$BQ$3,$G151:$BQ151)))"),0.7270000000000001)</f>
        <v>0.727</v>
      </c>
      <c r="CD151" s="207" t="str">
        <f>IFERROR(__xludf.DUMMYFUNCTION("IF(OR(CC151&gt;$BS151+$BT151*$BT$2,CC151&lt;$BS151-$BT151*$BT$2),AVEDEV(ARRAYFORMULA(XLOOKUP(FILTER(INDIRECT(""'""&amp;CC$1&amp;""'!$C$4:$C$66""),INDIRECT(""'""&amp;CC$1&amp;""'!$D$4:$D$66"")=CC$2),$G$3:$BQ$3,$G151:$BQ151))),"""")"),"")</f>
        <v/>
      </c>
      <c r="CE151" s="207">
        <f>IFERROR(__xludf.DUMMYFUNCTION("AVERAGE(ARRAYFORMULA(XLOOKUP(FILTER(INDIRECT(""'""&amp;CE$1&amp;""'!$C$4:$C$66""),INDIRECT(""'""&amp;CE$1&amp;""'!$D$4:$D$66"")=CE$2),$G$3:$BQ$3,$G151:$BQ151)))"),0.22638709677419358)</f>
        <v>0.2263870968</v>
      </c>
      <c r="CF151" s="207" t="str">
        <f>IFERROR(__xludf.DUMMYFUNCTION("IF(OR(CE151&gt;$BS151+$BT151*$BT$2,CE151&lt;$BS151-$BT151*$BT$2),AVEDEV(ARRAYFORMULA(XLOOKUP(FILTER(INDIRECT(""'""&amp;CE$1&amp;""'!$C$4:$C$66""),INDIRECT(""'""&amp;CE$1&amp;""'!$D$4:$D$66"")=CE$2),$G$3:$BQ$3,$G151:$BQ151))),"""")"),"")</f>
        <v/>
      </c>
      <c r="CG151" s="207">
        <f>IFERROR(__xludf.DUMMYFUNCTION("AVERAGE(ARRAYFORMULA(XLOOKUP(FILTER(INDIRECT(""'""&amp;CG$1&amp;""'!$C$4:$C$66""),INDIRECT(""'""&amp;CG$1&amp;""'!$D$4:$D$66"")=CG$2),$G$3:$BQ$3,$G151:$BQ151)))"),-0.24)</f>
        <v>-0.24</v>
      </c>
      <c r="CH151" s="207" t="str">
        <f>IFERROR(__xludf.DUMMYFUNCTION("IF(OR(CG151&gt;$BS151+$BT151*$BT$2,CG151&lt;$BS151-$BT151*$BT$2),AVEDEV(ARRAYFORMULA(XLOOKUP(FILTER(INDIRECT(""'""&amp;CG$1&amp;""'!$C$4:$C$66""),INDIRECT(""'""&amp;CG$1&amp;""'!$D$4:$D$66"")=CG$2),$G$3:$BQ$3,$G151:$BQ151))),"""")"),"")</f>
        <v/>
      </c>
      <c r="CI151" s="206"/>
      <c r="CJ151" s="251">
        <f>IFERROR(__xludf.DUMMYFUNCTION("AVERAGE(ARRAYFORMULA(XLOOKUP(FILTER(INDIRECT(""'""&amp;CJ$1&amp;""'!$C$4:$C$66""),INDIRECT(""'""&amp;CJ$1&amp;""'!$D$4:$D$66"")=CJ$2),$G$3:$BQ$3,$G151:$BQ151)))"),0.45333333333333337)</f>
        <v>0.4533333333</v>
      </c>
      <c r="CK151" s="207" t="str">
        <f>IFERROR(__xludf.DUMMYFUNCTION("IF(OR(CJ151&gt;$BS151+$BT151*$BT$2,CJ151&lt;$BS151-$BT151*$BT$2),AVEDEV(ARRAYFORMULA(XLOOKUP(FILTER(INDIRECT(""'""&amp;CJ$1&amp;""'!$C$4:$C$66""),INDIRECT(""'""&amp;CJ$1&amp;""'!$D$4:$D$66"")=CJ$2),$G$3:$BQ$3,$G151:$BQ151))),"""")"),"")</f>
        <v/>
      </c>
      <c r="CL151" s="251">
        <f>IFERROR(__xludf.DUMMYFUNCTION("AVERAGE(ARRAYFORMULA(XLOOKUP(FILTER(INDIRECT(""'""&amp;CL$1&amp;""'!$C$4:$C$66""),INDIRECT(""'""&amp;CL$1&amp;""'!$D$4:$D$66"")=CL$2),$G$3:$BQ$3,$G151:$BQ151)))"),0.4576923076923076)</f>
        <v>0.4576923077</v>
      </c>
      <c r="CM151" s="207" t="str">
        <f>IFERROR(__xludf.DUMMYFUNCTION("IF(OR(CL151&gt;$BS151+$BT151*$BT$2,CL151&lt;$BS151-$BT151*$BT$2),AVEDEV(ARRAYFORMULA(XLOOKUP(FILTER(INDIRECT(""'""&amp;CL$1&amp;""'!$C$4:$C$66""),INDIRECT(""'""&amp;CL$1&amp;""'!$D$4:$D$66"")=CL$2),$G$3:$BQ$3,$G151:$BQ151))),"""")"),"")</f>
        <v/>
      </c>
      <c r="CN151" s="251">
        <f>IFERROR(__xludf.DUMMYFUNCTION("AVERAGE(ARRAYFORMULA(XLOOKUP(FILTER(INDIRECT(""'""&amp;CN$1&amp;""'!$C$4:$C$66""),INDIRECT(""'""&amp;CN$1&amp;""'!$D$4:$D$66"")=CN$2),$G$3:$BQ$3,$G151:$BQ151)))"),-0.24)</f>
        <v>-0.24</v>
      </c>
      <c r="CO151" s="207" t="str">
        <f>IFERROR(__xludf.DUMMYFUNCTION("IF(OR(CN151&gt;$BS151+$BT151*$BT$2,CN151&lt;$BS151-$BT151*$BT$2),AVEDEV(ARRAYFORMULA(XLOOKUP(FILTER(INDIRECT(""'""&amp;CN$1&amp;""'!$C$4:$C$66""),INDIRECT(""'""&amp;CN$1&amp;""'!$D$4:$D$66"")=CN$2),$G$3:$BQ$3,$G151:$BQ151))),"""")"),"")</f>
        <v/>
      </c>
      <c r="CP151" s="252"/>
      <c r="CQ151" s="251">
        <f>IFERROR(__xludf.DUMMYFUNCTION("AVERAGE(ARRAYFORMULA(XLOOKUP(FILTER(INDIRECT(""'""&amp;CQ$1&amp;""'!$C$4:$C$66""),INDIRECT(""'""&amp;CQ$1&amp;""'!$D$4:$D$66"")=CQ$2),$G$3:$BQ$3,$G151:$BQ151)))"),0.830857142857143)</f>
        <v>0.8308571429</v>
      </c>
      <c r="CR151" s="207" t="str">
        <f>IFERROR(__xludf.DUMMYFUNCTION("IF(OR(CQ151&gt;$BS151+$BT151*$BT$2,CQ151&lt;$BS151-$BT151*$BT$2),AVEDEV(ARRAYFORMULA(XLOOKUP(FILTER(INDIRECT(""'""&amp;CQ$1&amp;""'!$C$4:$C$66""),INDIRECT(""'""&amp;CQ$1&amp;""'!$D$4:$D$66"")=CQ$2),$G$3:$BQ$3,$G151:$BQ151))),"""")"),"")</f>
        <v/>
      </c>
      <c r="CS151" s="251">
        <f>IFERROR(__xludf.DUMMYFUNCTION("AVERAGE(ARRAYFORMULA(XLOOKUP(FILTER(INDIRECT(""'""&amp;CS$1&amp;""'!$C$4:$C$66""),INDIRECT(""'""&amp;CS$1&amp;""'!$D$4:$D$66"")=CS$2),$G$3:$BQ$3,$G151:$BQ151)))"),-0.09444444444444444)</f>
        <v>-0.09444444444</v>
      </c>
      <c r="CT151" s="207" t="str">
        <f>IFERROR(__xludf.DUMMYFUNCTION("IF(OR(CS151&gt;$BS151+$BT151*$BT$2,CS151&lt;$BS151-$BT151*$BT$2),AVEDEV(ARRAYFORMULA(XLOOKUP(FILTER(INDIRECT(""'""&amp;CS$1&amp;""'!$C$4:$C$66""),INDIRECT(""'""&amp;CS$1&amp;""'!$D$4:$D$66"")=CS$2),$G$3:$BQ$3,$G151:$BQ151))),"""")"),"")</f>
        <v/>
      </c>
      <c r="CU151" s="251">
        <f>IFERROR(__xludf.DUMMYFUNCTION("AVERAGE(ARRAYFORMULA(XLOOKUP(FILTER(INDIRECT(""'""&amp;CU$1&amp;""'!$C$4:$C$66""),INDIRECT(""'""&amp;CU$1&amp;""'!$D$4:$D$66"")=CU$2),$G$3:$BQ$3,$G151:$BQ151)))"),0.2545454545454545)</f>
        <v>0.2545454545</v>
      </c>
      <c r="CV151" s="207" t="str">
        <f>IFERROR(__xludf.DUMMYFUNCTION("IF(OR(CU151&gt;$BS151+$BT151*$BT$2,CU151&lt;$BS151-$BT151*$BT$2),AVEDEV(ARRAYFORMULA(XLOOKUP(FILTER(INDIRECT(""'""&amp;CU$1&amp;""'!$C$4:$C$66""),INDIRECT(""'""&amp;CU$1&amp;""'!$D$4:$D$66"")=CU$2),$G$3:$BQ$3,$G151:$BQ151))),"""")"),"")</f>
        <v/>
      </c>
      <c r="CW151" s="251">
        <f>IFERROR(__xludf.DUMMYFUNCTION("AVERAGE(ARRAYFORMULA(XLOOKUP(FILTER(INDIRECT(""'""&amp;CW$1&amp;""'!$C$4:$C$66""),INDIRECT(""'""&amp;CW$1&amp;""'!$D$4:$D$66"")=CW$2),$G$3:$BQ$3,$G151:$BQ151)))"),0.334)</f>
        <v>0.334</v>
      </c>
      <c r="CX151" s="207" t="str">
        <f>IFERROR(__xludf.DUMMYFUNCTION("IF(OR(CW151&gt;$BS151+$BT151*$BT$2,CW151&lt;$BS151-$BT151*$BT$2),AVEDEV(ARRAYFORMULA(XLOOKUP(FILTER(INDIRECT(""'""&amp;CW$1&amp;""'!$C$4:$C$66""),INDIRECT(""'""&amp;CW$1&amp;""'!$D$4:$D$66"")=CW$2),$G$3:$BQ$3,$G151:$BQ151))),"""")"),"")</f>
        <v/>
      </c>
      <c r="CY151" s="251">
        <f>IFERROR(__xludf.DUMMYFUNCTION("AVERAGE(ARRAYFORMULA(XLOOKUP(FILTER(INDIRECT(""'""&amp;CY$1&amp;""'!$C$4:$C$66""),INDIRECT(""'""&amp;CY$1&amp;""'!$D$4:$D$66"")=CY$2),$G$3:$BQ$3,$G151:$BQ151)))"),0.16071428571428573)</f>
        <v>0.1607142857</v>
      </c>
      <c r="CZ151" s="207" t="str">
        <f>IFERROR(__xludf.DUMMYFUNCTION("IF(OR(CY151&gt;$BS151+$BT151*$BT$2,CY151&lt;$BS151-$BT151*$BT$2),AVEDEV(ARRAYFORMULA(XLOOKUP(FILTER(INDIRECT(""'""&amp;CY$1&amp;""'!$C$4:$C$66""),INDIRECT(""'""&amp;CY$1&amp;""'!$D$4:$D$66"")=CY$2),$G$3:$BQ$3,$G151:$BQ151))),"""")"),"")</f>
        <v/>
      </c>
      <c r="DA151" s="252"/>
      <c r="DB151" s="251">
        <f>IFERROR(__xludf.DUMMYFUNCTION("AVERAGE(ARRAYFORMULA(XLOOKUP(FILTER(INDIRECT(""'""&amp;DB$1&amp;""'!$C$4:$C$66""),INDIRECT(""'""&amp;DB$1&amp;""'!$D$4:$D$66"")=DB$2),$G$3:$BQ$3,$G151:$BQ151)))"),0.44273333333333337)</f>
        <v>0.4427333333</v>
      </c>
      <c r="DC151" s="207" t="str">
        <f>IFERROR(__xludf.DUMMYFUNCTION("IF(OR(DB151&gt;$BS151+$BT151*$BT$2,DB151&lt;$BS151-$BT151*$BT$2),AVEDEV(ARRAYFORMULA(XLOOKUP(FILTER(INDIRECT(""'""&amp;DB$1&amp;""'!$C$4:$C$66""),INDIRECT(""'""&amp;DB$1&amp;""'!$D$4:$D$66"")=DB$2),$G$3:$BQ$3,$G151:$BQ151))),"""")"),"")</f>
        <v/>
      </c>
      <c r="DD151" s="251">
        <f>IFERROR(__xludf.DUMMYFUNCTION("AVERAGE(ARRAYFORMULA(XLOOKUP(FILTER(INDIRECT(""'""&amp;DD$1&amp;""'!$C$4:$C$66""),INDIRECT(""'""&amp;DD$1&amp;""'!$D$4:$D$66"")=DD$2),$G$3:$BQ$3,$G151:$BQ151)))"),0.01666666666666667)</f>
        <v>0.01666666667</v>
      </c>
      <c r="DE151" s="207" t="str">
        <f>IFERROR(__xludf.DUMMYFUNCTION("IF(OR(DD151&gt;$BS151+$BT151*$BT$2,DD151&lt;$BS151-$BT151*$BT$2),AVEDEV(ARRAYFORMULA(XLOOKUP(FILTER(INDIRECT(""'""&amp;DD$1&amp;""'!$C$4:$C$66""),INDIRECT(""'""&amp;DD$1&amp;""'!$D$4:$D$66"")=DD$2),$G$3:$BQ$3,$G151:$BQ151))),"""")"),"")</f>
        <v/>
      </c>
      <c r="DF151" s="251">
        <f>IFERROR(__xludf.DUMMYFUNCTION("AVERAGE(ARRAYFORMULA(XLOOKUP(FILTER(INDIRECT(""'""&amp;DF$1&amp;""'!$C$4:$C$66""),INDIRECT(""'""&amp;DF$1&amp;""'!$D$4:$D$66"")=DF$2),$G$3:$BQ$3,$G151:$BQ151)))"),0.54375)</f>
        <v>0.54375</v>
      </c>
      <c r="DG151" s="207" t="str">
        <f>IFERROR(__xludf.DUMMYFUNCTION("IF(OR(DF151&gt;$BS151+$BT151*$BT$2,DF151&lt;$BS151-$BT151*$BT$2),AVEDEV(ARRAYFORMULA(XLOOKUP(FILTER(INDIRECT(""'""&amp;DF$1&amp;""'!$C$4:$C$66""),INDIRECT(""'""&amp;DF$1&amp;""'!$D$4:$D$66"")=DF$2),$G$3:$BQ$3,$G151:$BQ151))),"""")"),"")</f>
        <v/>
      </c>
      <c r="DH151" s="251">
        <f>IFERROR(__xludf.DUMMYFUNCTION("AVERAGE(ARRAYFORMULA(XLOOKUP(FILTER(INDIRECT(""'""&amp;DH$1&amp;""'!$C$4:$C$66""),INDIRECT(""'""&amp;DH$1&amp;""'!$D$4:$D$66"")=DH$2),$G$3:$BQ$3,$G151:$BQ151)))"),0.07422222222222223)</f>
        <v>0.07422222222</v>
      </c>
      <c r="DI151" s="207" t="str">
        <f>IFERROR(__xludf.DUMMYFUNCTION("IF(OR(DH151&gt;$BS151+$BT151*$BT$2,DH151&lt;$BS151-$BT151*$BT$2),AVEDEV(ARRAYFORMULA(XLOOKUP(FILTER(INDIRECT(""'""&amp;DH$1&amp;""'!$C$4:$C$66""),INDIRECT(""'""&amp;DH$1&amp;""'!$D$4:$D$66"")=DH$2),$G$3:$BQ$3,$G151:$BQ151))),"""")"),"")</f>
        <v/>
      </c>
      <c r="DJ151" s="243"/>
    </row>
    <row r="152">
      <c r="A152" s="2"/>
      <c r="B152" s="204">
        <v>148.0</v>
      </c>
      <c r="C152" s="204" t="s">
        <v>540</v>
      </c>
      <c r="D152" s="204" t="s">
        <v>594</v>
      </c>
      <c r="E152" s="205" t="b">
        <f>VLOOKUP(D152,'Feature Set List'!A149:C246,2,0)</f>
        <v>1</v>
      </c>
      <c r="F152" s="205" t="b">
        <f>VLOOKUP(D152,'Feature Set List'!A149:C246,3,0)</f>
        <v>0</v>
      </c>
      <c r="G152" s="205">
        <v>0.0905874</v>
      </c>
      <c r="H152" s="205">
        <v>0.11464968</v>
      </c>
      <c r="I152" s="205">
        <v>0.03680113</v>
      </c>
      <c r="J152" s="205">
        <v>0.87048832</v>
      </c>
      <c r="K152" s="205">
        <v>-0.7149328</v>
      </c>
      <c r="L152" s="205">
        <v>-0.9452229</v>
      </c>
      <c r="M152" s="205">
        <v>0.06794055</v>
      </c>
      <c r="N152" s="205">
        <v>0.77990092</v>
      </c>
      <c r="O152" s="205">
        <v>-0.4416136</v>
      </c>
      <c r="P152" s="205">
        <v>-0.4911536</v>
      </c>
      <c r="Q152" s="205">
        <v>0.82802548</v>
      </c>
      <c r="R152" s="205">
        <v>-0.3765039</v>
      </c>
      <c r="S152" s="205">
        <v>-0.3481953</v>
      </c>
      <c r="T152" s="205">
        <v>-0.4359519</v>
      </c>
      <c r="U152" s="205">
        <v>-0.2745931</v>
      </c>
      <c r="V152" s="205">
        <v>0.57466384</v>
      </c>
      <c r="W152" s="205">
        <v>-0.6332626</v>
      </c>
      <c r="X152" s="205">
        <v>0.07360226</v>
      </c>
      <c r="Y152" s="205">
        <v>-0.9132343</v>
      </c>
      <c r="Z152" s="205">
        <v>1.3970276</v>
      </c>
      <c r="AA152" s="205">
        <v>-0.2830856</v>
      </c>
      <c r="AB152" s="205">
        <v>-0.4585987</v>
      </c>
      <c r="AC152" s="205">
        <v>-0.2533616</v>
      </c>
      <c r="AD152" s="205">
        <v>0.85491861</v>
      </c>
      <c r="AE152" s="205">
        <v>0.16418967</v>
      </c>
      <c r="AF152" s="205">
        <v>-0.6141543</v>
      </c>
      <c r="AG152" s="205">
        <v>1.00778485</v>
      </c>
      <c r="AH152" s="205">
        <v>0.32271762</v>
      </c>
      <c r="AI152" s="205">
        <v>0.84642604</v>
      </c>
      <c r="AJ152" s="205">
        <v>-0.472753</v>
      </c>
      <c r="AK152" s="205">
        <v>0.66383581</v>
      </c>
      <c r="AL152" s="205">
        <v>0.30997877</v>
      </c>
      <c r="AM152" s="205">
        <v>-0.3142251</v>
      </c>
      <c r="AN152" s="205">
        <v>-0.2208068</v>
      </c>
      <c r="AO152" s="205">
        <v>0.20523708</v>
      </c>
      <c r="AP152" s="205">
        <v>0.97523001</v>
      </c>
      <c r="AQ152" s="205">
        <v>0.61146497</v>
      </c>
      <c r="AR152" s="205">
        <v>1.81599434</v>
      </c>
      <c r="AS152" s="205">
        <v>-0.6294409</v>
      </c>
      <c r="AT152" s="205">
        <v>-0.3354565</v>
      </c>
      <c r="AU152" s="205">
        <v>3.90233546</v>
      </c>
      <c r="AV152" s="205">
        <v>-0.1245577</v>
      </c>
      <c r="AW152" s="205">
        <v>0.90870488</v>
      </c>
      <c r="AX152" s="205">
        <v>0.78131635</v>
      </c>
      <c r="AY152" s="205">
        <v>0.44302902</v>
      </c>
      <c r="AZ152" s="205">
        <v>-0.158528</v>
      </c>
      <c r="BA152" s="205">
        <v>-0.3821656</v>
      </c>
      <c r="BB152" s="205">
        <v>0.98938429</v>
      </c>
      <c r="BC152" s="205">
        <v>0.09624912</v>
      </c>
      <c r="BD152" s="205">
        <v>-1.0682236</v>
      </c>
      <c r="BE152" s="205">
        <v>-0.4317056</v>
      </c>
      <c r="BF152" s="205">
        <v>-0.2929936</v>
      </c>
      <c r="BG152" s="205">
        <v>-0.6111819</v>
      </c>
      <c r="BH152" s="205">
        <v>0.87048832</v>
      </c>
      <c r="BI152" s="205">
        <v>0.0</v>
      </c>
      <c r="BJ152" s="205">
        <v>0.3113942</v>
      </c>
      <c r="BK152" s="205">
        <v>0.54069356</v>
      </c>
      <c r="BL152" s="205">
        <v>-0.2024062</v>
      </c>
      <c r="BM152" s="205">
        <v>-0.2646851</v>
      </c>
      <c r="BN152" s="205">
        <v>-0.9133758</v>
      </c>
      <c r="BO152" s="205">
        <v>-0.3170559</v>
      </c>
      <c r="BP152" s="205">
        <v>0.37791932</v>
      </c>
      <c r="BQ152" s="205">
        <v>-1.0802548</v>
      </c>
      <c r="BR152" s="206"/>
      <c r="BS152" s="250">
        <f t="shared" si="1"/>
        <v>0.1084015741</v>
      </c>
      <c r="BT152" s="250">
        <f t="shared" si="2"/>
        <v>0.5920431137</v>
      </c>
      <c r="BU152" s="206"/>
      <c r="BV152" s="207">
        <f>IFERROR(__xludf.DUMMYFUNCTION("AVERAGE(ARRAYFORMULA(XLOOKUP(FILTER(INDIRECT(""'""&amp;BV$1&amp;""'!$C$4:$C$66""),INDIRECT(""'""&amp;BV$1&amp;""'!$D$4:$D$66"")=BV$2),$G$3:$BQ$3,$G152:$BQ152)))"),0.1146496785714286)</f>
        <v>0.1146496786</v>
      </c>
      <c r="BW152" s="207" t="str">
        <f>IFERROR(__xludf.DUMMYFUNCTION("IF(OR(BV152&gt;$BS152+$BT152*$BT$2,BV152&lt;$BS152-$BT152*$BT$2),AVEDEV(ARRAYFORMULA(XLOOKUP(FILTER(INDIRECT(""'""&amp;BV$1&amp;""'!$C$4:$C$66""),INDIRECT(""'""&amp;BV$1&amp;""'!$D$4:$D$66"")=BV$2),$G$3:$BQ$3,$G152:$BQ152))),"""")"),"")</f>
        <v/>
      </c>
      <c r="BX152" s="207">
        <f>IFERROR(__xludf.DUMMYFUNCTION("AVERAGE(ARRAYFORMULA(XLOOKUP(FILTER(INDIRECT(""'""&amp;BX$1&amp;""'!$C$4:$C$66""),INDIRECT(""'""&amp;BX$1&amp;""'!$D$4:$D$66"")=BX$2),$G$3:$BQ$3,$G152:$BQ152)))"),0.18656354238095238)</f>
        <v>0.1865635424</v>
      </c>
      <c r="BY152" s="207" t="str">
        <f>IFERROR(__xludf.DUMMYFUNCTION("IF(OR(BX152&gt;$BS152+$BT152*$BT$2,BX152&lt;$BS152-$BT152*$BT$2),AVEDEV(ARRAYFORMULA(XLOOKUP(FILTER(INDIRECT(""'""&amp;BX$1&amp;""'!$C$4:$C$66""),INDIRECT(""'""&amp;BX$1&amp;""'!$D$4:$D$66"")=BX$2),$G$3:$BQ$3,$G152:$BQ152))),"""")"),"")</f>
        <v/>
      </c>
      <c r="BZ152" s="207">
        <f>IFERROR(__xludf.DUMMYFUNCTION("AVERAGE(ARRAYFORMULA(XLOOKUP(FILTER(INDIRECT(""'""&amp;BZ$1&amp;""'!$C$4:$C$66""),INDIRECT(""'""&amp;BZ$1&amp;""'!$D$4:$D$66"")=BZ$2),$G$3:$BQ$3,$G152:$BQ152)))"),-0.42543912272727274)</f>
        <v>-0.4254391227</v>
      </c>
      <c r="CA152" s="207" t="str">
        <f>IFERROR(__xludf.DUMMYFUNCTION("IF(OR(BZ152&gt;$BS152+$BT152*$BT$2,BZ152&lt;$BS152-$BT152*$BT$2),AVEDEV(ARRAYFORMULA(XLOOKUP(FILTER(INDIRECT(""'""&amp;BZ$1&amp;""'!$C$4:$C$66""),INDIRECT(""'""&amp;BZ$1&amp;""'!$D$4:$D$66"")=BZ$2),$G$3:$BQ$3,$G152:$BQ152))),"""")"),"")</f>
        <v/>
      </c>
      <c r="CB152" s="209"/>
      <c r="CC152" s="207">
        <f>IFERROR(__xludf.DUMMYFUNCTION("AVERAGE(ARRAYFORMULA(XLOOKUP(FILTER(INDIRECT(""'""&amp;CC$1&amp;""'!$C$4:$C$66""),INDIRECT(""'""&amp;CC$1&amp;""'!$D$4:$D$66"")=CC$2),$G$3:$BQ$3,$G152:$BQ152)))"),0.4305467050000001)</f>
        <v>0.430546705</v>
      </c>
      <c r="CD152" s="207" t="str">
        <f>IFERROR(__xludf.DUMMYFUNCTION("IF(OR(CC152&gt;$BS152+$BT152*$BT$2,CC152&lt;$BS152-$BT152*$BT$2),AVEDEV(ARRAYFORMULA(XLOOKUP(FILTER(INDIRECT(""'""&amp;CC$1&amp;""'!$C$4:$C$66""),INDIRECT(""'""&amp;CC$1&amp;""'!$D$4:$D$66"")=CC$2),$G$3:$BQ$3,$G152:$BQ152))),"""")"),"")</f>
        <v/>
      </c>
      <c r="CE152" s="207">
        <f>IFERROR(__xludf.DUMMYFUNCTION("AVERAGE(ARRAYFORMULA(XLOOKUP(FILTER(INDIRECT(""'""&amp;CE$1&amp;""'!$C$4:$C$66""),INDIRECT(""'""&amp;CE$1&amp;""'!$D$4:$D$66"")=CE$2),$G$3:$BQ$3,$G152:$BQ152)))"),-0.08267927193548388)</f>
        <v>-0.08267927194</v>
      </c>
      <c r="CF152" s="207" t="str">
        <f>IFERROR(__xludf.DUMMYFUNCTION("IF(OR(CE152&gt;$BS152+$BT152*$BT$2,CE152&lt;$BS152-$BT152*$BT$2),AVEDEV(ARRAYFORMULA(XLOOKUP(FILTER(INDIRECT(""'""&amp;CE$1&amp;""'!$C$4:$C$66""),INDIRECT(""'""&amp;CE$1&amp;""'!$D$4:$D$66"")=CE$2),$G$3:$BQ$3,$G152:$BQ152))),"""")"),"")</f>
        <v/>
      </c>
      <c r="CG152" s="207">
        <f>IFERROR(__xludf.DUMMYFUNCTION("AVERAGE(ARRAYFORMULA(XLOOKUP(FILTER(INDIRECT(""'""&amp;CG$1&amp;""'!$C$4:$C$66""),INDIRECT(""'""&amp;CG$1&amp;""'!$D$4:$D$66"")=CG$2),$G$3:$BQ$3,$G152:$BQ152)))"),-0.5099787800000001)</f>
        <v>-0.50997878</v>
      </c>
      <c r="CH152" s="207">
        <f>IFERROR(__xludf.DUMMYFUNCTION("IF(OR(CG152&gt;$BS152+$BT152*$BT$2,CG152&lt;$BS152-$BT152*$BT$2),AVEDEV(ARRAYFORMULA(XLOOKUP(FILTER(INDIRECT(""'""&amp;CG$1&amp;""'!$C$4:$C$66""),INDIRECT(""'""&amp;CG$1&amp;""'!$D$4:$D$66"")=CG$2),$G$3:$BQ$3,$G152:$BQ152))),"""")"),0.08826609599999999)</f>
        <v>0.088266096</v>
      </c>
      <c r="CI152" s="206"/>
      <c r="CJ152" s="251">
        <f>IFERROR(__xludf.DUMMYFUNCTION("AVERAGE(ARRAYFORMULA(XLOOKUP(FILTER(INDIRECT(""'""&amp;CJ$1&amp;""'!$C$4:$C$66""),INDIRECT(""'""&amp;CJ$1&amp;""'!$D$4:$D$66"")=CJ$2),$G$3:$BQ$3,$G152:$BQ152)))"),-0.07409294933333331)</f>
        <v>-0.07409294933</v>
      </c>
      <c r="CK152" s="207" t="str">
        <f>IFERROR(__xludf.DUMMYFUNCTION("IF(OR(CJ152&gt;$BS152+$BT152*$BT$2,CJ152&lt;$BS152-$BT152*$BT$2),AVEDEV(ARRAYFORMULA(XLOOKUP(FILTER(INDIRECT(""'""&amp;CJ$1&amp;""'!$C$4:$C$66""),INDIRECT(""'""&amp;CJ$1&amp;""'!$D$4:$D$66"")=CJ$2),$G$3:$BQ$3,$G152:$BQ152))),"""")"),"")</f>
        <v/>
      </c>
      <c r="CL152" s="251">
        <f>IFERROR(__xludf.DUMMYFUNCTION("AVERAGE(ARRAYFORMULA(XLOOKUP(FILTER(INDIRECT(""'""&amp;CL$1&amp;""'!$C$4:$C$66""),INDIRECT(""'""&amp;CL$1&amp;""'!$D$4:$D$66"")=CL$2),$G$3:$BQ$3,$G152:$BQ152)))"),0.2005661671794872)</f>
        <v>0.2005661672</v>
      </c>
      <c r="CM152" s="207" t="str">
        <f>IFERROR(__xludf.DUMMYFUNCTION("IF(OR(CL152&gt;$BS152+$BT152*$BT$2,CL152&lt;$BS152-$BT152*$BT$2),AVEDEV(ARRAYFORMULA(XLOOKUP(FILTER(INDIRECT(""'""&amp;CL$1&amp;""'!$C$4:$C$66""),INDIRECT(""'""&amp;CL$1&amp;""'!$D$4:$D$66"")=CL$2),$G$3:$BQ$3,$G152:$BQ152))),"""")"),"")</f>
        <v/>
      </c>
      <c r="CN152" s="254">
        <f>IFERROR(__xludf.DUMMYFUNCTION("AVERAGE(ARRAYFORMULA(XLOOKUP(FILTER(INDIRECT(""'""&amp;CN$1&amp;""'!$C$4:$C$66""),INDIRECT(""'""&amp;CN$1&amp;""'!$D$4:$D$66"")=CN$2),$G$3:$BQ$3,$G152:$BQ152)))"),-0.5099787800000001)</f>
        <v>-0.50997878</v>
      </c>
      <c r="CO152" s="207">
        <f>IFERROR(__xludf.DUMMYFUNCTION("IF(OR(CN152&gt;$BS152+$BT152*$BT$2,CN152&lt;$BS152-$BT152*$BT$2),AVEDEV(ARRAYFORMULA(XLOOKUP(FILTER(INDIRECT(""'""&amp;CN$1&amp;""'!$C$4:$C$66""),INDIRECT(""'""&amp;CN$1&amp;""'!$D$4:$D$66"")=CN$2),$G$3:$BQ$3,$G152:$BQ152))),"""")"),0.08826609599999999)</f>
        <v>0.088266096</v>
      </c>
      <c r="CP152" s="252"/>
      <c r="CQ152" s="251">
        <f>IFERROR(__xludf.DUMMYFUNCTION("AVERAGE(ARRAYFORMULA(XLOOKUP(FILTER(INDIRECT(""'""&amp;CQ$1&amp;""'!$C$4:$C$66""),INDIRECT(""'""&amp;CQ$1&amp;""'!$D$4:$D$66"")=CQ$2),$G$3:$BQ$3,$G152:$BQ152)))"),0.5767869800000002)</f>
        <v>0.57678698</v>
      </c>
      <c r="CR152" s="207" t="str">
        <f>IFERROR(__xludf.DUMMYFUNCTION("IF(OR(CQ152&gt;$BS152+$BT152*$BT$2,CQ152&lt;$BS152-$BT152*$BT$2),AVEDEV(ARRAYFORMULA(XLOOKUP(FILTER(INDIRECT(""'""&amp;CQ$1&amp;""'!$C$4:$C$66""),INDIRECT(""'""&amp;CQ$1&amp;""'!$D$4:$D$66"")=CQ$2),$G$3:$BQ$3,$G152:$BQ152))),"""")"),"")</f>
        <v/>
      </c>
      <c r="CS152" s="251">
        <f>IFERROR(__xludf.DUMMYFUNCTION("AVERAGE(ARRAYFORMULA(XLOOKUP(FILTER(INDIRECT(""'""&amp;CS$1&amp;""'!$C$4:$C$66""),INDIRECT(""'""&amp;CS$1&amp;""'!$D$4:$D$66"")=CS$2),$G$3:$BQ$3,$G152:$BQ152)))"),-0.4729574722222222)</f>
        <v>-0.4729574722</v>
      </c>
      <c r="CT152" s="207" t="str">
        <f>IFERROR(__xludf.DUMMYFUNCTION("IF(OR(CS152&gt;$BS152+$BT152*$BT$2,CS152&lt;$BS152-$BT152*$BT$2),AVEDEV(ARRAYFORMULA(XLOOKUP(FILTER(INDIRECT(""'""&amp;CS$1&amp;""'!$C$4:$C$66""),INDIRECT(""'""&amp;CS$1&amp;""'!$D$4:$D$66"")=CS$2),$G$3:$BQ$3,$G152:$BQ152))),"""")"),"")</f>
        <v/>
      </c>
      <c r="CU152" s="251">
        <f>IFERROR(__xludf.DUMMYFUNCTION("AVERAGE(ARRAYFORMULA(XLOOKUP(FILTER(INDIRECT(""'""&amp;CU$1&amp;""'!$C$4:$C$66""),INDIRECT(""'""&amp;CU$1&amp;""'!$D$4:$D$66"")=CU$2),$G$3:$BQ$3,$G152:$BQ152)))"),-0.2619571527272727)</f>
        <v>-0.2619571527</v>
      </c>
      <c r="CV152" s="207" t="str">
        <f>IFERROR(__xludf.DUMMYFUNCTION("IF(OR(CU152&gt;$BS152+$BT152*$BT$2,CU152&lt;$BS152-$BT152*$BT$2),AVEDEV(ARRAYFORMULA(XLOOKUP(FILTER(INDIRECT(""'""&amp;CU$1&amp;""'!$C$4:$C$66""),INDIRECT(""'""&amp;CU$1&amp;""'!$D$4:$D$66"")=CU$2),$G$3:$BQ$3,$G152:$BQ152))),"""")"),"")</f>
        <v/>
      </c>
      <c r="CW152" s="251">
        <f>IFERROR(__xludf.DUMMYFUNCTION("AVERAGE(ARRAYFORMULA(XLOOKUP(FILTER(INDIRECT(""'""&amp;CW$1&amp;""'!$C$4:$C$66""),INDIRECT(""'""&amp;CW$1&amp;""'!$D$4:$D$66"")=CW$2),$G$3:$BQ$3,$G152:$BQ152)))"),0.8627034650000001)</f>
        <v>0.862703465</v>
      </c>
      <c r="CX152" s="207">
        <f>IFERROR(__xludf.DUMMYFUNCTION("IF(OR(CW152&gt;$BS152+$BT152*$BT$2,CW152&lt;$BS152-$BT152*$BT$2),AVEDEV(ARRAYFORMULA(XLOOKUP(FILTER(INDIRECT(""'""&amp;CW$1&amp;""'!$C$4:$C$66""),INDIRECT(""'""&amp;CW$1&amp;""'!$D$4:$D$66"")=CW$2),$G$3:$BQ$3,$G152:$BQ152))),"""")"),0.007784854999999979)</f>
        <v>0.007784855</v>
      </c>
      <c r="CY152" s="254">
        <f>IFERROR(__xludf.DUMMYFUNCTION("AVERAGE(ARRAYFORMULA(XLOOKUP(FILTER(INDIRECT(""'""&amp;CY$1&amp;""'!$C$4:$C$66""),INDIRECT(""'""&amp;CY$1&amp;""'!$D$4:$D$66"")=CY$2),$G$3:$BQ$3,$G152:$BQ152)))"),0.15018703642857142)</f>
        <v>0.1501870364</v>
      </c>
      <c r="CZ152" s="207" t="str">
        <f>IFERROR(__xludf.DUMMYFUNCTION("IF(OR(CY152&gt;$BS152+$BT152*$BT$2,CY152&lt;$BS152-$BT152*$BT$2),AVEDEV(ARRAYFORMULA(XLOOKUP(FILTER(INDIRECT(""'""&amp;CY$1&amp;""'!$C$4:$C$66""),INDIRECT(""'""&amp;CY$1&amp;""'!$D$4:$D$66"")=CY$2),$G$3:$BQ$3,$G152:$BQ152))),"""")"),"")</f>
        <v/>
      </c>
      <c r="DA152" s="252"/>
      <c r="DB152" s="251">
        <f>IFERROR(__xludf.DUMMYFUNCTION("AVERAGE(ARRAYFORMULA(XLOOKUP(FILTER(INDIRECT(""'""&amp;DB$1&amp;""'!$C$4:$C$66""),INDIRECT(""'""&amp;DB$1&amp;""'!$D$4:$D$66"")=DB$2),$G$3:$BQ$3,$G152:$BQ152)))"),0.2721349373333333)</f>
        <v>0.2721349373</v>
      </c>
      <c r="DC152" s="207" t="str">
        <f>IFERROR(__xludf.DUMMYFUNCTION("IF(OR(DB152&gt;$BS152+$BT152*$BT$2,DB152&lt;$BS152-$BT152*$BT$2),AVEDEV(ARRAYFORMULA(XLOOKUP(FILTER(INDIRECT(""'""&amp;DB$1&amp;""'!$C$4:$C$66""),INDIRECT(""'""&amp;DB$1&amp;""'!$D$4:$D$66"")=DB$2),$G$3:$BQ$3,$G152:$BQ152))),"""")"),"")</f>
        <v/>
      </c>
      <c r="DD152" s="251">
        <f>IFERROR(__xludf.DUMMYFUNCTION("AVERAGE(ARRAYFORMULA(XLOOKUP(FILTER(INDIRECT(""'""&amp;DD$1&amp;""'!$C$4:$C$66""),INDIRECT(""'""&amp;DD$1&amp;""'!$D$4:$D$66"")=DD$2),$G$3:$BQ$3,$G152:$BQ152)))"),-0.3464968277777778)</f>
        <v>-0.3464968278</v>
      </c>
      <c r="DE152" s="207" t="str">
        <f>IFERROR(__xludf.DUMMYFUNCTION("IF(OR(DD152&gt;$BS152+$BT152*$BT$2,DD152&lt;$BS152-$BT152*$BT$2),AVEDEV(ARRAYFORMULA(XLOOKUP(FILTER(INDIRECT(""'""&amp;DD$1&amp;""'!$C$4:$C$66""),INDIRECT(""'""&amp;DD$1&amp;""'!$D$4:$D$66"")=DD$2),$G$3:$BQ$3,$G152:$BQ152))),"""")"),"")</f>
        <v/>
      </c>
      <c r="DF152" s="251">
        <f>IFERROR(__xludf.DUMMYFUNCTION("AVERAGE(ARRAYFORMULA(XLOOKUP(FILTER(INDIRECT(""'""&amp;DF$1&amp;""'!$C$4:$C$66""),INDIRECT(""'""&amp;DF$1&amp;""'!$D$4:$D$66"")=DF$2),$G$3:$BQ$3,$G152:$BQ152)))"),-0.23903043499999999)</f>
        <v>-0.239030435</v>
      </c>
      <c r="DG152" s="207" t="str">
        <f>IFERROR(__xludf.DUMMYFUNCTION("IF(OR(DF152&gt;$BS152+$BT152*$BT$2,DF152&lt;$BS152-$BT152*$BT$2),AVEDEV(ARRAYFORMULA(XLOOKUP(FILTER(INDIRECT(""'""&amp;DF$1&amp;""'!$C$4:$C$66""),INDIRECT(""'""&amp;DF$1&amp;""'!$D$4:$D$66"")=DF$2),$G$3:$BQ$3,$G152:$BQ152))),"""")"),"")</f>
        <v/>
      </c>
      <c r="DH152" s="251">
        <f>IFERROR(__xludf.DUMMYFUNCTION("AVERAGE(ARRAYFORMULA(XLOOKUP(FILTER(INDIRECT(""'""&amp;DH$1&amp;""'!$C$4:$C$66""),INDIRECT(""'""&amp;DH$1&amp;""'!$D$4:$D$66"")=DH$2),$G$3:$BQ$3,$G152:$BQ152)))"),-0.11859716555555555)</f>
        <v>-0.1185971656</v>
      </c>
      <c r="DI152" s="207" t="str">
        <f>IFERROR(__xludf.DUMMYFUNCTION("IF(OR(DH152&gt;$BS152+$BT152*$BT$2,DH152&lt;$BS152-$BT152*$BT$2),AVEDEV(ARRAYFORMULA(XLOOKUP(FILTER(INDIRECT(""'""&amp;DH$1&amp;""'!$C$4:$C$66""),INDIRECT(""'""&amp;DH$1&amp;""'!$D$4:$D$66"")=DH$2),$G$3:$BQ$3,$G152:$BQ152))),"""")"),"")</f>
        <v/>
      </c>
      <c r="DJ152" s="243"/>
    </row>
    <row r="153">
      <c r="A153" s="2"/>
      <c r="B153" s="204">
        <v>149.0</v>
      </c>
      <c r="C153" s="204" t="s">
        <v>540</v>
      </c>
      <c r="D153" s="204" t="s">
        <v>595</v>
      </c>
      <c r="E153" s="205" t="b">
        <f>VLOOKUP(D153,'Feature Set List'!A150:C246,2,0)</f>
        <v>1</v>
      </c>
      <c r="F153" s="205" t="b">
        <f>VLOOKUP(D153,'Feature Set List'!A150:C246,3,0)</f>
        <v>0</v>
      </c>
      <c r="G153" s="205">
        <v>0.34701782</v>
      </c>
      <c r="H153" s="205">
        <v>0.43996902</v>
      </c>
      <c r="I153" s="205">
        <v>0.36715724</v>
      </c>
      <c r="J153" s="205">
        <v>1.03950426</v>
      </c>
      <c r="K153" s="205">
        <v>-0.4302091</v>
      </c>
      <c r="L153" s="205">
        <v>-0.7288923</v>
      </c>
      <c r="M153" s="205">
        <v>-0.8938807</v>
      </c>
      <c r="N153" s="205">
        <v>1.08907823</v>
      </c>
      <c r="O153" s="205">
        <v>-0.2158017</v>
      </c>
      <c r="P153" s="205">
        <v>-0.4731216</v>
      </c>
      <c r="Q153" s="205">
        <v>0.51897754</v>
      </c>
      <c r="R153" s="205">
        <v>-0.0604183</v>
      </c>
      <c r="S153" s="205">
        <v>-0.0852053</v>
      </c>
      <c r="T153" s="205">
        <v>-0.1068939</v>
      </c>
      <c r="U153" s="205">
        <v>0.06506584</v>
      </c>
      <c r="V153" s="205">
        <v>0.95429899</v>
      </c>
      <c r="W153" s="205">
        <v>-0.3683966</v>
      </c>
      <c r="X153" s="205">
        <v>0.42447715</v>
      </c>
      <c r="Y153" s="205">
        <v>-0.725794</v>
      </c>
      <c r="Z153" s="205">
        <v>1.37103021</v>
      </c>
      <c r="AA153" s="205">
        <v>-0.0371805</v>
      </c>
      <c r="AB153" s="205">
        <v>-0.1797057</v>
      </c>
      <c r="AC153" s="205">
        <v>-0.0387297</v>
      </c>
      <c r="AD153" s="205">
        <v>1.26413633</v>
      </c>
      <c r="AE153" s="205">
        <v>0.53601859</v>
      </c>
      <c r="AF153" s="205">
        <v>-0.3718048</v>
      </c>
      <c r="AG153" s="205">
        <v>1.21611154</v>
      </c>
      <c r="AH153" s="205">
        <v>0.65375678</v>
      </c>
      <c r="AI153" s="205">
        <v>-0.4949651</v>
      </c>
      <c r="AJ153" s="205">
        <v>-0.2275755</v>
      </c>
      <c r="AK153" s="205">
        <v>0.84740511</v>
      </c>
      <c r="AL153" s="205">
        <v>0.66150271</v>
      </c>
      <c r="AM153" s="205">
        <v>-0.1037955</v>
      </c>
      <c r="AN153" s="205">
        <v>0.03563129</v>
      </c>
      <c r="AO153" s="205">
        <v>0.36560806</v>
      </c>
      <c r="AP153" s="205">
        <v>1.01936483</v>
      </c>
      <c r="AQ153" s="205">
        <v>1.01781565</v>
      </c>
      <c r="AR153" s="205">
        <v>2.06661503</v>
      </c>
      <c r="AS153" s="205">
        <v>-0.335244</v>
      </c>
      <c r="AT153" s="205">
        <v>0.0</v>
      </c>
      <c r="AU153" s="205">
        <v>-0.3494965</v>
      </c>
      <c r="AV153" s="205">
        <v>0.08520527</v>
      </c>
      <c r="AW153" s="205">
        <v>1.09372579</v>
      </c>
      <c r="AX153" s="205">
        <v>1.10302091</v>
      </c>
      <c r="AY153" s="205">
        <v>0.83501162</v>
      </c>
      <c r="AZ153" s="205">
        <v>0.12083656</v>
      </c>
      <c r="BA153" s="205">
        <v>-0.6807126</v>
      </c>
      <c r="BB153" s="205">
        <v>1.16034082</v>
      </c>
      <c r="BC153" s="205">
        <v>0.41982959</v>
      </c>
      <c r="BD153" s="205">
        <v>-0.9659179</v>
      </c>
      <c r="BE153" s="205">
        <v>-0.1022463</v>
      </c>
      <c r="BF153" s="205">
        <v>-0.1564679</v>
      </c>
      <c r="BG153" s="205">
        <v>-0.4319132</v>
      </c>
      <c r="BH153" s="205">
        <v>1.28427576</v>
      </c>
      <c r="BI153" s="205">
        <v>-0.2587142</v>
      </c>
      <c r="BJ153" s="205">
        <v>0.63516654</v>
      </c>
      <c r="BK153" s="205">
        <v>0.36250968</v>
      </c>
      <c r="BL153" s="205">
        <v>-0.2466305</v>
      </c>
      <c r="BM153" s="205">
        <v>-0.5225407</v>
      </c>
      <c r="BN153" s="205">
        <v>-0.8212239</v>
      </c>
      <c r="BO153" s="205">
        <v>-0.2883036</v>
      </c>
      <c r="BP153" s="205">
        <v>-0.4791634</v>
      </c>
      <c r="BQ153" s="205">
        <v>-0.857165</v>
      </c>
      <c r="BR153" s="206"/>
      <c r="BS153" s="250">
        <f t="shared" si="1"/>
        <v>0.1803548375</v>
      </c>
      <c r="BT153" s="250">
        <f t="shared" si="2"/>
        <v>0.5785442917</v>
      </c>
      <c r="BU153" s="206"/>
      <c r="BV153" s="207">
        <f>IFERROR(__xludf.DUMMYFUNCTION("AVERAGE(ARRAYFORMULA(XLOOKUP(FILTER(INDIRECT(""'""&amp;BV$1&amp;""'!$C$4:$C$66""),INDIRECT(""'""&amp;BV$1&amp;""'!$D$4:$D$66"")=BV$2),$G$3:$BQ$3,$G153:$BQ153)))"),0.3573752414285714)</f>
        <v>0.3573752414</v>
      </c>
      <c r="BW153" s="207" t="str">
        <f>IFERROR(__xludf.DUMMYFUNCTION("IF(OR(BV153&gt;$BS153+$BT153*$BT$2,BV153&lt;$BS153-$BT153*$BT$2),AVEDEV(ARRAYFORMULA(XLOOKUP(FILTER(INDIRECT(""'""&amp;BV$1&amp;""'!$C$4:$C$66""),INDIRECT(""'""&amp;BV$1&amp;""'!$D$4:$D$66"")=BV$2),$G$3:$BQ$3,$G153:$BQ153))),"""")"),"")</f>
        <v/>
      </c>
      <c r="BX153" s="207">
        <f>IFERROR(__xludf.DUMMYFUNCTION("AVERAGE(ARRAYFORMULA(XLOOKUP(FILTER(INDIRECT(""'""&amp;BX$1&amp;""'!$C$4:$C$66""),INDIRECT(""'""&amp;BX$1&amp;""'!$D$4:$D$66"")=BX$2),$G$3:$BQ$3,$G153:$BQ153)))"),0.33840876309523804)</f>
        <v>0.3384087631</v>
      </c>
      <c r="BY153" s="207" t="str">
        <f>IFERROR(__xludf.DUMMYFUNCTION("IF(OR(BX153&gt;$BS153+$BT153*$BT$2,BX153&lt;$BS153-$BT153*$BT$2),AVEDEV(ARRAYFORMULA(XLOOKUP(FILTER(INDIRECT(""'""&amp;BX$1&amp;""'!$C$4:$C$66""),INDIRECT(""'""&amp;BX$1&amp;""'!$D$4:$D$66"")=BX$2),$G$3:$BQ$3,$G153:$BQ153))),"""")"),"")</f>
        <v/>
      </c>
      <c r="BZ153" s="207">
        <f>IFERROR(__xludf.DUMMYFUNCTION("AVERAGE(ARRAYFORMULA(XLOOKUP(FILTER(INDIRECT(""'""&amp;BZ$1&amp;""'!$C$4:$C$66""),INDIRECT(""'""&amp;BZ$1&amp;""'!$D$4:$D$66"")=BZ$2),$G$3:$BQ$3,$G153:$BQ153)))"),-0.40038025636363644)</f>
        <v>-0.4003802564</v>
      </c>
      <c r="CA153" s="207">
        <f>IFERROR(__xludf.DUMMYFUNCTION("IF(OR(BZ153&gt;$BS153+$BT153*$BT$2,BZ153&lt;$BS153-$BT153*$BT$2),AVEDEV(ARRAYFORMULA(XLOOKUP(FILTER(INDIRECT(""'""&amp;BZ$1&amp;""'!$C$4:$C$66""),INDIRECT(""'""&amp;BZ$1&amp;""'!$D$4:$D$66"")=BZ$2),$G$3:$BQ$3,$G153:$BQ153))),"""")"),0.29502915669421487)</f>
        <v>0.2950291567</v>
      </c>
      <c r="CB153" s="209"/>
      <c r="CC153" s="207">
        <f>IFERROR(__xludf.DUMMYFUNCTION("AVERAGE(ARRAYFORMULA(XLOOKUP(FILTER(INDIRECT(""'""&amp;CC$1&amp;""'!$C$4:$C$66""),INDIRECT(""'""&amp;CC$1&amp;""'!$D$4:$D$66"")=CC$2),$G$3:$BQ$3,$G153:$BQ153)))"),0.587316035625)</f>
        <v>0.5873160356</v>
      </c>
      <c r="CD153" s="207" t="str">
        <f>IFERROR(__xludf.DUMMYFUNCTION("IF(OR(CC153&gt;$BS153+$BT153*$BT$2,CC153&lt;$BS153-$BT153*$BT$2),AVEDEV(ARRAYFORMULA(XLOOKUP(FILTER(INDIRECT(""'""&amp;CC$1&amp;""'!$C$4:$C$66""),INDIRECT(""'""&amp;CC$1&amp;""'!$D$4:$D$66"")=CC$2),$G$3:$BQ$3,$G153:$BQ153))),"""")"),"")</f>
        <v/>
      </c>
      <c r="CE153" s="207">
        <f>IFERROR(__xludf.DUMMYFUNCTION("AVERAGE(ARRAYFORMULA(XLOOKUP(FILTER(INDIRECT(""'""&amp;CE$1&amp;""'!$C$4:$C$66""),INDIRECT(""'""&amp;CE$1&amp;""'!$D$4:$D$66"")=CE$2),$G$3:$BQ$3,$G153:$BQ153)))"),0.054586338064516134)</f>
        <v>0.05458633806</v>
      </c>
      <c r="CF153" s="207" t="str">
        <f>IFERROR(__xludf.DUMMYFUNCTION("IF(OR(CE153&gt;$BS153+$BT153*$BT$2,CE153&lt;$BS153-$BT153*$BT$2),AVEDEV(ARRAYFORMULA(XLOOKUP(FILTER(INDIRECT(""'""&amp;CE$1&amp;""'!$C$4:$C$66""),INDIRECT(""'""&amp;CE$1&amp;""'!$D$4:$D$66"")=CE$2),$G$3:$BQ$3,$G153:$BQ153))),"""")"),"")</f>
        <v/>
      </c>
      <c r="CG153" s="207">
        <f>IFERROR(__xludf.DUMMYFUNCTION("AVERAGE(ARRAYFORMULA(XLOOKUP(FILTER(INDIRECT(""'""&amp;CG$1&amp;""'!$C$4:$C$66""),INDIRECT(""'""&amp;CG$1&amp;""'!$D$4:$D$66"")=CG$2),$G$3:$BQ$3,$G153:$BQ153)))"),-0.40557706)</f>
        <v>-0.40557706</v>
      </c>
      <c r="CH153" s="207">
        <f>IFERROR(__xludf.DUMMYFUNCTION("IF(OR(CG153&gt;$BS153+$BT153*$BT$2,CG153&lt;$BS153-$BT153*$BT$2),AVEDEV(ARRAYFORMULA(XLOOKUP(FILTER(INDIRECT(""'""&amp;CG$1&amp;""'!$C$4:$C$66""),INDIRECT(""'""&amp;CG$1&amp;""'!$D$4:$D$66"")=CG$2),$G$3:$BQ$3,$G153:$BQ153))),"""")"),0.147606488)</f>
        <v>0.147606488</v>
      </c>
      <c r="CI153" s="206"/>
      <c r="CJ153" s="251">
        <f>IFERROR(__xludf.DUMMYFUNCTION("AVERAGE(ARRAYFORMULA(XLOOKUP(FILTER(INDIRECT(""'""&amp;CJ$1&amp;""'!$C$4:$C$66""),INDIRECT(""'""&amp;CJ$1&amp;""'!$D$4:$D$66"")=CJ$2),$G$3:$BQ$3,$G153:$BQ153)))"),0.15875031533333334)</f>
        <v>0.1587503153</v>
      </c>
      <c r="CK153" s="207" t="str">
        <f>IFERROR(__xludf.DUMMYFUNCTION("IF(OR(CJ153&gt;$BS153+$BT153*$BT$2,CJ153&lt;$BS153-$BT153*$BT$2),AVEDEV(ARRAYFORMULA(XLOOKUP(FILTER(INDIRECT(""'""&amp;CJ$1&amp;""'!$C$4:$C$66""),INDIRECT(""'""&amp;CJ$1&amp;""'!$D$4:$D$66"")=CJ$2),$G$3:$BQ$3,$G153:$BQ153))),"""")"),"")</f>
        <v/>
      </c>
      <c r="CL153" s="251">
        <f>IFERROR(__xludf.DUMMYFUNCTION("AVERAGE(ARRAYFORMULA(XLOOKUP(FILTER(INDIRECT(""'""&amp;CL$1&amp;""'!$C$4:$C$66""),INDIRECT(""'""&amp;CL$1&amp;""'!$D$4:$D$66"")=CL$2),$G$3:$BQ$3,$G153:$BQ153)))"),0.3129198202564103)</f>
        <v>0.3129198203</v>
      </c>
      <c r="CM153" s="207" t="str">
        <f>IFERROR(__xludf.DUMMYFUNCTION("IF(OR(CL153&gt;$BS153+$BT153*$BT$2,CL153&lt;$BS153-$BT153*$BT$2),AVEDEV(ARRAYFORMULA(XLOOKUP(FILTER(INDIRECT(""'""&amp;CL$1&amp;""'!$C$4:$C$66""),INDIRECT(""'""&amp;CL$1&amp;""'!$D$4:$D$66"")=CL$2),$G$3:$BQ$3,$G153:$BQ153))),"""")"),"")</f>
        <v/>
      </c>
      <c r="CN153" s="251">
        <f>IFERROR(__xludf.DUMMYFUNCTION("AVERAGE(ARRAYFORMULA(XLOOKUP(FILTER(INDIRECT(""'""&amp;CN$1&amp;""'!$C$4:$C$66""),INDIRECT(""'""&amp;CN$1&amp;""'!$D$4:$D$66"")=CN$2),$G$3:$BQ$3,$G153:$BQ153)))"),-0.40557706)</f>
        <v>-0.40557706</v>
      </c>
      <c r="CO153" s="207">
        <f>IFERROR(__xludf.DUMMYFUNCTION("IF(OR(CN153&gt;$BS153+$BT153*$BT$2,CN153&lt;$BS153-$BT153*$BT$2),AVEDEV(ARRAYFORMULA(XLOOKUP(FILTER(INDIRECT(""'""&amp;CN$1&amp;""'!$C$4:$C$66""),INDIRECT(""'""&amp;CN$1&amp;""'!$D$4:$D$66"")=CN$2),$G$3:$BQ$3,$G153:$BQ153))),"""")"),0.147606488)</f>
        <v>0.147606488</v>
      </c>
      <c r="CP153" s="252"/>
      <c r="CQ153" s="251">
        <f>IFERROR(__xludf.DUMMYFUNCTION("AVERAGE(ARRAYFORMULA(XLOOKUP(FILTER(INDIRECT(""'""&amp;CQ$1&amp;""'!$C$4:$C$66""),INDIRECT(""'""&amp;CQ$1&amp;""'!$D$4:$D$66"")=CQ$2),$G$3:$BQ$3,$G153:$BQ153)))"),0.687562242857143)</f>
        <v>0.6875622429</v>
      </c>
      <c r="CR153" s="207" t="str">
        <f>IFERROR(__xludf.DUMMYFUNCTION("IF(OR(CQ153&gt;$BS153+$BT153*$BT$2,CQ153&lt;$BS153-$BT153*$BT$2),AVEDEV(ARRAYFORMULA(XLOOKUP(FILTER(INDIRECT(""'""&amp;CQ$1&amp;""'!$C$4:$C$66""),INDIRECT(""'""&amp;CQ$1&amp;""'!$D$4:$D$66"")=CQ$2),$G$3:$BQ$3,$G153:$BQ153))),"""")"),"")</f>
        <v/>
      </c>
      <c r="CS153" s="251">
        <f>IFERROR(__xludf.DUMMYFUNCTION("AVERAGE(ARRAYFORMULA(XLOOKUP(FILTER(INDIRECT(""'""&amp;CS$1&amp;""'!$C$4:$C$66""),INDIRECT(""'""&amp;CS$1&amp;""'!$D$4:$D$66"")=CS$2),$G$3:$BQ$3,$G153:$BQ153)))"),-0.44471985333333336)</f>
        <v>-0.4447198533</v>
      </c>
      <c r="CT153" s="207">
        <f>IFERROR(__xludf.DUMMYFUNCTION("IF(OR(CS153&gt;$BS153+$BT153*$BT$2,CS153&lt;$BS153-$BT153*$BT$2),AVEDEV(ARRAYFORMULA(XLOOKUP(FILTER(INDIRECT(""'""&amp;CS$1&amp;""'!$C$4:$C$66""),INDIRECT(""'""&amp;CS$1&amp;""'!$D$4:$D$66"")=CS$2),$G$3:$BQ$3,$G153:$BQ153))),"""")"),0.28417820740740735)</f>
        <v>0.2841782074</v>
      </c>
      <c r="CU153" s="251">
        <f>IFERROR(__xludf.DUMMYFUNCTION("AVERAGE(ARRAYFORMULA(XLOOKUP(FILTER(INDIRECT(""'""&amp;CU$1&amp;""'!$C$4:$C$66""),INDIRECT(""'""&amp;CU$1&amp;""'!$D$4:$D$66"")=CU$2),$G$3:$BQ$3,$G153:$BQ153)))"),-0.02773044454545454)</f>
        <v>-0.02773044455</v>
      </c>
      <c r="CV153" s="207" t="str">
        <f>IFERROR(__xludf.DUMMYFUNCTION("IF(OR(CU153&gt;$BS153+$BT153*$BT$2,CU153&lt;$BS153-$BT153*$BT$2),AVEDEV(ARRAYFORMULA(XLOOKUP(FILTER(INDIRECT(""'""&amp;CU$1&amp;""'!$C$4:$C$66""),INDIRECT(""'""&amp;CU$1&amp;""'!$D$4:$D$66"")=CU$2),$G$3:$BQ$3,$G153:$BQ153))),"""")"),"")</f>
        <v/>
      </c>
      <c r="CW153" s="251">
        <f>IFERROR(__xludf.DUMMYFUNCTION("AVERAGE(ARRAYFORMULA(XLOOKUP(FILTER(INDIRECT(""'""&amp;CW$1&amp;""'!$C$4:$C$66""),INDIRECT(""'""&amp;CW$1&amp;""'!$D$4:$D$66"")=CW$2),$G$3:$BQ$3,$G153:$BQ153)))"),1.2742060450000001)</f>
        <v>1.274206045</v>
      </c>
      <c r="CX153" s="207">
        <f>IFERROR(__xludf.DUMMYFUNCTION("IF(OR(CW153&gt;$BS153+$BT153*$BT$2,CW153&lt;$BS153-$BT153*$BT$2),AVEDEV(ARRAYFORMULA(XLOOKUP(FILTER(INDIRECT(""'""&amp;CW$1&amp;""'!$C$4:$C$66""),INDIRECT(""'""&amp;CW$1&amp;""'!$D$4:$D$66"")=CW$2),$G$3:$BQ$3,$G153:$BQ153))),"""")"),0.01006971500000009)</f>
        <v>0.010069715</v>
      </c>
      <c r="CY153" s="251">
        <f>IFERROR(__xludf.DUMMYFUNCTION("AVERAGE(ARRAYFORMULA(XLOOKUP(FILTER(INDIRECT(""'""&amp;CY$1&amp;""'!$C$4:$C$66""),INDIRECT(""'""&amp;CY$1&amp;""'!$D$4:$D$66"")=CY$2),$G$3:$BQ$3,$G153:$BQ153)))"),0.23072922214285713)</f>
        <v>0.2307292221</v>
      </c>
      <c r="CZ153" s="207" t="str">
        <f>IFERROR(__xludf.DUMMYFUNCTION("IF(OR(CY153&gt;$BS153+$BT153*$BT$2,CY153&lt;$BS153-$BT153*$BT$2),AVEDEV(ARRAYFORMULA(XLOOKUP(FILTER(INDIRECT(""'""&amp;CY$1&amp;""'!$C$4:$C$66""),INDIRECT(""'""&amp;CY$1&amp;""'!$D$4:$D$66"")=CY$2),$G$3:$BQ$3,$G153:$BQ153))),"""")"),"")</f>
        <v/>
      </c>
      <c r="DA153" s="252"/>
      <c r="DB153" s="251">
        <f>IFERROR(__xludf.DUMMYFUNCTION("AVERAGE(ARRAYFORMULA(XLOOKUP(FILTER(INDIRECT(""'""&amp;DB$1&amp;""'!$C$4:$C$66""),INDIRECT(""'""&amp;DB$1&amp;""'!$D$4:$D$66"")=DB$2),$G$3:$BQ$3,$G153:$BQ153)))"),0.38840175633333335)</f>
        <v>0.3884017563</v>
      </c>
      <c r="DC153" s="207" t="str">
        <f>IFERROR(__xludf.DUMMYFUNCTION("IF(OR(DB153&gt;$BS153+$BT153*$BT$2,DB153&lt;$BS153-$BT153*$BT$2),AVEDEV(ARRAYFORMULA(XLOOKUP(FILTER(INDIRECT(""'""&amp;DB$1&amp;""'!$C$4:$C$66""),INDIRECT(""'""&amp;DB$1&amp;""'!$D$4:$D$66"")=DB$2),$G$3:$BQ$3,$G153:$BQ153))),"""")"),"")</f>
        <v/>
      </c>
      <c r="DD153" s="251">
        <f>IFERROR(__xludf.DUMMYFUNCTION("AVERAGE(ARRAYFORMULA(XLOOKUP(FILTER(INDIRECT(""'""&amp;DD$1&amp;""'!$C$4:$C$66""),INDIRECT(""'""&amp;DD$1&amp;""'!$D$4:$D$66"")=DD$2),$G$3:$BQ$3,$G153:$BQ153)))"),-0.3713572566666667)</f>
        <v>-0.3713572567</v>
      </c>
      <c r="DE153" s="207" t="str">
        <f>IFERROR(__xludf.DUMMYFUNCTION("IF(OR(DD153&gt;$BS153+$BT153*$BT$2,DD153&lt;$BS153-$BT153*$BT$2),AVEDEV(ARRAYFORMULA(XLOOKUP(FILTER(INDIRECT(""'""&amp;DD$1&amp;""'!$C$4:$C$66""),INDIRECT(""'""&amp;DD$1&amp;""'!$D$4:$D$66"")=DD$2),$G$3:$BQ$3,$G153:$BQ153))),"""")"),"")</f>
        <v/>
      </c>
      <c r="DF153" s="251">
        <f>IFERROR(__xludf.DUMMYFUNCTION("AVERAGE(ARRAYFORMULA(XLOOKUP(FILTER(INDIRECT(""'""&amp;DF$1&amp;""'!$C$4:$C$66""),INDIRECT(""'""&amp;DF$1&amp;""'!$D$4:$D$66"")=DF$2),$G$3:$BQ$3,$G153:$BQ153)))"),0.049341589999999984)</f>
        <v>0.04934159</v>
      </c>
      <c r="DG153" s="207" t="str">
        <f>IFERROR(__xludf.DUMMYFUNCTION("IF(OR(DF153&gt;$BS153+$BT153*$BT$2,DF153&lt;$BS153-$BT153*$BT$2),AVEDEV(ARRAYFORMULA(XLOOKUP(FILTER(INDIRECT(""'""&amp;DF$1&amp;""'!$C$4:$C$66""),INDIRECT(""'""&amp;DF$1&amp;""'!$D$4:$D$66"")=DF$2),$G$3:$BQ$3,$G153:$BQ153))),"""")"),"")</f>
        <v/>
      </c>
      <c r="DH153" s="251">
        <f>IFERROR(__xludf.DUMMYFUNCTION("AVERAGE(ARRAYFORMULA(XLOOKUP(FILTER(INDIRECT(""'""&amp;DH$1&amp;""'!$C$4:$C$66""),INDIRECT(""'""&amp;DH$1&amp;""'!$D$4:$D$66"")=DH$2),$G$3:$BQ$3,$G153:$BQ153)))"),0.11066356444444443)</f>
        <v>0.1106635644</v>
      </c>
      <c r="DI153" s="207" t="str">
        <f>IFERROR(__xludf.DUMMYFUNCTION("IF(OR(DH153&gt;$BS153+$BT153*$BT$2,DH153&lt;$BS153-$BT153*$BT$2),AVEDEV(ARRAYFORMULA(XLOOKUP(FILTER(INDIRECT(""'""&amp;DH$1&amp;""'!$C$4:$C$66""),INDIRECT(""'""&amp;DH$1&amp;""'!$D$4:$D$66"")=DH$2),$G$3:$BQ$3,$G153:$BQ153))),"""")"),"")</f>
        <v/>
      </c>
      <c r="DJ153" s="243"/>
    </row>
    <row r="154">
      <c r="A154" s="2"/>
      <c r="B154" s="204">
        <v>150.0</v>
      </c>
      <c r="C154" s="204" t="s">
        <v>540</v>
      </c>
      <c r="D154" s="204" t="s">
        <v>596</v>
      </c>
      <c r="E154" s="205" t="b">
        <f>VLOOKUP(D154,'Feature Set List'!A151:C246,2,0)</f>
        <v>1</v>
      </c>
      <c r="F154" s="205" t="b">
        <f>VLOOKUP(D154,'Feature Set List'!A151:C246,3,0)</f>
        <v>0</v>
      </c>
      <c r="G154" s="205">
        <v>0.0</v>
      </c>
      <c r="H154" s="205">
        <v>-0.278481</v>
      </c>
      <c r="I154" s="205">
        <v>-0.3291139</v>
      </c>
      <c r="J154" s="205">
        <v>0.3628692</v>
      </c>
      <c r="K154" s="205">
        <v>-0.3797468</v>
      </c>
      <c r="L154" s="205">
        <v>0.05063291</v>
      </c>
      <c r="M154" s="205">
        <v>13.0379747</v>
      </c>
      <c r="N154" s="205">
        <v>-0.1012658</v>
      </c>
      <c r="O154" s="205">
        <v>0.07594937</v>
      </c>
      <c r="P154" s="205">
        <v>1.56118143</v>
      </c>
      <c r="Q154" s="205">
        <v>2.34599156</v>
      </c>
      <c r="R154" s="205">
        <v>-0.4050633</v>
      </c>
      <c r="S154" s="205">
        <v>-0.1181435</v>
      </c>
      <c r="T154" s="205">
        <v>-0.4978903</v>
      </c>
      <c r="U154" s="205">
        <v>-0.4810127</v>
      </c>
      <c r="V154" s="205">
        <v>-0.3628692</v>
      </c>
      <c r="W154" s="205">
        <v>-0.2109705</v>
      </c>
      <c r="X154" s="205">
        <v>-0.3966245</v>
      </c>
      <c r="Y154" s="205">
        <v>0.32067511</v>
      </c>
      <c r="Z154" s="205">
        <v>0.93670886</v>
      </c>
      <c r="AA154" s="205">
        <v>-0.0084388</v>
      </c>
      <c r="AB154" s="205">
        <v>-0.2362869</v>
      </c>
      <c r="AC154" s="205">
        <v>0.15189873</v>
      </c>
      <c r="AD154" s="205">
        <v>-0.3881857</v>
      </c>
      <c r="AE154" s="205">
        <v>-0.4472574</v>
      </c>
      <c r="AF154" s="205">
        <v>-0.0590717</v>
      </c>
      <c r="AG154" s="205">
        <v>0.23628692</v>
      </c>
      <c r="AH154" s="205">
        <v>-0.2531646</v>
      </c>
      <c r="AI154" s="205">
        <v>11.7552743</v>
      </c>
      <c r="AJ154" s="205">
        <v>-0.0506329</v>
      </c>
      <c r="AK154" s="205">
        <v>0.32067511</v>
      </c>
      <c r="AL154" s="205">
        <v>-0.3375527</v>
      </c>
      <c r="AM154" s="205">
        <v>0.17721519</v>
      </c>
      <c r="AN154" s="205">
        <v>-0.0506329</v>
      </c>
      <c r="AO154" s="205">
        <v>0.43037975</v>
      </c>
      <c r="AP154" s="205">
        <v>0.78481013</v>
      </c>
      <c r="AQ154" s="205">
        <v>-0.4303797</v>
      </c>
      <c r="AR154" s="205">
        <v>0.14345992</v>
      </c>
      <c r="AS154" s="205">
        <v>-0.3966245</v>
      </c>
      <c r="AT154" s="205">
        <v>-0.4810127</v>
      </c>
      <c r="AU154" s="205">
        <v>30.0337553</v>
      </c>
      <c r="AV154" s="205">
        <v>0.19409283</v>
      </c>
      <c r="AW154" s="205">
        <v>0.30379747</v>
      </c>
      <c r="AX154" s="205">
        <v>-0.1350211</v>
      </c>
      <c r="AY154" s="205">
        <v>-0.4388186</v>
      </c>
      <c r="AZ154" s="205">
        <v>-0.1518987</v>
      </c>
      <c r="BA154" s="205">
        <v>4.5907173</v>
      </c>
      <c r="BB154" s="205">
        <v>0.35443038</v>
      </c>
      <c r="BC154" s="205">
        <v>-0.278481</v>
      </c>
      <c r="BD154" s="205">
        <v>1.35864979</v>
      </c>
      <c r="BE154" s="205">
        <v>-0.4978903</v>
      </c>
      <c r="BF154" s="205">
        <v>0.60759494</v>
      </c>
      <c r="BG154" s="205">
        <v>0.37130802</v>
      </c>
      <c r="BH154" s="205">
        <v>-0.3881857</v>
      </c>
      <c r="BI154" s="205">
        <v>3.10548523</v>
      </c>
      <c r="BJ154" s="205">
        <v>-0.2362869</v>
      </c>
      <c r="BK154" s="205">
        <v>1.92405063</v>
      </c>
      <c r="BL154" s="205">
        <v>1.75527426</v>
      </c>
      <c r="BM154" s="205">
        <v>3.72995781</v>
      </c>
      <c r="BN154" s="205">
        <v>1.29113924</v>
      </c>
      <c r="BO154" s="205">
        <v>1.32489451</v>
      </c>
      <c r="BP154" s="205">
        <v>8.02531646</v>
      </c>
      <c r="BQ154" s="205">
        <v>-0.0590717</v>
      </c>
      <c r="BR154" s="206"/>
      <c r="BS154" s="250">
        <f t="shared" si="1"/>
        <v>1.313910657</v>
      </c>
      <c r="BT154" s="250">
        <f t="shared" si="2"/>
        <v>2.141831262</v>
      </c>
      <c r="BU154" s="206"/>
      <c r="BV154" s="207">
        <f>IFERROR(__xludf.DUMMYFUNCTION("AVERAGE(ARRAYFORMULA(XLOOKUP(FILTER(INDIRECT(""'""&amp;BV$1&amp;""'!$C$4:$C$66""),INDIRECT(""'""&amp;BV$1&amp;""'!$D$4:$D$66"")=BV$2),$G$3:$BQ$3,$G154:$BQ154)))"),0.10367689857142857)</f>
        <v>0.1036768986</v>
      </c>
      <c r="BW154" s="207" t="str">
        <f>IFERROR(__xludf.DUMMYFUNCTION("IF(OR(BV154&gt;$BS154+$BT154*$BT$2,BV154&lt;$BS154-$BT154*$BT$2),AVEDEV(ARRAYFORMULA(XLOOKUP(FILTER(INDIRECT(""'""&amp;BV$1&amp;""'!$C$4:$C$66""),INDIRECT(""'""&amp;BV$1&amp;""'!$D$4:$D$66"")=BV$2),$G$3:$BQ$3,$G154:$BQ154))),"""")"),"")</f>
        <v/>
      </c>
      <c r="BX154" s="207">
        <f>IFERROR(__xludf.DUMMYFUNCTION("AVERAGE(ARRAYFORMULA(XLOOKUP(FILTER(INDIRECT(""'""&amp;BX$1&amp;""'!$C$4:$C$66""),INDIRECT(""'""&amp;BX$1&amp;""'!$D$4:$D$66"")=BX$2),$G$3:$BQ$3,$G154:$BQ154)))"),0.6813341385714285)</f>
        <v>0.6813341386</v>
      </c>
      <c r="BY154" s="207" t="str">
        <f>IFERROR(__xludf.DUMMYFUNCTION("IF(OR(BX154&gt;$BS154+$BT154*$BT$2,BX154&lt;$BS154-$BT154*$BT$2),AVEDEV(ARRAYFORMULA(XLOOKUP(FILTER(INDIRECT(""'""&amp;BX$1&amp;""'!$C$4:$C$66""),INDIRECT(""'""&amp;BX$1&amp;""'!$D$4:$D$66"")=BX$2),$G$3:$BQ$3,$G154:$BQ154))),"""")"),"")</f>
        <v/>
      </c>
      <c r="BZ154" s="207">
        <f>IFERROR(__xludf.DUMMYFUNCTION("AVERAGE(ARRAYFORMULA(XLOOKUP(FILTER(INDIRECT(""'""&amp;BZ$1&amp;""'!$C$4:$C$66""),INDIRECT(""'""&amp;BZ$1&amp;""'!$D$4:$D$66"")=BZ$2),$G$3:$BQ$3,$G154:$BQ154)))"),2.0337552781818182)</f>
        <v>2.033755278</v>
      </c>
      <c r="CA154" s="207" t="str">
        <f>IFERROR(__xludf.DUMMYFUNCTION("IF(OR(BZ154&gt;$BS154+$BT154*$BT$2,BZ154&lt;$BS154-$BT154*$BT$2),AVEDEV(ARRAYFORMULA(XLOOKUP(FILTER(INDIRECT(""'""&amp;BZ$1&amp;""'!$C$4:$C$66""),INDIRECT(""'""&amp;BZ$1&amp;""'!$D$4:$D$66"")=BZ$2),$G$3:$BQ$3,$G154:$BQ154))),"""")"),"")</f>
        <v/>
      </c>
      <c r="CB154" s="209"/>
      <c r="CC154" s="207">
        <f>IFERROR(__xludf.DUMMYFUNCTION("AVERAGE(ARRAYFORMULA(XLOOKUP(FILTER(INDIRECT(""'""&amp;CC$1&amp;""'!$C$4:$C$66""),INDIRECT(""'""&amp;CC$1&amp;""'!$D$4:$D$66"")=CC$2),$G$3:$BQ$3,$G154:$BQ154)))"),0.735232071875)</f>
        <v>0.7352320719</v>
      </c>
      <c r="CD154" s="207" t="str">
        <f>IFERROR(__xludf.DUMMYFUNCTION("IF(OR(CC154&gt;$BS154+$BT154*$BT$2,CC154&lt;$BS154-$BT154*$BT$2),AVEDEV(ARRAYFORMULA(XLOOKUP(FILTER(INDIRECT(""'""&amp;CC$1&amp;""'!$C$4:$C$66""),INDIRECT(""'""&amp;CC$1&amp;""'!$D$4:$D$66"")=CC$2),$G$3:$BQ$3,$G154:$BQ154))),"""")"),"")</f>
        <v/>
      </c>
      <c r="CE154" s="207">
        <f>IFERROR(__xludf.DUMMYFUNCTION("AVERAGE(ARRAYFORMULA(XLOOKUP(FILTER(INDIRECT(""'""&amp;CE$1&amp;""'!$C$4:$C$66""),INDIRECT(""'""&amp;CE$1&amp;""'!$D$4:$D$66"")=CE$2),$G$3:$BQ$3,$G154:$BQ154)))"),0.8860759490322578)</f>
        <v>0.886075949</v>
      </c>
      <c r="CF154" s="207" t="str">
        <f>IFERROR(__xludf.DUMMYFUNCTION("IF(OR(CE154&gt;$BS154+$BT154*$BT$2,CE154&lt;$BS154-$BT154*$BT$2),AVEDEV(ARRAYFORMULA(XLOOKUP(FILTER(INDIRECT(""'""&amp;CE$1&amp;""'!$C$4:$C$66""),INDIRECT(""'""&amp;CE$1&amp;""'!$D$4:$D$66"")=CE$2),$G$3:$BQ$3,$G154:$BQ154))),"""")"),"")</f>
        <v/>
      </c>
      <c r="CG154" s="207">
        <f>IFERROR(__xludf.DUMMYFUNCTION("AVERAGE(ARRAYFORMULA(XLOOKUP(FILTER(INDIRECT(""'""&amp;CG$1&amp;""'!$C$4:$C$66""),INDIRECT(""'""&amp;CG$1&amp;""'!$D$4:$D$66"")=CG$2),$G$3:$BQ$3,$G154:$BQ154)))"),1.12573839)</f>
        <v>1.12573839</v>
      </c>
      <c r="CH154" s="207" t="str">
        <f>IFERROR(__xludf.DUMMYFUNCTION("IF(OR(CG154&gt;$BS154+$BT154*$BT$2,CG154&lt;$BS154-$BT154*$BT$2),AVEDEV(ARRAYFORMULA(XLOOKUP(FILTER(INDIRECT(""'""&amp;CG$1&amp;""'!$C$4:$C$66""),INDIRECT(""'""&amp;CG$1&amp;""'!$D$4:$D$66"")=CG$2),$G$3:$BQ$3,$G154:$BQ154))),"""")"),"")</f>
        <v/>
      </c>
      <c r="CI154" s="206"/>
      <c r="CJ154" s="251">
        <f>IFERROR(__xludf.DUMMYFUNCTION("AVERAGE(ARRAYFORMULA(XLOOKUP(FILTER(INDIRECT(""'""&amp;CJ$1&amp;""'!$C$4:$C$66""),INDIRECT(""'""&amp;CJ$1&amp;""'!$D$4:$D$66"")=CJ$2),$G$3:$BQ$3,$G154:$BQ154)))"),0.19859352266666672)</f>
        <v>0.1985935227</v>
      </c>
      <c r="CK154" s="207" t="str">
        <f>IFERROR(__xludf.DUMMYFUNCTION("IF(OR(CJ154&gt;$BS154+$BT154*$BT$2,CJ154&lt;$BS154-$BT154*$BT$2),AVEDEV(ARRAYFORMULA(XLOOKUP(FILTER(INDIRECT(""'""&amp;CJ$1&amp;""'!$C$4:$C$66""),INDIRECT(""'""&amp;CJ$1&amp;""'!$D$4:$D$66"")=CJ$2),$G$3:$BQ$3,$G154:$BQ154))),"""")"),"")</f>
        <v/>
      </c>
      <c r="CL154" s="251">
        <f>IFERROR(__xludf.DUMMYFUNCTION("AVERAGE(ARRAYFORMULA(XLOOKUP(FILTER(INDIRECT(""'""&amp;CL$1&amp;""'!$C$4:$C$66""),INDIRECT(""'""&amp;CL$1&amp;""'!$D$4:$D$66"")=CL$2),$G$3:$BQ$3,$G154:$BQ154)))"),1.0602618235897434)</f>
        <v>1.060261824</v>
      </c>
      <c r="CM154" s="207" t="str">
        <f>IFERROR(__xludf.DUMMYFUNCTION("IF(OR(CL154&gt;$BS154+$BT154*$BT$2,CL154&lt;$BS154-$BT154*$BT$2),AVEDEV(ARRAYFORMULA(XLOOKUP(FILTER(INDIRECT(""'""&amp;CL$1&amp;""'!$C$4:$C$66""),INDIRECT(""'""&amp;CL$1&amp;""'!$D$4:$D$66"")=CL$2),$G$3:$BQ$3,$G154:$BQ154))),"""")"),"")</f>
        <v/>
      </c>
      <c r="CN154" s="251">
        <f>IFERROR(__xludf.DUMMYFUNCTION("AVERAGE(ARRAYFORMULA(XLOOKUP(FILTER(INDIRECT(""'""&amp;CN$1&amp;""'!$C$4:$C$66""),INDIRECT(""'""&amp;CN$1&amp;""'!$D$4:$D$66"")=CN$2),$G$3:$BQ$3,$G154:$BQ154)))"),1.12573839)</f>
        <v>1.12573839</v>
      </c>
      <c r="CO154" s="207" t="str">
        <f>IFERROR(__xludf.DUMMYFUNCTION("IF(OR(CN154&gt;$BS154+$BT154*$BT$2,CN154&lt;$BS154-$BT154*$BT$2),AVEDEV(ARRAYFORMULA(XLOOKUP(FILTER(INDIRECT(""'""&amp;CN$1&amp;""'!$C$4:$C$66""),INDIRECT(""'""&amp;CN$1&amp;""'!$D$4:$D$66"")=CN$2),$G$3:$BQ$3,$G154:$BQ154))),"""")"),"")</f>
        <v/>
      </c>
      <c r="CP154" s="252"/>
      <c r="CQ154" s="251">
        <f>IFERROR(__xludf.DUMMYFUNCTION("AVERAGE(ARRAYFORMULA(XLOOKUP(FILTER(INDIRECT(""'""&amp;CQ$1&amp;""'!$C$4:$C$66""),INDIRECT(""'""&amp;CQ$1&amp;""'!$D$4:$D$66"")=CQ$2),$G$3:$BQ$3,$G154:$BQ154)))"),1.0241109214285715)</f>
        <v>1.024110921</v>
      </c>
      <c r="CR154" s="207" t="str">
        <f>IFERROR(__xludf.DUMMYFUNCTION("IF(OR(CQ154&gt;$BS154+$BT154*$BT$2,CQ154&lt;$BS154-$BT154*$BT$2),AVEDEV(ARRAYFORMULA(XLOOKUP(FILTER(INDIRECT(""'""&amp;CQ$1&amp;""'!$C$4:$C$66""),INDIRECT(""'""&amp;CQ$1&amp;""'!$D$4:$D$66"")=CQ$2),$G$3:$BQ$3,$G154:$BQ154))),"""")"),"")</f>
        <v/>
      </c>
      <c r="CS154" s="251">
        <f>IFERROR(__xludf.DUMMYFUNCTION("AVERAGE(ARRAYFORMULA(XLOOKUP(FILTER(INDIRECT(""'""&amp;CS$1&amp;""'!$C$4:$C$66""),INDIRECT(""'""&amp;CS$1&amp;""'!$D$4:$D$66"")=CS$2),$G$3:$BQ$3,$G154:$BQ154)))"),2.088138772222222)</f>
        <v>2.088138772</v>
      </c>
      <c r="CT154" s="207" t="str">
        <f>IFERROR(__xludf.DUMMYFUNCTION("IF(OR(CS154&gt;$BS154+$BT154*$BT$2,CS154&lt;$BS154-$BT154*$BT$2),AVEDEV(ARRAYFORMULA(XLOOKUP(FILTER(INDIRECT(""'""&amp;CS$1&amp;""'!$C$4:$C$66""),INDIRECT(""'""&amp;CS$1&amp;""'!$D$4:$D$66"")=CS$2),$G$3:$BQ$3,$G154:$BQ154))),"""")"),"")</f>
        <v/>
      </c>
      <c r="CU154" s="251">
        <f>IFERROR(__xludf.DUMMYFUNCTION("AVERAGE(ARRAYFORMULA(XLOOKUP(FILTER(INDIRECT(""'""&amp;CU$1&amp;""'!$C$4:$C$66""),INDIRECT(""'""&amp;CU$1&amp;""'!$D$4:$D$66"")=CU$2),$G$3:$BQ$3,$G154:$BQ154)))"),0.08822400727272729)</f>
        <v>0.08822400727</v>
      </c>
      <c r="CV154" s="207" t="str">
        <f>IFERROR(__xludf.DUMMYFUNCTION("IF(OR(CU154&gt;$BS154+$BT154*$BT$2,CU154&lt;$BS154-$BT154*$BT$2),AVEDEV(ARRAYFORMULA(XLOOKUP(FILTER(INDIRECT(""'""&amp;CU$1&amp;""'!$C$4:$C$66""),INDIRECT(""'""&amp;CU$1&amp;""'!$D$4:$D$66"")=CU$2),$G$3:$BQ$3,$G154:$BQ154))),"""")"),"")</f>
        <v/>
      </c>
      <c r="CW154" s="251">
        <f>IFERROR(__xludf.DUMMYFUNCTION("AVERAGE(ARRAYFORMULA(XLOOKUP(FILTER(INDIRECT(""'""&amp;CW$1&amp;""'!$C$4:$C$66""),INDIRECT(""'""&amp;CW$1&amp;""'!$D$4:$D$66"")=CW$2),$G$3:$BQ$3,$G154:$BQ154)))"),-0.3881857)</f>
        <v>-0.3881857</v>
      </c>
      <c r="CX154" s="207" t="str">
        <f>IFERROR(__xludf.DUMMYFUNCTION("IF(OR(CW154&gt;$BS154+$BT154*$BT$2,CW154&lt;$BS154-$BT154*$BT$2),AVEDEV(ARRAYFORMULA(XLOOKUP(FILTER(INDIRECT(""'""&amp;CW$1&amp;""'!$C$4:$C$66""),INDIRECT(""'""&amp;CW$1&amp;""'!$D$4:$D$66"")=CW$2),$G$3:$BQ$3,$G154:$BQ154))),"""")"),"")</f>
        <v/>
      </c>
      <c r="CY154" s="251">
        <f>IFERROR(__xludf.DUMMYFUNCTION("AVERAGE(ARRAYFORMULA(XLOOKUP(FILTER(INDIRECT(""'""&amp;CY$1&amp;""'!$C$4:$C$66""),INDIRECT(""'""&amp;CY$1&amp;""'!$D$4:$D$66"")=CY$2),$G$3:$BQ$3,$G154:$BQ154)))"),1.0506329171428572)</f>
        <v>1.050632917</v>
      </c>
      <c r="CZ154" s="207" t="str">
        <f>IFERROR(__xludf.DUMMYFUNCTION("IF(OR(CY154&gt;$BS154+$BT154*$BT$2,CY154&lt;$BS154-$BT154*$BT$2),AVEDEV(ARRAYFORMULA(XLOOKUP(FILTER(INDIRECT(""'""&amp;CY$1&amp;""'!$C$4:$C$66""),INDIRECT(""'""&amp;CY$1&amp;""'!$D$4:$D$66"")=CY$2),$G$3:$BQ$3,$G154:$BQ154))),"""")"),"")</f>
        <v/>
      </c>
      <c r="DA154" s="252"/>
      <c r="DB154" s="251">
        <f>IFERROR(__xludf.DUMMYFUNCTION("AVERAGE(ARRAYFORMULA(XLOOKUP(FILTER(INDIRECT(""'""&amp;DB$1&amp;""'!$C$4:$C$66""),INDIRECT(""'""&amp;DB$1&amp;""'!$D$4:$D$66"")=DB$2),$G$3:$BQ$3,$G154:$BQ154)))"),0.890576659)</f>
        <v>0.890576659</v>
      </c>
      <c r="DC154" s="207" t="str">
        <f>IFERROR(__xludf.DUMMYFUNCTION("IF(OR(DB154&gt;$BS154+$BT154*$BT$2,DB154&lt;$BS154-$BT154*$BT$2),AVEDEV(ARRAYFORMULA(XLOOKUP(FILTER(INDIRECT(""'""&amp;DB$1&amp;""'!$C$4:$C$66""),INDIRECT(""'""&amp;DB$1&amp;""'!$D$4:$D$66"")=DB$2),$G$3:$BQ$3,$G154:$BQ154))),"""")"),"")</f>
        <v/>
      </c>
      <c r="DD154" s="251">
        <f>IFERROR(__xludf.DUMMYFUNCTION("AVERAGE(ARRAYFORMULA(XLOOKUP(FILTER(INDIRECT(""'""&amp;DD$1&amp;""'!$C$4:$C$66""),INDIRECT(""'""&amp;DD$1&amp;""'!$D$4:$D$66"")=DD$2),$G$3:$BQ$3,$G154:$BQ154)))"),2.495077353333333)</f>
        <v>2.495077353</v>
      </c>
      <c r="DE154" s="207" t="str">
        <f>IFERROR(__xludf.DUMMYFUNCTION("IF(OR(DD154&gt;$BS154+$BT154*$BT$2,DD154&lt;$BS154-$BT154*$BT$2),AVEDEV(ARRAYFORMULA(XLOOKUP(FILTER(INDIRECT(""'""&amp;DD$1&amp;""'!$C$4:$C$66""),INDIRECT(""'""&amp;DD$1&amp;""'!$D$4:$D$66"")=DD$2),$G$3:$BQ$3,$G154:$BQ154))),"""")"),"")</f>
        <v/>
      </c>
      <c r="DF154" s="251">
        <f>IFERROR(__xludf.DUMMYFUNCTION("AVERAGE(ARRAYFORMULA(XLOOKUP(FILTER(INDIRECT(""'""&amp;DF$1&amp;""'!$C$4:$C$66""),INDIRECT(""'""&amp;DF$1&amp;""'!$D$4:$D$66"")=DF$2),$G$3:$BQ$3,$G154:$BQ154)))"),-0.19725739125000002)</f>
        <v>-0.1972573913</v>
      </c>
      <c r="DG154" s="207" t="str">
        <f>IFERROR(__xludf.DUMMYFUNCTION("IF(OR(DF154&gt;$BS154+$BT154*$BT$2,DF154&lt;$BS154-$BT154*$BT$2),AVEDEV(ARRAYFORMULA(XLOOKUP(FILTER(INDIRECT(""'""&amp;DF$1&amp;""'!$C$4:$C$66""),INDIRECT(""'""&amp;DF$1&amp;""'!$D$4:$D$66"")=DF$2),$G$3:$BQ$3,$G154:$BQ154))),"""")"),"")</f>
        <v/>
      </c>
      <c r="DH154" s="251">
        <f>IFERROR(__xludf.DUMMYFUNCTION("AVERAGE(ARRAYFORMULA(XLOOKUP(FILTER(INDIRECT(""'""&amp;DH$1&amp;""'!$C$4:$C$66""),INDIRECT(""'""&amp;DH$1&amp;""'!$D$4:$D$66"")=DH$2),$G$3:$BQ$3,$G154:$BQ154)))"),0.24285043555555555)</f>
        <v>0.2428504356</v>
      </c>
      <c r="DI154" s="207" t="str">
        <f>IFERROR(__xludf.DUMMYFUNCTION("IF(OR(DH154&gt;$BS154+$BT154*$BT$2,DH154&lt;$BS154-$BT154*$BT$2),AVEDEV(ARRAYFORMULA(XLOOKUP(FILTER(INDIRECT(""'""&amp;DH$1&amp;""'!$C$4:$C$66""),INDIRECT(""'""&amp;DH$1&amp;""'!$D$4:$D$66"")=DH$2),$G$3:$BQ$3,$G154:$BQ154))),"""")"),"")</f>
        <v/>
      </c>
      <c r="DJ154" s="243"/>
    </row>
    <row r="155">
      <c r="A155" s="2"/>
      <c r="B155" s="204">
        <v>151.0</v>
      </c>
      <c r="C155" s="204" t="s">
        <v>540</v>
      </c>
      <c r="D155" s="204" t="s">
        <v>597</v>
      </c>
      <c r="E155" s="205" t="b">
        <f>VLOOKUP(D155,'Feature Set List'!A152:C246,2,0)</f>
        <v>1</v>
      </c>
      <c r="F155" s="205" t="b">
        <f>VLOOKUP(D155,'Feature Set List'!A152:C246,3,0)</f>
        <v>0</v>
      </c>
      <c r="G155" s="205">
        <v>0.24784078</v>
      </c>
      <c r="H155" s="205">
        <v>0.30642133</v>
      </c>
      <c r="I155" s="205">
        <v>0.229816</v>
      </c>
      <c r="J155" s="205">
        <v>0.99812242</v>
      </c>
      <c r="K155" s="205">
        <v>-0.5557642</v>
      </c>
      <c r="L155" s="205">
        <v>-0.8223808</v>
      </c>
      <c r="M155" s="205">
        <v>-0.3650019</v>
      </c>
      <c r="N155" s="205">
        <v>0.97408937</v>
      </c>
      <c r="O155" s="205">
        <v>-0.3064213</v>
      </c>
      <c r="P155" s="205">
        <v>-0.4573789</v>
      </c>
      <c r="Q155" s="205">
        <v>0.72324446</v>
      </c>
      <c r="R155" s="205">
        <v>-0.1967706</v>
      </c>
      <c r="S155" s="205">
        <v>-0.1937664</v>
      </c>
      <c r="T155" s="205">
        <v>-0.2508449</v>
      </c>
      <c r="U155" s="205">
        <v>-0.0818626</v>
      </c>
      <c r="V155" s="205">
        <v>0.79984979</v>
      </c>
      <c r="W155" s="205">
        <v>-0.482163</v>
      </c>
      <c r="X155" s="205">
        <v>0.27638002</v>
      </c>
      <c r="Y155" s="205">
        <v>-0.804356</v>
      </c>
      <c r="Z155" s="205">
        <v>1.4389786</v>
      </c>
      <c r="AA155" s="205">
        <v>-0.1359369</v>
      </c>
      <c r="AB155" s="205">
        <v>-0.29816</v>
      </c>
      <c r="AC155" s="205">
        <v>-0.1209163</v>
      </c>
      <c r="AD155" s="205">
        <v>1.0987608</v>
      </c>
      <c r="AE155" s="205">
        <v>0.37852047</v>
      </c>
      <c r="AF155" s="205">
        <v>-0.4739016</v>
      </c>
      <c r="AG155" s="205">
        <v>1.15659031</v>
      </c>
      <c r="AH155" s="205">
        <v>0.52121667</v>
      </c>
      <c r="AI155" s="205">
        <v>0.24183252</v>
      </c>
      <c r="AJ155" s="205">
        <v>-0.3289523</v>
      </c>
      <c r="AK155" s="205">
        <v>0.7953436</v>
      </c>
      <c r="AL155" s="205">
        <v>0.51746151</v>
      </c>
      <c r="AM155" s="205">
        <v>-0.184003</v>
      </c>
      <c r="AN155" s="205">
        <v>-0.068344</v>
      </c>
      <c r="AO155" s="205">
        <v>0.31843785</v>
      </c>
      <c r="AP155" s="205">
        <v>1.04468644</v>
      </c>
      <c r="AQ155" s="205">
        <v>0.85016898</v>
      </c>
      <c r="AR155" s="205">
        <v>1.9977469</v>
      </c>
      <c r="AS155" s="205">
        <v>-0.4641382</v>
      </c>
      <c r="AT155" s="205">
        <v>-0.1457003</v>
      </c>
      <c r="AU155" s="205">
        <v>1.93390913</v>
      </c>
      <c r="AV155" s="205">
        <v>0.00751033</v>
      </c>
      <c r="AW155" s="205">
        <v>1.04468644</v>
      </c>
      <c r="AX155" s="205">
        <v>0.98084867</v>
      </c>
      <c r="AY155" s="205">
        <v>0.67217424</v>
      </c>
      <c r="AZ155" s="205">
        <v>0.00675929</v>
      </c>
      <c r="BA155" s="205">
        <v>-0.5009388</v>
      </c>
      <c r="BB155" s="205">
        <v>1.11978971</v>
      </c>
      <c r="BC155" s="205">
        <v>0.28689448</v>
      </c>
      <c r="BD155" s="205">
        <v>-1.0026286</v>
      </c>
      <c r="BE155" s="205">
        <v>-0.2463387</v>
      </c>
      <c r="BF155" s="205">
        <v>-0.1990237</v>
      </c>
      <c r="BG155" s="205">
        <v>-0.5016898</v>
      </c>
      <c r="BH155" s="205">
        <v>1.11678558</v>
      </c>
      <c r="BI155" s="205">
        <v>-0.0931281</v>
      </c>
      <c r="BJ155" s="205">
        <v>0.50544499</v>
      </c>
      <c r="BK155" s="205">
        <v>0.49493053</v>
      </c>
      <c r="BL155" s="205">
        <v>-0.1945175</v>
      </c>
      <c r="BM155" s="205">
        <v>-0.3612467</v>
      </c>
      <c r="BN155" s="205">
        <v>-0.850169</v>
      </c>
      <c r="BO155" s="205">
        <v>-0.27638</v>
      </c>
      <c r="BP155" s="205">
        <v>0.0</v>
      </c>
      <c r="BQ155" s="205">
        <v>-0.9560646</v>
      </c>
      <c r="BR155" s="206"/>
      <c r="BS155" s="250">
        <f t="shared" si="1"/>
        <v>0.1772437065</v>
      </c>
      <c r="BT155" s="250">
        <f t="shared" si="2"/>
        <v>0.5692350826</v>
      </c>
      <c r="BU155" s="206"/>
      <c r="BV155" s="207">
        <f>IFERROR(__xludf.DUMMYFUNCTION("AVERAGE(ARRAYFORMULA(XLOOKUP(FILTER(INDIRECT(""'""&amp;BV$1&amp;""'!$C$4:$C$66""),INDIRECT(""'""&amp;BV$1&amp;""'!$D$4:$D$66"")=BV$2),$G$3:$BQ$3,$G155:$BQ155)))"),0.2662947171428572)</f>
        <v>0.2662947171</v>
      </c>
      <c r="BW155" s="207" t="str">
        <f>IFERROR(__xludf.DUMMYFUNCTION("IF(OR(BV155&gt;$BS155+$BT155*$BT$2,BV155&lt;$BS155-$BT155*$BT$2),AVEDEV(ARRAYFORMULA(XLOOKUP(FILTER(INDIRECT(""'""&amp;BV$1&amp;""'!$C$4:$C$66""),INDIRECT(""'""&amp;BV$1&amp;""'!$D$4:$D$66"")=BV$2),$G$3:$BQ$3,$G155:$BQ155))),"""")"),"")</f>
        <v/>
      </c>
      <c r="BX155" s="207">
        <f>IFERROR(__xludf.DUMMYFUNCTION("AVERAGE(ARRAYFORMULA(XLOOKUP(FILTER(INDIRECT(""'""&amp;BX$1&amp;""'!$C$4:$C$66""),INDIRECT(""'""&amp;BX$1&amp;""'!$D$4:$D$66"")=BX$2),$G$3:$BQ$3,$G155:$BQ155)))"),0.2953525354761905)</f>
        <v>0.2953525355</v>
      </c>
      <c r="BY155" s="207" t="str">
        <f>IFERROR(__xludf.DUMMYFUNCTION("IF(OR(BX155&gt;$BS155+$BT155*$BT$2,BX155&lt;$BS155-$BT155*$BT$2),AVEDEV(ARRAYFORMULA(XLOOKUP(FILTER(INDIRECT(""'""&amp;BX$1&amp;""'!$C$4:$C$66""),INDIRECT(""'""&amp;BX$1&amp;""'!$D$4:$D$66"")=BX$2),$G$3:$BQ$3,$G155:$BQ155))),"""")"),"")</f>
        <v/>
      </c>
      <c r="BZ155" s="207">
        <f>IFERROR(__xludf.DUMMYFUNCTION("AVERAGE(ARRAYFORMULA(XLOOKUP(FILTER(INDIRECT(""'""&amp;BZ$1&amp;""'!$C$4:$C$66""),INDIRECT(""'""&amp;BZ$1&amp;""'!$D$4:$D$66"")=BZ$2),$G$3:$BQ$3,$G155:$BQ155)))"),-0.38760113909090904)</f>
        <v>-0.3876011391</v>
      </c>
      <c r="CA155" s="207" t="str">
        <f>IFERROR(__xludf.DUMMYFUNCTION("IF(OR(BZ155&gt;$BS155+$BT155*$BT$2,BZ155&lt;$BS155-$BT155*$BT$2),AVEDEV(ARRAYFORMULA(XLOOKUP(FILTER(INDIRECT(""'""&amp;BZ$1&amp;""'!$C$4:$C$66""),INDIRECT(""'""&amp;BZ$1&amp;""'!$D$4:$D$66"")=BZ$2),$G$3:$BQ$3,$G155:$BQ155))),"""")"),"")</f>
        <v/>
      </c>
      <c r="CB155" s="209"/>
      <c r="CC155" s="207">
        <f>IFERROR(__xludf.DUMMYFUNCTION("AVERAGE(ARRAYFORMULA(XLOOKUP(FILTER(INDIRECT(""'""&amp;CC$1&amp;""'!$C$4:$C$66""),INDIRECT(""'""&amp;CC$1&amp;""'!$D$4:$D$66"")=CC$2),$G$3:$BQ$3,$G155:$BQ155)))"),0.54548441125)</f>
        <v>0.5454844113</v>
      </c>
      <c r="CD155" s="207" t="str">
        <f>IFERROR(__xludf.DUMMYFUNCTION("IF(OR(CC155&gt;$BS155+$BT155*$BT$2,CC155&lt;$BS155-$BT155*$BT$2),AVEDEV(ARRAYFORMULA(XLOOKUP(FILTER(INDIRECT(""'""&amp;CC$1&amp;""'!$C$4:$C$66""),INDIRECT(""'""&amp;CC$1&amp;""'!$D$4:$D$66"")=CC$2),$G$3:$BQ$3,$G155:$BQ155))),"""")"),"")</f>
        <v/>
      </c>
      <c r="CE155" s="207">
        <f>IFERROR(__xludf.DUMMYFUNCTION("AVERAGE(ARRAYFORMULA(XLOOKUP(FILTER(INDIRECT(""'""&amp;CE$1&amp;""'!$C$4:$C$66""),INDIRECT(""'""&amp;CE$1&amp;""'!$D$4:$D$66"")=CE$2),$G$3:$BQ$3,$G155:$BQ155)))"),0.014947967096774194)</f>
        <v>0.0149479671</v>
      </c>
      <c r="CF155" s="207" t="str">
        <f>IFERROR(__xludf.DUMMYFUNCTION("IF(OR(CE155&gt;$BS155+$BT155*$BT$2,CE155&lt;$BS155-$BT155*$BT$2),AVEDEV(ARRAYFORMULA(XLOOKUP(FILTER(INDIRECT(""'""&amp;CE$1&amp;""'!$C$4:$C$66""),INDIRECT(""'""&amp;CE$1&amp;""'!$D$4:$D$66"")=CE$2),$G$3:$BQ$3,$G155:$BQ155))),"""")"),"")</f>
        <v/>
      </c>
      <c r="CG155" s="207">
        <f>IFERROR(__xludf.DUMMYFUNCTION("AVERAGE(ARRAYFORMULA(XLOOKUP(FILTER(INDIRECT(""'""&amp;CG$1&amp;""'!$C$4:$C$66""),INDIRECT(""'""&amp;CG$1&amp;""'!$D$4:$D$66"")=CG$2),$G$3:$BQ$3,$G155:$BQ155)))"),-0.43499812000000004)</f>
        <v>-0.43499812</v>
      </c>
      <c r="CH155" s="207">
        <f>IFERROR(__xludf.DUMMYFUNCTION("IF(OR(CG155&gt;$BS155+$BT155*$BT$2,CG155&lt;$BS155-$BT155*$BT$2),AVEDEV(ARRAYFORMULA(XLOOKUP(FILTER(INDIRECT(""'""&amp;CG$1&amp;""'!$C$4:$C$66""),INDIRECT(""'""&amp;CG$1&amp;""'!$D$4:$D$66"")=CG$2),$G$3:$BQ$3,$G155:$BQ155))),"""")"),0.07366128799999996)</f>
        <v>0.073661288</v>
      </c>
      <c r="CI155" s="206"/>
      <c r="CJ155" s="251">
        <f>IFERROR(__xludf.DUMMYFUNCTION("AVERAGE(ARRAYFORMULA(XLOOKUP(FILTER(INDIRECT(""'""&amp;CJ$1&amp;""'!$C$4:$C$66""),INDIRECT(""'""&amp;CJ$1&amp;""'!$D$4:$D$66"")=CJ$2),$G$3:$BQ$3,$G155:$BQ155)))"),0.06979596799999999)</f>
        <v>0.069795968</v>
      </c>
      <c r="CK155" s="207" t="str">
        <f>IFERROR(__xludf.DUMMYFUNCTION("IF(OR(CJ155&gt;$BS155+$BT155*$BT$2,CJ155&lt;$BS155-$BT155*$BT$2),AVEDEV(ARRAYFORMULA(XLOOKUP(FILTER(INDIRECT(""'""&amp;CJ$1&amp;""'!$C$4:$C$66""),INDIRECT(""'""&amp;CJ$1&amp;""'!$D$4:$D$66"")=CJ$2),$G$3:$BQ$3,$G155:$BQ155))),"""")"),"")</f>
        <v/>
      </c>
      <c r="CL155" s="251">
        <f>IFERROR(__xludf.DUMMYFUNCTION("AVERAGE(ARRAYFORMULA(XLOOKUP(FILTER(INDIRECT(""'""&amp;CL$1&amp;""'!$C$4:$C$66""),INDIRECT(""'""&amp;CL$1&amp;""'!$D$4:$D$66"")=CL$2),$G$3:$BQ$3,$G155:$BQ155)))"),0.29045706564102575)</f>
        <v>0.2904570656</v>
      </c>
      <c r="CM155" s="207" t="str">
        <f>IFERROR(__xludf.DUMMYFUNCTION("IF(OR(CL155&gt;$BS155+$BT155*$BT$2,CL155&lt;$BS155-$BT155*$BT$2),AVEDEV(ARRAYFORMULA(XLOOKUP(FILTER(INDIRECT(""'""&amp;CL$1&amp;""'!$C$4:$C$66""),INDIRECT(""'""&amp;CL$1&amp;""'!$D$4:$D$66"")=CL$2),$G$3:$BQ$3,$G155:$BQ155))),"""")"),"")</f>
        <v/>
      </c>
      <c r="CN155" s="251">
        <f>IFERROR(__xludf.DUMMYFUNCTION("AVERAGE(ARRAYFORMULA(XLOOKUP(FILTER(INDIRECT(""'""&amp;CN$1&amp;""'!$C$4:$C$66""),INDIRECT(""'""&amp;CN$1&amp;""'!$D$4:$D$66"")=CN$2),$G$3:$BQ$3,$G155:$BQ155)))"),-0.43499812000000004)</f>
        <v>-0.43499812</v>
      </c>
      <c r="CO155" s="207">
        <f>IFERROR(__xludf.DUMMYFUNCTION("IF(OR(CN155&gt;$BS155+$BT155*$BT$2,CN155&lt;$BS155-$BT155*$BT$2),AVEDEV(ARRAYFORMULA(XLOOKUP(FILTER(INDIRECT(""'""&amp;CN$1&amp;""'!$C$4:$C$66""),INDIRECT(""'""&amp;CN$1&amp;""'!$D$4:$D$66"")=CN$2),$G$3:$BQ$3,$G155:$BQ155))),"""")"),0.07366128799999996)</f>
        <v>0.073661288</v>
      </c>
      <c r="CP155" s="252"/>
      <c r="CQ155" s="251">
        <f>IFERROR(__xludf.DUMMYFUNCTION("AVERAGE(ARRAYFORMULA(XLOOKUP(FILTER(INDIRECT(""'""&amp;CQ$1&amp;""'!$C$4:$C$66""),INDIRECT(""'""&amp;CQ$1&amp;""'!$D$4:$D$66"")=CQ$2),$G$3:$BQ$3,$G155:$BQ155)))"),0.6716914292857142)</f>
        <v>0.6716914293</v>
      </c>
      <c r="CR155" s="207" t="str">
        <f>IFERROR(__xludf.DUMMYFUNCTION("IF(OR(CQ155&gt;$BS155+$BT155*$BT$2,CQ155&lt;$BS155-$BT155*$BT$2),AVEDEV(ARRAYFORMULA(XLOOKUP(FILTER(INDIRECT(""'""&amp;CQ$1&amp;""'!$C$4:$C$66""),INDIRECT(""'""&amp;CQ$1&amp;""'!$D$4:$D$66"")=CQ$2),$G$3:$BQ$3,$G155:$BQ155))),"""")"),"")</f>
        <v/>
      </c>
      <c r="CS155" s="251">
        <f>IFERROR(__xludf.DUMMYFUNCTION("AVERAGE(ARRAYFORMULA(XLOOKUP(FILTER(INDIRECT(""'""&amp;CS$1&amp;""'!$C$4:$C$66""),INDIRECT(""'""&amp;CS$1&amp;""'!$D$4:$D$66"")=CS$2),$G$3:$BQ$3,$G155:$BQ155)))"),-0.43434723555555554)</f>
        <v>-0.4343472356</v>
      </c>
      <c r="CT155" s="207">
        <f>IFERROR(__xludf.DUMMYFUNCTION("IF(OR(CS155&gt;$BS155+$BT155*$BT$2,CS155&lt;$BS155-$BT155*$BT$2),AVEDEV(ARRAYFORMULA(XLOOKUP(FILTER(INDIRECT(""'""&amp;CS$1&amp;""'!$C$4:$C$66""),INDIRECT(""'""&amp;CS$1&amp;""'!$D$4:$D$66"")=CS$2),$G$3:$BQ$3,$G155:$BQ155))),"""")"),0.20778570814814815)</f>
        <v>0.2077857081</v>
      </c>
      <c r="CU155" s="251">
        <f>IFERROR(__xludf.DUMMYFUNCTION("AVERAGE(ARRAYFORMULA(XLOOKUP(FILTER(INDIRECT(""'""&amp;CU$1&amp;""'!$C$4:$C$66""),INDIRECT(""'""&amp;CU$1&amp;""'!$D$4:$D$66"")=CU$2),$G$3:$BQ$3,$G155:$BQ155)))"),-0.12009694636363637)</f>
        <v>-0.1200969464</v>
      </c>
      <c r="CV155" s="207" t="str">
        <f>IFERROR(__xludf.DUMMYFUNCTION("IF(OR(CU155&gt;$BS155+$BT155*$BT$2,CU155&lt;$BS155-$BT155*$BT$2),AVEDEV(ARRAYFORMULA(XLOOKUP(FILTER(INDIRECT(""'""&amp;CU$1&amp;""'!$C$4:$C$66""),INDIRECT(""'""&amp;CU$1&amp;""'!$D$4:$D$66"")=CU$2),$G$3:$BQ$3,$G155:$BQ155))),"""")"),"")</f>
        <v/>
      </c>
      <c r="CW155" s="251">
        <f>IFERROR(__xludf.DUMMYFUNCTION("AVERAGE(ARRAYFORMULA(XLOOKUP(FILTER(INDIRECT(""'""&amp;CW$1&amp;""'!$C$4:$C$66""),INDIRECT(""'""&amp;CW$1&amp;""'!$D$4:$D$66"")=CW$2),$G$3:$BQ$3,$G155:$BQ155)))"),1.10777319)</f>
        <v>1.10777319</v>
      </c>
      <c r="CX155" s="207">
        <f>IFERROR(__xludf.DUMMYFUNCTION("IF(OR(CW155&gt;$BS155+$BT155*$BT$2,CW155&lt;$BS155-$BT155*$BT$2),AVEDEV(ARRAYFORMULA(XLOOKUP(FILTER(INDIRECT(""'""&amp;CW$1&amp;""'!$C$4:$C$66""),INDIRECT(""'""&amp;CW$1&amp;""'!$D$4:$D$66"")=CW$2),$G$3:$BQ$3,$G155:$BQ155))),"""")"),0.009012389999999981)</f>
        <v>0.00901239</v>
      </c>
      <c r="CY155" s="251">
        <f>IFERROR(__xludf.DUMMYFUNCTION("AVERAGE(ARRAYFORMULA(XLOOKUP(FILTER(INDIRECT(""'""&amp;CY$1&amp;""'!$C$4:$C$66""),INDIRECT(""'""&amp;CY$1&amp;""'!$D$4:$D$66"")=CY$2),$G$3:$BQ$3,$G155:$BQ155)))"),0.22380772857142855)</f>
        <v>0.2238077286</v>
      </c>
      <c r="CZ155" s="207" t="str">
        <f>IFERROR(__xludf.DUMMYFUNCTION("IF(OR(CY155&gt;$BS155+$BT155*$BT$2,CY155&lt;$BS155-$BT155*$BT$2),AVEDEV(ARRAYFORMULA(XLOOKUP(FILTER(INDIRECT(""'""&amp;CY$1&amp;""'!$C$4:$C$66""),INDIRECT(""'""&amp;CY$1&amp;""'!$D$4:$D$66"")=CY$2),$G$3:$BQ$3,$G155:$BQ155))),"""")"),"")</f>
        <v/>
      </c>
      <c r="DA155" s="252"/>
      <c r="DB155" s="251">
        <f>IFERROR(__xludf.DUMMYFUNCTION("AVERAGE(ARRAYFORMULA(XLOOKUP(FILTER(INDIRECT(""'""&amp;DB$1&amp;""'!$C$4:$C$66""),INDIRECT(""'""&amp;DB$1&amp;""'!$D$4:$D$66"")=DB$2),$G$3:$BQ$3,$G155:$BQ155)))"),0.36497683833333344)</f>
        <v>0.3649768383</v>
      </c>
      <c r="DC155" s="207" t="str">
        <f>IFERROR(__xludf.DUMMYFUNCTION("IF(OR(DB155&gt;$BS155+$BT155*$BT$2,DB155&lt;$BS155-$BT155*$BT$2),AVEDEV(ARRAYFORMULA(XLOOKUP(FILTER(INDIRECT(""'""&amp;DB$1&amp;""'!$C$4:$C$66""),INDIRECT(""'""&amp;DB$1&amp;""'!$D$4:$D$66"")=DB$2),$G$3:$BQ$3,$G155:$BQ155))),"""")"),"")</f>
        <v/>
      </c>
      <c r="DD155" s="251">
        <f>IFERROR(__xludf.DUMMYFUNCTION("AVERAGE(ARRAYFORMULA(XLOOKUP(FILTER(INDIRECT(""'""&amp;DD$1&amp;""'!$C$4:$C$66""),INDIRECT(""'""&amp;DD$1&amp;""'!$D$4:$D$66"")=DD$2),$G$3:$BQ$3,$G155:$BQ155)))"),-0.3316226544444444)</f>
        <v>-0.3316226544</v>
      </c>
      <c r="DE155" s="207" t="str">
        <f>IFERROR(__xludf.DUMMYFUNCTION("IF(OR(DD155&gt;$BS155+$BT155*$BT$2,DD155&lt;$BS155-$BT155*$BT$2),AVEDEV(ARRAYFORMULA(XLOOKUP(FILTER(INDIRECT(""'""&amp;DD$1&amp;""'!$C$4:$C$66""),INDIRECT(""'""&amp;DD$1&amp;""'!$D$4:$D$66"")=DD$2),$G$3:$BQ$3,$G155:$BQ155))),"""")"),"")</f>
        <v/>
      </c>
      <c r="DF155" s="251">
        <f>IFERROR(__xludf.DUMMYFUNCTION("AVERAGE(ARRAYFORMULA(XLOOKUP(FILTER(INDIRECT(""'""&amp;DF$1&amp;""'!$C$4:$C$66""),INDIRECT(""'""&amp;DF$1&amp;""'!$D$4:$D$66"")=DF$2),$G$3:$BQ$3,$G155:$BQ155)))"),-0.07059707125)</f>
        <v>-0.07059707125</v>
      </c>
      <c r="DG155" s="207" t="str">
        <f>IFERROR(__xludf.DUMMYFUNCTION("IF(OR(DF155&gt;$BS155+$BT155*$BT$2,DF155&lt;$BS155-$BT155*$BT$2),AVEDEV(ARRAYFORMULA(XLOOKUP(FILTER(INDIRECT(""'""&amp;DF$1&amp;""'!$C$4:$C$66""),INDIRECT(""'""&amp;DF$1&amp;""'!$D$4:$D$66"")=DF$2),$G$3:$BQ$3,$G155:$BQ155))),"""")"),"")</f>
        <v/>
      </c>
      <c r="DH155" s="251">
        <f>IFERROR(__xludf.DUMMYFUNCTION("AVERAGE(ARRAYFORMULA(XLOOKUP(FILTER(INDIRECT(""'""&amp;DH$1&amp;""'!$C$4:$C$66""),INDIRECT(""'""&amp;DH$1&amp;""'!$D$4:$D$66"")=DH$2),$G$3:$BQ$3,$G155:$BQ155)))"),0.023031668888888874)</f>
        <v>0.02303166889</v>
      </c>
      <c r="DI155" s="207" t="str">
        <f>IFERROR(__xludf.DUMMYFUNCTION("IF(OR(DH155&gt;$BS155+$BT155*$BT$2,DH155&lt;$BS155-$BT155*$BT$2),AVEDEV(ARRAYFORMULA(XLOOKUP(FILTER(INDIRECT(""'""&amp;DH$1&amp;""'!$C$4:$C$66""),INDIRECT(""'""&amp;DH$1&amp;""'!$D$4:$D$66"")=DH$2),$G$3:$BQ$3,$G155:$BQ155))),"""")"),"")</f>
        <v/>
      </c>
      <c r="DJ155" s="243"/>
    </row>
    <row r="156">
      <c r="A156" s="2"/>
      <c r="B156" s="204">
        <v>152.0</v>
      </c>
      <c r="C156" s="204" t="s">
        <v>540</v>
      </c>
      <c r="D156" s="204" t="s">
        <v>598</v>
      </c>
      <c r="E156" s="205" t="b">
        <f>VLOOKUP(D156,'Feature Set List'!A153:C246,2,0)</f>
        <v>1</v>
      </c>
      <c r="F156" s="205" t="b">
        <f>VLOOKUP(D156,'Feature Set List'!A153:C246,3,0)</f>
        <v>0</v>
      </c>
      <c r="G156" s="205">
        <v>0.06800618</v>
      </c>
      <c r="H156" s="205">
        <v>0.22153529</v>
      </c>
      <c r="I156" s="205">
        <v>0.33590933</v>
      </c>
      <c r="J156" s="205">
        <v>0.80783101</v>
      </c>
      <c r="K156" s="205">
        <v>-0.6326636</v>
      </c>
      <c r="L156" s="205">
        <v>-1.0303967</v>
      </c>
      <c r="M156" s="205">
        <v>-0.4513138</v>
      </c>
      <c r="N156" s="205">
        <v>0.63781556</v>
      </c>
      <c r="O156" s="205">
        <v>0.0</v>
      </c>
      <c r="P156" s="205">
        <v>-0.5358063</v>
      </c>
      <c r="Q156" s="205">
        <v>0.44100979</v>
      </c>
      <c r="R156" s="205">
        <v>-0.303967</v>
      </c>
      <c r="S156" s="205">
        <v>-0.0061824</v>
      </c>
      <c r="T156" s="205">
        <v>-0.5327151</v>
      </c>
      <c r="U156" s="205">
        <v>-0.0587326</v>
      </c>
      <c r="V156" s="205">
        <v>0.64399794</v>
      </c>
      <c r="W156" s="205">
        <v>-0.6347244</v>
      </c>
      <c r="X156" s="205">
        <v>0.22977846</v>
      </c>
      <c r="Y156" s="205">
        <v>-1.0458527</v>
      </c>
      <c r="Z156" s="205">
        <v>1.26223596</v>
      </c>
      <c r="AA156" s="205">
        <v>-0.2400824</v>
      </c>
      <c r="AB156" s="205">
        <v>-0.2029882</v>
      </c>
      <c r="AC156" s="205">
        <v>-0.2792375</v>
      </c>
      <c r="AD156" s="205">
        <v>1.0922205</v>
      </c>
      <c r="AE156" s="205">
        <v>0.24523442</v>
      </c>
      <c r="AF156" s="205">
        <v>-0.7604328</v>
      </c>
      <c r="AG156" s="205">
        <v>1.26429675</v>
      </c>
      <c r="AH156" s="205">
        <v>0.14940752</v>
      </c>
      <c r="AI156" s="205">
        <v>0.01133436</v>
      </c>
      <c r="AJ156" s="205">
        <v>-0.309119</v>
      </c>
      <c r="AK156" s="205">
        <v>0.59866048</v>
      </c>
      <c r="AL156" s="205">
        <v>0.20504894</v>
      </c>
      <c r="AM156" s="205">
        <v>-0.3585781</v>
      </c>
      <c r="AN156" s="205">
        <v>-0.1442555</v>
      </c>
      <c r="AO156" s="205">
        <v>0.1576507</v>
      </c>
      <c r="AP156" s="205">
        <v>0.82740855</v>
      </c>
      <c r="AQ156" s="205">
        <v>0.92632664</v>
      </c>
      <c r="AR156" s="205">
        <v>1.17877383</v>
      </c>
      <c r="AS156" s="205">
        <v>-0.5935085</v>
      </c>
      <c r="AT156" s="205">
        <v>-0.184441</v>
      </c>
      <c r="AU156" s="205">
        <v>1.44255538</v>
      </c>
      <c r="AV156" s="205">
        <v>0.2812983</v>
      </c>
      <c r="AW156" s="205">
        <v>1.0005152</v>
      </c>
      <c r="AX156" s="205">
        <v>0.69860896</v>
      </c>
      <c r="AY156" s="205">
        <v>0.79855744</v>
      </c>
      <c r="AZ156" s="205">
        <v>0.25759918</v>
      </c>
      <c r="BA156" s="205">
        <v>-0.6223596</v>
      </c>
      <c r="BB156" s="205">
        <v>0.62854199</v>
      </c>
      <c r="BC156" s="205">
        <v>0.15352911</v>
      </c>
      <c r="BD156" s="205">
        <v>-1.1344668</v>
      </c>
      <c r="BE156" s="205">
        <v>0.22977846</v>
      </c>
      <c r="BF156" s="205">
        <v>-0.1391036</v>
      </c>
      <c r="BG156" s="205">
        <v>-0.6357548</v>
      </c>
      <c r="BH156" s="205">
        <v>1.11179804</v>
      </c>
      <c r="BI156" s="205">
        <v>-0.5574446</v>
      </c>
      <c r="BJ156" s="205">
        <v>0.46470891</v>
      </c>
      <c r="BK156" s="205">
        <v>-0.0175167</v>
      </c>
      <c r="BL156" s="205">
        <v>-0.4853168</v>
      </c>
      <c r="BM156" s="205">
        <v>-0.6924266</v>
      </c>
      <c r="BN156" s="205">
        <v>-1.1478619</v>
      </c>
      <c r="BO156" s="205">
        <v>-0.4327666</v>
      </c>
      <c r="BP156" s="205">
        <v>-0.1020093</v>
      </c>
      <c r="BQ156" s="205">
        <v>-1.192272</v>
      </c>
      <c r="BR156" s="206"/>
      <c r="BS156" s="250">
        <f t="shared" si="1"/>
        <v>0.04615359175</v>
      </c>
      <c r="BT156" s="250">
        <f t="shared" si="2"/>
        <v>0.5389216212</v>
      </c>
      <c r="BU156" s="206"/>
      <c r="BV156" s="207">
        <f>IFERROR(__xludf.DUMMYFUNCTION("AVERAGE(ARRAYFORMULA(XLOOKUP(FILTER(INDIRECT(""'""&amp;BV$1&amp;""'!$C$4:$C$66""),INDIRECT(""'""&amp;BV$1&amp;""'!$D$4:$D$66"")=BV$2),$G$3:$BQ$3,$G156:$BQ156)))"),0.2143225214285714)</f>
        <v>0.2143225214</v>
      </c>
      <c r="BW156" s="207" t="str">
        <f>IFERROR(__xludf.DUMMYFUNCTION("IF(OR(BV156&gt;$BS156+$BT156*$BT$2,BV156&lt;$BS156-$BT156*$BT$2),AVEDEV(ARRAYFORMULA(XLOOKUP(FILTER(INDIRECT(""'""&amp;BV$1&amp;""'!$C$4:$C$66""),INDIRECT(""'""&amp;BV$1&amp;""'!$D$4:$D$66"")=BV$2),$G$3:$BQ$3,$G156:$BQ156))),"""")"),"")</f>
        <v/>
      </c>
      <c r="BX156" s="207">
        <f>IFERROR(__xludf.DUMMYFUNCTION("AVERAGE(ARRAYFORMULA(XLOOKUP(FILTER(INDIRECT(""'""&amp;BX$1&amp;""'!$C$4:$C$66""),INDIRECT(""'""&amp;BX$1&amp;""'!$D$4:$D$66"")=BX$2),$G$3:$BQ$3,$G156:$BQ156)))"),0.16056769904761894)</f>
        <v>0.160567699</v>
      </c>
      <c r="BY156" s="207" t="str">
        <f>IFERROR(__xludf.DUMMYFUNCTION("IF(OR(BX156&gt;$BS156+$BT156*$BT$2,BX156&lt;$BS156-$BT156*$BT$2),AVEDEV(ARRAYFORMULA(XLOOKUP(FILTER(INDIRECT(""'""&amp;BX$1&amp;""'!$C$4:$C$66""),INDIRECT(""'""&amp;BX$1&amp;""'!$D$4:$D$66"")=BX$2),$G$3:$BQ$3,$G156:$BQ156))),"""")"),"")</f>
        <v/>
      </c>
      <c r="BZ156" s="207">
        <f>IFERROR(__xludf.DUMMYFUNCTION("AVERAGE(ARRAYFORMULA(XLOOKUP(FILTER(INDIRECT(""'""&amp;BZ$1&amp;""'!$C$4:$C$66""),INDIRECT(""'""&amp;BZ$1&amp;""'!$D$4:$D$66"")=BZ$2),$G$3:$BQ$3,$G156:$BQ156)))"),-0.5436747854545454)</f>
        <v>-0.5436747855</v>
      </c>
      <c r="CA156" s="207">
        <f>IFERROR(__xludf.DUMMYFUNCTION("IF(OR(BZ156&gt;$BS156+$BT156*$BT$2,BZ156&lt;$BS156-$BT156*$BT$2),AVEDEV(ARRAYFORMULA(XLOOKUP(FILTER(INDIRECT(""'""&amp;BZ$1&amp;""'!$C$4:$C$66""),INDIRECT(""'""&amp;BZ$1&amp;""'!$D$4:$D$66"")=BZ$2),$G$3:$BQ$3,$G156:$BQ156))),"""")"),0.27711710677685947)</f>
        <v>0.2771171068</v>
      </c>
      <c r="CB156" s="209"/>
      <c r="CC156" s="207">
        <f>IFERROR(__xludf.DUMMYFUNCTION("AVERAGE(ARRAYFORMULA(XLOOKUP(FILTER(INDIRECT(""'""&amp;CC$1&amp;""'!$C$4:$C$66""),INDIRECT(""'""&amp;CC$1&amp;""'!$D$4:$D$66"")=CC$2),$G$3:$BQ$3,$G156:$BQ156)))"),0.424909836875)</f>
        <v>0.4249098369</v>
      </c>
      <c r="CD156" s="207" t="str">
        <f>IFERROR(__xludf.DUMMYFUNCTION("IF(OR(CC156&gt;$BS156+$BT156*$BT$2,CC156&lt;$BS156-$BT156*$BT$2),AVEDEV(ARRAYFORMULA(XLOOKUP(FILTER(INDIRECT(""'""&amp;CC$1&amp;""'!$C$4:$C$66""),INDIRECT(""'""&amp;CC$1&amp;""'!$D$4:$D$66"")=CC$2),$G$3:$BQ$3,$G156:$BQ156))),"""")"),"")</f>
        <v/>
      </c>
      <c r="CE156" s="207">
        <f>IFERROR(__xludf.DUMMYFUNCTION("AVERAGE(ARRAYFORMULA(XLOOKUP(FILTER(INDIRECT(""'""&amp;CE$1&amp;""'!$C$4:$C$66""),INDIRECT(""'""&amp;CE$1&amp;""'!$D$4:$D$66"")=CE$2),$G$3:$BQ$3,$G156:$BQ156)))"),-0.07538847903225808)</f>
        <v>-0.07538847903</v>
      </c>
      <c r="CF156" s="207" t="str">
        <f>IFERROR(__xludf.DUMMYFUNCTION("IF(OR(CE156&gt;$BS156+$BT156*$BT$2,CE156&lt;$BS156-$BT156*$BT$2),AVEDEV(ARRAYFORMULA(XLOOKUP(FILTER(INDIRECT(""'""&amp;CE$1&amp;""'!$C$4:$C$66""),INDIRECT(""'""&amp;CE$1&amp;""'!$D$4:$D$66"")=CE$2),$G$3:$BQ$3,$G156:$BQ156))),"""")"),"")</f>
        <v/>
      </c>
      <c r="CG156" s="207">
        <f>IFERROR(__xludf.DUMMYFUNCTION("AVERAGE(ARRAYFORMULA(XLOOKUP(FILTER(INDIRECT(""'""&amp;CG$1&amp;""'!$C$4:$C$66""),INDIRECT(""'""&amp;CG$1&amp;""'!$D$4:$D$66"")=CG$2),$G$3:$BQ$3,$G156:$BQ156)))"),-0.58402886)</f>
        <v>-0.58402886</v>
      </c>
      <c r="CH156" s="207">
        <f>IFERROR(__xludf.DUMMYFUNCTION("IF(OR(CG156&gt;$BS156+$BT156*$BT$2,CG156&lt;$BS156-$BT156*$BT$2),AVEDEV(ARRAYFORMULA(XLOOKUP(FILTER(INDIRECT(""'""&amp;CG$1&amp;""'!$C$4:$C$66""),INDIRECT(""'""&amp;CG$1&amp;""'!$D$4:$D$66"")=CG$2),$G$3:$BQ$3,$G156:$BQ156))),"""")"),0.039814528)</f>
        <v>0.039814528</v>
      </c>
      <c r="CI156" s="206"/>
      <c r="CJ156" s="251">
        <f>IFERROR(__xludf.DUMMYFUNCTION("AVERAGE(ARRAYFORMULA(XLOOKUP(FILTER(INDIRECT(""'""&amp;CJ$1&amp;""'!$C$4:$C$66""),INDIRECT(""'""&amp;CJ$1&amp;""'!$D$4:$D$66"")=CJ$2),$G$3:$BQ$3,$G156:$BQ156)))"),-0.06319766733333333)</f>
        <v>-0.06319766733</v>
      </c>
      <c r="CK156" s="207" t="str">
        <f>IFERROR(__xludf.DUMMYFUNCTION("IF(OR(CJ156&gt;$BS156+$BT156*$BT$2,CJ156&lt;$BS156-$BT156*$BT$2),AVEDEV(ARRAYFORMULA(XLOOKUP(FILTER(INDIRECT(""'""&amp;CJ$1&amp;""'!$C$4:$C$66""),INDIRECT(""'""&amp;CJ$1&amp;""'!$D$4:$D$66"")=CJ$2),$G$3:$BQ$3,$G156:$BQ156))),"""")"),"")</f>
        <v/>
      </c>
      <c r="CL156" s="251">
        <f>IFERROR(__xludf.DUMMYFUNCTION("AVERAGE(ARRAYFORMULA(XLOOKUP(FILTER(INDIRECT(""'""&amp;CL$1&amp;""'!$C$4:$C$66""),INDIRECT(""'""&amp;CL$1&amp;""'!$D$4:$D$66"")=CL$2),$G$3:$BQ$3,$G156:$BQ156)))"),0.16966934564102562)</f>
        <v>0.1696693456</v>
      </c>
      <c r="CM156" s="207" t="str">
        <f>IFERROR(__xludf.DUMMYFUNCTION("IF(OR(CL156&gt;$BS156+$BT156*$BT$2,CL156&lt;$BS156-$BT156*$BT$2),AVEDEV(ARRAYFORMULA(XLOOKUP(FILTER(INDIRECT(""'""&amp;CL$1&amp;""'!$C$4:$C$66""),INDIRECT(""'""&amp;CL$1&amp;""'!$D$4:$D$66"")=CL$2),$G$3:$BQ$3,$G156:$BQ156))),"""")"),"")</f>
        <v/>
      </c>
      <c r="CN156" s="253">
        <f>IFERROR(__xludf.DUMMYFUNCTION("AVERAGE(ARRAYFORMULA(XLOOKUP(FILTER(INDIRECT(""'""&amp;CN$1&amp;""'!$C$4:$C$66""),INDIRECT(""'""&amp;CN$1&amp;""'!$D$4:$D$66"")=CN$2),$G$3:$BQ$3,$G156:$BQ156)))"),-0.58402886)</f>
        <v>-0.58402886</v>
      </c>
      <c r="CO156" s="207">
        <f>IFERROR(__xludf.DUMMYFUNCTION("IF(OR(CN156&gt;$BS156+$BT156*$BT$2,CN156&lt;$BS156-$BT156*$BT$2),AVEDEV(ARRAYFORMULA(XLOOKUP(FILTER(INDIRECT(""'""&amp;CN$1&amp;""'!$C$4:$C$66""),INDIRECT(""'""&amp;CN$1&amp;""'!$D$4:$D$66"")=CN$2),$G$3:$BQ$3,$G156:$BQ156))),"""")"),0.039814528)</f>
        <v>0.039814528</v>
      </c>
      <c r="CP156" s="252"/>
      <c r="CQ156" s="251">
        <f>IFERROR(__xludf.DUMMYFUNCTION("AVERAGE(ARRAYFORMULA(XLOOKUP(FILTER(INDIRECT(""'""&amp;CQ$1&amp;""'!$C$4:$C$66""),INDIRECT(""'""&amp;CQ$1&amp;""'!$D$4:$D$66"")=CQ$2),$G$3:$BQ$3,$G156:$BQ156)))"),0.5166703457142857)</f>
        <v>0.5166703457</v>
      </c>
      <c r="CR156" s="207" t="str">
        <f>IFERROR(__xludf.DUMMYFUNCTION("IF(OR(CQ156&gt;$BS156+$BT156*$BT$2,CQ156&lt;$BS156-$BT156*$BT$2),AVEDEV(ARRAYFORMULA(XLOOKUP(FILTER(INDIRECT(""'""&amp;CQ$1&amp;""'!$C$4:$C$66""),INDIRECT(""'""&amp;CQ$1&amp;""'!$D$4:$D$66"")=CQ$2),$G$3:$BQ$3,$G156:$BQ156))),"""")"),"")</f>
        <v/>
      </c>
      <c r="CS156" s="251">
        <f>IFERROR(__xludf.DUMMYFUNCTION("AVERAGE(ARRAYFORMULA(XLOOKUP(FILTER(INDIRECT(""'""&amp;CS$1&amp;""'!$C$4:$C$66""),INDIRECT(""'""&amp;CS$1&amp;""'!$D$4:$D$66"")=CS$2),$G$3:$BQ$3,$G156:$BQ156)))"),-0.6161772466666667)</f>
        <v>-0.6161772467</v>
      </c>
      <c r="CT156" s="207">
        <f>IFERROR(__xludf.DUMMYFUNCTION("IF(OR(CS156&gt;$BS156+$BT156*$BT$2,CS156&lt;$BS156-$BT156*$BT$2),AVEDEV(ARRAYFORMULA(XLOOKUP(FILTER(INDIRECT(""'""&amp;CS$1&amp;""'!$C$4:$C$66""),INDIRECT(""'""&amp;CS$1&amp;""'!$D$4:$D$66"")=CS$2),$G$3:$BQ$3,$G156:$BQ156))),"""")"),0.225084437037037)</f>
        <v>0.225084437</v>
      </c>
      <c r="CU156" s="251">
        <f>IFERROR(__xludf.DUMMYFUNCTION("AVERAGE(ARRAYFORMULA(XLOOKUP(FILTER(INDIRECT(""'""&amp;CU$1&amp;""'!$C$4:$C$66""),INDIRECT(""'""&amp;CU$1&amp;""'!$D$4:$D$66"")=CU$2),$G$3:$BQ$3,$G156:$BQ156)))"),-0.1501569090909091)</f>
        <v>-0.1501569091</v>
      </c>
      <c r="CV156" s="207" t="str">
        <f>IFERROR(__xludf.DUMMYFUNCTION("IF(OR(CU156&gt;$BS156+$BT156*$BT$2,CU156&lt;$BS156-$BT156*$BT$2),AVEDEV(ARRAYFORMULA(XLOOKUP(FILTER(INDIRECT(""'""&amp;CU$1&amp;""'!$C$4:$C$66""),INDIRECT(""'""&amp;CU$1&amp;""'!$D$4:$D$66"")=CU$2),$G$3:$BQ$3,$G156:$BQ156))),"""")"),"")</f>
        <v/>
      </c>
      <c r="CW156" s="251">
        <f>IFERROR(__xludf.DUMMYFUNCTION("AVERAGE(ARRAYFORMULA(XLOOKUP(FILTER(INDIRECT(""'""&amp;CW$1&amp;""'!$C$4:$C$66""),INDIRECT(""'""&amp;CW$1&amp;""'!$D$4:$D$66"")=CW$2),$G$3:$BQ$3,$G156:$BQ156)))"),1.10200927)</f>
        <v>1.10200927</v>
      </c>
      <c r="CX156" s="207">
        <f>IFERROR(__xludf.DUMMYFUNCTION("IF(OR(CW156&gt;$BS156+$BT156*$BT$2,CW156&lt;$BS156-$BT156*$BT$2),AVEDEV(ARRAYFORMULA(XLOOKUP(FILTER(INDIRECT(""'""&amp;CW$1&amp;""'!$C$4:$C$66""),INDIRECT(""'""&amp;CW$1&amp;""'!$D$4:$D$66"")=CW$2),$G$3:$BQ$3,$G156:$BQ156))),"""")"),0.009788770000000002)</f>
        <v>0.00978877</v>
      </c>
      <c r="CY156" s="253">
        <f>IFERROR(__xludf.DUMMYFUNCTION("AVERAGE(ARRAYFORMULA(XLOOKUP(FILTER(INDIRECT(""'""&amp;CY$1&amp;""'!$C$4:$C$66""),INDIRECT(""'""&amp;CY$1&amp;""'!$D$4:$D$66"")=CY$2),$G$3:$BQ$3,$G156:$BQ156)))"),0.03156694714285714)</f>
        <v>0.03156694714</v>
      </c>
      <c r="CZ156" s="207" t="str">
        <f>IFERROR(__xludf.DUMMYFUNCTION("IF(OR(CY156&gt;$BS156+$BT156*$BT$2,CY156&lt;$BS156-$BT156*$BT$2),AVEDEV(ARRAYFORMULA(XLOOKUP(FILTER(INDIRECT(""'""&amp;CY$1&amp;""'!$C$4:$C$66""),INDIRECT(""'""&amp;CY$1&amp;""'!$D$4:$D$66"")=CY$2),$G$3:$BQ$3,$G156:$BQ156))),"""")"),"")</f>
        <v/>
      </c>
      <c r="DA156" s="252"/>
      <c r="DB156" s="251">
        <f>IFERROR(__xludf.DUMMYFUNCTION("AVERAGE(ARRAYFORMULA(XLOOKUP(FILTER(INDIRECT(""'""&amp;DB$1&amp;""'!$C$4:$C$66""),INDIRECT(""'""&amp;DB$1&amp;""'!$D$4:$D$66"")=DB$2),$G$3:$BQ$3,$G156:$BQ156)))"),0.21098746133333332)</f>
        <v>0.2109874613</v>
      </c>
      <c r="DC156" s="207" t="str">
        <f>IFERROR(__xludf.DUMMYFUNCTION("IF(OR(DB156&gt;$BS156+$BT156*$BT$2,DB156&lt;$BS156-$BT156*$BT$2),AVEDEV(ARRAYFORMULA(XLOOKUP(FILTER(INDIRECT(""'""&amp;DB$1&amp;""'!$C$4:$C$66""),INDIRECT(""'""&amp;DB$1&amp;""'!$D$4:$D$66"")=DB$2),$G$3:$BQ$3,$G156:$BQ156))),"""")"),"")</f>
        <v/>
      </c>
      <c r="DD156" s="251">
        <f>IFERROR(__xludf.DUMMYFUNCTION("AVERAGE(ARRAYFORMULA(XLOOKUP(FILTER(INDIRECT(""'""&amp;DD$1&amp;""'!$C$4:$C$66""),INDIRECT(""'""&amp;DD$1&amp;""'!$D$4:$D$66"")=DD$2),$G$3:$BQ$3,$G156:$BQ156)))"),-0.46115978)</f>
        <v>-0.46115978</v>
      </c>
      <c r="DE156" s="207" t="str">
        <f>IFERROR(__xludf.DUMMYFUNCTION("IF(OR(DD156&gt;$BS156+$BT156*$BT$2,DD156&lt;$BS156-$BT156*$BT$2),AVEDEV(ARRAYFORMULA(XLOOKUP(FILTER(INDIRECT(""'""&amp;DD$1&amp;""'!$C$4:$C$66""),INDIRECT(""'""&amp;DD$1&amp;""'!$D$4:$D$66"")=DD$2),$G$3:$BQ$3,$G156:$BQ156))),"""")"),"")</f>
        <v/>
      </c>
      <c r="DF156" s="251">
        <f>IFERROR(__xludf.DUMMYFUNCTION("AVERAGE(ARRAYFORMULA(XLOOKUP(FILTER(INDIRECT(""'""&amp;DF$1&amp;""'!$C$4:$C$66""),INDIRECT(""'""&amp;DF$1&amp;""'!$D$4:$D$66"")=DF$2),$G$3:$BQ$3,$G156:$BQ156)))"),0.0172591525)</f>
        <v>0.0172591525</v>
      </c>
      <c r="DG156" s="207" t="str">
        <f>IFERROR(__xludf.DUMMYFUNCTION("IF(OR(DF156&gt;$BS156+$BT156*$BT$2,DF156&lt;$BS156-$BT156*$BT$2),AVEDEV(ARRAYFORMULA(XLOOKUP(FILTER(INDIRECT(""'""&amp;DF$1&amp;""'!$C$4:$C$66""),INDIRECT(""'""&amp;DF$1&amp;""'!$D$4:$D$66"")=DF$2),$G$3:$BQ$3,$G156:$BQ156))),"""")"),"")</f>
        <v/>
      </c>
      <c r="DH156" s="251">
        <f>IFERROR(__xludf.DUMMYFUNCTION("AVERAGE(ARRAYFORMULA(XLOOKUP(FILTER(INDIRECT(""'""&amp;DH$1&amp;""'!$C$4:$C$66""),INDIRECT(""'""&amp;DH$1&amp;""'!$D$4:$D$66"")=DH$2),$G$3:$BQ$3,$G156:$BQ156)))"),-0.12605187333333334)</f>
        <v>-0.1260518733</v>
      </c>
      <c r="DI156" s="207" t="str">
        <f>IFERROR(__xludf.DUMMYFUNCTION("IF(OR(DH156&gt;$BS156+$BT156*$BT$2,DH156&lt;$BS156-$BT156*$BT$2),AVEDEV(ARRAYFORMULA(XLOOKUP(FILTER(INDIRECT(""'""&amp;DH$1&amp;""'!$C$4:$C$66""),INDIRECT(""'""&amp;DH$1&amp;""'!$D$4:$D$66"")=DH$2),$G$3:$BQ$3,$G156:$BQ156))),"""")"),"")</f>
        <v/>
      </c>
      <c r="DJ156" s="243"/>
    </row>
    <row r="157">
      <c r="A157" s="2"/>
      <c r="B157" s="204">
        <v>153.0</v>
      </c>
      <c r="C157" s="204" t="s">
        <v>540</v>
      </c>
      <c r="D157" s="204" t="s">
        <v>599</v>
      </c>
      <c r="E157" s="205" t="b">
        <f>VLOOKUP(D157,'Feature Set List'!A154:C246,2,0)</f>
        <v>1</v>
      </c>
      <c r="F157" s="205" t="b">
        <f>VLOOKUP(D157,'Feature Set List'!A154:C246,3,0)</f>
        <v>0</v>
      </c>
      <c r="G157" s="205">
        <v>0.0</v>
      </c>
      <c r="H157" s="205">
        <v>0.0</v>
      </c>
      <c r="I157" s="205">
        <v>0.0</v>
      </c>
      <c r="J157" s="205">
        <v>0.0</v>
      </c>
      <c r="K157" s="205">
        <v>0.0</v>
      </c>
      <c r="L157" s="205">
        <v>2.39583333</v>
      </c>
      <c r="M157" s="205">
        <v>2.08333333</v>
      </c>
      <c r="N157" s="205">
        <v>0.0</v>
      </c>
      <c r="O157" s="205">
        <v>0.0</v>
      </c>
      <c r="P157" s="205">
        <v>2.08333333</v>
      </c>
      <c r="Q157" s="205">
        <v>0.0</v>
      </c>
      <c r="R157" s="205">
        <v>0.0</v>
      </c>
      <c r="S157" s="205">
        <v>0.0</v>
      </c>
      <c r="T157" s="205">
        <v>1.11083333</v>
      </c>
      <c r="U157" s="205">
        <v>0.0</v>
      </c>
      <c r="V157" s="205">
        <v>0.0</v>
      </c>
      <c r="W157" s="205">
        <v>1.66666667</v>
      </c>
      <c r="X157" s="205">
        <v>0.0</v>
      </c>
      <c r="Y157" s="205">
        <v>0.83333333</v>
      </c>
      <c r="Z157" s="205">
        <v>0.0</v>
      </c>
      <c r="AA157" s="205">
        <v>0.0</v>
      </c>
      <c r="AB157" s="205">
        <v>1.0</v>
      </c>
      <c r="AC157" s="205">
        <v>1.5</v>
      </c>
      <c r="AD157" s="205">
        <v>0.0</v>
      </c>
      <c r="AE157" s="205">
        <v>0.0</v>
      </c>
      <c r="AF157" s="205">
        <v>1.5</v>
      </c>
      <c r="AG157" s="205">
        <v>0.0</v>
      </c>
      <c r="AH157" s="205">
        <v>0.0</v>
      </c>
      <c r="AI157" s="205">
        <v>1.11083333</v>
      </c>
      <c r="AJ157" s="205">
        <v>0.33333333</v>
      </c>
      <c r="AK157" s="205">
        <v>0.0</v>
      </c>
      <c r="AL157" s="205">
        <v>0.0</v>
      </c>
      <c r="AM157" s="205">
        <v>0.0</v>
      </c>
      <c r="AN157" s="205">
        <v>1.0</v>
      </c>
      <c r="AO157" s="205">
        <v>0.0</v>
      </c>
      <c r="AP157" s="205">
        <v>0.0</v>
      </c>
      <c r="AQ157" s="205">
        <v>0.0</v>
      </c>
      <c r="AR157" s="205">
        <v>0.0</v>
      </c>
      <c r="AS157" s="205">
        <v>0.625</v>
      </c>
      <c r="AT157" s="205">
        <v>0.0</v>
      </c>
      <c r="AU157" s="205">
        <v>0.0</v>
      </c>
      <c r="AV157" s="205">
        <v>0.0</v>
      </c>
      <c r="AW157" s="205">
        <v>0.0</v>
      </c>
      <c r="AX157" s="205">
        <v>0.0</v>
      </c>
      <c r="AY157" s="205">
        <v>0.0</v>
      </c>
      <c r="AZ157" s="205">
        <v>0.0</v>
      </c>
      <c r="BA157" s="205">
        <v>2.08333333</v>
      </c>
      <c r="BB157" s="205">
        <v>0.33333333</v>
      </c>
      <c r="BC157" s="205">
        <v>0.0</v>
      </c>
      <c r="BD157" s="205">
        <v>1.25</v>
      </c>
      <c r="BE157" s="205">
        <v>0.0</v>
      </c>
      <c r="BF157" s="205">
        <v>0.0</v>
      </c>
      <c r="BG157" s="205">
        <v>1.5</v>
      </c>
      <c r="BH157" s="205">
        <v>0.0</v>
      </c>
      <c r="BI157" s="205">
        <v>0.0</v>
      </c>
      <c r="BJ157" s="205">
        <v>0.0</v>
      </c>
      <c r="BK157" s="205">
        <v>1.0</v>
      </c>
      <c r="BL157" s="205">
        <v>1.04166667</v>
      </c>
      <c r="BM157" s="205">
        <v>0.66666667</v>
      </c>
      <c r="BN157" s="205">
        <v>4.6875</v>
      </c>
      <c r="BO157" s="205">
        <v>0.09258333</v>
      </c>
      <c r="BP157" s="205">
        <v>1.5</v>
      </c>
      <c r="BQ157" s="205">
        <v>7.26166667</v>
      </c>
      <c r="BR157" s="206"/>
      <c r="BS157" s="250">
        <f t="shared" si="1"/>
        <v>0.6136388886</v>
      </c>
      <c r="BT157" s="250">
        <f t="shared" si="2"/>
        <v>0.7940820105</v>
      </c>
      <c r="BU157" s="206"/>
      <c r="BV157" s="207">
        <f>IFERROR(__xludf.DUMMYFUNCTION("AVERAGE(ARRAYFORMULA(XLOOKUP(FILTER(INDIRECT(""'""&amp;BV$1&amp;""'!$C$4:$C$66""),INDIRECT(""'""&amp;BV$1&amp;""'!$D$4:$D$66"")=BV$2),$G$3:$BQ$3,$G157:$BQ157)))"),0.19642857142857142)</f>
        <v>0.1964285714</v>
      </c>
      <c r="BW157" s="207" t="str">
        <f>IFERROR(__xludf.DUMMYFUNCTION("IF(OR(BV157&gt;$BS157+$BT157*$BT$2,BV157&lt;$BS157-$BT157*$BT$2),AVEDEV(ARRAYFORMULA(XLOOKUP(FILTER(INDIRECT(""'""&amp;BV$1&amp;""'!$C$4:$C$66""),INDIRECT(""'""&amp;BV$1&amp;""'!$D$4:$D$66"")=BV$2),$G$3:$BQ$3,$G157:$BQ157))),"""")"),"")</f>
        <v/>
      </c>
      <c r="BX157" s="207">
        <f>IFERROR(__xludf.DUMMYFUNCTION("AVERAGE(ARRAYFORMULA(XLOOKUP(FILTER(INDIRECT(""'""&amp;BX$1&amp;""'!$C$4:$C$66""),INDIRECT(""'""&amp;BX$1&amp;""'!$D$4:$D$66"")=BX$2),$G$3:$BQ$3,$G157:$BQ157)))"),0.5145456347619047)</f>
        <v>0.5145456348</v>
      </c>
      <c r="BY157" s="207" t="str">
        <f>IFERROR(__xludf.DUMMYFUNCTION("IF(OR(BX157&gt;$BS157+$BT157*$BT$2,BX157&lt;$BS157-$BT157*$BT$2),AVEDEV(ARRAYFORMULA(XLOOKUP(FILTER(INDIRECT(""'""&amp;BX$1&amp;""'!$C$4:$C$66""),INDIRECT(""'""&amp;BX$1&amp;""'!$D$4:$D$66"")=BX$2),$G$3:$BQ$3,$G157:$BQ157))),"""")"),"")</f>
        <v/>
      </c>
      <c r="BZ157" s="207">
        <f>IFERROR(__xludf.DUMMYFUNCTION("AVERAGE(ARRAYFORMULA(XLOOKUP(FILTER(INDIRECT(""'""&amp;BZ$1&amp;""'!$C$4:$C$66""),INDIRECT(""'""&amp;BZ$1&amp;""'!$D$4:$D$66"")=BZ$2),$G$3:$BQ$3,$G157:$BQ157)))"),1.31121212)</f>
        <v>1.31121212</v>
      </c>
      <c r="CA157" s="207" t="str">
        <f>IFERROR(__xludf.DUMMYFUNCTION("IF(OR(BZ157&gt;$BS157+$BT157*$BT$2,BZ157&lt;$BS157-$BT157*$BT$2),AVEDEV(ARRAYFORMULA(XLOOKUP(FILTER(INDIRECT(""'""&amp;BZ$1&amp;""'!$C$4:$C$66""),INDIRECT(""'""&amp;BZ$1&amp;""'!$D$4:$D$66"")=BZ$2),$G$3:$BQ$3,$G157:$BQ157))),"""")"),"")</f>
        <v/>
      </c>
      <c r="CB157" s="209"/>
      <c r="CC157" s="207">
        <f>IFERROR(__xludf.DUMMYFUNCTION("AVERAGE(ARRAYFORMULA(XLOOKUP(FILTER(INDIRECT(""'""&amp;CC$1&amp;""'!$C$4:$C$66""),INDIRECT(""'""&amp;CC$1&amp;""'!$D$4:$D$66"")=CC$2),$G$3:$BQ$3,$G157:$BQ157)))"),0.09026041625)</f>
        <v>0.09026041625</v>
      </c>
      <c r="CD157" s="207" t="str">
        <f>IFERROR(__xludf.DUMMYFUNCTION("IF(OR(CC157&gt;$BS157+$BT157*$BT$2,CC157&lt;$BS157-$BT157*$BT$2),AVEDEV(ARRAYFORMULA(XLOOKUP(FILTER(INDIRECT(""'""&amp;CC$1&amp;""'!$C$4:$C$66""),INDIRECT(""'""&amp;CC$1&amp;""'!$D$4:$D$66"")=CC$2),$G$3:$BQ$3,$G157:$BQ157))),"""")"),"")</f>
        <v/>
      </c>
      <c r="CE157" s="207">
        <f>IFERROR(__xludf.DUMMYFUNCTION("AVERAGE(ARRAYFORMULA(XLOOKUP(FILTER(INDIRECT(""'""&amp;CE$1&amp;""'!$C$4:$C$66""),INDIRECT(""'""&amp;CE$1&amp;""'!$D$4:$D$66"")=CE$2),$G$3:$BQ$3,$G157:$BQ157)))"),0.8632795696774193)</f>
        <v>0.8632795697</v>
      </c>
      <c r="CF157" s="207" t="str">
        <f>IFERROR(__xludf.DUMMYFUNCTION("IF(OR(CE157&gt;$BS157+$BT157*$BT$2,CE157&lt;$BS157-$BT157*$BT$2),AVEDEV(ARRAYFORMULA(XLOOKUP(FILTER(INDIRECT(""'""&amp;CE$1&amp;""'!$C$4:$C$66""),INDIRECT(""'""&amp;CE$1&amp;""'!$D$4:$D$66"")=CE$2),$G$3:$BQ$3,$G157:$BQ157))),"""")"),"")</f>
        <v/>
      </c>
      <c r="CG157" s="207">
        <f>IFERROR(__xludf.DUMMYFUNCTION("AVERAGE(ARRAYFORMULA(XLOOKUP(FILTER(INDIRECT(""'""&amp;CG$1&amp;""'!$C$4:$C$66""),INDIRECT(""'""&amp;CG$1&amp;""'!$D$4:$D$66"")=CG$2),$G$3:$BQ$3,$G157:$BQ157)))"),1.480499998)</f>
        <v>1.480499998</v>
      </c>
      <c r="CH157" s="207">
        <f>IFERROR(__xludf.DUMMYFUNCTION("IF(OR(CG157&gt;$BS157+$BT157*$BT$2,CG157&lt;$BS157-$BT157*$BT$2),AVEDEV(ARRAYFORMULA(XLOOKUP(FILTER(INDIRECT(""'""&amp;CG$1&amp;""'!$C$4:$C$66""),INDIRECT(""'""&amp;CG$1&amp;""'!$D$4:$D$66"")=CG$2),$G$3:$BQ$3,$G157:$BQ157))),"""")"),0.4900666663999999)</f>
        <v>0.4900666664</v>
      </c>
      <c r="CI157" s="206"/>
      <c r="CJ157" s="251">
        <f>IFERROR(__xludf.DUMMYFUNCTION("AVERAGE(ARRAYFORMULA(XLOOKUP(FILTER(INDIRECT(""'""&amp;CJ$1&amp;""'!$C$4:$C$66""),INDIRECT(""'""&amp;CJ$1&amp;""'!$D$4:$D$66"")=CJ$2),$G$3:$BQ$3,$G157:$BQ157)))"),0.2950611106666667)</f>
        <v>0.2950611107</v>
      </c>
      <c r="CK157" s="207" t="str">
        <f>IFERROR(__xludf.DUMMYFUNCTION("IF(OR(CJ157&gt;$BS157+$BT157*$BT$2,CJ157&lt;$BS157-$BT157*$BT$2),AVEDEV(ARRAYFORMULA(XLOOKUP(FILTER(INDIRECT(""'""&amp;CJ$1&amp;""'!$C$4:$C$66""),INDIRECT(""'""&amp;CJ$1&amp;""'!$D$4:$D$66"")=CJ$2),$G$3:$BQ$3,$G157:$BQ157))),"""")"),"")</f>
        <v/>
      </c>
      <c r="CL157" s="251">
        <f>IFERROR(__xludf.DUMMYFUNCTION("AVERAGE(ARRAYFORMULA(XLOOKUP(FILTER(INDIRECT(""'""&amp;CL$1&amp;""'!$C$4:$C$66""),INDIRECT(""'""&amp;CL$1&amp;""'!$D$4:$D$66"")=CL$2),$G$3:$BQ$3,$G157:$BQ157)))"),0.6292094015384615)</f>
        <v>0.6292094015</v>
      </c>
      <c r="CM157" s="207" t="str">
        <f>IFERROR(__xludf.DUMMYFUNCTION("IF(OR(CL157&gt;$BS157+$BT157*$BT$2,CL157&lt;$BS157-$BT157*$BT$2),AVEDEV(ARRAYFORMULA(XLOOKUP(FILTER(INDIRECT(""'""&amp;CL$1&amp;""'!$C$4:$C$66""),INDIRECT(""'""&amp;CL$1&amp;""'!$D$4:$D$66"")=CL$2),$G$3:$BQ$3,$G157:$BQ157))),"""")"),"")</f>
        <v/>
      </c>
      <c r="CN157" s="251">
        <f>IFERROR(__xludf.DUMMYFUNCTION("AVERAGE(ARRAYFORMULA(XLOOKUP(FILTER(INDIRECT(""'""&amp;CN$1&amp;""'!$C$4:$C$66""),INDIRECT(""'""&amp;CN$1&amp;""'!$D$4:$D$66"")=CN$2),$G$3:$BQ$3,$G157:$BQ157)))"),1.480499998)</f>
        <v>1.480499998</v>
      </c>
      <c r="CO157" s="207">
        <f>IFERROR(__xludf.DUMMYFUNCTION("IF(OR(CN157&gt;$BS157+$BT157*$BT$2,CN157&lt;$BS157-$BT157*$BT$2),AVEDEV(ARRAYFORMULA(XLOOKUP(FILTER(INDIRECT(""'""&amp;CN$1&amp;""'!$C$4:$C$66""),INDIRECT(""'""&amp;CN$1&amp;""'!$D$4:$D$66"")=CN$2),$G$3:$BQ$3,$G157:$BQ157))),"""")"),0.4900666663999999)</f>
        <v>0.4900666664</v>
      </c>
      <c r="CP157" s="252"/>
      <c r="CQ157" s="251">
        <f>IFERROR(__xludf.DUMMYFUNCTION("AVERAGE(ARRAYFORMULA(XLOOKUP(FILTER(INDIRECT(""'""&amp;CQ$1&amp;""'!$C$4:$C$66""),INDIRECT(""'""&amp;CQ$1&amp;""'!$D$4:$D$66"")=CQ$2),$G$3:$BQ$3,$G157:$BQ157)))"),0.1507738092857143)</f>
        <v>0.1507738093</v>
      </c>
      <c r="CR157" s="207" t="str">
        <f>IFERROR(__xludf.DUMMYFUNCTION("IF(OR(CQ157&gt;$BS157+$BT157*$BT$2,CQ157&lt;$BS157-$BT157*$BT$2),AVEDEV(ARRAYFORMULA(XLOOKUP(FILTER(INDIRECT(""'""&amp;CQ$1&amp;""'!$C$4:$C$66""),INDIRECT(""'""&amp;CQ$1&amp;""'!$D$4:$D$66"")=CQ$2),$G$3:$BQ$3,$G157:$BQ157))),"""")"),"")</f>
        <v/>
      </c>
      <c r="CS157" s="251">
        <f>IFERROR(__xludf.DUMMYFUNCTION("AVERAGE(ARRAYFORMULA(XLOOKUP(FILTER(INDIRECT(""'""&amp;CS$1&amp;""'!$C$4:$C$66""),INDIRECT(""'""&amp;CS$1&amp;""'!$D$4:$D$66"")=CS$2),$G$3:$BQ$3,$G157:$BQ157)))"),1.5285185166666666)</f>
        <v>1.528518517</v>
      </c>
      <c r="CT157" s="207">
        <f>IFERROR(__xludf.DUMMYFUNCTION("IF(OR(CS157&gt;$BS157+$BT157*$BT$2,CS157&lt;$BS157-$BT157*$BT$2),AVEDEV(ARRAYFORMULA(XLOOKUP(FILTER(INDIRECT(""'""&amp;CS$1&amp;""'!$C$4:$C$66""),INDIRECT(""'""&amp;CS$1&amp;""'!$D$4:$D$66"")=CS$2),$G$3:$BQ$3,$G157:$BQ157))),"""")"),0.593312757037037)</f>
        <v>0.593312757</v>
      </c>
      <c r="CU157" s="251">
        <f>IFERROR(__xludf.DUMMYFUNCTION("AVERAGE(ARRAYFORMULA(XLOOKUP(FILTER(INDIRECT(""'""&amp;CU$1&amp;""'!$C$4:$C$66""),INDIRECT(""'""&amp;CU$1&amp;""'!$D$4:$D$66"")=CU$2),$G$3:$BQ$3,$G157:$BQ157)))"),0.37205303)</f>
        <v>0.37205303</v>
      </c>
      <c r="CV157" s="207" t="str">
        <f>IFERROR(__xludf.DUMMYFUNCTION("IF(OR(CU157&gt;$BS157+$BT157*$BT$2,CU157&lt;$BS157-$BT157*$BT$2),AVEDEV(ARRAYFORMULA(XLOOKUP(FILTER(INDIRECT(""'""&amp;CU$1&amp;""'!$C$4:$C$66""),INDIRECT(""'""&amp;CU$1&amp;""'!$D$4:$D$66"")=CU$2),$G$3:$BQ$3,$G157:$BQ157))),"""")"),"")</f>
        <v/>
      </c>
      <c r="CW157" s="251">
        <f>IFERROR(__xludf.DUMMYFUNCTION("AVERAGE(ARRAYFORMULA(XLOOKUP(FILTER(INDIRECT(""'""&amp;CW$1&amp;""'!$C$4:$C$66""),INDIRECT(""'""&amp;CW$1&amp;""'!$D$4:$D$66"")=CW$2),$G$3:$BQ$3,$G157:$BQ157)))"),0.0)</f>
        <v>0</v>
      </c>
      <c r="CX157" s="207" t="str">
        <f>IFERROR(__xludf.DUMMYFUNCTION("IF(OR(CW157&gt;$BS157+$BT157*$BT$2,CW157&lt;$BS157-$BT157*$BT$2),AVEDEV(ARRAYFORMULA(XLOOKUP(FILTER(INDIRECT(""'""&amp;CW$1&amp;""'!$C$4:$C$66""),INDIRECT(""'""&amp;CW$1&amp;""'!$D$4:$D$66"")=CW$2),$G$3:$BQ$3,$G157:$BQ157))),"""")"),"")</f>
        <v/>
      </c>
      <c r="CY157" s="251">
        <f>IFERROR(__xludf.DUMMYFUNCTION("AVERAGE(ARRAYFORMULA(XLOOKUP(FILTER(INDIRECT(""'""&amp;CY$1&amp;""'!$C$4:$C$66""),INDIRECT(""'""&amp;CY$1&amp;""'!$D$4:$D$66"")=CY$2),$G$3:$BQ$3,$G157:$BQ157)))"),1.0558928571428572)</f>
        <v>1.055892857</v>
      </c>
      <c r="CZ157" s="207" t="str">
        <f>IFERROR(__xludf.DUMMYFUNCTION("IF(OR(CY157&gt;$BS157+$BT157*$BT$2,CY157&lt;$BS157-$BT157*$BT$2),AVEDEV(ARRAYFORMULA(XLOOKUP(FILTER(INDIRECT(""'""&amp;CY$1&amp;""'!$C$4:$C$66""),INDIRECT(""'""&amp;CY$1&amp;""'!$D$4:$D$66"")=CY$2),$G$3:$BQ$3,$G157:$BQ157))),"""")"),"")</f>
        <v/>
      </c>
      <c r="DA157" s="252"/>
      <c r="DB157" s="251">
        <f>IFERROR(__xludf.DUMMYFUNCTION("AVERAGE(ARRAYFORMULA(XLOOKUP(FILTER(INDIRECT(""'""&amp;DB$1&amp;""'!$C$4:$C$66""),INDIRECT(""'""&amp;DB$1&amp;""'!$D$4:$D$66"")=DB$2),$G$3:$BQ$3,$G157:$BQ157)))"),0.5401944443333334)</f>
        <v>0.5401944443</v>
      </c>
      <c r="DC157" s="207" t="str">
        <f>IFERROR(__xludf.DUMMYFUNCTION("IF(OR(DB157&gt;$BS157+$BT157*$BT$2,DB157&lt;$BS157-$BT157*$BT$2),AVEDEV(ARRAYFORMULA(XLOOKUP(FILTER(INDIRECT(""'""&amp;DB$1&amp;""'!$C$4:$C$66""),INDIRECT(""'""&amp;DB$1&amp;""'!$D$4:$D$66"")=DB$2),$G$3:$BQ$3,$G157:$BQ157))),"""")"),"")</f>
        <v/>
      </c>
      <c r="DD157" s="251">
        <f>IFERROR(__xludf.DUMMYFUNCTION("AVERAGE(ARRAYFORMULA(XLOOKUP(FILTER(INDIRECT(""'""&amp;DD$1&amp;""'!$C$4:$C$66""),INDIRECT(""'""&amp;DD$1&amp;""'!$D$4:$D$66"")=DD$2),$G$3:$BQ$3,$G157:$BQ157)))"),1.343333332222222)</f>
        <v>1.343333332</v>
      </c>
      <c r="DE157" s="207" t="str">
        <f>IFERROR(__xludf.DUMMYFUNCTION("IF(OR(DD157&gt;$BS157+$BT157*$BT$2,DD157&lt;$BS157-$BT157*$BT$2),AVEDEV(ARRAYFORMULA(XLOOKUP(FILTER(INDIRECT(""'""&amp;DD$1&amp;""'!$C$4:$C$66""),INDIRECT(""'""&amp;DD$1&amp;""'!$D$4:$D$66"")=DD$2),$G$3:$BQ$3,$G157:$BQ157))),"""")"),"")</f>
        <v/>
      </c>
      <c r="DF157" s="251">
        <f>IFERROR(__xludf.DUMMYFUNCTION("AVERAGE(ARRAYFORMULA(XLOOKUP(FILTER(INDIRECT(""'""&amp;DF$1&amp;""'!$C$4:$C$66""),INDIRECT(""'""&amp;DF$1&amp;""'!$D$4:$D$66"")=DF$2),$G$3:$BQ$3,$G157:$BQ157)))"),0.04166666625)</f>
        <v>0.04166666625</v>
      </c>
      <c r="DG157" s="207" t="str">
        <f>IFERROR(__xludf.DUMMYFUNCTION("IF(OR(DF157&gt;$BS157+$BT157*$BT$2,DF157&lt;$BS157-$BT157*$BT$2),AVEDEV(ARRAYFORMULA(XLOOKUP(FILTER(INDIRECT(""'""&amp;DF$1&amp;""'!$C$4:$C$66""),INDIRECT(""'""&amp;DF$1&amp;""'!$D$4:$D$66"")=DF$2),$G$3:$BQ$3,$G157:$BQ157))),"""")"),"")</f>
        <v/>
      </c>
      <c r="DH157" s="251">
        <f>IFERROR(__xludf.DUMMYFUNCTION("AVERAGE(ARRAYFORMULA(XLOOKUP(FILTER(INDIRECT(""'""&amp;DH$1&amp;""'!$C$4:$C$66""),INDIRECT(""'""&amp;DH$1&amp;""'!$D$4:$D$66"")=DH$2),$G$3:$BQ$3,$G157:$BQ157)))"),0.8598240733333333)</f>
        <v>0.8598240733</v>
      </c>
      <c r="DI157" s="207" t="str">
        <f>IFERROR(__xludf.DUMMYFUNCTION("IF(OR(DH157&gt;$BS157+$BT157*$BT$2,DH157&lt;$BS157-$BT157*$BT$2),AVEDEV(ARRAYFORMULA(XLOOKUP(FILTER(INDIRECT(""'""&amp;DH$1&amp;""'!$C$4:$C$66""),INDIRECT(""'""&amp;DH$1&amp;""'!$D$4:$D$66"")=DH$2),$G$3:$BQ$3,$G157:$BQ157))),"""")"),"")</f>
        <v/>
      </c>
      <c r="DJ157" s="243"/>
    </row>
    <row r="158">
      <c r="A158" s="2"/>
      <c r="B158" s="204">
        <v>154.0</v>
      </c>
      <c r="C158" s="204" t="s">
        <v>540</v>
      </c>
      <c r="D158" s="204" t="s">
        <v>600</v>
      </c>
      <c r="E158" s="205" t="b">
        <f>VLOOKUP(D158,'Feature Set List'!A155:C246,2,0)</f>
        <v>1</v>
      </c>
      <c r="F158" s="205" t="b">
        <f>VLOOKUP(D158,'Feature Set List'!A155:C246,3,0)</f>
        <v>1</v>
      </c>
      <c r="G158" s="205">
        <v>0.66666667</v>
      </c>
      <c r="H158" s="205">
        <v>-0.3333333</v>
      </c>
      <c r="I158" s="205">
        <v>-0.3333333</v>
      </c>
      <c r="J158" s="205">
        <v>0.0</v>
      </c>
      <c r="K158" s="205">
        <v>-0.0513333</v>
      </c>
      <c r="L158" s="205">
        <v>0.33333333</v>
      </c>
      <c r="M158" s="205">
        <v>1.16666667</v>
      </c>
      <c r="N158" s="205">
        <v>0.66666667</v>
      </c>
      <c r="O158" s="205">
        <v>-0.6666667</v>
      </c>
      <c r="P158" s="205">
        <v>0.33333333</v>
      </c>
      <c r="Q158" s="205">
        <v>0.0</v>
      </c>
      <c r="R158" s="205">
        <v>-0.6666667</v>
      </c>
      <c r="S158" s="205">
        <v>-0.3333333</v>
      </c>
      <c r="T158" s="205">
        <v>-0.2223333</v>
      </c>
      <c r="U158" s="205">
        <v>-0.6666667</v>
      </c>
      <c r="V158" s="205">
        <v>0.0</v>
      </c>
      <c r="W158" s="205">
        <v>0.33333333</v>
      </c>
      <c r="X158" s="205">
        <v>0.66666667</v>
      </c>
      <c r="Y158" s="205">
        <v>0.66666667</v>
      </c>
      <c r="Z158" s="205">
        <v>0.0</v>
      </c>
      <c r="AA158" s="205">
        <v>0.33333333</v>
      </c>
      <c r="AB158" s="205">
        <v>0.0</v>
      </c>
      <c r="AC158" s="205">
        <v>0.66666667</v>
      </c>
      <c r="AD158" s="205">
        <v>0.0</v>
      </c>
      <c r="AE158" s="205">
        <v>0.66666667</v>
      </c>
      <c r="AF158" s="205">
        <v>0.66666667</v>
      </c>
      <c r="AG158" s="205">
        <v>0.0</v>
      </c>
      <c r="AH158" s="205">
        <v>0.33333333</v>
      </c>
      <c r="AI158" s="205">
        <v>0.889</v>
      </c>
      <c r="AJ158" s="205">
        <v>0.0</v>
      </c>
      <c r="AK158" s="205">
        <v>-0.6666667</v>
      </c>
      <c r="AL158" s="205">
        <v>0.0</v>
      </c>
      <c r="AM158" s="205">
        <v>0.66666667</v>
      </c>
      <c r="AN158" s="205">
        <v>-0.6666667</v>
      </c>
      <c r="AO158" s="205">
        <v>-0.0833333</v>
      </c>
      <c r="AP158" s="205">
        <v>0.0</v>
      </c>
      <c r="AQ158" s="205">
        <v>0.66666667</v>
      </c>
      <c r="AR158" s="205">
        <v>0.66666667</v>
      </c>
      <c r="AS158" s="205">
        <v>-0.5</v>
      </c>
      <c r="AT158" s="205">
        <v>-0.3333333</v>
      </c>
      <c r="AU158" s="205">
        <v>2.0</v>
      </c>
      <c r="AV158" s="205">
        <v>-0.6666667</v>
      </c>
      <c r="AW158" s="205">
        <v>0.0</v>
      </c>
      <c r="AX158" s="205">
        <v>0.0</v>
      </c>
      <c r="AY158" s="205">
        <v>-0.6666667</v>
      </c>
      <c r="AZ158" s="205">
        <v>-0.6666667</v>
      </c>
      <c r="BA158" s="205">
        <v>0.33333333</v>
      </c>
      <c r="BB158" s="205">
        <v>0.0</v>
      </c>
      <c r="BC158" s="205">
        <v>-0.6666667</v>
      </c>
      <c r="BD158" s="205">
        <v>-0.7776667</v>
      </c>
      <c r="BE158" s="205">
        <v>-0.3333333</v>
      </c>
      <c r="BF158" s="205">
        <v>-0.6666667</v>
      </c>
      <c r="BG158" s="205">
        <v>0.66666667</v>
      </c>
      <c r="BH158" s="205">
        <v>0.0</v>
      </c>
      <c r="BI158" s="205">
        <v>0.0</v>
      </c>
      <c r="BJ158" s="205">
        <v>-0.6666667</v>
      </c>
      <c r="BK158" s="205">
        <v>0.66666667</v>
      </c>
      <c r="BL158" s="205">
        <v>-0.5</v>
      </c>
      <c r="BM158" s="205">
        <v>0.66666667</v>
      </c>
      <c r="BN158" s="205">
        <v>-0.0833333</v>
      </c>
      <c r="BO158" s="205">
        <v>0.148</v>
      </c>
      <c r="BP158" s="205">
        <v>0.66666667</v>
      </c>
      <c r="BQ158" s="205">
        <v>0.09533333</v>
      </c>
      <c r="BR158" s="206"/>
      <c r="BS158" s="250">
        <f t="shared" si="1"/>
        <v>0.0700687819</v>
      </c>
      <c r="BT158" s="250">
        <f t="shared" si="2"/>
        <v>0.4406544067</v>
      </c>
      <c r="BU158" s="206"/>
      <c r="BV158" s="207">
        <f>IFERROR(__xludf.DUMMYFUNCTION("AVERAGE(ARRAYFORMULA(XLOOKUP(FILTER(INDIRECT(""'""&amp;BV$1&amp;""'!$C$4:$C$66""),INDIRECT(""'""&amp;BV$1&amp;""'!$D$4:$D$66"")=BV$2),$G$3:$BQ$3,$G158:$BQ158)))"),-0.2261904757142857)</f>
        <v>-0.2261904757</v>
      </c>
      <c r="BW158" s="207" t="str">
        <f>IFERROR(__xludf.DUMMYFUNCTION("IF(OR(BV158&gt;$BS158+$BT158*$BT$2,BV158&lt;$BS158-$BT158*$BT$2),AVEDEV(ARRAYFORMULA(XLOOKUP(FILTER(INDIRECT(""'""&amp;BV$1&amp;""'!$C$4:$C$66""),INDIRECT(""'""&amp;BV$1&amp;""'!$D$4:$D$66"")=BV$2),$G$3:$BQ$3,$G158:$BQ158))),"""")"),"")</f>
        <v/>
      </c>
      <c r="BX158" s="207">
        <f>IFERROR(__xludf.DUMMYFUNCTION("AVERAGE(ARRAYFORMULA(XLOOKUP(FILTER(INDIRECT(""'""&amp;BX$1&amp;""'!$C$4:$C$66""),INDIRECT(""'""&amp;BX$1&amp;""'!$D$4:$D$66"")=BX$2),$G$3:$BQ$3,$G158:$BQ158)))"),0.019785712380952395)</f>
        <v>0.01978571238</v>
      </c>
      <c r="BY158" s="207" t="str">
        <f>IFERROR(__xludf.DUMMYFUNCTION("IF(OR(BX158&gt;$BS158+$BT158*$BT$2,BX158&lt;$BS158-$BT158*$BT$2),AVEDEV(ARRAYFORMULA(XLOOKUP(FILTER(INDIRECT(""'""&amp;BX$1&amp;""'!$C$4:$C$66""),INDIRECT(""'""&amp;BX$1&amp;""'!$D$4:$D$66"")=BX$2),$G$3:$BQ$3,$G158:$BQ158))),"""")"),"")</f>
        <v/>
      </c>
      <c r="BZ158" s="207">
        <f>IFERROR(__xludf.DUMMYFUNCTION("AVERAGE(ARRAYFORMULA(XLOOKUP(FILTER(INDIRECT(""'""&amp;BZ$1&amp;""'!$C$4:$C$66""),INDIRECT(""'""&amp;BZ$1&amp;""'!$D$4:$D$66"")=BZ$2),$G$3:$BQ$3,$G158:$BQ158)))"),0.3888787881818182)</f>
        <v>0.3888787882</v>
      </c>
      <c r="CA158" s="207" t="str">
        <f>IFERROR(__xludf.DUMMYFUNCTION("IF(OR(BZ158&gt;$BS158+$BT158*$BT$2,BZ158&lt;$BS158-$BT158*$BT$2),AVEDEV(ARRAYFORMULA(XLOOKUP(FILTER(INDIRECT(""'""&amp;BZ$1&amp;""'!$C$4:$C$66""),INDIRECT(""'""&amp;BZ$1&amp;""'!$D$4:$D$66"")=BZ$2),$G$3:$BQ$3,$G158:$BQ158))),"""")"),"")</f>
        <v/>
      </c>
      <c r="CB158" s="209"/>
      <c r="CC158" s="207">
        <f>IFERROR(__xludf.DUMMYFUNCTION("AVERAGE(ARRAYFORMULA(XLOOKUP(FILTER(INDIRECT(""'""&amp;CC$1&amp;""'!$C$4:$C$66""),INDIRECT(""'""&amp;CC$1&amp;""'!$D$4:$D$66"")=CC$2),$G$3:$BQ$3,$G158:$BQ158)))"),0.010687500625000013)</f>
        <v>0.01068750063</v>
      </c>
      <c r="CD158" s="207" t="str">
        <f>IFERROR(__xludf.DUMMYFUNCTION("IF(OR(CC158&gt;$BS158+$BT158*$BT$2,CC158&lt;$BS158-$BT158*$BT$2),AVEDEV(ARRAYFORMULA(XLOOKUP(FILTER(INDIRECT(""'""&amp;CC$1&amp;""'!$C$4:$C$66""),INDIRECT(""'""&amp;CC$1&amp;""'!$D$4:$D$66"")=CC$2),$G$3:$BQ$3,$G158:$BQ158))),"""")"),"")</f>
        <v/>
      </c>
      <c r="CE158" s="207">
        <f>IFERROR(__xludf.DUMMYFUNCTION("AVERAGE(ARRAYFORMULA(XLOOKUP(FILTER(INDIRECT(""'""&amp;CE$1&amp;""'!$C$4:$C$66""),INDIRECT(""'""&amp;CE$1&amp;""'!$D$4:$D$66"")=CE$2),$G$3:$BQ$3,$G158:$BQ158)))"),0.016516123870967746)</f>
        <v>0.01651612387</v>
      </c>
      <c r="CF158" s="207" t="str">
        <f>IFERROR(__xludf.DUMMYFUNCTION("IF(OR(CE158&gt;$BS158+$BT158*$BT$2,CE158&lt;$BS158-$BT158*$BT$2),AVEDEV(ARRAYFORMULA(XLOOKUP(FILTER(INDIRECT(""'""&amp;CE$1&amp;""'!$C$4:$C$66""),INDIRECT(""'""&amp;CE$1&amp;""'!$D$4:$D$66"")=CE$2),$G$3:$BQ$3,$G158:$BQ158))),"""")"),"")</f>
        <v/>
      </c>
      <c r="CG158" s="207">
        <f>IFERROR(__xludf.DUMMYFUNCTION("AVERAGE(ARRAYFORMULA(XLOOKUP(FILTER(INDIRECT(""'""&amp;CG$1&amp;""'!$C$4:$C$66""),INDIRECT(""'""&amp;CG$1&amp;""'!$D$4:$D$66"")=CG$2),$G$3:$BQ$3,$G158:$BQ158)))"),0.122200006)</f>
        <v>0.122200006</v>
      </c>
      <c r="CH158" s="207" t="str">
        <f>IFERROR(__xludf.DUMMYFUNCTION("IF(OR(CG158&gt;$BS158+$BT158*$BT$2,CG158&lt;$BS158-$BT158*$BT$2),AVEDEV(ARRAYFORMULA(XLOOKUP(FILTER(INDIRECT(""'""&amp;CG$1&amp;""'!$C$4:$C$66""),INDIRECT(""'""&amp;CG$1&amp;""'!$D$4:$D$66"")=CG$2),$G$3:$BQ$3,$G158:$BQ158))),"""")"),"")</f>
        <v/>
      </c>
      <c r="CI158" s="206"/>
      <c r="CJ158" s="251">
        <f>IFERROR(__xludf.DUMMYFUNCTION("AVERAGE(ARRAYFORMULA(XLOOKUP(FILTER(INDIRECT(""'""&amp;CJ$1&amp;""'!$C$4:$C$66""),INDIRECT(""'""&amp;CJ$1&amp;""'!$D$4:$D$66"")=CJ$2),$G$3:$BQ$3,$G158:$BQ158)))"),0.2765333366666667)</f>
        <v>0.2765333367</v>
      </c>
      <c r="CK158" s="207" t="str">
        <f>IFERROR(__xludf.DUMMYFUNCTION("IF(OR(CJ158&gt;$BS158+$BT158*$BT$2,CJ158&lt;$BS158-$BT158*$BT$2),AVEDEV(ARRAYFORMULA(XLOOKUP(FILTER(INDIRECT(""'""&amp;CJ$1&amp;""'!$C$4:$C$66""),INDIRECT(""'""&amp;CJ$1&amp;""'!$D$4:$D$66"")=CJ$2),$G$3:$BQ$3,$G158:$BQ158))),"""")"),"")</f>
        <v/>
      </c>
      <c r="CL158" s="251">
        <f>IFERROR(__xludf.DUMMYFUNCTION("AVERAGE(ARRAYFORMULA(XLOOKUP(FILTER(INDIRECT(""'""&amp;CL$1&amp;""'!$C$4:$C$66""),INDIRECT(""'""&amp;CL$1&amp;""'!$D$4:$D$66"")=CL$2),$G$3:$BQ$3,$G158:$BQ158)))"),-0.01881196974358973)</f>
        <v>-0.01881196974</v>
      </c>
      <c r="CM158" s="207" t="str">
        <f>IFERROR(__xludf.DUMMYFUNCTION("IF(OR(CL158&gt;$BS158+$BT158*$BT$2,CL158&lt;$BS158-$BT158*$BT$2),AVEDEV(ARRAYFORMULA(XLOOKUP(FILTER(INDIRECT(""'""&amp;CL$1&amp;""'!$C$4:$C$66""),INDIRECT(""'""&amp;CL$1&amp;""'!$D$4:$D$66"")=CL$2),$G$3:$BQ$3,$G158:$BQ158))),"""")"),"")</f>
        <v/>
      </c>
      <c r="CN158" s="251">
        <f>IFERROR(__xludf.DUMMYFUNCTION("AVERAGE(ARRAYFORMULA(XLOOKUP(FILTER(INDIRECT(""'""&amp;CN$1&amp;""'!$C$4:$C$66""),INDIRECT(""'""&amp;CN$1&amp;""'!$D$4:$D$66"")=CN$2),$G$3:$BQ$3,$G158:$BQ158)))"),0.122200006)</f>
        <v>0.122200006</v>
      </c>
      <c r="CO158" s="207" t="str">
        <f>IFERROR(__xludf.DUMMYFUNCTION("IF(OR(CN158&gt;$BS158+$BT158*$BT$2,CN158&lt;$BS158-$BT158*$BT$2),AVEDEV(ARRAYFORMULA(XLOOKUP(FILTER(INDIRECT(""'""&amp;CN$1&amp;""'!$C$4:$C$66""),INDIRECT(""'""&amp;CN$1&amp;""'!$D$4:$D$66"")=CN$2),$G$3:$BQ$3,$G158:$BQ158))),"""")"),"")</f>
        <v/>
      </c>
      <c r="CP158" s="252"/>
      <c r="CQ158" s="251">
        <f>IFERROR(__xludf.DUMMYFUNCTION("AVERAGE(ARRAYFORMULA(XLOOKUP(FILTER(INDIRECT(""'""&amp;CQ$1&amp;""'!$C$4:$C$66""),INDIRECT(""'""&amp;CQ$1&amp;""'!$D$4:$D$66"")=CQ$2),$G$3:$BQ$3,$G158:$BQ158)))"),0.13492857000000003)</f>
        <v>0.13492857</v>
      </c>
      <c r="CR158" s="207" t="str">
        <f>IFERROR(__xludf.DUMMYFUNCTION("IF(OR(CQ158&gt;$BS158+$BT158*$BT$2,CQ158&lt;$BS158-$BT158*$BT$2),AVEDEV(ARRAYFORMULA(XLOOKUP(FILTER(INDIRECT(""'""&amp;CQ$1&amp;""'!$C$4:$C$66""),INDIRECT(""'""&amp;CQ$1&amp;""'!$D$4:$D$66"")=CQ$2),$G$3:$BQ$3,$G158:$BQ158))),"""")"),"")</f>
        <v/>
      </c>
      <c r="CS158" s="251">
        <f>IFERROR(__xludf.DUMMYFUNCTION("AVERAGE(ARRAYFORMULA(XLOOKUP(FILTER(INDIRECT(""'""&amp;CS$1&amp;""'!$C$4:$C$66""),INDIRECT(""'""&amp;CS$1&amp;""'!$D$4:$D$66"")=CS$2),$G$3:$BQ$3,$G158:$BQ158)))"),0.4752963)</f>
        <v>0.4752963</v>
      </c>
      <c r="CT158" s="207" t="str">
        <f>IFERROR(__xludf.DUMMYFUNCTION("IF(OR(CS158&gt;$BS158+$BT158*$BT$2,CS158&lt;$BS158-$BT158*$BT$2),AVEDEV(ARRAYFORMULA(XLOOKUP(FILTER(INDIRECT(""'""&amp;CS$1&amp;""'!$C$4:$C$66""),INDIRECT(""'""&amp;CS$1&amp;""'!$D$4:$D$66"")=CS$2),$G$3:$BQ$3,$G158:$BQ158))),"""")"),"")</f>
        <v/>
      </c>
      <c r="CU158" s="251">
        <f>IFERROR(__xludf.DUMMYFUNCTION("AVERAGE(ARRAYFORMULA(XLOOKUP(FILTER(INDIRECT(""'""&amp;CU$1&amp;""'!$C$4:$C$66""),INDIRECT(""'""&amp;CU$1&amp;""'!$D$4:$D$66"")=CU$2),$G$3:$BQ$3,$G158:$BQ158)))"),0.07406060636363639)</f>
        <v>0.07406060636</v>
      </c>
      <c r="CV158" s="207" t="str">
        <f>IFERROR(__xludf.DUMMYFUNCTION("IF(OR(CU158&gt;$BS158+$BT158*$BT$2,CU158&lt;$BS158-$BT158*$BT$2),AVEDEV(ARRAYFORMULA(XLOOKUP(FILTER(INDIRECT(""'""&amp;CU$1&amp;""'!$C$4:$C$66""),INDIRECT(""'""&amp;CU$1&amp;""'!$D$4:$D$66"")=CU$2),$G$3:$BQ$3,$G158:$BQ158))),"""")"),"")</f>
        <v/>
      </c>
      <c r="CW158" s="251">
        <f>IFERROR(__xludf.DUMMYFUNCTION("AVERAGE(ARRAYFORMULA(XLOOKUP(FILTER(INDIRECT(""'""&amp;CW$1&amp;""'!$C$4:$C$66""),INDIRECT(""'""&amp;CW$1&amp;""'!$D$4:$D$66"")=CW$2),$G$3:$BQ$3,$G158:$BQ158)))"),0.0)</f>
        <v>0</v>
      </c>
      <c r="CX158" s="207" t="str">
        <f>IFERROR(__xludf.DUMMYFUNCTION("IF(OR(CW158&gt;$BS158+$BT158*$BT$2,CW158&lt;$BS158-$BT158*$BT$2),AVEDEV(ARRAYFORMULA(XLOOKUP(FILTER(INDIRECT(""'""&amp;CW$1&amp;""'!$C$4:$C$66""),INDIRECT(""'""&amp;CW$1&amp;""'!$D$4:$D$66"")=CW$2),$G$3:$BQ$3,$G158:$BQ158))),"""")"),"")</f>
        <v/>
      </c>
      <c r="CY158" s="251">
        <f>IFERROR(__xludf.DUMMYFUNCTION("AVERAGE(ARRAYFORMULA(XLOOKUP(FILTER(INDIRECT(""'""&amp;CY$1&amp;""'!$C$4:$C$66""),INDIRECT(""'""&amp;CY$1&amp;""'!$D$4:$D$66"")=CY$2),$G$3:$BQ$3,$G158:$BQ158)))"),-0.14200000928571427)</f>
        <v>-0.1420000093</v>
      </c>
      <c r="CZ158" s="207" t="str">
        <f>IFERROR(__xludf.DUMMYFUNCTION("IF(OR(CY158&gt;$BS158+$BT158*$BT$2,CY158&lt;$BS158-$BT158*$BT$2),AVEDEV(ARRAYFORMULA(XLOOKUP(FILTER(INDIRECT(""'""&amp;CY$1&amp;""'!$C$4:$C$66""),INDIRECT(""'""&amp;CY$1&amp;""'!$D$4:$D$66"")=CY$2),$G$3:$BQ$3,$G158:$BQ158))),"""")"),"")</f>
        <v/>
      </c>
      <c r="DA158" s="252"/>
      <c r="DB158" s="251">
        <f>IFERROR(__xludf.DUMMYFUNCTION("AVERAGE(ARRAYFORMULA(XLOOKUP(FILTER(INDIRECT(""'""&amp;DB$1&amp;""'!$C$4:$C$66""),INDIRECT(""'""&amp;DB$1&amp;""'!$D$4:$D$66"")=DB$2),$G$3:$BQ$3,$G158:$BQ158)))"),0.0533222216666667)</f>
        <v>0.05332222167</v>
      </c>
      <c r="DC158" s="207" t="str">
        <f>IFERROR(__xludf.DUMMYFUNCTION("IF(OR(DB158&gt;$BS158+$BT158*$BT$2,DB158&lt;$BS158-$BT158*$BT$2),AVEDEV(ARRAYFORMULA(XLOOKUP(FILTER(INDIRECT(""'""&amp;DB$1&amp;""'!$C$4:$C$66""),INDIRECT(""'""&amp;DB$1&amp;""'!$D$4:$D$66"")=DB$2),$G$3:$BQ$3,$G158:$BQ158))),"""")"),"")</f>
        <v/>
      </c>
      <c r="DD158" s="251">
        <f>IFERROR(__xludf.DUMMYFUNCTION("AVERAGE(ARRAYFORMULA(XLOOKUP(FILTER(INDIRECT(""'""&amp;DD$1&amp;""'!$C$4:$C$66""),INDIRECT(""'""&amp;DD$1&amp;""'!$D$4:$D$66"")=DD$2),$G$3:$BQ$3,$G158:$BQ158)))"),0.32714814777777773)</f>
        <v>0.3271481478</v>
      </c>
      <c r="DE158" s="207" t="str">
        <f>IFERROR(__xludf.DUMMYFUNCTION("IF(OR(DD158&gt;$BS158+$BT158*$BT$2,DD158&lt;$BS158-$BT158*$BT$2),AVEDEV(ARRAYFORMULA(XLOOKUP(FILTER(INDIRECT(""'""&amp;DD$1&amp;""'!$C$4:$C$66""),INDIRECT(""'""&amp;DD$1&amp;""'!$D$4:$D$66"")=DD$2),$G$3:$BQ$3,$G158:$BQ158))),"""")"),"")</f>
        <v/>
      </c>
      <c r="DF158" s="251">
        <f>IFERROR(__xludf.DUMMYFUNCTION("AVERAGE(ARRAYFORMULA(XLOOKUP(FILTER(INDIRECT(""'""&amp;DF$1&amp;""'!$C$4:$C$66""),INDIRECT(""'""&amp;DF$1&amp;""'!$D$4:$D$66"")=DF$2),$G$3:$BQ$3,$G158:$BQ158)))"),-0.41666668375)</f>
        <v>-0.4166666838</v>
      </c>
      <c r="DG158" s="207">
        <f>IFERROR(__xludf.DUMMYFUNCTION("IF(OR(DF158&gt;$BS158+$BT158*$BT$2,DF158&lt;$BS158-$BT158*$BT$2),AVEDEV(ARRAYFORMULA(XLOOKUP(FILTER(INDIRECT(""'""&amp;DF$1&amp;""'!$C$4:$C$66""),INDIRECT(""'""&amp;DF$1&amp;""'!$D$4:$D$66"")=DF$2),$G$3:$BQ$3,$G158:$BQ158))),"""")"),0.31250002031249996)</f>
        <v>0.3125000203</v>
      </c>
      <c r="DH158" s="251">
        <f>IFERROR(__xludf.DUMMYFUNCTION("AVERAGE(ARRAYFORMULA(XLOOKUP(FILTER(INDIRECT(""'""&amp;DH$1&amp;""'!$C$4:$C$66""),INDIRECT(""'""&amp;DH$1&amp;""'!$D$4:$D$66"")=DH$2),$G$3:$BQ$3,$G158:$BQ158)))"),0.17385185666666664)</f>
        <v>0.1738518567</v>
      </c>
      <c r="DI158" s="207" t="str">
        <f>IFERROR(__xludf.DUMMYFUNCTION("IF(OR(DH158&gt;$BS158+$BT158*$BT$2,DH158&lt;$BS158-$BT158*$BT$2),AVEDEV(ARRAYFORMULA(XLOOKUP(FILTER(INDIRECT(""'""&amp;DH$1&amp;""'!$C$4:$C$66""),INDIRECT(""'""&amp;DH$1&amp;""'!$D$4:$D$66"")=DH$2),$G$3:$BQ$3,$G158:$BQ158))),"""")"),"")</f>
        <v/>
      </c>
      <c r="DJ158" s="243"/>
    </row>
    <row r="159">
      <c r="A159" s="2"/>
      <c r="B159" s="204">
        <v>155.0</v>
      </c>
      <c r="C159" s="204" t="s">
        <v>601</v>
      </c>
      <c r="D159" s="204" t="s">
        <v>602</v>
      </c>
      <c r="E159" s="205" t="b">
        <f>VLOOKUP(D159,'Feature Set List'!A156:C246,2,0)</f>
        <v>1</v>
      </c>
      <c r="F159" s="205" t="b">
        <f>VLOOKUP(D159,'Feature Set List'!A156:C246,3,0)</f>
        <v>1</v>
      </c>
      <c r="G159" s="205">
        <v>0.37037037</v>
      </c>
      <c r="H159" s="205">
        <v>0.09876543</v>
      </c>
      <c r="I159" s="205">
        <v>0.09876543</v>
      </c>
      <c r="J159" s="205">
        <v>0.09876543</v>
      </c>
      <c r="K159" s="205">
        <v>0.83950617</v>
      </c>
      <c r="L159" s="205">
        <v>-1.1358025</v>
      </c>
      <c r="M159" s="205">
        <v>2.69135802</v>
      </c>
      <c r="N159" s="205">
        <v>0.09876543</v>
      </c>
      <c r="O159" s="205">
        <v>0.09876543</v>
      </c>
      <c r="P159" s="205">
        <v>-0.5432099</v>
      </c>
      <c r="Q159" s="205">
        <v>0.09876543</v>
      </c>
      <c r="R159" s="205">
        <v>-0.6419753</v>
      </c>
      <c r="S159" s="205">
        <v>0.09876543</v>
      </c>
      <c r="T159" s="205">
        <v>-1.037037</v>
      </c>
      <c r="U159" s="205">
        <v>0.09876543</v>
      </c>
      <c r="V159" s="205">
        <v>-0.4938272</v>
      </c>
      <c r="W159" s="205">
        <v>0.2962963</v>
      </c>
      <c r="X159" s="205">
        <v>0.69135802</v>
      </c>
      <c r="Y159" s="205">
        <v>-0.1481481</v>
      </c>
      <c r="Z159" s="205">
        <v>1.67901235</v>
      </c>
      <c r="AA159" s="205">
        <v>-0.3950617</v>
      </c>
      <c r="AB159" s="205">
        <v>0.79012346</v>
      </c>
      <c r="AC159" s="205">
        <v>0.34567901</v>
      </c>
      <c r="AD159" s="205">
        <v>-0.0987654</v>
      </c>
      <c r="AE159" s="205">
        <v>-1.0617284</v>
      </c>
      <c r="AF159" s="205">
        <v>-0.8395062</v>
      </c>
      <c r="AG159" s="205">
        <v>0.0</v>
      </c>
      <c r="AH159" s="205">
        <v>-1.382716</v>
      </c>
      <c r="AI159" s="205">
        <v>1.45679012</v>
      </c>
      <c r="AJ159" s="205">
        <v>0.24691358</v>
      </c>
      <c r="AK159" s="205">
        <v>-0.962963</v>
      </c>
      <c r="AL159" s="205">
        <v>-0.9382716</v>
      </c>
      <c r="AM159" s="205">
        <v>-0.5925926</v>
      </c>
      <c r="AN159" s="205">
        <v>-0.345679</v>
      </c>
      <c r="AO159" s="205">
        <v>0.09876543</v>
      </c>
      <c r="AP159" s="205">
        <v>0.09876543</v>
      </c>
      <c r="AQ159" s="205">
        <v>0.44444444</v>
      </c>
      <c r="AR159" s="205">
        <v>-1.5061728</v>
      </c>
      <c r="AS159" s="205">
        <v>-0.8888889</v>
      </c>
      <c r="AT159" s="205">
        <v>-0.7407407</v>
      </c>
      <c r="AU159" s="205">
        <v>0.22222222</v>
      </c>
      <c r="AV159" s="205">
        <v>-0.0493827</v>
      </c>
      <c r="AW159" s="205">
        <v>0.34567901</v>
      </c>
      <c r="AX159" s="205">
        <v>-0.8395062</v>
      </c>
      <c r="AY159" s="205">
        <v>-0.2962963</v>
      </c>
      <c r="AZ159" s="205">
        <v>0.04938272</v>
      </c>
      <c r="BA159" s="205">
        <v>-1.4320988</v>
      </c>
      <c r="BB159" s="205">
        <v>0.83950617</v>
      </c>
      <c r="BC159" s="205">
        <v>0.09876543</v>
      </c>
      <c r="BD159" s="205">
        <v>-1.0123457</v>
      </c>
      <c r="BE159" s="205">
        <v>0.09876543</v>
      </c>
      <c r="BF159" s="205">
        <v>-0.5925926</v>
      </c>
      <c r="BG159" s="205">
        <v>-0.7901235</v>
      </c>
      <c r="BH159" s="205">
        <v>-0.0987654</v>
      </c>
      <c r="BI159" s="205">
        <v>-1.0123457</v>
      </c>
      <c r="BJ159" s="205">
        <v>2.07407407</v>
      </c>
      <c r="BK159" s="205">
        <v>-0.5185185</v>
      </c>
      <c r="BL159" s="205">
        <v>-0.8395062</v>
      </c>
      <c r="BM159" s="205">
        <v>0.66666667</v>
      </c>
      <c r="BN159" s="205">
        <v>-1.6296296</v>
      </c>
      <c r="BO159" s="205">
        <v>0.17283951</v>
      </c>
      <c r="BP159" s="205">
        <v>1.43209877</v>
      </c>
      <c r="BQ159" s="205">
        <v>-0.345679</v>
      </c>
      <c r="BR159" s="206"/>
      <c r="BS159" s="250">
        <f t="shared" si="1"/>
        <v>-0.1011169898</v>
      </c>
      <c r="BT159" s="250">
        <f t="shared" si="2"/>
        <v>0.6391011836</v>
      </c>
      <c r="BU159" s="206"/>
      <c r="BV159" s="207">
        <f>IFERROR(__xludf.DUMMYFUNCTION("AVERAGE(ARRAYFORMULA(XLOOKUP(FILTER(INDIRECT(""'""&amp;BV$1&amp;""'!$C$4:$C$66""),INDIRECT(""'""&amp;BV$1&amp;""'!$D$4:$D$66"")=BV$2),$G$3:$BQ$3,$G159:$BQ159)))"),0.09876542571428573)</f>
        <v>0.09876542571</v>
      </c>
      <c r="BW159" s="207" t="str">
        <f>IFERROR(__xludf.DUMMYFUNCTION("IF(OR(BV159&gt;$BS159+$BT159*$BT$2,BV159&lt;$BS159-$BT159*$BT$2),AVEDEV(ARRAYFORMULA(XLOOKUP(FILTER(INDIRECT(""'""&amp;BV$1&amp;""'!$C$4:$C$66""),INDIRECT(""'""&amp;BV$1&amp;""'!$D$4:$D$66"")=BV$2),$G$3:$BQ$3,$G159:$BQ159))),"""")"),"")</f>
        <v/>
      </c>
      <c r="BX159" s="207">
        <f>IFERROR(__xludf.DUMMYFUNCTION("AVERAGE(ARRAYFORMULA(XLOOKUP(FILTER(INDIRECT(""'""&amp;BX$1&amp;""'!$C$4:$C$66""),INDIRECT(""'""&amp;BX$1&amp;""'!$D$4:$D$66"")=BX$2),$G$3:$BQ$3,$G159:$BQ159)))"),-0.126396235)</f>
        <v>-0.126396235</v>
      </c>
      <c r="BY159" s="207" t="str">
        <f>IFERROR(__xludf.DUMMYFUNCTION("IF(OR(BX159&gt;$BS159+$BT159*$BT$2,BX159&lt;$BS159-$BT159*$BT$2),AVEDEV(ARRAYFORMULA(XLOOKUP(FILTER(INDIRECT(""'""&amp;BX$1&amp;""'!$C$4:$C$66""),INDIRECT(""'""&amp;BX$1&amp;""'!$D$4:$D$66"")=BX$2),$G$3:$BQ$3,$G159:$BQ159))),"""")"),"")</f>
        <v/>
      </c>
      <c r="BZ159" s="207">
        <f>IFERROR(__xludf.DUMMYFUNCTION("AVERAGE(ARRAYFORMULA(XLOOKUP(FILTER(INDIRECT(""'""&amp;BZ$1&amp;""'!$C$4:$C$66""),INDIRECT(""'""&amp;BZ$1&amp;""'!$D$4:$D$66"")=BZ$2),$G$3:$BQ$3,$G159:$BQ159)))"),-0.09652076545454541)</f>
        <v>-0.09652076545</v>
      </c>
      <c r="CA159" s="207" t="str">
        <f>IFERROR(__xludf.DUMMYFUNCTION("IF(OR(BZ159&gt;$BS159+$BT159*$BT$2,BZ159&lt;$BS159-$BT159*$BT$2),AVEDEV(ARRAYFORMULA(XLOOKUP(FILTER(INDIRECT(""'""&amp;BZ$1&amp;""'!$C$4:$C$66""),INDIRECT(""'""&amp;BZ$1&amp;""'!$D$4:$D$66"")=BZ$2),$G$3:$BQ$3,$G159:$BQ159))),"""")"),"")</f>
        <v/>
      </c>
      <c r="CB159" s="209"/>
      <c r="CC159" s="207">
        <f>IFERROR(__xludf.DUMMYFUNCTION("AVERAGE(ARRAYFORMULA(XLOOKUP(FILTER(INDIRECT(""'""&amp;CC$1&amp;""'!$C$4:$C$66""),INDIRECT(""'""&amp;CC$1&amp;""'!$D$4:$D$66"")=CC$2),$G$3:$BQ$3,$G159:$BQ159)))"),0.03549382250000001)</f>
        <v>0.0354938225</v>
      </c>
      <c r="CD159" s="207" t="str">
        <f>IFERROR(__xludf.DUMMYFUNCTION("IF(OR(CC159&gt;$BS159+$BT159*$BT$2,CC159&lt;$BS159-$BT159*$BT$2),AVEDEV(ARRAYFORMULA(XLOOKUP(FILTER(INDIRECT(""'""&amp;CC$1&amp;""'!$C$4:$C$66""),INDIRECT(""'""&amp;CC$1&amp;""'!$D$4:$D$66"")=CC$2),$G$3:$BQ$3,$G159:$BQ159))),"""")"),"")</f>
        <v/>
      </c>
      <c r="CE159" s="207">
        <f>IFERROR(__xludf.DUMMYFUNCTION("AVERAGE(ARRAYFORMULA(XLOOKUP(FILTER(INDIRECT(""'""&amp;CE$1&amp;""'!$C$4:$C$66""),INDIRECT(""'""&amp;CE$1&amp;""'!$D$4:$D$66"")=CE$2),$G$3:$BQ$3,$G159:$BQ159)))"),-0.011947424838709676)</f>
        <v>-0.01194742484</v>
      </c>
      <c r="CF159" s="207" t="str">
        <f>IFERROR(__xludf.DUMMYFUNCTION("IF(OR(CE159&gt;$BS159+$BT159*$BT$2,CE159&lt;$BS159-$BT159*$BT$2),AVEDEV(ARRAYFORMULA(XLOOKUP(FILTER(INDIRECT(""'""&amp;CE$1&amp;""'!$C$4:$C$66""),INDIRECT(""'""&amp;CE$1&amp;""'!$D$4:$D$66"")=CE$2),$G$3:$BQ$3,$G159:$BQ159))),"""")"),"")</f>
        <v/>
      </c>
      <c r="CG159" s="207">
        <f>IFERROR(__xludf.DUMMYFUNCTION("AVERAGE(ARRAYFORMULA(XLOOKUP(FILTER(INDIRECT(""'""&amp;CG$1&amp;""'!$C$4:$C$66""),INDIRECT(""'""&amp;CG$1&amp;""'!$D$4:$D$66"")=CG$2),$G$3:$BQ$3,$G159:$BQ159)))"),-0.9382716199999999)</f>
        <v>-0.93827162</v>
      </c>
      <c r="CH159" s="207">
        <f>IFERROR(__xludf.DUMMYFUNCTION("IF(OR(CG159&gt;$BS159+$BT159*$BT$2,CG159&lt;$BS159-$BT159*$BT$2),AVEDEV(ARRAYFORMULA(XLOOKUP(FILTER(INDIRECT(""'""&amp;CG$1&amp;""'!$C$4:$C$66""),INDIRECT(""'""&amp;CG$1&amp;""'!$D$4:$D$66"")=CG$2),$G$3:$BQ$3,$G159:$BQ159))),"""")"),0.23703702399999993)</f>
        <v>0.237037024</v>
      </c>
      <c r="CI159" s="206"/>
      <c r="CJ159" s="251">
        <f>IFERROR(__xludf.DUMMYFUNCTION("AVERAGE(ARRAYFORMULA(XLOOKUP(FILTER(INDIRECT(""'""&amp;CJ$1&amp;""'!$C$4:$C$66""),INDIRECT(""'""&amp;CJ$1&amp;""'!$D$4:$D$66"")=CJ$2),$G$3:$BQ$3,$G159:$BQ159)))"),0.02962964)</f>
        <v>0.02962964</v>
      </c>
      <c r="CK159" s="207" t="str">
        <f>IFERROR(__xludf.DUMMYFUNCTION("IF(OR(CJ159&gt;$BS159+$BT159*$BT$2,CJ159&lt;$BS159-$BT159*$BT$2),AVEDEV(ARRAYFORMULA(XLOOKUP(FILTER(INDIRECT(""'""&amp;CJ$1&amp;""'!$C$4:$C$66""),INDIRECT(""'""&amp;CJ$1&amp;""'!$D$4:$D$66"")=CJ$2),$G$3:$BQ$3,$G159:$BQ159))),"""")"),"")</f>
        <v/>
      </c>
      <c r="CL159" s="251">
        <f>IFERROR(__xludf.DUMMYFUNCTION("AVERAGE(ARRAYFORMULA(XLOOKUP(FILTER(INDIRECT(""'""&amp;CL$1&amp;""'!$C$4:$C$66""),INDIRECT(""'""&amp;CL$1&amp;""'!$D$4:$D$66"")=CL$2),$G$3:$BQ$3,$G159:$BQ159)))"),-0.015194682307692303)</f>
        <v>-0.01519468231</v>
      </c>
      <c r="CM159" s="207" t="str">
        <f>IFERROR(__xludf.DUMMYFUNCTION("IF(OR(CL159&gt;$BS159+$BT159*$BT$2,CL159&lt;$BS159-$BT159*$BT$2),AVEDEV(ARRAYFORMULA(XLOOKUP(FILTER(INDIRECT(""'""&amp;CL$1&amp;""'!$C$4:$C$66""),INDIRECT(""'""&amp;CL$1&amp;""'!$D$4:$D$66"")=CL$2),$G$3:$BQ$3,$G159:$BQ159))),"""")"),"")</f>
        <v/>
      </c>
      <c r="CN159" s="251">
        <f>IFERROR(__xludf.DUMMYFUNCTION("AVERAGE(ARRAYFORMULA(XLOOKUP(FILTER(INDIRECT(""'""&amp;CN$1&amp;""'!$C$4:$C$66""),INDIRECT(""'""&amp;CN$1&amp;""'!$D$4:$D$66"")=CN$2),$G$3:$BQ$3,$G159:$BQ159)))"),-0.9382716199999999)</f>
        <v>-0.93827162</v>
      </c>
      <c r="CO159" s="207">
        <f>IFERROR(__xludf.DUMMYFUNCTION("IF(OR(CN159&gt;$BS159+$BT159*$BT$2,CN159&lt;$BS159-$BT159*$BT$2),AVEDEV(ARRAYFORMULA(XLOOKUP(FILTER(INDIRECT(""'""&amp;CN$1&amp;""'!$C$4:$C$66""),INDIRECT(""'""&amp;CN$1&amp;""'!$D$4:$D$66"")=CN$2),$G$3:$BQ$3,$G159:$BQ159))),"""")"),0.23703702399999993)</f>
        <v>0.237037024</v>
      </c>
      <c r="CP159" s="252"/>
      <c r="CQ159" s="251">
        <f>IFERROR(__xludf.DUMMYFUNCTION("AVERAGE(ARRAYFORMULA(XLOOKUP(FILTER(INDIRECT(""'""&amp;CQ$1&amp;""'!$C$4:$C$66""),INDIRECT(""'""&amp;CQ$1&amp;""'!$D$4:$D$66"")=CQ$2),$G$3:$BQ$3,$G159:$BQ159)))"),-0.13756614357142857)</f>
        <v>-0.1375661436</v>
      </c>
      <c r="CR159" s="207" t="str">
        <f>IFERROR(__xludf.DUMMYFUNCTION("IF(OR(CQ159&gt;$BS159+$BT159*$BT$2,CQ159&lt;$BS159-$BT159*$BT$2),AVEDEV(ARRAYFORMULA(XLOOKUP(FILTER(INDIRECT(""'""&amp;CQ$1&amp;""'!$C$4:$C$66""),INDIRECT(""'""&amp;CQ$1&amp;""'!$D$4:$D$66"")=CQ$2),$G$3:$BQ$3,$G159:$BQ159))),"""")"),"")</f>
        <v/>
      </c>
      <c r="CS159" s="251">
        <f>IFERROR(__xludf.DUMMYFUNCTION("AVERAGE(ARRAYFORMULA(XLOOKUP(FILTER(INDIRECT(""'""&amp;CS$1&amp;""'!$C$4:$C$66""),INDIRECT(""'""&amp;CS$1&amp;""'!$D$4:$D$66"")=CS$2),$G$3:$BQ$3,$G159:$BQ159)))"),-0.19753086777777773)</f>
        <v>-0.1975308678</v>
      </c>
      <c r="CT159" s="207" t="str">
        <f>IFERROR(__xludf.DUMMYFUNCTION("IF(OR(CS159&gt;$BS159+$BT159*$BT$2,CS159&lt;$BS159-$BT159*$BT$2),AVEDEV(ARRAYFORMULA(XLOOKUP(FILTER(INDIRECT(""'""&amp;CS$1&amp;""'!$C$4:$C$66""),INDIRECT(""'""&amp;CS$1&amp;""'!$D$4:$D$66"")=CS$2),$G$3:$BQ$3,$G159:$BQ159))),"""")"),"")</f>
        <v/>
      </c>
      <c r="CU159" s="251">
        <f>IFERROR(__xludf.DUMMYFUNCTION("AVERAGE(ARRAYFORMULA(XLOOKUP(FILTER(INDIRECT(""'""&amp;CU$1&amp;""'!$C$4:$C$66""),INDIRECT(""'""&amp;CU$1&amp;""'!$D$4:$D$66"")=CU$2),$G$3:$BQ$3,$G159:$BQ159)))"),-0.2267115518181818)</f>
        <v>-0.2267115518</v>
      </c>
      <c r="CV159" s="207" t="str">
        <f>IFERROR(__xludf.DUMMYFUNCTION("IF(OR(CU159&gt;$BS159+$BT159*$BT$2,CU159&lt;$BS159-$BT159*$BT$2),AVEDEV(ARRAYFORMULA(XLOOKUP(FILTER(INDIRECT(""'""&amp;CU$1&amp;""'!$C$4:$C$66""),INDIRECT(""'""&amp;CU$1&amp;""'!$D$4:$D$66"")=CU$2),$G$3:$BQ$3,$G159:$BQ159))),"""")"),"")</f>
        <v/>
      </c>
      <c r="CW159" s="251">
        <f>IFERROR(__xludf.DUMMYFUNCTION("AVERAGE(ARRAYFORMULA(XLOOKUP(FILTER(INDIRECT(""'""&amp;CW$1&amp;""'!$C$4:$C$66""),INDIRECT(""'""&amp;CW$1&amp;""'!$D$4:$D$66"")=CW$2),$G$3:$BQ$3,$G159:$BQ159)))"),-0.0987654)</f>
        <v>-0.0987654</v>
      </c>
      <c r="CX159" s="207" t="str">
        <f>IFERROR(__xludf.DUMMYFUNCTION("IF(OR(CW159&gt;$BS159+$BT159*$BT$2,CW159&lt;$BS159-$BT159*$BT$2),AVEDEV(ARRAYFORMULA(XLOOKUP(FILTER(INDIRECT(""'""&amp;CW$1&amp;""'!$C$4:$C$66""),INDIRECT(""'""&amp;CW$1&amp;""'!$D$4:$D$66"")=CW$2),$G$3:$BQ$3,$G159:$BQ159))),"""")"),"")</f>
        <v/>
      </c>
      <c r="CY159" s="251">
        <f>IFERROR(__xludf.DUMMYFUNCTION("AVERAGE(ARRAYFORMULA(XLOOKUP(FILTER(INDIRECT(""'""&amp;CY$1&amp;""'!$C$4:$C$66""),INDIRECT(""'""&amp;CY$1&amp;""'!$D$4:$D$66"")=CY$2),$G$3:$BQ$3,$G159:$BQ159)))"),-0.042328038571428576)</f>
        <v>-0.04232803857</v>
      </c>
      <c r="CZ159" s="207" t="str">
        <f>IFERROR(__xludf.DUMMYFUNCTION("IF(OR(CY159&gt;$BS159+$BT159*$BT$2,CY159&lt;$BS159-$BT159*$BT$2),AVEDEV(ARRAYFORMULA(XLOOKUP(FILTER(INDIRECT(""'""&amp;CY$1&amp;""'!$C$4:$C$66""),INDIRECT(""'""&amp;CY$1&amp;""'!$D$4:$D$66"")=CY$2),$G$3:$BQ$3,$G159:$BQ159))),"""")"),"")</f>
        <v/>
      </c>
      <c r="DA159" s="252"/>
      <c r="DB159" s="251">
        <f>IFERROR(__xludf.DUMMYFUNCTION("AVERAGE(ARRAYFORMULA(XLOOKUP(FILTER(INDIRECT(""'""&amp;DB$1&amp;""'!$C$4:$C$66""),INDIRECT(""'""&amp;DB$1&amp;""'!$D$4:$D$66"")=DB$2),$G$3:$BQ$3,$G159:$BQ159)))"),0.018930039000000003)</f>
        <v>0.018930039</v>
      </c>
      <c r="DC159" s="207" t="str">
        <f>IFERROR(__xludf.DUMMYFUNCTION("IF(OR(DB159&gt;$BS159+$BT159*$BT$2,DB159&lt;$BS159-$BT159*$BT$2),AVEDEV(ARRAYFORMULA(XLOOKUP(FILTER(INDIRECT(""'""&amp;DB$1&amp;""'!$C$4:$C$66""),INDIRECT(""'""&amp;DB$1&amp;""'!$D$4:$D$66"")=DB$2),$G$3:$BQ$3,$G159:$BQ159))),"""")"),"")</f>
        <v/>
      </c>
      <c r="DD159" s="251">
        <f>IFERROR(__xludf.DUMMYFUNCTION("AVERAGE(ARRAYFORMULA(XLOOKUP(FILTER(INDIRECT(""'""&amp;DD$1&amp;""'!$C$4:$C$66""),INDIRECT(""'""&amp;DD$1&amp;""'!$D$4:$D$66"")=DD$2),$G$3:$BQ$3,$G159:$BQ159)))"),-0.019204393333333285)</f>
        <v>-0.01920439333</v>
      </c>
      <c r="DE159" s="207" t="str">
        <f>IFERROR(__xludf.DUMMYFUNCTION("IF(OR(DD159&gt;$BS159+$BT159*$BT$2,DD159&lt;$BS159-$BT159*$BT$2),AVEDEV(ARRAYFORMULA(XLOOKUP(FILTER(INDIRECT(""'""&amp;DD$1&amp;""'!$C$4:$C$66""),INDIRECT(""'""&amp;DD$1&amp;""'!$D$4:$D$66"")=DD$2),$G$3:$BQ$3,$G159:$BQ159))),"""")"),"")</f>
        <v/>
      </c>
      <c r="DF159" s="251">
        <f>IFERROR(__xludf.DUMMYFUNCTION("AVERAGE(ARRAYFORMULA(XLOOKUP(FILTER(INDIRECT(""'""&amp;DF$1&amp;""'!$C$4:$C$66""),INDIRECT(""'""&amp;DF$1&amp;""'!$D$4:$D$66"")=DF$2),$G$3:$BQ$3,$G159:$BQ159)))"),-0.09259258875000001)</f>
        <v>-0.09259258875</v>
      </c>
      <c r="DG159" s="207" t="str">
        <f>IFERROR(__xludf.DUMMYFUNCTION("IF(OR(DF159&gt;$BS159+$BT159*$BT$2,DF159&lt;$BS159-$BT159*$BT$2),AVEDEV(ARRAYFORMULA(XLOOKUP(FILTER(INDIRECT(""'""&amp;DF$1&amp;""'!$C$4:$C$66""),INDIRECT(""'""&amp;DF$1&amp;""'!$D$4:$D$66"")=DF$2),$G$3:$BQ$3,$G159:$BQ159))),"""")"),"")</f>
        <v/>
      </c>
      <c r="DH159" s="251">
        <f>IFERROR(__xludf.DUMMYFUNCTION("AVERAGE(ARRAYFORMULA(XLOOKUP(FILTER(INDIRECT(""'""&amp;DH$1&amp;""'!$C$4:$C$66""),INDIRECT(""'""&amp;DH$1&amp;""'!$D$4:$D$66"")=DH$2),$G$3:$BQ$3,$G159:$BQ159)))"),-0.4197530755555556)</f>
        <v>-0.4197530756</v>
      </c>
      <c r="DI159" s="207" t="str">
        <f>IFERROR(__xludf.DUMMYFUNCTION("IF(OR(DH159&gt;$BS159+$BT159*$BT$2,DH159&lt;$BS159-$BT159*$BT$2),AVEDEV(ARRAYFORMULA(XLOOKUP(FILTER(INDIRECT(""'""&amp;DH$1&amp;""'!$C$4:$C$66""),INDIRECT(""'""&amp;DH$1&amp;""'!$D$4:$D$66"")=DH$2),$G$3:$BQ$3,$G159:$BQ159))),"""")"),"")</f>
        <v/>
      </c>
      <c r="DJ159" s="243"/>
    </row>
    <row r="160">
      <c r="A160" s="2"/>
      <c r="B160" s="204">
        <v>156.0</v>
      </c>
      <c r="C160" s="204" t="s">
        <v>601</v>
      </c>
      <c r="D160" s="204" t="s">
        <v>603</v>
      </c>
      <c r="E160" s="205" t="b">
        <f>VLOOKUP(D160,'Feature Set List'!A157:C246,2,0)</f>
        <v>1</v>
      </c>
      <c r="F160" s="205" t="b">
        <f>VLOOKUP(D160,'Feature Set List'!A157:C246,3,0)</f>
        <v>1</v>
      </c>
      <c r="G160" s="205">
        <v>0.60215587</v>
      </c>
      <c r="H160" s="205">
        <v>-0.3972246</v>
      </c>
      <c r="I160" s="205">
        <v>0.32957502</v>
      </c>
      <c r="J160" s="205">
        <v>1.44220047</v>
      </c>
      <c r="K160" s="205">
        <v>-1.0083013</v>
      </c>
      <c r="L160" s="205">
        <v>-0.5181514</v>
      </c>
      <c r="M160" s="205">
        <v>2.93148309</v>
      </c>
      <c r="N160" s="205">
        <v>0.33948705</v>
      </c>
      <c r="O160" s="205">
        <v>-0.5964564</v>
      </c>
      <c r="P160" s="205">
        <v>1.10271342</v>
      </c>
      <c r="Q160" s="205">
        <v>-0.7136662</v>
      </c>
      <c r="R160" s="205">
        <v>-0.4138273</v>
      </c>
      <c r="S160" s="205">
        <v>-0.7183744</v>
      </c>
      <c r="T160" s="205">
        <v>-0.8103085</v>
      </c>
      <c r="U160" s="205">
        <v>0.20071862</v>
      </c>
      <c r="V160" s="205">
        <v>-0.2651468</v>
      </c>
      <c r="W160" s="205">
        <v>0.52781564</v>
      </c>
      <c r="X160" s="205">
        <v>0.91438483</v>
      </c>
      <c r="Y160" s="205">
        <v>0.08177425</v>
      </c>
      <c r="Z160" s="205">
        <v>1.91549994</v>
      </c>
      <c r="AA160" s="205">
        <v>-0.0223021</v>
      </c>
      <c r="AB160" s="205">
        <v>0.06690621</v>
      </c>
      <c r="AC160" s="205">
        <v>0.57737579</v>
      </c>
      <c r="AD160" s="205">
        <v>0.13133441</v>
      </c>
      <c r="AE160" s="205">
        <v>0.0</v>
      </c>
      <c r="AF160" s="205">
        <v>-0.6217321</v>
      </c>
      <c r="AG160" s="205">
        <v>0.24284475</v>
      </c>
      <c r="AH160" s="205">
        <v>0.64923801</v>
      </c>
      <c r="AI160" s="205">
        <v>1.69247925</v>
      </c>
      <c r="AJ160" s="205">
        <v>0.47825548</v>
      </c>
      <c r="AK160" s="205">
        <v>-0.7359683</v>
      </c>
      <c r="AL160" s="205">
        <v>-0.7111882</v>
      </c>
      <c r="AM160" s="205">
        <v>-0.3642671</v>
      </c>
      <c r="AN160" s="205">
        <v>-0.1164664</v>
      </c>
      <c r="AO160" s="205">
        <v>-0.4985751</v>
      </c>
      <c r="AP160" s="205">
        <v>0.39400322</v>
      </c>
      <c r="AQ160" s="205">
        <v>0.6764961</v>
      </c>
      <c r="AR160" s="205">
        <v>-1.2845992</v>
      </c>
      <c r="AS160" s="205">
        <v>-0.6616281</v>
      </c>
      <c r="AT160" s="205">
        <v>-0.5553215</v>
      </c>
      <c r="AU160" s="205">
        <v>-0.2725808</v>
      </c>
      <c r="AV160" s="205">
        <v>0.18089456</v>
      </c>
      <c r="AW160" s="205">
        <v>0.55011771</v>
      </c>
      <c r="AX160" s="205">
        <v>-0.6494858</v>
      </c>
      <c r="AY160" s="205">
        <v>-0.0669062</v>
      </c>
      <c r="AZ160" s="205">
        <v>0.28001487</v>
      </c>
      <c r="BA160" s="205">
        <v>0.03469211</v>
      </c>
      <c r="BB160" s="205">
        <v>1.40503036</v>
      </c>
      <c r="BC160" s="205">
        <v>-0.4708215</v>
      </c>
      <c r="BD160" s="205">
        <v>-0.7855284</v>
      </c>
      <c r="BE160" s="205">
        <v>0.32957502</v>
      </c>
      <c r="BF160" s="205">
        <v>-0.2775369</v>
      </c>
      <c r="BG160" s="205">
        <v>-0.5625077</v>
      </c>
      <c r="BH160" s="205">
        <v>0.13133441</v>
      </c>
      <c r="BI160" s="205">
        <v>-0.7855284</v>
      </c>
      <c r="BJ160" s="205">
        <v>0.20071862</v>
      </c>
      <c r="BK160" s="205">
        <v>-0.2995911</v>
      </c>
      <c r="BL160" s="205">
        <v>-0.6120679</v>
      </c>
      <c r="BM160" s="205">
        <v>0.89951679</v>
      </c>
      <c r="BN160" s="205">
        <v>-0.8886136</v>
      </c>
      <c r="BO160" s="205">
        <v>0.40391525</v>
      </c>
      <c r="BP160" s="205">
        <v>1.66769917</v>
      </c>
      <c r="BQ160" s="205">
        <v>-0.1164664</v>
      </c>
      <c r="BR160" s="206"/>
      <c r="BS160" s="250">
        <f t="shared" si="1"/>
        <v>0.07268429508</v>
      </c>
      <c r="BT160" s="250">
        <f t="shared" si="2"/>
        <v>0.6085970607</v>
      </c>
      <c r="BU160" s="206"/>
      <c r="BV160" s="207">
        <f>IFERROR(__xludf.DUMMYFUNCTION("AVERAGE(ARRAYFORMULA(XLOOKUP(FILTER(INDIRECT(""'""&amp;BV$1&amp;""'!$C$4:$C$66""),INDIRECT(""'""&amp;BV$1&amp;""'!$D$4:$D$66"")=BV$2),$G$3:$BQ$3,$G160:$BQ160)))"),0.23887994714285712)</f>
        <v>0.2388799471</v>
      </c>
      <c r="BW160" s="207" t="str">
        <f>IFERROR(__xludf.DUMMYFUNCTION("IF(OR(BV160&gt;$BS160+$BT160*$BT$2,BV160&lt;$BS160-$BT160*$BT$2),AVEDEV(ARRAYFORMULA(XLOOKUP(FILTER(INDIRECT(""'""&amp;BV$1&amp;""'!$C$4:$C$66""),INDIRECT(""'""&amp;BV$1&amp;""'!$D$4:$D$66"")=BV$2),$G$3:$BQ$3,$G160:$BQ160))),"""")"),"")</f>
        <v/>
      </c>
      <c r="BX160" s="207">
        <f>IFERROR(__xludf.DUMMYFUNCTION("AVERAGE(ARRAYFORMULA(XLOOKUP(FILTER(INDIRECT(""'""&amp;BX$1&amp;""'!$C$4:$C$66""),INDIRECT(""'""&amp;BX$1&amp;""'!$D$4:$D$66"")=BX$2),$G$3:$BQ$3,$G160:$BQ160)))"),-0.020821164285714292)</f>
        <v>-0.02082116429</v>
      </c>
      <c r="BY160" s="207" t="str">
        <f>IFERROR(__xludf.DUMMYFUNCTION("IF(OR(BX160&gt;$BS160+$BT160*$BT$2,BX160&lt;$BS160-$BT160*$BT$2),AVEDEV(ARRAYFORMULA(XLOOKUP(FILTER(INDIRECT(""'""&amp;BX$1&amp;""'!$C$4:$C$66""),INDIRECT(""'""&amp;BX$1&amp;""'!$D$4:$D$66"")=BX$2),$G$3:$BQ$3,$G160:$BQ160))),"""")"),"")</f>
        <v/>
      </c>
      <c r="BZ160" s="207">
        <f>IFERROR(__xludf.DUMMYFUNCTION("AVERAGE(ARRAYFORMULA(XLOOKUP(FILTER(INDIRECT(""'""&amp;BZ$1&amp;""'!$C$4:$C$66""),INDIRECT(""'""&amp;BZ$1&amp;""'!$D$4:$D$66"")=BZ$2),$G$3:$BQ$3,$G160:$BQ160)))"),0.40999763999999994)</f>
        <v>0.40999764</v>
      </c>
      <c r="CA160" s="207" t="str">
        <f>IFERROR(__xludf.DUMMYFUNCTION("IF(OR(BZ160&gt;$BS160+$BT160*$BT$2,BZ160&lt;$BS160-$BT160*$BT$2),AVEDEV(ARRAYFORMULA(XLOOKUP(FILTER(INDIRECT(""'""&amp;BZ$1&amp;""'!$C$4:$C$66""),INDIRECT(""'""&amp;BZ$1&amp;""'!$D$4:$D$66"")=BZ$2),$G$3:$BQ$3,$G160:$BQ160))),"""")"),"")</f>
        <v/>
      </c>
      <c r="CB160" s="209"/>
      <c r="CC160" s="207">
        <f>IFERROR(__xludf.DUMMYFUNCTION("AVERAGE(ARRAYFORMULA(XLOOKUP(FILTER(INDIRECT(""'""&amp;CC$1&amp;""'!$C$4:$C$66""),INDIRECT(""'""&amp;CC$1&amp;""'!$D$4:$D$66"")=CC$2),$G$3:$BQ$3,$G160:$BQ160)))"),0.231492383125)</f>
        <v>0.2314923831</v>
      </c>
      <c r="CD160" s="207" t="str">
        <f>IFERROR(__xludf.DUMMYFUNCTION("IF(OR(CC160&gt;$BS160+$BT160*$BT$2,CC160&lt;$BS160-$BT160*$BT$2),AVEDEV(ARRAYFORMULA(XLOOKUP(FILTER(INDIRECT(""'""&amp;CC$1&amp;""'!$C$4:$C$66""),INDIRECT(""'""&amp;CC$1&amp;""'!$D$4:$D$66"")=CC$2),$G$3:$BQ$3,$G160:$BQ160))),"""")"),"")</f>
        <v/>
      </c>
      <c r="CE160" s="207">
        <f>IFERROR(__xludf.DUMMYFUNCTION("AVERAGE(ARRAYFORMULA(XLOOKUP(FILTER(INDIRECT(""'""&amp;CE$1&amp;""'!$C$4:$C$66""),INDIRECT(""'""&amp;CE$1&amp;""'!$D$4:$D$66"")=CE$2),$G$3:$BQ$3,$G160:$BQ160)))"),0.08792131193548386)</f>
        <v>0.08792131194</v>
      </c>
      <c r="CF160" s="207" t="str">
        <f>IFERROR(__xludf.DUMMYFUNCTION("IF(OR(CE160&gt;$BS160+$BT160*$BT$2,CE160&lt;$BS160-$BT160*$BT$2),AVEDEV(ARRAYFORMULA(XLOOKUP(FILTER(INDIRECT(""'""&amp;CE$1&amp;""'!$C$4:$C$66""),INDIRECT(""'""&amp;CE$1&amp;""'!$D$4:$D$66"")=CE$2),$G$3:$BQ$3,$G160:$BQ160))),"""")"),"")</f>
        <v/>
      </c>
      <c r="CG160" s="207">
        <f>IFERROR(__xludf.DUMMYFUNCTION("AVERAGE(ARRAYFORMULA(XLOOKUP(FILTER(INDIRECT(""'""&amp;CG$1&amp;""'!$C$4:$C$66""),INDIRECT(""'""&amp;CG$1&amp;""'!$D$4:$D$66"")=CG$2),$G$3:$BQ$3,$G160:$BQ160)))"),-0.17940775400000003)</f>
        <v>-0.179407754</v>
      </c>
      <c r="CH160" s="207" t="str">
        <f>IFERROR(__xludf.DUMMYFUNCTION("IF(OR(CG160&gt;$BS160+$BT160*$BT$2,CG160&lt;$BS160-$BT160*$BT$2),AVEDEV(ARRAYFORMULA(XLOOKUP(FILTER(INDIRECT(""'""&amp;CG$1&amp;""'!$C$4:$C$66""),INDIRECT(""'""&amp;CG$1&amp;""'!$D$4:$D$66"")=CG$2),$G$3:$BQ$3,$G160:$BQ160))),"""")"),"")</f>
        <v/>
      </c>
      <c r="CI160" s="206"/>
      <c r="CJ160" s="251">
        <f>IFERROR(__xludf.DUMMYFUNCTION("AVERAGE(ARRAYFORMULA(XLOOKUP(FILTER(INDIRECT(""'""&amp;CJ$1&amp;""'!$C$4:$C$66""),INDIRECT(""'""&amp;CJ$1&amp;""'!$D$4:$D$66"")=CJ$2),$G$3:$BQ$3,$G160:$BQ160)))"),0.39283029666666663)</f>
        <v>0.3928302967</v>
      </c>
      <c r="CK160" s="207" t="str">
        <f>IFERROR(__xludf.DUMMYFUNCTION("IF(OR(CJ160&gt;$BS160+$BT160*$BT$2,CJ160&lt;$BS160-$BT160*$BT$2),AVEDEV(ARRAYFORMULA(XLOOKUP(FILTER(INDIRECT(""'""&amp;CJ$1&amp;""'!$C$4:$C$66""),INDIRECT(""'""&amp;CJ$1&amp;""'!$D$4:$D$66"")=CJ$2),$G$3:$BQ$3,$G160:$BQ160))),"""")"),"")</f>
        <v/>
      </c>
      <c r="CL160" s="251">
        <f>IFERROR(__xludf.DUMMYFUNCTION("AVERAGE(ARRAYFORMULA(XLOOKUP(FILTER(INDIRECT(""'""&amp;CL$1&amp;""'!$C$4:$C$66""),INDIRECT(""'""&amp;CL$1&amp;""'!$D$4:$D$66"")=CL$2),$G$3:$BQ$3,$G160:$BQ160)))"),0.023699922820512816)</f>
        <v>0.02369992282</v>
      </c>
      <c r="CM160" s="207" t="str">
        <f>IFERROR(__xludf.DUMMYFUNCTION("IF(OR(CL160&gt;$BS160+$BT160*$BT$2,CL160&lt;$BS160-$BT160*$BT$2),AVEDEV(ARRAYFORMULA(XLOOKUP(FILTER(INDIRECT(""'""&amp;CL$1&amp;""'!$C$4:$C$66""),INDIRECT(""'""&amp;CL$1&amp;""'!$D$4:$D$66"")=CL$2),$G$3:$BQ$3,$G160:$BQ160))),"""")"),"")</f>
        <v/>
      </c>
      <c r="CN160" s="251">
        <f>IFERROR(__xludf.DUMMYFUNCTION("AVERAGE(ARRAYFORMULA(XLOOKUP(FILTER(INDIRECT(""'""&amp;CN$1&amp;""'!$C$4:$C$66""),INDIRECT(""'""&amp;CN$1&amp;""'!$D$4:$D$66"")=CN$2),$G$3:$BQ$3,$G160:$BQ160)))"),-0.17940775400000003)</f>
        <v>-0.179407754</v>
      </c>
      <c r="CO160" s="207" t="str">
        <f>IFERROR(__xludf.DUMMYFUNCTION("IF(OR(CN160&gt;$BS160+$BT160*$BT$2,CN160&lt;$BS160-$BT160*$BT$2),AVEDEV(ARRAYFORMULA(XLOOKUP(FILTER(INDIRECT(""'""&amp;CN$1&amp;""'!$C$4:$C$66""),INDIRECT(""'""&amp;CN$1&amp;""'!$D$4:$D$66"")=CN$2),$G$3:$BQ$3,$G160:$BQ160))),"""")"),"")</f>
        <v/>
      </c>
      <c r="CP160" s="252"/>
      <c r="CQ160" s="251">
        <f>IFERROR(__xludf.DUMMYFUNCTION("AVERAGE(ARRAYFORMULA(XLOOKUP(FILTER(INDIRECT(""'""&amp;CQ$1&amp;""'!$C$4:$C$66""),INDIRECT(""'""&amp;CQ$1&amp;""'!$D$4:$D$66"")=CQ$2),$G$3:$BQ$3,$G160:$BQ160)))"),0.18935518928571432)</f>
        <v>0.1893551893</v>
      </c>
      <c r="CR160" s="207" t="str">
        <f>IFERROR(__xludf.DUMMYFUNCTION("IF(OR(CQ160&gt;$BS160+$BT160*$BT$2,CQ160&lt;$BS160-$BT160*$BT$2),AVEDEV(ARRAYFORMULA(XLOOKUP(FILTER(INDIRECT(""'""&amp;CQ$1&amp;""'!$C$4:$C$66""),INDIRECT(""'""&amp;CQ$1&amp;""'!$D$4:$D$66"")=CQ$2),$G$3:$BQ$3,$G160:$BQ160))),"""")"),"")</f>
        <v/>
      </c>
      <c r="CS160" s="251">
        <f>IFERROR(__xludf.DUMMYFUNCTION("AVERAGE(ARRAYFORMULA(XLOOKUP(FILTER(INDIRECT(""'""&amp;CS$1&amp;""'!$C$4:$C$66""),INDIRECT(""'""&amp;CS$1&amp;""'!$D$4:$D$66"")=CS$2),$G$3:$BQ$3,$G160:$BQ160)))"),0.3700491533333333)</f>
        <v>0.3700491533</v>
      </c>
      <c r="CT160" s="207" t="str">
        <f>IFERROR(__xludf.DUMMYFUNCTION("IF(OR(CS160&gt;$BS160+$BT160*$BT$2,CS160&lt;$BS160-$BT160*$BT$2),AVEDEV(ARRAYFORMULA(XLOOKUP(FILTER(INDIRECT(""'""&amp;CS$1&amp;""'!$C$4:$C$66""),INDIRECT(""'""&amp;CS$1&amp;""'!$D$4:$D$66"")=CS$2),$G$3:$BQ$3,$G160:$BQ160))),"""")"),"")</f>
        <v/>
      </c>
      <c r="CU160" s="251">
        <f>IFERROR(__xludf.DUMMYFUNCTION("AVERAGE(ARRAYFORMULA(XLOOKUP(FILTER(INDIRECT(""'""&amp;CU$1&amp;""'!$C$4:$C$66""),INDIRECT(""'""&amp;CU$1&amp;""'!$D$4:$D$66"")=CU$2),$G$3:$BQ$3,$G160:$BQ160)))"),-0.005857100909090903)</f>
        <v>-0.005857100909</v>
      </c>
      <c r="CV160" s="207" t="str">
        <f>IFERROR(__xludf.DUMMYFUNCTION("IF(OR(CU160&gt;$BS160+$BT160*$BT$2,CU160&lt;$BS160-$BT160*$BT$2),AVEDEV(ARRAYFORMULA(XLOOKUP(FILTER(INDIRECT(""'""&amp;CU$1&amp;""'!$C$4:$C$66""),INDIRECT(""'""&amp;CU$1&amp;""'!$D$4:$D$66"")=CU$2),$G$3:$BQ$3,$G160:$BQ160))),"""")"),"")</f>
        <v/>
      </c>
      <c r="CW160" s="251">
        <f>IFERROR(__xludf.DUMMYFUNCTION("AVERAGE(ARRAYFORMULA(XLOOKUP(FILTER(INDIRECT(""'""&amp;CW$1&amp;""'!$C$4:$C$66""),INDIRECT(""'""&amp;CW$1&amp;""'!$D$4:$D$66"")=CW$2),$G$3:$BQ$3,$G160:$BQ160)))"),0.13133441)</f>
        <v>0.13133441</v>
      </c>
      <c r="CX160" s="207" t="str">
        <f>IFERROR(__xludf.DUMMYFUNCTION("IF(OR(CW160&gt;$BS160+$BT160*$BT$2,CW160&lt;$BS160-$BT160*$BT$2),AVEDEV(ARRAYFORMULA(XLOOKUP(FILTER(INDIRECT(""'""&amp;CW$1&amp;""'!$C$4:$C$66""),INDIRECT(""'""&amp;CW$1&amp;""'!$D$4:$D$66"")=CW$2),$G$3:$BQ$3,$G160:$BQ160))),"""")"),"")</f>
        <v/>
      </c>
      <c r="CY160" s="251">
        <f>IFERROR(__xludf.DUMMYFUNCTION("AVERAGE(ARRAYFORMULA(XLOOKUP(FILTER(INDIRECT(""'""&amp;CY$1&amp;""'!$C$4:$C$66""),INDIRECT(""'""&amp;CY$1&amp;""'!$D$4:$D$66"")=CY$2),$G$3:$BQ$3,$G160:$BQ160)))"),-0.1266969992857143)</f>
        <v>-0.1266969993</v>
      </c>
      <c r="CZ160" s="207" t="str">
        <f>IFERROR(__xludf.DUMMYFUNCTION("IF(OR(CY160&gt;$BS160+$BT160*$BT$2,CY160&lt;$BS160-$BT160*$BT$2),AVEDEV(ARRAYFORMULA(XLOOKUP(FILTER(INDIRECT(""'""&amp;CY$1&amp;""'!$C$4:$C$66""),INDIRECT(""'""&amp;CY$1&amp;""'!$D$4:$D$66"")=CY$2),$G$3:$BQ$3,$G160:$BQ160))),"""")"),"")</f>
        <v/>
      </c>
      <c r="DA160" s="252"/>
      <c r="DB160" s="251">
        <f>IFERROR(__xludf.DUMMYFUNCTION("AVERAGE(ARRAYFORMULA(XLOOKUP(FILTER(INDIRECT(""'""&amp;DB$1&amp;""'!$C$4:$C$66""),INDIRECT(""'""&amp;DB$1&amp;""'!$D$4:$D$66"")=DB$2),$G$3:$BQ$3,$G160:$BQ160)))"),0.13114442866666662)</f>
        <v>0.1311444287</v>
      </c>
      <c r="DC160" s="207" t="str">
        <f>IFERROR(__xludf.DUMMYFUNCTION("IF(OR(DB160&gt;$BS160+$BT160*$BT$2,DB160&lt;$BS160-$BT160*$BT$2),AVEDEV(ARRAYFORMULA(XLOOKUP(FILTER(INDIRECT(""'""&amp;DB$1&amp;""'!$C$4:$C$66""),INDIRECT(""'""&amp;DB$1&amp;""'!$D$4:$D$66"")=DB$2),$G$3:$BQ$3,$G160:$BQ160))),"""")"),"")</f>
        <v/>
      </c>
      <c r="DD160" s="251">
        <f>IFERROR(__xludf.DUMMYFUNCTION("AVERAGE(ARRAYFORMULA(XLOOKUP(FILTER(INDIRECT(""'""&amp;DD$1&amp;""'!$C$4:$C$66""),INDIRECT(""'""&amp;DD$1&amp;""'!$D$4:$D$66"")=DD$2),$G$3:$BQ$3,$G160:$BQ160)))"),0.5500901755555555)</f>
        <v>0.5500901756</v>
      </c>
      <c r="DE160" s="207" t="str">
        <f>IFERROR(__xludf.DUMMYFUNCTION("IF(OR(DD160&gt;$BS160+$BT160*$BT$2,DD160&lt;$BS160-$BT160*$BT$2),AVEDEV(ARRAYFORMULA(XLOOKUP(FILTER(INDIRECT(""'""&amp;DD$1&amp;""'!$C$4:$C$66""),INDIRECT(""'""&amp;DD$1&amp;""'!$D$4:$D$66"")=DD$2),$G$3:$BQ$3,$G160:$BQ160))),"""")"),"")</f>
        <v/>
      </c>
      <c r="DF160" s="251">
        <f>IFERROR(__xludf.DUMMYFUNCTION("AVERAGE(ARRAYFORMULA(XLOOKUP(FILTER(INDIRECT(""'""&amp;DF$1&amp;""'!$C$4:$C$66""),INDIRECT(""'""&amp;DF$1&amp;""'!$D$4:$D$66"")=DF$2),$G$3:$BQ$3,$G160:$BQ160)))"),-0.10735967875000002)</f>
        <v>-0.1073596788</v>
      </c>
      <c r="DG160" s="207" t="str">
        <f>IFERROR(__xludf.DUMMYFUNCTION("IF(OR(DF160&gt;$BS160+$BT160*$BT$2,DF160&lt;$BS160-$BT160*$BT$2),AVEDEV(ARRAYFORMULA(XLOOKUP(FILTER(INDIRECT(""'""&amp;DF$1&amp;""'!$C$4:$C$66""),INDIRECT(""'""&amp;DF$1&amp;""'!$D$4:$D$66"")=DF$2),$G$3:$BQ$3,$G160:$BQ160))),"""")"),"")</f>
        <v/>
      </c>
      <c r="DH160" s="251">
        <f>IFERROR(__xludf.DUMMYFUNCTION("AVERAGE(ARRAYFORMULA(XLOOKUP(FILTER(INDIRECT(""'""&amp;DH$1&amp;""'!$C$4:$C$66""),INDIRECT(""'""&amp;DH$1&amp;""'!$D$4:$D$66"")=DH$2),$G$3:$BQ$3,$G160:$BQ160)))"),-0.13752942999999998)</f>
        <v>-0.13752943</v>
      </c>
      <c r="DI160" s="207" t="str">
        <f>IFERROR(__xludf.DUMMYFUNCTION("IF(OR(DH160&gt;$BS160+$BT160*$BT$2,DH160&lt;$BS160-$BT160*$BT$2),AVEDEV(ARRAYFORMULA(XLOOKUP(FILTER(INDIRECT(""'""&amp;DH$1&amp;""'!$C$4:$C$66""),INDIRECT(""'""&amp;DH$1&amp;""'!$D$4:$D$66"")=DH$2),$G$3:$BQ$3,$G160:$BQ160))),"""")"),"")</f>
        <v/>
      </c>
      <c r="DJ160" s="243"/>
    </row>
    <row r="161">
      <c r="A161" s="2"/>
      <c r="B161" s="204">
        <v>157.0</v>
      </c>
      <c r="C161" s="204" t="s">
        <v>601</v>
      </c>
      <c r="D161" s="204" t="s">
        <v>604</v>
      </c>
      <c r="E161" s="205" t="b">
        <f>VLOOKUP(D161,'Feature Set List'!A158:C246,2,0)</f>
        <v>1</v>
      </c>
      <c r="F161" s="205" t="b">
        <f>VLOOKUP(D161,'Feature Set List'!A158:C246,3,0)</f>
        <v>1</v>
      </c>
      <c r="G161" s="215">
        <v>-5.27E-7</v>
      </c>
      <c r="H161" s="205">
        <v>0.06332429</v>
      </c>
      <c r="I161" s="215">
        <v>-5.27E-7</v>
      </c>
      <c r="J161" s="205">
        <v>1.30842576</v>
      </c>
      <c r="K161" s="205">
        <v>3.25628223</v>
      </c>
      <c r="L161" s="205">
        <v>3.58016343</v>
      </c>
      <c r="M161" s="215">
        <v>-5.27E-7</v>
      </c>
      <c r="N161" s="205">
        <v>2.27388739</v>
      </c>
      <c r="O161" s="205">
        <v>1.63150062</v>
      </c>
      <c r="P161" s="205">
        <v>2.43784385</v>
      </c>
      <c r="Q161" s="205">
        <v>0.86964065</v>
      </c>
      <c r="R161" s="215">
        <v>-5.27E-7</v>
      </c>
      <c r="S161" s="205">
        <v>0.90135682</v>
      </c>
      <c r="T161" s="215">
        <v>-5.27E-7</v>
      </c>
      <c r="U161" s="205">
        <v>0.21341165</v>
      </c>
      <c r="V161" s="215">
        <v>-5.27E-7</v>
      </c>
      <c r="W161" s="215">
        <v>-5.27E-7</v>
      </c>
      <c r="X161" s="205">
        <v>0.46042146</v>
      </c>
      <c r="Y161" s="215">
        <v>-5.27E-7</v>
      </c>
      <c r="Z161" s="215">
        <v>-5.27E-7</v>
      </c>
      <c r="AA161" s="205">
        <v>2.06020643</v>
      </c>
      <c r="AB161" s="205">
        <v>0.49724447</v>
      </c>
      <c r="AC161" s="205">
        <v>0.0</v>
      </c>
      <c r="AD161" s="215">
        <v>-5.27E-7</v>
      </c>
      <c r="AE161" s="205">
        <v>5.04905202</v>
      </c>
      <c r="AF161" s="205">
        <v>0.24526221</v>
      </c>
      <c r="AG161" s="205">
        <v>0.71589787</v>
      </c>
      <c r="AH161" s="205">
        <v>0.92702541</v>
      </c>
      <c r="AI161" s="215">
        <v>-5.27E-7</v>
      </c>
      <c r="AJ161" s="215">
        <v>-5.27E-7</v>
      </c>
      <c r="AK161" s="215">
        <v>-5.27E-7</v>
      </c>
      <c r="AL161" s="215">
        <v>-5.27E-7</v>
      </c>
      <c r="AM161" s="215">
        <v>-5.27E-7</v>
      </c>
      <c r="AN161" s="215">
        <v>-5.27E-7</v>
      </c>
      <c r="AO161" s="205">
        <v>3.4968413</v>
      </c>
      <c r="AP161" s="205">
        <v>2.71334445</v>
      </c>
      <c r="AQ161" s="215">
        <v>-5.27E-7</v>
      </c>
      <c r="AR161" s="205">
        <v>0.11619353</v>
      </c>
      <c r="AS161" s="215">
        <v>-5.27E-7</v>
      </c>
      <c r="AT161" s="205">
        <v>0.19970381</v>
      </c>
      <c r="AU161" s="205">
        <v>2.0024185</v>
      </c>
      <c r="AV161" s="215">
        <v>-5.27E-7</v>
      </c>
      <c r="AW161" s="205">
        <v>1.21542751</v>
      </c>
      <c r="AX161" s="205">
        <v>0.57384707</v>
      </c>
      <c r="AY161" s="215">
        <v>-5.27E-7</v>
      </c>
      <c r="AZ161" s="215">
        <v>-5.27E-7</v>
      </c>
      <c r="BA161" s="205">
        <v>1.29780891</v>
      </c>
      <c r="BB161" s="205">
        <v>4.58406075</v>
      </c>
      <c r="BC161" s="205">
        <v>0.45020778</v>
      </c>
      <c r="BD161" s="215">
        <v>-5.27E-7</v>
      </c>
      <c r="BE161" s="215">
        <v>-5.27E-7</v>
      </c>
      <c r="BF161" s="205">
        <v>1.14352857</v>
      </c>
      <c r="BG161" s="215">
        <v>-5.27E-7</v>
      </c>
      <c r="BH161" s="215">
        <v>-5.27E-7</v>
      </c>
      <c r="BI161" s="215">
        <v>-5.27E-7</v>
      </c>
      <c r="BJ161" s="205">
        <v>1.07297354</v>
      </c>
      <c r="BK161" s="205">
        <v>0.32119286</v>
      </c>
      <c r="BL161" s="215">
        <v>-5.27E-7</v>
      </c>
      <c r="BM161" s="215">
        <v>-5.27E-7</v>
      </c>
      <c r="BN161" s="205">
        <v>0.66106653</v>
      </c>
      <c r="BO161" s="215">
        <v>-5.27E-7</v>
      </c>
      <c r="BP161" s="215">
        <v>-5.27E-7</v>
      </c>
      <c r="BQ161" s="215">
        <v>-5.27E-7</v>
      </c>
      <c r="BR161" s="206"/>
      <c r="BS161" s="250">
        <f t="shared" si="1"/>
        <v>0.7355483386</v>
      </c>
      <c r="BT161" s="250">
        <f t="shared" si="2"/>
        <v>0.8840117367</v>
      </c>
      <c r="BU161" s="206"/>
      <c r="BV161" s="207">
        <f>IFERROR(__xludf.DUMMYFUNCTION("AVERAGE(ARRAYFORMULA(XLOOKUP(FILTER(INDIRECT(""'""&amp;BV$1&amp;""'!$C$4:$C$66""),INDIRECT(""'""&amp;BV$1&amp;""'!$D$4:$D$66"")=BV$2),$G$3:$BQ$3,$G161:$BQ161)))"),1.2506762255714285)</f>
        <v>1.250676226</v>
      </c>
      <c r="BW161" s="207" t="str">
        <f>IFERROR(__xludf.DUMMYFUNCTION("IF(OR(BV161&gt;$BS161+$BT161*$BT$2,BV161&lt;$BS161-$BT161*$BT$2),AVEDEV(ARRAYFORMULA(XLOOKUP(FILTER(INDIRECT(""'""&amp;BV$1&amp;""'!$C$4:$C$66""),INDIRECT(""'""&amp;BV$1&amp;""'!$D$4:$D$66"")=BV$2),$G$3:$BQ$3,$G161:$BQ161))),"""")"),"")</f>
        <v/>
      </c>
      <c r="BX161" s="207">
        <f>IFERROR(__xludf.DUMMYFUNCTION("AVERAGE(ARRAYFORMULA(XLOOKUP(FILTER(INDIRECT(""'""&amp;BX$1&amp;""'!$C$4:$C$66""),INDIRECT(""'""&amp;BX$1&amp;""'!$D$4:$D$66"")=BX$2),$G$3:$BQ$3,$G161:$BQ161)))"),0.6671742761190477)</f>
        <v>0.6671742761</v>
      </c>
      <c r="BY161" s="207" t="str">
        <f>IFERROR(__xludf.DUMMYFUNCTION("IF(OR(BX161&gt;$BS161+$BT161*$BT$2,BX161&lt;$BS161-$BT161*$BT$2),AVEDEV(ARRAYFORMULA(XLOOKUP(FILTER(INDIRECT(""'""&amp;BX$1&amp;""'!$C$4:$C$66""),INDIRECT(""'""&amp;BX$1&amp;""'!$D$4:$D$66"")=BX$2),$G$3:$BQ$3,$G161:$BQ161))),"""")"),"")</f>
        <v/>
      </c>
      <c r="BZ161" s="207">
        <f>IFERROR(__xludf.DUMMYFUNCTION("AVERAGE(ARRAYFORMULA(XLOOKUP(FILTER(INDIRECT(""'""&amp;BZ$1&amp;""'!$C$4:$C$66""),INDIRECT(""'""&amp;BZ$1&amp;""'!$D$4:$D$66"")=BZ$2),$G$3:$BQ$3,$G161:$BQ161)))"),0.6873704282727272)</f>
        <v>0.6873704283</v>
      </c>
      <c r="CA161" s="207" t="str">
        <f>IFERROR(__xludf.DUMMYFUNCTION("IF(OR(BZ161&gt;$BS161+$BT161*$BT$2,BZ161&lt;$BS161-$BT161*$BT$2),AVEDEV(ARRAYFORMULA(XLOOKUP(FILTER(INDIRECT(""'""&amp;BZ$1&amp;""'!$C$4:$C$66""),INDIRECT(""'""&amp;BZ$1&amp;""'!$D$4:$D$66"")=BZ$2),$G$3:$BQ$3,$G161:$BQ161))),"""")"),"")</f>
        <v/>
      </c>
      <c r="CB161" s="209"/>
      <c r="CC161" s="207">
        <f>IFERROR(__xludf.DUMMYFUNCTION("AVERAGE(ARRAYFORMULA(XLOOKUP(FILTER(INDIRECT(""'""&amp;CC$1&amp;""'!$C$4:$C$66""),INDIRECT(""'""&amp;CC$1&amp;""'!$D$4:$D$66"")=CC$2),$G$3:$BQ$3,$G161:$BQ161)))"),1.4210215120000003)</f>
        <v>1.421021512</v>
      </c>
      <c r="CD161" s="207" t="str">
        <f>IFERROR(__xludf.DUMMYFUNCTION("IF(OR(CC161&gt;$BS161+$BT161*$BT$2,CC161&lt;$BS161-$BT161*$BT$2),AVEDEV(ARRAYFORMULA(XLOOKUP(FILTER(INDIRECT(""'""&amp;CC$1&amp;""'!$C$4:$C$66""),INDIRECT(""'""&amp;CC$1&amp;""'!$D$4:$D$66"")=CC$2),$G$3:$BQ$3,$G161:$BQ161))),"""")"),"")</f>
        <v/>
      </c>
      <c r="CE161" s="207">
        <f>IFERROR(__xludf.DUMMYFUNCTION("AVERAGE(ARRAYFORMULA(XLOOKUP(FILTER(INDIRECT(""'""&amp;CE$1&amp;""'!$C$4:$C$66""),INDIRECT(""'""&amp;CE$1&amp;""'!$D$4:$D$66"")=CE$2),$G$3:$BQ$3,$G161:$BQ161)))"),0.4263816536774196)</f>
        <v>0.4263816537</v>
      </c>
      <c r="CF161" s="207" t="str">
        <f>IFERROR(__xludf.DUMMYFUNCTION("IF(OR(CE161&gt;$BS161+$BT161*$BT$2,CE161&lt;$BS161-$BT161*$BT$2),AVEDEV(ARRAYFORMULA(XLOOKUP(FILTER(INDIRECT(""'""&amp;CE$1&amp;""'!$C$4:$C$66""),INDIRECT(""'""&amp;CE$1&amp;""'!$D$4:$D$66"")=CE$2),$G$3:$BQ$3,$G161:$BQ161))),"""")"),"")</f>
        <v/>
      </c>
      <c r="CG161" s="207">
        <f>IFERROR(__xludf.DUMMYFUNCTION("AVERAGE(ARRAYFORMULA(XLOOKUP(FILTER(INDIRECT(""'""&amp;CG$1&amp;""'!$C$4:$C$66""),INDIRECT(""'""&amp;CG$1&amp;""'!$D$4:$D$66"")=CG$2),$G$3:$BQ$3,$G161:$BQ161)))"),0.7471302358)</f>
        <v>0.7471302358</v>
      </c>
      <c r="CH161" s="207" t="str">
        <f>IFERROR(__xludf.DUMMYFUNCTION("IF(OR(CG161&gt;$BS161+$BT161*$BT$2,CG161&lt;$BS161-$BT161*$BT$2),AVEDEV(ARRAYFORMULA(XLOOKUP(FILTER(INDIRECT(""'""&amp;CG$1&amp;""'!$C$4:$C$66""),INDIRECT(""'""&amp;CG$1&amp;""'!$D$4:$D$66"")=CG$2),$G$3:$BQ$3,$G161:$BQ161))),"""")"),"")</f>
        <v/>
      </c>
      <c r="CI161" s="206"/>
      <c r="CJ161" s="251">
        <f>IFERROR(__xludf.DUMMYFUNCTION("AVERAGE(ARRAYFORMULA(XLOOKUP(FILTER(INDIRECT(""'""&amp;CJ$1&amp;""'!$C$4:$C$66""),INDIRECT(""'""&amp;CJ$1&amp;""'!$D$4:$D$66"")=CJ$2),$G$3:$BQ$3,$G161:$BQ161)))"),1.0843340503333332)</f>
        <v>1.08433405</v>
      </c>
      <c r="CK161" s="207" t="str">
        <f>IFERROR(__xludf.DUMMYFUNCTION("IF(OR(CJ161&gt;$BS161+$BT161*$BT$2,CJ161&lt;$BS161-$BT161*$BT$2),AVEDEV(ARRAYFORMULA(XLOOKUP(FILTER(INDIRECT(""'""&amp;CJ$1&amp;""'!$C$4:$C$66""),INDIRECT(""'""&amp;CJ$1&amp;""'!$D$4:$D$66"")=CJ$2),$G$3:$BQ$3,$G161:$BQ161))),"""")"),"")</f>
        <v/>
      </c>
      <c r="CL161" s="251">
        <f>IFERROR(__xludf.DUMMYFUNCTION("AVERAGE(ARRAYFORMULA(XLOOKUP(FILTER(INDIRECT(""'""&amp;CL$1&amp;""'!$C$4:$C$66""),INDIRECT(""'""&amp;CL$1&amp;""'!$D$4:$D$66"")=CL$2),$G$3:$BQ$3,$G161:$BQ161)))"),0.6240119610256409)</f>
        <v>0.624011961</v>
      </c>
      <c r="CM161" s="207" t="str">
        <f>IFERROR(__xludf.DUMMYFUNCTION("IF(OR(CL161&gt;$BS161+$BT161*$BT$2,CL161&lt;$BS161-$BT161*$BT$2),AVEDEV(ARRAYFORMULA(XLOOKUP(FILTER(INDIRECT(""'""&amp;CL$1&amp;""'!$C$4:$C$66""),INDIRECT(""'""&amp;CL$1&amp;""'!$D$4:$D$66"")=CL$2),$G$3:$BQ$3,$G161:$BQ161))),"""")"),"")</f>
        <v/>
      </c>
      <c r="CN161" s="251">
        <f>IFERROR(__xludf.DUMMYFUNCTION("AVERAGE(ARRAYFORMULA(XLOOKUP(FILTER(INDIRECT(""'""&amp;CN$1&amp;""'!$C$4:$C$66""),INDIRECT(""'""&amp;CN$1&amp;""'!$D$4:$D$66"")=CN$2),$G$3:$BQ$3,$G161:$BQ161)))"),0.7471302358)</f>
        <v>0.7471302358</v>
      </c>
      <c r="CO161" s="207" t="str">
        <f>IFERROR(__xludf.DUMMYFUNCTION("IF(OR(CN161&gt;$BS161+$BT161*$BT$2,CN161&lt;$BS161-$BT161*$BT$2),AVEDEV(ARRAYFORMULA(XLOOKUP(FILTER(INDIRECT(""'""&amp;CN$1&amp;""'!$C$4:$C$66""),INDIRECT(""'""&amp;CN$1&amp;""'!$D$4:$D$66"")=CN$2),$G$3:$BQ$3,$G161:$BQ161))),"""")"),"")</f>
        <v/>
      </c>
      <c r="CP161" s="252"/>
      <c r="CQ161" s="251">
        <f>IFERROR(__xludf.DUMMYFUNCTION("AVERAGE(ARRAYFORMULA(XLOOKUP(FILTER(INDIRECT(""'""&amp;CQ$1&amp;""'!$C$4:$C$66""),INDIRECT(""'""&amp;CQ$1&amp;""'!$D$4:$D$66"")=CQ$2),$G$3:$BQ$3,$G161:$BQ161)))"),1.0574341489285717)</f>
        <v>1.057434149</v>
      </c>
      <c r="CR161" s="207" t="str">
        <f>IFERROR(__xludf.DUMMYFUNCTION("IF(OR(CQ161&gt;$BS161+$BT161*$BT$2,CQ161&lt;$BS161-$BT161*$BT$2),AVEDEV(ARRAYFORMULA(XLOOKUP(FILTER(INDIRECT(""'""&amp;CQ$1&amp;""'!$C$4:$C$66""),INDIRECT(""'""&amp;CQ$1&amp;""'!$D$4:$D$66"")=CQ$2),$G$3:$BQ$3,$G161:$BQ161))),"""")"),"")</f>
        <v/>
      </c>
      <c r="CS161" s="251">
        <f>IFERROR(__xludf.DUMMYFUNCTION("AVERAGE(ARRAYFORMULA(XLOOKUP(FILTER(INDIRECT(""'""&amp;CS$1&amp;""'!$C$4:$C$66""),INDIRECT(""'""&amp;CS$1&amp;""'!$D$4:$D$66"")=CS$2),$G$3:$BQ$3,$G161:$BQ161)))"),0.8401195294444443)</f>
        <v>0.8401195294</v>
      </c>
      <c r="CT161" s="207" t="str">
        <f>IFERROR(__xludf.DUMMYFUNCTION("IF(OR(CS161&gt;$BS161+$BT161*$BT$2,CS161&lt;$BS161-$BT161*$BT$2),AVEDEV(ARRAYFORMULA(XLOOKUP(FILTER(INDIRECT(""'""&amp;CS$1&amp;""'!$C$4:$C$66""),INDIRECT(""'""&amp;CS$1&amp;""'!$D$4:$D$66"")=CS$2),$G$3:$BQ$3,$G161:$BQ161))),"""")"),"")</f>
        <v/>
      </c>
      <c r="CU161" s="251">
        <f>IFERROR(__xludf.DUMMYFUNCTION("AVERAGE(ARRAYFORMULA(XLOOKUP(FILTER(INDIRECT(""'""&amp;CU$1&amp;""'!$C$4:$C$66""),INDIRECT(""'""&amp;CU$1&amp;""'!$D$4:$D$66"")=CU$2),$G$3:$BQ$3,$G161:$BQ161)))"),0.416866755)</f>
        <v>0.416866755</v>
      </c>
      <c r="CV161" s="207" t="str">
        <f>IFERROR(__xludf.DUMMYFUNCTION("IF(OR(CU161&gt;$BS161+$BT161*$BT$2,CU161&lt;$BS161-$BT161*$BT$2),AVEDEV(ARRAYFORMULA(XLOOKUP(FILTER(INDIRECT(""'""&amp;CU$1&amp;""'!$C$4:$C$66""),INDIRECT(""'""&amp;CU$1&amp;""'!$D$4:$D$66"")=CU$2),$G$3:$BQ$3,$G161:$BQ161))),"""")"),"")</f>
        <v/>
      </c>
      <c r="CW161" s="251">
        <f>IFERROR(__xludf.DUMMYFUNCTION("AVERAGE(ARRAYFORMULA(XLOOKUP(FILTER(INDIRECT(""'""&amp;CW$1&amp;""'!$C$4:$C$66""),INDIRECT(""'""&amp;CW$1&amp;""'!$D$4:$D$66"")=CW$2),$G$3:$BQ$3,$G161:$BQ161)))"),-5.27E-7)</f>
        <v>-0.000000527</v>
      </c>
      <c r="CX161" s="207" t="str">
        <f>IFERROR(__xludf.DUMMYFUNCTION("IF(OR(CW161&gt;$BS161+$BT161*$BT$2,CW161&lt;$BS161-$BT161*$BT$2),AVEDEV(ARRAYFORMULA(XLOOKUP(FILTER(INDIRECT(""'""&amp;CW$1&amp;""'!$C$4:$C$66""),INDIRECT(""'""&amp;CW$1&amp;""'!$D$4:$D$66"")=CW$2),$G$3:$BQ$3,$G161:$BQ161))),"""")"),"")</f>
        <v/>
      </c>
      <c r="CY161" s="251">
        <f>IFERROR(__xludf.DUMMYFUNCTION("AVERAGE(ARRAYFORMULA(XLOOKUP(FILTER(INDIRECT(""'""&amp;CY$1&amp;""'!$C$4:$C$66""),INDIRECT(""'""&amp;CY$1&amp;""'!$D$4:$D$66"")=CY$2),$G$3:$BQ$3,$G161:$BQ161)))"),0.3839590022142857)</f>
        <v>0.3839590022</v>
      </c>
      <c r="CZ161" s="207" t="str">
        <f>IFERROR(__xludf.DUMMYFUNCTION("IF(OR(CY161&gt;$BS161+$BT161*$BT$2,CY161&lt;$BS161-$BT161*$BT$2),AVEDEV(ARRAYFORMULA(XLOOKUP(FILTER(INDIRECT(""'""&amp;CY$1&amp;""'!$C$4:$C$66""),INDIRECT(""'""&amp;CY$1&amp;""'!$D$4:$D$66"")=CY$2),$G$3:$BQ$3,$G161:$BQ161))),"""")"),"")</f>
        <v/>
      </c>
      <c r="DA161" s="252"/>
      <c r="DB161" s="251">
        <f>IFERROR(__xludf.DUMMYFUNCTION("AVERAGE(ARRAYFORMULA(XLOOKUP(FILTER(INDIRECT(""'""&amp;DB$1&amp;""'!$C$4:$C$66""),INDIRECT(""'""&amp;DB$1&amp;""'!$D$4:$D$66"")=DB$2),$G$3:$BQ$3,$G161:$BQ161)))"),0.8673210865333334)</f>
        <v>0.8673210865</v>
      </c>
      <c r="DC161" s="207" t="str">
        <f>IFERROR(__xludf.DUMMYFUNCTION("IF(OR(DB161&gt;$BS161+$BT161*$BT$2,DB161&lt;$BS161-$BT161*$BT$2),AVEDEV(ARRAYFORMULA(XLOOKUP(FILTER(INDIRECT(""'""&amp;DB$1&amp;""'!$C$4:$C$66""),INDIRECT(""'""&amp;DB$1&amp;""'!$D$4:$D$66"")=DB$2),$G$3:$BQ$3,$G161:$BQ161))),"""")"),"")</f>
        <v/>
      </c>
      <c r="DD161" s="251">
        <f>IFERROR(__xludf.DUMMYFUNCTION("AVERAGE(ARRAYFORMULA(XLOOKUP(FILTER(INDIRECT(""'""&amp;DD$1&amp;""'!$C$4:$C$66""),INDIRECT(""'""&amp;DD$1&amp;""'!$D$4:$D$66"")=DD$2),$G$3:$BQ$3,$G161:$BQ161)))"),0.8128681142222222)</f>
        <v>0.8128681142</v>
      </c>
      <c r="DE161" s="207" t="str">
        <f>IFERROR(__xludf.DUMMYFUNCTION("IF(OR(DD161&gt;$BS161+$BT161*$BT$2,DD161&lt;$BS161-$BT161*$BT$2),AVEDEV(ARRAYFORMULA(XLOOKUP(FILTER(INDIRECT(""'""&amp;DD$1&amp;""'!$C$4:$C$66""),INDIRECT(""'""&amp;DD$1&amp;""'!$D$4:$D$66"")=DD$2),$G$3:$BQ$3,$G161:$BQ161))),"""")"),"")</f>
        <v/>
      </c>
      <c r="DF161" s="251">
        <f>IFERROR(__xludf.DUMMYFUNCTION("AVERAGE(ARRAYFORMULA(XLOOKUP(FILTER(INDIRECT(""'""&amp;DF$1&amp;""'!$C$4:$C$66""),INDIRECT(""'""&amp;DF$1&amp;""'!$D$4:$D$66"")=DF$2),$G$3:$BQ$3,$G161:$BQ161)))"),0.6008091764999999)</f>
        <v>0.6008091765</v>
      </c>
      <c r="DG161" s="207" t="str">
        <f>IFERROR(__xludf.DUMMYFUNCTION("IF(OR(DF161&gt;$BS161+$BT161*$BT$2,DF161&lt;$BS161-$BT161*$BT$2),AVEDEV(ARRAYFORMULA(XLOOKUP(FILTER(INDIRECT(""'""&amp;DF$1&amp;""'!$C$4:$C$66""),INDIRECT(""'""&amp;DF$1&amp;""'!$D$4:$D$66"")=DF$2),$G$3:$BQ$3,$G161:$BQ161))),"""")"),"")</f>
        <v/>
      </c>
      <c r="DH161" s="251">
        <f>IFERROR(__xludf.DUMMYFUNCTION("AVERAGE(ARRAYFORMULA(XLOOKUP(FILTER(INDIRECT(""'""&amp;DH$1&amp;""'!$C$4:$C$66""),INDIRECT(""'""&amp;DH$1&amp;""'!$D$4:$D$66"")=DH$2),$G$3:$BQ$3,$G161:$BQ161)))"),0.2357503431111111)</f>
        <v>0.2357503431</v>
      </c>
      <c r="DI161" s="207" t="str">
        <f>IFERROR(__xludf.DUMMYFUNCTION("IF(OR(DH161&gt;$BS161+$BT161*$BT$2,DH161&lt;$BS161-$BT161*$BT$2),AVEDEV(ARRAYFORMULA(XLOOKUP(FILTER(INDIRECT(""'""&amp;DH$1&amp;""'!$C$4:$C$66""),INDIRECT(""'""&amp;DH$1&amp;""'!$D$4:$D$66"")=DH$2),$G$3:$BQ$3,$G161:$BQ161))),"""")"),"")</f>
        <v/>
      </c>
      <c r="DJ161" s="243"/>
    </row>
    <row r="162">
      <c r="A162" s="2"/>
      <c r="B162" s="204">
        <v>158.0</v>
      </c>
      <c r="C162" s="204" t="s">
        <v>601</v>
      </c>
      <c r="D162" s="204" t="s">
        <v>605</v>
      </c>
      <c r="E162" s="205" t="b">
        <f>VLOOKUP(D162,'Feature Set List'!A159:C246,2,0)</f>
        <v>1</v>
      </c>
      <c r="F162" s="205" t="b">
        <f>VLOOKUP(D162,'Feature Set List'!A159:C246,3,0)</f>
        <v>1</v>
      </c>
      <c r="G162" s="205">
        <v>0.18067227</v>
      </c>
      <c r="H162" s="205">
        <v>-0.0042017</v>
      </c>
      <c r="I162" s="205">
        <v>-1.1246499</v>
      </c>
      <c r="J162" s="205">
        <v>-1.0672269</v>
      </c>
      <c r="K162" s="205">
        <v>-0.732493</v>
      </c>
      <c r="L162" s="205">
        <v>1.45378151</v>
      </c>
      <c r="M162" s="205">
        <v>-1.2156863</v>
      </c>
      <c r="N162" s="205">
        <v>-0.4579832</v>
      </c>
      <c r="O162" s="205">
        <v>0.0</v>
      </c>
      <c r="P162" s="205">
        <v>0.08823529</v>
      </c>
      <c r="Q162" s="205">
        <v>-0.697479</v>
      </c>
      <c r="R162" s="205">
        <v>-0.7156863</v>
      </c>
      <c r="S162" s="205">
        <v>1.80532213</v>
      </c>
      <c r="T162" s="205">
        <v>1.53361345</v>
      </c>
      <c r="U162" s="205">
        <v>-0.6526611</v>
      </c>
      <c r="V162" s="205">
        <v>-1.17507</v>
      </c>
      <c r="W162" s="205">
        <v>0.11204482</v>
      </c>
      <c r="X162" s="205">
        <v>0.21568627</v>
      </c>
      <c r="Y162" s="205">
        <v>0.28991597</v>
      </c>
      <c r="Z162" s="205">
        <v>0.09943978</v>
      </c>
      <c r="AA162" s="205">
        <v>0.54201681</v>
      </c>
      <c r="AB162" s="205">
        <v>-0.2044818</v>
      </c>
      <c r="AC162" s="205">
        <v>0.64845938</v>
      </c>
      <c r="AD162" s="205">
        <v>0.00980392</v>
      </c>
      <c r="AE162" s="205">
        <v>1.68347339</v>
      </c>
      <c r="AF162" s="205">
        <v>0.05602241</v>
      </c>
      <c r="AG162" s="205">
        <v>0.05042017</v>
      </c>
      <c r="AH162" s="205">
        <v>-0.4187675</v>
      </c>
      <c r="AI162" s="205">
        <v>-0.9733894</v>
      </c>
      <c r="AJ162" s="205">
        <v>-0.557423</v>
      </c>
      <c r="AK162" s="205">
        <v>-0.6330532</v>
      </c>
      <c r="AL162" s="205">
        <v>0.6372549</v>
      </c>
      <c r="AM162" s="205">
        <v>0.24369748</v>
      </c>
      <c r="AN162" s="205">
        <v>-0.82493</v>
      </c>
      <c r="AO162" s="205">
        <v>-0.6834734</v>
      </c>
      <c r="AP162" s="205">
        <v>-2.2266106</v>
      </c>
      <c r="AQ162" s="205">
        <v>-0.1288515</v>
      </c>
      <c r="AR162" s="205">
        <v>0.22408964</v>
      </c>
      <c r="AS162" s="205">
        <v>0.0952381</v>
      </c>
      <c r="AT162" s="205">
        <v>-0.7240896</v>
      </c>
      <c r="AU162" s="205">
        <v>1.49719888</v>
      </c>
      <c r="AV162" s="205">
        <v>0.62464986</v>
      </c>
      <c r="AW162" s="205">
        <v>0.37394958</v>
      </c>
      <c r="AX162" s="205">
        <v>-0.4047619</v>
      </c>
      <c r="AY162" s="205">
        <v>-0.1078431</v>
      </c>
      <c r="AZ162" s="205">
        <v>-1.1988796</v>
      </c>
      <c r="BA162" s="205">
        <v>1.78291317</v>
      </c>
      <c r="BB162" s="205">
        <v>0.22128852</v>
      </c>
      <c r="BC162" s="205">
        <v>0.20868347</v>
      </c>
      <c r="BD162" s="205">
        <v>11.7030812</v>
      </c>
      <c r="BE162" s="205">
        <v>-0.2717087</v>
      </c>
      <c r="BF162" s="205">
        <v>0.74929972</v>
      </c>
      <c r="BG162" s="205">
        <v>1.3837535</v>
      </c>
      <c r="BH162" s="205">
        <v>0.00980392</v>
      </c>
      <c r="BI162" s="205">
        <v>-0.0056022</v>
      </c>
      <c r="BJ162" s="205">
        <v>-0.2128852</v>
      </c>
      <c r="BK162" s="205">
        <v>-1.3067227</v>
      </c>
      <c r="BL162" s="205">
        <v>-1.8739496</v>
      </c>
      <c r="BM162" s="205">
        <v>-0.0910364</v>
      </c>
      <c r="BN162" s="205">
        <v>0.93557423</v>
      </c>
      <c r="BO162" s="205">
        <v>0.91736695</v>
      </c>
      <c r="BP162" s="205">
        <v>-1.0980392</v>
      </c>
      <c r="BQ162" s="205">
        <v>-0.4271709</v>
      </c>
      <c r="BR162" s="206"/>
      <c r="BS162" s="250">
        <f t="shared" si="1"/>
        <v>0.1295229173</v>
      </c>
      <c r="BT162" s="250">
        <f t="shared" si="2"/>
        <v>0.8532290534</v>
      </c>
      <c r="BU162" s="206"/>
      <c r="BV162" s="207">
        <f>IFERROR(__xludf.DUMMYFUNCTION("AVERAGE(ARRAYFORMULA(XLOOKUP(FILTER(INDIRECT(""'""&amp;BV$1&amp;""'!$C$4:$C$66""),INDIRECT(""'""&amp;BV$1&amp;""'!$D$4:$D$66"")=BV$2),$G$3:$BQ$3,$G162:$BQ162)))"),-0.4503801585714286)</f>
        <v>-0.4503801586</v>
      </c>
      <c r="BW162" s="207" t="str">
        <f>IFERROR(__xludf.DUMMYFUNCTION("IF(OR(BV162&gt;$BS162+$BT162*$BT$2,BV162&lt;$BS162-$BT162*$BT$2),AVEDEV(ARRAYFORMULA(XLOOKUP(FILTER(INDIRECT(""'""&amp;BV$1&amp;""'!$C$4:$C$66""),INDIRECT(""'""&amp;BV$1&amp;""'!$D$4:$D$66"")=BV$2),$G$3:$BQ$3,$G162:$BQ162))),"""")"),"")</f>
        <v/>
      </c>
      <c r="BX162" s="207">
        <f>IFERROR(__xludf.DUMMYFUNCTION("AVERAGE(ARRAYFORMULA(XLOOKUP(FILTER(INDIRECT(""'""&amp;BX$1&amp;""'!$C$4:$C$66""),INDIRECT(""'""&amp;BX$1&amp;""'!$D$4:$D$66"")=BX$2),$G$3:$BQ$3,$G162:$BQ162)))"),-0.08939575880952381)</f>
        <v>-0.08939575881</v>
      </c>
      <c r="BY162" s="207" t="str">
        <f>IFERROR(__xludf.DUMMYFUNCTION("IF(OR(BX162&gt;$BS162+$BT162*$BT$2,BX162&lt;$BS162-$BT162*$BT$2),AVEDEV(ARRAYFORMULA(XLOOKUP(FILTER(INDIRECT(""'""&amp;BX$1&amp;""'!$C$4:$C$66""),INDIRECT(""'""&amp;BX$1&amp;""'!$D$4:$D$66"")=BX$2),$G$3:$BQ$3,$G162:$BQ162))),"""")"),"")</f>
        <v/>
      </c>
      <c r="BZ162" s="207">
        <f>IFERROR(__xludf.DUMMYFUNCTION("AVERAGE(ARRAYFORMULA(XLOOKUP(FILTER(INDIRECT(""'""&amp;BZ$1&amp;""'!$C$4:$C$66""),INDIRECT(""'""&amp;BZ$1&amp;""'!$D$4:$D$66"")=BZ$2),$G$3:$BQ$3,$G162:$BQ162)))"),0.2719633263636364)</f>
        <v>0.2719633264</v>
      </c>
      <c r="CA162" s="207" t="str">
        <f>IFERROR(__xludf.DUMMYFUNCTION("IF(OR(BZ162&gt;$BS162+$BT162*$BT$2,BZ162&lt;$BS162-$BT162*$BT$2),AVEDEV(ARRAYFORMULA(XLOOKUP(FILTER(INDIRECT(""'""&amp;BZ$1&amp;""'!$C$4:$C$66""),INDIRECT(""'""&amp;BZ$1&amp;""'!$D$4:$D$66"")=BZ$2),$G$3:$BQ$3,$G162:$BQ162))),"""")"),"")</f>
        <v/>
      </c>
      <c r="CB162" s="209"/>
      <c r="CC162" s="207">
        <f>IFERROR(__xludf.DUMMYFUNCTION("AVERAGE(ARRAYFORMULA(XLOOKUP(FILTER(INDIRECT(""'""&amp;CC$1&amp;""'!$C$4:$C$66""),INDIRECT(""'""&amp;CC$1&amp;""'!$D$4:$D$66"")=CC$2),$G$3:$BQ$3,$G162:$BQ162)))"),-0.3560749262500001)</f>
        <v>-0.3560749263</v>
      </c>
      <c r="CD162" s="207" t="str">
        <f>IFERROR(__xludf.DUMMYFUNCTION("IF(OR(CC162&gt;$BS162+$BT162*$BT$2,CC162&lt;$BS162-$BT162*$BT$2),AVEDEV(ARRAYFORMULA(XLOOKUP(FILTER(INDIRECT(""'""&amp;CC$1&amp;""'!$C$4:$C$66""),INDIRECT(""'""&amp;CC$1&amp;""'!$D$4:$D$66"")=CC$2),$G$3:$BQ$3,$G162:$BQ162))),"""")"),"")</f>
        <v/>
      </c>
      <c r="CE162" s="207">
        <f>IFERROR(__xludf.DUMMYFUNCTION("AVERAGE(ARRAYFORMULA(XLOOKUP(FILTER(INDIRECT(""'""&amp;CE$1&amp;""'!$C$4:$C$66""),INDIRECT(""'""&amp;CE$1&amp;""'!$D$4:$D$66"")=CE$2),$G$3:$BQ$3,$G162:$BQ162)))"),-0.05118822290322582)</f>
        <v>-0.0511882229</v>
      </c>
      <c r="CF162" s="207" t="str">
        <f>IFERROR(__xludf.DUMMYFUNCTION("IF(OR(CE162&gt;$BS162+$BT162*$BT$2,CE162&lt;$BS162-$BT162*$BT$2),AVEDEV(ARRAYFORMULA(XLOOKUP(FILTER(INDIRECT(""'""&amp;CE$1&amp;""'!$C$4:$C$66""),INDIRECT(""'""&amp;CE$1&amp;""'!$D$4:$D$66"")=CE$2),$G$3:$BQ$3,$G162:$BQ162))),"""")"),"")</f>
        <v/>
      </c>
      <c r="CG162" s="207">
        <f>IFERROR(__xludf.DUMMYFUNCTION("AVERAGE(ARRAYFORMULA(XLOOKUP(FILTER(INDIRECT(""'""&amp;CG$1&amp;""'!$C$4:$C$66""),INDIRECT(""'""&amp;CG$1&amp;""'!$D$4:$D$66"")=CG$2),$G$3:$BQ$3,$G162:$BQ162)))"),0.976750702)</f>
        <v>0.976750702</v>
      </c>
      <c r="CH162" s="207" t="str">
        <f>IFERROR(__xludf.DUMMYFUNCTION("IF(OR(CG162&gt;$BS162+$BT162*$BT$2,CG162&lt;$BS162-$BT162*$BT$2),AVEDEV(ARRAYFORMULA(XLOOKUP(FILTER(INDIRECT(""'""&amp;CG$1&amp;""'!$C$4:$C$66""),INDIRECT(""'""&amp;CG$1&amp;""'!$D$4:$D$66"")=CG$2),$G$3:$BQ$3,$G162:$BQ162))),"""")"),"")</f>
        <v/>
      </c>
      <c r="CI162" s="206"/>
      <c r="CJ162" s="251">
        <f>IFERROR(__xludf.DUMMYFUNCTION("AVERAGE(ARRAYFORMULA(XLOOKUP(FILTER(INDIRECT(""'""&amp;CJ$1&amp;""'!$C$4:$C$66""),INDIRECT(""'""&amp;CJ$1&amp;""'!$D$4:$D$66"")=CJ$2),$G$3:$BQ$3,$G162:$BQ162)))"),0.125210084)</f>
        <v>0.125210084</v>
      </c>
      <c r="CK162" s="207" t="str">
        <f>IFERROR(__xludf.DUMMYFUNCTION("IF(OR(CJ162&gt;$BS162+$BT162*$BT$2,CJ162&lt;$BS162-$BT162*$BT$2),AVEDEV(ARRAYFORMULA(XLOOKUP(FILTER(INDIRECT(""'""&amp;CJ$1&amp;""'!$C$4:$C$66""),INDIRECT(""'""&amp;CJ$1&amp;""'!$D$4:$D$66"")=CJ$2),$G$3:$BQ$3,$G162:$BQ162))),"""")"),"")</f>
        <v/>
      </c>
      <c r="CL162" s="251">
        <f>IFERROR(__xludf.DUMMYFUNCTION("AVERAGE(ARRAYFORMULA(XLOOKUP(FILTER(INDIRECT(""'""&amp;CL$1&amp;""'!$C$4:$C$66""),INDIRECT(""'""&amp;CL$1&amp;""'!$D$4:$D$66"")=CL$2),$G$3:$BQ$3,$G162:$BQ162)))"),-0.22573439897435896)</f>
        <v>-0.225734399</v>
      </c>
      <c r="CM162" s="207" t="str">
        <f>IFERROR(__xludf.DUMMYFUNCTION("IF(OR(CL162&gt;$BS162+$BT162*$BT$2,CL162&lt;$BS162-$BT162*$BT$2),AVEDEV(ARRAYFORMULA(XLOOKUP(FILTER(INDIRECT(""'""&amp;CL$1&amp;""'!$C$4:$C$66""),INDIRECT(""'""&amp;CL$1&amp;""'!$D$4:$D$66"")=CL$2),$G$3:$BQ$3,$G162:$BQ162))),"""")"),"")</f>
        <v/>
      </c>
      <c r="CN162" s="251">
        <f>IFERROR(__xludf.DUMMYFUNCTION("AVERAGE(ARRAYFORMULA(XLOOKUP(FILTER(INDIRECT(""'""&amp;CN$1&amp;""'!$C$4:$C$66""),INDIRECT(""'""&amp;CN$1&amp;""'!$D$4:$D$66"")=CN$2),$G$3:$BQ$3,$G162:$BQ162)))"),0.976750702)</f>
        <v>0.976750702</v>
      </c>
      <c r="CO162" s="207" t="str">
        <f>IFERROR(__xludf.DUMMYFUNCTION("IF(OR(CN162&gt;$BS162+$BT162*$BT$2,CN162&lt;$BS162-$BT162*$BT$2),AVEDEV(ARRAYFORMULA(XLOOKUP(FILTER(INDIRECT(""'""&amp;CN$1&amp;""'!$C$4:$C$66""),INDIRECT(""'""&amp;CN$1&amp;""'!$D$4:$D$66"")=CN$2),$G$3:$BQ$3,$G162:$BQ162))),"""")"),"")</f>
        <v/>
      </c>
      <c r="CP162" s="252"/>
      <c r="CQ162" s="251">
        <f>IFERROR(__xludf.DUMMYFUNCTION("AVERAGE(ARRAYFORMULA(XLOOKUP(FILTER(INDIRECT(""'""&amp;CQ$1&amp;""'!$C$4:$C$66""),INDIRECT(""'""&amp;CQ$1&amp;""'!$D$4:$D$66"")=CQ$2),$G$3:$BQ$3,$G162:$BQ162)))"),-0.31990796000000005)</f>
        <v>-0.31990796</v>
      </c>
      <c r="CR162" s="207" t="str">
        <f>IFERROR(__xludf.DUMMYFUNCTION("IF(OR(CQ162&gt;$BS162+$BT162*$BT$2,CQ162&lt;$BS162-$BT162*$BT$2),AVEDEV(ARRAYFORMULA(XLOOKUP(FILTER(INDIRECT(""'""&amp;CQ$1&amp;""'!$C$4:$C$66""),INDIRECT(""'""&amp;CQ$1&amp;""'!$D$4:$D$66"")=CQ$2),$G$3:$BQ$3,$G162:$BQ162))),"""")"),"")</f>
        <v/>
      </c>
      <c r="CS162" s="251">
        <f>IFERROR(__xludf.DUMMYFUNCTION("AVERAGE(ARRAYFORMULA(XLOOKUP(FILTER(INDIRECT(""'""&amp;CS$1&amp;""'!$C$4:$C$66""),INDIRECT(""'""&amp;CS$1&amp;""'!$D$4:$D$66"")=CS$2),$G$3:$BQ$3,$G162:$BQ162)))"),0.4757236211111112)</f>
        <v>0.4757236211</v>
      </c>
      <c r="CT162" s="207" t="str">
        <f>IFERROR(__xludf.DUMMYFUNCTION("IF(OR(CS162&gt;$BS162+$BT162*$BT$2,CS162&lt;$BS162-$BT162*$BT$2),AVEDEV(ARRAYFORMULA(XLOOKUP(FILTER(INDIRECT(""'""&amp;CS$1&amp;""'!$C$4:$C$66""),INDIRECT(""'""&amp;CS$1&amp;""'!$D$4:$D$66"")=CS$2),$G$3:$BQ$3,$G162:$BQ162))),"""")"),"")</f>
        <v/>
      </c>
      <c r="CU162" s="251">
        <f>IFERROR(__xludf.DUMMYFUNCTION("AVERAGE(ARRAYFORMULA(XLOOKUP(FILTER(INDIRECT(""'""&amp;CU$1&amp;""'!$C$4:$C$66""),INDIRECT(""'""&amp;CU$1&amp;""'!$D$4:$D$66"")=CU$2),$G$3:$BQ$3,$G162:$BQ162)))"),0.3290043281818182)</f>
        <v>0.3290043282</v>
      </c>
      <c r="CV162" s="207" t="str">
        <f>IFERROR(__xludf.DUMMYFUNCTION("IF(OR(CU162&gt;$BS162+$BT162*$BT$2,CU162&lt;$BS162-$BT162*$BT$2),AVEDEV(ARRAYFORMULA(XLOOKUP(FILTER(INDIRECT(""'""&amp;CU$1&amp;""'!$C$4:$C$66""),INDIRECT(""'""&amp;CU$1&amp;""'!$D$4:$D$66"")=CU$2),$G$3:$BQ$3,$G162:$BQ162))),"""")"),"")</f>
        <v/>
      </c>
      <c r="CW162" s="251">
        <f>IFERROR(__xludf.DUMMYFUNCTION("AVERAGE(ARRAYFORMULA(XLOOKUP(FILTER(INDIRECT(""'""&amp;CW$1&amp;""'!$C$4:$C$66""),INDIRECT(""'""&amp;CW$1&amp;""'!$D$4:$D$66"")=CW$2),$G$3:$BQ$3,$G162:$BQ162)))"),0.00980392)</f>
        <v>0.00980392</v>
      </c>
      <c r="CX162" s="207" t="str">
        <f>IFERROR(__xludf.DUMMYFUNCTION("IF(OR(CW162&gt;$BS162+$BT162*$BT$2,CW162&lt;$BS162-$BT162*$BT$2),AVEDEV(ARRAYFORMULA(XLOOKUP(FILTER(INDIRECT(""'""&amp;CW$1&amp;""'!$C$4:$C$66""),INDIRECT(""'""&amp;CW$1&amp;""'!$D$4:$D$66"")=CW$2),$G$3:$BQ$3,$G162:$BQ162))),"""")"),"")</f>
        <v/>
      </c>
      <c r="CY162" s="251">
        <f>IFERROR(__xludf.DUMMYFUNCTION("AVERAGE(ARRAYFORMULA(XLOOKUP(FILTER(INDIRECT(""'""&amp;CY$1&amp;""'!$C$4:$C$66""),INDIRECT(""'""&amp;CY$1&amp;""'!$D$4:$D$66"")=CY$2),$G$3:$BQ$3,$G162:$BQ162)))"),-0.24829932714285716)</f>
        <v>-0.2482993271</v>
      </c>
      <c r="CZ162" s="207" t="str">
        <f>IFERROR(__xludf.DUMMYFUNCTION("IF(OR(CY162&gt;$BS162+$BT162*$BT$2,CY162&lt;$BS162-$BT162*$BT$2),AVEDEV(ARRAYFORMULA(XLOOKUP(FILTER(INDIRECT(""'""&amp;CY$1&amp;""'!$C$4:$C$66""),INDIRECT(""'""&amp;CY$1&amp;""'!$D$4:$D$66"")=CY$2),$G$3:$BQ$3,$G162:$BQ162))),"""")"),"")</f>
        <v/>
      </c>
      <c r="DA162" s="252"/>
      <c r="DB162" s="251">
        <f>IFERROR(__xludf.DUMMYFUNCTION("AVERAGE(ARRAYFORMULA(XLOOKUP(FILTER(INDIRECT(""'""&amp;DB$1&amp;""'!$C$4:$C$66""),INDIRECT(""'""&amp;DB$1&amp;""'!$D$4:$D$66"")=DB$2),$G$3:$BQ$3,$G162:$BQ162)))"),-0.27711484566666655)</f>
        <v>-0.2771148457</v>
      </c>
      <c r="DC162" s="207" t="str">
        <f>IFERROR(__xludf.DUMMYFUNCTION("IF(OR(DB162&gt;$BS162+$BT162*$BT$2,DB162&lt;$BS162-$BT162*$BT$2),AVEDEV(ARRAYFORMULA(XLOOKUP(FILTER(INDIRECT(""'""&amp;DB$1&amp;""'!$C$4:$C$66""),INDIRECT(""'""&amp;DB$1&amp;""'!$D$4:$D$66"")=DB$2),$G$3:$BQ$3,$G162:$BQ162))),"""")"),"")</f>
        <v/>
      </c>
      <c r="DD162" s="251">
        <f>IFERROR(__xludf.DUMMYFUNCTION("AVERAGE(ARRAYFORMULA(XLOOKUP(FILTER(INDIRECT(""'""&amp;DD$1&amp;""'!$C$4:$C$66""),INDIRECT(""'""&amp;DD$1&amp;""'!$D$4:$D$66"")=DD$2),$G$3:$BQ$3,$G162:$BQ162)))"),0.4965764077777778)</f>
        <v>0.4965764078</v>
      </c>
      <c r="DE162" s="207" t="str">
        <f>IFERROR(__xludf.DUMMYFUNCTION("IF(OR(DD162&gt;$BS162+$BT162*$BT$2,DD162&lt;$BS162-$BT162*$BT$2),AVEDEV(ARRAYFORMULA(XLOOKUP(FILTER(INDIRECT(""'""&amp;DD$1&amp;""'!$C$4:$C$66""),INDIRECT(""'""&amp;DD$1&amp;""'!$D$4:$D$66"")=DD$2),$G$3:$BQ$3,$G162:$BQ162))),"""")"),"")</f>
        <v/>
      </c>
      <c r="DF162" s="251">
        <f>IFERROR(__xludf.DUMMYFUNCTION("AVERAGE(ARRAYFORMULA(XLOOKUP(FILTER(INDIRECT(""'""&amp;DF$1&amp;""'!$C$4:$C$66""),INDIRECT(""'""&amp;DF$1&amp;""'!$D$4:$D$66"")=DF$2),$G$3:$BQ$3,$G162:$BQ162)))"),-0.11064426999999999)</f>
        <v>-0.11064427</v>
      </c>
      <c r="DG162" s="207" t="str">
        <f>IFERROR(__xludf.DUMMYFUNCTION("IF(OR(DF162&gt;$BS162+$BT162*$BT$2,DF162&lt;$BS162-$BT162*$BT$2),AVEDEV(ARRAYFORMULA(XLOOKUP(FILTER(INDIRECT(""'""&amp;DF$1&amp;""'!$C$4:$C$66""),INDIRECT(""'""&amp;DF$1&amp;""'!$D$4:$D$66"")=DF$2),$G$3:$BQ$3,$G162:$BQ162))),"""")"),"")</f>
        <v/>
      </c>
      <c r="DH162" s="251">
        <f>IFERROR(__xludf.DUMMYFUNCTION("AVERAGE(ARRAYFORMULA(XLOOKUP(FILTER(INDIRECT(""'""&amp;DH$1&amp;""'!$C$4:$C$66""),INDIRECT(""'""&amp;DH$1&amp;""'!$D$4:$D$66"")=DH$2),$G$3:$BQ$3,$G162:$BQ162)))"),0.3257080622222222)</f>
        <v>0.3257080622</v>
      </c>
      <c r="DI162" s="207" t="str">
        <f>IFERROR(__xludf.DUMMYFUNCTION("IF(OR(DH162&gt;$BS162+$BT162*$BT$2,DH162&lt;$BS162-$BT162*$BT$2),AVEDEV(ARRAYFORMULA(XLOOKUP(FILTER(INDIRECT(""'""&amp;DH$1&amp;""'!$C$4:$C$66""),INDIRECT(""'""&amp;DH$1&amp;""'!$D$4:$D$66"")=DH$2),$G$3:$BQ$3,$G162:$BQ162))),"""")"),"")</f>
        <v/>
      </c>
      <c r="DJ162" s="243"/>
    </row>
    <row r="163">
      <c r="A163" s="2"/>
      <c r="B163" s="204">
        <v>159.0</v>
      </c>
      <c r="C163" s="204" t="s">
        <v>601</v>
      </c>
      <c r="D163" s="204" t="s">
        <v>606</v>
      </c>
      <c r="E163" s="205" t="b">
        <f>VLOOKUP(D163,'Feature Set List'!A160:C246,2,0)</f>
        <v>1</v>
      </c>
      <c r="F163" s="205" t="b">
        <f>VLOOKUP(D163,'Feature Set List'!A160:C246,3,0)</f>
        <v>1</v>
      </c>
      <c r="G163" s="205">
        <v>0.0</v>
      </c>
      <c r="H163" s="205">
        <v>-0.4457143</v>
      </c>
      <c r="I163" s="205">
        <v>-0.2306494</v>
      </c>
      <c r="J163" s="205">
        <v>0.49350649</v>
      </c>
      <c r="K163" s="205">
        <v>-1.3532468</v>
      </c>
      <c r="L163" s="205">
        <v>-0.3605195</v>
      </c>
      <c r="M163" s="205">
        <v>0.81246753</v>
      </c>
      <c r="N163" s="205">
        <v>0.22025974</v>
      </c>
      <c r="O163" s="205">
        <v>0.97038961</v>
      </c>
      <c r="P163" s="205">
        <v>0.06857143</v>
      </c>
      <c r="Q163" s="205">
        <v>-1.1670649</v>
      </c>
      <c r="R163" s="205">
        <v>0.72311688</v>
      </c>
      <c r="S163" s="205">
        <v>0.92051948</v>
      </c>
      <c r="T163" s="205">
        <v>-0.7064935</v>
      </c>
      <c r="U163" s="205">
        <v>0.44051948</v>
      </c>
      <c r="V163" s="205">
        <v>-0.1776623</v>
      </c>
      <c r="W163" s="205">
        <v>1.05038961</v>
      </c>
      <c r="X163" s="205">
        <v>1.26857143</v>
      </c>
      <c r="Y163" s="205">
        <v>0.16103896</v>
      </c>
      <c r="Z163" s="205">
        <v>0.48935065</v>
      </c>
      <c r="AA163" s="205">
        <v>-0.0166234</v>
      </c>
      <c r="AB163" s="205">
        <v>0.11012987</v>
      </c>
      <c r="AC163" s="205">
        <v>0.28467532</v>
      </c>
      <c r="AD163" s="205">
        <v>-0.1381818</v>
      </c>
      <c r="AE163" s="205">
        <v>-0.2950649</v>
      </c>
      <c r="AF163" s="205">
        <v>-0.2877922</v>
      </c>
      <c r="AG163" s="205">
        <v>0.1974026</v>
      </c>
      <c r="AH163" s="205">
        <v>1.08155844</v>
      </c>
      <c r="AI163" s="205">
        <v>0.35220779</v>
      </c>
      <c r="AJ163" s="205">
        <v>2.17142857</v>
      </c>
      <c r="AK163" s="205">
        <v>-1.0723117</v>
      </c>
      <c r="AL163" s="205">
        <v>-0.4768831</v>
      </c>
      <c r="AM163" s="205">
        <v>-0.0051948</v>
      </c>
      <c r="AN163" s="205">
        <v>0.11220779</v>
      </c>
      <c r="AO163" s="205">
        <v>-1.2424935</v>
      </c>
      <c r="AP163" s="205">
        <v>-0.9974026</v>
      </c>
      <c r="AQ163" s="205">
        <v>0.81246753</v>
      </c>
      <c r="AR163" s="205">
        <v>-0.8542338</v>
      </c>
      <c r="AS163" s="205">
        <v>-0.5215584</v>
      </c>
      <c r="AT163" s="205">
        <v>0.32103896</v>
      </c>
      <c r="AU163" s="205">
        <v>-1.7448312</v>
      </c>
      <c r="AV163" s="205">
        <v>0.66805195</v>
      </c>
      <c r="AW163" s="205">
        <v>0.23896104</v>
      </c>
      <c r="AX163" s="205">
        <v>-0.3418182</v>
      </c>
      <c r="AY163" s="205">
        <v>0.56311688</v>
      </c>
      <c r="AZ163" s="205">
        <v>0.87896104</v>
      </c>
      <c r="BA163" s="205">
        <v>-0.1309091</v>
      </c>
      <c r="BB163" s="205">
        <v>-0.5911688</v>
      </c>
      <c r="BC163" s="205">
        <v>0.07584416</v>
      </c>
      <c r="BD163" s="205">
        <v>-1.6337662</v>
      </c>
      <c r="BE163" s="205">
        <v>0.71376623</v>
      </c>
      <c r="BF163" s="205">
        <v>0.08</v>
      </c>
      <c r="BG163" s="205">
        <v>-0.5485714</v>
      </c>
      <c r="BH163" s="205">
        <v>-0.3407792</v>
      </c>
      <c r="BI163" s="205">
        <v>-0.7584416</v>
      </c>
      <c r="BJ163" s="205">
        <v>0.95272727</v>
      </c>
      <c r="BK163" s="205">
        <v>-0.4477922</v>
      </c>
      <c r="BL163" s="205">
        <v>-0.4664935</v>
      </c>
      <c r="BM163" s="205">
        <v>-0.6784416</v>
      </c>
      <c r="BN163" s="205">
        <v>-1.0992208</v>
      </c>
      <c r="BO163" s="205">
        <v>0.81246753</v>
      </c>
      <c r="BP163" s="205">
        <v>-0.265974</v>
      </c>
      <c r="BQ163" s="205">
        <v>1.25818182</v>
      </c>
      <c r="BR163" s="206"/>
      <c r="BS163" s="250">
        <f t="shared" si="1"/>
        <v>-0.00148258127</v>
      </c>
      <c r="BT163" s="250">
        <f t="shared" si="2"/>
        <v>0.6143282121</v>
      </c>
      <c r="BU163" s="206"/>
      <c r="BV163" s="207">
        <f>IFERROR(__xludf.DUMMYFUNCTION("AVERAGE(ARRAYFORMULA(XLOOKUP(FILTER(INDIRECT(""'""&amp;BV$1&amp;""'!$C$4:$C$66""),INDIRECT(""'""&amp;BV$1&amp;""'!$D$4:$D$66"")=BV$2),$G$3:$BQ$3,$G163:$BQ163)))"),0.09797403142857149)</f>
        <v>0.09797403143</v>
      </c>
      <c r="BW163" s="207" t="str">
        <f>IFERROR(__xludf.DUMMYFUNCTION("IF(OR(BV163&gt;$BS163+$BT163*$BT$2,BV163&lt;$BS163-$BT163*$BT$2),AVEDEV(ARRAYFORMULA(XLOOKUP(FILTER(INDIRECT(""'""&amp;BV$1&amp;""'!$C$4:$C$66""),INDIRECT(""'""&amp;BV$1&amp;""'!$D$4:$D$66"")=BV$2),$G$3:$BQ$3,$G163:$BQ163))),"""")"),"")</f>
        <v/>
      </c>
      <c r="BX163" s="207">
        <f>IFERROR(__xludf.DUMMYFUNCTION("AVERAGE(ARRAYFORMULA(XLOOKUP(FILTER(INDIRECT(""'""&amp;BX$1&amp;""'!$C$4:$C$66""),INDIRECT(""'""&amp;BX$1&amp;""'!$D$4:$D$66"")=BX$2),$G$3:$BQ$3,$G163:$BQ163)))"),0.048160792619047606)</f>
        <v>0.04816079262</v>
      </c>
      <c r="BY163" s="207" t="str">
        <f>IFERROR(__xludf.DUMMYFUNCTION("IF(OR(BX163&gt;$BS163+$BT163*$BT$2,BX163&lt;$BS163-$BT163*$BT$2),AVEDEV(ARRAYFORMULA(XLOOKUP(FILTER(INDIRECT(""'""&amp;BX$1&amp;""'!$C$4:$C$66""),INDIRECT(""'""&amp;BX$1&amp;""'!$D$4:$D$66"")=BX$2),$G$3:$BQ$3,$G163:$BQ163))),"""")"),"")</f>
        <v/>
      </c>
      <c r="BZ163" s="207">
        <f>IFERROR(__xludf.DUMMYFUNCTION("AVERAGE(ARRAYFORMULA(XLOOKUP(FILTER(INDIRECT(""'""&amp;BZ$1&amp;""'!$C$4:$C$66""),INDIRECT(""'""&amp;BZ$1&amp;""'!$D$4:$D$66"")=BZ$2),$G$3:$BQ$3,$G163:$BQ163)))"),0.07338842454545456)</f>
        <v>0.07338842455</v>
      </c>
      <c r="CA163" s="207" t="str">
        <f>IFERROR(__xludf.DUMMYFUNCTION("IF(OR(BZ163&gt;$BS163+$BT163*$BT$2,BZ163&lt;$BS163-$BT163*$BT$2),AVEDEV(ARRAYFORMULA(XLOOKUP(FILTER(INDIRECT(""'""&amp;BZ$1&amp;""'!$C$4:$C$66""),INDIRECT(""'""&amp;BZ$1&amp;""'!$D$4:$D$66"")=BZ$2),$G$3:$BQ$3,$G163:$BQ163))),"""")"),"")</f>
        <v/>
      </c>
      <c r="CB163" s="209"/>
      <c r="CC163" s="207">
        <f>IFERROR(__xludf.DUMMYFUNCTION("AVERAGE(ARRAYFORMULA(XLOOKUP(FILTER(INDIRECT(""'""&amp;CC$1&amp;""'!$C$4:$C$66""),INDIRECT(""'""&amp;CC$1&amp;""'!$D$4:$D$66"")=CC$2),$G$3:$BQ$3,$G163:$BQ163)))"),-0.111012985625)</f>
        <v>-0.1110129856</v>
      </c>
      <c r="CD163" s="207" t="str">
        <f>IFERROR(__xludf.DUMMYFUNCTION("IF(OR(CC163&gt;$BS163+$BT163*$BT$2,CC163&lt;$BS163-$BT163*$BT$2),AVEDEV(ARRAYFORMULA(XLOOKUP(FILTER(INDIRECT(""'""&amp;CC$1&amp;""'!$C$4:$C$66""),INDIRECT(""'""&amp;CC$1&amp;""'!$D$4:$D$66"")=CC$2),$G$3:$BQ$3,$G163:$BQ163))),"""")"),"")</f>
        <v/>
      </c>
      <c r="CE163" s="207">
        <f>IFERROR(__xludf.DUMMYFUNCTION("AVERAGE(ARRAYFORMULA(XLOOKUP(FILTER(INDIRECT(""'""&amp;CE$1&amp;""'!$C$4:$C$66""),INDIRECT(""'""&amp;CE$1&amp;""'!$D$4:$D$66"")=CE$2),$G$3:$BQ$3,$G163:$BQ163)))"),0.2784985341935483)</f>
        <v>0.2784985342</v>
      </c>
      <c r="CF163" s="207" t="str">
        <f>IFERROR(__xludf.DUMMYFUNCTION("IF(OR(CE163&gt;$BS163+$BT163*$BT$2,CE163&lt;$BS163-$BT163*$BT$2),AVEDEV(ARRAYFORMULA(XLOOKUP(FILTER(INDIRECT(""'""&amp;CE$1&amp;""'!$C$4:$C$66""),INDIRECT(""'""&amp;CE$1&amp;""'!$D$4:$D$66"")=CE$2),$G$3:$BQ$3,$G163:$BQ163))),"""")"),"")</f>
        <v/>
      </c>
      <c r="CG163" s="207">
        <f>IFERROR(__xludf.DUMMYFUNCTION("AVERAGE(ARRAYFORMULA(XLOOKUP(FILTER(INDIRECT(""'""&amp;CG$1&amp;""'!$C$4:$C$66""),INDIRECT(""'""&amp;CG$1&amp;""'!$D$4:$D$66"")=CG$2),$G$3:$BQ$3,$G163:$BQ163)))"),-0.367792194)</f>
        <v>-0.367792194</v>
      </c>
      <c r="CH163" s="207" t="str">
        <f>IFERROR(__xludf.DUMMYFUNCTION("IF(OR(CG163&gt;$BS163+$BT163*$BT$2,CG163&lt;$BS163-$BT163*$BT$2),AVEDEV(ARRAYFORMULA(XLOOKUP(FILTER(INDIRECT(""'""&amp;CG$1&amp;""'!$C$4:$C$66""),INDIRECT(""'""&amp;CG$1&amp;""'!$D$4:$D$66"")=CG$2),$G$3:$BQ$3,$G163:$BQ163))),"""")"),"")</f>
        <v/>
      </c>
      <c r="CI163" s="206"/>
      <c r="CJ163" s="251">
        <f>IFERROR(__xludf.DUMMYFUNCTION("AVERAGE(ARRAYFORMULA(XLOOKUP(FILTER(INDIRECT(""'""&amp;CJ$1&amp;""'!$C$4:$C$66""),INDIRECT(""'""&amp;CJ$1&amp;""'!$D$4:$D$66"")=CJ$2),$G$3:$BQ$3,$G163:$BQ163)))"),0.2555151506666667)</f>
        <v>0.2555151507</v>
      </c>
      <c r="CK163" s="207" t="str">
        <f>IFERROR(__xludf.DUMMYFUNCTION("IF(OR(CJ163&gt;$BS163+$BT163*$BT$2,CJ163&lt;$BS163-$BT163*$BT$2),AVEDEV(ARRAYFORMULA(XLOOKUP(FILTER(INDIRECT(""'""&amp;CJ$1&amp;""'!$C$4:$C$66""),INDIRECT(""'""&amp;CJ$1&amp;""'!$D$4:$D$66"")=CJ$2),$G$3:$BQ$3,$G163:$BQ163))),"""")"),"")</f>
        <v/>
      </c>
      <c r="CL163" s="251">
        <f>IFERROR(__xludf.DUMMYFUNCTION("AVERAGE(ARRAYFORMULA(XLOOKUP(FILTER(INDIRECT(""'""&amp;CL$1&amp;""'!$C$4:$C$66""),INDIRECT(""'""&amp;CL$1&amp;""'!$D$4:$D$66"")=CL$2),$G$3:$BQ$3,$G163:$BQ163)))"),0.05098900999999997)</f>
        <v>0.05098901</v>
      </c>
      <c r="CM163" s="207" t="str">
        <f>IFERROR(__xludf.DUMMYFUNCTION("IF(OR(CL163&gt;$BS163+$BT163*$BT$2,CL163&lt;$BS163-$BT163*$BT$2),AVEDEV(ARRAYFORMULA(XLOOKUP(FILTER(INDIRECT(""'""&amp;CL$1&amp;""'!$C$4:$C$66""),INDIRECT(""'""&amp;CL$1&amp;""'!$D$4:$D$66"")=CL$2),$G$3:$BQ$3,$G163:$BQ163))),"""")"),"")</f>
        <v/>
      </c>
      <c r="CN163" s="251">
        <f>IFERROR(__xludf.DUMMYFUNCTION("AVERAGE(ARRAYFORMULA(XLOOKUP(FILTER(INDIRECT(""'""&amp;CN$1&amp;""'!$C$4:$C$66""),INDIRECT(""'""&amp;CN$1&amp;""'!$D$4:$D$66"")=CN$2),$G$3:$BQ$3,$G163:$BQ163)))"),-0.367792194)</f>
        <v>-0.367792194</v>
      </c>
      <c r="CO163" s="207" t="str">
        <f>IFERROR(__xludf.DUMMYFUNCTION("IF(OR(CN163&gt;$BS163+$BT163*$BT$2,CN163&lt;$BS163-$BT163*$BT$2),AVEDEV(ARRAYFORMULA(XLOOKUP(FILTER(INDIRECT(""'""&amp;CN$1&amp;""'!$C$4:$C$66""),INDIRECT(""'""&amp;CN$1&amp;""'!$D$4:$D$66"")=CN$2),$G$3:$BQ$3,$G163:$BQ163))),"""")"),"")</f>
        <v/>
      </c>
      <c r="CP163" s="252"/>
      <c r="CQ163" s="251">
        <f>IFERROR(__xludf.DUMMYFUNCTION("AVERAGE(ARRAYFORMULA(XLOOKUP(FILTER(INDIRECT(""'""&amp;CQ$1&amp;""'!$C$4:$C$66""),INDIRECT(""'""&amp;CQ$1&amp;""'!$D$4:$D$66"")=CQ$2),$G$3:$BQ$3,$G163:$BQ163)))"),-0.10843042214285713)</f>
        <v>-0.1084304221</v>
      </c>
      <c r="CR163" s="207" t="str">
        <f>IFERROR(__xludf.DUMMYFUNCTION("IF(OR(CQ163&gt;$BS163+$BT163*$BT$2,CQ163&lt;$BS163-$BT163*$BT$2),AVEDEV(ARRAYFORMULA(XLOOKUP(FILTER(INDIRECT(""'""&amp;CQ$1&amp;""'!$C$4:$C$66""),INDIRECT(""'""&amp;CQ$1&amp;""'!$D$4:$D$66"")=CQ$2),$G$3:$BQ$3,$G163:$BQ163))),"""")"),"")</f>
        <v/>
      </c>
      <c r="CS163" s="251">
        <f>IFERROR(__xludf.DUMMYFUNCTION("AVERAGE(ARRAYFORMULA(XLOOKUP(FILTER(INDIRECT(""'""&amp;CS$1&amp;""'!$C$4:$C$66""),INDIRECT(""'""&amp;CS$1&amp;""'!$D$4:$D$66"")=CS$2),$G$3:$BQ$3,$G163:$BQ163)))"),0.06741702555555558)</f>
        <v>0.06741702556</v>
      </c>
      <c r="CT163" s="207" t="str">
        <f>IFERROR(__xludf.DUMMYFUNCTION("IF(OR(CS163&gt;$BS163+$BT163*$BT$2,CS163&lt;$BS163-$BT163*$BT$2),AVEDEV(ARRAYFORMULA(XLOOKUP(FILTER(INDIRECT(""'""&amp;CS$1&amp;""'!$C$4:$C$66""),INDIRECT(""'""&amp;CS$1&amp;""'!$D$4:$D$66"")=CS$2),$G$3:$BQ$3,$G163:$BQ163))),"""")"),"")</f>
        <v/>
      </c>
      <c r="CU163" s="251">
        <f>IFERROR(__xludf.DUMMYFUNCTION("AVERAGE(ARRAYFORMULA(XLOOKUP(FILTER(INDIRECT(""'""&amp;CU$1&amp;""'!$C$4:$C$66""),INDIRECT(""'""&amp;CU$1&amp;""'!$D$4:$D$66"")=CU$2),$G$3:$BQ$3,$G163:$BQ163)))"),0.4097284536363636)</f>
        <v>0.4097284536</v>
      </c>
      <c r="CV163" s="207" t="str">
        <f>IFERROR(__xludf.DUMMYFUNCTION("IF(OR(CU163&gt;$BS163+$BT163*$BT$2,CU163&lt;$BS163-$BT163*$BT$2),AVEDEV(ARRAYFORMULA(XLOOKUP(FILTER(INDIRECT(""'""&amp;CU$1&amp;""'!$C$4:$C$66""),INDIRECT(""'""&amp;CU$1&amp;""'!$D$4:$D$66"")=CU$2),$G$3:$BQ$3,$G163:$BQ163))),"""")"),"")</f>
        <v/>
      </c>
      <c r="CW163" s="251">
        <f>IFERROR(__xludf.DUMMYFUNCTION("AVERAGE(ARRAYFORMULA(XLOOKUP(FILTER(INDIRECT(""'""&amp;CW$1&amp;""'!$C$4:$C$66""),INDIRECT(""'""&amp;CW$1&amp;""'!$D$4:$D$66"")=CW$2),$G$3:$BQ$3,$G163:$BQ163)))"),-0.23948049999999999)</f>
        <v>-0.2394805</v>
      </c>
      <c r="CX163" s="207" t="str">
        <f>IFERROR(__xludf.DUMMYFUNCTION("IF(OR(CW163&gt;$BS163+$BT163*$BT$2,CW163&lt;$BS163-$BT163*$BT$2),AVEDEV(ARRAYFORMULA(XLOOKUP(FILTER(INDIRECT(""'""&amp;CW$1&amp;""'!$C$4:$C$66""),INDIRECT(""'""&amp;CW$1&amp;""'!$D$4:$D$66"")=CW$2),$G$3:$BQ$3,$G163:$BQ163))),"""")"),"")</f>
        <v/>
      </c>
      <c r="CY163" s="251">
        <f>IFERROR(__xludf.DUMMYFUNCTION("AVERAGE(ARRAYFORMULA(XLOOKUP(FILTER(INDIRECT(""'""&amp;CY$1&amp;""'!$C$4:$C$66""),INDIRECT(""'""&amp;CY$1&amp;""'!$D$4:$D$66"")=CY$2),$G$3:$BQ$3,$G163:$BQ163)))"),0.16189238928571428)</f>
        <v>0.1618923893</v>
      </c>
      <c r="CZ163" s="207" t="str">
        <f>IFERROR(__xludf.DUMMYFUNCTION("IF(OR(CY163&gt;$BS163+$BT163*$BT$2,CY163&lt;$BS163-$BT163*$BT$2),AVEDEV(ARRAYFORMULA(XLOOKUP(FILTER(INDIRECT(""'""&amp;CY$1&amp;""'!$C$4:$C$66""),INDIRECT(""'""&amp;CY$1&amp;""'!$D$4:$D$66"")=CY$2),$G$3:$BQ$3,$G163:$BQ163))),"""")"),"")</f>
        <v/>
      </c>
      <c r="DA163" s="252"/>
      <c r="DB163" s="251">
        <f>IFERROR(__xludf.DUMMYFUNCTION("AVERAGE(ARRAYFORMULA(XLOOKUP(FILTER(INDIRECT(""'""&amp;DB$1&amp;""'!$C$4:$C$66""),INDIRECT(""'""&amp;DB$1&amp;""'!$D$4:$D$66"")=DB$2),$G$3:$BQ$3,$G163:$BQ163)))"),-0.04612640466666667)</f>
        <v>-0.04612640467</v>
      </c>
      <c r="DC163" s="207" t="str">
        <f>IFERROR(__xludf.DUMMYFUNCTION("IF(OR(DB163&gt;$BS163+$BT163*$BT$2,DB163&lt;$BS163-$BT163*$BT$2),AVEDEV(ARRAYFORMULA(XLOOKUP(FILTER(INDIRECT(""'""&amp;DB$1&amp;""'!$C$4:$C$66""),INDIRECT(""'""&amp;DB$1&amp;""'!$D$4:$D$66"")=DB$2),$G$3:$BQ$3,$G163:$BQ163))),"""")"),"")</f>
        <v/>
      </c>
      <c r="DD163" s="251">
        <f>IFERROR(__xludf.DUMMYFUNCTION("AVERAGE(ARRAYFORMULA(XLOOKUP(FILTER(INDIRECT(""'""&amp;DD$1&amp;""'!$C$4:$C$66""),INDIRECT(""'""&amp;DD$1&amp;""'!$D$4:$D$66"")=DD$2),$G$3:$BQ$3,$G163:$BQ163)))"),0.08034631333333335)</f>
        <v>0.08034631333</v>
      </c>
      <c r="DE163" s="207" t="str">
        <f>IFERROR(__xludf.DUMMYFUNCTION("IF(OR(DD163&gt;$BS163+$BT163*$BT$2,DD163&lt;$BS163-$BT163*$BT$2),AVEDEV(ARRAYFORMULA(XLOOKUP(FILTER(INDIRECT(""'""&amp;DD$1&amp;""'!$C$4:$C$66""),INDIRECT(""'""&amp;DD$1&amp;""'!$D$4:$D$66"")=DD$2),$G$3:$BQ$3,$G163:$BQ163))),"""")"),"")</f>
        <v/>
      </c>
      <c r="DF163" s="251">
        <f>IFERROR(__xludf.DUMMYFUNCTION("AVERAGE(ARRAYFORMULA(XLOOKUP(FILTER(INDIRECT(""'""&amp;DF$1&amp;""'!$C$4:$C$66""),INDIRECT(""'""&amp;DF$1&amp;""'!$D$4:$D$66"")=DF$2),$G$3:$BQ$3,$G163:$BQ163)))"),0.8314285674999999)</f>
        <v>0.8314285675</v>
      </c>
      <c r="DG163" s="207">
        <f>IFERROR(__xludf.DUMMYFUNCTION("IF(OR(DF163&gt;$BS163+$BT163*$BT$2,DF163&lt;$BS163-$BT163*$BT$2),AVEDEV(ARRAYFORMULA(XLOOKUP(FILTER(INDIRECT(""'""&amp;DF$1&amp;""'!$C$4:$C$66""),INDIRECT(""'""&amp;DF$1&amp;""'!$D$4:$D$66"")=DF$2),$G$3:$BQ$3,$G163:$BQ163))),"""")"),0.40389610749999993)</f>
        <v>0.4038961075</v>
      </c>
      <c r="DH163" s="251">
        <f>IFERROR(__xludf.DUMMYFUNCTION("AVERAGE(ARRAYFORMULA(XLOOKUP(FILTER(INDIRECT(""'""&amp;DH$1&amp;""'!$C$4:$C$66""),INDIRECT(""'""&amp;DH$1&amp;""'!$D$4:$D$66"")=DH$2),$G$3:$BQ$3,$G163:$BQ163)))"),-0.13113996333333336)</f>
        <v>-0.1311399633</v>
      </c>
      <c r="DI163" s="207" t="str">
        <f>IFERROR(__xludf.DUMMYFUNCTION("IF(OR(DH163&gt;$BS163+$BT163*$BT$2,DH163&lt;$BS163-$BT163*$BT$2),AVEDEV(ARRAYFORMULA(XLOOKUP(FILTER(INDIRECT(""'""&amp;DH$1&amp;""'!$C$4:$C$66""),INDIRECT(""'""&amp;DH$1&amp;""'!$D$4:$D$66"")=DH$2),$G$3:$BQ$3,$G163:$BQ163))),"""")"),"")</f>
        <v/>
      </c>
      <c r="DJ163" s="243"/>
    </row>
    <row r="164">
      <c r="A164" s="2"/>
      <c r="B164" s="204">
        <v>160.0</v>
      </c>
      <c r="C164" s="204" t="s">
        <v>601</v>
      </c>
      <c r="D164" s="204" t="s">
        <v>607</v>
      </c>
      <c r="E164" s="205" t="b">
        <f>VLOOKUP(D164,'Feature Set List'!A161:C246,2,0)</f>
        <v>1</v>
      </c>
      <c r="F164" s="205" t="b">
        <f>VLOOKUP(D164,'Feature Set List'!A161:C246,3,0)</f>
        <v>1</v>
      </c>
      <c r="G164" s="205">
        <v>-0.3203079</v>
      </c>
      <c r="H164" s="205">
        <v>-0.2417604</v>
      </c>
      <c r="I164" s="205">
        <v>0.10519045</v>
      </c>
      <c r="J164" s="205">
        <v>0.51115058</v>
      </c>
      <c r="K164" s="205">
        <v>-1.0063154</v>
      </c>
      <c r="L164" s="205">
        <v>0.39984212</v>
      </c>
      <c r="M164" s="205">
        <v>0.55259522</v>
      </c>
      <c r="N164" s="205">
        <v>0.41207815</v>
      </c>
      <c r="O164" s="205">
        <v>1.58871127</v>
      </c>
      <c r="P164" s="205">
        <v>1.21373594</v>
      </c>
      <c r="Q164" s="205">
        <v>-0.79179</v>
      </c>
      <c r="R164" s="205">
        <v>0.96112098</v>
      </c>
      <c r="S164" s="205">
        <v>0.87428459</v>
      </c>
      <c r="T164" s="205">
        <v>0.1997237</v>
      </c>
      <c r="U164" s="205">
        <v>0.09275706</v>
      </c>
      <c r="V164" s="205">
        <v>-0.2226169</v>
      </c>
      <c r="W164" s="205">
        <v>0.3357016</v>
      </c>
      <c r="X164" s="205">
        <v>0.55456878</v>
      </c>
      <c r="Y164" s="205">
        <v>0.41128873</v>
      </c>
      <c r="Z164" s="205">
        <v>-0.4322084</v>
      </c>
      <c r="AA164" s="205">
        <v>-0.4592461</v>
      </c>
      <c r="AB164" s="205">
        <v>-0.1545293</v>
      </c>
      <c r="AC164" s="205">
        <v>0.27373199</v>
      </c>
      <c r="AD164" s="205">
        <v>-0.6589698</v>
      </c>
      <c r="AE164" s="205">
        <v>1.18413262</v>
      </c>
      <c r="AF164" s="205">
        <v>0.11762384</v>
      </c>
      <c r="AG164" s="205">
        <v>-0.4789816</v>
      </c>
      <c r="AH164" s="205">
        <v>1.01045984</v>
      </c>
      <c r="AI164" s="205">
        <v>0.01776199</v>
      </c>
      <c r="AJ164" s="205">
        <v>2.06039076</v>
      </c>
      <c r="AK164" s="205">
        <v>-0.8229722</v>
      </c>
      <c r="AL164" s="205">
        <v>-0.5117426</v>
      </c>
      <c r="AM164" s="205">
        <v>0.65127294</v>
      </c>
      <c r="AN164" s="205">
        <v>0.0</v>
      </c>
      <c r="AO164" s="205">
        <v>-1.0817052</v>
      </c>
      <c r="AP164" s="205">
        <v>-0.5289126</v>
      </c>
      <c r="AQ164" s="205">
        <v>0.35070061</v>
      </c>
      <c r="AR164" s="205">
        <v>-0.9034932</v>
      </c>
      <c r="AS164" s="205">
        <v>0.37852773</v>
      </c>
      <c r="AT164" s="205">
        <v>0.55456878</v>
      </c>
      <c r="AU164" s="205">
        <v>-0.9392145</v>
      </c>
      <c r="AV164" s="205">
        <v>-0.0684823</v>
      </c>
      <c r="AW164" s="205">
        <v>-0.1720939</v>
      </c>
      <c r="AX164" s="205">
        <v>0.18946122</v>
      </c>
      <c r="AY164" s="205">
        <v>-1.1837379</v>
      </c>
      <c r="AZ164" s="205">
        <v>0.79928952</v>
      </c>
      <c r="BA164" s="205">
        <v>1.16834419</v>
      </c>
      <c r="BB164" s="205">
        <v>-0.6078547</v>
      </c>
      <c r="BC164" s="205">
        <v>0.55062167</v>
      </c>
      <c r="BD164" s="205">
        <v>-0.3191237</v>
      </c>
      <c r="BE164" s="205">
        <v>-0.0759818</v>
      </c>
      <c r="BF164" s="205">
        <v>-0.2123545</v>
      </c>
      <c r="BG164" s="205">
        <v>0.68679692</v>
      </c>
      <c r="BH164" s="205">
        <v>-0.9135583</v>
      </c>
      <c r="BI164" s="205">
        <v>-0.5054273</v>
      </c>
      <c r="BJ164" s="205">
        <v>1.40714427</v>
      </c>
      <c r="BK164" s="205">
        <v>-0.1908427</v>
      </c>
      <c r="BL164" s="205">
        <v>-0.7485692</v>
      </c>
      <c r="BM164" s="205">
        <v>-0.4849023</v>
      </c>
      <c r="BN164" s="205">
        <v>-0.2757055</v>
      </c>
      <c r="BO164" s="205">
        <v>-0.2725479</v>
      </c>
      <c r="BP164" s="205">
        <v>-0.4110914</v>
      </c>
      <c r="BQ164" s="205">
        <v>0.05703572</v>
      </c>
      <c r="BR164" s="206"/>
      <c r="BS164" s="250">
        <f t="shared" si="1"/>
        <v>0.05831070286</v>
      </c>
      <c r="BT164" s="250">
        <f t="shared" si="2"/>
        <v>0.5684065298</v>
      </c>
      <c r="BU164" s="206"/>
      <c r="BV164" s="207">
        <f>IFERROR(__xludf.DUMMYFUNCTION("AVERAGE(ARRAYFORMULA(XLOOKUP(FILTER(INDIRECT(""'""&amp;BV$1&amp;""'!$C$4:$C$66""),INDIRECT(""'""&amp;BV$1&amp;""'!$D$4:$D$66"")=BV$2),$G$3:$BQ$3,$G164:$BQ164)))"),-0.43578899428571427)</f>
        <v>-0.4357889943</v>
      </c>
      <c r="BW164" s="207" t="str">
        <f>IFERROR(__xludf.DUMMYFUNCTION("IF(OR(BV164&gt;$BS164+$BT164*$BT$2,BV164&lt;$BS164-$BT164*$BT$2),AVEDEV(ARRAYFORMULA(XLOOKUP(FILTER(INDIRECT(""'""&amp;BV$1&amp;""'!$C$4:$C$66""),INDIRECT(""'""&amp;BV$1&amp;""'!$D$4:$D$66"")=BV$2),$G$3:$BQ$3,$G164:$BQ164))),"""")"),"")</f>
        <v/>
      </c>
      <c r="BX164" s="207">
        <f>IFERROR(__xludf.DUMMYFUNCTION("AVERAGE(ARRAYFORMULA(XLOOKUP(FILTER(INDIRECT(""'""&amp;BX$1&amp;""'!$C$4:$C$66""),INDIRECT(""'""&amp;BX$1&amp;""'!$D$4:$D$66"")=BX$2),$G$3:$BQ$3,$G164:$BQ164)))"),0.08295976976190475)</f>
        <v>0.08295976976</v>
      </c>
      <c r="BY164" s="207" t="str">
        <f>IFERROR(__xludf.DUMMYFUNCTION("IF(OR(BX164&gt;$BS164+$BT164*$BT$2,BX164&lt;$BS164-$BT164*$BT$2),AVEDEV(ARRAYFORMULA(XLOOKUP(FILTER(INDIRECT(""'""&amp;BX$1&amp;""'!$C$4:$C$66""),INDIRECT(""'""&amp;BX$1&amp;""'!$D$4:$D$66"")=BX$2),$G$3:$BQ$3,$G164:$BQ164))),"""")"),"")</f>
        <v/>
      </c>
      <c r="BZ164" s="207">
        <f>IFERROR(__xludf.DUMMYFUNCTION("AVERAGE(ARRAYFORMULA(XLOOKUP(FILTER(INDIRECT(""'""&amp;BZ$1&amp;""'!$C$4:$C$66""),INDIRECT(""'""&amp;BZ$1&amp;""'!$D$4:$D$66"")=BZ$2),$G$3:$BQ$3,$G164:$BQ164)))"),0.39935769636363644)</f>
        <v>0.3993576964</v>
      </c>
      <c r="CA164" s="207" t="str">
        <f>IFERROR(__xludf.DUMMYFUNCTION("IF(OR(BZ164&gt;$BS164+$BT164*$BT$2,BZ164&lt;$BS164-$BT164*$BT$2),AVEDEV(ARRAYFORMULA(XLOOKUP(FILTER(INDIRECT(""'""&amp;BZ$1&amp;""'!$C$4:$C$66""),INDIRECT(""'""&amp;BZ$1&amp;""'!$D$4:$D$66"")=BZ$2),$G$3:$BQ$3,$G164:$BQ164))),"""")"),"")</f>
        <v/>
      </c>
      <c r="CB164" s="209"/>
      <c r="CC164" s="207">
        <f>IFERROR(__xludf.DUMMYFUNCTION("AVERAGE(ARRAYFORMULA(XLOOKUP(FILTER(INDIRECT(""'""&amp;CC$1&amp;""'!$C$4:$C$66""),INDIRECT(""'""&amp;CC$1&amp;""'!$D$4:$D$66"")=CC$2),$G$3:$BQ$3,$G164:$BQ164)))"),-0.073169525625)</f>
        <v>-0.07316952563</v>
      </c>
      <c r="CD164" s="207" t="str">
        <f>IFERROR(__xludf.DUMMYFUNCTION("IF(OR(CC164&gt;$BS164+$BT164*$BT$2,CC164&lt;$BS164-$BT164*$BT$2),AVEDEV(ARRAYFORMULA(XLOOKUP(FILTER(INDIRECT(""'""&amp;CC$1&amp;""'!$C$4:$C$66""),INDIRECT(""'""&amp;CC$1&amp;""'!$D$4:$D$66"")=CC$2),$G$3:$BQ$3,$G164:$BQ164))),"""")"),"")</f>
        <v/>
      </c>
      <c r="CE164" s="207">
        <f>IFERROR(__xludf.DUMMYFUNCTION("AVERAGE(ARRAYFORMULA(XLOOKUP(FILTER(INDIRECT(""'""&amp;CE$1&amp;""'!$C$4:$C$66""),INDIRECT(""'""&amp;CE$1&amp;""'!$D$4:$D$66"")=CE$2),$G$3:$BQ$3,$G164:$BQ164)))"),0.17476779548387092)</f>
        <v>0.1747677955</v>
      </c>
      <c r="CF164" s="207" t="str">
        <f>IFERROR(__xludf.DUMMYFUNCTION("IF(OR(CE164&gt;$BS164+$BT164*$BT$2,CE164&lt;$BS164-$BT164*$BT$2),AVEDEV(ARRAYFORMULA(XLOOKUP(FILTER(INDIRECT(""'""&amp;CE$1&amp;""'!$C$4:$C$66""),INDIRECT(""'""&amp;CE$1&amp;""'!$D$4:$D$66"")=CE$2),$G$3:$BQ$3,$G164:$BQ164))),"""")"),"")</f>
        <v/>
      </c>
      <c r="CG164" s="207">
        <f>IFERROR(__xludf.DUMMYFUNCTION("AVERAGE(ARRAYFORMULA(XLOOKUP(FILTER(INDIRECT(""'""&amp;CG$1&amp;""'!$C$4:$C$66""),INDIRECT(""'""&amp;CG$1&amp;""'!$D$4:$D$66"")=CG$2),$G$3:$BQ$3,$G164:$BQ164)))"),0.7294256960000001)</f>
        <v>0.729425696</v>
      </c>
      <c r="CH164" s="207">
        <f>IFERROR(__xludf.DUMMYFUNCTION("IF(OR(CG164&gt;$BS164+$BT164*$BT$2,CG164&lt;$BS164-$BT164*$BT$2),AVEDEV(ARRAYFORMULA(XLOOKUP(FILTER(INDIRECT(""'""&amp;CG$1&amp;""'!$C$4:$C$66""),INDIRECT(""'""&amp;CG$1&amp;""'!$D$4:$D$66"")=CG$2),$G$3:$BQ$3,$G164:$BQ164))),"""")"),0.3692914952)</f>
        <v>0.3692914952</v>
      </c>
      <c r="CI164" s="206"/>
      <c r="CJ164" s="251">
        <f>IFERROR(__xludf.DUMMYFUNCTION("AVERAGE(ARRAYFORMULA(XLOOKUP(FILTER(INDIRECT(""'""&amp;CJ$1&amp;""'!$C$4:$C$66""),INDIRECT(""'""&amp;CJ$1&amp;""'!$D$4:$D$66"")=CJ$2),$G$3:$BQ$3,$G164:$BQ164)))"),0.14121439666666666)</f>
        <v>0.1412143967</v>
      </c>
      <c r="CK164" s="207" t="str">
        <f>IFERROR(__xludf.DUMMYFUNCTION("IF(OR(CJ164&gt;$BS164+$BT164*$BT$2,CJ164&lt;$BS164-$BT164*$BT$2),AVEDEV(ARRAYFORMULA(XLOOKUP(FILTER(INDIRECT(""'""&amp;CJ$1&amp;""'!$C$4:$C$66""),INDIRECT(""'""&amp;CJ$1&amp;""'!$D$4:$D$66"")=CJ$2),$G$3:$BQ$3,$G164:$BQ164))),"""")"),"")</f>
        <v/>
      </c>
      <c r="CL164" s="251">
        <f>IFERROR(__xludf.DUMMYFUNCTION("AVERAGE(ARRAYFORMULA(XLOOKUP(FILTER(INDIRECT(""'""&amp;CL$1&amp;""'!$C$4:$C$66""),INDIRECT(""'""&amp;CL$1&amp;""'!$D$4:$D$66"")=CL$2),$G$3:$BQ$3,$G164:$BQ164)))"),-0.004873158974358961)</f>
        <v>-0.004873158974</v>
      </c>
      <c r="CM164" s="207" t="str">
        <f>IFERROR(__xludf.DUMMYFUNCTION("IF(OR(CL164&gt;$BS164+$BT164*$BT$2,CL164&lt;$BS164-$BT164*$BT$2),AVEDEV(ARRAYFORMULA(XLOOKUP(FILTER(INDIRECT(""'""&amp;CL$1&amp;""'!$C$4:$C$66""),INDIRECT(""'""&amp;CL$1&amp;""'!$D$4:$D$66"")=CL$2),$G$3:$BQ$3,$G164:$BQ164))),"""")"),"")</f>
        <v/>
      </c>
      <c r="CN164" s="251">
        <f>IFERROR(__xludf.DUMMYFUNCTION("AVERAGE(ARRAYFORMULA(XLOOKUP(FILTER(INDIRECT(""'""&amp;CN$1&amp;""'!$C$4:$C$66""),INDIRECT(""'""&amp;CN$1&amp;""'!$D$4:$D$66"")=CN$2),$G$3:$BQ$3,$G164:$BQ164)))"),0.7294256960000001)</f>
        <v>0.729425696</v>
      </c>
      <c r="CO164" s="207">
        <f>IFERROR(__xludf.DUMMYFUNCTION("IF(OR(CN164&gt;$BS164+$BT164*$BT$2,CN164&lt;$BS164-$BT164*$BT$2),AVEDEV(ARRAYFORMULA(XLOOKUP(FILTER(INDIRECT(""'""&amp;CN$1&amp;""'!$C$4:$C$66""),INDIRECT(""'""&amp;CN$1&amp;""'!$D$4:$D$66"")=CN$2),$G$3:$BQ$3,$G164:$BQ164))),"""")"),0.3692914952)</f>
        <v>0.3692914952</v>
      </c>
      <c r="CP164" s="252"/>
      <c r="CQ164" s="251">
        <f>IFERROR(__xludf.DUMMYFUNCTION("AVERAGE(ARRAYFORMULA(XLOOKUP(FILTER(INDIRECT(""'""&amp;CQ$1&amp;""'!$C$4:$C$66""),INDIRECT(""'""&amp;CQ$1&amp;""'!$D$4:$D$66"")=CQ$2),$G$3:$BQ$3,$G164:$BQ164)))"),-0.064746675)</f>
        <v>-0.064746675</v>
      </c>
      <c r="CR164" s="207" t="str">
        <f>IFERROR(__xludf.DUMMYFUNCTION("IF(OR(CQ164&gt;$BS164+$BT164*$BT$2,CQ164&lt;$BS164-$BT164*$BT$2),AVEDEV(ARRAYFORMULA(XLOOKUP(FILTER(INDIRECT(""'""&amp;CQ$1&amp;""'!$C$4:$C$66""),INDIRECT(""'""&amp;CQ$1&amp;""'!$D$4:$D$66"")=CQ$2),$G$3:$BQ$3,$G164:$BQ164))),"""")"),"")</f>
        <v/>
      </c>
      <c r="CS164" s="251">
        <f>IFERROR(__xludf.DUMMYFUNCTION("AVERAGE(ARRAYFORMULA(XLOOKUP(FILTER(INDIRECT(""'""&amp;CS$1&amp;""'!$C$4:$C$66""),INDIRECT(""'""&amp;CS$1&amp;""'!$D$4:$D$66"")=CS$2),$G$3:$BQ$3,$G164:$BQ164)))"),0.4531719377777778)</f>
        <v>0.4531719378</v>
      </c>
      <c r="CT164" s="207" t="str">
        <f>IFERROR(__xludf.DUMMYFUNCTION("IF(OR(CS164&gt;$BS164+$BT164*$BT$2,CS164&lt;$BS164-$BT164*$BT$2),AVEDEV(ARRAYFORMULA(XLOOKUP(FILTER(INDIRECT(""'""&amp;CS$1&amp;""'!$C$4:$C$66""),INDIRECT(""'""&amp;CS$1&amp;""'!$D$4:$D$66"")=CS$2),$G$3:$BQ$3,$G164:$BQ164))),"""")"),"")</f>
        <v/>
      </c>
      <c r="CU164" s="251">
        <f>IFERROR(__xludf.DUMMYFUNCTION("AVERAGE(ARRAYFORMULA(XLOOKUP(FILTER(INDIRECT(""'""&amp;CU$1&amp;""'!$C$4:$C$66""),INDIRECT(""'""&amp;CU$1&amp;""'!$D$4:$D$66"")=CU$2),$G$3:$BQ$3,$G164:$BQ164)))"),0.35414536181818174)</f>
        <v>0.3541453618</v>
      </c>
      <c r="CV164" s="207" t="str">
        <f>IFERROR(__xludf.DUMMYFUNCTION("IF(OR(CU164&gt;$BS164+$BT164*$BT$2,CU164&lt;$BS164-$BT164*$BT$2),AVEDEV(ARRAYFORMULA(XLOOKUP(FILTER(INDIRECT(""'""&amp;CU$1&amp;""'!$C$4:$C$66""),INDIRECT(""'""&amp;CU$1&amp;""'!$D$4:$D$66"")=CU$2),$G$3:$BQ$3,$G164:$BQ164))),"""")"),"")</f>
        <v/>
      </c>
      <c r="CW164" s="251">
        <f>IFERROR(__xludf.DUMMYFUNCTION("AVERAGE(ARRAYFORMULA(XLOOKUP(FILTER(INDIRECT(""'""&amp;CW$1&amp;""'!$C$4:$C$66""),INDIRECT(""'""&amp;CW$1&amp;""'!$D$4:$D$66"")=CW$2),$G$3:$BQ$3,$G164:$BQ164)))"),-0.78626405)</f>
        <v>-0.78626405</v>
      </c>
      <c r="CX164" s="207">
        <f>IFERROR(__xludf.DUMMYFUNCTION("IF(OR(CW164&gt;$BS164+$BT164*$BT$2,CW164&lt;$BS164-$BT164*$BT$2),AVEDEV(ARRAYFORMULA(XLOOKUP(FILTER(INDIRECT(""'""&amp;CW$1&amp;""'!$C$4:$C$66""),INDIRECT(""'""&amp;CW$1&amp;""'!$D$4:$D$66"")=CW$2),$G$3:$BQ$3,$G164:$BQ164))),"""")"),0.12729425)</f>
        <v>0.12729425</v>
      </c>
      <c r="CY164" s="251">
        <f>IFERROR(__xludf.DUMMYFUNCTION("AVERAGE(ARRAYFORMULA(XLOOKUP(FILTER(INDIRECT(""'""&amp;CY$1&amp;""'!$C$4:$C$66""),INDIRECT(""'""&amp;CY$1&amp;""'!$D$4:$D$66"")=CY$2),$G$3:$BQ$3,$G164:$BQ164)))"),0.2496264350000001)</f>
        <v>0.249626435</v>
      </c>
      <c r="CZ164" s="207" t="str">
        <f>IFERROR(__xludf.DUMMYFUNCTION("IF(OR(CY164&gt;$BS164+$BT164*$BT$2,CY164&lt;$BS164-$BT164*$BT$2),AVEDEV(ARRAYFORMULA(XLOOKUP(FILTER(INDIRECT(""'""&amp;CY$1&amp;""'!$C$4:$C$66""),INDIRECT(""'""&amp;CY$1&amp;""'!$D$4:$D$66"")=CY$2),$G$3:$BQ$3,$G164:$BQ164))),"""")"),"")</f>
        <v/>
      </c>
      <c r="DA164" s="252"/>
      <c r="DB164" s="251">
        <f>IFERROR(__xludf.DUMMYFUNCTION("AVERAGE(ARRAYFORMULA(XLOOKUP(FILTER(INDIRECT(""'""&amp;DB$1&amp;""'!$C$4:$C$66""),INDIRECT(""'""&amp;DB$1&amp;""'!$D$4:$D$66"")=DB$2),$G$3:$BQ$3,$G164:$BQ164)))"),3.420853333333233E-4)</f>
        <v>0.0003420853333</v>
      </c>
      <c r="DC164" s="207" t="str">
        <f>IFERROR(__xludf.DUMMYFUNCTION("IF(OR(DB164&gt;$BS164+$BT164*$BT$2,DB164&lt;$BS164-$BT164*$BT$2),AVEDEV(ARRAYFORMULA(XLOOKUP(FILTER(INDIRECT(""'""&amp;DB$1&amp;""'!$C$4:$C$66""),INDIRECT(""'""&amp;DB$1&amp;""'!$D$4:$D$66"")=DB$2),$G$3:$BQ$3,$G164:$BQ164))),"""")"),"")</f>
        <v/>
      </c>
      <c r="DD164" s="251">
        <f>IFERROR(__xludf.DUMMYFUNCTION("AVERAGE(ARRAYFORMULA(XLOOKUP(FILTER(INDIRECT(""'""&amp;DD$1&amp;""'!$C$4:$C$66""),INDIRECT(""'""&amp;DD$1&amp;""'!$D$4:$D$66"")=DD$2),$G$3:$BQ$3,$G164:$BQ164)))"),0.33291669666666673)</f>
        <v>0.3329166967</v>
      </c>
      <c r="DE164" s="207" t="str">
        <f>IFERROR(__xludf.DUMMYFUNCTION("IF(OR(DD164&gt;$BS164+$BT164*$BT$2,DD164&lt;$BS164-$BT164*$BT$2),AVEDEV(ARRAYFORMULA(XLOOKUP(FILTER(INDIRECT(""'""&amp;DD$1&amp;""'!$C$4:$C$66""),INDIRECT(""'""&amp;DD$1&amp;""'!$D$4:$D$66"")=DD$2),$G$3:$BQ$3,$G164:$BQ164))),"""")"),"")</f>
        <v/>
      </c>
      <c r="DF164" s="251">
        <f>IFERROR(__xludf.DUMMYFUNCTION("AVERAGE(ARRAYFORMULA(XLOOKUP(FILTER(INDIRECT(""'""&amp;DF$1&amp;""'!$C$4:$C$66""),INDIRECT(""'""&amp;DF$1&amp;""'!$D$4:$D$66"")=DF$2),$G$3:$BQ$3,$G164:$BQ164)))"),0.5916962725000001)</f>
        <v>0.5916962725</v>
      </c>
      <c r="DG164" s="207" t="str">
        <f>IFERROR(__xludf.DUMMYFUNCTION("IF(OR(DF164&gt;$BS164+$BT164*$BT$2,DF164&lt;$BS164-$BT164*$BT$2),AVEDEV(ARRAYFORMULA(XLOOKUP(FILTER(INDIRECT(""'""&amp;DF$1&amp;""'!$C$4:$C$66""),INDIRECT(""'""&amp;DF$1&amp;""'!$D$4:$D$66"")=DF$2),$G$3:$BQ$3,$G164:$BQ164))),"""")"),"")</f>
        <v/>
      </c>
      <c r="DH164" s="251">
        <f>IFERROR(__xludf.DUMMYFUNCTION("AVERAGE(ARRAYFORMULA(XLOOKUP(FILTER(INDIRECT(""'""&amp;DH$1&amp;""'!$C$4:$C$66""),INDIRECT(""'""&amp;DH$1&amp;""'!$D$4:$D$66"")=DH$2),$G$3:$BQ$3,$G164:$BQ164)))"),-0.08157357333333337)</f>
        <v>-0.08157357333</v>
      </c>
      <c r="DI164" s="207" t="str">
        <f>IFERROR(__xludf.DUMMYFUNCTION("IF(OR(DH164&gt;$BS164+$BT164*$BT$2,DH164&lt;$BS164-$BT164*$BT$2),AVEDEV(ARRAYFORMULA(XLOOKUP(FILTER(INDIRECT(""'""&amp;DH$1&amp;""'!$C$4:$C$66""),INDIRECT(""'""&amp;DH$1&amp;""'!$D$4:$D$66"")=DH$2),$G$3:$BQ$3,$G164:$BQ164))),"""")"),"")</f>
        <v/>
      </c>
      <c r="DJ164" s="243"/>
    </row>
    <row r="165">
      <c r="A165" s="2"/>
      <c r="B165" s="204">
        <v>161.0</v>
      </c>
      <c r="C165" s="204" t="s">
        <v>601</v>
      </c>
      <c r="D165" s="204" t="s">
        <v>608</v>
      </c>
      <c r="E165" s="205" t="b">
        <f>VLOOKUP(D165,'Feature Set List'!A162:C246,2,0)</f>
        <v>1</v>
      </c>
      <c r="F165" s="205" t="b">
        <f>VLOOKUP(D165,'Feature Set List'!A162:C246,3,0)</f>
        <v>1</v>
      </c>
      <c r="G165" s="205">
        <v>-0.2918057</v>
      </c>
      <c r="H165" s="205">
        <v>0.64242493</v>
      </c>
      <c r="I165" s="205">
        <v>0.43544647</v>
      </c>
      <c r="J165" s="205">
        <v>0.23864729</v>
      </c>
      <c r="K165" s="205">
        <v>2.04150879</v>
      </c>
      <c r="L165" s="205">
        <v>-0.4401968</v>
      </c>
      <c r="M165" s="205">
        <v>-0.9780015</v>
      </c>
      <c r="N165" s="205">
        <v>0.81999661</v>
      </c>
      <c r="O165" s="205">
        <v>-0.1775717</v>
      </c>
      <c r="P165" s="205">
        <v>-0.8192049</v>
      </c>
      <c r="Q165" s="205">
        <v>1.93971611</v>
      </c>
      <c r="R165" s="205">
        <v>-0.1673924</v>
      </c>
      <c r="S165" s="205">
        <v>0.27144715</v>
      </c>
      <c r="T165" s="205">
        <v>-0.3540123</v>
      </c>
      <c r="U165" s="205">
        <v>-0.3189504</v>
      </c>
      <c r="V165" s="205">
        <v>1.36289091</v>
      </c>
      <c r="W165" s="205">
        <v>-0.8790364</v>
      </c>
      <c r="X165" s="205">
        <v>-0.3598937</v>
      </c>
      <c r="Y165" s="205">
        <v>-0.760052</v>
      </c>
      <c r="Z165" s="205">
        <v>0.23638523</v>
      </c>
      <c r="AA165" s="205">
        <v>-0.1187581</v>
      </c>
      <c r="AB165" s="205">
        <v>-0.5949217</v>
      </c>
      <c r="AC165" s="205">
        <v>-0.6860827</v>
      </c>
      <c r="AD165" s="205">
        <v>1.15478143</v>
      </c>
      <c r="AE165" s="205">
        <v>0.98852005</v>
      </c>
      <c r="AF165" s="205">
        <v>-0.4289996</v>
      </c>
      <c r="AG165" s="205">
        <v>1.17400894</v>
      </c>
      <c r="AH165" s="205">
        <v>-0.4489057</v>
      </c>
      <c r="AI165" s="205">
        <v>-0.5249109</v>
      </c>
      <c r="AJ165" s="205">
        <v>-0.7310977</v>
      </c>
      <c r="AK165" s="205">
        <v>1.90465419</v>
      </c>
      <c r="AL165" s="205">
        <v>0.50783238</v>
      </c>
      <c r="AM165" s="205">
        <v>-0.1300684</v>
      </c>
      <c r="AN165" s="205">
        <v>-0.3584233</v>
      </c>
      <c r="AO165" s="205">
        <v>2.28128711</v>
      </c>
      <c r="AP165" s="205">
        <v>0.96363739</v>
      </c>
      <c r="AQ165" s="205">
        <v>0.46032913</v>
      </c>
      <c r="AR165" s="205">
        <v>3.0436012</v>
      </c>
      <c r="AS165" s="205">
        <v>-0.301985</v>
      </c>
      <c r="AT165" s="205">
        <v>0.25674377</v>
      </c>
      <c r="AU165" s="205">
        <v>3.34558616</v>
      </c>
      <c r="AV165" s="205">
        <v>-0.1368546</v>
      </c>
      <c r="AW165" s="205">
        <v>0.5881355</v>
      </c>
      <c r="AX165" s="205">
        <v>2.23717695</v>
      </c>
      <c r="AY165" s="205">
        <v>0.0644687</v>
      </c>
      <c r="AZ165" s="205">
        <v>0.0</v>
      </c>
      <c r="BA165" s="205">
        <v>-0.6933213</v>
      </c>
      <c r="BB165" s="205">
        <v>0.63337669</v>
      </c>
      <c r="BC165" s="205">
        <v>0.31329526</v>
      </c>
      <c r="BD165" s="205">
        <v>0.06220664</v>
      </c>
      <c r="BE165" s="205">
        <v>-0.0678618</v>
      </c>
      <c r="BF165" s="205">
        <v>0.08482724</v>
      </c>
      <c r="BG165" s="205">
        <v>-0.4889442</v>
      </c>
      <c r="BH165" s="205">
        <v>1.22038116</v>
      </c>
      <c r="BI165" s="205">
        <v>1.09936097</v>
      </c>
      <c r="BJ165" s="205">
        <v>-0.0067862</v>
      </c>
      <c r="BK165" s="205">
        <v>0.10857886</v>
      </c>
      <c r="BL165" s="205">
        <v>-0.3087711</v>
      </c>
      <c r="BM165" s="205">
        <v>-0.2499576</v>
      </c>
      <c r="BN165" s="205">
        <v>0.59379065</v>
      </c>
      <c r="BO165" s="205">
        <v>-0.5709438</v>
      </c>
      <c r="BP165" s="205">
        <v>-0.3643047</v>
      </c>
      <c r="BQ165" s="205">
        <v>-1.0115931</v>
      </c>
      <c r="BR165" s="206"/>
      <c r="BS165" s="250">
        <f t="shared" si="1"/>
        <v>0.2746894375</v>
      </c>
      <c r="BT165" s="250">
        <f t="shared" si="2"/>
        <v>0.7439327593</v>
      </c>
      <c r="BU165" s="206"/>
      <c r="BV165" s="207">
        <f>IFERROR(__xludf.DUMMYFUNCTION("AVERAGE(ARRAYFORMULA(XLOOKUP(FILTER(INDIRECT(""'""&amp;BV$1&amp;""'!$C$4:$C$66""),INDIRECT(""'""&amp;BV$1&amp;""'!$D$4:$D$66"")=BV$2),$G$3:$BQ$3,$G165:$BQ165)))"),0.27480792857142855)</f>
        <v>0.2748079286</v>
      </c>
      <c r="BW165" s="207" t="str">
        <f>IFERROR(__xludf.DUMMYFUNCTION("IF(OR(BV165&gt;$BS165+$BT165*$BT$2,BV165&lt;$BS165-$BT165*$BT$2),AVEDEV(ARRAYFORMULA(XLOOKUP(FILTER(INDIRECT(""'""&amp;BV$1&amp;""'!$C$4:$C$66""),INDIRECT(""'""&amp;BV$1&amp;""'!$D$4:$D$66"")=BV$2),$G$3:$BQ$3,$G165:$BQ165))),"""")"),"")</f>
        <v/>
      </c>
      <c r="BX165" s="207">
        <f>IFERROR(__xludf.DUMMYFUNCTION("AVERAGE(ARRAYFORMULA(XLOOKUP(FILTER(INDIRECT(""'""&amp;BX$1&amp;""'!$C$4:$C$66""),INDIRECT(""'""&amp;BX$1&amp;""'!$D$4:$D$66"")=BX$2),$G$3:$BQ$3,$G165:$BQ165)))"),0.4150744735714287)</f>
        <v>0.4150744736</v>
      </c>
      <c r="BY165" s="207" t="str">
        <f>IFERROR(__xludf.DUMMYFUNCTION("IF(OR(BX165&gt;$BS165+$BT165*$BT$2,BX165&lt;$BS165-$BT165*$BT$2),AVEDEV(ARRAYFORMULA(XLOOKUP(FILTER(INDIRECT(""'""&amp;BX$1&amp;""'!$C$4:$C$66""),INDIRECT(""'""&amp;BX$1&amp;""'!$D$4:$D$66"")=BX$2),$G$3:$BQ$3,$G165:$BQ165))),"""")"),"")</f>
        <v/>
      </c>
      <c r="BZ165" s="207">
        <f>IFERROR(__xludf.DUMMYFUNCTION("AVERAGE(ARRAYFORMULA(XLOOKUP(FILTER(INDIRECT(""'""&amp;BZ$1&amp;""'!$C$4:$C$66""),INDIRECT(""'""&amp;BZ$1&amp;""'!$D$4:$D$66"")=BZ$2),$G$3:$BQ$3,$G165:$BQ165)))"),-0.5358716454545455)</f>
        <v>-0.5358716455</v>
      </c>
      <c r="CA165" s="207">
        <f>IFERROR(__xludf.DUMMYFUNCTION("IF(OR(BZ165&gt;$BS165+$BT165*$BT$2,BZ165&lt;$BS165-$BT165*$BT$2),AVEDEV(ARRAYFORMULA(XLOOKUP(FILTER(INDIRECT(""'""&amp;BZ$1&amp;""'!$C$4:$C$66""),INDIRECT(""'""&amp;BZ$1&amp;""'!$D$4:$D$66"")=BZ$2),$G$3:$BQ$3,$G165:$BQ165))),"""")"),0.26368324958677686)</f>
        <v>0.2636832496</v>
      </c>
      <c r="CB165" s="209"/>
      <c r="CC165" s="207">
        <f>IFERROR(__xludf.DUMMYFUNCTION("AVERAGE(ARRAYFORMULA(XLOOKUP(FILTER(INDIRECT(""'""&amp;CC$1&amp;""'!$C$4:$C$66""),INDIRECT(""'""&amp;CC$1&amp;""'!$D$4:$D$66"")=CC$2),$G$3:$BQ$3,$G165:$BQ165)))"),0.707240008125)</f>
        <v>0.7072400081</v>
      </c>
      <c r="CD165" s="207" t="str">
        <f>IFERROR(__xludf.DUMMYFUNCTION("IF(OR(CC165&gt;$BS165+$BT165*$BT$2,CC165&lt;$BS165-$BT165*$BT$2),AVEDEV(ARRAYFORMULA(XLOOKUP(FILTER(INDIRECT(""'""&amp;CC$1&amp;""'!$C$4:$C$66""),INDIRECT(""'""&amp;CC$1&amp;""'!$D$4:$D$66"")=CC$2),$G$3:$BQ$3,$G165:$BQ165))),"""")"),"")</f>
        <v/>
      </c>
      <c r="CE165" s="207">
        <f>IFERROR(__xludf.DUMMYFUNCTION("AVERAGE(ARRAYFORMULA(XLOOKUP(FILTER(INDIRECT(""'""&amp;CE$1&amp;""'!$C$4:$C$66""),INDIRECT(""'""&amp;CE$1&amp;""'!$D$4:$D$66"")=CE$2),$G$3:$BQ$3,$G165:$BQ165)))"),-0.03151195161290323)</f>
        <v>-0.03151195161</v>
      </c>
      <c r="CF165" s="207" t="str">
        <f>IFERROR(__xludf.DUMMYFUNCTION("IF(OR(CE165&gt;$BS165+$BT165*$BT$2,CE165&lt;$BS165-$BT165*$BT$2),AVEDEV(ARRAYFORMULA(XLOOKUP(FILTER(INDIRECT(""'""&amp;CE$1&amp;""'!$C$4:$C$66""),INDIRECT(""'""&amp;CE$1&amp;""'!$D$4:$D$66"")=CE$2),$G$3:$BQ$3,$G165:$BQ165))),"""")"),"")</f>
        <v/>
      </c>
      <c r="CG165" s="207">
        <f>IFERROR(__xludf.DUMMYFUNCTION("AVERAGE(ARRAYFORMULA(XLOOKUP(FILTER(INDIRECT(""'""&amp;CG$1&amp;""'!$C$4:$C$66""),INDIRECT(""'""&amp;CG$1&amp;""'!$D$4:$D$66"")=CG$2),$G$3:$BQ$3,$G165:$BQ165)))"),-0.53149354)</f>
        <v>-0.53149354</v>
      </c>
      <c r="CH165" s="207">
        <f>IFERROR(__xludf.DUMMYFUNCTION("IF(OR(CG165&gt;$BS165+$BT165*$BT$2,CG165&lt;$BS165-$BT165*$BT$2),AVEDEV(ARRAYFORMULA(XLOOKUP(FILTER(INDIRECT(""'""&amp;CG$1&amp;""'!$C$4:$C$66""),INDIRECT(""'""&amp;CG$1&amp;""'!$D$4:$D$66"")=CG$2),$G$3:$BQ$3,$G165:$BQ165))),"""")"),0.17981564800000002)</f>
        <v>0.179815648</v>
      </c>
      <c r="CI165" s="206"/>
      <c r="CJ165" s="251">
        <f>IFERROR(__xludf.DUMMYFUNCTION("AVERAGE(ARRAYFORMULA(XLOOKUP(FILTER(INDIRECT(""'""&amp;CJ$1&amp;""'!$C$4:$C$66""),INDIRECT(""'""&amp;CJ$1&amp;""'!$D$4:$D$66"")=CJ$2),$G$3:$BQ$3,$G165:$BQ165)))"),-0.11796640533333334)</f>
        <v>-0.1179664053</v>
      </c>
      <c r="CK165" s="207" t="str">
        <f>IFERROR(__xludf.DUMMYFUNCTION("IF(OR(CJ165&gt;$BS165+$BT165*$BT$2,CJ165&lt;$BS165-$BT165*$BT$2),AVEDEV(ARRAYFORMULA(XLOOKUP(FILTER(INDIRECT(""'""&amp;CJ$1&amp;""'!$C$4:$C$66""),INDIRECT(""'""&amp;CJ$1&amp;""'!$D$4:$D$66"")=CJ$2),$G$3:$BQ$3,$G165:$BQ165))),"""")"),"")</f>
        <v/>
      </c>
      <c r="CL165" s="251">
        <f>IFERROR(__xludf.DUMMYFUNCTION("AVERAGE(ARRAYFORMULA(XLOOKUP(FILTER(INDIRECT(""'""&amp;CL$1&amp;""'!$C$4:$C$66""),INDIRECT(""'""&amp;CL$1&amp;""'!$D$4:$D$66"")=CL$2),$G$3:$BQ$3,$G165:$BQ165)))"),0.4666135941025642)</f>
        <v>0.4666135941</v>
      </c>
      <c r="CM165" s="207" t="str">
        <f>IFERROR(__xludf.DUMMYFUNCTION("IF(OR(CL165&gt;$BS165+$BT165*$BT$2,CL165&lt;$BS165-$BT165*$BT$2),AVEDEV(ARRAYFORMULA(XLOOKUP(FILTER(INDIRECT(""'""&amp;CL$1&amp;""'!$C$4:$C$66""),INDIRECT(""'""&amp;CL$1&amp;""'!$D$4:$D$66"")=CL$2),$G$3:$BQ$3,$G165:$BQ165))),"""")"),"")</f>
        <v/>
      </c>
      <c r="CN165" s="251">
        <f>IFERROR(__xludf.DUMMYFUNCTION("AVERAGE(ARRAYFORMULA(XLOOKUP(FILTER(INDIRECT(""'""&amp;CN$1&amp;""'!$C$4:$C$66""),INDIRECT(""'""&amp;CN$1&amp;""'!$D$4:$D$66"")=CN$2),$G$3:$BQ$3,$G165:$BQ165)))"),-0.53149354)</f>
        <v>-0.53149354</v>
      </c>
      <c r="CO165" s="207">
        <f>IFERROR(__xludf.DUMMYFUNCTION("IF(OR(CN165&gt;$BS165+$BT165*$BT$2,CN165&lt;$BS165-$BT165*$BT$2),AVEDEV(ARRAYFORMULA(XLOOKUP(FILTER(INDIRECT(""'""&amp;CN$1&amp;""'!$C$4:$C$66""),INDIRECT(""'""&amp;CN$1&amp;""'!$D$4:$D$66"")=CN$2),$G$3:$BQ$3,$G165:$BQ165))),"""")"),0.17981564800000002)</f>
        <v>0.179815648</v>
      </c>
      <c r="CP165" s="252"/>
      <c r="CQ165" s="251">
        <f>IFERROR(__xludf.DUMMYFUNCTION("AVERAGE(ARRAYFORMULA(XLOOKUP(FILTER(INDIRECT(""'""&amp;CQ$1&amp;""'!$C$4:$C$66""),INDIRECT(""'""&amp;CQ$1&amp;""'!$D$4:$D$66"")=CQ$2),$G$3:$BQ$3,$G165:$BQ165)))"),0.6656837514285714)</f>
        <v>0.6656837514</v>
      </c>
      <c r="CR165" s="207" t="str">
        <f>IFERROR(__xludf.DUMMYFUNCTION("IF(OR(CQ165&gt;$BS165+$BT165*$BT$2,CQ165&lt;$BS165-$BT165*$BT$2),AVEDEV(ARRAYFORMULA(XLOOKUP(FILTER(INDIRECT(""'""&amp;CQ$1&amp;""'!$C$4:$C$66""),INDIRECT(""'""&amp;CQ$1&amp;""'!$D$4:$D$66"")=CQ$2),$G$3:$BQ$3,$G165:$BQ165))),"""")"),"")</f>
        <v/>
      </c>
      <c r="CS165" s="251">
        <f>IFERROR(__xludf.DUMMYFUNCTION("AVERAGE(ARRAYFORMULA(XLOOKUP(FILTER(INDIRECT(""'""&amp;CS$1&amp;""'!$C$4:$C$66""),INDIRECT(""'""&amp;CS$1&amp;""'!$D$4:$D$66"")=CS$2),$G$3:$BQ$3,$G165:$BQ165)))"),-0.6271811666666667)</f>
        <v>-0.6271811667</v>
      </c>
      <c r="CT165" s="207">
        <f>IFERROR(__xludf.DUMMYFUNCTION("IF(OR(CS165&gt;$BS165+$BT165*$BT$2,CS165&lt;$BS165-$BT165*$BT$2),AVEDEV(ARRAYFORMULA(XLOOKUP(FILTER(INDIRECT(""'""&amp;CS$1&amp;""'!$C$4:$C$66""),INDIRECT(""'""&amp;CS$1&amp;""'!$D$4:$D$66"")=CS$2),$G$3:$BQ$3,$G165:$BQ165))),"""")"),0.2208245037037037)</f>
        <v>0.2208245037</v>
      </c>
      <c r="CU165" s="251">
        <f>IFERROR(__xludf.DUMMYFUNCTION("AVERAGE(ARRAYFORMULA(XLOOKUP(FILTER(INDIRECT(""'""&amp;CU$1&amp;""'!$C$4:$C$66""),INDIRECT(""'""&amp;CU$1&amp;""'!$D$4:$D$66"")=CU$2),$G$3:$BQ$3,$G165:$BQ165)))"),-0.24066257090909088)</f>
        <v>-0.2406625709</v>
      </c>
      <c r="CV165" s="207" t="str">
        <f>IFERROR(__xludf.DUMMYFUNCTION("IF(OR(CU165&gt;$BS165+$BT165*$BT$2,CU165&lt;$BS165-$BT165*$BT$2),AVEDEV(ARRAYFORMULA(XLOOKUP(FILTER(INDIRECT(""'""&amp;CU$1&amp;""'!$C$4:$C$66""),INDIRECT(""'""&amp;CU$1&amp;""'!$D$4:$D$66"")=CU$2),$G$3:$BQ$3,$G165:$BQ165))),"""")"),"")</f>
        <v/>
      </c>
      <c r="CW165" s="251">
        <f>IFERROR(__xludf.DUMMYFUNCTION("AVERAGE(ARRAYFORMULA(XLOOKUP(FILTER(INDIRECT(""'""&amp;CW$1&amp;""'!$C$4:$C$66""),INDIRECT(""'""&amp;CW$1&amp;""'!$D$4:$D$66"")=CW$2),$G$3:$BQ$3,$G165:$BQ165)))"),1.1875812950000002)</f>
        <v>1.187581295</v>
      </c>
      <c r="CX165" s="207">
        <f>IFERROR(__xludf.DUMMYFUNCTION("IF(OR(CW165&gt;$BS165+$BT165*$BT$2,CW165&lt;$BS165-$BT165*$BT$2),AVEDEV(ARRAYFORMULA(XLOOKUP(FILTER(INDIRECT(""'""&amp;CW$1&amp;""'!$C$4:$C$66""),INDIRECT(""'""&amp;CW$1&amp;""'!$D$4:$D$66"")=CW$2),$G$3:$BQ$3,$G165:$BQ165))),"""")"),0.032799864999999984)</f>
        <v>0.032799865</v>
      </c>
      <c r="CY165" s="251">
        <f>IFERROR(__xludf.DUMMYFUNCTION("AVERAGE(ARRAYFORMULA(XLOOKUP(FILTER(INDIRECT(""'""&amp;CY$1&amp;""'!$C$4:$C$66""),INDIRECT(""'""&amp;CY$1&amp;""'!$D$4:$D$66"")=CY$2),$G$3:$BQ$3,$G165:$BQ165)))"),0.47472551928571427)</f>
        <v>0.4747255193</v>
      </c>
      <c r="CZ165" s="207" t="str">
        <f>IFERROR(__xludf.DUMMYFUNCTION("IF(OR(CY165&gt;$BS165+$BT165*$BT$2,CY165&lt;$BS165-$BT165*$BT$2),AVEDEV(ARRAYFORMULA(XLOOKUP(FILTER(INDIRECT(""'""&amp;CY$1&amp;""'!$C$4:$C$66""),INDIRECT(""'""&amp;CY$1&amp;""'!$D$4:$D$66"")=CY$2),$G$3:$BQ$3,$G165:$BQ165))),"""")"),"")</f>
        <v/>
      </c>
      <c r="DA165" s="252"/>
      <c r="DB165" s="251">
        <f>IFERROR(__xludf.DUMMYFUNCTION("AVERAGE(ARRAYFORMULA(XLOOKUP(FILTER(INDIRECT(""'""&amp;DB$1&amp;""'!$C$4:$C$66""),INDIRECT(""'""&amp;DB$1&amp;""'!$D$4:$D$66"")=DB$2),$G$3:$BQ$3,$G165:$BQ165)))"),0.4487059129999999)</f>
        <v>0.448705913</v>
      </c>
      <c r="DC165" s="207" t="str">
        <f>IFERROR(__xludf.DUMMYFUNCTION("IF(OR(DB165&gt;$BS165+$BT165*$BT$2,DB165&lt;$BS165-$BT165*$BT$2),AVEDEV(ARRAYFORMULA(XLOOKUP(FILTER(INDIRECT(""'""&amp;DB$1&amp;""'!$C$4:$C$66""),INDIRECT(""'""&amp;DB$1&amp;""'!$D$4:$D$66"")=DB$2),$G$3:$BQ$3,$G165:$BQ165))),"""")"),"")</f>
        <v/>
      </c>
      <c r="DD165" s="251">
        <f>IFERROR(__xludf.DUMMYFUNCTION("AVERAGE(ARRAYFORMULA(XLOOKUP(FILTER(INDIRECT(""'""&amp;DD$1&amp;""'!$C$4:$C$66""),INDIRECT(""'""&amp;DD$1&amp;""'!$D$4:$D$66"")=DD$2),$G$3:$BQ$3,$G165:$BQ165)))"),-0.5380434555555555)</f>
        <v>-0.5380434556</v>
      </c>
      <c r="DE165" s="207">
        <f>IFERROR(__xludf.DUMMYFUNCTION("IF(OR(DD165&gt;$BS165+$BT165*$BT$2,DD165&lt;$BS165-$BT165*$BT$2),AVEDEV(ARRAYFORMULA(XLOOKUP(FILTER(INDIRECT(""'""&amp;DD$1&amp;""'!$C$4:$C$66""),INDIRECT(""'""&amp;DD$1&amp;""'!$D$4:$D$66"")=DD$2),$G$3:$BQ$3,$G165:$BQ165))),"""")"),0.2705311728395062)</f>
        <v>0.2705311728</v>
      </c>
      <c r="DF165" s="251">
        <f>IFERROR(__xludf.DUMMYFUNCTION("AVERAGE(ARRAYFORMULA(XLOOKUP(FILTER(INDIRECT(""'""&amp;DF$1&amp;""'!$C$4:$C$66""),INDIRECT(""'""&amp;DF$1&amp;""'!$D$4:$D$66"")=DF$2),$G$3:$BQ$3,$G165:$BQ165)))"),-0.14723180624999999)</f>
        <v>-0.1472318063</v>
      </c>
      <c r="DG165" s="207" t="str">
        <f>IFERROR(__xludf.DUMMYFUNCTION("IF(OR(DF165&gt;$BS165+$BT165*$BT$2,DF165&lt;$BS165-$BT165*$BT$2),AVEDEV(ARRAYFORMULA(XLOOKUP(FILTER(INDIRECT(""'""&amp;DF$1&amp;""'!$C$4:$C$66""),INDIRECT(""'""&amp;DF$1&amp;""'!$D$4:$D$66"")=DF$2),$G$3:$BQ$3,$G165:$BQ165))),"""")"),"")</f>
        <v/>
      </c>
      <c r="DH165" s="251">
        <f>IFERROR(__xludf.DUMMYFUNCTION("AVERAGE(ARRAYFORMULA(XLOOKUP(FILTER(INDIRECT(""'""&amp;DH$1&amp;""'!$C$4:$C$66""),INDIRECT(""'""&amp;DH$1&amp;""'!$D$4:$D$66"")=DH$2),$G$3:$BQ$3,$G165:$BQ165)))"),0.15167110444444448)</f>
        <v>0.1516711044</v>
      </c>
      <c r="DI165" s="207" t="str">
        <f>IFERROR(__xludf.DUMMYFUNCTION("IF(OR(DH165&gt;$BS165+$BT165*$BT$2,DH165&lt;$BS165-$BT165*$BT$2),AVEDEV(ARRAYFORMULA(XLOOKUP(FILTER(INDIRECT(""'""&amp;DH$1&amp;""'!$C$4:$C$66""),INDIRECT(""'""&amp;DH$1&amp;""'!$D$4:$D$66"")=DH$2),$G$3:$BQ$3,$G165:$BQ165))),"""")"),"")</f>
        <v/>
      </c>
      <c r="DJ165" s="243"/>
    </row>
    <row r="166">
      <c r="A166" s="2"/>
      <c r="B166" s="204">
        <v>162.0</v>
      </c>
      <c r="C166" s="204" t="s">
        <v>601</v>
      </c>
      <c r="D166" s="204" t="s">
        <v>609</v>
      </c>
      <c r="E166" s="205" t="b">
        <f>VLOOKUP(D166,'Feature Set List'!A163:C246,2,0)</f>
        <v>1</v>
      </c>
      <c r="F166" s="205" t="b">
        <f>VLOOKUP(D166,'Feature Set List'!A163:C246,3,0)</f>
        <v>1</v>
      </c>
      <c r="G166" s="205">
        <v>0.84570365</v>
      </c>
      <c r="H166" s="205">
        <v>0.45967211</v>
      </c>
      <c r="I166" s="205">
        <v>4.16573001</v>
      </c>
      <c r="J166" s="205">
        <v>0.45502112</v>
      </c>
      <c r="K166" s="205">
        <v>0.75190884</v>
      </c>
      <c r="L166" s="205">
        <v>-0.6040851</v>
      </c>
      <c r="M166" s="205">
        <v>-0.7736909</v>
      </c>
      <c r="N166" s="205">
        <v>2.69446921</v>
      </c>
      <c r="O166" s="205">
        <v>0.19844192</v>
      </c>
      <c r="P166" s="205">
        <v>-0.9062439</v>
      </c>
      <c r="Q166" s="205">
        <v>0.44184334</v>
      </c>
      <c r="R166" s="205">
        <v>-0.9010503</v>
      </c>
      <c r="S166" s="205">
        <v>-0.4681989</v>
      </c>
      <c r="T166" s="205">
        <v>-0.4699818</v>
      </c>
      <c r="U166" s="205">
        <v>-0.1782877</v>
      </c>
      <c r="V166" s="205">
        <v>0.1496066</v>
      </c>
      <c r="W166" s="205">
        <v>-0.8578737</v>
      </c>
      <c r="X166" s="205">
        <v>-0.5433898</v>
      </c>
      <c r="Y166" s="205">
        <v>3.12778574</v>
      </c>
      <c r="Z166" s="205">
        <v>-0.7819077</v>
      </c>
      <c r="AA166" s="205">
        <v>-0.3682028</v>
      </c>
      <c r="AB166" s="205">
        <v>4.61765048</v>
      </c>
      <c r="AC166" s="205">
        <v>0.49455447</v>
      </c>
      <c r="AD166" s="205">
        <v>0.6286578</v>
      </c>
      <c r="AE166" s="205">
        <v>-0.2759583</v>
      </c>
      <c r="AF166" s="205">
        <v>13.2746793</v>
      </c>
      <c r="AG166" s="205">
        <v>0.39300802</v>
      </c>
      <c r="AH166" s="205">
        <v>-0.5102128</v>
      </c>
      <c r="AI166" s="205">
        <v>-0.2550289</v>
      </c>
      <c r="AJ166" s="205">
        <v>1.48986473</v>
      </c>
      <c r="AK166" s="205">
        <v>0.45734661</v>
      </c>
      <c r="AL166" s="205">
        <v>2.13712647</v>
      </c>
      <c r="AM166" s="205">
        <v>5.29436844</v>
      </c>
      <c r="AN166" s="205">
        <v>-0.5266463</v>
      </c>
      <c r="AO166" s="205">
        <v>-0.5365684</v>
      </c>
      <c r="AP166" s="205">
        <v>0.11317391</v>
      </c>
      <c r="AQ166" s="205">
        <v>-0.7195845</v>
      </c>
      <c r="AR166" s="205">
        <v>-0.0434092</v>
      </c>
      <c r="AS166" s="205">
        <v>-0.2038681</v>
      </c>
      <c r="AT166" s="205">
        <v>1.22243324</v>
      </c>
      <c r="AU166" s="205">
        <v>-0.866323</v>
      </c>
      <c r="AV166" s="205">
        <v>0.18758963</v>
      </c>
      <c r="AW166" s="205">
        <v>3.01461184</v>
      </c>
      <c r="AX166" s="205">
        <v>-0.2767335</v>
      </c>
      <c r="AY166" s="205">
        <v>-0.2999884</v>
      </c>
      <c r="AZ166" s="205">
        <v>-0.736018</v>
      </c>
      <c r="BA166" s="205">
        <v>-0.7207473</v>
      </c>
      <c r="BB166" s="205">
        <v>-0.6026123</v>
      </c>
      <c r="BC166" s="205">
        <v>-0.5401341</v>
      </c>
      <c r="BD166" s="205">
        <v>-0.5206775</v>
      </c>
      <c r="BE166" s="205">
        <v>-0.033332</v>
      </c>
      <c r="BF166" s="205">
        <v>0.13332817</v>
      </c>
      <c r="BG166" s="205">
        <v>0.0</v>
      </c>
      <c r="BH166" s="205">
        <v>1.74411845</v>
      </c>
      <c r="BI166" s="205">
        <v>0.29766288</v>
      </c>
      <c r="BJ166" s="205">
        <v>0.22014651</v>
      </c>
      <c r="BK166" s="205">
        <v>-0.3278943</v>
      </c>
      <c r="BL166" s="205">
        <v>-0.7633813</v>
      </c>
      <c r="BM166" s="205">
        <v>-0.3674276</v>
      </c>
      <c r="BN166" s="205">
        <v>0.17286152</v>
      </c>
      <c r="BO166" s="205">
        <v>0.49300415</v>
      </c>
      <c r="BP166" s="205">
        <v>0.11704973</v>
      </c>
      <c r="BQ166" s="205">
        <v>0.28370993</v>
      </c>
      <c r="BR166" s="206"/>
      <c r="BS166" s="250">
        <f t="shared" si="1"/>
        <v>0.5412328638</v>
      </c>
      <c r="BT166" s="250">
        <f t="shared" si="2"/>
        <v>1.188312638</v>
      </c>
      <c r="BU166" s="206"/>
      <c r="BV166" s="207">
        <f>IFERROR(__xludf.DUMMYFUNCTION("AVERAGE(ARRAYFORMULA(XLOOKUP(FILTER(INDIRECT(""'""&amp;BV$1&amp;""'!$C$4:$C$66""),INDIRECT(""'""&amp;BV$1&amp;""'!$D$4:$D$66"")=BV$2),$G$3:$BQ$3,$G166:$BQ166)))"),-0.4225085571428572)</f>
        <v>-0.4225085571</v>
      </c>
      <c r="BW166" s="207" t="str">
        <f>IFERROR(__xludf.DUMMYFUNCTION("IF(OR(BV166&gt;$BS166+$BT166*$BT$2,BV166&lt;$BS166-$BT166*$BT$2),AVEDEV(ARRAYFORMULA(XLOOKUP(FILTER(INDIRECT(""'""&amp;BV$1&amp;""'!$C$4:$C$66""),INDIRECT(""'""&amp;BV$1&amp;""'!$D$4:$D$66"")=BV$2),$G$3:$BQ$3,$G166:$BQ166))),"""")"),"")</f>
        <v/>
      </c>
      <c r="BX166" s="207">
        <f>IFERROR(__xludf.DUMMYFUNCTION("AVERAGE(ARRAYFORMULA(XLOOKUP(FILTER(INDIRECT(""'""&amp;BX$1&amp;""'!$C$4:$C$66""),INDIRECT(""'""&amp;BX$1&amp;""'!$D$4:$D$66"")=BX$2),$G$3:$BQ$3,$G166:$BQ166)))"),0.5348666766666668)</f>
        <v>0.5348666767</v>
      </c>
      <c r="BY166" s="207" t="str">
        <f>IFERROR(__xludf.DUMMYFUNCTION("IF(OR(BX166&gt;$BS166+$BT166*$BT$2,BX166&lt;$BS166-$BT166*$BT$2),AVEDEV(ARRAYFORMULA(XLOOKUP(FILTER(INDIRECT(""'""&amp;BX$1&amp;""'!$C$4:$C$66""),INDIRECT(""'""&amp;BX$1&amp;""'!$D$4:$D$66"")=BX$2),$G$3:$BQ$3,$G166:$BQ166))),"""")"),"")</f>
        <v/>
      </c>
      <c r="BZ166" s="207">
        <f>IFERROR(__xludf.DUMMYFUNCTION("AVERAGE(ARRAYFORMULA(XLOOKUP(FILTER(INDIRECT(""'""&amp;BZ$1&amp;""'!$C$4:$C$66""),INDIRECT(""'""&amp;BZ$1&amp;""'!$D$4:$D$66"")=BZ$2),$G$3:$BQ$3,$G166:$BQ166)))"),1.0738273081818184)</f>
        <v>1.073827308</v>
      </c>
      <c r="CA166" s="207" t="str">
        <f>IFERROR(__xludf.DUMMYFUNCTION("IF(OR(BZ166&gt;$BS166+$BT166*$BT$2,BZ166&lt;$BS166-$BT166*$BT$2),AVEDEV(ARRAYFORMULA(XLOOKUP(FILTER(INDIRECT(""'""&amp;BZ$1&amp;""'!$C$4:$C$66""),INDIRECT(""'""&amp;BZ$1&amp;""'!$D$4:$D$66"")=BZ$2),$G$3:$BQ$3,$G166:$BQ166))),"""")"),"")</f>
        <v/>
      </c>
      <c r="CB166" s="209"/>
      <c r="CC166" s="207">
        <f>IFERROR(__xludf.DUMMYFUNCTION("AVERAGE(ARRAYFORMULA(XLOOKUP(FILTER(INDIRECT(""'""&amp;CC$1&amp;""'!$C$4:$C$66""),INDIRECT(""'""&amp;CC$1&amp;""'!$D$4:$D$66"")=CC$2),$G$3:$BQ$3,$G166:$BQ166)))"),0.488319248125)</f>
        <v>0.4883192481</v>
      </c>
      <c r="CD166" s="207" t="str">
        <f>IFERROR(__xludf.DUMMYFUNCTION("IF(OR(CC166&gt;$BS166+$BT166*$BT$2,CC166&lt;$BS166-$BT166*$BT$2),AVEDEV(ARRAYFORMULA(XLOOKUP(FILTER(INDIRECT(""'""&amp;CC$1&amp;""'!$C$4:$C$66""),INDIRECT(""'""&amp;CC$1&amp;""'!$D$4:$D$66"")=CC$2),$G$3:$BQ$3,$G166:$BQ166))),"""")"),"")</f>
        <v/>
      </c>
      <c r="CE166" s="207">
        <f>IFERROR(__xludf.DUMMYFUNCTION("AVERAGE(ARRAYFORMULA(XLOOKUP(FILTER(INDIRECT(""'""&amp;CE$1&amp;""'!$C$4:$C$66""),INDIRECT(""'""&amp;CE$1&amp;""'!$D$4:$D$66"")=CE$2),$G$3:$BQ$3,$G166:$BQ166)))"),0.8709314851612905)</f>
        <v>0.8709314852</v>
      </c>
      <c r="CF166" s="207" t="str">
        <f>IFERROR(__xludf.DUMMYFUNCTION("IF(OR(CE166&gt;$BS166+$BT166*$BT$2,CE166&lt;$BS166-$BT166*$BT$2),AVEDEV(ARRAYFORMULA(XLOOKUP(FILTER(INDIRECT(""'""&amp;CE$1&amp;""'!$C$4:$C$66""),INDIRECT(""'""&amp;CE$1&amp;""'!$D$4:$D$66"")=CE$2),$G$3:$BQ$3,$G166:$BQ166))),"""")"),"")</f>
        <v/>
      </c>
      <c r="CG166" s="207">
        <f>IFERROR(__xludf.DUMMYFUNCTION("AVERAGE(ARRAYFORMULA(XLOOKUP(FILTER(INDIRECT(""'""&amp;CG$1&amp;""'!$C$4:$C$66""),INDIRECT(""'""&amp;CG$1&amp;""'!$D$4:$D$66"")=CG$2),$G$3:$BQ$3,$G166:$BQ166)))"),-0.46016822)</f>
        <v>-0.46016822</v>
      </c>
      <c r="CH166" s="207" t="str">
        <f>IFERROR(__xludf.DUMMYFUNCTION("IF(OR(CG166&gt;$BS166+$BT166*$BT$2,CG166&lt;$BS166-$BT166*$BT$2),AVEDEV(ARRAYFORMULA(XLOOKUP(FILTER(INDIRECT(""'""&amp;CG$1&amp;""'!$C$4:$C$66""),INDIRECT(""'""&amp;CG$1&amp;""'!$D$4:$D$66"")=CG$2),$G$3:$BQ$3,$G166:$BQ166))),"""")"),"")</f>
        <v/>
      </c>
      <c r="CI166" s="206"/>
      <c r="CJ166" s="251">
        <f>IFERROR(__xludf.DUMMYFUNCTION("AVERAGE(ARRAYFORMULA(XLOOKUP(FILTER(INDIRECT(""'""&amp;CJ$1&amp;""'!$C$4:$C$66""),INDIRECT(""'""&amp;CJ$1&amp;""'!$D$4:$D$66"")=CJ$2),$G$3:$BQ$3,$G166:$BQ166)))"),0.707745176)</f>
        <v>0.707745176</v>
      </c>
      <c r="CK166" s="207" t="str">
        <f>IFERROR(__xludf.DUMMYFUNCTION("IF(OR(CJ166&gt;$BS166+$BT166*$BT$2,CJ166&lt;$BS166-$BT166*$BT$2),AVEDEV(ARRAYFORMULA(XLOOKUP(FILTER(INDIRECT(""'""&amp;CJ$1&amp;""'!$C$4:$C$66""),INDIRECT(""'""&amp;CJ$1&amp;""'!$D$4:$D$66"")=CJ$2),$G$3:$BQ$3,$G166:$BQ166))),"""")"),"")</f>
        <v/>
      </c>
      <c r="CL166" s="251">
        <f>IFERROR(__xludf.DUMMYFUNCTION("AVERAGE(ARRAYFORMULA(XLOOKUP(FILTER(INDIRECT(""'""&amp;CL$1&amp;""'!$C$4:$C$66""),INDIRECT(""'""&amp;CL$1&amp;""'!$D$4:$D$66"")=CL$2),$G$3:$BQ$3,$G166:$BQ166)))"),0.6094098889743591)</f>
        <v>0.609409889</v>
      </c>
      <c r="CM166" s="207" t="str">
        <f>IFERROR(__xludf.DUMMYFUNCTION("IF(OR(CL166&gt;$BS166+$BT166*$BT$2,CL166&lt;$BS166-$BT166*$BT$2),AVEDEV(ARRAYFORMULA(XLOOKUP(FILTER(INDIRECT(""'""&amp;CL$1&amp;""'!$C$4:$C$66""),INDIRECT(""'""&amp;CL$1&amp;""'!$D$4:$D$66"")=CL$2),$G$3:$BQ$3,$G166:$BQ166))),"""")"),"")</f>
        <v/>
      </c>
      <c r="CN166" s="251">
        <f>IFERROR(__xludf.DUMMYFUNCTION("AVERAGE(ARRAYFORMULA(XLOOKUP(FILTER(INDIRECT(""'""&amp;CN$1&amp;""'!$C$4:$C$66""),INDIRECT(""'""&amp;CN$1&amp;""'!$D$4:$D$66"")=CN$2),$G$3:$BQ$3,$G166:$BQ166)))"),-0.46016822)</f>
        <v>-0.46016822</v>
      </c>
      <c r="CO166" s="207" t="str">
        <f>IFERROR(__xludf.DUMMYFUNCTION("IF(OR(CN166&gt;$BS166+$BT166*$BT$2,CN166&lt;$BS166-$BT166*$BT$2),AVEDEV(ARRAYFORMULA(XLOOKUP(FILTER(INDIRECT(""'""&amp;CN$1&amp;""'!$C$4:$C$66""),INDIRECT(""'""&amp;CN$1&amp;""'!$D$4:$D$66"")=CN$2),$G$3:$BQ$3,$G166:$BQ166))),"""")"),"")</f>
        <v/>
      </c>
      <c r="CP166" s="252"/>
      <c r="CQ166" s="251">
        <f>IFERROR(__xludf.DUMMYFUNCTION("AVERAGE(ARRAYFORMULA(XLOOKUP(FILTER(INDIRECT(""'""&amp;CQ$1&amp;""'!$C$4:$C$66""),INDIRECT(""'""&amp;CQ$1&amp;""'!$D$4:$D$66"")=CQ$2),$G$3:$BQ$3,$G166:$BQ166)))"),0.6020641471428572)</f>
        <v>0.6020641471</v>
      </c>
      <c r="CR166" s="207" t="str">
        <f>IFERROR(__xludf.DUMMYFUNCTION("IF(OR(CQ166&gt;$BS166+$BT166*$BT$2,CQ166&lt;$BS166-$BT166*$BT$2),AVEDEV(ARRAYFORMULA(XLOOKUP(FILTER(INDIRECT(""'""&amp;CQ$1&amp;""'!$C$4:$C$66""),INDIRECT(""'""&amp;CQ$1&amp;""'!$D$4:$D$66"")=CQ$2),$G$3:$BQ$3,$G166:$BQ166))),"""")"),"")</f>
        <v/>
      </c>
      <c r="CS166" s="251">
        <f>IFERROR(__xludf.DUMMYFUNCTION("AVERAGE(ARRAYFORMULA(XLOOKUP(FILTER(INDIRECT(""'""&amp;CS$1&amp;""'!$C$4:$C$66""),INDIRECT(""'""&amp;CS$1&amp;""'!$D$4:$D$66"")=CS$2),$G$3:$BQ$3,$G166:$BQ166)))"),1.4350606655555558)</f>
        <v>1.435060666</v>
      </c>
      <c r="CT166" s="207" t="str">
        <f>IFERROR(__xludf.DUMMYFUNCTION("IF(OR(CS166&gt;$BS166+$BT166*$BT$2,CS166&lt;$BS166-$BT166*$BT$2),AVEDEV(ARRAYFORMULA(XLOOKUP(FILTER(INDIRECT(""'""&amp;CS$1&amp;""'!$C$4:$C$66""),INDIRECT(""'""&amp;CS$1&amp;""'!$D$4:$D$66"")=CS$2),$G$3:$BQ$3,$G166:$BQ166))),"""")"),"")</f>
        <v/>
      </c>
      <c r="CU166" s="251">
        <f>IFERROR(__xludf.DUMMYFUNCTION("AVERAGE(ARRAYFORMULA(XLOOKUP(FILTER(INDIRECT(""'""&amp;CU$1&amp;""'!$C$4:$C$66""),INDIRECT(""'""&amp;CU$1&amp;""'!$D$4:$D$66"")=CU$2),$G$3:$BQ$3,$G166:$BQ166)))"),0.9297243554545457)</f>
        <v>0.9297243555</v>
      </c>
      <c r="CV166" s="207" t="str">
        <f>IFERROR(__xludf.DUMMYFUNCTION("IF(OR(CU166&gt;$BS166+$BT166*$BT$2,CU166&lt;$BS166-$BT166*$BT$2),AVEDEV(ARRAYFORMULA(XLOOKUP(FILTER(INDIRECT(""'""&amp;CU$1&amp;""'!$C$4:$C$66""),INDIRECT(""'""&amp;CU$1&amp;""'!$D$4:$D$66"")=CU$2),$G$3:$BQ$3,$G166:$BQ166))),"""")"),"")</f>
        <v/>
      </c>
      <c r="CW166" s="251">
        <f>IFERROR(__xludf.DUMMYFUNCTION("AVERAGE(ARRAYFORMULA(XLOOKUP(FILTER(INDIRECT(""'""&amp;CW$1&amp;""'!$C$4:$C$66""),INDIRECT(""'""&amp;CW$1&amp;""'!$D$4:$D$66"")=CW$2),$G$3:$BQ$3,$G166:$BQ166)))"),1.1863881250000001)</f>
        <v>1.186388125</v>
      </c>
      <c r="CX166" s="207" t="str">
        <f>IFERROR(__xludf.DUMMYFUNCTION("IF(OR(CW166&gt;$BS166+$BT166*$BT$2,CW166&lt;$BS166-$BT166*$BT$2),AVEDEV(ARRAYFORMULA(XLOOKUP(FILTER(INDIRECT(""'""&amp;CW$1&amp;""'!$C$4:$C$66""),INDIRECT(""'""&amp;CW$1&amp;""'!$D$4:$D$66"")=CW$2),$G$3:$BQ$3,$G166:$BQ166))),"""")"),"")</f>
        <v/>
      </c>
      <c r="CY166" s="251">
        <f>IFERROR(__xludf.DUMMYFUNCTION("AVERAGE(ARRAYFORMULA(XLOOKUP(FILTER(INDIRECT(""'""&amp;CY$1&amp;""'!$C$4:$C$66""),INDIRECT(""'""&amp;CY$1&amp;""'!$D$4:$D$66"")=CY$2),$G$3:$BQ$3,$G166:$BQ166)))"),0.010835675714285722)</f>
        <v>0.01083567571</v>
      </c>
      <c r="CZ166" s="207" t="str">
        <f>IFERROR(__xludf.DUMMYFUNCTION("IF(OR(CY166&gt;$BS166+$BT166*$BT$2,CY166&lt;$BS166-$BT166*$BT$2),AVEDEV(ARRAYFORMULA(XLOOKUP(FILTER(INDIRECT(""'""&amp;CY$1&amp;""'!$C$4:$C$66""),INDIRECT(""'""&amp;CY$1&amp;""'!$D$4:$D$66"")=CY$2),$G$3:$BQ$3,$G166:$BQ166))),"""")"),"")</f>
        <v/>
      </c>
      <c r="DA166" s="252"/>
      <c r="DB166" s="251">
        <f>IFERROR(__xludf.DUMMYFUNCTION("AVERAGE(ARRAYFORMULA(XLOOKUP(FILTER(INDIRECT(""'""&amp;DB$1&amp;""'!$C$4:$C$66""),INDIRECT(""'""&amp;DB$1&amp;""'!$D$4:$D$66"")=DB$2),$G$3:$BQ$3,$G166:$BQ166)))"),0.35298889800000016)</f>
        <v>0.352988898</v>
      </c>
      <c r="DC166" s="207" t="str">
        <f>IFERROR(__xludf.DUMMYFUNCTION("IF(OR(DB166&gt;$BS166+$BT166*$BT$2,DB166&lt;$BS166-$BT166*$BT$2),AVEDEV(ARRAYFORMULA(XLOOKUP(FILTER(INDIRECT(""'""&amp;DB$1&amp;""'!$C$4:$C$66""),INDIRECT(""'""&amp;DB$1&amp;""'!$D$4:$D$66"")=DB$2),$G$3:$BQ$3,$G166:$BQ166))),"""")"),"")</f>
        <v/>
      </c>
      <c r="DD166" s="251">
        <f>IFERROR(__xludf.DUMMYFUNCTION("AVERAGE(ARRAYFORMULA(XLOOKUP(FILTER(INDIRECT(""'""&amp;DD$1&amp;""'!$C$4:$C$66""),INDIRECT(""'""&amp;DD$1&amp;""'!$D$4:$D$66"")=DD$2),$G$3:$BQ$3,$G166:$BQ166)))"),-0.4074174466666667)</f>
        <v>-0.4074174467</v>
      </c>
      <c r="DE166" s="207" t="str">
        <f>IFERROR(__xludf.DUMMYFUNCTION("IF(OR(DD166&gt;$BS166+$BT166*$BT$2,DD166&lt;$BS166-$BT166*$BT$2),AVEDEV(ARRAYFORMULA(XLOOKUP(FILTER(INDIRECT(""'""&amp;DD$1&amp;""'!$C$4:$C$66""),INDIRECT(""'""&amp;DD$1&amp;""'!$D$4:$D$66"")=DD$2),$G$3:$BQ$3,$G166:$BQ166))),"""")"),"")</f>
        <v/>
      </c>
      <c r="DF166" s="251">
        <f>IFERROR(__xludf.DUMMYFUNCTION("AVERAGE(ARRAYFORMULA(XLOOKUP(FILTER(INDIRECT(""'""&amp;DF$1&amp;""'!$C$4:$C$66""),INDIRECT(""'""&amp;DF$1&amp;""'!$D$4:$D$66"")=DF$2),$G$3:$BQ$3,$G166:$BQ166)))"),-0.15792993125000002)</f>
        <v>-0.1579299313</v>
      </c>
      <c r="DG166" s="207" t="str">
        <f>IFERROR(__xludf.DUMMYFUNCTION("IF(OR(DF166&gt;$BS166+$BT166*$BT$2,DF166&lt;$BS166-$BT166*$BT$2),AVEDEV(ARRAYFORMULA(XLOOKUP(FILTER(INDIRECT(""'""&amp;DF$1&amp;""'!$C$4:$C$66""),INDIRECT(""'""&amp;DF$1&amp;""'!$D$4:$D$66"")=DF$2),$G$3:$BQ$3,$G166:$BQ166))),"""")"),"")</f>
        <v/>
      </c>
      <c r="DH166" s="251">
        <f>IFERROR(__xludf.DUMMYFUNCTION("AVERAGE(ARRAYFORMULA(XLOOKUP(FILTER(INDIRECT(""'""&amp;DH$1&amp;""'!$C$4:$C$66""),INDIRECT(""'""&amp;DH$1&amp;""'!$D$4:$D$66"")=DH$2),$G$3:$BQ$3,$G166:$BQ166)))"),3.0606910155555553)</f>
        <v>3.060691016</v>
      </c>
      <c r="DI166" s="207">
        <f>IFERROR(__xludf.DUMMYFUNCTION("IF(OR(DH166&gt;$BS166+$BT166*$BT$2,DH166&lt;$BS166-$BT166*$BT$2),AVEDEV(ARRAYFORMULA(XLOOKUP(FILTER(INDIRECT(""'""&amp;DH$1&amp;""'!$C$4:$C$66""),INDIRECT(""'""&amp;DH$1&amp;""'!$D$4:$D$66"")=DH$2),$G$3:$BQ$3,$G166:$BQ166))),"""")"),2.781057874074074)</f>
        <v>2.781057874</v>
      </c>
      <c r="DJ166" s="243"/>
    </row>
    <row r="167">
      <c r="A167" s="2"/>
      <c r="B167" s="204">
        <v>163.0</v>
      </c>
      <c r="C167" s="204" t="s">
        <v>601</v>
      </c>
      <c r="D167" s="204" t="s">
        <v>610</v>
      </c>
      <c r="E167" s="205" t="b">
        <f>VLOOKUP(D167,'Feature Set List'!A164:C246,2,0)</f>
        <v>1</v>
      </c>
      <c r="F167" s="205" t="b">
        <f>VLOOKUP(D167,'Feature Set List'!A164:C246,3,0)</f>
        <v>1</v>
      </c>
      <c r="G167" s="205">
        <v>-0.197521</v>
      </c>
      <c r="H167" s="205">
        <v>-0.0994233</v>
      </c>
      <c r="I167" s="205">
        <v>-0.8001591</v>
      </c>
      <c r="J167" s="205">
        <v>-0.1020746</v>
      </c>
      <c r="K167" s="205">
        <v>5.84874395</v>
      </c>
      <c r="L167" s="205">
        <v>0.38973951</v>
      </c>
      <c r="M167" s="205">
        <v>-0.5785113</v>
      </c>
      <c r="N167" s="205">
        <v>0.51832704</v>
      </c>
      <c r="O167" s="205">
        <v>0.26247763</v>
      </c>
      <c r="P167" s="205">
        <v>-0.5868629</v>
      </c>
      <c r="Q167" s="205">
        <v>3.59779943</v>
      </c>
      <c r="R167" s="205">
        <v>0.53158348</v>
      </c>
      <c r="S167" s="205">
        <v>0.52495526</v>
      </c>
      <c r="T167" s="205">
        <v>-0.0755617</v>
      </c>
      <c r="U167" s="205">
        <v>-0.5355604</v>
      </c>
      <c r="V167" s="205">
        <v>-0.041095</v>
      </c>
      <c r="W167" s="205">
        <v>-0.5127593</v>
      </c>
      <c r="X167" s="205">
        <v>-0.8275999</v>
      </c>
      <c r="Y167" s="205">
        <v>-0.3181547</v>
      </c>
      <c r="Z167" s="205">
        <v>-1.3019156</v>
      </c>
      <c r="AA167" s="205">
        <v>-0.1736594</v>
      </c>
      <c r="AB167" s="205">
        <v>0.19354411</v>
      </c>
      <c r="AC167" s="205">
        <v>-0.1643799</v>
      </c>
      <c r="AD167" s="205">
        <v>-0.7716577</v>
      </c>
      <c r="AE167" s="205">
        <v>1.20368529</v>
      </c>
      <c r="AF167" s="205">
        <v>0.23463909</v>
      </c>
      <c r="AG167" s="205">
        <v>-0.6882747</v>
      </c>
      <c r="AH167" s="205">
        <v>-0.8208391</v>
      </c>
      <c r="AI167" s="205">
        <v>-0.0119308</v>
      </c>
      <c r="AJ167" s="205">
        <v>0.16570557</v>
      </c>
      <c r="AK167" s="205">
        <v>0.80731756</v>
      </c>
      <c r="AL167" s="205">
        <v>0.86962285</v>
      </c>
      <c r="AM167" s="205">
        <v>-0.1020746</v>
      </c>
      <c r="AN167" s="205">
        <v>0.0</v>
      </c>
      <c r="AO167" s="205">
        <v>3.0648903</v>
      </c>
      <c r="AP167" s="205">
        <v>-0.5762577</v>
      </c>
      <c r="AQ167" s="205">
        <v>-0.6760787</v>
      </c>
      <c r="AR167" s="205">
        <v>0.98495393</v>
      </c>
      <c r="AS167" s="205">
        <v>0.06628223</v>
      </c>
      <c r="AT167" s="205">
        <v>0.25452376</v>
      </c>
      <c r="AU167" s="205">
        <v>6.08868562</v>
      </c>
      <c r="AV167" s="205">
        <v>-1.2267515</v>
      </c>
      <c r="AW167" s="205">
        <v>-0.3287599</v>
      </c>
      <c r="AX167" s="205">
        <v>1.2514085</v>
      </c>
      <c r="AY167" s="205">
        <v>-1.5264798</v>
      </c>
      <c r="AZ167" s="205">
        <v>0.03711805</v>
      </c>
      <c r="BA167" s="205">
        <v>0.29561874</v>
      </c>
      <c r="BB167" s="205">
        <v>0.47458076</v>
      </c>
      <c r="BC167" s="205">
        <v>0.41227547</v>
      </c>
      <c r="BD167" s="205">
        <v>1.53642209</v>
      </c>
      <c r="BE167" s="205">
        <v>-0.3314111</v>
      </c>
      <c r="BF167" s="205">
        <v>-0.7100152</v>
      </c>
      <c r="BG167" s="205">
        <v>0.18956718</v>
      </c>
      <c r="BH167" s="205">
        <v>-0.7727182</v>
      </c>
      <c r="BI167" s="205">
        <v>0.35394711</v>
      </c>
      <c r="BJ167" s="205">
        <v>0.21740571</v>
      </c>
      <c r="BK167" s="205">
        <v>-0.0278385</v>
      </c>
      <c r="BL167" s="205">
        <v>0.41360111</v>
      </c>
      <c r="BM167" s="205">
        <v>1.07642341</v>
      </c>
      <c r="BN167" s="205">
        <v>3.25710877</v>
      </c>
      <c r="BO167" s="205">
        <v>-0.9689136</v>
      </c>
      <c r="BP167" s="205">
        <v>0.23066216</v>
      </c>
      <c r="BQ167" s="205">
        <v>-0.7819977</v>
      </c>
      <c r="BR167" s="206"/>
      <c r="BS167" s="250">
        <f t="shared" si="1"/>
        <v>0.2970853773</v>
      </c>
      <c r="BT167" s="250">
        <f t="shared" si="2"/>
        <v>0.8655353617</v>
      </c>
      <c r="BU167" s="206"/>
      <c r="BV167" s="207">
        <f>IFERROR(__xludf.DUMMYFUNCTION("AVERAGE(ARRAYFORMULA(XLOOKUP(FILTER(INDIRECT(""'""&amp;BV$1&amp;""'!$C$4:$C$66""),INDIRECT(""'""&amp;BV$1&amp;""'!$D$4:$D$66"")=BV$2),$G$3:$BQ$3,$G167:$BQ167)))"),0.10457442428571428)</f>
        <v>0.1045744243</v>
      </c>
      <c r="BW167" s="207" t="str">
        <f>IFERROR(__xludf.DUMMYFUNCTION("IF(OR(BV167&gt;$BS167+$BT167*$BT$2,BV167&lt;$BS167-$BT167*$BT$2),AVEDEV(ARRAYFORMULA(XLOOKUP(FILTER(INDIRECT(""'""&amp;BV$1&amp;""'!$C$4:$C$66""),INDIRECT(""'""&amp;BV$1&amp;""'!$D$4:$D$66"")=BV$2),$G$3:$BQ$3,$G167:$BQ167))),"""")"),"")</f>
        <v/>
      </c>
      <c r="BX167" s="207">
        <f>IFERROR(__xludf.DUMMYFUNCTION("AVERAGE(ARRAYFORMULA(XLOOKUP(FILTER(INDIRECT(""'""&amp;BX$1&amp;""'!$C$4:$C$66""),INDIRECT(""'""&amp;BX$1&amp;""'!$D$4:$D$66"")=BX$2),$G$3:$BQ$3,$G167:$BQ167)))"),0.2713152688095238)</f>
        <v>0.2713152688</v>
      </c>
      <c r="BY167" s="207" t="str">
        <f>IFERROR(__xludf.DUMMYFUNCTION("IF(OR(BX167&gt;$BS167+$BT167*$BT$2,BX167&lt;$BS167-$BT167*$BT$2),AVEDEV(ARRAYFORMULA(XLOOKUP(FILTER(INDIRECT(""'""&amp;BX$1&amp;""'!$C$4:$C$66""),INDIRECT(""'""&amp;BX$1&amp;""'!$D$4:$D$66"")=BX$2),$G$3:$BQ$3,$G167:$BQ167))),"""")"),"")</f>
        <v/>
      </c>
      <c r="BZ167" s="207">
        <f>IFERROR(__xludf.DUMMYFUNCTION("AVERAGE(ARRAYFORMULA(XLOOKUP(FILTER(INDIRECT(""'""&amp;BZ$1&amp;""'!$C$4:$C$66""),INDIRECT(""'""&amp;BZ$1&amp;""'!$D$4:$D$66"")=BZ$2),$G$3:$BQ$3,$G167:$BQ167)))"),-0.02143928181818179)</f>
        <v>-0.02143928182</v>
      </c>
      <c r="CA167" s="207" t="str">
        <f>IFERROR(__xludf.DUMMYFUNCTION("IF(OR(BZ167&gt;$BS167+$BT167*$BT$2,BZ167&lt;$BS167-$BT167*$BT$2),AVEDEV(ARRAYFORMULA(XLOOKUP(FILTER(INDIRECT(""'""&amp;BZ$1&amp;""'!$C$4:$C$66""),INDIRECT(""'""&amp;BZ$1&amp;""'!$D$4:$D$66"")=BZ$2),$G$3:$BQ$3,$G167:$BQ167))),"""")"),"")</f>
        <v/>
      </c>
      <c r="CB167" s="209"/>
      <c r="CC167" s="207">
        <f>IFERROR(__xludf.DUMMYFUNCTION("AVERAGE(ARRAYFORMULA(XLOOKUP(FILTER(INDIRECT(""'""&amp;CC$1&amp;""'!$C$4:$C$66""),INDIRECT(""'""&amp;CC$1&amp;""'!$D$4:$D$66"")=CC$2),$G$3:$BQ$3,$G167:$BQ167)))"),0.33360675375000004)</f>
        <v>0.3336067538</v>
      </c>
      <c r="CD167" s="207" t="str">
        <f>IFERROR(__xludf.DUMMYFUNCTION("IF(OR(CC167&gt;$BS167+$BT167*$BT$2,CC167&lt;$BS167-$BT167*$BT$2),AVEDEV(ARRAYFORMULA(XLOOKUP(FILTER(INDIRECT(""'""&amp;CC$1&amp;""'!$C$4:$C$66""),INDIRECT(""'""&amp;CC$1&amp;""'!$D$4:$D$66"")=CC$2),$G$3:$BQ$3,$G167:$BQ167))),"""")"),"")</f>
        <v/>
      </c>
      <c r="CE167" s="207">
        <f>IFERROR(__xludf.DUMMYFUNCTION("AVERAGE(ARRAYFORMULA(XLOOKUP(FILTER(INDIRECT(""'""&amp;CE$1&amp;""'!$C$4:$C$66""),INDIRECT(""'""&amp;CE$1&amp;""'!$D$4:$D$66"")=CE$2),$G$3:$BQ$3,$G167:$BQ167)))"),0.060239864516129026)</f>
        <v>0.06023986452</v>
      </c>
      <c r="CF167" s="207" t="str">
        <f>IFERROR(__xludf.DUMMYFUNCTION("IF(OR(CE167&gt;$BS167+$BT167*$BT$2,CE167&lt;$BS167-$BT167*$BT$2),AVEDEV(ARRAYFORMULA(XLOOKUP(FILTER(INDIRECT(""'""&amp;CE$1&amp;""'!$C$4:$C$66""),INDIRECT(""'""&amp;CE$1&amp;""'!$D$4:$D$66"")=CE$2),$G$3:$BQ$3,$G167:$BQ167))),"""")"),"")</f>
        <v/>
      </c>
      <c r="CG167" s="207">
        <f>IFERROR(__xludf.DUMMYFUNCTION("AVERAGE(ARRAYFORMULA(XLOOKUP(FILTER(INDIRECT(""'""&amp;CG$1&amp;""'!$C$4:$C$66""),INDIRECT(""'""&amp;CG$1&amp;""'!$D$4:$D$66"")=CG$2),$G$3:$BQ$3,$G167:$BQ167)))"),-0.022191289999999995)</f>
        <v>-0.02219129</v>
      </c>
      <c r="CH167" s="207" t="str">
        <f>IFERROR(__xludf.DUMMYFUNCTION("IF(OR(CG167&gt;$BS167+$BT167*$BT$2,CG167&lt;$BS167-$BT167*$BT$2),AVEDEV(ARRAYFORMULA(XLOOKUP(FILTER(INDIRECT(""'""&amp;CG$1&amp;""'!$C$4:$C$66""),INDIRECT(""'""&amp;CG$1&amp;""'!$D$4:$D$66"")=CG$2),$G$3:$BQ$3,$G167:$BQ167))),"""")"),"")</f>
        <v/>
      </c>
      <c r="CI167" s="206"/>
      <c r="CJ167" s="251">
        <f>IFERROR(__xludf.DUMMYFUNCTION("AVERAGE(ARRAYFORMULA(XLOOKUP(FILTER(INDIRECT(""'""&amp;CJ$1&amp;""'!$C$4:$C$66""),INDIRECT(""'""&amp;CJ$1&amp;""'!$D$4:$D$66"")=CJ$2),$G$3:$BQ$3,$G167:$BQ167)))"),-0.04113031533333337)</f>
        <v>-0.04113031533</v>
      </c>
      <c r="CK167" s="207" t="str">
        <f>IFERROR(__xludf.DUMMYFUNCTION("IF(OR(CJ167&gt;$BS167+$BT167*$BT$2,CJ167&lt;$BS167-$BT167*$BT$2),AVEDEV(ARRAYFORMULA(XLOOKUP(FILTER(INDIRECT(""'""&amp;CJ$1&amp;""'!$C$4:$C$66""),INDIRECT(""'""&amp;CJ$1&amp;""'!$D$4:$D$66"")=CJ$2),$G$3:$BQ$3,$G167:$BQ167))),"""")"),"")</f>
        <v/>
      </c>
      <c r="CL167" s="251">
        <f>IFERROR(__xludf.DUMMYFUNCTION("AVERAGE(ARRAYFORMULA(XLOOKUP(FILTER(INDIRECT(""'""&amp;CL$1&amp;""'!$C$4:$C$66""),INDIRECT(""'""&amp;CL$1&amp;""'!$D$4:$D$66"")=CL$2),$G$3:$BQ$3,$G167:$BQ167)))"),0.3129676982051283)</f>
        <v>0.3129676982</v>
      </c>
      <c r="CM167" s="207" t="str">
        <f>IFERROR(__xludf.DUMMYFUNCTION("IF(OR(CL167&gt;$BS167+$BT167*$BT$2,CL167&lt;$BS167-$BT167*$BT$2),AVEDEV(ARRAYFORMULA(XLOOKUP(FILTER(INDIRECT(""'""&amp;CL$1&amp;""'!$C$4:$C$66""),INDIRECT(""'""&amp;CL$1&amp;""'!$D$4:$D$66"")=CL$2),$G$3:$BQ$3,$G167:$BQ167))),"""")"),"")</f>
        <v/>
      </c>
      <c r="CN167" s="251">
        <f>IFERROR(__xludf.DUMMYFUNCTION("AVERAGE(ARRAYFORMULA(XLOOKUP(FILTER(INDIRECT(""'""&amp;CN$1&amp;""'!$C$4:$C$66""),INDIRECT(""'""&amp;CN$1&amp;""'!$D$4:$D$66"")=CN$2),$G$3:$BQ$3,$G167:$BQ167)))"),-0.022191289999999995)</f>
        <v>-0.02219129</v>
      </c>
      <c r="CO167" s="207" t="str">
        <f>IFERROR(__xludf.DUMMYFUNCTION("IF(OR(CN167&gt;$BS167+$BT167*$BT$2,CN167&lt;$BS167-$BT167*$BT$2),AVEDEV(ARRAYFORMULA(XLOOKUP(FILTER(INDIRECT(""'""&amp;CN$1&amp;""'!$C$4:$C$66""),INDIRECT(""'""&amp;CN$1&amp;""'!$D$4:$D$66"")=CN$2),$G$3:$BQ$3,$G167:$BQ167))),"""")"),"")</f>
        <v/>
      </c>
      <c r="CP167" s="252"/>
      <c r="CQ167" s="251">
        <f>IFERROR(__xludf.DUMMYFUNCTION("AVERAGE(ARRAYFORMULA(XLOOKUP(FILTER(INDIRECT(""'""&amp;CQ$1&amp;""'!$C$4:$C$66""),INDIRECT(""'""&amp;CQ$1&amp;""'!$D$4:$D$66"")=CQ$2),$G$3:$BQ$3,$G167:$BQ167)))"),0.009800309999999994)</f>
        <v>0.00980031</v>
      </c>
      <c r="CR167" s="207" t="str">
        <f>IFERROR(__xludf.DUMMYFUNCTION("IF(OR(CQ167&gt;$BS167+$BT167*$BT$2,CQ167&lt;$BS167-$BT167*$BT$2),AVEDEV(ARRAYFORMULA(XLOOKUP(FILTER(INDIRECT(""'""&amp;CQ$1&amp;""'!$C$4:$C$66""),INDIRECT(""'""&amp;CQ$1&amp;""'!$D$4:$D$66"")=CQ$2),$G$3:$BQ$3,$G167:$BQ167))),"""")"),"")</f>
        <v/>
      </c>
      <c r="CS167" s="251">
        <f>IFERROR(__xludf.DUMMYFUNCTION("AVERAGE(ARRAYFORMULA(XLOOKUP(FILTER(INDIRECT(""'""&amp;CS$1&amp;""'!$C$4:$C$66""),INDIRECT(""'""&amp;CS$1&amp;""'!$D$4:$D$66"")=CS$2),$G$3:$BQ$3,$G167:$BQ167)))"),-0.14993039555555557)</f>
        <v>-0.1499303956</v>
      </c>
      <c r="CT167" s="207" t="str">
        <f>IFERROR(__xludf.DUMMYFUNCTION("IF(OR(CS167&gt;$BS167+$BT167*$BT$2,CS167&lt;$BS167-$BT167*$BT$2),AVEDEV(ARRAYFORMULA(XLOOKUP(FILTER(INDIRECT(""'""&amp;CS$1&amp;""'!$C$4:$C$66""),INDIRECT(""'""&amp;CS$1&amp;""'!$D$4:$D$66"")=CS$2),$G$3:$BQ$3,$G167:$BQ167))),"""")"),"")</f>
        <v/>
      </c>
      <c r="CU167" s="251">
        <f>IFERROR(__xludf.DUMMYFUNCTION("AVERAGE(ARRAYFORMULA(XLOOKUP(FILTER(INDIRECT(""'""&amp;CU$1&amp;""'!$C$4:$C$66""),INDIRECT(""'""&amp;CU$1&amp;""'!$D$4:$D$66"")=CU$2),$G$3:$BQ$3,$G167:$BQ167)))"),-0.20517361272727275)</f>
        <v>-0.2051736127</v>
      </c>
      <c r="CV167" s="207" t="str">
        <f>IFERROR(__xludf.DUMMYFUNCTION("IF(OR(CU167&gt;$BS167+$BT167*$BT$2,CU167&lt;$BS167-$BT167*$BT$2),AVEDEV(ARRAYFORMULA(XLOOKUP(FILTER(INDIRECT(""'""&amp;CU$1&amp;""'!$C$4:$C$66""),INDIRECT(""'""&amp;CU$1&amp;""'!$D$4:$D$66"")=CU$2),$G$3:$BQ$3,$G167:$BQ167))),"""")"),"")</f>
        <v/>
      </c>
      <c r="CW167" s="251">
        <f>IFERROR(__xludf.DUMMYFUNCTION("AVERAGE(ARRAYFORMULA(XLOOKUP(FILTER(INDIRECT(""'""&amp;CW$1&amp;""'!$C$4:$C$66""),INDIRECT(""'""&amp;CW$1&amp;""'!$D$4:$D$66"")=CW$2),$G$3:$BQ$3,$G167:$BQ167)))"),-0.77218795)</f>
        <v>-0.77218795</v>
      </c>
      <c r="CX167" s="207">
        <f>IFERROR(__xludf.DUMMYFUNCTION("IF(OR(CW167&gt;$BS167+$BT167*$BT$2,CW167&lt;$BS167-$BT167*$BT$2),AVEDEV(ARRAYFORMULA(XLOOKUP(FILTER(INDIRECT(""'""&amp;CW$1&amp;""'!$C$4:$C$66""),INDIRECT(""'""&amp;CW$1&amp;""'!$D$4:$D$66"")=CW$2),$G$3:$BQ$3,$G167:$BQ167))),"""")"),5.302500000000099E-4)</f>
        <v>0.00053025</v>
      </c>
      <c r="CY167" s="251">
        <f>IFERROR(__xludf.DUMMYFUNCTION("AVERAGE(ARRAYFORMULA(XLOOKUP(FILTER(INDIRECT(""'""&amp;CY$1&amp;""'!$C$4:$C$66""),INDIRECT(""'""&amp;CY$1&amp;""'!$D$4:$D$66"")=CY$2),$G$3:$BQ$3,$G167:$BQ167)))"),0.6558153185714285)</f>
        <v>0.6558153186</v>
      </c>
      <c r="CZ167" s="207" t="str">
        <f>IFERROR(__xludf.DUMMYFUNCTION("IF(OR(CY167&gt;$BS167+$BT167*$BT$2,CY167&lt;$BS167-$BT167*$BT$2),AVEDEV(ARRAYFORMULA(XLOOKUP(FILTER(INDIRECT(""'""&amp;CY$1&amp;""'!$C$4:$C$66""),INDIRECT(""'""&amp;CY$1&amp;""'!$D$4:$D$66"")=CY$2),$G$3:$BQ$3,$G167:$BQ167))),"""")"),"")</f>
        <v/>
      </c>
      <c r="DA167" s="252"/>
      <c r="DB167" s="251">
        <f>IFERROR(__xludf.DUMMYFUNCTION("AVERAGE(ARRAYFORMULA(XLOOKUP(FILTER(INDIRECT(""'""&amp;DB$1&amp;""'!$C$4:$C$66""),INDIRECT(""'""&amp;DB$1&amp;""'!$D$4:$D$66"")=DB$2),$G$3:$BQ$3,$G167:$BQ167)))"),0.3363292993333333)</f>
        <v>0.3363292993</v>
      </c>
      <c r="DC167" s="207" t="str">
        <f>IFERROR(__xludf.DUMMYFUNCTION("IF(OR(DB167&gt;$BS167+$BT167*$BT$2,DB167&lt;$BS167-$BT167*$BT$2),AVEDEV(ARRAYFORMULA(XLOOKUP(FILTER(INDIRECT(""'""&amp;DB$1&amp;""'!$C$4:$C$66""),INDIRECT(""'""&amp;DB$1&amp;""'!$D$4:$D$66"")=DB$2),$G$3:$BQ$3,$G167:$BQ167))),"""")"),"")</f>
        <v/>
      </c>
      <c r="DD167" s="251">
        <f>IFERROR(__xludf.DUMMYFUNCTION("AVERAGE(ARRAYFORMULA(XLOOKUP(FILTER(INDIRECT(""'""&amp;DD$1&amp;""'!$C$4:$C$66""),INDIRECT(""'""&amp;DD$1&amp;""'!$D$4:$D$66"")=DD$2),$G$3:$BQ$3,$G167:$BQ167)))"),-0.15735400444444442)</f>
        <v>-0.1573540044</v>
      </c>
      <c r="DE167" s="207" t="str">
        <f>IFERROR(__xludf.DUMMYFUNCTION("IF(OR(DD167&gt;$BS167+$BT167*$BT$2,DD167&lt;$BS167-$BT167*$BT$2),AVEDEV(ARRAYFORMULA(XLOOKUP(FILTER(INDIRECT(""'""&amp;DD$1&amp;""'!$C$4:$C$66""),INDIRECT(""'""&amp;DD$1&amp;""'!$D$4:$D$66"")=DD$2),$G$3:$BQ$3,$G167:$BQ167))),"""")"),"")</f>
        <v/>
      </c>
      <c r="DF167" s="251">
        <f>IFERROR(__xludf.DUMMYFUNCTION("AVERAGE(ARRAYFORMULA(XLOOKUP(FILTER(INDIRECT(""'""&amp;DF$1&amp;""'!$C$4:$C$66""),INDIRECT(""'""&amp;DF$1&amp;""'!$D$4:$D$66"")=DF$2),$G$3:$BQ$3,$G167:$BQ167)))"),-0.08923245125)</f>
        <v>-0.08923245125</v>
      </c>
      <c r="DG167" s="207" t="str">
        <f>IFERROR(__xludf.DUMMYFUNCTION("IF(OR(DF167&gt;$BS167+$BT167*$BT$2,DF167&lt;$BS167-$BT167*$BT$2),AVEDEV(ARRAYFORMULA(XLOOKUP(FILTER(INDIRECT(""'""&amp;DF$1&amp;""'!$C$4:$C$66""),INDIRECT(""'""&amp;DF$1&amp;""'!$D$4:$D$66"")=DF$2),$G$3:$BQ$3,$G167:$BQ167))),"""")"),"")</f>
        <v/>
      </c>
      <c r="DH167" s="251">
        <f>IFERROR(__xludf.DUMMYFUNCTION("AVERAGE(ARRAYFORMULA(XLOOKUP(FILTER(INDIRECT(""'""&amp;DH$1&amp;""'!$C$4:$C$66""),INDIRECT(""'""&amp;DH$1&amp;""'!$D$4:$D$66"")=DH$2),$G$3:$BQ$3,$G167:$BQ167)))"),0.03286126555555555)</f>
        <v>0.03286126556</v>
      </c>
      <c r="DI167" s="207" t="str">
        <f>IFERROR(__xludf.DUMMYFUNCTION("IF(OR(DH167&gt;$BS167+$BT167*$BT$2,DH167&lt;$BS167-$BT167*$BT$2),AVEDEV(ARRAYFORMULA(XLOOKUP(FILTER(INDIRECT(""'""&amp;DH$1&amp;""'!$C$4:$C$66""),INDIRECT(""'""&amp;DH$1&amp;""'!$D$4:$D$66"")=DH$2),$G$3:$BQ$3,$G167:$BQ167))),"""")"),"")</f>
        <v/>
      </c>
      <c r="DJ167" s="243"/>
    </row>
    <row r="168">
      <c r="A168" s="2"/>
      <c r="B168" s="204">
        <v>164.0</v>
      </c>
      <c r="C168" s="204" t="s">
        <v>601</v>
      </c>
      <c r="D168" s="204" t="s">
        <v>611</v>
      </c>
      <c r="E168" s="205" t="b">
        <f>VLOOKUP(D168,'Feature Set List'!A165:C246,2,0)</f>
        <v>1</v>
      </c>
      <c r="F168" s="205" t="b">
        <f>VLOOKUP(D168,'Feature Set List'!A165:C246,3,0)</f>
        <v>1</v>
      </c>
      <c r="G168" s="205">
        <v>1.46094485</v>
      </c>
      <c r="H168" s="205">
        <v>1.20910973</v>
      </c>
      <c r="I168" s="205">
        <v>0.62375306</v>
      </c>
      <c r="J168" s="205">
        <v>0.7762093</v>
      </c>
      <c r="K168" s="205">
        <v>0.16864295</v>
      </c>
      <c r="L168" s="205">
        <v>0.10653115</v>
      </c>
      <c r="M168" s="205">
        <v>-0.5830981</v>
      </c>
      <c r="N168" s="205">
        <v>0.43026539</v>
      </c>
      <c r="O168" s="205">
        <v>0.76792772</v>
      </c>
      <c r="P168" s="205">
        <v>-1.0287973</v>
      </c>
      <c r="Q168" s="205">
        <v>-0.1486919</v>
      </c>
      <c r="R168" s="205">
        <v>-0.9900245</v>
      </c>
      <c r="S168" s="205">
        <v>0.21833239</v>
      </c>
      <c r="T168" s="205">
        <v>-0.1084133</v>
      </c>
      <c r="U168" s="205">
        <v>-0.4490871</v>
      </c>
      <c r="V168" s="205">
        <v>0.5428195</v>
      </c>
      <c r="W168" s="205">
        <v>-0.5383023</v>
      </c>
      <c r="X168" s="205">
        <v>-0.2951252</v>
      </c>
      <c r="Y168" s="205">
        <v>0.15132693</v>
      </c>
      <c r="Z168" s="205">
        <v>-1.0479955</v>
      </c>
      <c r="AA168" s="205">
        <v>-0.2017692</v>
      </c>
      <c r="AB168" s="205">
        <v>2.30378317</v>
      </c>
      <c r="AC168" s="205">
        <v>0.0</v>
      </c>
      <c r="AD168" s="205">
        <v>1.59194429</v>
      </c>
      <c r="AE168" s="205">
        <v>0.47204969</v>
      </c>
      <c r="AF168" s="205">
        <v>0.04479578</v>
      </c>
      <c r="AG168" s="205">
        <v>1.11613025</v>
      </c>
      <c r="AH168" s="205">
        <v>-0.2789385</v>
      </c>
      <c r="AI168" s="205">
        <v>0.04404291</v>
      </c>
      <c r="AJ168" s="205">
        <v>-0.6049313</v>
      </c>
      <c r="AK168" s="205">
        <v>1.23056653</v>
      </c>
      <c r="AL168" s="205">
        <v>2.39149257</v>
      </c>
      <c r="AM168" s="205">
        <v>0.19461698</v>
      </c>
      <c r="AN168" s="205">
        <v>-0.467156</v>
      </c>
      <c r="AO168" s="205">
        <v>-1.1640128</v>
      </c>
      <c r="AP168" s="205">
        <v>0.18068888</v>
      </c>
      <c r="AQ168" s="205">
        <v>-0.2988895</v>
      </c>
      <c r="AR168" s="205">
        <v>-0.3937512</v>
      </c>
      <c r="AS168" s="205">
        <v>-0.2619989</v>
      </c>
      <c r="AT168" s="205">
        <v>2.67381893</v>
      </c>
      <c r="AU168" s="205">
        <v>-1.2109166</v>
      </c>
      <c r="AV168" s="205">
        <v>0.25635234</v>
      </c>
      <c r="AW168" s="205">
        <v>0.12572934</v>
      </c>
      <c r="AX168" s="205">
        <v>-0.1185771</v>
      </c>
      <c r="AY168" s="205">
        <v>-0.6508564</v>
      </c>
      <c r="AZ168" s="205">
        <v>-0.807077</v>
      </c>
      <c r="BA168" s="205">
        <v>-0.7528703</v>
      </c>
      <c r="BB168" s="205">
        <v>-0.9301713</v>
      </c>
      <c r="BC168" s="205">
        <v>-0.3470732</v>
      </c>
      <c r="BD168" s="205">
        <v>-0.5913796</v>
      </c>
      <c r="BE168" s="205">
        <v>0.07114625</v>
      </c>
      <c r="BF168" s="205">
        <v>0.7912667</v>
      </c>
      <c r="BG168" s="205">
        <v>-0.0274798</v>
      </c>
      <c r="BH168" s="205">
        <v>0.83305101</v>
      </c>
      <c r="BI168" s="205">
        <v>0.28232637</v>
      </c>
      <c r="BJ168" s="205">
        <v>-0.1464333</v>
      </c>
      <c r="BK168" s="205">
        <v>-0.2721626</v>
      </c>
      <c r="BL168" s="205">
        <v>-1.1099191</v>
      </c>
      <c r="BM168" s="205">
        <v>-0.4355355</v>
      </c>
      <c r="BN168" s="205">
        <v>-0.0248447</v>
      </c>
      <c r="BO168" s="205">
        <v>1.43722944</v>
      </c>
      <c r="BP168" s="205">
        <v>0.57255788</v>
      </c>
      <c r="BQ168" s="205">
        <v>1.17334839</v>
      </c>
      <c r="BR168" s="206"/>
      <c r="BS168" s="250">
        <f t="shared" si="1"/>
        <v>0.1262939932</v>
      </c>
      <c r="BT168" s="250">
        <f t="shared" si="2"/>
        <v>0.6529178228</v>
      </c>
      <c r="BU168" s="206"/>
      <c r="BV168" s="207">
        <f>IFERROR(__xludf.DUMMYFUNCTION("AVERAGE(ARRAYFORMULA(XLOOKUP(FILTER(INDIRECT(""'""&amp;BV$1&amp;""'!$C$4:$C$66""),INDIRECT(""'""&amp;BV$1&amp;""'!$D$4:$D$66"")=BV$2),$G$3:$BQ$3,$G168:$BQ168)))"),-0.6468608071428571)</f>
        <v>-0.6468608071</v>
      </c>
      <c r="BW168" s="207">
        <f>IFERROR(__xludf.DUMMYFUNCTION("IF(OR(BV168&gt;$BS168+$BT168*$BT$2,BV168&lt;$BS168-$BT168*$BT$2),AVEDEV(ARRAYFORMULA(XLOOKUP(FILTER(INDIRECT(""'""&amp;BV$1&amp;""'!$C$4:$C$66""),INDIRECT(""'""&amp;BV$1&amp;""'!$D$4:$D$66"")=BV$2),$G$3:$BQ$3,$G168:$BQ168))),"""")"),0.36214753469387756)</f>
        <v>0.3621475347</v>
      </c>
      <c r="BX168" s="207">
        <f>IFERROR(__xludf.DUMMYFUNCTION("AVERAGE(ARRAYFORMULA(XLOOKUP(FILTER(INDIRECT(""'""&amp;BX$1&amp;""'!$C$4:$C$66""),INDIRECT(""'""&amp;BX$1&amp;""'!$D$4:$D$66"")=BX$2),$G$3:$BQ$3,$G168:$BQ168)))"),0.3846091773809524)</f>
        <v>0.3846091774</v>
      </c>
      <c r="BY168" s="207" t="str">
        <f>IFERROR(__xludf.DUMMYFUNCTION("IF(OR(BX168&gt;$BS168+$BT168*$BT$2,BX168&lt;$BS168-$BT168*$BT$2),AVEDEV(ARRAYFORMULA(XLOOKUP(FILTER(INDIRECT(""'""&amp;BX$1&amp;""'!$C$4:$C$66""),INDIRECT(""'""&amp;BX$1&amp;""'!$D$4:$D$66"")=BX$2),$G$3:$BQ$3,$G168:$BQ168))),"""")"),"")</f>
        <v/>
      </c>
      <c r="BZ168" s="207">
        <f>IFERROR(__xludf.DUMMYFUNCTION("AVERAGE(ARRAYFORMULA(XLOOKUP(FILTER(INDIRECT(""'""&amp;BZ$1&amp;""'!$C$4:$C$66""),INDIRECT(""'""&amp;BZ$1&amp;""'!$D$4:$D$66"")=BZ$2),$G$3:$BQ$3,$G168:$BQ168)))"),-0.2264086445454545)</f>
        <v>-0.2264086445</v>
      </c>
      <c r="CA168" s="207" t="str">
        <f>IFERROR(__xludf.DUMMYFUNCTION("IF(OR(BZ168&gt;$BS168+$BT168*$BT$2,BZ168&lt;$BS168-$BT168*$BT$2),AVEDEV(ARRAYFORMULA(XLOOKUP(FILTER(INDIRECT(""'""&amp;BZ$1&amp;""'!$C$4:$C$66""),INDIRECT(""'""&amp;BZ$1&amp;""'!$D$4:$D$66"")=BZ$2),$G$3:$BQ$3,$G168:$BQ168))),"""")"),"")</f>
        <v/>
      </c>
      <c r="CB168" s="209"/>
      <c r="CC168" s="207">
        <f>IFERROR(__xludf.DUMMYFUNCTION("AVERAGE(ARRAYFORMULA(XLOOKUP(FILTER(INDIRECT(""'""&amp;CC$1&amp;""'!$C$4:$C$66""),INDIRECT(""'""&amp;CC$1&amp;""'!$D$4:$D$66"")=CC$2),$G$3:$BQ$3,$G168:$BQ168)))"),0.5051995125000001)</f>
        <v>0.5051995125</v>
      </c>
      <c r="CD168" s="207" t="str">
        <f>IFERROR(__xludf.DUMMYFUNCTION("IF(OR(CC168&gt;$BS168+$BT168*$BT$2,CC168&lt;$BS168-$BT168*$BT$2),AVEDEV(ARRAYFORMULA(XLOOKUP(FILTER(INDIRECT(""'""&amp;CC$1&amp;""'!$C$4:$C$66""),INDIRECT(""'""&amp;CC$1&amp;""'!$D$4:$D$66"")=CC$2),$G$3:$BQ$3,$G168:$BQ168))),"""")"),"")</f>
        <v/>
      </c>
      <c r="CE168" s="207">
        <f>IFERROR(__xludf.DUMMYFUNCTION("AVERAGE(ARRAYFORMULA(XLOOKUP(FILTER(INDIRECT(""'""&amp;CE$1&amp;""'!$C$4:$C$66""),INDIRECT(""'""&amp;CE$1&amp;""'!$D$4:$D$66"")=CE$2),$G$3:$BQ$3,$G168:$BQ168)))"),0.12419931354838708)</f>
        <v>0.1241993135</v>
      </c>
      <c r="CF168" s="207" t="str">
        <f>IFERROR(__xludf.DUMMYFUNCTION("IF(OR(CE168&gt;$BS168+$BT168*$BT$2,CE168&lt;$BS168-$BT168*$BT$2),AVEDEV(ARRAYFORMULA(XLOOKUP(FILTER(INDIRECT(""'""&amp;CE$1&amp;""'!$C$4:$C$66""),INDIRECT(""'""&amp;CE$1&amp;""'!$D$4:$D$66"")=CE$2),$G$3:$BQ$3,$G168:$BQ168))),"""")"),"")</f>
        <v/>
      </c>
      <c r="CG168" s="207">
        <f>IFERROR(__xludf.DUMMYFUNCTION("AVERAGE(ARRAYFORMULA(XLOOKUP(FILTER(INDIRECT(""'""&amp;CG$1&amp;""'!$C$4:$C$66""),INDIRECT(""'""&amp;CG$1&amp;""'!$D$4:$D$66"")=CG$2),$G$3:$BQ$3,$G168:$BQ168)))"),-0.43591192)</f>
        <v>-0.43591192</v>
      </c>
      <c r="CH168" s="207" t="str">
        <f>IFERROR(__xludf.DUMMYFUNCTION("IF(OR(CG168&gt;$BS168+$BT168*$BT$2,CG168&lt;$BS168-$BT168*$BT$2),AVEDEV(ARRAYFORMULA(XLOOKUP(FILTER(INDIRECT(""'""&amp;CG$1&amp;""'!$C$4:$C$66""),INDIRECT(""'""&amp;CG$1&amp;""'!$D$4:$D$66"")=CG$2),$G$3:$BQ$3,$G168:$BQ168))),"""")"),"")</f>
        <v/>
      </c>
      <c r="CI168" s="206"/>
      <c r="CJ168" s="251">
        <f>IFERROR(__xludf.DUMMYFUNCTION("AVERAGE(ARRAYFORMULA(XLOOKUP(FILTER(INDIRECT(""'""&amp;CJ$1&amp;""'!$C$4:$C$66""),INDIRECT(""'""&amp;CJ$1&amp;""'!$D$4:$D$66"")=CJ$2),$G$3:$BQ$3,$G168:$BQ168)))"),0.42732918999999997)</f>
        <v>0.42732919</v>
      </c>
      <c r="CK168" s="207" t="str">
        <f>IFERROR(__xludf.DUMMYFUNCTION("IF(OR(CJ168&gt;$BS168+$BT168*$BT$2,CJ168&lt;$BS168-$BT168*$BT$2),AVEDEV(ARRAYFORMULA(XLOOKUP(FILTER(INDIRECT(""'""&amp;CJ$1&amp;""'!$C$4:$C$66""),INDIRECT(""'""&amp;CJ$1&amp;""'!$D$4:$D$66"")=CJ$2),$G$3:$BQ$3,$G168:$BQ168))),"""")"),"")</f>
        <v/>
      </c>
      <c r="CL168" s="251">
        <f>IFERROR(__xludf.DUMMYFUNCTION("AVERAGE(ARRAYFORMULA(XLOOKUP(FILTER(INDIRECT(""'""&amp;CL$1&amp;""'!$C$4:$C$66""),INDIRECT(""'""&amp;CL$1&amp;""'!$D$4:$D$66"")=CL$2),$G$3:$BQ$3,$G168:$BQ168)))"),0.1542206553846154)</f>
        <v>0.1542206554</v>
      </c>
      <c r="CM168" s="207" t="str">
        <f>IFERROR(__xludf.DUMMYFUNCTION("IF(OR(CL168&gt;$BS168+$BT168*$BT$2,CL168&lt;$BS168-$BT168*$BT$2),AVEDEV(ARRAYFORMULA(XLOOKUP(FILTER(INDIRECT(""'""&amp;CL$1&amp;""'!$C$4:$C$66""),INDIRECT(""'""&amp;CL$1&amp;""'!$D$4:$D$66"")=CL$2),$G$3:$BQ$3,$G168:$BQ168))),"""")"),"")</f>
        <v/>
      </c>
      <c r="CN168" s="251">
        <f>IFERROR(__xludf.DUMMYFUNCTION("AVERAGE(ARRAYFORMULA(XLOOKUP(FILTER(INDIRECT(""'""&amp;CN$1&amp;""'!$C$4:$C$66""),INDIRECT(""'""&amp;CN$1&amp;""'!$D$4:$D$66"")=CN$2),$G$3:$BQ$3,$G168:$BQ168)))"),-0.43591192)</f>
        <v>-0.43591192</v>
      </c>
      <c r="CO168" s="207" t="str">
        <f>IFERROR(__xludf.DUMMYFUNCTION("IF(OR(CN168&gt;$BS168+$BT168*$BT$2,CN168&lt;$BS168-$BT168*$BT$2),AVEDEV(ARRAYFORMULA(XLOOKUP(FILTER(INDIRECT(""'""&amp;CN$1&amp;""'!$C$4:$C$66""),INDIRECT(""'""&amp;CN$1&amp;""'!$D$4:$D$66"")=CN$2),$G$3:$BQ$3,$G168:$BQ168))),"""")"),"")</f>
        <v/>
      </c>
      <c r="CP168" s="252"/>
      <c r="CQ168" s="251">
        <f>IFERROR(__xludf.DUMMYFUNCTION("AVERAGE(ARRAYFORMULA(XLOOKUP(FILTER(INDIRECT(""'""&amp;CQ$1&amp;""'!$C$4:$C$66""),INDIRECT(""'""&amp;CQ$1&amp;""'!$D$4:$D$66"")=CQ$2),$G$3:$BQ$3,$G168:$BQ168)))"),0.6242370492857143)</f>
        <v>0.6242370493</v>
      </c>
      <c r="CR168" s="207" t="str">
        <f>IFERROR(__xludf.DUMMYFUNCTION("IF(OR(CQ168&gt;$BS168+$BT168*$BT$2,CQ168&lt;$BS168-$BT168*$BT$2),AVEDEV(ARRAYFORMULA(XLOOKUP(FILTER(INDIRECT(""'""&amp;CQ$1&amp;""'!$C$4:$C$66""),INDIRECT(""'""&amp;CQ$1&amp;""'!$D$4:$D$66"")=CQ$2),$G$3:$BQ$3,$G168:$BQ168))),"""")"),"")</f>
        <v/>
      </c>
      <c r="CS168" s="251">
        <f>IFERROR(__xludf.DUMMYFUNCTION("AVERAGE(ARRAYFORMULA(XLOOKUP(FILTER(INDIRECT(""'""&amp;CS$1&amp;""'!$C$4:$C$66""),INDIRECT(""'""&amp;CS$1&amp;""'!$D$4:$D$66"")=CS$2),$G$3:$BQ$3,$G168:$BQ168)))"),-0.13865362111111112)</f>
        <v>-0.1386536211</v>
      </c>
      <c r="CT168" s="207" t="str">
        <f>IFERROR(__xludf.DUMMYFUNCTION("IF(OR(CS168&gt;$BS168+$BT168*$BT$2,CS168&lt;$BS168-$BT168*$BT$2),AVEDEV(ARRAYFORMULA(XLOOKUP(FILTER(INDIRECT(""'""&amp;CS$1&amp;""'!$C$4:$C$66""),INDIRECT(""'""&amp;CS$1&amp;""'!$D$4:$D$66"")=CS$2),$G$3:$BQ$3,$G168:$BQ168))),"""")"),"")</f>
        <v/>
      </c>
      <c r="CU168" s="251">
        <f>IFERROR(__xludf.DUMMYFUNCTION("AVERAGE(ARRAYFORMULA(XLOOKUP(FILTER(INDIRECT(""'""&amp;CU$1&amp;""'!$C$4:$C$66""),INDIRECT(""'""&amp;CU$1&amp;""'!$D$4:$D$66"")=CU$2),$G$3:$BQ$3,$G168:$BQ168)))"),0.5244426136363637)</f>
        <v>0.5244426136</v>
      </c>
      <c r="CV168" s="207" t="str">
        <f>IFERROR(__xludf.DUMMYFUNCTION("IF(OR(CU168&gt;$BS168+$BT168*$BT$2,CU168&lt;$BS168-$BT168*$BT$2),AVEDEV(ARRAYFORMULA(XLOOKUP(FILTER(INDIRECT(""'""&amp;CU$1&amp;""'!$C$4:$C$66""),INDIRECT(""'""&amp;CU$1&amp;""'!$D$4:$D$66"")=CU$2),$G$3:$BQ$3,$G168:$BQ168))),"""")"),"")</f>
        <v/>
      </c>
      <c r="CW168" s="251">
        <f>IFERROR(__xludf.DUMMYFUNCTION("AVERAGE(ARRAYFORMULA(XLOOKUP(FILTER(INDIRECT(""'""&amp;CW$1&amp;""'!$C$4:$C$66""),INDIRECT(""'""&amp;CW$1&amp;""'!$D$4:$D$66"")=CW$2),$G$3:$BQ$3,$G168:$BQ168)))"),1.21249765)</f>
        <v>1.21249765</v>
      </c>
      <c r="CX168" s="207">
        <f>IFERROR(__xludf.DUMMYFUNCTION("IF(OR(CW168&gt;$BS168+$BT168*$BT$2,CW168&lt;$BS168-$BT168*$BT$2),AVEDEV(ARRAYFORMULA(XLOOKUP(FILTER(INDIRECT(""'""&amp;CW$1&amp;""'!$C$4:$C$66""),INDIRECT(""'""&amp;CW$1&amp;""'!$D$4:$D$66"")=CW$2),$G$3:$BQ$3,$G168:$BQ168))),"""")"),0.37944664)</f>
        <v>0.37944664</v>
      </c>
      <c r="CY168" s="251">
        <f>IFERROR(__xludf.DUMMYFUNCTION("AVERAGE(ARRAYFORMULA(XLOOKUP(FILTER(INDIRECT(""'""&amp;CY$1&amp;""'!$C$4:$C$66""),INDIRECT(""'""&amp;CY$1&amp;""'!$D$4:$D$66"")=CY$2),$G$3:$BQ$3,$G168:$BQ168)))"),-0.10666559571428572)</f>
        <v>-0.1066655957</v>
      </c>
      <c r="CZ168" s="207" t="str">
        <f>IFERROR(__xludf.DUMMYFUNCTION("IF(OR(CY168&gt;$BS168+$BT168*$BT$2,CY168&lt;$BS168-$BT168*$BT$2),AVEDEV(ARRAYFORMULA(XLOOKUP(FILTER(INDIRECT(""'""&amp;CY$1&amp;""'!$C$4:$C$66""),INDIRECT(""'""&amp;CY$1&amp;""'!$D$4:$D$66"")=CY$2),$G$3:$BQ$3,$G168:$BQ168))),"""")"),"")</f>
        <v/>
      </c>
      <c r="DA168" s="252"/>
      <c r="DB168" s="251">
        <f>IFERROR(__xludf.DUMMYFUNCTION("AVERAGE(ARRAYFORMULA(XLOOKUP(FILTER(INDIRECT(""'""&amp;DB$1&amp;""'!$C$4:$C$66""),INDIRECT(""'""&amp;DB$1&amp;""'!$D$4:$D$66"")=DB$2),$G$3:$BQ$3,$G168:$BQ168)))"),0.4115565563333333)</f>
        <v>0.4115565563</v>
      </c>
      <c r="DC168" s="207" t="str">
        <f>IFERROR(__xludf.DUMMYFUNCTION("IF(OR(DB168&gt;$BS168+$BT168*$BT$2,DB168&lt;$BS168-$BT168*$BT$2),AVEDEV(ARRAYFORMULA(XLOOKUP(FILTER(INDIRECT(""'""&amp;DB$1&amp;""'!$C$4:$C$66""),INDIRECT(""'""&amp;DB$1&amp;""'!$D$4:$D$66"")=DB$2),$G$3:$BQ$3,$G168:$BQ168))),"""")"),"")</f>
        <v/>
      </c>
      <c r="DD168" s="251">
        <f>IFERROR(__xludf.DUMMYFUNCTION("AVERAGE(ARRAYFORMULA(XLOOKUP(FILTER(INDIRECT(""'""&amp;DD$1&amp;""'!$C$4:$C$66""),INDIRECT(""'""&amp;DD$1&amp;""'!$D$4:$D$66"")=DD$2),$G$3:$BQ$3,$G168:$BQ168)))"),-0.18035427333333337)</f>
        <v>-0.1803542733</v>
      </c>
      <c r="DE168" s="207" t="str">
        <f>IFERROR(__xludf.DUMMYFUNCTION("IF(OR(DD168&gt;$BS168+$BT168*$BT$2,DD168&lt;$BS168-$BT168*$BT$2),AVEDEV(ARRAYFORMULA(XLOOKUP(FILTER(INDIRECT(""'""&amp;DD$1&amp;""'!$C$4:$C$66""),INDIRECT(""'""&amp;DD$1&amp;""'!$D$4:$D$66"")=DD$2),$G$3:$BQ$3,$G168:$BQ168))),"""")"),"")</f>
        <v/>
      </c>
      <c r="DF168" s="251">
        <f>IFERROR(__xludf.DUMMYFUNCTION("AVERAGE(ARRAYFORMULA(XLOOKUP(FILTER(INDIRECT(""'""&amp;DF$1&amp;""'!$C$4:$C$66""),INDIRECT(""'""&amp;DF$1&amp;""'!$D$4:$D$66"")=DF$2),$G$3:$BQ$3,$G168:$BQ168)))"),-0.33968567375000003)</f>
        <v>-0.3396856738</v>
      </c>
      <c r="DG168" s="207" t="str">
        <f>IFERROR(__xludf.DUMMYFUNCTION("IF(OR(DF168&gt;$BS168+$BT168*$BT$2,DF168&lt;$BS168-$BT168*$BT$2),AVEDEV(ARRAYFORMULA(XLOOKUP(FILTER(INDIRECT(""'""&amp;DF$1&amp;""'!$C$4:$C$66""),INDIRECT(""'""&amp;DF$1&amp;""'!$D$4:$D$66"")=DF$2),$G$3:$BQ$3,$G168:$BQ168))),"""")"),"")</f>
        <v/>
      </c>
      <c r="DH168" s="251">
        <f>IFERROR(__xludf.DUMMYFUNCTION("AVERAGE(ARRAYFORMULA(XLOOKUP(FILTER(INDIRECT(""'""&amp;DH$1&amp;""'!$C$4:$C$66""),INDIRECT(""'""&amp;DH$1&amp;""'!$D$4:$D$66"")=DH$2),$G$3:$BQ$3,$G168:$BQ168)))"),0.45465001888888895)</f>
        <v>0.4546500189</v>
      </c>
      <c r="DI168" s="207" t="str">
        <f>IFERROR(__xludf.DUMMYFUNCTION("IF(OR(DH168&gt;$BS168+$BT168*$BT$2,DH168&lt;$BS168-$BT168*$BT$2),AVEDEV(ARRAYFORMULA(XLOOKUP(FILTER(INDIRECT(""'""&amp;DH$1&amp;""'!$C$4:$C$66""),INDIRECT(""'""&amp;DH$1&amp;""'!$D$4:$D$66"")=DH$2),$G$3:$BQ$3,$G168:$BQ168))),"""")"),"")</f>
        <v/>
      </c>
      <c r="DJ168" s="243"/>
    </row>
    <row r="169">
      <c r="A169" s="2"/>
      <c r="B169" s="204">
        <v>165.0</v>
      </c>
      <c r="C169" s="204" t="s">
        <v>601</v>
      </c>
      <c r="D169" s="204" t="s">
        <v>612</v>
      </c>
      <c r="E169" s="205" t="b">
        <f>VLOOKUP(D169,'Feature Set List'!A166:C246,2,0)</f>
        <v>1</v>
      </c>
      <c r="F169" s="205" t="b">
        <f>VLOOKUP(D169,'Feature Set List'!A166:C246,3,0)</f>
        <v>0</v>
      </c>
      <c r="G169" s="205">
        <v>-0.2523059</v>
      </c>
      <c r="H169" s="205">
        <v>-0.1205147</v>
      </c>
      <c r="I169" s="205">
        <v>-0.0201243</v>
      </c>
      <c r="J169" s="205">
        <v>2.18557178</v>
      </c>
      <c r="K169" s="205">
        <v>0.04013301</v>
      </c>
      <c r="L169" s="205">
        <v>-0.0803238</v>
      </c>
      <c r="M169" s="205">
        <v>0.0</v>
      </c>
      <c r="N169" s="205">
        <v>0.13768975</v>
      </c>
      <c r="O169" s="205">
        <v>1.63215267</v>
      </c>
      <c r="P169" s="205">
        <v>0.13913546</v>
      </c>
      <c r="Q169" s="205">
        <v>-0.0925257</v>
      </c>
      <c r="R169" s="205">
        <v>-0.1205147</v>
      </c>
      <c r="S169" s="205">
        <v>0.15272517</v>
      </c>
      <c r="T169" s="205">
        <v>0.16712448</v>
      </c>
      <c r="U169" s="205">
        <v>0.91450051</v>
      </c>
      <c r="V169" s="205">
        <v>-0.1330635</v>
      </c>
      <c r="W169" s="205">
        <v>-0.0389186</v>
      </c>
      <c r="X169" s="205">
        <v>1.18455978</v>
      </c>
      <c r="Y169" s="205">
        <v>-0.1570045</v>
      </c>
      <c r="Z169" s="205">
        <v>-0.2231025</v>
      </c>
      <c r="AA169" s="205">
        <v>-0.3212954</v>
      </c>
      <c r="AB169" s="205">
        <v>0.34199798</v>
      </c>
      <c r="AC169" s="205">
        <v>-0.3212954</v>
      </c>
      <c r="AD169" s="205">
        <v>-0.1599537</v>
      </c>
      <c r="AE169" s="205">
        <v>-0.0737314</v>
      </c>
      <c r="AF169" s="205">
        <v>0.11947376</v>
      </c>
      <c r="AG169" s="205">
        <v>-0.1655053</v>
      </c>
      <c r="AH169" s="205">
        <v>0.19754229</v>
      </c>
      <c r="AI169" s="205">
        <v>0.09177389</v>
      </c>
      <c r="AJ169" s="205">
        <v>0.82602284</v>
      </c>
      <c r="AK169" s="205">
        <v>1.08682955</v>
      </c>
      <c r="AL169" s="205">
        <v>-0.2285962</v>
      </c>
      <c r="AM169" s="205">
        <v>-0.3212954</v>
      </c>
      <c r="AN169" s="205">
        <v>-0.1441087</v>
      </c>
      <c r="AO169" s="205">
        <v>3.99444846</v>
      </c>
      <c r="AP169" s="205">
        <v>1.93748735</v>
      </c>
      <c r="AQ169" s="205">
        <v>-0.1864392</v>
      </c>
      <c r="AR169" s="205">
        <v>3.35891282</v>
      </c>
      <c r="AS169" s="205">
        <v>0.58198641</v>
      </c>
      <c r="AT169" s="205">
        <v>1.35978025</v>
      </c>
      <c r="AU169" s="205">
        <v>6.38681509</v>
      </c>
      <c r="AV169" s="205">
        <v>0.94688449</v>
      </c>
      <c r="AW169" s="205">
        <v>-0.2517855</v>
      </c>
      <c r="AX169" s="205">
        <v>-0.1009108</v>
      </c>
      <c r="AY169" s="205">
        <v>3.50174931</v>
      </c>
      <c r="AZ169" s="205">
        <v>-0.0150354</v>
      </c>
      <c r="BA169" s="205">
        <v>0.0072864</v>
      </c>
      <c r="BB169" s="205">
        <v>0.87286396</v>
      </c>
      <c r="BC169" s="205">
        <v>2.00514674</v>
      </c>
      <c r="BD169" s="205">
        <v>-0.0803238</v>
      </c>
      <c r="BE169" s="205">
        <v>1.93748735</v>
      </c>
      <c r="BF169" s="205">
        <v>-0.1248518</v>
      </c>
      <c r="BG169" s="205">
        <v>0.10894897</v>
      </c>
      <c r="BH169" s="205">
        <v>-0.1599537</v>
      </c>
      <c r="BI169" s="205">
        <v>0.64270638</v>
      </c>
      <c r="BJ169" s="205">
        <v>-0.0042793</v>
      </c>
      <c r="BK169" s="205">
        <v>0.05915859</v>
      </c>
      <c r="BL169" s="205">
        <v>-0.3212954</v>
      </c>
      <c r="BM169" s="205">
        <v>-0.3212954</v>
      </c>
      <c r="BN169" s="205">
        <v>1.18455978</v>
      </c>
      <c r="BO169" s="205">
        <v>-0.3212954</v>
      </c>
      <c r="BP169" s="205">
        <v>-0.1135752</v>
      </c>
      <c r="BQ169" s="205">
        <v>-0.1795576</v>
      </c>
      <c r="BR169" s="206"/>
      <c r="BS169" s="250">
        <f t="shared" si="1"/>
        <v>0.5229948741</v>
      </c>
      <c r="BT169" s="250">
        <f t="shared" si="2"/>
        <v>0.8445575527</v>
      </c>
      <c r="BU169" s="206"/>
      <c r="BV169" s="207">
        <f>IFERROR(__xludf.DUMMYFUNCTION("AVERAGE(ARRAYFORMULA(XLOOKUP(FILTER(INDIRECT(""'""&amp;BV$1&amp;""'!$C$4:$C$66""),INDIRECT(""'""&amp;BV$1&amp;""'!$D$4:$D$66"")=BV$2),$G$3:$BQ$3,$G169:$BQ169)))"),1.7263305671428573)</f>
        <v>1.726330567</v>
      </c>
      <c r="BW169" s="207">
        <f>IFERROR(__xludf.DUMMYFUNCTION("IF(OR(BV169&gt;$BS169+$BT169*$BT$2,BV169&lt;$BS169-$BT169*$BT$2),AVEDEV(ARRAYFORMULA(XLOOKUP(FILTER(INDIRECT(""'""&amp;BV$1&amp;""'!$C$4:$C$66""),INDIRECT(""'""&amp;BV$1&amp;""'!$D$4:$D$66"")=BV$2),$G$3:$BQ$3,$G169:$BQ169))),"""")"),1.215626691020408)</f>
        <v>1.215626691</v>
      </c>
      <c r="BX169" s="207">
        <f>IFERROR(__xludf.DUMMYFUNCTION("AVERAGE(ARRAYFORMULA(XLOOKUP(FILTER(INDIRECT(""'""&amp;BX$1&amp;""'!$C$4:$C$66""),INDIRECT(""'""&amp;BX$1&amp;""'!$D$4:$D$66"")=BX$2),$G$3:$BQ$3,$G169:$BQ169)))"),0.3573776097619048)</f>
        <v>0.3573776098</v>
      </c>
      <c r="BY169" s="207" t="str">
        <f>IFERROR(__xludf.DUMMYFUNCTION("IF(OR(BX169&gt;$BS169+$BT169*$BT$2,BX169&lt;$BS169-$BT169*$BT$2),AVEDEV(ARRAYFORMULA(XLOOKUP(FILTER(INDIRECT(""'""&amp;BX$1&amp;""'!$C$4:$C$66""),INDIRECT(""'""&amp;BX$1&amp;""'!$D$4:$D$66"")=BX$2),$G$3:$BQ$3,$G169:$BQ169))),"""")"),"")</f>
        <v/>
      </c>
      <c r="BZ169" s="207">
        <f>IFERROR(__xludf.DUMMYFUNCTION("AVERAGE(ARRAYFORMULA(XLOOKUP(FILTER(INDIRECT(""'""&amp;BZ$1&amp;""'!$C$4:$C$66""),INDIRECT(""'""&amp;BZ$1&amp;""'!$D$4:$D$66"")=BZ$2),$G$3:$BQ$3,$G169:$BQ169)))"),-0.03926031818181819)</f>
        <v>-0.03926031818</v>
      </c>
      <c r="CA169" s="207" t="str">
        <f>IFERROR(__xludf.DUMMYFUNCTION("IF(OR(BZ169&gt;$BS169+$BT169*$BT$2,BZ169&lt;$BS169-$BT169*$BT$2),AVEDEV(ARRAYFORMULA(XLOOKUP(FILTER(INDIRECT(""'""&amp;BZ$1&amp;""'!$C$4:$C$66""),INDIRECT(""'""&amp;BZ$1&amp;""'!$D$4:$D$66"")=BZ$2),$G$3:$BQ$3,$G169:$BQ169))),"""")"),"")</f>
        <v/>
      </c>
      <c r="CB169" s="209"/>
      <c r="CC169" s="207">
        <f>IFERROR(__xludf.DUMMYFUNCTION("AVERAGE(ARRAYFORMULA(XLOOKUP(FILTER(INDIRECT(""'""&amp;CC$1&amp;""'!$C$4:$C$66""),INDIRECT(""'""&amp;CC$1&amp;""'!$D$4:$D$66"")=CC$2),$G$3:$BQ$3,$G169:$BQ169)))"),0.47317116562499995)</f>
        <v>0.4731711656</v>
      </c>
      <c r="CD169" s="207" t="str">
        <f>IFERROR(__xludf.DUMMYFUNCTION("IF(OR(CC169&gt;$BS169+$BT169*$BT$2,CC169&lt;$BS169-$BT169*$BT$2),AVEDEV(ARRAYFORMULA(XLOOKUP(FILTER(INDIRECT(""'""&amp;CC$1&amp;""'!$C$4:$C$66""),INDIRECT(""'""&amp;CC$1&amp;""'!$D$4:$D$66"")=CC$2),$G$3:$BQ$3,$G169:$BQ169))),"""")"),"")</f>
        <v/>
      </c>
      <c r="CE169" s="207">
        <f>IFERROR(__xludf.DUMMYFUNCTION("AVERAGE(ARRAYFORMULA(XLOOKUP(FILTER(INDIRECT(""'""&amp;CE$1&amp;""'!$C$4:$C$66""),INDIRECT(""'""&amp;CE$1&amp;""'!$D$4:$D$66"")=CE$2),$G$3:$BQ$3,$G169:$BQ169)))"),0.35052488870967735)</f>
        <v>0.3505248887</v>
      </c>
      <c r="CF169" s="207" t="str">
        <f>IFERROR(__xludf.DUMMYFUNCTION("IF(OR(CE169&gt;$BS169+$BT169*$BT$2,CE169&lt;$BS169-$BT169*$BT$2),AVEDEV(ARRAYFORMULA(XLOOKUP(FILTER(INDIRECT(""'""&amp;CE$1&amp;""'!$C$4:$C$66""),INDIRECT(""'""&amp;CE$1&amp;""'!$D$4:$D$66"")=CE$2),$G$3:$BQ$3,$G169:$BQ169))),"""")"),"")</f>
        <v/>
      </c>
      <c r="CG169" s="207">
        <f>IFERROR(__xludf.DUMMYFUNCTION("AVERAGE(ARRAYFORMULA(XLOOKUP(FILTER(INDIRECT(""'""&amp;CG$1&amp;""'!$C$4:$C$66""),INDIRECT(""'""&amp;CG$1&amp;""'!$D$4:$D$66"")=CG$2),$G$3:$BQ$3,$G169:$BQ169)))"),0.200896344)</f>
        <v>0.200896344</v>
      </c>
      <c r="CH169" s="207" t="str">
        <f>IFERROR(__xludf.DUMMYFUNCTION("IF(OR(CG169&gt;$BS169+$BT169*$BT$2,CG169&lt;$BS169-$BT169*$BT$2),AVEDEV(ARRAYFORMULA(XLOOKUP(FILTER(INDIRECT(""'""&amp;CG$1&amp;""'!$C$4:$C$66""),INDIRECT(""'""&amp;CG$1&amp;""'!$D$4:$D$66"")=CG$2),$G$3:$BQ$3,$G169:$BQ169))),"""")"),"")</f>
        <v/>
      </c>
      <c r="CI169" s="206"/>
      <c r="CJ169" s="251">
        <f>IFERROR(__xludf.DUMMYFUNCTION("AVERAGE(ARRAYFORMULA(XLOOKUP(FILTER(INDIRECT(""'""&amp;CJ$1&amp;""'!$C$4:$C$66""),INDIRECT(""'""&amp;CJ$1&amp;""'!$D$4:$D$66"")=CJ$2),$G$3:$BQ$3,$G169:$BQ169)))"),0.3452132313333333)</f>
        <v>0.3452132313</v>
      </c>
      <c r="CK169" s="207" t="str">
        <f>IFERROR(__xludf.DUMMYFUNCTION("IF(OR(CJ169&gt;$BS169+$BT169*$BT$2,CJ169&lt;$BS169-$BT169*$BT$2),AVEDEV(ARRAYFORMULA(XLOOKUP(FILTER(INDIRECT(""'""&amp;CJ$1&amp;""'!$C$4:$C$66""),INDIRECT(""'""&amp;CJ$1&amp;""'!$D$4:$D$66"")=CJ$2),$G$3:$BQ$3,$G169:$BQ169))),"""")"),"")</f>
        <v/>
      </c>
      <c r="CL169" s="251">
        <f>IFERROR(__xludf.DUMMYFUNCTION("AVERAGE(ARRAYFORMULA(XLOOKUP(FILTER(INDIRECT(""'""&amp;CL$1&amp;""'!$C$4:$C$66""),INDIRECT(""'""&amp;CL$1&amp;""'!$D$4:$D$66"")=CL$2),$G$3:$BQ$3,$G169:$BQ169)))"),0.5333570587179489)</f>
        <v>0.5333570587</v>
      </c>
      <c r="CM169" s="207" t="str">
        <f>IFERROR(__xludf.DUMMYFUNCTION("IF(OR(CL169&gt;$BS169+$BT169*$BT$2,CL169&lt;$BS169-$BT169*$BT$2),AVEDEV(ARRAYFORMULA(XLOOKUP(FILTER(INDIRECT(""'""&amp;CL$1&amp;""'!$C$4:$C$66""),INDIRECT(""'""&amp;CL$1&amp;""'!$D$4:$D$66"")=CL$2),$G$3:$BQ$3,$G169:$BQ169))),"""")"),"")</f>
        <v/>
      </c>
      <c r="CN169" s="251">
        <f>IFERROR(__xludf.DUMMYFUNCTION("AVERAGE(ARRAYFORMULA(XLOOKUP(FILTER(INDIRECT(""'""&amp;CN$1&amp;""'!$C$4:$C$66""),INDIRECT(""'""&amp;CN$1&amp;""'!$D$4:$D$66"")=CN$2),$G$3:$BQ$3,$G169:$BQ169)))"),0.200896344)</f>
        <v>0.200896344</v>
      </c>
      <c r="CO169" s="207" t="str">
        <f>IFERROR(__xludf.DUMMYFUNCTION("IF(OR(CN169&gt;$BS169+$BT169*$BT$2,CN169&lt;$BS169-$BT169*$BT$2),AVEDEV(ARRAYFORMULA(XLOOKUP(FILTER(INDIRECT(""'""&amp;CN$1&amp;""'!$C$4:$C$66""),INDIRECT(""'""&amp;CN$1&amp;""'!$D$4:$D$66"")=CN$2),$G$3:$BQ$3,$G169:$BQ169))),"""")"),"")</f>
        <v/>
      </c>
      <c r="CP169" s="252"/>
      <c r="CQ169" s="251">
        <f>IFERROR(__xludf.DUMMYFUNCTION("AVERAGE(ARRAYFORMULA(XLOOKUP(FILTER(INDIRECT(""'""&amp;CQ$1&amp;""'!$C$4:$C$66""),INDIRECT(""'""&amp;CQ$1&amp;""'!$D$4:$D$66"")=CQ$2),$G$3:$BQ$3,$G169:$BQ169)))"),0.301001665)</f>
        <v>0.301001665</v>
      </c>
      <c r="CR169" s="207" t="str">
        <f>IFERROR(__xludf.DUMMYFUNCTION("IF(OR(CQ169&gt;$BS169+$BT169*$BT$2,CQ169&lt;$BS169-$BT169*$BT$2),AVEDEV(ARRAYFORMULA(XLOOKUP(FILTER(INDIRECT(""'""&amp;CQ$1&amp;""'!$C$4:$C$66""),INDIRECT(""'""&amp;CQ$1&amp;""'!$D$4:$D$66"")=CQ$2),$G$3:$BQ$3,$G169:$BQ169))),"""")"),"")</f>
        <v/>
      </c>
      <c r="CS169" s="251">
        <f>IFERROR(__xludf.DUMMYFUNCTION("AVERAGE(ARRAYFORMULA(XLOOKUP(FILTER(INDIRECT(""'""&amp;CS$1&amp;""'!$C$4:$C$66""),INDIRECT(""'""&amp;CS$1&amp;""'!$D$4:$D$66"")=CS$2),$G$3:$BQ$3,$G169:$BQ169)))"),-0.01061474444444445)</f>
        <v>-0.01061474444</v>
      </c>
      <c r="CT169" s="207" t="str">
        <f>IFERROR(__xludf.DUMMYFUNCTION("IF(OR(CS169&gt;$BS169+$BT169*$BT$2,CS169&lt;$BS169-$BT169*$BT$2),AVEDEV(ARRAYFORMULA(XLOOKUP(FILTER(INDIRECT(""'""&amp;CS$1&amp;""'!$C$4:$C$66""),INDIRECT(""'""&amp;CS$1&amp;""'!$D$4:$D$66"")=CS$2),$G$3:$BQ$3,$G169:$BQ169))),"""")"),"")</f>
        <v/>
      </c>
      <c r="CU169" s="251">
        <f>IFERROR(__xludf.DUMMYFUNCTION("AVERAGE(ARRAYFORMULA(XLOOKUP(FILTER(INDIRECT(""'""&amp;CU$1&amp;""'!$C$4:$C$66""),INDIRECT(""'""&amp;CU$1&amp;""'!$D$4:$D$66"")=CU$2),$G$3:$BQ$3,$G169:$BQ169)))"),0.16433292272727276)</f>
        <v>0.1643329227</v>
      </c>
      <c r="CV169" s="207" t="str">
        <f>IFERROR(__xludf.DUMMYFUNCTION("IF(OR(CU169&gt;$BS169+$BT169*$BT$2,CU169&lt;$BS169-$BT169*$BT$2),AVEDEV(ARRAYFORMULA(XLOOKUP(FILTER(INDIRECT(""'""&amp;CU$1&amp;""'!$C$4:$C$66""),INDIRECT(""'""&amp;CU$1&amp;""'!$D$4:$D$66"")=CU$2),$G$3:$BQ$3,$G169:$BQ169))),"""")"),"")</f>
        <v/>
      </c>
      <c r="CW169" s="251">
        <f>IFERROR(__xludf.DUMMYFUNCTION("AVERAGE(ARRAYFORMULA(XLOOKUP(FILTER(INDIRECT(""'""&amp;CW$1&amp;""'!$C$4:$C$66""),INDIRECT(""'""&amp;CW$1&amp;""'!$D$4:$D$66"")=CW$2),$G$3:$BQ$3,$G169:$BQ169)))"),-0.1599537)</f>
        <v>-0.1599537</v>
      </c>
      <c r="CX169" s="207" t="str">
        <f>IFERROR(__xludf.DUMMYFUNCTION("IF(OR(CW169&gt;$BS169+$BT169*$BT$2,CW169&lt;$BS169-$BT169*$BT$2),AVEDEV(ARRAYFORMULA(XLOOKUP(FILTER(INDIRECT(""'""&amp;CW$1&amp;""'!$C$4:$C$66""),INDIRECT(""'""&amp;CW$1&amp;""'!$D$4:$D$66"")=CW$2),$G$3:$BQ$3,$G169:$BQ169))),"""")"),"")</f>
        <v/>
      </c>
      <c r="CY169" s="251">
        <f>IFERROR(__xludf.DUMMYFUNCTION("AVERAGE(ARRAYFORMULA(XLOOKUP(FILTER(INDIRECT(""'""&amp;CY$1&amp;""'!$C$4:$C$66""),INDIRECT(""'""&amp;CY$1&amp;""'!$D$4:$D$66"")=CY$2),$G$3:$BQ$3,$G169:$BQ169)))"),0.6193519092857142)</f>
        <v>0.6193519093</v>
      </c>
      <c r="CZ169" s="207" t="str">
        <f>IFERROR(__xludf.DUMMYFUNCTION("IF(OR(CY169&gt;$BS169+$BT169*$BT$2,CY169&lt;$BS169-$BT169*$BT$2),AVEDEV(ARRAYFORMULA(XLOOKUP(FILTER(INDIRECT(""'""&amp;CY$1&amp;""'!$C$4:$C$66""),INDIRECT(""'""&amp;CY$1&amp;""'!$D$4:$D$66"")=CY$2),$G$3:$BQ$3,$G169:$BQ169))),"""")"),"")</f>
        <v/>
      </c>
      <c r="DA169" s="252"/>
      <c r="DB169" s="251">
        <f>IFERROR(__xludf.DUMMYFUNCTION("AVERAGE(ARRAYFORMULA(XLOOKUP(FILTER(INDIRECT(""'""&amp;DB$1&amp;""'!$C$4:$C$66""),INDIRECT(""'""&amp;DB$1&amp;""'!$D$4:$D$66"")=DB$2),$G$3:$BQ$3,$G169:$BQ169)))"),0.35976868466666667)</f>
        <v>0.3597686847</v>
      </c>
      <c r="DC169" s="207" t="str">
        <f>IFERROR(__xludf.DUMMYFUNCTION("IF(OR(DB169&gt;$BS169+$BT169*$BT$2,DB169&lt;$BS169-$BT169*$BT$2),AVEDEV(ARRAYFORMULA(XLOOKUP(FILTER(INDIRECT(""'""&amp;DB$1&amp;""'!$C$4:$C$66""),INDIRECT(""'""&amp;DB$1&amp;""'!$D$4:$D$66"")=DB$2),$G$3:$BQ$3,$G169:$BQ169))),"""")"),"")</f>
        <v/>
      </c>
      <c r="DD169" s="251">
        <f>IFERROR(__xludf.DUMMYFUNCTION("AVERAGE(ARRAYFORMULA(XLOOKUP(FILTER(INDIRECT(""'""&amp;DD$1&amp;""'!$C$4:$C$66""),INDIRECT(""'""&amp;DD$1&amp;""'!$D$4:$D$66"")=DD$2),$G$3:$BQ$3,$G169:$BQ169)))"),0.06306523666666665)</f>
        <v>0.06306523667</v>
      </c>
      <c r="DE169" s="207" t="str">
        <f>IFERROR(__xludf.DUMMYFUNCTION("IF(OR(DD169&gt;$BS169+$BT169*$BT$2,DD169&lt;$BS169-$BT169*$BT$2),AVEDEV(ARRAYFORMULA(XLOOKUP(FILTER(INDIRECT(""'""&amp;DD$1&amp;""'!$C$4:$C$66""),INDIRECT(""'""&amp;DD$1&amp;""'!$D$4:$D$66"")=DD$2),$G$3:$BQ$3,$G169:$BQ169))),"""")"),"")</f>
        <v/>
      </c>
      <c r="DF169" s="251">
        <f>IFERROR(__xludf.DUMMYFUNCTION("AVERAGE(ARRAYFORMULA(XLOOKUP(FILTER(INDIRECT(""'""&amp;DF$1&amp;""'!$C$4:$C$66""),INDIRECT(""'""&amp;DF$1&amp;""'!$D$4:$D$66"")=DF$2),$G$3:$BQ$3,$G169:$BQ169)))"),0.8212881250000001)</f>
        <v>0.821288125</v>
      </c>
      <c r="DG169" s="207" t="str">
        <f>IFERROR(__xludf.DUMMYFUNCTION("IF(OR(DF169&gt;$BS169+$BT169*$BT$2,DF169&lt;$BS169-$BT169*$BT$2),AVEDEV(ARRAYFORMULA(XLOOKUP(FILTER(INDIRECT(""'""&amp;DF$1&amp;""'!$C$4:$C$66""),INDIRECT(""'""&amp;DF$1&amp;""'!$D$4:$D$66"")=DF$2),$G$3:$BQ$3,$G169:$BQ169))),"""")"),"")</f>
        <v/>
      </c>
      <c r="DH169" s="251">
        <f>IFERROR(__xludf.DUMMYFUNCTION("AVERAGE(ARRAYFORMULA(XLOOKUP(FILTER(INDIRECT(""'""&amp;DH$1&amp;""'!$C$4:$C$66""),INDIRECT(""'""&amp;DH$1&amp;""'!$D$4:$D$66"")=DH$2),$G$3:$BQ$3,$G169:$BQ169)))"),0.05719241666666668)</f>
        <v>0.05719241667</v>
      </c>
      <c r="DI169" s="207" t="str">
        <f>IFERROR(__xludf.DUMMYFUNCTION("IF(OR(DH169&gt;$BS169+$BT169*$BT$2,DH169&lt;$BS169-$BT169*$BT$2),AVEDEV(ARRAYFORMULA(XLOOKUP(FILTER(INDIRECT(""'""&amp;DH$1&amp;""'!$C$4:$C$66""),INDIRECT(""'""&amp;DH$1&amp;""'!$D$4:$D$66"")=DH$2),$G$3:$BQ$3,$G169:$BQ169))),"""")"),"")</f>
        <v/>
      </c>
      <c r="DJ169" s="243"/>
    </row>
    <row r="170">
      <c r="A170" s="2"/>
      <c r="B170" s="204">
        <v>166.0</v>
      </c>
      <c r="C170" s="204" t="s">
        <v>601</v>
      </c>
      <c r="D170" s="204" t="s">
        <v>613</v>
      </c>
      <c r="E170" s="205" t="b">
        <f>VLOOKUP(D170,'Feature Set List'!A167:C246,2,0)</f>
        <v>1</v>
      </c>
      <c r="F170" s="205" t="b">
        <f>VLOOKUP(D170,'Feature Set List'!A167:C246,3,0)</f>
        <v>0</v>
      </c>
      <c r="G170" s="205">
        <v>6.84665523</v>
      </c>
      <c r="H170" s="205">
        <v>-0.2033619</v>
      </c>
      <c r="I170" s="205">
        <v>-0.1009949</v>
      </c>
      <c r="J170" s="205">
        <v>-0.5702916</v>
      </c>
      <c r="K170" s="205">
        <v>-0.0459691</v>
      </c>
      <c r="L170" s="205">
        <v>-0.3331732</v>
      </c>
      <c r="M170" s="205">
        <v>-0.9573928</v>
      </c>
      <c r="N170" s="205">
        <v>0.84871355</v>
      </c>
      <c r="O170" s="205">
        <v>-0.1111492</v>
      </c>
      <c r="P170" s="205">
        <v>6.82607204</v>
      </c>
      <c r="Q170" s="205">
        <v>-0.3372899</v>
      </c>
      <c r="R170" s="205">
        <v>-0.4677873</v>
      </c>
      <c r="S170" s="205">
        <v>1.2109777</v>
      </c>
      <c r="T170" s="205">
        <v>14.4171527</v>
      </c>
      <c r="U170" s="205">
        <v>-1.0180446</v>
      </c>
      <c r="V170" s="205">
        <v>-0.1694683</v>
      </c>
      <c r="W170" s="205">
        <v>-0.4267581</v>
      </c>
      <c r="X170" s="205">
        <v>0.45900515</v>
      </c>
      <c r="Y170" s="205">
        <v>2.67375643</v>
      </c>
      <c r="Z170" s="205">
        <v>-0.4827444</v>
      </c>
      <c r="AA170" s="205">
        <v>0.28336192</v>
      </c>
      <c r="AB170" s="205">
        <v>0.33413379</v>
      </c>
      <c r="AC170" s="205">
        <v>-0.326175</v>
      </c>
      <c r="AD170" s="205">
        <v>-0.0225043</v>
      </c>
      <c r="AE170" s="205">
        <v>0.71149228</v>
      </c>
      <c r="AF170" s="205">
        <v>0.0</v>
      </c>
      <c r="AG170" s="205">
        <v>-0.0629846</v>
      </c>
      <c r="AH170" s="205">
        <v>-0.1722127</v>
      </c>
      <c r="AI170" s="205">
        <v>-0.6325901</v>
      </c>
      <c r="AJ170" s="205">
        <v>0.62915952</v>
      </c>
      <c r="AK170" s="205">
        <v>-0.1293997</v>
      </c>
      <c r="AL170" s="205">
        <v>0.49056604</v>
      </c>
      <c r="AM170" s="205">
        <v>0.23259005</v>
      </c>
      <c r="AN170" s="205">
        <v>-0.2485077</v>
      </c>
      <c r="AO170" s="205">
        <v>-0.5497084</v>
      </c>
      <c r="AP170" s="205">
        <v>0.58799314</v>
      </c>
      <c r="AQ170" s="205">
        <v>0.52212693</v>
      </c>
      <c r="AR170" s="205">
        <v>0.19554031</v>
      </c>
      <c r="AS170" s="205">
        <v>8.07204117</v>
      </c>
      <c r="AT170" s="205">
        <v>-0.4327959</v>
      </c>
      <c r="AU170" s="205">
        <v>0.04226415</v>
      </c>
      <c r="AV170" s="205">
        <v>1.26861063</v>
      </c>
      <c r="AW170" s="205">
        <v>1.19176672</v>
      </c>
      <c r="AX170" s="205">
        <v>-0.3805146</v>
      </c>
      <c r="AY170" s="205">
        <v>-0.8819211</v>
      </c>
      <c r="AZ170" s="205">
        <v>-0.1355746</v>
      </c>
      <c r="BA170" s="205">
        <v>11.509434</v>
      </c>
      <c r="BB170" s="205">
        <v>-0.335506</v>
      </c>
      <c r="BC170" s="205">
        <v>0.3025729</v>
      </c>
      <c r="BD170" s="205">
        <v>1.20274443</v>
      </c>
      <c r="BE170" s="205">
        <v>0.44802744</v>
      </c>
      <c r="BF170" s="205">
        <v>-0.1247341</v>
      </c>
      <c r="BG170" s="205">
        <v>14.8150943</v>
      </c>
      <c r="BH170" s="205">
        <v>-0.0225043</v>
      </c>
      <c r="BI170" s="205">
        <v>0.44665523</v>
      </c>
      <c r="BJ170" s="205">
        <v>0.20926244</v>
      </c>
      <c r="BK170" s="205">
        <v>-0.3634991</v>
      </c>
      <c r="BL170" s="205">
        <v>0.38765009</v>
      </c>
      <c r="BM170" s="205">
        <v>-0.2803431</v>
      </c>
      <c r="BN170" s="205">
        <v>3.59313894</v>
      </c>
      <c r="BO170" s="205">
        <v>0.80891938</v>
      </c>
      <c r="BP170" s="205">
        <v>-0.5923842</v>
      </c>
      <c r="BQ170" s="205">
        <v>2.38559177</v>
      </c>
      <c r="BR170" s="206"/>
      <c r="BS170" s="250">
        <f t="shared" si="1"/>
        <v>1.159282311</v>
      </c>
      <c r="BT170" s="250">
        <f t="shared" si="2"/>
        <v>1.934678286</v>
      </c>
      <c r="BU170" s="206"/>
      <c r="BV170" s="207">
        <f>IFERROR(__xludf.DUMMYFUNCTION("AVERAGE(ARRAYFORMULA(XLOOKUP(FILTER(INDIRECT(""'""&amp;BV$1&amp;""'!$C$4:$C$66""),INDIRECT(""'""&amp;BV$1&amp;""'!$D$4:$D$66"")=BV$2),$G$3:$BQ$3,$G170:$BQ170)))"),-0.21292820285714287)</f>
        <v>-0.2129282029</v>
      </c>
      <c r="BW170" s="207" t="str">
        <f>IFERROR(__xludf.DUMMYFUNCTION("IF(OR(BV170&gt;$BS170+$BT170*$BT$2,BV170&lt;$BS170-$BT170*$BT$2),AVEDEV(ARRAYFORMULA(XLOOKUP(FILTER(INDIRECT(""'""&amp;BV$1&amp;""'!$C$4:$C$66""),INDIRECT(""'""&amp;BV$1&amp;""'!$D$4:$D$66"")=BV$2),$G$3:$BQ$3,$G170:$BQ170))),"""")"),"")</f>
        <v/>
      </c>
      <c r="BX170" s="207">
        <f>IFERROR(__xludf.DUMMYFUNCTION("AVERAGE(ARRAYFORMULA(XLOOKUP(FILTER(INDIRECT(""'""&amp;BX$1&amp;""'!$C$4:$C$66""),INDIRECT(""'""&amp;BX$1&amp;""'!$D$4:$D$66"")=BX$2),$G$3:$BQ$3,$G170:$BQ170)))"),0.7914628740476191)</f>
        <v>0.791462874</v>
      </c>
      <c r="BY170" s="207" t="str">
        <f>IFERROR(__xludf.DUMMYFUNCTION("IF(OR(BX170&gt;$BS170+$BT170*$BT$2,BX170&lt;$BS170-$BT170*$BT$2),AVEDEV(ARRAYFORMULA(XLOOKUP(FILTER(INDIRECT(""'""&amp;BX$1&amp;""'!$C$4:$C$66""),INDIRECT(""'""&amp;BX$1&amp;""'!$D$4:$D$66"")=BX$2),$G$3:$BQ$3,$G170:$BQ170))),"""")"),"")</f>
        <v/>
      </c>
      <c r="BZ170" s="207">
        <f>IFERROR(__xludf.DUMMYFUNCTION("AVERAGE(ARRAYFORMULA(XLOOKUP(FILTER(INDIRECT(""'""&amp;BZ$1&amp;""'!$C$4:$C$66""),INDIRECT(""'""&amp;BZ$1&amp;""'!$D$4:$D$66"")=BZ$2),$G$3:$BQ$3,$G170:$BQ170)))"),3.6490753272727265)</f>
        <v>3.649075327</v>
      </c>
      <c r="CA170" s="207">
        <f>IFERROR(__xludf.DUMMYFUNCTION("IF(OR(BZ170&gt;$BS170+$BT170*$BT$2,BZ170&lt;$BS170-$BT170*$BT$2),AVEDEV(ARRAYFORMULA(XLOOKUP(FILTER(INDIRECT(""'""&amp;BZ$1&amp;""'!$C$4:$C$66""),INDIRECT(""'""&amp;BZ$1&amp;""'!$D$4:$D$66"")=BZ$2),$G$3:$BQ$3,$G170:$BQ170))),"""")"),4.546002301983472)</f>
        <v>4.546002302</v>
      </c>
      <c r="CB170" s="209"/>
      <c r="CC170" s="207">
        <f>IFERROR(__xludf.DUMMYFUNCTION("AVERAGE(ARRAYFORMULA(XLOOKUP(FILTER(INDIRECT(""'""&amp;CC$1&amp;""'!$C$4:$C$66""),INDIRECT(""'""&amp;CC$1&amp;""'!$D$4:$D$66"")=CC$2),$G$3:$BQ$3,$G170:$BQ170)))"),0.00855916999999998)</f>
        <v>0.00855917</v>
      </c>
      <c r="CD170" s="207" t="str">
        <f>IFERROR(__xludf.DUMMYFUNCTION("IF(OR(CC170&gt;$BS170+$BT170*$BT$2,CC170&lt;$BS170-$BT170*$BT$2),AVEDEV(ARRAYFORMULA(XLOOKUP(FILTER(INDIRECT(""'""&amp;CC$1&amp;""'!$C$4:$C$66""),INDIRECT(""'""&amp;CC$1&amp;""'!$D$4:$D$66"")=CC$2),$G$3:$BQ$3,$G170:$BQ170))),"""")"),"")</f>
        <v/>
      </c>
      <c r="CE170" s="207">
        <f>IFERROR(__xludf.DUMMYFUNCTION("AVERAGE(ARRAYFORMULA(XLOOKUP(FILTER(INDIRECT(""'""&amp;CE$1&amp;""'!$C$4:$C$66""),INDIRECT(""'""&amp;CE$1&amp;""'!$D$4:$D$66"")=CE$2),$G$3:$BQ$3,$G170:$BQ170)))"),0.27828473870967746)</f>
        <v>0.2782847387</v>
      </c>
      <c r="CF170" s="207" t="str">
        <f>IFERROR(__xludf.DUMMYFUNCTION("IF(OR(CE170&gt;$BS170+$BT170*$BT$2,CE170&lt;$BS170-$BT170*$BT$2),AVEDEV(ARRAYFORMULA(XLOOKUP(FILTER(INDIRECT(""'""&amp;CE$1&amp;""'!$C$4:$C$66""),INDIRECT(""'""&amp;CE$1&amp;""'!$D$4:$D$66"")=CE$2),$G$3:$BQ$3,$G170:$BQ170))),"""")"),"")</f>
        <v/>
      </c>
      <c r="CG170" s="207">
        <f>IFERROR(__xludf.DUMMYFUNCTION("AVERAGE(ARRAYFORMULA(XLOOKUP(FILTER(INDIRECT(""'""&amp;CG$1&amp;""'!$C$4:$C$66""),INDIRECT(""'""&amp;CG$1&amp;""'!$D$4:$D$66"")=CG$2),$G$3:$BQ$3,$G170:$BQ170)))"),11.127958842)</f>
        <v>11.12795884</v>
      </c>
      <c r="CH170" s="207">
        <f>IFERROR(__xludf.DUMMYFUNCTION("IF(OR(CG170&gt;$BS170+$BT170*$BT$2,CG170&lt;$BS170-$BT170*$BT$2),AVEDEV(ARRAYFORMULA(XLOOKUP(FILTER(INDIRECT(""'""&amp;CG$1&amp;""'!$C$4:$C$66""),INDIRECT(""'""&amp;CG$1&amp;""'!$D$4:$D$66"")=CG$2),$G$3:$BQ$3,$G170:$BQ170))),"""")"),2.9431217896)</f>
        <v>2.94312179</v>
      </c>
      <c r="CI170" s="206"/>
      <c r="CJ170" s="251">
        <f>IFERROR(__xludf.DUMMYFUNCTION("AVERAGE(ARRAYFORMULA(XLOOKUP(FILTER(INDIRECT(""'""&amp;CJ$1&amp;""'!$C$4:$C$66""),INDIRECT(""'""&amp;CJ$1&amp;""'!$D$4:$D$66"")=CJ$2),$G$3:$BQ$3,$G170:$BQ170)))"),0.723265858)</f>
        <v>0.723265858</v>
      </c>
      <c r="CK170" s="207" t="str">
        <f>IFERROR(__xludf.DUMMYFUNCTION("IF(OR(CJ170&gt;$BS170+$BT170*$BT$2,CJ170&lt;$BS170-$BT170*$BT$2),AVEDEV(ARRAYFORMULA(XLOOKUP(FILTER(INDIRECT(""'""&amp;CJ$1&amp;""'!$C$4:$C$66""),INDIRECT(""'""&amp;CJ$1&amp;""'!$D$4:$D$66"")=CJ$2),$G$3:$BQ$3,$G170:$BQ170))),"""")"),"")</f>
        <v/>
      </c>
      <c r="CL170" s="251">
        <f>IFERROR(__xludf.DUMMYFUNCTION("AVERAGE(ARRAYFORMULA(XLOOKUP(FILTER(INDIRECT(""'""&amp;CL$1&amp;""'!$C$4:$C$66""),INDIRECT(""'""&amp;CL$1&amp;""'!$D$4:$D$66"")=CL$2),$G$3:$BQ$3,$G170:$BQ170)))"),0.1285728133333333)</f>
        <v>0.1285728133</v>
      </c>
      <c r="CM170" s="207" t="str">
        <f>IFERROR(__xludf.DUMMYFUNCTION("IF(OR(CL170&gt;$BS170+$BT170*$BT$2,CL170&lt;$BS170-$BT170*$BT$2),AVEDEV(ARRAYFORMULA(XLOOKUP(FILTER(INDIRECT(""'""&amp;CL$1&amp;""'!$C$4:$C$66""),INDIRECT(""'""&amp;CL$1&amp;""'!$D$4:$D$66"")=CL$2),$G$3:$BQ$3,$G170:$BQ170))),"""")"),"")</f>
        <v/>
      </c>
      <c r="CN170" s="251">
        <f>IFERROR(__xludf.DUMMYFUNCTION("AVERAGE(ARRAYFORMULA(XLOOKUP(FILTER(INDIRECT(""'""&amp;CN$1&amp;""'!$C$4:$C$66""),INDIRECT(""'""&amp;CN$1&amp;""'!$D$4:$D$66"")=CN$2),$G$3:$BQ$3,$G170:$BQ170)))"),11.127958842)</f>
        <v>11.12795884</v>
      </c>
      <c r="CO170" s="207">
        <f>IFERROR(__xludf.DUMMYFUNCTION("IF(OR(CN170&gt;$BS170+$BT170*$BT$2,CN170&lt;$BS170-$BT170*$BT$2),AVEDEV(ARRAYFORMULA(XLOOKUP(FILTER(INDIRECT(""'""&amp;CN$1&amp;""'!$C$4:$C$66""),INDIRECT(""'""&amp;CN$1&amp;""'!$D$4:$D$66"")=CN$2),$G$3:$BQ$3,$G170:$BQ170))),"""")"),2.9431217896)</f>
        <v>2.94312179</v>
      </c>
      <c r="CP170" s="252"/>
      <c r="CQ170" s="251">
        <f>IFERROR(__xludf.DUMMYFUNCTION("AVERAGE(ARRAYFORMULA(XLOOKUP(FILTER(INDIRECT(""'""&amp;CQ$1&amp;""'!$C$4:$C$66""),INDIRECT(""'""&amp;CQ$1&amp;""'!$D$4:$D$66"")=CQ$2),$G$3:$BQ$3,$G170:$BQ170)))"),0.1497378042857143)</f>
        <v>0.1497378043</v>
      </c>
      <c r="CR170" s="207" t="str">
        <f>IFERROR(__xludf.DUMMYFUNCTION("IF(OR(CQ170&gt;$BS170+$BT170*$BT$2,CQ170&lt;$BS170-$BT170*$BT$2),AVEDEV(ARRAYFORMULA(XLOOKUP(FILTER(INDIRECT(""'""&amp;CQ$1&amp;""'!$C$4:$C$66""),INDIRECT(""'""&amp;CQ$1&amp;""'!$D$4:$D$66"")=CQ$2),$G$3:$BQ$3,$G170:$BQ170))),"""")"),"")</f>
        <v/>
      </c>
      <c r="CS170" s="251">
        <f>IFERROR(__xludf.DUMMYFUNCTION("AVERAGE(ARRAYFORMULA(XLOOKUP(FILTER(INDIRECT(""'""&amp;CS$1&amp;""'!$C$4:$C$66""),INDIRECT(""'""&amp;CS$1&amp;""'!$D$4:$D$66"")=CS$2),$G$3:$BQ$3,$G170:$BQ170)))"),4.506194033333333)</f>
        <v>4.506194033</v>
      </c>
      <c r="CT170" s="207">
        <f>IFERROR(__xludf.DUMMYFUNCTION("IF(OR(CS170&gt;$BS170+$BT170*$BT$2,CS170&lt;$BS170-$BT170*$BT$2),AVEDEV(ARRAYFORMULA(XLOOKUP(FILTER(INDIRECT(""'""&amp;CS$1&amp;""'!$C$4:$C$66""),INDIRECT(""'""&amp;CS$1&amp;""'!$D$4:$D$66"")=CS$2),$G$3:$BQ$3,$G170:$BQ170))),"""")"),4.794341741481482)</f>
        <v>4.794341741</v>
      </c>
      <c r="CU170" s="251">
        <f>IFERROR(__xludf.DUMMYFUNCTION("AVERAGE(ARRAYFORMULA(XLOOKUP(FILTER(INDIRECT(""'""&amp;CU$1&amp;""'!$C$4:$C$66""),INDIRECT(""'""&amp;CU$1&amp;""'!$D$4:$D$66"")=CU$2),$G$3:$BQ$3,$G170:$BQ170)))"),1.6260845063636362)</f>
        <v>1.626084506</v>
      </c>
      <c r="CV170" s="207" t="str">
        <f>IFERROR(__xludf.DUMMYFUNCTION("IF(OR(CU170&gt;$BS170+$BT170*$BT$2,CU170&lt;$BS170-$BT170*$BT$2),AVEDEV(ARRAYFORMULA(XLOOKUP(FILTER(INDIRECT(""'""&amp;CU$1&amp;""'!$C$4:$C$66""),INDIRECT(""'""&amp;CU$1&amp;""'!$D$4:$D$66"")=CU$2),$G$3:$BQ$3,$G170:$BQ170))),"""")"),"")</f>
        <v/>
      </c>
      <c r="CW170" s="251">
        <f>IFERROR(__xludf.DUMMYFUNCTION("AVERAGE(ARRAYFORMULA(XLOOKUP(FILTER(INDIRECT(""'""&amp;CW$1&amp;""'!$C$4:$C$66""),INDIRECT(""'""&amp;CW$1&amp;""'!$D$4:$D$66"")=CW$2),$G$3:$BQ$3,$G170:$BQ170)))"),-0.0225043)</f>
        <v>-0.0225043</v>
      </c>
      <c r="CX170" s="207" t="str">
        <f>IFERROR(__xludf.DUMMYFUNCTION("IF(OR(CW170&gt;$BS170+$BT170*$BT$2,CW170&lt;$BS170-$BT170*$BT$2),AVEDEV(ARRAYFORMULA(XLOOKUP(FILTER(INDIRECT(""'""&amp;CW$1&amp;""'!$C$4:$C$66""),INDIRECT(""'""&amp;CW$1&amp;""'!$D$4:$D$66"")=CW$2),$G$3:$BQ$3,$G170:$BQ170))),"""")"),"")</f>
        <v/>
      </c>
      <c r="CY170" s="251">
        <f>IFERROR(__xludf.DUMMYFUNCTION("AVERAGE(ARRAYFORMULA(XLOOKUP(FILTER(INDIRECT(""'""&amp;CY$1&amp;""'!$C$4:$C$66""),INDIRECT(""'""&amp;CY$1&amp;""'!$D$4:$D$66"")=CY$2),$G$3:$BQ$3,$G170:$BQ170)))"),0.3672531292857143)</f>
        <v>0.3672531293</v>
      </c>
      <c r="CZ170" s="207" t="str">
        <f>IFERROR(__xludf.DUMMYFUNCTION("IF(OR(CY170&gt;$BS170+$BT170*$BT$2,CY170&lt;$BS170-$BT170*$BT$2),AVEDEV(ARRAYFORMULA(XLOOKUP(FILTER(INDIRECT(""'""&amp;CY$1&amp;""'!$C$4:$C$66""),INDIRECT(""'""&amp;CY$1&amp;""'!$D$4:$D$66"")=CY$2),$G$3:$BQ$3,$G170:$BQ170))),"""")"),"")</f>
        <v/>
      </c>
      <c r="DA170" s="252"/>
      <c r="DB170" s="251">
        <f>IFERROR(__xludf.DUMMYFUNCTION("AVERAGE(ARRAYFORMULA(XLOOKUP(FILTER(INDIRECT(""'""&amp;DB$1&amp;""'!$C$4:$C$66""),INDIRECT(""'""&amp;DB$1&amp;""'!$D$4:$D$66"")=DB$2),$G$3:$BQ$3,$G170:$BQ170)))"),0.5497266970000001)</f>
        <v>0.549726697</v>
      </c>
      <c r="DC170" s="207" t="str">
        <f>IFERROR(__xludf.DUMMYFUNCTION("IF(OR(DB170&gt;$BS170+$BT170*$BT$2,DB170&lt;$BS170-$BT170*$BT$2),AVEDEV(ARRAYFORMULA(XLOOKUP(FILTER(INDIRECT(""'""&amp;DB$1&amp;""'!$C$4:$C$66""),INDIRECT(""'""&amp;DB$1&amp;""'!$D$4:$D$66"")=DB$2),$G$3:$BQ$3,$G170:$BQ170))),"""")"),"")</f>
        <v/>
      </c>
      <c r="DD170" s="251">
        <f>IFERROR(__xludf.DUMMYFUNCTION("AVERAGE(ARRAYFORMULA(XLOOKUP(FILTER(INDIRECT(""'""&amp;DD$1&amp;""'!$C$4:$C$66""),INDIRECT(""'""&amp;DD$1&amp;""'!$D$4:$D$66"")=DD$2),$G$3:$BQ$3,$G170:$BQ170)))"),4.318917488888889)</f>
        <v>4.318917489</v>
      </c>
      <c r="DE170" s="207">
        <f>IFERROR(__xludf.DUMMYFUNCTION("IF(OR(DD170&gt;$BS170+$BT170*$BT$2,DD170&lt;$BS170-$BT170*$BT$2),AVEDEV(ARRAYFORMULA(XLOOKUP(FILTER(INDIRECT(""'""&amp;DD$1&amp;""'!$C$4:$C$66""),INDIRECT(""'""&amp;DD$1&amp;""'!$D$4:$D$66"")=DD$2),$G$3:$BQ$3,$G170:$BQ170))),"""")"),4.960809780987654)</f>
        <v>4.960809781</v>
      </c>
      <c r="DF170" s="251">
        <f>IFERROR(__xludf.DUMMYFUNCTION("AVERAGE(ARRAYFORMULA(XLOOKUP(FILTER(INDIRECT(""'""&amp;DF$1&amp;""'!$C$4:$C$66""),INDIRECT(""'""&amp;DF$1&amp;""'!$D$4:$D$66"")=DF$2),$G$3:$BQ$3,$G170:$BQ170)))"),-0.061372207500000026)</f>
        <v>-0.0613722075</v>
      </c>
      <c r="DG170" s="207" t="str">
        <f>IFERROR(__xludf.DUMMYFUNCTION("IF(OR(DF170&gt;$BS170+$BT170*$BT$2,DF170&lt;$BS170-$BT170*$BT$2),AVEDEV(ARRAYFORMULA(XLOOKUP(FILTER(INDIRECT(""'""&amp;DF$1&amp;""'!$C$4:$C$66""),INDIRECT(""'""&amp;DF$1&amp;""'!$D$4:$D$66"")=DF$2),$G$3:$BQ$3,$G170:$BQ170))),"""")"),"")</f>
        <v/>
      </c>
      <c r="DH170" s="251">
        <f>IFERROR(__xludf.DUMMYFUNCTION("AVERAGE(ARRAYFORMULA(XLOOKUP(FILTER(INDIRECT(""'""&amp;DH$1&amp;""'!$C$4:$C$66""),INDIRECT(""'""&amp;DH$1&amp;""'!$D$4:$D$66"")=DH$2),$G$3:$BQ$3,$G170:$BQ170)))"),1.8363560100000003)</f>
        <v>1.83635601</v>
      </c>
      <c r="DI170" s="207" t="str">
        <f>IFERROR(__xludf.DUMMYFUNCTION("IF(OR(DH170&gt;$BS170+$BT170*$BT$2,DH170&lt;$BS170-$BT170*$BT$2),AVEDEV(ARRAYFORMULA(XLOOKUP(FILTER(INDIRECT(""'""&amp;DH$1&amp;""'!$C$4:$C$66""),INDIRECT(""'""&amp;DH$1&amp;""'!$D$4:$D$66"")=DH$2),$G$3:$BQ$3,$G170:$BQ170))),"""")"),"")</f>
        <v/>
      </c>
      <c r="DJ170" s="243"/>
    </row>
    <row r="171">
      <c r="A171" s="2"/>
      <c r="B171" s="204">
        <v>167.0</v>
      </c>
      <c r="C171" s="204" t="s">
        <v>601</v>
      </c>
      <c r="D171" s="204" t="s">
        <v>614</v>
      </c>
      <c r="E171" s="205" t="b">
        <f>VLOOKUP(D171,'Feature Set List'!A168:C246,2,0)</f>
        <v>1</v>
      </c>
      <c r="F171" s="205" t="b">
        <f>VLOOKUP(D171,'Feature Set List'!A168:C246,3,0)</f>
        <v>1</v>
      </c>
      <c r="G171" s="205">
        <v>-0.0389284</v>
      </c>
      <c r="H171" s="205">
        <v>0.44788614</v>
      </c>
      <c r="I171" s="205">
        <v>-0.9284219</v>
      </c>
      <c r="J171" s="205">
        <v>-0.3202177</v>
      </c>
      <c r="K171" s="205">
        <v>4.54290498</v>
      </c>
      <c r="L171" s="205">
        <v>0.08162411</v>
      </c>
      <c r="M171" s="205">
        <v>-0.9200502</v>
      </c>
      <c r="N171" s="205">
        <v>-0.0133947</v>
      </c>
      <c r="O171" s="205">
        <v>0.17915446</v>
      </c>
      <c r="P171" s="205">
        <v>-0.8158225</v>
      </c>
      <c r="Q171" s="205">
        <v>2.80577648</v>
      </c>
      <c r="R171" s="205">
        <v>-0.1314357</v>
      </c>
      <c r="S171" s="205">
        <v>0.06195061</v>
      </c>
      <c r="T171" s="205">
        <v>0.62369192</v>
      </c>
      <c r="U171" s="205">
        <v>-0.9702805</v>
      </c>
      <c r="V171" s="205">
        <v>0.21389703</v>
      </c>
      <c r="W171" s="205">
        <v>-0.6622018</v>
      </c>
      <c r="X171" s="205">
        <v>-0.5391377</v>
      </c>
      <c r="Y171" s="205">
        <v>0.81456676</v>
      </c>
      <c r="Z171" s="205">
        <v>-0.1896191</v>
      </c>
      <c r="AA171" s="205">
        <v>-0.1766429</v>
      </c>
      <c r="AB171" s="205">
        <v>-0.786103</v>
      </c>
      <c r="AC171" s="205">
        <v>-0.2226873</v>
      </c>
      <c r="AD171" s="205">
        <v>1.02218501</v>
      </c>
      <c r="AE171" s="205">
        <v>0.76935956</v>
      </c>
      <c r="AF171" s="205">
        <v>0.70196735</v>
      </c>
      <c r="AG171" s="205">
        <v>-0.0766011</v>
      </c>
      <c r="AH171" s="205">
        <v>-0.5098368</v>
      </c>
      <c r="AI171" s="205">
        <v>-0.3327752</v>
      </c>
      <c r="AJ171" s="205">
        <v>-0.9928841</v>
      </c>
      <c r="AK171" s="205">
        <v>1.35119297</v>
      </c>
      <c r="AL171" s="205">
        <v>1.08664713</v>
      </c>
      <c r="AM171" s="205">
        <v>0.51946421</v>
      </c>
      <c r="AN171" s="205">
        <v>0.42988698</v>
      </c>
      <c r="AO171" s="205">
        <v>-0.1121808</v>
      </c>
      <c r="AP171" s="205">
        <v>0.97781499</v>
      </c>
      <c r="AQ171" s="205">
        <v>-0.3415655</v>
      </c>
      <c r="AR171" s="205">
        <v>3.10297195</v>
      </c>
      <c r="AS171" s="205">
        <v>-0.1054835</v>
      </c>
      <c r="AT171" s="205">
        <v>0.0</v>
      </c>
      <c r="AU171" s="205">
        <v>2.09501884</v>
      </c>
      <c r="AV171" s="205">
        <v>0.1100879</v>
      </c>
      <c r="AW171" s="205">
        <v>-0.0033487</v>
      </c>
      <c r="AX171" s="205">
        <v>1.54667225</v>
      </c>
      <c r="AY171" s="205">
        <v>-0.5265802</v>
      </c>
      <c r="AZ171" s="205">
        <v>-0.481373</v>
      </c>
      <c r="BA171" s="205">
        <v>-0.3930515</v>
      </c>
      <c r="BB171" s="205">
        <v>-0.356216</v>
      </c>
      <c r="BC171" s="205">
        <v>1.17287568</v>
      </c>
      <c r="BD171" s="205">
        <v>0.50355797</v>
      </c>
      <c r="BE171" s="205">
        <v>-0.8890749</v>
      </c>
      <c r="BF171" s="205">
        <v>0.30096275</v>
      </c>
      <c r="BG171" s="205">
        <v>0.16073671</v>
      </c>
      <c r="BH171" s="205">
        <v>0.53578903</v>
      </c>
      <c r="BI171" s="205">
        <v>1.69359565</v>
      </c>
      <c r="BJ171" s="205">
        <v>-0.0694851</v>
      </c>
      <c r="BK171" s="205">
        <v>0.96986187</v>
      </c>
      <c r="BL171" s="205">
        <v>-0.7321055</v>
      </c>
      <c r="BM171" s="205">
        <v>-0.1364588</v>
      </c>
      <c r="BN171" s="205">
        <v>3.92339891</v>
      </c>
      <c r="BO171" s="205">
        <v>-0.142319</v>
      </c>
      <c r="BP171" s="205">
        <v>0.17706153</v>
      </c>
      <c r="BQ171" s="205">
        <v>0.10129761</v>
      </c>
      <c r="BR171" s="206"/>
      <c r="BS171" s="250">
        <f t="shared" si="1"/>
        <v>0.3191678768</v>
      </c>
      <c r="BT171" s="250">
        <f t="shared" si="2"/>
        <v>0.7814410584</v>
      </c>
      <c r="BU171" s="206"/>
      <c r="BV171" s="207">
        <f>IFERROR(__xludf.DUMMYFUNCTION("AVERAGE(ARRAYFORMULA(XLOOKUP(FILTER(INDIRECT(""'""&amp;BV$1&amp;""'!$C$4:$C$66""),INDIRECT(""'""&amp;BV$1&amp;""'!$D$4:$D$66"")=BV$2),$G$3:$BQ$3,$G171:$BQ171)))"),-0.5893679428571429)</f>
        <v>-0.5893679429</v>
      </c>
      <c r="BW171" s="207">
        <f>IFERROR(__xludf.DUMMYFUNCTION("IF(OR(BV171&gt;$BS171+$BT171*$BT$2,BV171&lt;$BS171-$BT171*$BT$2),AVEDEV(ARRAYFORMULA(XLOOKUP(FILTER(INDIRECT(""'""&amp;BV$1&amp;""'!$C$4:$C$66""),INDIRECT(""'""&amp;BV$1&amp;""'!$D$4:$D$66"")=BV$2),$G$3:$BQ$3,$G171:$BQ171))),"""")"),0.2352448775510204)</f>
        <v>0.2352448776</v>
      </c>
      <c r="BX171" s="207">
        <f>IFERROR(__xludf.DUMMYFUNCTION("AVERAGE(ARRAYFORMULA(XLOOKUP(FILTER(INDIRECT(""'""&amp;BX$1&amp;""'!$C$4:$C$66""),INDIRECT(""'""&amp;BX$1&amp;""'!$D$4:$D$66"")=BX$2),$G$3:$BQ$3,$G171:$BQ171)))"),0.5664055473809522)</f>
        <v>0.5664055474</v>
      </c>
      <c r="BY171" s="207" t="str">
        <f>IFERROR(__xludf.DUMMYFUNCTION("IF(OR(BX171&gt;$BS171+$BT171*$BT$2,BX171&lt;$BS171-$BT171*$BT$2),AVEDEV(ARRAYFORMULA(XLOOKUP(FILTER(INDIRECT(""'""&amp;BX$1&amp;""'!$C$4:$C$66""),INDIRECT(""'""&amp;BX$1&amp;""'!$D$4:$D$66"")=BX$2),$G$3:$BQ$3,$G171:$BQ171))),"""")"),"")</f>
        <v/>
      </c>
      <c r="BZ171" s="207">
        <f>IFERROR(__xludf.DUMMYFUNCTION("AVERAGE(ARRAYFORMULA(XLOOKUP(FILTER(INDIRECT(""'""&amp;BZ$1&amp;""'!$C$4:$C$66""),INDIRECT(""'""&amp;BZ$1&amp;""'!$D$4:$D$66"")=BZ$2),$G$3:$BQ$3,$G171:$BQ171)))"),-0.11145782363636365)</f>
        <v>-0.1114578236</v>
      </c>
      <c r="CA171" s="207" t="str">
        <f>IFERROR(__xludf.DUMMYFUNCTION("IF(OR(BZ171&gt;$BS171+$BT171*$BT$2,BZ171&lt;$BS171-$BT171*$BT$2),AVEDEV(ARRAYFORMULA(XLOOKUP(FILTER(INDIRECT(""'""&amp;BZ$1&amp;""'!$C$4:$C$66""),INDIRECT(""'""&amp;BZ$1&amp;""'!$D$4:$D$66"")=BZ$2),$G$3:$BQ$3,$G171:$BQ171))),"""")"),"")</f>
        <v/>
      </c>
      <c r="CB171" s="209"/>
      <c r="CC171" s="207">
        <f>IFERROR(__xludf.DUMMYFUNCTION("AVERAGE(ARRAYFORMULA(XLOOKUP(FILTER(INDIRECT(""'""&amp;CC$1&amp;""'!$C$4:$C$66""),INDIRECT(""'""&amp;CC$1&amp;""'!$D$4:$D$66"")=CC$2),$G$3:$BQ$3,$G171:$BQ171)))"),0.38685118874999996)</f>
        <v>0.3868511888</v>
      </c>
      <c r="CD171" s="207" t="str">
        <f>IFERROR(__xludf.DUMMYFUNCTION("IF(OR(CC171&gt;$BS171+$BT171*$BT$2,CC171&lt;$BS171-$BT171*$BT$2),AVEDEV(ARRAYFORMULA(XLOOKUP(FILTER(INDIRECT(""'""&amp;CC$1&amp;""'!$C$4:$C$66""),INDIRECT(""'""&amp;CC$1&amp;""'!$D$4:$D$66"")=CC$2),$G$3:$BQ$3,$G171:$BQ171))),"""")"),"")</f>
        <v/>
      </c>
      <c r="CE171" s="207">
        <f>IFERROR(__xludf.DUMMYFUNCTION("AVERAGE(ARRAYFORMULA(XLOOKUP(FILTER(INDIRECT(""'""&amp;CE$1&amp;""'!$C$4:$C$66""),INDIRECT(""'""&amp;CE$1&amp;""'!$D$4:$D$66"")=CE$2),$G$3:$BQ$3,$G171:$BQ171)))"),0.31707152193548394)</f>
        <v>0.3170715219</v>
      </c>
      <c r="CF171" s="207" t="str">
        <f>IFERROR(__xludf.DUMMYFUNCTION("IF(OR(CE171&gt;$BS171+$BT171*$BT$2,CE171&lt;$BS171-$BT171*$BT$2),AVEDEV(ARRAYFORMULA(XLOOKUP(FILTER(INDIRECT(""'""&amp;CE$1&amp;""'!$C$4:$C$66""),INDIRECT(""'""&amp;CE$1&amp;""'!$D$4:$D$66"")=CE$2),$G$3:$BQ$3,$G171:$BQ171))),"""")"),"")</f>
        <v/>
      </c>
      <c r="CG171" s="207">
        <f>IFERROR(__xludf.DUMMYFUNCTION("AVERAGE(ARRAYFORMULA(XLOOKUP(FILTER(INDIRECT(""'""&amp;CG$1&amp;""'!$C$4:$C$66""),INDIRECT(""'""&amp;CG$1&amp;""'!$D$4:$D$66"")=CG$2),$G$3:$BQ$3,$G171:$BQ171)))"),-0.10598577400000002)</f>
        <v>-0.105985774</v>
      </c>
      <c r="CH171" s="207" t="str">
        <f>IFERROR(__xludf.DUMMYFUNCTION("IF(OR(CG171&gt;$BS171+$BT171*$BT$2,CG171&lt;$BS171-$BT171*$BT$2),AVEDEV(ARRAYFORMULA(XLOOKUP(FILTER(INDIRECT(""'""&amp;CG$1&amp;""'!$C$4:$C$66""),INDIRECT(""'""&amp;CG$1&amp;""'!$D$4:$D$66"")=CG$2),$G$3:$BQ$3,$G171:$BQ171))),"""")"),"")</f>
        <v/>
      </c>
      <c r="CI171" s="206"/>
      <c r="CJ171" s="251">
        <f>IFERROR(__xludf.DUMMYFUNCTION("AVERAGE(ARRAYFORMULA(XLOOKUP(FILTER(INDIRECT(""'""&amp;CJ$1&amp;""'!$C$4:$C$66""),INDIRECT(""'""&amp;CJ$1&amp;""'!$D$4:$D$66"")=CJ$2),$G$3:$BQ$3,$G171:$BQ171)))"),-0.21314357866666675)</f>
        <v>-0.2131435787</v>
      </c>
      <c r="CK171" s="207" t="str">
        <f>IFERROR(__xludf.DUMMYFUNCTION("IF(OR(CJ171&gt;$BS171+$BT171*$BT$2,CJ171&lt;$BS171-$BT171*$BT$2),AVEDEV(ARRAYFORMULA(XLOOKUP(FILTER(INDIRECT(""'""&amp;CJ$1&amp;""'!$C$4:$C$66""),INDIRECT(""'""&amp;CJ$1&amp;""'!$D$4:$D$66"")=CJ$2),$G$3:$BQ$3,$G171:$BQ171))),"""")"),"")</f>
        <v/>
      </c>
      <c r="CL171" s="251">
        <f>IFERROR(__xludf.DUMMYFUNCTION("AVERAGE(ARRAYFORMULA(XLOOKUP(FILTER(INDIRECT(""'""&amp;CL$1&amp;""'!$C$4:$C$66""),INDIRECT(""'""&amp;CL$1&amp;""'!$D$4:$D$66"")=CL$2),$G$3:$BQ$3,$G171:$BQ171)))"),0.5870925482051279)</f>
        <v>0.5870925482</v>
      </c>
      <c r="CM171" s="207" t="str">
        <f>IFERROR(__xludf.DUMMYFUNCTION("IF(OR(CL171&gt;$BS171+$BT171*$BT$2,CL171&lt;$BS171-$BT171*$BT$2),AVEDEV(ARRAYFORMULA(XLOOKUP(FILTER(INDIRECT(""'""&amp;CL$1&amp;""'!$C$4:$C$66""),INDIRECT(""'""&amp;CL$1&amp;""'!$D$4:$D$66"")=CL$2),$G$3:$BQ$3,$G171:$BQ171))),"""")"),"")</f>
        <v/>
      </c>
      <c r="CN171" s="251">
        <f>IFERROR(__xludf.DUMMYFUNCTION("AVERAGE(ARRAYFORMULA(XLOOKUP(FILTER(INDIRECT(""'""&amp;CN$1&amp;""'!$C$4:$C$66""),INDIRECT(""'""&amp;CN$1&amp;""'!$D$4:$D$66"")=CN$2),$G$3:$BQ$3,$G171:$BQ171)))"),-0.10598577400000002)</f>
        <v>-0.105985774</v>
      </c>
      <c r="CO171" s="207" t="str">
        <f>IFERROR(__xludf.DUMMYFUNCTION("IF(OR(CN171&gt;$BS171+$BT171*$BT$2,CN171&lt;$BS171-$BT171*$BT$2),AVEDEV(ARRAYFORMULA(XLOOKUP(FILTER(INDIRECT(""'""&amp;CN$1&amp;""'!$C$4:$C$66""),INDIRECT(""'""&amp;CN$1&amp;""'!$D$4:$D$66"")=CN$2),$G$3:$BQ$3,$G171:$BQ171))),"""")"),"")</f>
        <v/>
      </c>
      <c r="CP171" s="252"/>
      <c r="CQ171" s="251">
        <f>IFERROR(__xludf.DUMMYFUNCTION("AVERAGE(ARRAYFORMULA(XLOOKUP(FILTER(INDIRECT(""'""&amp;CQ$1&amp;""'!$C$4:$C$66""),INDIRECT(""'""&amp;CQ$1&amp;""'!$D$4:$D$66"")=CQ$2),$G$3:$BQ$3,$G171:$BQ171)))"),0.3592656814285714)</f>
        <v>0.3592656814</v>
      </c>
      <c r="CR171" s="207" t="str">
        <f>IFERROR(__xludf.DUMMYFUNCTION("IF(OR(CQ171&gt;$BS171+$BT171*$BT$2,CQ171&lt;$BS171-$BT171*$BT$2),AVEDEV(ARRAYFORMULA(XLOOKUP(FILTER(INDIRECT(""'""&amp;CQ$1&amp;""'!$C$4:$C$66""),INDIRECT(""'""&amp;CQ$1&amp;""'!$D$4:$D$66"")=CQ$2),$G$3:$BQ$3,$G171:$BQ171))),"""")"),"")</f>
        <v/>
      </c>
      <c r="CS171" s="251">
        <f>IFERROR(__xludf.DUMMYFUNCTION("AVERAGE(ARRAYFORMULA(XLOOKUP(FILTER(INDIRECT(""'""&amp;CS$1&amp;""'!$C$4:$C$66""),INDIRECT(""'""&amp;CS$1&amp;""'!$D$4:$D$66"")=CS$2),$G$3:$BQ$3,$G171:$BQ171)))"),-0.06757825111111113)</f>
        <v>-0.06757825111</v>
      </c>
      <c r="CT171" s="207" t="str">
        <f>IFERROR(__xludf.DUMMYFUNCTION("IF(OR(CS171&gt;$BS171+$BT171*$BT$2,CS171&lt;$BS171-$BT171*$BT$2),AVEDEV(ARRAYFORMULA(XLOOKUP(FILTER(INDIRECT(""'""&amp;CS$1&amp;""'!$C$4:$C$66""),INDIRECT(""'""&amp;CS$1&amp;""'!$D$4:$D$66"")=CS$2),$G$3:$BQ$3,$G171:$BQ171))),"""")"),"")</f>
        <v/>
      </c>
      <c r="CU171" s="251">
        <f>IFERROR(__xludf.DUMMYFUNCTION("AVERAGE(ARRAYFORMULA(XLOOKUP(FILTER(INDIRECT(""'""&amp;CU$1&amp;""'!$C$4:$C$66""),INDIRECT(""'""&amp;CU$1&amp;""'!$D$4:$D$66"")=CU$2),$G$3:$BQ$3,$G171:$BQ171)))"),-0.13333841545454547)</f>
        <v>-0.1333384155</v>
      </c>
      <c r="CV171" s="207" t="str">
        <f>IFERROR(__xludf.DUMMYFUNCTION("IF(OR(CU171&gt;$BS171+$BT171*$BT$2,CU171&lt;$BS171-$BT171*$BT$2),AVEDEV(ARRAYFORMULA(XLOOKUP(FILTER(INDIRECT(""'""&amp;CU$1&amp;""'!$C$4:$C$66""),INDIRECT(""'""&amp;CU$1&amp;""'!$D$4:$D$66"")=CU$2),$G$3:$BQ$3,$G171:$BQ171))),"""")"),"")</f>
        <v/>
      </c>
      <c r="CW171" s="251">
        <f>IFERROR(__xludf.DUMMYFUNCTION("AVERAGE(ARRAYFORMULA(XLOOKUP(FILTER(INDIRECT(""'""&amp;CW$1&amp;""'!$C$4:$C$66""),INDIRECT(""'""&amp;CW$1&amp;""'!$D$4:$D$66"")=CW$2),$G$3:$BQ$3,$G171:$BQ171)))"),0.77898702)</f>
        <v>0.77898702</v>
      </c>
      <c r="CX171" s="207" t="str">
        <f>IFERROR(__xludf.DUMMYFUNCTION("IF(OR(CW171&gt;$BS171+$BT171*$BT$2,CW171&lt;$BS171-$BT171*$BT$2),AVEDEV(ARRAYFORMULA(XLOOKUP(FILTER(INDIRECT(""'""&amp;CW$1&amp;""'!$C$4:$C$66""),INDIRECT(""'""&amp;CW$1&amp;""'!$D$4:$D$66"")=CW$2),$G$3:$BQ$3,$G171:$BQ171))),"""")"),"")</f>
        <v/>
      </c>
      <c r="CY171" s="251">
        <f>IFERROR(__xludf.DUMMYFUNCTION("AVERAGE(ARRAYFORMULA(XLOOKUP(FILTER(INDIRECT(""'""&amp;CY$1&amp;""'!$C$4:$C$66""),INDIRECT(""'""&amp;CY$1&amp;""'!$D$4:$D$66"")=CY$2),$G$3:$BQ$3,$G171:$BQ171)))"),0.9820905357142857)</f>
        <v>0.9820905357</v>
      </c>
      <c r="CZ171" s="207" t="str">
        <f>IFERROR(__xludf.DUMMYFUNCTION("IF(OR(CY171&gt;$BS171+$BT171*$BT$2,CY171&lt;$BS171-$BT171*$BT$2),AVEDEV(ARRAYFORMULA(XLOOKUP(FILTER(INDIRECT(""'""&amp;CY$1&amp;""'!$C$4:$C$66""),INDIRECT(""'""&amp;CY$1&amp;""'!$D$4:$D$66"")=CY$2),$G$3:$BQ$3,$G171:$BQ171))),"""")"),"")</f>
        <v/>
      </c>
      <c r="DA171" s="252"/>
      <c r="DB171" s="251">
        <f>IFERROR(__xludf.DUMMYFUNCTION("AVERAGE(ARRAYFORMULA(XLOOKUP(FILTER(INDIRECT(""'""&amp;DB$1&amp;""'!$C$4:$C$66""),INDIRECT(""'""&amp;DB$1&amp;""'!$D$4:$D$66"")=DB$2),$G$3:$BQ$3,$G171:$BQ171)))"),0.4880284636666667)</f>
        <v>0.4880284637</v>
      </c>
      <c r="DC171" s="207" t="str">
        <f>IFERROR(__xludf.DUMMYFUNCTION("IF(OR(DB171&gt;$BS171+$BT171*$BT$2,DB171&lt;$BS171-$BT171*$BT$2),AVEDEV(ARRAYFORMULA(XLOOKUP(FILTER(INDIRECT(""'""&amp;DB$1&amp;""'!$C$4:$C$66""),INDIRECT(""'""&amp;DB$1&amp;""'!$D$4:$D$66"")=DB$2),$G$3:$BQ$3,$G171:$BQ171))),"""")"),"")</f>
        <v/>
      </c>
      <c r="DD171" s="251">
        <f>IFERROR(__xludf.DUMMYFUNCTION("AVERAGE(ARRAYFORMULA(XLOOKUP(FILTER(INDIRECT(""'""&amp;DD$1&amp;""'!$C$4:$C$66""),INDIRECT(""'""&amp;DD$1&amp;""'!$D$4:$D$66"")=DD$2),$G$3:$BQ$3,$G171:$BQ171)))"),-0.23901214111111113)</f>
        <v>-0.2390121411</v>
      </c>
      <c r="DE171" s="207" t="str">
        <f>IFERROR(__xludf.DUMMYFUNCTION("IF(OR(DD171&gt;$BS171+$BT171*$BT$2,DD171&lt;$BS171-$BT171*$BT$2),AVEDEV(ARRAYFORMULA(XLOOKUP(FILTER(INDIRECT(""'""&amp;DD$1&amp;""'!$C$4:$C$66""),INDIRECT(""'""&amp;DD$1&amp;""'!$D$4:$D$66"")=DD$2),$G$3:$BQ$3,$G171:$BQ171))),"""")"),"")</f>
        <v/>
      </c>
      <c r="DF171" s="251">
        <f>IFERROR(__xludf.DUMMYFUNCTION("AVERAGE(ARRAYFORMULA(XLOOKUP(FILTER(INDIRECT(""'""&amp;DF$1&amp;""'!$C$4:$C$66""),INDIRECT(""'""&amp;DF$1&amp;""'!$D$4:$D$66"")=DF$2),$G$3:$BQ$3,$G171:$BQ171)))"),-0.37976141625)</f>
        <v>-0.3797614163</v>
      </c>
      <c r="DG171" s="207" t="str">
        <f>IFERROR(__xludf.DUMMYFUNCTION("IF(OR(DF171&gt;$BS171+$BT171*$BT$2,DF171&lt;$BS171-$BT171*$BT$2),AVEDEV(ARRAYFORMULA(XLOOKUP(FILTER(INDIRECT(""'""&amp;DF$1&amp;""'!$C$4:$C$66""),INDIRECT(""'""&amp;DF$1&amp;""'!$D$4:$D$66"")=DF$2),$G$3:$BQ$3,$G171:$BQ171))),"""")"),"")</f>
        <v/>
      </c>
      <c r="DH171" s="251">
        <f>IFERROR(__xludf.DUMMYFUNCTION("AVERAGE(ARRAYFORMULA(XLOOKUP(FILTER(INDIRECT(""'""&amp;DH$1&amp;""'!$C$4:$C$66""),INDIRECT(""'""&amp;DH$1&amp;""'!$D$4:$D$66"")=DH$2),$G$3:$BQ$3,$G171:$BQ171)))"),0.8073577855555556)</f>
        <v>0.8073577856</v>
      </c>
      <c r="DI171" s="207" t="str">
        <f>IFERROR(__xludf.DUMMYFUNCTION("IF(OR(DH171&gt;$BS171+$BT171*$BT$2,DH171&lt;$BS171-$BT171*$BT$2),AVEDEV(ARRAYFORMULA(XLOOKUP(FILTER(INDIRECT(""'""&amp;DH$1&amp;""'!$C$4:$C$66""),INDIRECT(""'""&amp;DH$1&amp;""'!$D$4:$D$66"")=DH$2),$G$3:$BQ$3,$G171:$BQ171))),"""")"),"")</f>
        <v/>
      </c>
      <c r="DJ171" s="243"/>
    </row>
    <row r="172">
      <c r="A172" s="2"/>
      <c r="B172" s="204">
        <v>168.0</v>
      </c>
      <c r="C172" s="204" t="s">
        <v>601</v>
      </c>
      <c r="D172" s="204" t="s">
        <v>615</v>
      </c>
      <c r="E172" s="205" t="b">
        <f>VLOOKUP(D172,'Feature Set List'!A169:C246,2,0)</f>
        <v>1</v>
      </c>
      <c r="F172" s="205" t="b">
        <f>VLOOKUP(D172,'Feature Set List'!A169:C246,3,0)</f>
        <v>1</v>
      </c>
      <c r="G172" s="205">
        <v>2.06630447</v>
      </c>
      <c r="H172" s="205">
        <v>0.0</v>
      </c>
      <c r="I172" s="205">
        <v>0.02017962</v>
      </c>
      <c r="J172" s="205">
        <v>-0.5894223</v>
      </c>
      <c r="K172" s="205">
        <v>2.31245149</v>
      </c>
      <c r="L172" s="205">
        <v>-0.1201907</v>
      </c>
      <c r="M172" s="205">
        <v>-1.2484754</v>
      </c>
      <c r="N172" s="205">
        <v>-0.13527</v>
      </c>
      <c r="O172" s="205">
        <v>-0.2590088</v>
      </c>
      <c r="P172" s="205">
        <v>0.41844994</v>
      </c>
      <c r="Q172" s="205">
        <v>1.57622796</v>
      </c>
      <c r="R172" s="205">
        <v>-0.3694423</v>
      </c>
      <c r="S172" s="205">
        <v>0.03015855</v>
      </c>
      <c r="T172" s="205">
        <v>4.14414015</v>
      </c>
      <c r="U172" s="205">
        <v>-1.1642089</v>
      </c>
      <c r="V172" s="205">
        <v>-0.6810068</v>
      </c>
      <c r="W172" s="205">
        <v>-0.7415456</v>
      </c>
      <c r="X172" s="205">
        <v>-0.7599512</v>
      </c>
      <c r="Y172" s="205">
        <v>1.07284621</v>
      </c>
      <c r="Z172" s="205">
        <v>-0.5313228</v>
      </c>
      <c r="AA172" s="205">
        <v>-0.3689988</v>
      </c>
      <c r="AB172" s="205">
        <v>-0.4350815</v>
      </c>
      <c r="AC172" s="205">
        <v>-0.2572347</v>
      </c>
      <c r="AD172" s="205">
        <v>0.6803415</v>
      </c>
      <c r="AE172" s="205">
        <v>0.90431312</v>
      </c>
      <c r="AF172" s="205">
        <v>0.33373988</v>
      </c>
      <c r="AG172" s="205">
        <v>-0.2814059</v>
      </c>
      <c r="AH172" s="205">
        <v>-0.4135713</v>
      </c>
      <c r="AI172" s="205">
        <v>-0.4856414</v>
      </c>
      <c r="AJ172" s="205">
        <v>-0.2261892</v>
      </c>
      <c r="AK172" s="205">
        <v>-0.0538862</v>
      </c>
      <c r="AL172" s="205">
        <v>0.34881916</v>
      </c>
      <c r="AM172" s="205">
        <v>1.32121078</v>
      </c>
      <c r="AN172" s="205">
        <v>0.13194367</v>
      </c>
      <c r="AO172" s="205">
        <v>-0.40581</v>
      </c>
      <c r="AP172" s="205">
        <v>0.49473334</v>
      </c>
      <c r="AQ172" s="205">
        <v>-0.7717042</v>
      </c>
      <c r="AR172" s="205">
        <v>0.65883136</v>
      </c>
      <c r="AS172" s="205">
        <v>1.23694423</v>
      </c>
      <c r="AT172" s="205">
        <v>-0.1146469</v>
      </c>
      <c r="AU172" s="205">
        <v>0.65062646</v>
      </c>
      <c r="AV172" s="205">
        <v>0.5741213</v>
      </c>
      <c r="AW172" s="205">
        <v>0.5605943</v>
      </c>
      <c r="AX172" s="205">
        <v>0.00887016</v>
      </c>
      <c r="AY172" s="205">
        <v>-0.9752744</v>
      </c>
      <c r="AZ172" s="205">
        <v>-0.2093358</v>
      </c>
      <c r="BA172" s="205">
        <v>1.17263555</v>
      </c>
      <c r="BB172" s="205">
        <v>-0.6754629</v>
      </c>
      <c r="BC172" s="205">
        <v>0.17740326</v>
      </c>
      <c r="BD172" s="205">
        <v>1.2192039</v>
      </c>
      <c r="BE172" s="205">
        <v>-0.6767934</v>
      </c>
      <c r="BF172" s="205">
        <v>0.22951547</v>
      </c>
      <c r="BG172" s="205">
        <v>4.13970507</v>
      </c>
      <c r="BH172" s="205">
        <v>0.25501719</v>
      </c>
      <c r="BI172" s="205">
        <v>0.44151236</v>
      </c>
      <c r="BJ172" s="205">
        <v>-0.1729682</v>
      </c>
      <c r="BK172" s="205">
        <v>0.0082049</v>
      </c>
      <c r="BL172" s="205">
        <v>-0.596075</v>
      </c>
      <c r="BM172" s="205">
        <v>-0.3330746</v>
      </c>
      <c r="BN172" s="205">
        <v>3.19281517</v>
      </c>
      <c r="BO172" s="205">
        <v>0.71582215</v>
      </c>
      <c r="BP172" s="205">
        <v>-0.1268433</v>
      </c>
      <c r="BQ172" s="205">
        <v>-0.256126</v>
      </c>
      <c r="BR172" s="206"/>
      <c r="BS172" s="250">
        <f t="shared" si="1"/>
        <v>0.2644716535</v>
      </c>
      <c r="BT172" s="250">
        <f t="shared" si="2"/>
        <v>0.7667791054</v>
      </c>
      <c r="BU172" s="206"/>
      <c r="BV172" s="207">
        <f>IFERROR(__xludf.DUMMYFUNCTION("AVERAGE(ARRAYFORMULA(XLOOKUP(FILTER(INDIRECT(""'""&amp;BV$1&amp;""'!$C$4:$C$66""),INDIRECT(""'""&amp;BV$1&amp;""'!$D$4:$D$66"")=BV$2),$G$3:$BQ$3,$G172:$BQ172)))"),-0.7505108285714286)</f>
        <v>-0.7505108286</v>
      </c>
      <c r="BW172" s="207">
        <f>IFERROR(__xludf.DUMMYFUNCTION("IF(OR(BV172&gt;$BS172+$BT172*$BT$2,BV172&lt;$BS172-$BT172*$BT$2),AVEDEV(ARRAYFORMULA(XLOOKUP(FILTER(INDIRECT(""'""&amp;BV$1&amp;""'!$C$4:$C$66""),INDIRECT(""'""&amp;BV$1&amp;""'!$D$4:$D$66"")=BV$2),$G$3:$BQ$3,$G172:$BQ172))),"""")"),0.1851148612244898)</f>
        <v>0.1851148612</v>
      </c>
      <c r="BX172" s="207">
        <f>IFERROR(__xludf.DUMMYFUNCTION("AVERAGE(ARRAYFORMULA(XLOOKUP(FILTER(INDIRECT(""'""&amp;BX$1&amp;""'!$C$4:$C$66""),INDIRECT(""'""&amp;BX$1&amp;""'!$D$4:$D$66"")=BX$2),$G$3:$BQ$3,$G172:$BQ172)))"),0.3207091878571428)</f>
        <v>0.3207091879</v>
      </c>
      <c r="BY172" s="207" t="str">
        <f>IFERROR(__xludf.DUMMYFUNCTION("IF(OR(BX172&gt;$BS172+$BT172*$BT$2,BX172&lt;$BS172-$BT172*$BT$2),AVEDEV(ARRAYFORMULA(XLOOKUP(FILTER(INDIRECT(""'""&amp;BX$1&amp;""'!$C$4:$C$66""),INDIRECT(""'""&amp;BX$1&amp;""'!$D$4:$D$66"")=BX$2),$G$3:$BQ$3,$G172:$BQ172))),"""")"),"")</f>
        <v/>
      </c>
      <c r="BZ172" s="207">
        <f>IFERROR(__xludf.DUMMYFUNCTION("AVERAGE(ARRAYFORMULA(XLOOKUP(FILTER(INDIRECT(""'""&amp;BZ$1&amp;""'!$C$4:$C$66""),INDIRECT(""'""&amp;BZ$1&amp;""'!$D$4:$D$66"")=BZ$2),$G$3:$BQ$3,$G172:$BQ172)))"),0.5959540090909091)</f>
        <v>0.5959540091</v>
      </c>
      <c r="CA172" s="207" t="str">
        <f>IFERROR(__xludf.DUMMYFUNCTION("IF(OR(BZ172&gt;$BS172+$BT172*$BT$2,BZ172&lt;$BS172-$BT172*$BT$2),AVEDEV(ARRAYFORMULA(XLOOKUP(FILTER(INDIRECT(""'""&amp;BZ$1&amp;""'!$C$4:$C$66""),INDIRECT(""'""&amp;BZ$1&amp;""'!$D$4:$D$66"")=BZ$2),$G$3:$BQ$3,$G172:$BQ172))),"""")"),"")</f>
        <v/>
      </c>
      <c r="CB172" s="209"/>
      <c r="CC172" s="207">
        <f>IFERROR(__xludf.DUMMYFUNCTION("AVERAGE(ARRAYFORMULA(XLOOKUP(FILTER(INDIRECT(""'""&amp;CC$1&amp;""'!$C$4:$C$66""),INDIRECT(""'""&amp;CC$1&amp;""'!$D$4:$D$66"")=CC$2),$G$3:$BQ$3,$G172:$BQ172)))"),-0.028190486250000042)</f>
        <v>-0.02819048625</v>
      </c>
      <c r="CD172" s="207" t="str">
        <f>IFERROR(__xludf.DUMMYFUNCTION("IF(OR(CC172&gt;$BS172+$BT172*$BT$2,CC172&lt;$BS172-$BT172*$BT$2),AVEDEV(ARRAYFORMULA(XLOOKUP(FILTER(INDIRECT(""'""&amp;CC$1&amp;""'!$C$4:$C$66""),INDIRECT(""'""&amp;CC$1&amp;""'!$D$4:$D$66"")=CC$2),$G$3:$BQ$3,$G172:$BQ172))),"""")"),"")</f>
        <v/>
      </c>
      <c r="CE172" s="207">
        <f>IFERROR(__xludf.DUMMYFUNCTION("AVERAGE(ARRAYFORMULA(XLOOKUP(FILTER(INDIRECT(""'""&amp;CE$1&amp;""'!$C$4:$C$66""),INDIRECT(""'""&amp;CE$1&amp;""'!$D$4:$D$66"")=CE$2),$G$3:$BQ$3,$G172:$BQ172)))"),0.08890192548387095)</f>
        <v>0.08890192548</v>
      </c>
      <c r="CF172" s="207" t="str">
        <f>IFERROR(__xludf.DUMMYFUNCTION("IF(OR(CE172&gt;$BS172+$BT172*$BT$2,CE172&lt;$BS172-$BT172*$BT$2),AVEDEV(ARRAYFORMULA(XLOOKUP(FILTER(INDIRECT(""'""&amp;CE$1&amp;""'!$C$4:$C$66""),INDIRECT(""'""&amp;CE$1&amp;""'!$D$4:$D$66"")=CE$2),$G$3:$BQ$3,$G172:$BQ172))),"""")"),"")</f>
        <v/>
      </c>
      <c r="CG172" s="207">
        <f>IFERROR(__xludf.DUMMYFUNCTION("AVERAGE(ARRAYFORMULA(XLOOKUP(FILTER(INDIRECT(""'""&amp;CG$1&amp;""'!$C$4:$C$66""),INDIRECT(""'""&amp;CG$1&amp;""'!$D$4:$D$66"")=CG$2),$G$3:$BQ$3,$G172:$BQ172)))"),2.222374988)</f>
        <v>2.222374988</v>
      </c>
      <c r="CH172" s="207">
        <f>IFERROR(__xludf.DUMMYFUNCTION("IF(OR(CG172&gt;$BS172+$BT172*$BT$2,CG172&lt;$BS172-$BT172*$BT$2),AVEDEV(ARRAYFORMULA(XLOOKUP(FILTER(INDIRECT(""'""&amp;CG$1&amp;""'!$C$4:$C$66""),INDIRECT(""'""&amp;CG$1&amp;""'!$D$4:$D$66"")=CG$2),$G$3:$BQ$3,$G172:$BQ172))),"""")"),1.5356380975999997)</f>
        <v>1.535638098</v>
      </c>
      <c r="CI172" s="206"/>
      <c r="CJ172" s="251">
        <f>IFERROR(__xludf.DUMMYFUNCTION("AVERAGE(ARRAYFORMULA(XLOOKUP(FILTER(INDIRECT(""'""&amp;CJ$1&amp;""'!$C$4:$C$66""),INDIRECT(""'""&amp;CJ$1&amp;""'!$D$4:$D$66"")=CJ$2),$G$3:$BQ$3,$G172:$BQ172)))"),-0.038333883333333325)</f>
        <v>-0.03833388333</v>
      </c>
      <c r="CK172" s="207" t="str">
        <f>IFERROR(__xludf.DUMMYFUNCTION("IF(OR(CJ172&gt;$BS172+$BT172*$BT$2,CJ172&lt;$BS172-$BT172*$BT$2),AVEDEV(ARRAYFORMULA(XLOOKUP(FILTER(INDIRECT(""'""&amp;CJ$1&amp;""'!$C$4:$C$66""),INDIRECT(""'""&amp;CJ$1&amp;""'!$D$4:$D$66"")=CJ$2),$G$3:$BQ$3,$G172:$BQ172))),"""")"),"")</f>
        <v/>
      </c>
      <c r="CL172" s="251">
        <f>IFERROR(__xludf.DUMMYFUNCTION("AVERAGE(ARRAYFORMULA(XLOOKUP(FILTER(INDIRECT(""'""&amp;CL$1&amp;""'!$C$4:$C$66""),INDIRECT(""'""&amp;CL$1&amp;""'!$D$4:$D$66"")=CL$2),$G$3:$BQ$3,$G172:$BQ172)))"),0.12386955128205124)</f>
        <v>0.1238695513</v>
      </c>
      <c r="CM172" s="207" t="str">
        <f>IFERROR(__xludf.DUMMYFUNCTION("IF(OR(CL172&gt;$BS172+$BT172*$BT$2,CL172&lt;$BS172-$BT172*$BT$2),AVEDEV(ARRAYFORMULA(XLOOKUP(FILTER(INDIRECT(""'""&amp;CL$1&amp;""'!$C$4:$C$66""),INDIRECT(""'""&amp;CL$1&amp;""'!$D$4:$D$66"")=CL$2),$G$3:$BQ$3,$G172:$BQ172))),"""")"),"")</f>
        <v/>
      </c>
      <c r="CN172" s="251">
        <f>IFERROR(__xludf.DUMMYFUNCTION("AVERAGE(ARRAYFORMULA(XLOOKUP(FILTER(INDIRECT(""'""&amp;CN$1&amp;""'!$C$4:$C$66""),INDIRECT(""'""&amp;CN$1&amp;""'!$D$4:$D$66"")=CN$2),$G$3:$BQ$3,$G172:$BQ172)))"),2.222374988)</f>
        <v>2.222374988</v>
      </c>
      <c r="CO172" s="207">
        <f>IFERROR(__xludf.DUMMYFUNCTION("IF(OR(CN172&gt;$BS172+$BT172*$BT$2,CN172&lt;$BS172-$BT172*$BT$2),AVEDEV(ARRAYFORMULA(XLOOKUP(FILTER(INDIRECT(""'""&amp;CN$1&amp;""'!$C$4:$C$66""),INDIRECT(""'""&amp;CN$1&amp;""'!$D$4:$D$66"")=CN$2),$G$3:$BQ$3,$G172:$BQ172))),"""")"),1.5356380975999997)</f>
        <v>1.535638098</v>
      </c>
      <c r="CP172" s="252"/>
      <c r="CQ172" s="251">
        <f>IFERROR(__xludf.DUMMYFUNCTION("AVERAGE(ARRAYFORMULA(XLOOKUP(FILTER(INDIRECT(""'""&amp;CQ$1&amp;""'!$C$4:$C$66""),INDIRECT(""'""&amp;CQ$1&amp;""'!$D$4:$D$66"")=CQ$2),$G$3:$BQ$3,$G172:$BQ172)))"),-0.03229689357142856)</f>
        <v>-0.03229689357</v>
      </c>
      <c r="CR172" s="207" t="str">
        <f>IFERROR(__xludf.DUMMYFUNCTION("IF(OR(CQ172&gt;$BS172+$BT172*$BT$2,CQ172&lt;$BS172-$BT172*$BT$2),AVEDEV(ARRAYFORMULA(XLOOKUP(FILTER(INDIRECT(""'""&amp;CQ$1&amp;""'!$C$4:$C$66""),INDIRECT(""'""&amp;CQ$1&amp;""'!$D$4:$D$66"")=CQ$2),$G$3:$BQ$3,$G172:$BQ172))),"""")"),"")</f>
        <v/>
      </c>
      <c r="CS172" s="251">
        <f>IFERROR(__xludf.DUMMYFUNCTION("AVERAGE(ARRAYFORMULA(XLOOKUP(FILTER(INDIRECT(""'""&amp;CS$1&amp;""'!$C$4:$C$66""),INDIRECT(""'""&amp;CS$1&amp;""'!$D$4:$D$66"")=CS$2),$G$3:$BQ$3,$G172:$BQ172)))"),0.7886560555555556)</f>
        <v>0.7886560556</v>
      </c>
      <c r="CT172" s="207" t="str">
        <f>IFERROR(__xludf.DUMMYFUNCTION("IF(OR(CS172&gt;$BS172+$BT172*$BT$2,CS172&lt;$BS172-$BT172*$BT$2),AVEDEV(ARRAYFORMULA(XLOOKUP(FILTER(INDIRECT(""'""&amp;CS$1&amp;""'!$C$4:$C$66""),INDIRECT(""'""&amp;CS$1&amp;""'!$D$4:$D$66"")=CS$2),$G$3:$BQ$3,$G172:$BQ172))),"""")"),"")</f>
        <v/>
      </c>
      <c r="CU172" s="251">
        <f>IFERROR(__xludf.DUMMYFUNCTION("AVERAGE(ARRAYFORMULA(XLOOKUP(FILTER(INDIRECT(""'""&amp;CU$1&amp;""'!$C$4:$C$66""),INDIRECT(""'""&amp;CU$1&amp;""'!$D$4:$D$66"")=CU$2),$G$3:$BQ$3,$G172:$BQ172)))"),0.4529226227272727)</f>
        <v>0.4529226227</v>
      </c>
      <c r="CV172" s="207" t="str">
        <f>IFERROR(__xludf.DUMMYFUNCTION("IF(OR(CU172&gt;$BS172+$BT172*$BT$2,CU172&lt;$BS172-$BT172*$BT$2),AVEDEV(ARRAYFORMULA(XLOOKUP(FILTER(INDIRECT(""'""&amp;CU$1&amp;""'!$C$4:$C$66""),INDIRECT(""'""&amp;CU$1&amp;""'!$D$4:$D$66"")=CU$2),$G$3:$BQ$3,$G172:$BQ172))),"""")"),"")</f>
        <v/>
      </c>
      <c r="CW172" s="251">
        <f>IFERROR(__xludf.DUMMYFUNCTION("AVERAGE(ARRAYFORMULA(XLOOKUP(FILTER(INDIRECT(""'""&amp;CW$1&amp;""'!$C$4:$C$66""),INDIRECT(""'""&amp;CW$1&amp;""'!$D$4:$D$66"")=CW$2),$G$3:$BQ$3,$G172:$BQ172)))"),0.467679345)</f>
        <v>0.467679345</v>
      </c>
      <c r="CX172" s="207" t="str">
        <f>IFERROR(__xludf.DUMMYFUNCTION("IF(OR(CW172&gt;$BS172+$BT172*$BT$2,CW172&lt;$BS172-$BT172*$BT$2),AVEDEV(ARRAYFORMULA(XLOOKUP(FILTER(INDIRECT(""'""&amp;CW$1&amp;""'!$C$4:$C$66""),INDIRECT(""'""&amp;CW$1&amp;""'!$D$4:$D$66"")=CW$2),$G$3:$BQ$3,$G172:$BQ172))),"""")"),"")</f>
        <v/>
      </c>
      <c r="CY172" s="251">
        <f>IFERROR(__xludf.DUMMYFUNCTION("AVERAGE(ARRAYFORMULA(XLOOKUP(FILTER(INDIRECT(""'""&amp;CY$1&amp;""'!$C$4:$C$66""),INDIRECT(""'""&amp;CY$1&amp;""'!$D$4:$D$66"")=CY$2),$G$3:$BQ$3,$G172:$BQ172)))"),0.30326452428571427)</f>
        <v>0.3032645243</v>
      </c>
      <c r="CZ172" s="207" t="str">
        <f>IFERROR(__xludf.DUMMYFUNCTION("IF(OR(CY172&gt;$BS172+$BT172*$BT$2,CY172&lt;$BS172-$BT172*$BT$2),AVEDEV(ARRAYFORMULA(XLOOKUP(FILTER(INDIRECT(""'""&amp;CY$1&amp;""'!$C$4:$C$66""),INDIRECT(""'""&amp;CY$1&amp;""'!$D$4:$D$66"")=CY$2),$G$3:$BQ$3,$G172:$BQ172))),"""")"),"")</f>
        <v/>
      </c>
      <c r="DA172" s="252"/>
      <c r="DB172" s="251">
        <f>IFERROR(__xludf.DUMMYFUNCTION("AVERAGE(ARRAYFORMULA(XLOOKUP(FILTER(INDIRECT(""'""&amp;DB$1&amp;""'!$C$4:$C$66""),INDIRECT(""'""&amp;DB$1&amp;""'!$D$4:$D$66"")=DB$2),$G$3:$BQ$3,$G172:$BQ172)))"),0.13717707199999996)</f>
        <v>0.137177072</v>
      </c>
      <c r="DC172" s="207" t="str">
        <f>IFERROR(__xludf.DUMMYFUNCTION("IF(OR(DB172&gt;$BS172+$BT172*$BT$2,DB172&lt;$BS172-$BT172*$BT$2),AVEDEV(ARRAYFORMULA(XLOOKUP(FILTER(INDIRECT(""'""&amp;DB$1&amp;""'!$C$4:$C$66""),INDIRECT(""'""&amp;DB$1&amp;""'!$D$4:$D$66"")=DB$2),$G$3:$BQ$3,$G172:$BQ172))),"""")"),"")</f>
        <v/>
      </c>
      <c r="DD172" s="251">
        <f>IFERROR(__xludf.DUMMYFUNCTION("AVERAGE(ARRAYFORMULA(XLOOKUP(FILTER(INDIRECT(""'""&amp;DD$1&amp;""'!$C$4:$C$66""),INDIRECT(""'""&amp;DD$1&amp;""'!$D$4:$D$66"")=DD$2),$G$3:$BQ$3,$G172:$BQ172)))"),0.6591516788888889)</f>
        <v>0.6591516789</v>
      </c>
      <c r="DE172" s="207" t="str">
        <f>IFERROR(__xludf.DUMMYFUNCTION("IF(OR(DD172&gt;$BS172+$BT172*$BT$2,DD172&lt;$BS172-$BT172*$BT$2),AVEDEV(ARRAYFORMULA(XLOOKUP(FILTER(INDIRECT(""'""&amp;DD$1&amp;""'!$C$4:$C$66""),INDIRECT(""'""&amp;DD$1&amp;""'!$D$4:$D$66"")=DD$2),$G$3:$BQ$3,$G172:$BQ172))),"""")"),"")</f>
        <v/>
      </c>
      <c r="DF172" s="251">
        <f>IFERROR(__xludf.DUMMYFUNCTION("AVERAGE(ARRAYFORMULA(XLOOKUP(FILTER(INDIRECT(""'""&amp;DF$1&amp;""'!$C$4:$C$66""),INDIRECT(""'""&amp;DF$1&amp;""'!$D$4:$D$66"")=DF$2),$G$3:$BQ$3,$G172:$BQ172)))"),-0.44278745625)</f>
        <v>-0.4427874563</v>
      </c>
      <c r="DG172" s="207" t="str">
        <f>IFERROR(__xludf.DUMMYFUNCTION("IF(OR(DF172&gt;$BS172+$BT172*$BT$2,DF172&lt;$BS172-$BT172*$BT$2),AVEDEV(ARRAYFORMULA(XLOOKUP(FILTER(INDIRECT(""'""&amp;DF$1&amp;""'!$C$4:$C$66""),INDIRECT(""'""&amp;DF$1&amp;""'!$D$4:$D$66"")=DF$2),$G$3:$BQ$3,$G172:$BQ172))),"""")"),"")</f>
        <v/>
      </c>
      <c r="DH172" s="251">
        <f>IFERROR(__xludf.DUMMYFUNCTION("AVERAGE(ARRAYFORMULA(XLOOKUP(FILTER(INDIRECT(""'""&amp;DH$1&amp;""'!$C$4:$C$66""),INDIRECT(""'""&amp;DH$1&amp;""'!$D$4:$D$66"")=DH$2),$G$3:$BQ$3,$G172:$BQ172)))"),1.0410368233333331)</f>
        <v>1.041036823</v>
      </c>
      <c r="DI172" s="207">
        <f>IFERROR(__xludf.DUMMYFUNCTION("IF(OR(DH172&gt;$BS172+$BT172*$BT$2,DH172&lt;$BS172-$BT172*$BT$2),AVEDEV(ARRAYFORMULA(XLOOKUP(FILTER(INDIRECT(""'""&amp;DH$1&amp;""'!$C$4:$C$66""),INDIRECT(""'""&amp;DH$1&amp;""'!$D$4:$D$66"")=DH$2),$G$3:$BQ$3,$G172:$BQ172))),"""")"),0.5910375770370369)</f>
        <v>0.591037577</v>
      </c>
      <c r="DJ172" s="243"/>
    </row>
    <row r="173">
      <c r="A173" s="2"/>
      <c r="B173" s="204">
        <v>169.0</v>
      </c>
      <c r="C173" s="204" t="s">
        <v>601</v>
      </c>
      <c r="D173" s="204" t="s">
        <v>616</v>
      </c>
      <c r="E173" s="205" t="b">
        <f>VLOOKUP(D173,'Feature Set List'!A170:C246,2,0)</f>
        <v>1</v>
      </c>
      <c r="F173" s="205" t="b">
        <f>VLOOKUP(D173,'Feature Set List'!A170:C246,3,0)</f>
        <v>1</v>
      </c>
      <c r="G173" s="205">
        <v>0.7134697</v>
      </c>
      <c r="H173" s="205">
        <v>-0.7556849</v>
      </c>
      <c r="I173" s="205">
        <v>1.00587531</v>
      </c>
      <c r="J173" s="205">
        <v>-0.0266565</v>
      </c>
      <c r="K173" s="205">
        <v>-0.6404635</v>
      </c>
      <c r="L173" s="205">
        <v>0.00190404</v>
      </c>
      <c r="M173" s="205">
        <v>0.051953</v>
      </c>
      <c r="N173" s="205">
        <v>0.05304102</v>
      </c>
      <c r="O173" s="205">
        <v>-0.5119138</v>
      </c>
      <c r="P173" s="205">
        <v>0.47845719</v>
      </c>
      <c r="Q173" s="205">
        <v>-0.2507888</v>
      </c>
      <c r="R173" s="205">
        <v>0.04542487</v>
      </c>
      <c r="S173" s="205">
        <v>-0.3196061</v>
      </c>
      <c r="T173" s="205">
        <v>0.15177891</v>
      </c>
      <c r="U173" s="205">
        <v>0.44173648</v>
      </c>
      <c r="V173" s="205">
        <v>-0.7604613</v>
      </c>
      <c r="W173" s="205">
        <v>0.60330758</v>
      </c>
      <c r="X173" s="205">
        <v>-0.6003699</v>
      </c>
      <c r="Y173" s="205">
        <v>0.63431618</v>
      </c>
      <c r="Z173" s="205">
        <v>-0.7768796</v>
      </c>
      <c r="AA173" s="205">
        <v>-0.4033837</v>
      </c>
      <c r="AB173" s="205">
        <v>0.76134262</v>
      </c>
      <c r="AC173" s="205">
        <v>0.13926667</v>
      </c>
      <c r="AD173" s="205">
        <v>-0.6988902</v>
      </c>
      <c r="AE173" s="205">
        <v>-0.2646611</v>
      </c>
      <c r="AF173" s="205">
        <v>0.0</v>
      </c>
      <c r="AG173" s="205">
        <v>-0.6902949</v>
      </c>
      <c r="AH173" s="205">
        <v>0.63921227</v>
      </c>
      <c r="AI173" s="205">
        <v>0.29757371</v>
      </c>
      <c r="AJ173" s="205">
        <v>1.39484278</v>
      </c>
      <c r="AK173" s="205">
        <v>-0.7319933</v>
      </c>
      <c r="AL173" s="205">
        <v>-0.6799859</v>
      </c>
      <c r="AM173" s="205">
        <v>0.93814601</v>
      </c>
      <c r="AN173" s="205">
        <v>0.18877162</v>
      </c>
      <c r="AO173" s="205">
        <v>-0.777886</v>
      </c>
      <c r="AP173" s="205">
        <v>-0.6490589</v>
      </c>
      <c r="AQ173" s="205">
        <v>-0.6528125</v>
      </c>
      <c r="AR173" s="205">
        <v>-0.7561745</v>
      </c>
      <c r="AS173" s="205">
        <v>0.24589272</v>
      </c>
      <c r="AT173" s="205">
        <v>0.41290393</v>
      </c>
      <c r="AU173" s="205">
        <v>-0.7863671</v>
      </c>
      <c r="AV173" s="205">
        <v>0.03073659</v>
      </c>
      <c r="AW173" s="205">
        <v>0.08921771</v>
      </c>
      <c r="AX173" s="205">
        <v>-0.769462</v>
      </c>
      <c r="AY173" s="205">
        <v>-0.7756882</v>
      </c>
      <c r="AZ173" s="205">
        <v>0.42079208</v>
      </c>
      <c r="BA173" s="205">
        <v>0.24698074</v>
      </c>
      <c r="BB173" s="205">
        <v>-0.3761832</v>
      </c>
      <c r="BC173" s="205">
        <v>-0.1496029</v>
      </c>
      <c r="BD173" s="205">
        <v>0.68708519</v>
      </c>
      <c r="BE173" s="205">
        <v>1.30453705</v>
      </c>
      <c r="BF173" s="205">
        <v>-0.4624089</v>
      </c>
      <c r="BG173" s="205">
        <v>0.05766511</v>
      </c>
      <c r="BH173" s="205">
        <v>-0.7479328</v>
      </c>
      <c r="BI173" s="205">
        <v>-0.7432271</v>
      </c>
      <c r="BJ173" s="205">
        <v>-0.1822435</v>
      </c>
      <c r="BK173" s="205">
        <v>-0.1096181</v>
      </c>
      <c r="BL173" s="205">
        <v>0.42976825</v>
      </c>
      <c r="BM173" s="205">
        <v>-0.1283865</v>
      </c>
      <c r="BN173" s="205">
        <v>0.01414427</v>
      </c>
      <c r="BO173" s="205">
        <v>0.79806332</v>
      </c>
      <c r="BP173" s="205">
        <v>0.20890001</v>
      </c>
      <c r="BQ173" s="205">
        <v>-0.5152323</v>
      </c>
      <c r="BR173" s="206"/>
      <c r="BS173" s="250">
        <f t="shared" si="1"/>
        <v>-0.05090811222</v>
      </c>
      <c r="BT173" s="250">
        <f t="shared" si="2"/>
        <v>0.4806481947</v>
      </c>
      <c r="BU173" s="206"/>
      <c r="BV173" s="207">
        <f>IFERROR(__xludf.DUMMYFUNCTION("AVERAGE(ARRAYFORMULA(XLOOKUP(FILTER(INDIRECT(""'""&amp;BV$1&amp;""'!$C$4:$C$66""),INDIRECT(""'""&amp;BV$1&amp;""'!$D$4:$D$66"")=BV$2),$G$3:$BQ$3,$G173:$BQ173)))"),-0.050583645714285703)</f>
        <v>-0.05058364571</v>
      </c>
      <c r="BW173" s="207" t="str">
        <f>IFERROR(__xludf.DUMMYFUNCTION("IF(OR(BV173&gt;$BS173+$BT173*$BT$2,BV173&lt;$BS173-$BT173*$BT$2),AVEDEV(ARRAYFORMULA(XLOOKUP(FILTER(INDIRECT(""'""&amp;BV$1&amp;""'!$C$4:$C$66""),INDIRECT(""'""&amp;BV$1&amp;""'!$D$4:$D$66"")=BV$2),$G$3:$BQ$3,$G173:$BQ173))),"""")"),"")</f>
        <v/>
      </c>
      <c r="BX173" s="207">
        <f>IFERROR(__xludf.DUMMYFUNCTION("AVERAGE(ARRAYFORMULA(XLOOKUP(FILTER(INDIRECT(""'""&amp;BX$1&amp;""'!$C$4:$C$66""),INDIRECT(""'""&amp;BX$1&amp;""'!$D$4:$D$66"")=BX$2),$G$3:$BQ$3,$G173:$BQ173)))"),-0.16510218738095234)</f>
        <v>-0.1651021874</v>
      </c>
      <c r="BY173" s="207" t="str">
        <f>IFERROR(__xludf.DUMMYFUNCTION("IF(OR(BX173&gt;$BS173+$BT173*$BT$2,BX173&lt;$BS173-$BT173*$BT$2),AVEDEV(ARRAYFORMULA(XLOOKUP(FILTER(INDIRECT(""'""&amp;BX$1&amp;""'!$C$4:$C$66""),INDIRECT(""'""&amp;BX$1&amp;""'!$D$4:$D$66"")=BX$2),$G$3:$BQ$3,$G173:$BQ173))),"""")"),"")</f>
        <v/>
      </c>
      <c r="BZ173" s="207">
        <f>IFERROR(__xludf.DUMMYFUNCTION("AVERAGE(ARRAYFORMULA(XLOOKUP(FILTER(INDIRECT(""'""&amp;BZ$1&amp;""'!$C$4:$C$66""),INDIRECT(""'""&amp;BZ$1&amp;""'!$D$4:$D$66"")=BZ$2),$G$3:$BQ$3,$G173:$BQ173)))"),0.28859753818181816)</f>
        <v>0.2885975382</v>
      </c>
      <c r="CA173" s="207" t="str">
        <f>IFERROR(__xludf.DUMMYFUNCTION("IF(OR(BZ173&gt;$BS173+$BT173*$BT$2,BZ173&lt;$BS173-$BT173*$BT$2),AVEDEV(ARRAYFORMULA(XLOOKUP(FILTER(INDIRECT(""'""&amp;BZ$1&amp;""'!$C$4:$C$66""),INDIRECT(""'""&amp;BZ$1&amp;""'!$D$4:$D$66"")=BZ$2),$G$3:$BQ$3,$G173:$BQ173))),"""")"),"")</f>
        <v/>
      </c>
      <c r="CB173" s="209"/>
      <c r="CC173" s="207">
        <f>IFERROR(__xludf.DUMMYFUNCTION("AVERAGE(ARRAYFORMULA(XLOOKUP(FILTER(INDIRECT(""'""&amp;CC$1&amp;""'!$C$4:$C$66""),INDIRECT(""'""&amp;CC$1&amp;""'!$D$4:$D$66"")=CC$2),$G$3:$BQ$3,$G173:$BQ173)))"),-0.2947628843750001)</f>
        <v>-0.2947628844</v>
      </c>
      <c r="CD173" s="207" t="str">
        <f>IFERROR(__xludf.DUMMYFUNCTION("IF(OR(CC173&gt;$BS173+$BT173*$BT$2,CC173&lt;$BS173-$BT173*$BT$2),AVEDEV(ARRAYFORMULA(XLOOKUP(FILTER(INDIRECT(""'""&amp;CC$1&amp;""'!$C$4:$C$66""),INDIRECT(""'""&amp;CC$1&amp;""'!$D$4:$D$66"")=CC$2),$G$3:$BQ$3,$G173:$BQ173))),"""")"),"")</f>
        <v/>
      </c>
      <c r="CE173" s="207">
        <f>IFERROR(__xludf.DUMMYFUNCTION("AVERAGE(ARRAYFORMULA(XLOOKUP(FILTER(INDIRECT(""'""&amp;CE$1&amp;""'!$C$4:$C$66""),INDIRECT(""'""&amp;CE$1&amp;""'!$D$4:$D$66"")=CE$2),$G$3:$BQ$3,$G173:$BQ173)))"),0.0165356335483871)</f>
        <v>0.01653563355</v>
      </c>
      <c r="CF173" s="207" t="str">
        <f>IFERROR(__xludf.DUMMYFUNCTION("IF(OR(CE173&gt;$BS173+$BT173*$BT$2,CE173&lt;$BS173-$BT173*$BT$2),AVEDEV(ARRAYFORMULA(XLOOKUP(FILTER(INDIRECT(""'""&amp;CE$1&amp;""'!$C$4:$C$66""),INDIRECT(""'""&amp;CE$1&amp;""'!$D$4:$D$66"")=CE$2),$G$3:$BQ$3,$G173:$BQ173))),"""")"),"")</f>
        <v/>
      </c>
      <c r="CG173" s="207">
        <f>IFERROR(__xludf.DUMMYFUNCTION("AVERAGE(ARRAYFORMULA(XLOOKUP(FILTER(INDIRECT(""'""&amp;CG$1&amp;""'!$C$4:$C$66""),INDIRECT(""'""&amp;CG$1&amp;""'!$D$4:$D$66"")=CG$2),$G$3:$BQ$3,$G173:$BQ173)))"),0.23615493400000004)</f>
        <v>0.236154934</v>
      </c>
      <c r="CH173" s="207" t="str">
        <f>IFERROR(__xludf.DUMMYFUNCTION("IF(OR(CG173&gt;$BS173+$BT173*$BT$2,CG173&lt;$BS173-$BT173*$BT$2),AVEDEV(ARRAYFORMULA(XLOOKUP(FILTER(INDIRECT(""'""&amp;CG$1&amp;""'!$C$4:$C$66""),INDIRECT(""'""&amp;CG$1&amp;""'!$D$4:$D$66"")=CG$2),$G$3:$BQ$3,$G173:$BQ173))),"""")"),"")</f>
        <v/>
      </c>
      <c r="CI173" s="206"/>
      <c r="CJ173" s="251">
        <f>IFERROR(__xludf.DUMMYFUNCTION("AVERAGE(ARRAYFORMULA(XLOOKUP(FILTER(INDIRECT(""'""&amp;CJ$1&amp;""'!$C$4:$C$66""),INDIRECT(""'""&amp;CJ$1&amp;""'!$D$4:$D$66"")=CJ$2),$G$3:$BQ$3,$G173:$BQ173)))"),0.27499365600000003)</f>
        <v>0.274993656</v>
      </c>
      <c r="CK173" s="207" t="str">
        <f>IFERROR(__xludf.DUMMYFUNCTION("IF(OR(CJ173&gt;$BS173+$BT173*$BT$2,CJ173&lt;$BS173-$BT173*$BT$2),AVEDEV(ARRAYFORMULA(XLOOKUP(FILTER(INDIRECT(""'""&amp;CJ$1&amp;""'!$C$4:$C$66""),INDIRECT(""'""&amp;CJ$1&amp;""'!$D$4:$D$66"")=CJ$2),$G$3:$BQ$3,$G173:$BQ173))),"""")"),"")</f>
        <v/>
      </c>
      <c r="CL173" s="251">
        <f>IFERROR(__xludf.DUMMYFUNCTION("AVERAGE(ARRAYFORMULA(XLOOKUP(FILTER(INDIRECT(""'""&amp;CL$1&amp;""'!$C$4:$C$66""),INDIRECT(""'""&amp;CL$1&amp;""'!$D$4:$D$66"")=CL$2),$G$3:$BQ$3,$G173:$BQ173)))"),-0.252544928974359)</f>
        <v>-0.252544929</v>
      </c>
      <c r="CM173" s="207" t="str">
        <f>IFERROR(__xludf.DUMMYFUNCTION("IF(OR(CL173&gt;$BS173+$BT173*$BT$2,CL173&lt;$BS173-$BT173*$BT$2),AVEDEV(ARRAYFORMULA(XLOOKUP(FILTER(INDIRECT(""'""&amp;CL$1&amp;""'!$C$4:$C$66""),INDIRECT(""'""&amp;CL$1&amp;""'!$D$4:$D$66"")=CL$2),$G$3:$BQ$3,$G173:$BQ173))),"""")"),"")</f>
        <v/>
      </c>
      <c r="CN173" s="251">
        <f>IFERROR(__xludf.DUMMYFUNCTION("AVERAGE(ARRAYFORMULA(XLOOKUP(FILTER(INDIRECT(""'""&amp;CN$1&amp;""'!$C$4:$C$66""),INDIRECT(""'""&amp;CN$1&amp;""'!$D$4:$D$66"")=CN$2),$G$3:$BQ$3,$G173:$BQ173)))"),0.23615493400000004)</f>
        <v>0.236154934</v>
      </c>
      <c r="CO173" s="207" t="str">
        <f>IFERROR(__xludf.DUMMYFUNCTION("IF(OR(CN173&gt;$BS173+$BT173*$BT$2,CN173&lt;$BS173-$BT173*$BT$2),AVEDEV(ARRAYFORMULA(XLOOKUP(FILTER(INDIRECT(""'""&amp;CN$1&amp;""'!$C$4:$C$66""),INDIRECT(""'""&amp;CN$1&amp;""'!$D$4:$D$66"")=CN$2),$G$3:$BQ$3,$G173:$BQ173))),"""")"),"")</f>
        <v/>
      </c>
      <c r="CP173" s="252"/>
      <c r="CQ173" s="251">
        <f>IFERROR(__xludf.DUMMYFUNCTION("AVERAGE(ARRAYFORMULA(XLOOKUP(FILTER(INDIRECT(""'""&amp;CQ$1&amp;""'!$C$4:$C$66""),INDIRECT(""'""&amp;CQ$1&amp;""'!$D$4:$D$66"")=CQ$2),$G$3:$BQ$3,$G173:$BQ173)))"),-0.38170027571428566)</f>
        <v>-0.3817002757</v>
      </c>
      <c r="CR173" s="207" t="str">
        <f>IFERROR(__xludf.DUMMYFUNCTION("IF(OR(CQ173&gt;$BS173+$BT173*$BT$2,CQ173&lt;$BS173-$BT173*$BT$2),AVEDEV(ARRAYFORMULA(XLOOKUP(FILTER(INDIRECT(""'""&amp;CQ$1&amp;""'!$C$4:$C$66""),INDIRECT(""'""&amp;CQ$1&amp;""'!$D$4:$D$66"")=CQ$2),$G$3:$BQ$3,$G173:$BQ173))),"""")"),"")</f>
        <v/>
      </c>
      <c r="CS173" s="251">
        <f>IFERROR(__xludf.DUMMYFUNCTION("AVERAGE(ARRAYFORMULA(XLOOKUP(FILTER(INDIRECT(""'""&amp;CS$1&amp;""'!$C$4:$C$66""),INDIRECT(""'""&amp;CS$1&amp;""'!$D$4:$D$66"")=CS$2),$G$3:$BQ$3,$G173:$BQ173)))"),0.32024081555555556)</f>
        <v>0.3202408156</v>
      </c>
      <c r="CT173" s="207" t="str">
        <f>IFERROR(__xludf.DUMMYFUNCTION("IF(OR(CS173&gt;$BS173+$BT173*$BT$2,CS173&lt;$BS173-$BT173*$BT$2),AVEDEV(ARRAYFORMULA(XLOOKUP(FILTER(INDIRECT(""'""&amp;CS$1&amp;""'!$C$4:$C$66""),INDIRECT(""'""&amp;CS$1&amp;""'!$D$4:$D$66"")=CS$2),$G$3:$BQ$3,$G173:$BQ173))),"""")"),"")</f>
        <v/>
      </c>
      <c r="CU173" s="251">
        <f>IFERROR(__xludf.DUMMYFUNCTION("AVERAGE(ARRAYFORMULA(XLOOKUP(FILTER(INDIRECT(""'""&amp;CU$1&amp;""'!$C$4:$C$66""),INDIRECT(""'""&amp;CU$1&amp;""'!$D$4:$D$66"")=CU$2),$G$3:$BQ$3,$G173:$BQ173)))"),0.31592170909090905)</f>
        <v>0.3159217091</v>
      </c>
      <c r="CV173" s="207" t="str">
        <f>IFERROR(__xludf.DUMMYFUNCTION("IF(OR(CU173&gt;$BS173+$BT173*$BT$2,CU173&lt;$BS173-$BT173*$BT$2),AVEDEV(ARRAYFORMULA(XLOOKUP(FILTER(INDIRECT(""'""&amp;CU$1&amp;""'!$C$4:$C$66""),INDIRECT(""'""&amp;CU$1&amp;""'!$D$4:$D$66"")=CU$2),$G$3:$BQ$3,$G173:$BQ173))),"""")"),"")</f>
        <v/>
      </c>
      <c r="CW173" s="251">
        <f>IFERROR(__xludf.DUMMYFUNCTION("AVERAGE(ARRAYFORMULA(XLOOKUP(FILTER(INDIRECT(""'""&amp;CW$1&amp;""'!$C$4:$C$66""),INDIRECT(""'""&amp;CW$1&amp;""'!$D$4:$D$66"")=CW$2),$G$3:$BQ$3,$G173:$BQ173)))"),-0.7234115)</f>
        <v>-0.7234115</v>
      </c>
      <c r="CX173" s="207">
        <f>IFERROR(__xludf.DUMMYFUNCTION("IF(OR(CW173&gt;$BS173+$BT173*$BT$2,CW173&lt;$BS173-$BT173*$BT$2),AVEDEV(ARRAYFORMULA(XLOOKUP(FILTER(INDIRECT(""'""&amp;CW$1&amp;""'!$C$4:$C$66""),INDIRECT(""'""&amp;CW$1&amp;""'!$D$4:$D$66"")=CW$2),$G$3:$BQ$3,$G173:$BQ173))),"""")"),0.024521299999999968)</f>
        <v>0.0245213</v>
      </c>
      <c r="CY173" s="251">
        <f>IFERROR(__xludf.DUMMYFUNCTION("AVERAGE(ARRAYFORMULA(XLOOKUP(FILTER(INDIRECT(""'""&amp;CY$1&amp;""'!$C$4:$C$66""),INDIRECT(""'""&amp;CY$1&amp;""'!$D$4:$D$66"")=CY$2),$G$3:$BQ$3,$G173:$BQ173)))"),-0.20024578214285713)</f>
        <v>-0.2002457821</v>
      </c>
      <c r="CZ173" s="207" t="str">
        <f>IFERROR(__xludf.DUMMYFUNCTION("IF(OR(CY173&gt;$BS173+$BT173*$BT$2,CY173&lt;$BS173-$BT173*$BT$2),AVEDEV(ARRAYFORMULA(XLOOKUP(FILTER(INDIRECT(""'""&amp;CY$1&amp;""'!$C$4:$C$66""),INDIRECT(""'""&amp;CY$1&amp;""'!$D$4:$D$66"")=CY$2),$G$3:$BQ$3,$G173:$BQ173))),"""")"),"")</f>
        <v/>
      </c>
      <c r="DA173" s="252"/>
      <c r="DB173" s="251">
        <f>IFERROR(__xludf.DUMMYFUNCTION("AVERAGE(ARRAYFORMULA(XLOOKUP(FILTER(INDIRECT(""'""&amp;DB$1&amp;""'!$C$4:$C$66""),INDIRECT(""'""&amp;DB$1&amp;""'!$D$4:$D$66"")=DB$2),$G$3:$BQ$3,$G173:$BQ173)))"),-0.204150173)</f>
        <v>-0.204150173</v>
      </c>
      <c r="DC173" s="207" t="str">
        <f>IFERROR(__xludf.DUMMYFUNCTION("IF(OR(DB173&gt;$BS173+$BT173*$BT$2,DB173&lt;$BS173-$BT173*$BT$2),AVEDEV(ARRAYFORMULA(XLOOKUP(FILTER(INDIRECT(""'""&amp;DB$1&amp;""'!$C$4:$C$66""),INDIRECT(""'""&amp;DB$1&amp;""'!$D$4:$D$66"")=DB$2),$G$3:$BQ$3,$G173:$BQ173))),"""")"),"")</f>
        <v/>
      </c>
      <c r="DD173" s="251">
        <f>IFERROR(__xludf.DUMMYFUNCTION("AVERAGE(ARRAYFORMULA(XLOOKUP(FILTER(INDIRECT(""'""&amp;DD$1&amp;""'!$C$4:$C$66""),INDIRECT(""'""&amp;DD$1&amp;""'!$D$4:$D$66"")=DD$2),$G$3:$BQ$3,$G173:$BQ173)))"),0.23891125)</f>
        <v>0.23891125</v>
      </c>
      <c r="DE173" s="207" t="str">
        <f>IFERROR(__xludf.DUMMYFUNCTION("IF(OR(DD173&gt;$BS173+$BT173*$BT$2,DD173&lt;$BS173-$BT173*$BT$2),AVEDEV(ARRAYFORMULA(XLOOKUP(FILTER(INDIRECT(""'""&amp;DD$1&amp;""'!$C$4:$C$66""),INDIRECT(""'""&amp;DD$1&amp;""'!$D$4:$D$66"")=DD$2),$G$3:$BQ$3,$G173:$BQ173))),"""")"),"")</f>
        <v/>
      </c>
      <c r="DF173" s="251">
        <f>IFERROR(__xludf.DUMMYFUNCTION("AVERAGE(ARRAYFORMULA(XLOOKUP(FILTER(INDIRECT(""'""&amp;DF$1&amp;""'!$C$4:$C$66""),INDIRECT(""'""&amp;DF$1&amp;""'!$D$4:$D$66"")=DF$2),$G$3:$BQ$3,$G173:$BQ173)))"),0.03652555125000001)</f>
        <v>0.03652555125</v>
      </c>
      <c r="DG173" s="207" t="str">
        <f>IFERROR(__xludf.DUMMYFUNCTION("IF(OR(DF173&gt;$BS173+$BT173*$BT$2,DF173&lt;$BS173-$BT173*$BT$2),AVEDEV(ARRAYFORMULA(XLOOKUP(FILTER(INDIRECT(""'""&amp;DF$1&amp;""'!$C$4:$C$66""),INDIRECT(""'""&amp;DF$1&amp;""'!$D$4:$D$66"")=DF$2),$G$3:$BQ$3,$G173:$BQ173))),"""")"),"")</f>
        <v/>
      </c>
      <c r="DH173" s="251">
        <f>IFERROR(__xludf.DUMMYFUNCTION("AVERAGE(ARRAYFORMULA(XLOOKUP(FILTER(INDIRECT(""'""&amp;DH$1&amp;""'!$C$4:$C$66""),INDIRECT(""'""&amp;DH$1&amp;""'!$D$4:$D$66"")=DH$2),$G$3:$BQ$3,$G173:$BQ173)))"),0.14143969)</f>
        <v>0.14143969</v>
      </c>
      <c r="DI173" s="207" t="str">
        <f>IFERROR(__xludf.DUMMYFUNCTION("IF(OR(DH173&gt;$BS173+$BT173*$BT$2,DH173&lt;$BS173-$BT173*$BT$2),AVEDEV(ARRAYFORMULA(XLOOKUP(FILTER(INDIRECT(""'""&amp;DH$1&amp;""'!$C$4:$C$66""),INDIRECT(""'""&amp;DH$1&amp;""'!$D$4:$D$66"")=DH$2),$G$3:$BQ$3,$G173:$BQ173))),"""")"),"")</f>
        <v/>
      </c>
      <c r="DJ173" s="243"/>
    </row>
    <row r="174">
      <c r="A174" s="2"/>
      <c r="B174" s="204">
        <v>170.0</v>
      </c>
      <c r="C174" s="204" t="s">
        <v>601</v>
      </c>
      <c r="D174" s="204" t="s">
        <v>617</v>
      </c>
      <c r="E174" s="205" t="b">
        <f>VLOOKUP(D174,'Feature Set List'!A171:C246,2,0)</f>
        <v>1</v>
      </c>
      <c r="F174" s="205" t="b">
        <f>VLOOKUP(D174,'Feature Set List'!A171:C246,3,0)</f>
        <v>0</v>
      </c>
      <c r="G174" s="205">
        <v>0.66666667</v>
      </c>
      <c r="H174" s="205">
        <v>0.33333333</v>
      </c>
      <c r="I174" s="205">
        <v>0.0</v>
      </c>
      <c r="J174" s="205">
        <v>0.66666667</v>
      </c>
      <c r="K174" s="205">
        <v>0.0</v>
      </c>
      <c r="L174" s="205">
        <v>-0.6666667</v>
      </c>
      <c r="M174" s="205">
        <v>-1.0</v>
      </c>
      <c r="N174" s="205">
        <v>0.33333333</v>
      </c>
      <c r="O174" s="205">
        <v>1.33333333</v>
      </c>
      <c r="P174" s="205">
        <v>-1.0</v>
      </c>
      <c r="Q174" s="205">
        <v>0.0</v>
      </c>
      <c r="R174" s="205">
        <v>-0.3333333</v>
      </c>
      <c r="S174" s="205">
        <v>1.0</v>
      </c>
      <c r="T174" s="205">
        <v>-0.3333333</v>
      </c>
      <c r="U174" s="205">
        <v>0.33333333</v>
      </c>
      <c r="V174" s="205">
        <v>0.33333333</v>
      </c>
      <c r="W174" s="205">
        <v>-0.6666667</v>
      </c>
      <c r="X174" s="205">
        <v>1.0</v>
      </c>
      <c r="Y174" s="205">
        <v>-1.0</v>
      </c>
      <c r="Z174" s="205">
        <v>1.66666667</v>
      </c>
      <c r="AA174" s="205">
        <v>0.33333333</v>
      </c>
      <c r="AB174" s="205">
        <v>0.0</v>
      </c>
      <c r="AC174" s="205">
        <v>0.0</v>
      </c>
      <c r="AD174" s="205">
        <v>0.33333333</v>
      </c>
      <c r="AE174" s="205">
        <v>0.33333333</v>
      </c>
      <c r="AF174" s="205">
        <v>-0.6666667</v>
      </c>
      <c r="AG174" s="205">
        <v>0.33333333</v>
      </c>
      <c r="AH174" s="205">
        <v>0.0</v>
      </c>
      <c r="AI174" s="205">
        <v>-0.3333333</v>
      </c>
      <c r="AJ174" s="205">
        <v>-0.6666667</v>
      </c>
      <c r="AK174" s="205">
        <v>0.0</v>
      </c>
      <c r="AL174" s="205">
        <v>0.0</v>
      </c>
      <c r="AM174" s="205">
        <v>0.33333333</v>
      </c>
      <c r="AN174" s="205">
        <v>0.0</v>
      </c>
      <c r="AO174" s="205">
        <v>0.66666667</v>
      </c>
      <c r="AP174" s="205">
        <v>0.66666667</v>
      </c>
      <c r="AQ174" s="205">
        <v>0.66666667</v>
      </c>
      <c r="AR174" s="205">
        <v>-0.3333333</v>
      </c>
      <c r="AS174" s="205">
        <v>-0.6666667</v>
      </c>
      <c r="AT174" s="205">
        <v>0.33333333</v>
      </c>
      <c r="AU174" s="205">
        <v>-0.3333333</v>
      </c>
      <c r="AV174" s="205">
        <v>0.33333333</v>
      </c>
      <c r="AW174" s="205">
        <v>0.66666667</v>
      </c>
      <c r="AX174" s="205">
        <v>0.33333333</v>
      </c>
      <c r="AY174" s="205">
        <v>0.33333333</v>
      </c>
      <c r="AZ174" s="205">
        <v>0.66666667</v>
      </c>
      <c r="BA174" s="205">
        <v>-0.6666667</v>
      </c>
      <c r="BB174" s="205">
        <v>0.33333333</v>
      </c>
      <c r="BC174" s="205">
        <v>0.33333333</v>
      </c>
      <c r="BD174" s="205">
        <v>-1.0</v>
      </c>
      <c r="BE174" s="205">
        <v>0.66666667</v>
      </c>
      <c r="BF174" s="205">
        <v>0.33333333</v>
      </c>
      <c r="BG174" s="205">
        <v>-0.6666667</v>
      </c>
      <c r="BH174" s="205">
        <v>0.33333333</v>
      </c>
      <c r="BI174" s="205">
        <v>-0.6666667</v>
      </c>
      <c r="BJ174" s="205">
        <v>0.33333333</v>
      </c>
      <c r="BK174" s="205">
        <v>-0.3333333</v>
      </c>
      <c r="BL174" s="205">
        <v>-0.6666667</v>
      </c>
      <c r="BM174" s="205">
        <v>-0.6666667</v>
      </c>
      <c r="BN174" s="205">
        <v>-1.0</v>
      </c>
      <c r="BO174" s="205">
        <v>-0.6666667</v>
      </c>
      <c r="BP174" s="205">
        <v>-0.6666667</v>
      </c>
      <c r="BQ174" s="205">
        <v>-1.0</v>
      </c>
      <c r="BR174" s="206"/>
      <c r="BS174" s="250">
        <f t="shared" si="1"/>
        <v>0.005291001587</v>
      </c>
      <c r="BT174" s="250">
        <f t="shared" si="2"/>
        <v>0.5134794683</v>
      </c>
      <c r="BU174" s="206"/>
      <c r="BV174" s="207">
        <f>IFERROR(__xludf.DUMMYFUNCTION("AVERAGE(ARRAYFORMULA(XLOOKUP(FILTER(INDIRECT(""'""&amp;BV$1&amp;""'!$C$4:$C$66""),INDIRECT(""'""&amp;BV$1&amp;""'!$D$4:$D$66"")=BV$2),$G$3:$BQ$3,$G174:$BQ174)))"),0.3809523757142857)</f>
        <v>0.3809523757</v>
      </c>
      <c r="BW174" s="207" t="str">
        <f>IFERROR(__xludf.DUMMYFUNCTION("IF(OR(BV174&gt;$BS174+$BT174*$BT$2,BV174&lt;$BS174-$BT174*$BT$2),AVEDEV(ARRAYFORMULA(XLOOKUP(FILTER(INDIRECT(""'""&amp;BV$1&amp;""'!$C$4:$C$66""),INDIRECT(""'""&amp;BV$1&amp;""'!$D$4:$D$66"")=BV$2),$G$3:$BQ$3,$G174:$BQ174))),"""")"),"")</f>
        <v/>
      </c>
      <c r="BX174" s="207">
        <f>IFERROR(__xludf.DUMMYFUNCTION("AVERAGE(ARRAYFORMULA(XLOOKUP(FILTER(INDIRECT(""'""&amp;BX$1&amp;""'!$C$4:$C$66""),INDIRECT(""'""&amp;BX$1&amp;""'!$D$4:$D$66"")=BX$2),$G$3:$BQ$3,$G174:$BQ174)))"),0.10317460071428569)</f>
        <v>0.1031746007</v>
      </c>
      <c r="BY174" s="207" t="str">
        <f>IFERROR(__xludf.DUMMYFUNCTION("IF(OR(BX174&gt;$BS174+$BT174*$BT$2,BX174&lt;$BS174-$BT174*$BT$2),AVEDEV(ARRAYFORMULA(XLOOKUP(FILTER(INDIRECT(""'""&amp;BX$1&amp;""'!$C$4:$C$66""),INDIRECT(""'""&amp;BX$1&amp;""'!$D$4:$D$66"")=BX$2),$G$3:$BQ$3,$G174:$BQ174))),"""")"),"")</f>
        <v/>
      </c>
      <c r="BZ174" s="207">
        <f>IFERROR(__xludf.DUMMYFUNCTION("AVERAGE(ARRAYFORMULA(XLOOKUP(FILTER(INDIRECT(""'""&amp;BZ$1&amp;""'!$C$4:$C$66""),INDIRECT(""'""&amp;BZ$1&amp;""'!$D$4:$D$66"")=BZ$2),$G$3:$BQ$3,$G174:$BQ174)))"),-0.4848484963636364)</f>
        <v>-0.4848484964</v>
      </c>
      <c r="CA174" s="207" t="str">
        <f>IFERROR(__xludf.DUMMYFUNCTION("IF(OR(BZ174&gt;$BS174+$BT174*$BT$2,BZ174&lt;$BS174-$BT174*$BT$2),AVEDEV(ARRAYFORMULA(XLOOKUP(FILTER(INDIRECT(""'""&amp;BZ$1&amp;""'!$C$4:$C$66""),INDIRECT(""'""&amp;BZ$1&amp;""'!$D$4:$D$66"")=BZ$2),$G$3:$BQ$3,$G174:$BQ174))),"""")"),"")</f>
        <v/>
      </c>
      <c r="CB174" s="209"/>
      <c r="CC174" s="207">
        <f>IFERROR(__xludf.DUMMYFUNCTION("AVERAGE(ARRAYFORMULA(XLOOKUP(FILTER(INDIRECT(""'""&amp;CC$1&amp;""'!$C$4:$C$66""),INDIRECT(""'""&amp;CC$1&amp;""'!$D$4:$D$66"")=CC$2),$G$3:$BQ$3,$G174:$BQ174)))"),0.33333333437500007)</f>
        <v>0.3333333344</v>
      </c>
      <c r="CD174" s="207" t="str">
        <f>IFERROR(__xludf.DUMMYFUNCTION("IF(OR(CC174&gt;$BS174+$BT174*$BT$2,CC174&lt;$BS174-$BT174*$BT$2),AVEDEV(ARRAYFORMULA(XLOOKUP(FILTER(INDIRECT(""'""&amp;CC$1&amp;""'!$C$4:$C$66""),INDIRECT(""'""&amp;CC$1&amp;""'!$D$4:$D$66"")=CC$2),$G$3:$BQ$3,$G174:$BQ174))),"""")"),"")</f>
        <v/>
      </c>
      <c r="CE174" s="207">
        <f>IFERROR(__xludf.DUMMYFUNCTION("AVERAGE(ARRAYFORMULA(XLOOKUP(FILTER(INDIRECT(""'""&amp;CE$1&amp;""'!$C$4:$C$66""),INDIRECT(""'""&amp;CE$1&amp;""'!$D$4:$D$66"")=CE$2),$G$3:$BQ$3,$G174:$BQ174)))"),-0.021505381290322586)</f>
        <v>-0.02150538129</v>
      </c>
      <c r="CF174" s="207" t="str">
        <f>IFERROR(__xludf.DUMMYFUNCTION("IF(OR(CE174&gt;$BS174+$BT174*$BT$2,CE174&lt;$BS174-$BT174*$BT$2),AVEDEV(ARRAYFORMULA(XLOOKUP(FILTER(INDIRECT(""'""&amp;CE$1&amp;""'!$C$4:$C$66""),INDIRECT(""'""&amp;CE$1&amp;""'!$D$4:$D$66"")=CE$2),$G$3:$BQ$3,$G174:$BQ174))),"""")"),"")</f>
        <v/>
      </c>
      <c r="CG174" s="207">
        <f>IFERROR(__xludf.DUMMYFUNCTION("AVERAGE(ARRAYFORMULA(XLOOKUP(FILTER(INDIRECT(""'""&amp;CG$1&amp;""'!$C$4:$C$66""),INDIRECT(""'""&amp;CG$1&amp;""'!$D$4:$D$66"")=CG$2),$G$3:$BQ$3,$G174:$BQ174)))"),-0.66666668)</f>
        <v>-0.66666668</v>
      </c>
      <c r="CH174" s="207">
        <f>IFERROR(__xludf.DUMMYFUNCTION("IF(OR(CG174&gt;$BS174+$BT174*$BT$2,CG174&lt;$BS174-$BT174*$BT$2),AVEDEV(ARRAYFORMULA(XLOOKUP(FILTER(INDIRECT(""'""&amp;CG$1&amp;""'!$C$4:$C$66""),INDIRECT(""'""&amp;CG$1&amp;""'!$D$4:$D$66"")=CG$2),$G$3:$BQ$3,$G174:$BQ174))),"""")"),0.133333352)</f>
        <v>0.133333352</v>
      </c>
      <c r="CI174" s="206"/>
      <c r="CJ174" s="251">
        <f>IFERROR(__xludf.DUMMYFUNCTION("AVERAGE(ARRAYFORMULA(XLOOKUP(FILTER(INDIRECT(""'""&amp;CJ$1&amp;""'!$C$4:$C$66""),INDIRECT(""'""&amp;CJ$1&amp;""'!$D$4:$D$66"")=CJ$2),$G$3:$BQ$3,$G174:$BQ174)))"),0.133333328)</f>
        <v>0.133333328</v>
      </c>
      <c r="CK174" s="207" t="str">
        <f>IFERROR(__xludf.DUMMYFUNCTION("IF(OR(CJ174&gt;$BS174+$BT174*$BT$2,CJ174&lt;$BS174-$BT174*$BT$2),AVEDEV(ARRAYFORMULA(XLOOKUP(FILTER(INDIRECT(""'""&amp;CJ$1&amp;""'!$C$4:$C$66""),INDIRECT(""'""&amp;CJ$1&amp;""'!$D$4:$D$66"")=CJ$2),$G$3:$BQ$3,$G174:$BQ174))),"""")"),"")</f>
        <v/>
      </c>
      <c r="CL174" s="251">
        <f>IFERROR(__xludf.DUMMYFUNCTION("AVERAGE(ARRAYFORMULA(XLOOKUP(FILTER(INDIRECT(""'""&amp;CL$1&amp;""'!$C$4:$C$66""),INDIRECT(""'""&amp;CL$1&amp;""'!$D$4:$D$66"")=CL$2),$G$3:$BQ$3,$G174:$BQ174)))"),0.09401709179487179)</f>
        <v>0.09401709179</v>
      </c>
      <c r="CM174" s="207" t="str">
        <f>IFERROR(__xludf.DUMMYFUNCTION("IF(OR(CL174&gt;$BS174+$BT174*$BT$2,CL174&lt;$BS174-$BT174*$BT$2),AVEDEV(ARRAYFORMULA(XLOOKUP(FILTER(INDIRECT(""'""&amp;CL$1&amp;""'!$C$4:$C$66""),INDIRECT(""'""&amp;CL$1&amp;""'!$D$4:$D$66"")=CL$2),$G$3:$BQ$3,$G174:$BQ174))),"""")"),"")</f>
        <v/>
      </c>
      <c r="CN174" s="251">
        <f>IFERROR(__xludf.DUMMYFUNCTION("AVERAGE(ARRAYFORMULA(XLOOKUP(FILTER(INDIRECT(""'""&amp;CN$1&amp;""'!$C$4:$C$66""),INDIRECT(""'""&amp;CN$1&amp;""'!$D$4:$D$66"")=CN$2),$G$3:$BQ$3,$G174:$BQ174)))"),-0.66666668)</f>
        <v>-0.66666668</v>
      </c>
      <c r="CO174" s="207">
        <f>IFERROR(__xludf.DUMMYFUNCTION("IF(OR(CN174&gt;$BS174+$BT174*$BT$2,CN174&lt;$BS174-$BT174*$BT$2),AVEDEV(ARRAYFORMULA(XLOOKUP(FILTER(INDIRECT(""'""&amp;CN$1&amp;""'!$C$4:$C$66""),INDIRECT(""'""&amp;CN$1&amp;""'!$D$4:$D$66"")=CN$2),$G$3:$BQ$3,$G174:$BQ174))),"""")"),0.133333352)</f>
        <v>0.133333352</v>
      </c>
      <c r="CP174" s="252"/>
      <c r="CQ174" s="251">
        <f>IFERROR(__xludf.DUMMYFUNCTION("AVERAGE(ARRAYFORMULA(XLOOKUP(FILTER(INDIRECT(""'""&amp;CQ$1&amp;""'!$C$4:$C$66""),INDIRECT(""'""&amp;CQ$1&amp;""'!$D$4:$D$66"")=CQ$2),$G$3:$BQ$3,$G174:$BQ174)))"),0.28571429)</f>
        <v>0.28571429</v>
      </c>
      <c r="CR174" s="207" t="str">
        <f>IFERROR(__xludf.DUMMYFUNCTION("IF(OR(CQ174&gt;$BS174+$BT174*$BT$2,CQ174&lt;$BS174-$BT174*$BT$2),AVEDEV(ARRAYFORMULA(XLOOKUP(FILTER(INDIRECT(""'""&amp;CQ$1&amp;""'!$C$4:$C$66""),INDIRECT(""'""&amp;CQ$1&amp;""'!$D$4:$D$66"")=CQ$2),$G$3:$BQ$3,$G174:$BQ174))),"""")"),"")</f>
        <v/>
      </c>
      <c r="CS174" s="251">
        <f>IFERROR(__xludf.DUMMYFUNCTION("AVERAGE(ARRAYFORMULA(XLOOKUP(FILTER(INDIRECT(""'""&amp;CS$1&amp;""'!$C$4:$C$66""),INDIRECT(""'""&amp;CS$1&amp;""'!$D$4:$D$66"")=CS$2),$G$3:$BQ$3,$G174:$BQ174)))"),-0.5925926033333333)</f>
        <v>-0.5925926033</v>
      </c>
      <c r="CT174" s="207">
        <f>IFERROR(__xludf.DUMMYFUNCTION("IF(OR(CS174&gt;$BS174+$BT174*$BT$2,CS174&lt;$BS174-$BT174*$BT$2),AVEDEV(ARRAYFORMULA(XLOOKUP(FILTER(INDIRECT(""'""&amp;CS$1&amp;""'!$C$4:$C$66""),INDIRECT(""'""&amp;CS$1&amp;""'!$D$4:$D$66"")=CS$2),$G$3:$BQ$3,$G174:$BQ174))),"""")"),0.3374485725925926)</f>
        <v>0.3374485726</v>
      </c>
      <c r="CU174" s="251">
        <f>IFERROR(__xludf.DUMMYFUNCTION("AVERAGE(ARRAYFORMULA(XLOOKUP(FILTER(INDIRECT(""'""&amp;CU$1&amp;""'!$C$4:$C$66""),INDIRECT(""'""&amp;CU$1&amp;""'!$D$4:$D$66"")=CU$2),$G$3:$BQ$3,$G174:$BQ174)))"),0.15151514454545453)</f>
        <v>0.1515151445</v>
      </c>
      <c r="CV174" s="207" t="str">
        <f>IFERROR(__xludf.DUMMYFUNCTION("IF(OR(CU174&gt;$BS174+$BT174*$BT$2,CU174&lt;$BS174-$BT174*$BT$2),AVEDEV(ARRAYFORMULA(XLOOKUP(FILTER(INDIRECT(""'""&amp;CU$1&amp;""'!$C$4:$C$66""),INDIRECT(""'""&amp;CU$1&amp;""'!$D$4:$D$66"")=CU$2),$G$3:$BQ$3,$G174:$BQ174))),"""")"),"")</f>
        <v/>
      </c>
      <c r="CW174" s="251">
        <f>IFERROR(__xludf.DUMMYFUNCTION("AVERAGE(ARRAYFORMULA(XLOOKUP(FILTER(INDIRECT(""'""&amp;CW$1&amp;""'!$C$4:$C$66""),INDIRECT(""'""&amp;CW$1&amp;""'!$D$4:$D$66"")=CW$2),$G$3:$BQ$3,$G174:$BQ174)))"),0.33333333)</f>
        <v>0.33333333</v>
      </c>
      <c r="CX174" s="207" t="str">
        <f>IFERROR(__xludf.DUMMYFUNCTION("IF(OR(CW174&gt;$BS174+$BT174*$BT$2,CW174&lt;$BS174-$BT174*$BT$2),AVEDEV(ARRAYFORMULA(XLOOKUP(FILTER(INDIRECT(""'""&amp;CW$1&amp;""'!$C$4:$C$66""),INDIRECT(""'""&amp;CW$1&amp;""'!$D$4:$D$66"")=CW$2),$G$3:$BQ$3,$G174:$BQ174))),"""")"),"")</f>
        <v/>
      </c>
      <c r="CY174" s="251">
        <f>IFERROR(__xludf.DUMMYFUNCTION("AVERAGE(ARRAYFORMULA(XLOOKUP(FILTER(INDIRECT(""'""&amp;CY$1&amp;""'!$C$4:$C$66""),INDIRECT(""'""&amp;CY$1&amp;""'!$D$4:$D$66"")=CY$2),$G$3:$BQ$3,$G174:$BQ174)))"),-0.0476190507142857)</f>
        <v>-0.04761905071</v>
      </c>
      <c r="CZ174" s="207" t="str">
        <f>IFERROR(__xludf.DUMMYFUNCTION("IF(OR(CY174&gt;$BS174+$BT174*$BT$2,CY174&lt;$BS174-$BT174*$BT$2),AVEDEV(ARRAYFORMULA(XLOOKUP(FILTER(INDIRECT(""'""&amp;CY$1&amp;""'!$C$4:$C$66""),INDIRECT(""'""&amp;CY$1&amp;""'!$D$4:$D$66"")=CY$2),$G$3:$BQ$3,$G174:$BQ174))),"""")"),"")</f>
        <v/>
      </c>
      <c r="DA174" s="252"/>
      <c r="DB174" s="251">
        <f>IFERROR(__xludf.DUMMYFUNCTION("AVERAGE(ARRAYFORMULA(XLOOKUP(FILTER(INDIRECT(""'""&amp;DB$1&amp;""'!$C$4:$C$66""),INDIRECT(""'""&amp;DB$1&amp;""'!$D$4:$D$66"")=DB$2),$G$3:$BQ$3,$G174:$BQ174)))"),0.14444444266666664)</f>
        <v>0.1444444427</v>
      </c>
      <c r="DC174" s="207" t="str">
        <f>IFERROR(__xludf.DUMMYFUNCTION("IF(OR(DB174&gt;$BS174+$BT174*$BT$2,DB174&lt;$BS174-$BT174*$BT$2),AVEDEV(ARRAYFORMULA(XLOOKUP(FILTER(INDIRECT(""'""&amp;DB$1&amp;""'!$C$4:$C$66""),INDIRECT(""'""&amp;DB$1&amp;""'!$D$4:$D$66"")=DB$2),$G$3:$BQ$3,$G174:$BQ174))),"""")"),"")</f>
        <v/>
      </c>
      <c r="DD174" s="251">
        <f>IFERROR(__xludf.DUMMYFUNCTION("AVERAGE(ARRAYFORMULA(XLOOKUP(FILTER(INDIRECT(""'""&amp;DD$1&amp;""'!$C$4:$C$66""),INDIRECT(""'""&amp;DD$1&amp;""'!$D$4:$D$66"")=DD$2),$G$3:$BQ$3,$G174:$BQ174)))"),-0.4444444555555555)</f>
        <v>-0.4444444556</v>
      </c>
      <c r="DE174" s="207" t="str">
        <f>IFERROR(__xludf.DUMMYFUNCTION("IF(OR(DD174&gt;$BS174+$BT174*$BT$2,DD174&lt;$BS174-$BT174*$BT$2),AVEDEV(ARRAYFORMULA(XLOOKUP(FILTER(INDIRECT(""'""&amp;DD$1&amp;""'!$C$4:$C$66""),INDIRECT(""'""&amp;DD$1&amp;""'!$D$4:$D$66"")=DD$2),$G$3:$BQ$3,$G174:$BQ174))),"""")"),"")</f>
        <v/>
      </c>
      <c r="DF174" s="251">
        <f>IFERROR(__xludf.DUMMYFUNCTION("AVERAGE(ARRAYFORMULA(XLOOKUP(FILTER(INDIRECT(""'""&amp;DF$1&amp;""'!$C$4:$C$66""),INDIRECT(""'""&amp;DF$1&amp;""'!$D$4:$D$66"")=DF$2),$G$3:$BQ$3,$G174:$BQ174)))"),0.37499999874999995)</f>
        <v>0.3749999988</v>
      </c>
      <c r="DG174" s="207" t="str">
        <f>IFERROR(__xludf.DUMMYFUNCTION("IF(OR(DF174&gt;$BS174+$BT174*$BT$2,DF174&lt;$BS174-$BT174*$BT$2),AVEDEV(ARRAYFORMULA(XLOOKUP(FILTER(INDIRECT(""'""&amp;DF$1&amp;""'!$C$4:$C$66""),INDIRECT(""'""&amp;DF$1&amp;""'!$D$4:$D$66"")=DF$2),$G$3:$BQ$3,$G174:$BQ174))),"""")"),"")</f>
        <v/>
      </c>
      <c r="DH174" s="251">
        <f>IFERROR(__xludf.DUMMYFUNCTION("AVERAGE(ARRAYFORMULA(XLOOKUP(FILTER(INDIRECT(""'""&amp;DH$1&amp;""'!$C$4:$C$66""),INDIRECT(""'""&amp;DH$1&amp;""'!$D$4:$D$66"")=DH$2),$G$3:$BQ$3,$G174:$BQ174)))"),-0.25925927111111113)</f>
        <v>-0.2592592711</v>
      </c>
      <c r="DI174" s="207" t="str">
        <f>IFERROR(__xludf.DUMMYFUNCTION("IF(OR(DH174&gt;$BS174+$BT174*$BT$2,DH174&lt;$BS174-$BT174*$BT$2),AVEDEV(ARRAYFORMULA(XLOOKUP(FILTER(INDIRECT(""'""&amp;DH$1&amp;""'!$C$4:$C$66""),INDIRECT(""'""&amp;DH$1&amp;""'!$D$4:$D$66"")=DH$2),$G$3:$BQ$3,$G174:$BQ174))),"""")"),"")</f>
        <v/>
      </c>
      <c r="DJ174" s="243"/>
    </row>
    <row r="175">
      <c r="A175" s="2"/>
      <c r="B175" s="204">
        <v>171.0</v>
      </c>
      <c r="C175" s="204" t="s">
        <v>601</v>
      </c>
      <c r="D175" s="204" t="s">
        <v>618</v>
      </c>
      <c r="E175" s="205" t="b">
        <f>VLOOKUP(D175,'Feature Set List'!A172:C246,2,0)</f>
        <v>1</v>
      </c>
      <c r="F175" s="205" t="b">
        <f>VLOOKUP(D175,'Feature Set List'!A172:C246,3,0)</f>
        <v>0</v>
      </c>
      <c r="G175" s="205">
        <v>0.0</v>
      </c>
      <c r="H175" s="205">
        <v>-0.3636364</v>
      </c>
      <c r="I175" s="205">
        <v>0.0</v>
      </c>
      <c r="J175" s="205">
        <v>-0.5454545</v>
      </c>
      <c r="K175" s="205">
        <v>1.09090909</v>
      </c>
      <c r="L175" s="205">
        <v>0.72727273</v>
      </c>
      <c r="M175" s="205">
        <v>0.36363636</v>
      </c>
      <c r="N175" s="205">
        <v>0.90909091</v>
      </c>
      <c r="O175" s="205">
        <v>-0.5454545</v>
      </c>
      <c r="P175" s="205">
        <v>0.54545455</v>
      </c>
      <c r="Q175" s="205">
        <v>0.72727273</v>
      </c>
      <c r="R175" s="205">
        <v>-0.1818182</v>
      </c>
      <c r="S175" s="205">
        <v>0.0</v>
      </c>
      <c r="T175" s="205">
        <v>0.72727273</v>
      </c>
      <c r="U175" s="205">
        <v>1.09090909</v>
      </c>
      <c r="V175" s="205">
        <v>-0.3636364</v>
      </c>
      <c r="W175" s="205">
        <v>0.54545455</v>
      </c>
      <c r="X175" s="205">
        <v>0.72727273</v>
      </c>
      <c r="Y175" s="205">
        <v>-0.3636364</v>
      </c>
      <c r="Z175" s="205">
        <v>-0.3636364</v>
      </c>
      <c r="AA175" s="205">
        <v>1.45454545</v>
      </c>
      <c r="AB175" s="205">
        <v>0.0</v>
      </c>
      <c r="AC175" s="205">
        <v>-0.5454545</v>
      </c>
      <c r="AD175" s="205">
        <v>-0.1818182</v>
      </c>
      <c r="AE175" s="205">
        <v>0.90909091</v>
      </c>
      <c r="AF175" s="205">
        <v>0.72727273</v>
      </c>
      <c r="AG175" s="205">
        <v>-1.0909091</v>
      </c>
      <c r="AH175" s="205">
        <v>0.54545455</v>
      </c>
      <c r="AI175" s="205">
        <v>0.18181818</v>
      </c>
      <c r="AJ175" s="205">
        <v>0.36363636</v>
      </c>
      <c r="AK175" s="205">
        <v>-0.7272727</v>
      </c>
      <c r="AL175" s="205">
        <v>-0.3636364</v>
      </c>
      <c r="AM175" s="205">
        <v>1.81818182</v>
      </c>
      <c r="AN175" s="205">
        <v>-0.1818182</v>
      </c>
      <c r="AO175" s="205">
        <v>0.0</v>
      </c>
      <c r="AP175" s="205">
        <v>-0.7272727</v>
      </c>
      <c r="AQ175" s="205">
        <v>-0.9090909</v>
      </c>
      <c r="AR175" s="205">
        <v>-0.1818182</v>
      </c>
      <c r="AS175" s="205">
        <v>0.54545455</v>
      </c>
      <c r="AT175" s="205">
        <v>0.72727273</v>
      </c>
      <c r="AU175" s="205">
        <v>0.0</v>
      </c>
      <c r="AV175" s="205">
        <v>-0.1818182</v>
      </c>
      <c r="AW175" s="205">
        <v>0.18181818</v>
      </c>
      <c r="AX175" s="205">
        <v>-0.5454545</v>
      </c>
      <c r="AY175" s="205">
        <v>-0.3636364</v>
      </c>
      <c r="AZ175" s="205">
        <v>0.0</v>
      </c>
      <c r="BA175" s="205">
        <v>0.18181818</v>
      </c>
      <c r="BB175" s="205">
        <v>-0.3636364</v>
      </c>
      <c r="BC175" s="205">
        <v>0.18181818</v>
      </c>
      <c r="BD175" s="205">
        <v>2.36363636</v>
      </c>
      <c r="BE175" s="205">
        <v>0.0</v>
      </c>
      <c r="BF175" s="205">
        <v>1.09090909</v>
      </c>
      <c r="BG175" s="205">
        <v>0.90909091</v>
      </c>
      <c r="BH175" s="205">
        <v>-0.1818182</v>
      </c>
      <c r="BI175" s="205">
        <v>0.36363636</v>
      </c>
      <c r="BJ175" s="205">
        <v>-0.9090909</v>
      </c>
      <c r="BK175" s="205">
        <v>-0.1818182</v>
      </c>
      <c r="BL175" s="205">
        <v>1.27272727</v>
      </c>
      <c r="BM175" s="205">
        <v>-0.1818182</v>
      </c>
      <c r="BN175" s="205">
        <v>2.18181818</v>
      </c>
      <c r="BO175" s="205">
        <v>0.18181818</v>
      </c>
      <c r="BP175" s="205">
        <v>0.18181818</v>
      </c>
      <c r="BQ175" s="205">
        <v>-0.1818182</v>
      </c>
      <c r="BR175" s="206"/>
      <c r="BS175" s="250">
        <f t="shared" si="1"/>
        <v>0.2077922051</v>
      </c>
      <c r="BT175" s="250">
        <f t="shared" si="2"/>
        <v>0.5631828514</v>
      </c>
      <c r="BU175" s="206"/>
      <c r="BV175" s="207">
        <f>IFERROR(__xludf.DUMMYFUNCTION("AVERAGE(ARRAYFORMULA(XLOOKUP(FILTER(INDIRECT(""'""&amp;BV$1&amp;""'!$C$4:$C$66""),INDIRECT(""'""&amp;BV$1&amp;""'!$D$4:$D$66"")=BV$2),$G$3:$BQ$3,$G175:$BQ175)))"),0.33766232714285715)</f>
        <v>0.3376623271</v>
      </c>
      <c r="BW175" s="207" t="str">
        <f>IFERROR(__xludf.DUMMYFUNCTION("IF(OR(BV175&gt;$BS175+$BT175*$BT$2,BV175&lt;$BS175-$BT175*$BT$2),AVEDEV(ARRAYFORMULA(XLOOKUP(FILTER(INDIRECT(""'""&amp;BV$1&amp;""'!$C$4:$C$66""),INDIRECT(""'""&amp;BV$1&amp;""'!$D$4:$D$66"")=BV$2),$G$3:$BQ$3,$G175:$BQ175))),"""")"),"")</f>
        <v/>
      </c>
      <c r="BX175" s="207">
        <f>IFERROR(__xludf.DUMMYFUNCTION("AVERAGE(ARRAYFORMULA(XLOOKUP(FILTER(INDIRECT(""'""&amp;BX$1&amp;""'!$C$4:$C$66""),INDIRECT(""'""&amp;BX$1&amp;""'!$D$4:$D$66"")=BX$2),$G$3:$BQ$3,$G175:$BQ175)))"),0.12121211999999999)</f>
        <v>0.12121212</v>
      </c>
      <c r="BY175" s="207" t="str">
        <f>IFERROR(__xludf.DUMMYFUNCTION("IF(OR(BX175&gt;$BS175+$BT175*$BT$2,BX175&lt;$BS175-$BT175*$BT$2),AVEDEV(ARRAYFORMULA(XLOOKUP(FILTER(INDIRECT(""'""&amp;BX$1&amp;""'!$C$4:$C$66""),INDIRECT(""'""&amp;BX$1&amp;""'!$D$4:$D$66"")=BX$2),$G$3:$BQ$3,$G175:$BQ175))),"""")"),"")</f>
        <v/>
      </c>
      <c r="BZ175" s="207">
        <f>IFERROR(__xludf.DUMMYFUNCTION("AVERAGE(ARRAYFORMULA(XLOOKUP(FILTER(INDIRECT(""'""&amp;BZ$1&amp;""'!$C$4:$C$66""),INDIRECT(""'""&amp;BZ$1&amp;""'!$D$4:$D$66"")=BZ$2),$G$3:$BQ$3,$G175:$BQ175)))"),0.2975206572727273)</f>
        <v>0.2975206573</v>
      </c>
      <c r="CA175" s="207" t="str">
        <f>IFERROR(__xludf.DUMMYFUNCTION("IF(OR(BZ175&gt;$BS175+$BT175*$BT$2,BZ175&lt;$BS175-$BT175*$BT$2),AVEDEV(ARRAYFORMULA(XLOOKUP(FILTER(INDIRECT(""'""&amp;BZ$1&amp;""'!$C$4:$C$66""),INDIRECT(""'""&amp;BZ$1&amp;""'!$D$4:$D$66"")=BZ$2),$G$3:$BQ$3,$G175:$BQ175))),"""")"),"")</f>
        <v/>
      </c>
      <c r="CB175" s="209"/>
      <c r="CC175" s="207">
        <f>IFERROR(__xludf.DUMMYFUNCTION("AVERAGE(ARRAYFORMULA(XLOOKUP(FILTER(INDIRECT(""'""&amp;CC$1&amp;""'!$C$4:$C$66""),INDIRECT(""'""&amp;CC$1&amp;""'!$D$4:$D$66"")=CC$2),$G$3:$BQ$3,$G175:$BQ175)))"),0.0681818175)</f>
        <v>0.0681818175</v>
      </c>
      <c r="CD175" s="207" t="str">
        <f>IFERROR(__xludf.DUMMYFUNCTION("IF(OR(CC175&gt;$BS175+$BT175*$BT$2,CC175&lt;$BS175-$BT175*$BT$2),AVEDEV(ARRAYFORMULA(XLOOKUP(FILTER(INDIRECT(""'""&amp;CC$1&amp;""'!$C$4:$C$66""),INDIRECT(""'""&amp;CC$1&amp;""'!$D$4:$D$66"")=CC$2),$G$3:$BQ$3,$G175:$BQ175))),"""")"),"")</f>
        <v/>
      </c>
      <c r="CE175" s="207">
        <f>IFERROR(__xludf.DUMMYFUNCTION("AVERAGE(ARRAYFORMULA(XLOOKUP(FILTER(INDIRECT(""'""&amp;CE$1&amp;""'!$C$4:$C$66""),INDIRECT(""'""&amp;CE$1&amp;""'!$D$4:$D$66"")=CE$2),$G$3:$BQ$3,$G175:$BQ175)))"),0.17595307354838707)</f>
        <v>0.1759530735</v>
      </c>
      <c r="CF175" s="207" t="str">
        <f>IFERROR(__xludf.DUMMYFUNCTION("IF(OR(CE175&gt;$BS175+$BT175*$BT$2,CE175&lt;$BS175-$BT175*$BT$2),AVEDEV(ARRAYFORMULA(XLOOKUP(FILTER(INDIRECT(""'""&amp;CE$1&amp;""'!$C$4:$C$66""),INDIRECT(""'""&amp;CE$1&amp;""'!$D$4:$D$66"")=CE$2),$G$3:$BQ$3,$G175:$BQ175))),"""")"),"")</f>
        <v/>
      </c>
      <c r="CG175" s="207">
        <f>IFERROR(__xludf.DUMMYFUNCTION("AVERAGE(ARRAYFORMULA(XLOOKUP(FILTER(INDIRECT(""'""&amp;CG$1&amp;""'!$C$4:$C$66""),INDIRECT(""'""&amp;CG$1&amp;""'!$D$4:$D$66"")=CG$2),$G$3:$BQ$3,$G175:$BQ175)))"),0.581818184)</f>
        <v>0.581818184</v>
      </c>
      <c r="CH175" s="207" t="str">
        <f>IFERROR(__xludf.DUMMYFUNCTION("IF(OR(CG175&gt;$BS175+$BT175*$BT$2,CG175&lt;$BS175-$BT175*$BT$2),AVEDEV(ARRAYFORMULA(XLOOKUP(FILTER(INDIRECT(""'""&amp;CG$1&amp;""'!$C$4:$C$66""),INDIRECT(""'""&amp;CG$1&amp;""'!$D$4:$D$66"")=CG$2),$G$3:$BQ$3,$G175:$BQ175))),"""")"),"")</f>
        <v/>
      </c>
      <c r="CI175" s="206"/>
      <c r="CJ175" s="251">
        <f>IFERROR(__xludf.DUMMYFUNCTION("AVERAGE(ARRAYFORMULA(XLOOKUP(FILTER(INDIRECT(""'""&amp;CJ$1&amp;""'!$C$4:$C$66""),INDIRECT(""'""&amp;CJ$1&amp;""'!$D$4:$D$66"")=CJ$2),$G$3:$BQ$3,$G175:$BQ175)))"),0.3393939366666666)</f>
        <v>0.3393939367</v>
      </c>
      <c r="CK175" s="207" t="str">
        <f>IFERROR(__xludf.DUMMYFUNCTION("IF(OR(CJ175&gt;$BS175+$BT175*$BT$2,CJ175&lt;$BS175-$BT175*$BT$2),AVEDEV(ARRAYFORMULA(XLOOKUP(FILTER(INDIRECT(""'""&amp;CJ$1&amp;""'!$C$4:$C$66""),INDIRECT(""'""&amp;CJ$1&amp;""'!$D$4:$D$66"")=CJ$2),$G$3:$BQ$3,$G175:$BQ175))),"""")"),"")</f>
        <v/>
      </c>
      <c r="CL175" s="251">
        <f>IFERROR(__xludf.DUMMYFUNCTION("AVERAGE(ARRAYFORMULA(XLOOKUP(FILTER(INDIRECT(""'""&amp;CL$1&amp;""'!$C$4:$C$66""),INDIRECT(""'""&amp;CL$1&amp;""'!$D$4:$D$66"")=CL$2),$G$3:$BQ$3,$G175:$BQ175)))"),0.03729603384615389)</f>
        <v>0.03729603385</v>
      </c>
      <c r="CM175" s="207" t="str">
        <f>IFERROR(__xludf.DUMMYFUNCTION("IF(OR(CL175&gt;$BS175+$BT175*$BT$2,CL175&lt;$BS175-$BT175*$BT$2),AVEDEV(ARRAYFORMULA(XLOOKUP(FILTER(INDIRECT(""'""&amp;CL$1&amp;""'!$C$4:$C$66""),INDIRECT(""'""&amp;CL$1&amp;""'!$D$4:$D$66"")=CL$2),$G$3:$BQ$3,$G175:$BQ175))),"""")"),"")</f>
        <v/>
      </c>
      <c r="CN175" s="251">
        <f>IFERROR(__xludf.DUMMYFUNCTION("AVERAGE(ARRAYFORMULA(XLOOKUP(FILTER(INDIRECT(""'""&amp;CN$1&amp;""'!$C$4:$C$66""),INDIRECT(""'""&amp;CN$1&amp;""'!$D$4:$D$66"")=CN$2),$G$3:$BQ$3,$G175:$BQ175)))"),0.581818184)</f>
        <v>0.581818184</v>
      </c>
      <c r="CO175" s="207" t="str">
        <f>IFERROR(__xludf.DUMMYFUNCTION("IF(OR(CN175&gt;$BS175+$BT175*$BT$2,CN175&lt;$BS175-$BT175*$BT$2),AVEDEV(ARRAYFORMULA(XLOOKUP(FILTER(INDIRECT(""'""&amp;CN$1&amp;""'!$C$4:$C$66""),INDIRECT(""'""&amp;CN$1&amp;""'!$D$4:$D$66"")=CN$2),$G$3:$BQ$3,$G175:$BQ175))),"""")"),"")</f>
        <v/>
      </c>
      <c r="CP175" s="252"/>
      <c r="CQ175" s="251">
        <f>IFERROR(__xludf.DUMMYFUNCTION("AVERAGE(ARRAYFORMULA(XLOOKUP(FILTER(INDIRECT(""'""&amp;CQ$1&amp;""'!$C$4:$C$66""),INDIRECT(""'""&amp;CQ$1&amp;""'!$D$4:$D$66"")=CQ$2),$G$3:$BQ$3,$G175:$BQ175)))"),-0.14285714500000002)</f>
        <v>-0.142857145</v>
      </c>
      <c r="CR175" s="207" t="str">
        <f>IFERROR(__xludf.DUMMYFUNCTION("IF(OR(CQ175&gt;$BS175+$BT175*$BT$2,CQ175&lt;$BS175-$BT175*$BT$2),AVEDEV(ARRAYFORMULA(XLOOKUP(FILTER(INDIRECT(""'""&amp;CQ$1&amp;""'!$C$4:$C$66""),INDIRECT(""'""&amp;CQ$1&amp;""'!$D$4:$D$66"")=CQ$2),$G$3:$BQ$3,$G175:$BQ175))),"""")"),"")</f>
        <v/>
      </c>
      <c r="CS175" s="251">
        <f>IFERROR(__xludf.DUMMYFUNCTION("AVERAGE(ARRAYFORMULA(XLOOKUP(FILTER(INDIRECT(""'""&amp;CS$1&amp;""'!$C$4:$C$66""),INDIRECT(""'""&amp;CS$1&amp;""'!$D$4:$D$66"")=CS$2),$G$3:$BQ$3,$G175:$BQ175)))"),0.3838383811111112)</f>
        <v>0.3838383811</v>
      </c>
      <c r="CT175" s="207" t="str">
        <f>IFERROR(__xludf.DUMMYFUNCTION("IF(OR(CS175&gt;$BS175+$BT175*$BT$2,CS175&lt;$BS175-$BT175*$BT$2),AVEDEV(ARRAYFORMULA(XLOOKUP(FILTER(INDIRECT(""'""&amp;CS$1&amp;""'!$C$4:$C$66""),INDIRECT(""'""&amp;CS$1&amp;""'!$D$4:$D$66"")=CS$2),$G$3:$BQ$3,$G175:$BQ175))),"""")"),"")</f>
        <v/>
      </c>
      <c r="CU175" s="251">
        <f>IFERROR(__xludf.DUMMYFUNCTION("AVERAGE(ARRAYFORMULA(XLOOKUP(FILTER(INDIRECT(""'""&amp;CU$1&amp;""'!$C$4:$C$66""),INDIRECT(""'""&amp;CU$1&amp;""'!$D$4:$D$66"")=CU$2),$G$3:$BQ$3,$G175:$BQ175)))"),0.4462809945454545)</f>
        <v>0.4462809945</v>
      </c>
      <c r="CV175" s="207" t="str">
        <f>IFERROR(__xludf.DUMMYFUNCTION("IF(OR(CU175&gt;$BS175+$BT175*$BT$2,CU175&lt;$BS175-$BT175*$BT$2),AVEDEV(ARRAYFORMULA(XLOOKUP(FILTER(INDIRECT(""'""&amp;CU$1&amp;""'!$C$4:$C$66""),INDIRECT(""'""&amp;CU$1&amp;""'!$D$4:$D$66"")=CU$2),$G$3:$BQ$3,$G175:$BQ175))),"""")"),"")</f>
        <v/>
      </c>
      <c r="CW175" s="251">
        <f>IFERROR(__xludf.DUMMYFUNCTION("AVERAGE(ARRAYFORMULA(XLOOKUP(FILTER(INDIRECT(""'""&amp;CW$1&amp;""'!$C$4:$C$66""),INDIRECT(""'""&amp;CW$1&amp;""'!$D$4:$D$66"")=CW$2),$G$3:$BQ$3,$G175:$BQ175)))"),-0.1818182)</f>
        <v>-0.1818182</v>
      </c>
      <c r="CX175" s="207" t="str">
        <f>IFERROR(__xludf.DUMMYFUNCTION("IF(OR(CW175&gt;$BS175+$BT175*$BT$2,CW175&lt;$BS175-$BT175*$BT$2),AVEDEV(ARRAYFORMULA(XLOOKUP(FILTER(INDIRECT(""'""&amp;CW$1&amp;""'!$C$4:$C$66""),INDIRECT(""'""&amp;CW$1&amp;""'!$D$4:$D$66"")=CW$2),$G$3:$BQ$3,$G175:$BQ175))),"""")"),"")</f>
        <v/>
      </c>
      <c r="CY175" s="251">
        <f>IFERROR(__xludf.DUMMYFUNCTION("AVERAGE(ARRAYFORMULA(XLOOKUP(FILTER(INDIRECT(""'""&amp;CY$1&amp;""'!$C$4:$C$66""),INDIRECT(""'""&amp;CY$1&amp;""'!$D$4:$D$66"")=CY$2),$G$3:$BQ$3,$G175:$BQ175)))"),0.06493506357142859)</f>
        <v>0.06493506357</v>
      </c>
      <c r="CZ175" s="207" t="str">
        <f>IFERROR(__xludf.DUMMYFUNCTION("IF(OR(CY175&gt;$BS175+$BT175*$BT$2,CY175&lt;$BS175-$BT175*$BT$2),AVEDEV(ARRAYFORMULA(XLOOKUP(FILTER(INDIRECT(""'""&amp;CY$1&amp;""'!$C$4:$C$66""),INDIRECT(""'""&amp;CY$1&amp;""'!$D$4:$D$66"")=CY$2),$G$3:$BQ$3,$G175:$BQ175))),"""")"),"")</f>
        <v/>
      </c>
      <c r="DA175" s="252"/>
      <c r="DB175" s="251">
        <f>IFERROR(__xludf.DUMMYFUNCTION("AVERAGE(ARRAYFORMULA(XLOOKUP(FILTER(INDIRECT(""'""&amp;DB$1&amp;""'!$C$4:$C$66""),INDIRECT(""'""&amp;DB$1&amp;""'!$D$4:$D$66"")=DB$2),$G$3:$BQ$3,$G175:$BQ175)))"),-0.018181819333333325)</f>
        <v>-0.01818181933</v>
      </c>
      <c r="DC175" s="207" t="str">
        <f>IFERROR(__xludf.DUMMYFUNCTION("IF(OR(DB175&gt;$BS175+$BT175*$BT$2,DB175&lt;$BS175-$BT175*$BT$2),AVEDEV(ARRAYFORMULA(XLOOKUP(FILTER(INDIRECT(""'""&amp;DB$1&amp;""'!$C$4:$C$66""),INDIRECT(""'""&amp;DB$1&amp;""'!$D$4:$D$66"")=DB$2),$G$3:$BQ$3,$G175:$BQ175))),"""")"),"")</f>
        <v/>
      </c>
      <c r="DD175" s="251">
        <f>IFERROR(__xludf.DUMMYFUNCTION("AVERAGE(ARRAYFORMULA(XLOOKUP(FILTER(INDIRECT(""'""&amp;DD$1&amp;""'!$C$4:$C$66""),INDIRECT(""'""&amp;DD$1&amp;""'!$D$4:$D$66"")=DD$2),$G$3:$BQ$3,$G175:$BQ175)))"),0.30303030000000003)</f>
        <v>0.3030303</v>
      </c>
      <c r="DE175" s="207" t="str">
        <f>IFERROR(__xludf.DUMMYFUNCTION("IF(OR(DD175&gt;$BS175+$BT175*$BT$2,DD175&lt;$BS175-$BT175*$BT$2),AVEDEV(ARRAYFORMULA(XLOOKUP(FILTER(INDIRECT(""'""&amp;DD$1&amp;""'!$C$4:$C$66""),INDIRECT(""'""&amp;DD$1&amp;""'!$D$4:$D$66"")=DD$2),$G$3:$BQ$3,$G175:$BQ175))),"""")"),"")</f>
        <v/>
      </c>
      <c r="DF175" s="251">
        <f>IFERROR(__xludf.DUMMYFUNCTION("AVERAGE(ARRAYFORMULA(XLOOKUP(FILTER(INDIRECT(""'""&amp;DF$1&amp;""'!$C$4:$C$66""),INDIRECT(""'""&amp;DF$1&amp;""'!$D$4:$D$66"")=DF$2),$G$3:$BQ$3,$G175:$BQ175)))"),0.22727272499999995)</f>
        <v>0.227272725</v>
      </c>
      <c r="DG175" s="207" t="str">
        <f>IFERROR(__xludf.DUMMYFUNCTION("IF(OR(DF175&gt;$BS175+$BT175*$BT$2,DF175&lt;$BS175-$BT175*$BT$2),AVEDEV(ARRAYFORMULA(XLOOKUP(FILTER(INDIRECT(""'""&amp;DF$1&amp;""'!$C$4:$C$66""),INDIRECT(""'""&amp;DF$1&amp;""'!$D$4:$D$66"")=DF$2),$G$3:$BQ$3,$G175:$BQ175))),"""")"),"")</f>
        <v/>
      </c>
      <c r="DH175" s="251">
        <f>IFERROR(__xludf.DUMMYFUNCTION("AVERAGE(ARRAYFORMULA(XLOOKUP(FILTER(INDIRECT(""'""&amp;DH$1&amp;""'!$C$4:$C$66""),INDIRECT(""'""&amp;DH$1&amp;""'!$D$4:$D$66"")=DH$2),$G$3:$BQ$3,$G175:$BQ175)))"),0.5454545377777777)</f>
        <v>0.5454545378</v>
      </c>
      <c r="DI175" s="207" t="str">
        <f>IFERROR(__xludf.DUMMYFUNCTION("IF(OR(DH175&gt;$BS175+$BT175*$BT$2,DH175&lt;$BS175-$BT175*$BT$2),AVEDEV(ARRAYFORMULA(XLOOKUP(FILTER(INDIRECT(""'""&amp;DH$1&amp;""'!$C$4:$C$66""),INDIRECT(""'""&amp;DH$1&amp;""'!$D$4:$D$66"")=DH$2),$G$3:$BQ$3,$G175:$BQ175))),"""")"),"")</f>
        <v/>
      </c>
      <c r="DJ175" s="243"/>
    </row>
    <row r="176">
      <c r="A176" s="2"/>
      <c r="B176" s="204">
        <v>172.0</v>
      </c>
      <c r="C176" s="204" t="s">
        <v>601</v>
      </c>
      <c r="D176" s="204" t="s">
        <v>619</v>
      </c>
      <c r="E176" s="205" t="b">
        <f>VLOOKUP(D176,'Feature Set List'!A173:C246,2,0)</f>
        <v>1</v>
      </c>
      <c r="F176" s="205" t="b">
        <f>VLOOKUP(D176,'Feature Set List'!A173:C246,3,0)</f>
        <v>0</v>
      </c>
      <c r="G176" s="205">
        <v>0.0</v>
      </c>
      <c r="H176" s="205">
        <v>1.0</v>
      </c>
      <c r="I176" s="205">
        <v>1.66666667</v>
      </c>
      <c r="J176" s="205">
        <v>0.66666667</v>
      </c>
      <c r="K176" s="205">
        <v>0.33333333</v>
      </c>
      <c r="L176" s="205">
        <v>-0.6666667</v>
      </c>
      <c r="M176" s="205">
        <v>0.0</v>
      </c>
      <c r="N176" s="205">
        <v>-0.3333333</v>
      </c>
      <c r="O176" s="205">
        <v>0.66666667</v>
      </c>
      <c r="P176" s="205">
        <v>0.66666667</v>
      </c>
      <c r="Q176" s="205">
        <v>-0.6666667</v>
      </c>
      <c r="R176" s="205">
        <v>1.0</v>
      </c>
      <c r="S176" s="205">
        <v>0.33333333</v>
      </c>
      <c r="T176" s="205">
        <v>-0.3333333</v>
      </c>
      <c r="U176" s="205">
        <v>1.33333333</v>
      </c>
      <c r="V176" s="205">
        <v>-0.3333333</v>
      </c>
      <c r="W176" s="205">
        <v>-0.3333333</v>
      </c>
      <c r="X176" s="205">
        <v>0.33333333</v>
      </c>
      <c r="Y176" s="205">
        <v>-0.3333333</v>
      </c>
      <c r="Z176" s="205">
        <v>1.0</v>
      </c>
      <c r="AA176" s="205">
        <v>-0.3333333</v>
      </c>
      <c r="AB176" s="205">
        <v>-0.3333333</v>
      </c>
      <c r="AC176" s="205">
        <v>0.0</v>
      </c>
      <c r="AD176" s="205">
        <v>-0.3333333</v>
      </c>
      <c r="AE176" s="205">
        <v>-0.3333333</v>
      </c>
      <c r="AF176" s="205">
        <v>-1.0</v>
      </c>
      <c r="AG176" s="205">
        <v>-0.3333333</v>
      </c>
      <c r="AH176" s="205">
        <v>1.0</v>
      </c>
      <c r="AI176" s="205">
        <v>0.0</v>
      </c>
      <c r="AJ176" s="205">
        <v>1.66666667</v>
      </c>
      <c r="AK176" s="205">
        <v>-0.6666667</v>
      </c>
      <c r="AL176" s="205">
        <v>-0.6666667</v>
      </c>
      <c r="AM176" s="205">
        <v>-0.3333333</v>
      </c>
      <c r="AN176" s="205">
        <v>-0.3333333</v>
      </c>
      <c r="AO176" s="205">
        <v>0.0</v>
      </c>
      <c r="AP176" s="205">
        <v>0.0</v>
      </c>
      <c r="AQ176" s="205">
        <v>0.0</v>
      </c>
      <c r="AR176" s="205">
        <v>-1.0</v>
      </c>
      <c r="AS176" s="205">
        <v>0.0</v>
      </c>
      <c r="AT176" s="205">
        <v>0.66666667</v>
      </c>
      <c r="AU176" s="205">
        <v>-1.3333333</v>
      </c>
      <c r="AV176" s="205">
        <v>1.33333333</v>
      </c>
      <c r="AW176" s="205">
        <v>0.0</v>
      </c>
      <c r="AX176" s="205">
        <v>-0.3333333</v>
      </c>
      <c r="AY176" s="205">
        <v>-0.3333333</v>
      </c>
      <c r="AZ176" s="205">
        <v>1.66666667</v>
      </c>
      <c r="BA176" s="205">
        <v>-0.3333333</v>
      </c>
      <c r="BB176" s="205">
        <v>0.33333333</v>
      </c>
      <c r="BC176" s="205">
        <v>-0.3333333</v>
      </c>
      <c r="BD176" s="205">
        <v>2.66666667</v>
      </c>
      <c r="BE176" s="205">
        <v>1.66666667</v>
      </c>
      <c r="BF176" s="205">
        <v>1.0</v>
      </c>
      <c r="BG176" s="205">
        <v>-0.3333333</v>
      </c>
      <c r="BH176" s="205">
        <v>-0.3333333</v>
      </c>
      <c r="BI176" s="205">
        <v>-0.6666667</v>
      </c>
      <c r="BJ176" s="205">
        <v>-0.3333333</v>
      </c>
      <c r="BK176" s="205">
        <v>-0.3333333</v>
      </c>
      <c r="BL176" s="205">
        <v>-0.6666667</v>
      </c>
      <c r="BM176" s="205">
        <v>0.33333333</v>
      </c>
      <c r="BN176" s="205">
        <v>2.66666667</v>
      </c>
      <c r="BO176" s="205">
        <v>1.33333333</v>
      </c>
      <c r="BP176" s="205">
        <v>0.33333333</v>
      </c>
      <c r="BQ176" s="205">
        <v>0.0</v>
      </c>
      <c r="BR176" s="206"/>
      <c r="BS176" s="250">
        <f t="shared" si="1"/>
        <v>0.1851851932</v>
      </c>
      <c r="BT176" s="250">
        <f t="shared" si="2"/>
        <v>0.6737213344</v>
      </c>
      <c r="BU176" s="206"/>
      <c r="BV176" s="207">
        <f>IFERROR(__xludf.DUMMYFUNCTION("AVERAGE(ARRAYFORMULA(XLOOKUP(FILTER(INDIRECT(""'""&amp;BV$1&amp;""'!$C$4:$C$66""),INDIRECT(""'""&amp;BV$1&amp;""'!$D$4:$D$66"")=BV$2),$G$3:$BQ$3,$G176:$BQ176)))"),0.38095238000000003)</f>
        <v>0.38095238</v>
      </c>
      <c r="BW176" s="207" t="str">
        <f>IFERROR(__xludf.DUMMYFUNCTION("IF(OR(BV176&gt;$BS176+$BT176*$BT$2,BV176&lt;$BS176-$BT176*$BT$2),AVEDEV(ARRAYFORMULA(XLOOKUP(FILTER(INDIRECT(""'""&amp;BV$1&amp;""'!$C$4:$C$66""),INDIRECT(""'""&amp;BV$1&amp;""'!$D$4:$D$66"")=BV$2),$G$3:$BQ$3,$G176:$BQ176))),"""")"),"")</f>
        <v/>
      </c>
      <c r="BX176" s="207">
        <f>IFERROR(__xludf.DUMMYFUNCTION("AVERAGE(ARRAYFORMULA(XLOOKUP(FILTER(INDIRECT(""'""&amp;BX$1&amp;""'!$C$4:$C$66""),INDIRECT(""'""&amp;BX$1&amp;""'!$D$4:$D$66"")=BX$2),$G$3:$BQ$3,$G176:$BQ176)))"),0.15079365952380958)</f>
        <v>0.1507936595</v>
      </c>
      <c r="BY176" s="207" t="str">
        <f>IFERROR(__xludf.DUMMYFUNCTION("IF(OR(BX176&gt;$BS176+$BT176*$BT$2,BX176&lt;$BS176-$BT176*$BT$2),AVEDEV(ARRAYFORMULA(XLOOKUP(FILTER(INDIRECT(""'""&amp;BX$1&amp;""'!$C$4:$C$66""),INDIRECT(""'""&amp;BX$1&amp;""'!$D$4:$D$66"")=BX$2),$G$3:$BQ$3,$G176:$BQ176))),"""")"),"")</f>
        <v/>
      </c>
      <c r="BZ176" s="207">
        <f>IFERROR(__xludf.DUMMYFUNCTION("AVERAGE(ARRAYFORMULA(XLOOKUP(FILTER(INDIRECT(""'""&amp;BZ$1&amp;""'!$C$4:$C$66""),INDIRECT(""'""&amp;BZ$1&amp;""'!$D$4:$D$66"")=BZ$2),$G$3:$BQ$3,$G176:$BQ176)))"),-0.030303020909090924)</f>
        <v>-0.03030302091</v>
      </c>
      <c r="CA176" s="207" t="str">
        <f>IFERROR(__xludf.DUMMYFUNCTION("IF(OR(BZ176&gt;$BS176+$BT176*$BT$2,BZ176&lt;$BS176-$BT176*$BT$2),AVEDEV(ARRAYFORMULA(XLOOKUP(FILTER(INDIRECT(""'""&amp;BZ$1&amp;""'!$C$4:$C$66""),INDIRECT(""'""&amp;BZ$1&amp;""'!$D$4:$D$66"")=BZ$2),$G$3:$BQ$3,$G176:$BQ176))),"""")"),"")</f>
        <v/>
      </c>
      <c r="CB176" s="209"/>
      <c r="CC176" s="207">
        <f>IFERROR(__xludf.DUMMYFUNCTION("AVERAGE(ARRAYFORMULA(XLOOKUP(FILTER(INDIRECT(""'""&amp;CC$1&amp;""'!$C$4:$C$66""),INDIRECT(""'""&amp;CC$1&amp;""'!$D$4:$D$66"")=CC$2),$G$3:$BQ$3,$G176:$BQ176)))"),0.20833333937500004)</f>
        <v>0.2083333394</v>
      </c>
      <c r="CD176" s="207" t="str">
        <f>IFERROR(__xludf.DUMMYFUNCTION("IF(OR(CC176&gt;$BS176+$BT176*$BT$2,CC176&lt;$BS176-$BT176*$BT$2),AVEDEV(ARRAYFORMULA(XLOOKUP(FILTER(INDIRECT(""'""&amp;CC$1&amp;""'!$C$4:$C$66""),INDIRECT(""'""&amp;CC$1&amp;""'!$D$4:$D$66"")=CC$2),$G$3:$BQ$3,$G176:$BQ176))),"""")"),"")</f>
        <v/>
      </c>
      <c r="CE176" s="207">
        <f>IFERROR(__xludf.DUMMYFUNCTION("AVERAGE(ARRAYFORMULA(XLOOKUP(FILTER(INDIRECT(""'""&amp;CE$1&amp;""'!$C$4:$C$66""),INDIRECT(""'""&amp;CE$1&amp;""'!$D$4:$D$66"")=CE$2),$G$3:$BQ$3,$G176:$BQ176)))"),0.18279570774193551)</f>
        <v>0.1827957077</v>
      </c>
      <c r="CF176" s="207" t="str">
        <f>IFERROR(__xludf.DUMMYFUNCTION("IF(OR(CE176&gt;$BS176+$BT176*$BT$2,CE176&lt;$BS176-$BT176*$BT$2),AVEDEV(ARRAYFORMULA(XLOOKUP(FILTER(INDIRECT(""'""&amp;CE$1&amp;""'!$C$4:$C$66""),INDIRECT(""'""&amp;CE$1&amp;""'!$D$4:$D$66"")=CE$2),$G$3:$BQ$3,$G176:$BQ176))),"""")"),"")</f>
        <v/>
      </c>
      <c r="CG176" s="207">
        <f>IFERROR(__xludf.DUMMYFUNCTION("AVERAGE(ARRAYFORMULA(XLOOKUP(FILTER(INDIRECT(""'""&amp;CG$1&amp;""'!$C$4:$C$66""),INDIRECT(""'""&amp;CG$1&amp;""'!$D$4:$D$66"")=CG$2),$G$3:$BQ$3,$G176:$BQ176)))"),-0.066666646)</f>
        <v>-0.066666646</v>
      </c>
      <c r="CH176" s="207" t="str">
        <f>IFERROR(__xludf.DUMMYFUNCTION("IF(OR(CG176&gt;$BS176+$BT176*$BT$2,CG176&lt;$BS176-$BT176*$BT$2),AVEDEV(ARRAYFORMULA(XLOOKUP(FILTER(INDIRECT(""'""&amp;CG$1&amp;""'!$C$4:$C$66""),INDIRECT(""'""&amp;CG$1&amp;""'!$D$4:$D$66"")=CG$2),$G$3:$BQ$3,$G176:$BQ176))),"""")"),"")</f>
        <v/>
      </c>
      <c r="CI176" s="206"/>
      <c r="CJ176" s="251">
        <f>IFERROR(__xludf.DUMMYFUNCTION("AVERAGE(ARRAYFORMULA(XLOOKUP(FILTER(INDIRECT(""'""&amp;CJ$1&amp;""'!$C$4:$C$66""),INDIRECT(""'""&amp;CJ$1&amp;""'!$D$4:$D$66"")=CJ$2),$G$3:$BQ$3,$G176:$BQ176)))"),0.3555555660000001)</f>
        <v>0.355555566</v>
      </c>
      <c r="CK176" s="207" t="str">
        <f>IFERROR(__xludf.DUMMYFUNCTION("IF(OR(CJ176&gt;$BS176+$BT176*$BT$2,CJ176&lt;$BS176-$BT176*$BT$2),AVEDEV(ARRAYFORMULA(XLOOKUP(FILTER(INDIRECT(""'""&amp;CJ$1&amp;""'!$C$4:$C$66""),INDIRECT(""'""&amp;CJ$1&amp;""'!$D$4:$D$66"")=CJ$2),$G$3:$BQ$3,$G176:$BQ176))),"""")"),"")</f>
        <v/>
      </c>
      <c r="CL176" s="251">
        <f>IFERROR(__xludf.DUMMYFUNCTION("AVERAGE(ARRAYFORMULA(XLOOKUP(FILTER(INDIRECT(""'""&amp;CL$1&amp;""'!$C$4:$C$66""),INDIRECT(""'""&amp;CL$1&amp;""'!$D$4:$D$66"")=CL$2),$G$3:$BQ$3,$G176:$BQ176)))"),0.1111111171794872)</f>
        <v>0.1111111172</v>
      </c>
      <c r="CM176" s="207" t="str">
        <f>IFERROR(__xludf.DUMMYFUNCTION("IF(OR(CL176&gt;$BS176+$BT176*$BT$2,CL176&lt;$BS176-$BT176*$BT$2),AVEDEV(ARRAYFORMULA(XLOOKUP(FILTER(INDIRECT(""'""&amp;CL$1&amp;""'!$C$4:$C$66""),INDIRECT(""'""&amp;CL$1&amp;""'!$D$4:$D$66"")=CL$2),$G$3:$BQ$3,$G176:$BQ176))),"""")"),"")</f>
        <v/>
      </c>
      <c r="CN176" s="251">
        <f>IFERROR(__xludf.DUMMYFUNCTION("AVERAGE(ARRAYFORMULA(XLOOKUP(FILTER(INDIRECT(""'""&amp;CN$1&amp;""'!$C$4:$C$66""),INDIRECT(""'""&amp;CN$1&amp;""'!$D$4:$D$66"")=CN$2),$G$3:$BQ$3,$G176:$BQ176)))"),-0.066666646)</f>
        <v>-0.066666646</v>
      </c>
      <c r="CO176" s="207" t="str">
        <f>IFERROR(__xludf.DUMMYFUNCTION("IF(OR(CN176&gt;$BS176+$BT176*$BT$2,CN176&lt;$BS176-$BT176*$BT$2),AVEDEV(ARRAYFORMULA(XLOOKUP(FILTER(INDIRECT(""'""&amp;CN$1&amp;""'!$C$4:$C$66""),INDIRECT(""'""&amp;CN$1&amp;""'!$D$4:$D$66"")=CN$2),$G$3:$BQ$3,$G176:$BQ176))),"""")"),"")</f>
        <v/>
      </c>
      <c r="CP176" s="252"/>
      <c r="CQ176" s="251">
        <f>IFERROR(__xludf.DUMMYFUNCTION("AVERAGE(ARRAYFORMULA(XLOOKUP(FILTER(INDIRECT(""'""&amp;CQ$1&amp;""'!$C$4:$C$66""),INDIRECT(""'""&amp;CQ$1&amp;""'!$D$4:$D$66"")=CQ$2),$G$3:$BQ$3,$G176:$BQ176)))"),-0.023809516428571428)</f>
        <v>-0.02380951643</v>
      </c>
      <c r="CR176" s="207" t="str">
        <f>IFERROR(__xludf.DUMMYFUNCTION("IF(OR(CQ176&gt;$BS176+$BT176*$BT$2,CQ176&lt;$BS176-$BT176*$BT$2),AVEDEV(ARRAYFORMULA(XLOOKUP(FILTER(INDIRECT(""'""&amp;CQ$1&amp;""'!$C$4:$C$66""),INDIRECT(""'""&amp;CQ$1&amp;""'!$D$4:$D$66"")=CQ$2),$G$3:$BQ$3,$G176:$BQ176))),"""")"),"")</f>
        <v/>
      </c>
      <c r="CS176" s="251">
        <f>IFERROR(__xludf.DUMMYFUNCTION("AVERAGE(ARRAYFORMULA(XLOOKUP(FILTER(INDIRECT(""'""&amp;CS$1&amp;""'!$C$4:$C$66""),INDIRECT(""'""&amp;CS$1&amp;""'!$D$4:$D$66"")=CS$2),$G$3:$BQ$3,$G176:$BQ176)))"),-0.25925924777777776)</f>
        <v>-0.2592592478</v>
      </c>
      <c r="CT176" s="207" t="str">
        <f>IFERROR(__xludf.DUMMYFUNCTION("IF(OR(CS176&gt;$BS176+$BT176*$BT$2,CS176&lt;$BS176-$BT176*$BT$2),AVEDEV(ARRAYFORMULA(XLOOKUP(FILTER(INDIRECT(""'""&amp;CS$1&amp;""'!$C$4:$C$66""),INDIRECT(""'""&amp;CS$1&amp;""'!$D$4:$D$66"")=CS$2),$G$3:$BQ$3,$G176:$BQ176))),"""")"),"")</f>
        <v/>
      </c>
      <c r="CU176" s="251">
        <f>IFERROR(__xludf.DUMMYFUNCTION("AVERAGE(ARRAYFORMULA(XLOOKUP(FILTER(INDIRECT(""'""&amp;CU$1&amp;""'!$C$4:$C$66""),INDIRECT(""'""&amp;CU$1&amp;""'!$D$4:$D$66"")=CU$2),$G$3:$BQ$3,$G176:$BQ176)))"),0.45454546636363635)</f>
        <v>0.4545454664</v>
      </c>
      <c r="CV176" s="207" t="str">
        <f>IFERROR(__xludf.DUMMYFUNCTION("IF(OR(CU176&gt;$BS176+$BT176*$BT$2,CU176&lt;$BS176-$BT176*$BT$2),AVEDEV(ARRAYFORMULA(XLOOKUP(FILTER(INDIRECT(""'""&amp;CU$1&amp;""'!$C$4:$C$66""),INDIRECT(""'""&amp;CU$1&amp;""'!$D$4:$D$66"")=CU$2),$G$3:$BQ$3,$G176:$BQ176))),"""")"),"")</f>
        <v/>
      </c>
      <c r="CW176" s="251">
        <f>IFERROR(__xludf.DUMMYFUNCTION("AVERAGE(ARRAYFORMULA(XLOOKUP(FILTER(INDIRECT(""'""&amp;CW$1&amp;""'!$C$4:$C$66""),INDIRECT(""'""&amp;CW$1&amp;""'!$D$4:$D$66"")=CW$2),$G$3:$BQ$3,$G176:$BQ176)))"),-0.3333333)</f>
        <v>-0.3333333</v>
      </c>
      <c r="CX176" s="207" t="str">
        <f>IFERROR(__xludf.DUMMYFUNCTION("IF(OR(CW176&gt;$BS176+$BT176*$BT$2,CW176&lt;$BS176-$BT176*$BT$2),AVEDEV(ARRAYFORMULA(XLOOKUP(FILTER(INDIRECT(""'""&amp;CW$1&amp;""'!$C$4:$C$66""),INDIRECT(""'""&amp;CW$1&amp;""'!$D$4:$D$66"")=CW$2),$G$3:$BQ$3,$G176:$BQ176))),"""")"),"")</f>
        <v/>
      </c>
      <c r="CY176" s="251">
        <f>IFERROR(__xludf.DUMMYFUNCTION("AVERAGE(ARRAYFORMULA(XLOOKUP(FILTER(INDIRECT(""'""&amp;CY$1&amp;""'!$C$4:$C$66""),INDIRECT(""'""&amp;CY$1&amp;""'!$D$4:$D$66"")=CY$2),$G$3:$BQ$3,$G176:$BQ176)))"),0.26190476714285715)</f>
        <v>0.2619047671</v>
      </c>
      <c r="CZ176" s="207" t="str">
        <f>IFERROR(__xludf.DUMMYFUNCTION("IF(OR(CY176&gt;$BS176+$BT176*$BT$2,CY176&lt;$BS176-$BT176*$BT$2),AVEDEV(ARRAYFORMULA(XLOOKUP(FILTER(INDIRECT(""'""&amp;CY$1&amp;""'!$C$4:$C$66""),INDIRECT(""'""&amp;CY$1&amp;""'!$D$4:$D$66"")=CY$2),$G$3:$BQ$3,$G176:$BQ176))),"""")"),"")</f>
        <v/>
      </c>
      <c r="DA176" s="252"/>
      <c r="DB176" s="251">
        <f>IFERROR(__xludf.DUMMYFUNCTION("AVERAGE(ARRAYFORMULA(XLOOKUP(FILTER(INDIRECT(""'""&amp;DB$1&amp;""'!$C$4:$C$66""),INDIRECT(""'""&amp;DB$1&amp;""'!$D$4:$D$66"")=DB$2),$G$3:$BQ$3,$G176:$BQ176)))"),0.05555556333333335)</f>
        <v>0.05555556333</v>
      </c>
      <c r="DC176" s="207" t="str">
        <f>IFERROR(__xludf.DUMMYFUNCTION("IF(OR(DB176&gt;$BS176+$BT176*$BT$2,DB176&lt;$BS176-$BT176*$BT$2),AVEDEV(ARRAYFORMULA(XLOOKUP(FILTER(INDIRECT(""'""&amp;DB$1&amp;""'!$C$4:$C$66""),INDIRECT(""'""&amp;DB$1&amp;""'!$D$4:$D$66"")=DB$2),$G$3:$BQ$3,$G176:$BQ176))),"""")"),"")</f>
        <v/>
      </c>
      <c r="DD176" s="251">
        <f>IFERROR(__xludf.DUMMYFUNCTION("AVERAGE(ARRAYFORMULA(XLOOKUP(FILTER(INDIRECT(""'""&amp;DD$1&amp;""'!$C$4:$C$66""),INDIRECT(""'""&amp;DD$1&amp;""'!$D$4:$D$66"")=DD$2),$G$3:$BQ$3,$G176:$BQ176)))"),0.0740740811111111)</f>
        <v>0.07407408111</v>
      </c>
      <c r="DE176" s="207" t="str">
        <f>IFERROR(__xludf.DUMMYFUNCTION("IF(OR(DD176&gt;$BS176+$BT176*$BT$2,DD176&lt;$BS176-$BT176*$BT$2),AVEDEV(ARRAYFORMULA(XLOOKUP(FILTER(INDIRECT(""'""&amp;DD$1&amp;""'!$C$4:$C$66""),INDIRECT(""'""&amp;DD$1&amp;""'!$D$4:$D$66"")=DD$2),$G$3:$BQ$3,$G176:$BQ176))),"""")"),"")</f>
        <v/>
      </c>
      <c r="DF176" s="251">
        <f>IFERROR(__xludf.DUMMYFUNCTION("AVERAGE(ARRAYFORMULA(XLOOKUP(FILTER(INDIRECT(""'""&amp;DF$1&amp;""'!$C$4:$C$66""),INDIRECT(""'""&amp;DF$1&amp;""'!$D$4:$D$66"")=DF$2),$G$3:$BQ$3,$G176:$BQ176)))"),0.7500000087500001)</f>
        <v>0.7500000088</v>
      </c>
      <c r="DG176" s="207" t="str">
        <f>IFERROR(__xludf.DUMMYFUNCTION("IF(OR(DF176&gt;$BS176+$BT176*$BT$2,DF176&lt;$BS176-$BT176*$BT$2),AVEDEV(ARRAYFORMULA(XLOOKUP(FILTER(INDIRECT(""'""&amp;DF$1&amp;""'!$C$4:$C$66""),INDIRECT(""'""&amp;DF$1&amp;""'!$D$4:$D$66"")=DF$2),$G$3:$BQ$3,$G176:$BQ176))),"""")"),"")</f>
        <v/>
      </c>
      <c r="DH176" s="251">
        <f>IFERROR(__xludf.DUMMYFUNCTION("AVERAGE(ARRAYFORMULA(XLOOKUP(FILTER(INDIRECT(""'""&amp;DH$1&amp;""'!$C$4:$C$66""),INDIRECT(""'""&amp;DH$1&amp;""'!$D$4:$D$66"")=DH$2),$G$3:$BQ$3,$G176:$BQ176)))"),0.1851852)</f>
        <v>0.1851852</v>
      </c>
      <c r="DI176" s="207" t="str">
        <f>IFERROR(__xludf.DUMMYFUNCTION("IF(OR(DH176&gt;$BS176+$BT176*$BT$2,DH176&lt;$BS176-$BT176*$BT$2),AVEDEV(ARRAYFORMULA(XLOOKUP(FILTER(INDIRECT(""'""&amp;DH$1&amp;""'!$C$4:$C$66""),INDIRECT(""'""&amp;DH$1&amp;""'!$D$4:$D$66"")=DH$2),$G$3:$BQ$3,$G176:$BQ176))),"""")"),"")</f>
        <v/>
      </c>
      <c r="DJ176" s="243"/>
    </row>
    <row r="177">
      <c r="A177" s="2"/>
      <c r="B177" s="204">
        <v>173.0</v>
      </c>
      <c r="C177" s="204" t="s">
        <v>601</v>
      </c>
      <c r="D177" s="204" t="s">
        <v>620</v>
      </c>
      <c r="E177" s="205" t="b">
        <f>VLOOKUP(D177,'Feature Set List'!A174:C246,2,0)</f>
        <v>1</v>
      </c>
      <c r="F177" s="205" t="b">
        <f>VLOOKUP(D177,'Feature Set List'!A174:C246,3,0)</f>
        <v>0</v>
      </c>
      <c r="G177" s="205">
        <v>-0.4</v>
      </c>
      <c r="H177" s="205">
        <v>0.12307692</v>
      </c>
      <c r="I177" s="205">
        <v>1.93846154</v>
      </c>
      <c r="J177" s="205">
        <v>-0.4923077</v>
      </c>
      <c r="K177" s="205">
        <v>1.93846154</v>
      </c>
      <c r="L177" s="205">
        <v>-0.5230769</v>
      </c>
      <c r="M177" s="205">
        <v>-0.2153846</v>
      </c>
      <c r="N177" s="205">
        <v>1.84615385</v>
      </c>
      <c r="O177" s="205">
        <v>-0.4923077</v>
      </c>
      <c r="P177" s="205">
        <v>-0.4307692</v>
      </c>
      <c r="Q177" s="205">
        <v>0.61538462</v>
      </c>
      <c r="R177" s="205">
        <v>-0.3692308</v>
      </c>
      <c r="S177" s="205">
        <v>0.61538462</v>
      </c>
      <c r="T177" s="205">
        <v>0.52307692</v>
      </c>
      <c r="U177" s="205">
        <v>0.03076923</v>
      </c>
      <c r="V177" s="205">
        <v>-0.2769231</v>
      </c>
      <c r="W177" s="205">
        <v>-0.4307692</v>
      </c>
      <c r="X177" s="205">
        <v>2.64615385</v>
      </c>
      <c r="Y177" s="205">
        <v>-0.0615385</v>
      </c>
      <c r="Z177" s="205">
        <v>-0.3384615</v>
      </c>
      <c r="AA177" s="205">
        <v>-0.4615385</v>
      </c>
      <c r="AB177" s="205">
        <v>-0.0615385</v>
      </c>
      <c r="AC177" s="205">
        <v>-0.4</v>
      </c>
      <c r="AD177" s="205">
        <v>0.55384615</v>
      </c>
      <c r="AE177" s="205">
        <v>1.13846154</v>
      </c>
      <c r="AF177" s="205">
        <v>-0.4923077</v>
      </c>
      <c r="AG177" s="205">
        <v>0.06153846</v>
      </c>
      <c r="AH177" s="205">
        <v>-0.3692308</v>
      </c>
      <c r="AI177" s="205">
        <v>0.06153846</v>
      </c>
      <c r="AJ177" s="205">
        <v>-0.4615385</v>
      </c>
      <c r="AK177" s="205">
        <v>0.61538462</v>
      </c>
      <c r="AL177" s="205">
        <v>0.64615385</v>
      </c>
      <c r="AM177" s="205">
        <v>-0.3384615</v>
      </c>
      <c r="AN177" s="205">
        <v>-0.4923077</v>
      </c>
      <c r="AO177" s="205">
        <v>0.70769231</v>
      </c>
      <c r="AP177" s="205">
        <v>0.06153846</v>
      </c>
      <c r="AQ177" s="205">
        <v>2.36923077</v>
      </c>
      <c r="AR177" s="205">
        <v>1.56923077</v>
      </c>
      <c r="AS177" s="205">
        <v>-0.5230769</v>
      </c>
      <c r="AT177" s="205">
        <v>0.83076923</v>
      </c>
      <c r="AU177" s="205">
        <v>-0.3076923</v>
      </c>
      <c r="AV177" s="205">
        <v>0.0</v>
      </c>
      <c r="AW177" s="205">
        <v>0.21538462</v>
      </c>
      <c r="AX177" s="205">
        <v>-0.5230769</v>
      </c>
      <c r="AY177" s="205">
        <v>1.41538462</v>
      </c>
      <c r="AZ177" s="205">
        <v>0.06153846</v>
      </c>
      <c r="BA177" s="205">
        <v>-0.4307692</v>
      </c>
      <c r="BB177" s="205">
        <v>0.64615385</v>
      </c>
      <c r="BC177" s="205">
        <v>-0.4</v>
      </c>
      <c r="BD177" s="205">
        <v>0.55384615</v>
      </c>
      <c r="BE177" s="205">
        <v>0.70769231</v>
      </c>
      <c r="BF177" s="205">
        <v>-0.2769231</v>
      </c>
      <c r="BG177" s="205">
        <v>-0.4615385</v>
      </c>
      <c r="BH177" s="205">
        <v>0.55384615</v>
      </c>
      <c r="BI177" s="205">
        <v>0.55384615</v>
      </c>
      <c r="BJ177" s="205">
        <v>-0.3384615</v>
      </c>
      <c r="BK177" s="205">
        <v>0.18461538</v>
      </c>
      <c r="BL177" s="205">
        <v>-0.4923077</v>
      </c>
      <c r="BM177" s="205">
        <v>-0.2769231</v>
      </c>
      <c r="BN177" s="205">
        <v>0.43076923</v>
      </c>
      <c r="BO177" s="205">
        <v>-0.4923077</v>
      </c>
      <c r="BP177" s="205">
        <v>0.03076923</v>
      </c>
      <c r="BQ177" s="205">
        <v>-0.4923077</v>
      </c>
      <c r="BR177" s="206"/>
      <c r="BS177" s="250">
        <f t="shared" si="1"/>
        <v>0.1924297914</v>
      </c>
      <c r="BT177" s="250">
        <f t="shared" si="2"/>
        <v>0.609678859</v>
      </c>
      <c r="BU177" s="206"/>
      <c r="BV177" s="207">
        <f>IFERROR(__xludf.DUMMYFUNCTION("AVERAGE(ARRAYFORMULA(XLOOKUP(FILTER(INDIRECT(""'""&amp;BV$1&amp;""'!$C$4:$C$66""),INDIRECT(""'""&amp;BV$1&amp;""'!$D$4:$D$66"")=BV$2),$G$3:$BQ$3,$G177:$BQ177)))"),0.80879121)</f>
        <v>0.80879121</v>
      </c>
      <c r="BW177" s="207">
        <f>IFERROR(__xludf.DUMMYFUNCTION("IF(OR(BV177&gt;$BS177+$BT177*$BT$2,BV177&lt;$BS177-$BT177*$BT$2),AVEDEV(ARRAYFORMULA(XLOOKUP(FILTER(INDIRECT(""'""&amp;BV$1&amp;""'!$C$4:$C$66""),INDIRECT(""'""&amp;BV$1&amp;""'!$D$4:$D$66"")=BV$2),$G$3:$BQ$3,$G177:$BQ177))),"""")"),0.6982731571428572)</f>
        <v>0.6982731571</v>
      </c>
      <c r="BX177" s="207">
        <f>IFERROR(__xludf.DUMMYFUNCTION("AVERAGE(ARRAYFORMULA(XLOOKUP(FILTER(INDIRECT(""'""&amp;BX$1&amp;""'!$C$4:$C$66""),INDIRECT(""'""&amp;BX$1&amp;""'!$D$4:$D$66"")=BX$2),$G$3:$BQ$3,$G177:$BQ177)))"),0.1655677623809524)</f>
        <v>0.1655677624</v>
      </c>
      <c r="BY177" s="207" t="str">
        <f>IFERROR(__xludf.DUMMYFUNCTION("IF(OR(BX177&gt;$BS177+$BT177*$BT$2,BX177&lt;$BS177-$BT177*$BT$2),AVEDEV(ARRAYFORMULA(XLOOKUP(FILTER(INDIRECT(""'""&amp;BX$1&amp;""'!$C$4:$C$66""),INDIRECT(""'""&amp;BX$1&amp;""'!$D$4:$D$66"")=BX$2),$G$3:$BQ$3,$G177:$BQ177))),"""")"),"")</f>
        <v/>
      </c>
      <c r="BZ177" s="207">
        <f>IFERROR(__xludf.DUMMYFUNCTION("AVERAGE(ARRAYFORMULA(XLOOKUP(FILTER(INDIRECT(""'""&amp;BZ$1&amp;""'!$C$4:$C$66""),INDIRECT(""'""&amp;BZ$1&amp;""'!$D$4:$D$66"")=BZ$2),$G$3:$BQ$3,$G177:$BQ177)))"),-0.2433566381818182)</f>
        <v>-0.2433566382</v>
      </c>
      <c r="CA177" s="207" t="str">
        <f>IFERROR(__xludf.DUMMYFUNCTION("IF(OR(BZ177&gt;$BS177+$BT177*$BT$2,BZ177&lt;$BS177-$BT177*$BT$2),AVEDEV(ARRAYFORMULA(XLOOKUP(FILTER(INDIRECT(""'""&amp;BZ$1&amp;""'!$C$4:$C$66""),INDIRECT(""'""&amp;BZ$1&amp;""'!$D$4:$D$66"")=BZ$2),$G$3:$BQ$3,$G177:$BQ177))),"""")"),"")</f>
        <v/>
      </c>
      <c r="CB177" s="209"/>
      <c r="CC177" s="207">
        <f>IFERROR(__xludf.DUMMYFUNCTION("AVERAGE(ARRAYFORMULA(XLOOKUP(FILTER(INDIRECT(""'""&amp;CC$1&amp;""'!$C$4:$C$66""),INDIRECT(""'""&amp;CC$1&amp;""'!$D$4:$D$66"")=CC$2),$G$3:$BQ$3,$G177:$BQ177)))"),0.555769228125)</f>
        <v>0.5557692281</v>
      </c>
      <c r="CD177" s="207" t="str">
        <f>IFERROR(__xludf.DUMMYFUNCTION("IF(OR(CC177&gt;$BS177+$BT177*$BT$2,CC177&lt;$BS177-$BT177*$BT$2),AVEDEV(ARRAYFORMULA(XLOOKUP(FILTER(INDIRECT(""'""&amp;CC$1&amp;""'!$C$4:$C$66""),INDIRECT(""'""&amp;CC$1&amp;""'!$D$4:$D$66"")=CC$2),$G$3:$BQ$3,$G177:$BQ177))),"""")"),"")</f>
        <v/>
      </c>
      <c r="CE177" s="207">
        <f>IFERROR(__xludf.DUMMYFUNCTION("AVERAGE(ARRAYFORMULA(XLOOKUP(FILTER(INDIRECT(""'""&amp;CE$1&amp;""'!$C$4:$C$66""),INDIRECT(""'""&amp;CE$1&amp;""'!$D$4:$D$66"")=CE$2),$G$3:$BQ$3,$G177:$BQ177)))"),-0.01191067193548386)</f>
        <v>-0.01191067194</v>
      </c>
      <c r="CF177" s="207" t="str">
        <f>IFERROR(__xludf.DUMMYFUNCTION("IF(OR(CE177&gt;$BS177+$BT177*$BT$2,CE177&lt;$BS177-$BT177*$BT$2),AVEDEV(ARRAYFORMULA(XLOOKUP(FILTER(INDIRECT(""'""&amp;CE$1&amp;""'!$C$4:$C$66""),INDIRECT(""'""&amp;CE$1&amp;""'!$D$4:$D$66"")=CE$2),$G$3:$BQ$3,$G177:$BQ177))),"""")"),"")</f>
        <v/>
      </c>
      <c r="CG177" s="207">
        <f>IFERROR(__xludf.DUMMYFUNCTION("AVERAGE(ARRAYFORMULA(XLOOKUP(FILTER(INDIRECT(""'""&amp;CG$1&amp;""'!$C$4:$C$66""),INDIRECT(""'""&amp;CG$1&amp;""'!$D$4:$D$66"")=CG$2),$G$3:$BQ$3,$G177:$BQ177)))"),-0.264615376)</f>
        <v>-0.264615376</v>
      </c>
      <c r="CH177" s="207" t="str">
        <f>IFERROR(__xludf.DUMMYFUNCTION("IF(OR(CG177&gt;$BS177+$BT177*$BT$2,CG177&lt;$BS177-$BT177*$BT$2),AVEDEV(ARRAYFORMULA(XLOOKUP(FILTER(INDIRECT(""'""&amp;CG$1&amp;""'!$C$4:$C$66""),INDIRECT(""'""&amp;CG$1&amp;""'!$D$4:$D$66"")=CG$2),$G$3:$BQ$3,$G177:$BQ177))),"""")"),"")</f>
        <v/>
      </c>
      <c r="CI177" s="206"/>
      <c r="CJ177" s="251">
        <f>IFERROR(__xludf.DUMMYFUNCTION("AVERAGE(ARRAYFORMULA(XLOOKUP(FILTER(INDIRECT(""'""&amp;CJ$1&amp;""'!$C$4:$C$66""),INDIRECT(""'""&amp;CJ$1&amp;""'!$D$4:$D$66"")=CJ$2),$G$3:$BQ$3,$G177:$BQ177)))"),0.35487178399999997)</f>
        <v>0.354871784</v>
      </c>
      <c r="CK177" s="207" t="str">
        <f>IFERROR(__xludf.DUMMYFUNCTION("IF(OR(CJ177&gt;$BS177+$BT177*$BT$2,CJ177&lt;$BS177-$BT177*$BT$2),AVEDEV(ARRAYFORMULA(XLOOKUP(FILTER(INDIRECT(""'""&amp;CJ$1&amp;""'!$C$4:$C$66""),INDIRECT(""'""&amp;CJ$1&amp;""'!$D$4:$D$66"")=CJ$2),$G$3:$BQ$3,$G177:$BQ177))),"""")"),"")</f>
        <v/>
      </c>
      <c r="CL177" s="251">
        <f>IFERROR(__xludf.DUMMYFUNCTION("AVERAGE(ARRAYFORMULA(XLOOKUP(FILTER(INDIRECT(""'""&amp;CL$1&amp;""'!$C$4:$C$66""),INDIRECT(""'""&amp;CL$1&amp;""'!$D$4:$D$66"")=CL$2),$G$3:$BQ$3,$G177:$BQ177)))"),0.16489152025641032)</f>
        <v>0.1648915203</v>
      </c>
      <c r="CM177" s="207" t="str">
        <f>IFERROR(__xludf.DUMMYFUNCTION("IF(OR(CL177&gt;$BS177+$BT177*$BT$2,CL177&lt;$BS177-$BT177*$BT$2),AVEDEV(ARRAYFORMULA(XLOOKUP(FILTER(INDIRECT(""'""&amp;CL$1&amp;""'!$C$4:$C$66""),INDIRECT(""'""&amp;CL$1&amp;""'!$D$4:$D$66"")=CL$2),$G$3:$BQ$3,$G177:$BQ177))),"""")"),"")</f>
        <v/>
      </c>
      <c r="CN177" s="251">
        <f>IFERROR(__xludf.DUMMYFUNCTION("AVERAGE(ARRAYFORMULA(XLOOKUP(FILTER(INDIRECT(""'""&amp;CN$1&amp;""'!$C$4:$C$66""),INDIRECT(""'""&amp;CN$1&amp;""'!$D$4:$D$66"")=CN$2),$G$3:$BQ$3,$G177:$BQ177)))"),-0.264615376)</f>
        <v>-0.264615376</v>
      </c>
      <c r="CO177" s="207" t="str">
        <f>IFERROR(__xludf.DUMMYFUNCTION("IF(OR(CN177&gt;$BS177+$BT177*$BT$2,CN177&lt;$BS177-$BT177*$BT$2),AVEDEV(ARRAYFORMULA(XLOOKUP(FILTER(INDIRECT(""'""&amp;CN$1&amp;""'!$C$4:$C$66""),INDIRECT(""'""&amp;CN$1&amp;""'!$D$4:$D$66"")=CN$2),$G$3:$BQ$3,$G177:$BQ177))),"""")"),"")</f>
        <v/>
      </c>
      <c r="CP177" s="252"/>
      <c r="CQ177" s="251">
        <f>IFERROR(__xludf.DUMMYFUNCTION("AVERAGE(ARRAYFORMULA(XLOOKUP(FILTER(INDIRECT(""'""&amp;CQ$1&amp;""'!$C$4:$C$66""),INDIRECT(""'""&amp;CQ$1&amp;""'!$D$4:$D$66"")=CQ$2),$G$3:$BQ$3,$G177:$BQ177)))"),0.4483516450000001)</f>
        <v>0.448351645</v>
      </c>
      <c r="CR177" s="207" t="str">
        <f>IFERROR(__xludf.DUMMYFUNCTION("IF(OR(CQ177&gt;$BS177+$BT177*$BT$2,CQ177&lt;$BS177-$BT177*$BT$2),AVEDEV(ARRAYFORMULA(XLOOKUP(FILTER(INDIRECT(""'""&amp;CQ$1&amp;""'!$C$4:$C$66""),INDIRECT(""'""&amp;CQ$1&amp;""'!$D$4:$D$66"")=CQ$2),$G$3:$BQ$3,$G177:$BQ177))),"""")"),"")</f>
        <v/>
      </c>
      <c r="CS177" s="251">
        <f>IFERROR(__xludf.DUMMYFUNCTION("AVERAGE(ARRAYFORMULA(XLOOKUP(FILTER(INDIRECT(""'""&amp;CS$1&amp;""'!$C$4:$C$66""),INDIRECT(""'""&amp;CS$1&amp;""'!$D$4:$D$66"")=CS$2),$G$3:$BQ$3,$G177:$BQ177)))"),-0.2735042644444445)</f>
        <v>-0.2735042644</v>
      </c>
      <c r="CT177" s="207" t="str">
        <f>IFERROR(__xludf.DUMMYFUNCTION("IF(OR(CS177&gt;$BS177+$BT177*$BT$2,CS177&lt;$BS177-$BT177*$BT$2),AVEDEV(ARRAYFORMULA(XLOOKUP(FILTER(INDIRECT(""'""&amp;CS$1&amp;""'!$C$4:$C$66""),INDIRECT(""'""&amp;CS$1&amp;""'!$D$4:$D$66"")=CS$2),$G$3:$BQ$3,$G177:$BQ177))),"""")"),"")</f>
        <v/>
      </c>
      <c r="CU177" s="251">
        <f>IFERROR(__xludf.DUMMYFUNCTION("AVERAGE(ARRAYFORMULA(XLOOKUP(FILTER(INDIRECT(""'""&amp;CU$1&amp;""'!$C$4:$C$66""),INDIRECT(""'""&amp;CU$1&amp;""'!$D$4:$D$66"")=CU$2),$G$3:$BQ$3,$G177:$BQ177)))"),-0.09790210818181819)</f>
        <v>-0.09790210818</v>
      </c>
      <c r="CV177" s="207" t="str">
        <f>IFERROR(__xludf.DUMMYFUNCTION("IF(OR(CU177&gt;$BS177+$BT177*$BT$2,CU177&lt;$BS177-$BT177*$BT$2),AVEDEV(ARRAYFORMULA(XLOOKUP(FILTER(INDIRECT(""'""&amp;CU$1&amp;""'!$C$4:$C$66""),INDIRECT(""'""&amp;CU$1&amp;""'!$D$4:$D$66"")=CU$2),$G$3:$BQ$3,$G177:$BQ177))),"""")"),"")</f>
        <v/>
      </c>
      <c r="CW177" s="251">
        <f>IFERROR(__xludf.DUMMYFUNCTION("AVERAGE(ARRAYFORMULA(XLOOKUP(FILTER(INDIRECT(""'""&amp;CW$1&amp;""'!$C$4:$C$66""),INDIRECT(""'""&amp;CW$1&amp;""'!$D$4:$D$66"")=CW$2),$G$3:$BQ$3,$G177:$BQ177)))"),0.55384615)</f>
        <v>0.55384615</v>
      </c>
      <c r="CX177" s="207" t="str">
        <f>IFERROR(__xludf.DUMMYFUNCTION("IF(OR(CW177&gt;$BS177+$BT177*$BT$2,CW177&lt;$BS177-$BT177*$BT$2),AVEDEV(ARRAYFORMULA(XLOOKUP(FILTER(INDIRECT(""'""&amp;CW$1&amp;""'!$C$4:$C$66""),INDIRECT(""'""&amp;CW$1&amp;""'!$D$4:$D$66"")=CW$2),$G$3:$BQ$3,$G177:$BQ177))),"""")"),"")</f>
        <v/>
      </c>
      <c r="CY177" s="251">
        <f>IFERROR(__xludf.DUMMYFUNCTION("AVERAGE(ARRAYFORMULA(XLOOKUP(FILTER(INDIRECT(""'""&amp;CY$1&amp;""'!$C$4:$C$66""),INDIRECT(""'""&amp;CY$1&amp;""'!$D$4:$D$66"")=CY$2),$G$3:$BQ$3,$G177:$BQ177)))"),-0.05054945000000001)</f>
        <v>-0.05054945</v>
      </c>
      <c r="CZ177" s="207" t="str">
        <f>IFERROR(__xludf.DUMMYFUNCTION("IF(OR(CY177&gt;$BS177+$BT177*$BT$2,CY177&lt;$BS177-$BT177*$BT$2),AVEDEV(ARRAYFORMULA(XLOOKUP(FILTER(INDIRECT(""'""&amp;CY$1&amp;""'!$C$4:$C$66""),INDIRECT(""'""&amp;CY$1&amp;""'!$D$4:$D$66"")=CY$2),$G$3:$BQ$3,$G177:$BQ177))),"""")"),"")</f>
        <v/>
      </c>
      <c r="DA177" s="252"/>
      <c r="DB177" s="251">
        <f>IFERROR(__xludf.DUMMYFUNCTION("AVERAGE(ARRAYFORMULA(XLOOKUP(FILTER(INDIRECT(""'""&amp;DB$1&amp;""'!$C$4:$C$66""),INDIRECT(""'""&amp;DB$1&amp;""'!$D$4:$D$66"")=DB$2),$G$3:$BQ$3,$G177:$BQ177)))"),0.25025640800000004)</f>
        <v>0.250256408</v>
      </c>
      <c r="DC177" s="207" t="str">
        <f>IFERROR(__xludf.DUMMYFUNCTION("IF(OR(DB177&gt;$BS177+$BT177*$BT$2,DB177&lt;$BS177-$BT177*$BT$2),AVEDEV(ARRAYFORMULA(XLOOKUP(FILTER(INDIRECT(""'""&amp;DB$1&amp;""'!$C$4:$C$66""),INDIRECT(""'""&amp;DB$1&amp;""'!$D$4:$D$66"")=DB$2),$G$3:$BQ$3,$G177:$BQ177))),"""")"),"")</f>
        <v/>
      </c>
      <c r="DD177" s="251">
        <f>IFERROR(__xludf.DUMMYFUNCTION("AVERAGE(ARRAYFORMULA(XLOOKUP(FILTER(INDIRECT(""'""&amp;DD$1&amp;""'!$C$4:$C$66""),INDIRECT(""'""&amp;DD$1&amp;""'!$D$4:$D$66"")=DD$2),$G$3:$BQ$3,$G177:$BQ177)))"),-0.2427350311111111)</f>
        <v>-0.2427350311</v>
      </c>
      <c r="DE177" s="207" t="str">
        <f>IFERROR(__xludf.DUMMYFUNCTION("IF(OR(DD177&gt;$BS177+$BT177*$BT$2,DD177&lt;$BS177-$BT177*$BT$2),AVEDEV(ARRAYFORMULA(XLOOKUP(FILTER(INDIRECT(""'""&amp;DD$1&amp;""'!$C$4:$C$66""),INDIRECT(""'""&amp;DD$1&amp;""'!$D$4:$D$66"")=DD$2),$G$3:$BQ$3,$G177:$BQ177))),"""")"),"")</f>
        <v/>
      </c>
      <c r="DF177" s="251">
        <f>IFERROR(__xludf.DUMMYFUNCTION("AVERAGE(ARRAYFORMULA(XLOOKUP(FILTER(INDIRECT(""'""&amp;DF$1&amp;""'!$C$4:$C$66""),INDIRECT(""'""&amp;DF$1&amp;""'!$D$4:$D$66"")=DF$2),$G$3:$BQ$3,$G177:$BQ177)))"),0.04230767875)</f>
        <v>0.04230767875</v>
      </c>
      <c r="DG177" s="207" t="str">
        <f>IFERROR(__xludf.DUMMYFUNCTION("IF(OR(DF177&gt;$BS177+$BT177*$BT$2,DF177&lt;$BS177-$BT177*$BT$2),AVEDEV(ARRAYFORMULA(XLOOKUP(FILTER(INDIRECT(""'""&amp;DF$1&amp;""'!$C$4:$C$66""),INDIRECT(""'""&amp;DF$1&amp;""'!$D$4:$D$66"")=DF$2),$G$3:$BQ$3,$G177:$BQ177))),"""")"),"")</f>
        <v/>
      </c>
      <c r="DH177" s="251">
        <f>IFERROR(__xludf.DUMMYFUNCTION("AVERAGE(ARRAYFORMULA(XLOOKUP(FILTER(INDIRECT(""'""&amp;DH$1&amp;""'!$C$4:$C$66""),INDIRECT(""'""&amp;DH$1&amp;""'!$D$4:$D$66"")=DH$2),$G$3:$BQ$3,$G177:$BQ177)))"),-0.017094016666666663)</f>
        <v>-0.01709401667</v>
      </c>
      <c r="DI177" s="207" t="str">
        <f>IFERROR(__xludf.DUMMYFUNCTION("IF(OR(DH177&gt;$BS177+$BT177*$BT$2,DH177&lt;$BS177-$BT177*$BT$2),AVEDEV(ARRAYFORMULA(XLOOKUP(FILTER(INDIRECT(""'""&amp;DH$1&amp;""'!$C$4:$C$66""),INDIRECT(""'""&amp;DH$1&amp;""'!$D$4:$D$66"")=DH$2),$G$3:$BQ$3,$G177:$BQ177))),"""")"),"")</f>
        <v/>
      </c>
      <c r="DJ177" s="243"/>
    </row>
    <row r="178">
      <c r="A178" s="2"/>
      <c r="B178" s="204">
        <v>174.0</v>
      </c>
      <c r="C178" s="204" t="s">
        <v>601</v>
      </c>
      <c r="D178" s="204" t="s">
        <v>621</v>
      </c>
      <c r="E178" s="205" t="b">
        <f>VLOOKUP(D178,'Feature Set List'!A175:C246,2,0)</f>
        <v>1</v>
      </c>
      <c r="F178" s="205" t="b">
        <f>VLOOKUP(D178,'Feature Set List'!A175:C246,3,0)</f>
        <v>0</v>
      </c>
      <c r="G178" s="205">
        <v>0.37931034</v>
      </c>
      <c r="H178" s="205">
        <v>4.31034483</v>
      </c>
      <c r="I178" s="205">
        <v>-0.5172414</v>
      </c>
      <c r="J178" s="205">
        <v>0.0</v>
      </c>
      <c r="K178" s="205">
        <v>0.20689655</v>
      </c>
      <c r="L178" s="205">
        <v>0.86206897</v>
      </c>
      <c r="M178" s="205">
        <v>0.68965517</v>
      </c>
      <c r="N178" s="205">
        <v>0.13793103</v>
      </c>
      <c r="O178" s="205">
        <v>-0.0344828</v>
      </c>
      <c r="P178" s="205">
        <v>-0.1724138</v>
      </c>
      <c r="Q178" s="205">
        <v>-0.1034483</v>
      </c>
      <c r="R178" s="205">
        <v>1.20689655</v>
      </c>
      <c r="S178" s="205">
        <v>3.34482759</v>
      </c>
      <c r="T178" s="205">
        <v>-0.1724138</v>
      </c>
      <c r="U178" s="205">
        <v>-0.3103448</v>
      </c>
      <c r="V178" s="205">
        <v>1.4137931</v>
      </c>
      <c r="W178" s="205">
        <v>-0.1034483</v>
      </c>
      <c r="X178" s="205">
        <v>0.5862069</v>
      </c>
      <c r="Y178" s="205">
        <v>-0.3793103</v>
      </c>
      <c r="Z178" s="205">
        <v>1.27586207</v>
      </c>
      <c r="AA178" s="205">
        <v>-0.1034483</v>
      </c>
      <c r="AB178" s="205">
        <v>-0.3793103</v>
      </c>
      <c r="AC178" s="205">
        <v>-0.1034483</v>
      </c>
      <c r="AD178" s="205">
        <v>-0.3448276</v>
      </c>
      <c r="AE178" s="205">
        <v>-0.2413793</v>
      </c>
      <c r="AF178" s="205">
        <v>0.0</v>
      </c>
      <c r="AG178" s="205">
        <v>0.79310345</v>
      </c>
      <c r="AH178" s="205">
        <v>0.4137931</v>
      </c>
      <c r="AI178" s="205">
        <v>2.10344828</v>
      </c>
      <c r="AJ178" s="205">
        <v>0.27586207</v>
      </c>
      <c r="AK178" s="205">
        <v>-0.137931</v>
      </c>
      <c r="AL178" s="205">
        <v>-0.1034483</v>
      </c>
      <c r="AM178" s="205">
        <v>1.27586207</v>
      </c>
      <c r="AN178" s="205">
        <v>0.44827586</v>
      </c>
      <c r="AO178" s="205">
        <v>-0.5172414</v>
      </c>
      <c r="AP178" s="205">
        <v>-0.5172414</v>
      </c>
      <c r="AQ178" s="205">
        <v>0.4137931</v>
      </c>
      <c r="AR178" s="205">
        <v>0.0</v>
      </c>
      <c r="AS178" s="205">
        <v>-0.0344828</v>
      </c>
      <c r="AT178" s="205">
        <v>-0.4482759</v>
      </c>
      <c r="AU178" s="205">
        <v>1.34482759</v>
      </c>
      <c r="AV178" s="205">
        <v>2.03448276</v>
      </c>
      <c r="AW178" s="205">
        <v>-0.4137931</v>
      </c>
      <c r="AX178" s="205">
        <v>0.86206897</v>
      </c>
      <c r="AY178" s="205">
        <v>0.48275862</v>
      </c>
      <c r="AZ178" s="205">
        <v>2.17241379</v>
      </c>
      <c r="BA178" s="205">
        <v>-0.0689655</v>
      </c>
      <c r="BB178" s="205">
        <v>-0.1034483</v>
      </c>
      <c r="BC178" s="205">
        <v>1.13793103</v>
      </c>
      <c r="BD178" s="205">
        <v>-0.3448276</v>
      </c>
      <c r="BE178" s="205">
        <v>2.24137931</v>
      </c>
      <c r="BF178" s="205">
        <v>1.37931034</v>
      </c>
      <c r="BG178" s="205">
        <v>0.03448276</v>
      </c>
      <c r="BH178" s="205">
        <v>-0.3448276</v>
      </c>
      <c r="BI178" s="205">
        <v>-0.1724138</v>
      </c>
      <c r="BJ178" s="205">
        <v>0.75862069</v>
      </c>
      <c r="BK178" s="205">
        <v>-0.2413793</v>
      </c>
      <c r="BL178" s="205">
        <v>0.0</v>
      </c>
      <c r="BM178" s="205">
        <v>-0.4827586</v>
      </c>
      <c r="BN178" s="205">
        <v>-0.2758621</v>
      </c>
      <c r="BO178" s="205">
        <v>0.24137931</v>
      </c>
      <c r="BP178" s="205">
        <v>2.10344828</v>
      </c>
      <c r="BQ178" s="205">
        <v>-0.137931</v>
      </c>
      <c r="BR178" s="206"/>
      <c r="BS178" s="250">
        <f t="shared" si="1"/>
        <v>0.4384236425</v>
      </c>
      <c r="BT178" s="250">
        <f t="shared" si="2"/>
        <v>0.7359449551</v>
      </c>
      <c r="BU178" s="206"/>
      <c r="BV178" s="207">
        <f>IFERROR(__xludf.DUMMYFUNCTION("AVERAGE(ARRAYFORMULA(XLOOKUP(FILTER(INDIRECT(""'""&amp;BV$1&amp;""'!$C$4:$C$66""),INDIRECT(""'""&amp;BV$1&amp;""'!$D$4:$D$66"")=BV$2),$G$3:$BQ$3,$G178:$BQ178)))"),0.3399014757142857)</f>
        <v>0.3399014757</v>
      </c>
      <c r="BW178" s="207" t="str">
        <f>IFERROR(__xludf.DUMMYFUNCTION("IF(OR(BV178&gt;$BS178+$BT178*$BT$2,BV178&lt;$BS178-$BT178*$BT$2),AVEDEV(ARRAYFORMULA(XLOOKUP(FILTER(INDIRECT(""'""&amp;BV$1&amp;""'!$C$4:$C$66""),INDIRECT(""'""&amp;BV$1&amp;""'!$D$4:$D$66"")=BV$2),$G$3:$BQ$3,$G178:$BQ178))),"""")"),"")</f>
        <v/>
      </c>
      <c r="BX178" s="207">
        <f>IFERROR(__xludf.DUMMYFUNCTION("AVERAGE(ARRAYFORMULA(XLOOKUP(FILTER(INDIRECT(""'""&amp;BX$1&amp;""'!$C$4:$C$66""),INDIRECT(""'""&amp;BX$1&amp;""'!$D$4:$D$66"")=BX$2),$G$3:$BQ$3,$G178:$BQ178)))"),0.5246305378571428)</f>
        <v>0.5246305379</v>
      </c>
      <c r="BY178" s="207" t="str">
        <f>IFERROR(__xludf.DUMMYFUNCTION("IF(OR(BX178&gt;$BS178+$BT178*$BT$2,BX178&lt;$BS178-$BT178*$BT$2),AVEDEV(ARRAYFORMULA(XLOOKUP(FILTER(INDIRECT(""'""&amp;BX$1&amp;""'!$C$4:$C$66""),INDIRECT(""'""&amp;BX$1&amp;""'!$D$4:$D$66"")=BX$2),$G$3:$BQ$3,$G178:$BQ178))),"""")"),"")</f>
        <v/>
      </c>
      <c r="BZ178" s="207">
        <f>IFERROR(__xludf.DUMMYFUNCTION("AVERAGE(ARRAYFORMULA(XLOOKUP(FILTER(INDIRECT(""'""&amp;BZ$1&amp;""'!$C$4:$C$66""),INDIRECT(""'""&amp;BZ$1&amp;""'!$D$4:$D$66"")=BZ$2),$G$3:$BQ$3,$G178:$BQ178)))"),0.2476489063636363)</f>
        <v>0.2476489064</v>
      </c>
      <c r="CA178" s="207" t="str">
        <f>IFERROR(__xludf.DUMMYFUNCTION("IF(OR(BZ178&gt;$BS178+$BT178*$BT$2,BZ178&lt;$BS178-$BT178*$BT$2),AVEDEV(ARRAYFORMULA(XLOOKUP(FILTER(INDIRECT(""'""&amp;BZ$1&amp;""'!$C$4:$C$66""),INDIRECT(""'""&amp;BZ$1&amp;""'!$D$4:$D$66"")=BZ$2),$G$3:$BQ$3,$G178:$BQ178))),"""")"),"")</f>
        <v/>
      </c>
      <c r="CB178" s="209"/>
      <c r="CC178" s="207">
        <f>IFERROR(__xludf.DUMMYFUNCTION("AVERAGE(ARRAYFORMULA(XLOOKUP(FILTER(INDIRECT(""'""&amp;CC$1&amp;""'!$C$4:$C$66""),INDIRECT(""'""&amp;CC$1&amp;""'!$D$4:$D$66"")=CC$2),$G$3:$BQ$3,$G178:$BQ178)))"),0.53663793)</f>
        <v>0.53663793</v>
      </c>
      <c r="CD178" s="207" t="str">
        <f>IFERROR(__xludf.DUMMYFUNCTION("IF(OR(CC178&gt;$BS178+$BT178*$BT$2,CC178&lt;$BS178-$BT178*$BT$2),AVEDEV(ARRAYFORMULA(XLOOKUP(FILTER(INDIRECT(""'""&amp;CC$1&amp;""'!$C$4:$C$66""),INDIRECT(""'""&amp;CC$1&amp;""'!$D$4:$D$66"")=CC$2),$G$3:$BQ$3,$G178:$BQ178))),"""")"),"")</f>
        <v/>
      </c>
      <c r="CE178" s="207">
        <f>IFERROR(__xludf.DUMMYFUNCTION("AVERAGE(ARRAYFORMULA(XLOOKUP(FILTER(INDIRECT(""'""&amp;CE$1&amp;""'!$C$4:$C$66""),INDIRECT(""'""&amp;CE$1&amp;""'!$D$4:$D$66"")=CE$2),$G$3:$BQ$3,$G178:$BQ178)))"),0.577308117096774)</f>
        <v>0.5773081171</v>
      </c>
      <c r="CF178" s="207" t="str">
        <f>IFERROR(__xludf.DUMMYFUNCTION("IF(OR(CE178&gt;$BS178+$BT178*$BT$2,CE178&lt;$BS178-$BT178*$BT$2),AVEDEV(ARRAYFORMULA(XLOOKUP(FILTER(INDIRECT(""'""&amp;CE$1&amp;""'!$C$4:$C$66""),INDIRECT(""'""&amp;CE$1&amp;""'!$D$4:$D$66"")=CE$2),$G$3:$BQ$3,$G178:$BQ178))),"""")"),"")</f>
        <v/>
      </c>
      <c r="CG178" s="207">
        <f>IFERROR(__xludf.DUMMYFUNCTION("AVERAGE(ARRAYFORMULA(XLOOKUP(FILTER(INDIRECT(""'""&amp;CG$1&amp;""'!$C$4:$C$66""),INDIRECT(""'""&amp;CG$1&amp;""'!$D$4:$D$66"")=CG$2),$G$3:$BQ$3,$G178:$BQ178)))"),-0.082758628)</f>
        <v>-0.082758628</v>
      </c>
      <c r="CH178" s="207" t="str">
        <f>IFERROR(__xludf.DUMMYFUNCTION("IF(OR(CG178&gt;$BS178+$BT178*$BT$2,CG178&lt;$BS178-$BT178*$BT$2),AVEDEV(ARRAYFORMULA(XLOOKUP(FILTER(INDIRECT(""'""&amp;CG$1&amp;""'!$C$4:$C$66""),INDIRECT(""'""&amp;CG$1&amp;""'!$D$4:$D$66"")=CG$2),$G$3:$BQ$3,$G178:$BQ178))),"""")"),"")</f>
        <v/>
      </c>
      <c r="CI178" s="206"/>
      <c r="CJ178" s="251">
        <f>IFERROR(__xludf.DUMMYFUNCTION("AVERAGE(ARRAYFORMULA(XLOOKUP(FILTER(INDIRECT(""'""&amp;CJ$1&amp;""'!$C$4:$C$66""),INDIRECT(""'""&amp;CJ$1&amp;""'!$D$4:$D$66"")=CJ$2),$G$3:$BQ$3,$G178:$BQ178)))"),0.096551726)</f>
        <v>0.096551726</v>
      </c>
      <c r="CK178" s="207" t="str">
        <f>IFERROR(__xludf.DUMMYFUNCTION("IF(OR(CJ178&gt;$BS178+$BT178*$BT$2,CJ178&lt;$BS178-$BT178*$BT$2),AVEDEV(ARRAYFORMULA(XLOOKUP(FILTER(INDIRECT(""'""&amp;CJ$1&amp;""'!$C$4:$C$66""),INDIRECT(""'""&amp;CJ$1&amp;""'!$D$4:$D$66"")=CJ$2),$G$3:$BQ$3,$G178:$BQ178))),"""")"),"")</f>
        <v/>
      </c>
      <c r="CL178" s="251">
        <f>IFERROR(__xludf.DUMMYFUNCTION("AVERAGE(ARRAYFORMULA(XLOOKUP(FILTER(INDIRECT(""'""&amp;CL$1&amp;""'!$C$4:$C$66""),INDIRECT(""'""&amp;CL$1&amp;""'!$D$4:$D$66"")=CL$2),$G$3:$BQ$3,$G178:$BQ178)))"),0.669319183076923)</f>
        <v>0.6693191831</v>
      </c>
      <c r="CM178" s="207" t="str">
        <f>IFERROR(__xludf.DUMMYFUNCTION("IF(OR(CL178&gt;$BS178+$BT178*$BT$2,CL178&lt;$BS178-$BT178*$BT$2),AVEDEV(ARRAYFORMULA(XLOOKUP(FILTER(INDIRECT(""'""&amp;CL$1&amp;""'!$C$4:$C$66""),INDIRECT(""'""&amp;CL$1&amp;""'!$D$4:$D$66"")=CL$2),$G$3:$BQ$3,$G178:$BQ178))),"""")"),"")</f>
        <v/>
      </c>
      <c r="CN178" s="251">
        <f>IFERROR(__xludf.DUMMYFUNCTION("AVERAGE(ARRAYFORMULA(XLOOKUP(FILTER(INDIRECT(""'""&amp;CN$1&amp;""'!$C$4:$C$66""),INDIRECT(""'""&amp;CN$1&amp;""'!$D$4:$D$66"")=CN$2),$G$3:$BQ$3,$G178:$BQ178)))"),-0.082758628)</f>
        <v>-0.082758628</v>
      </c>
      <c r="CO178" s="207" t="str">
        <f>IFERROR(__xludf.DUMMYFUNCTION("IF(OR(CN178&gt;$BS178+$BT178*$BT$2,CN178&lt;$BS178-$BT178*$BT$2),AVEDEV(ARRAYFORMULA(XLOOKUP(FILTER(INDIRECT(""'""&amp;CN$1&amp;""'!$C$4:$C$66""),INDIRECT(""'""&amp;CN$1&amp;""'!$D$4:$D$66"")=CN$2),$G$3:$BQ$3,$G178:$BQ178))),"""")"),"")</f>
        <v/>
      </c>
      <c r="CP178" s="252"/>
      <c r="CQ178" s="251">
        <f>IFERROR(__xludf.DUMMYFUNCTION("AVERAGE(ARRAYFORMULA(XLOOKUP(FILTER(INDIRECT(""'""&amp;CQ$1&amp;""'!$C$4:$C$66""),INDIRECT(""'""&amp;CQ$1&amp;""'!$D$4:$D$66"")=CQ$2),$G$3:$BQ$3,$G178:$BQ178)))"),0.6354679807142857)</f>
        <v>0.6354679807</v>
      </c>
      <c r="CR178" s="207" t="str">
        <f>IFERROR(__xludf.DUMMYFUNCTION("IF(OR(CQ178&gt;$BS178+$BT178*$BT$2,CQ178&lt;$BS178-$BT178*$BT$2),AVEDEV(ARRAYFORMULA(XLOOKUP(FILTER(INDIRECT(""'""&amp;CQ$1&amp;""'!$C$4:$C$66""),INDIRECT(""'""&amp;CQ$1&amp;""'!$D$4:$D$66"")=CQ$2),$G$3:$BQ$3,$G178:$BQ178))),"""")"),"")</f>
        <v/>
      </c>
      <c r="CS178" s="251">
        <f>IFERROR(__xludf.DUMMYFUNCTION("AVERAGE(ARRAYFORMULA(XLOOKUP(FILTER(INDIRECT(""'""&amp;CS$1&amp;""'!$C$4:$C$66""),INDIRECT(""'""&amp;CS$1&amp;""'!$D$4:$D$66"")=CS$2),$G$3:$BQ$3,$G178:$BQ178)))"),0.11494253111111112)</f>
        <v>0.1149425311</v>
      </c>
      <c r="CT178" s="207" t="str">
        <f>IFERROR(__xludf.DUMMYFUNCTION("IF(OR(CS178&gt;$BS178+$BT178*$BT$2,CS178&lt;$BS178-$BT178*$BT$2),AVEDEV(ARRAYFORMULA(XLOOKUP(FILTER(INDIRECT(""'""&amp;CS$1&amp;""'!$C$4:$C$66""),INDIRECT(""'""&amp;CS$1&amp;""'!$D$4:$D$66"")=CS$2),$G$3:$BQ$3,$G178:$BQ178))),"""")"),"")</f>
        <v/>
      </c>
      <c r="CU178" s="251">
        <f>IFERROR(__xludf.DUMMYFUNCTION("AVERAGE(ARRAYFORMULA(XLOOKUP(FILTER(INDIRECT(""'""&amp;CU$1&amp;""'!$C$4:$C$66""),INDIRECT(""'""&amp;CU$1&amp;""'!$D$4:$D$66"")=CU$2),$G$3:$BQ$3,$G178:$BQ178)))"),0.7711598709090908)</f>
        <v>0.7711598709</v>
      </c>
      <c r="CV178" s="207" t="str">
        <f>IFERROR(__xludf.DUMMYFUNCTION("IF(OR(CU178&gt;$BS178+$BT178*$BT$2,CU178&lt;$BS178-$BT178*$BT$2),AVEDEV(ARRAYFORMULA(XLOOKUP(FILTER(INDIRECT(""'""&amp;CU$1&amp;""'!$C$4:$C$66""),INDIRECT(""'""&amp;CU$1&amp;""'!$D$4:$D$66"")=CU$2),$G$3:$BQ$3,$G178:$BQ178))),"""")"),"")</f>
        <v/>
      </c>
      <c r="CW178" s="251">
        <f>IFERROR(__xludf.DUMMYFUNCTION("AVERAGE(ARRAYFORMULA(XLOOKUP(FILTER(INDIRECT(""'""&amp;CW$1&amp;""'!$C$4:$C$66""),INDIRECT(""'""&amp;CW$1&amp;""'!$D$4:$D$66"")=CW$2),$G$3:$BQ$3,$G178:$BQ178)))"),-0.3448276)</f>
        <v>-0.3448276</v>
      </c>
      <c r="CX178" s="207">
        <f>IFERROR(__xludf.DUMMYFUNCTION("IF(OR(CW178&gt;$BS178+$BT178*$BT$2,CW178&lt;$BS178-$BT178*$BT$2),AVEDEV(ARRAYFORMULA(XLOOKUP(FILTER(INDIRECT(""'""&amp;CW$1&amp;""'!$C$4:$C$66""),INDIRECT(""'""&amp;CW$1&amp;""'!$D$4:$D$66"")=CW$2),$G$3:$BQ$3,$G178:$BQ178))),"""")"),0.0)</f>
        <v>0</v>
      </c>
      <c r="CY178" s="251">
        <f>IFERROR(__xludf.DUMMYFUNCTION("AVERAGE(ARRAYFORMULA(XLOOKUP(FILTER(INDIRECT(""'""&amp;CY$1&amp;""'!$C$4:$C$66""),INDIRECT(""'""&amp;CY$1&amp;""'!$D$4:$D$66"")=CY$2),$G$3:$BQ$3,$G178:$BQ178)))"),0.524630537142857)</f>
        <v>0.5246305371</v>
      </c>
      <c r="CZ178" s="207" t="str">
        <f>IFERROR(__xludf.DUMMYFUNCTION("IF(OR(CY178&gt;$BS178+$BT178*$BT$2,CY178&lt;$BS178-$BT178*$BT$2),AVEDEV(ARRAYFORMULA(XLOOKUP(FILTER(INDIRECT(""'""&amp;CY$1&amp;""'!$C$4:$C$66""),INDIRECT(""'""&amp;CY$1&amp;""'!$D$4:$D$66"")=CY$2),$G$3:$BQ$3,$G178:$BQ178))),"""")"),"")</f>
        <v/>
      </c>
      <c r="DA178" s="252"/>
      <c r="DB178" s="251">
        <f>IFERROR(__xludf.DUMMYFUNCTION("AVERAGE(ARRAYFORMULA(XLOOKUP(FILTER(INDIRECT(""'""&amp;DB$1&amp;""'!$C$4:$C$66""),INDIRECT(""'""&amp;DB$1&amp;""'!$D$4:$D$66"")=DB$2),$G$3:$BQ$3,$G178:$BQ178)))"),0.5781609183333333)</f>
        <v>0.5781609183</v>
      </c>
      <c r="DC178" s="207" t="str">
        <f>IFERROR(__xludf.DUMMYFUNCTION("IF(OR(DB178&gt;$BS178+$BT178*$BT$2,DB178&lt;$BS178-$BT178*$BT$2),AVEDEV(ARRAYFORMULA(XLOOKUP(FILTER(INDIRECT(""'""&amp;DB$1&amp;""'!$C$4:$C$66""),INDIRECT(""'""&amp;DB$1&amp;""'!$D$4:$D$66"")=DB$2),$G$3:$BQ$3,$G178:$BQ178))),"""")"),"")</f>
        <v/>
      </c>
      <c r="DD178" s="251">
        <f>IFERROR(__xludf.DUMMYFUNCTION("AVERAGE(ARRAYFORMULA(XLOOKUP(FILTER(INDIRECT(""'""&amp;DD$1&amp;""'!$C$4:$C$66""),INDIRECT(""'""&amp;DD$1&amp;""'!$D$4:$D$66"")=DD$2),$G$3:$BQ$3,$G178:$BQ178)))"),0.3295019155555555)</f>
        <v>0.3295019156</v>
      </c>
      <c r="DE178" s="207" t="str">
        <f>IFERROR(__xludf.DUMMYFUNCTION("IF(OR(DD178&gt;$BS178+$BT178*$BT$2,DD178&lt;$BS178-$BT178*$BT$2),AVEDEV(ARRAYFORMULA(XLOOKUP(FILTER(INDIRECT(""'""&amp;DD$1&amp;""'!$C$4:$C$66""),INDIRECT(""'""&amp;DD$1&amp;""'!$D$4:$D$66"")=DD$2),$G$3:$BQ$3,$G178:$BQ178))),"""")"),"")</f>
        <v/>
      </c>
      <c r="DF178" s="251">
        <f>IFERROR(__xludf.DUMMYFUNCTION("AVERAGE(ARRAYFORMULA(XLOOKUP(FILTER(INDIRECT(""'""&amp;DF$1&amp;""'!$C$4:$C$66""),INDIRECT(""'""&amp;DF$1&amp;""'!$D$4:$D$66"")=DF$2),$G$3:$BQ$3,$G178:$BQ178)))"),0.8793103399999999)</f>
        <v>0.87931034</v>
      </c>
      <c r="DG178" s="207" t="str">
        <f>IFERROR(__xludf.DUMMYFUNCTION("IF(OR(DF178&gt;$BS178+$BT178*$BT$2,DF178&lt;$BS178-$BT178*$BT$2),AVEDEV(ARRAYFORMULA(XLOOKUP(FILTER(INDIRECT(""'""&amp;DF$1&amp;""'!$C$4:$C$66""),INDIRECT(""'""&amp;DF$1&amp;""'!$D$4:$D$66"")=DF$2),$G$3:$BQ$3,$G178:$BQ178))),"""")"),"")</f>
        <v/>
      </c>
      <c r="DH178" s="251">
        <f>IFERROR(__xludf.DUMMYFUNCTION("AVERAGE(ARRAYFORMULA(XLOOKUP(FILTER(INDIRECT(""'""&amp;DH$1&amp;""'!$C$4:$C$66""),INDIRECT(""'""&amp;DH$1&amp;""'!$D$4:$D$66"")=DH$2),$G$3:$BQ$3,$G178:$BQ178)))"),-0.030651346666666628)</f>
        <v>-0.03065134667</v>
      </c>
      <c r="DI178" s="207" t="str">
        <f>IFERROR(__xludf.DUMMYFUNCTION("IF(OR(DH178&gt;$BS178+$BT178*$BT$2,DH178&lt;$BS178-$BT178*$BT$2),AVEDEV(ARRAYFORMULA(XLOOKUP(FILTER(INDIRECT(""'""&amp;DH$1&amp;""'!$C$4:$C$66""),INDIRECT(""'""&amp;DH$1&amp;""'!$D$4:$D$66"")=DH$2),$G$3:$BQ$3,$G178:$BQ178))),"""")"),"")</f>
        <v/>
      </c>
      <c r="DJ178" s="243"/>
    </row>
    <row r="179">
      <c r="A179" s="2"/>
      <c r="B179" s="204">
        <v>175.0</v>
      </c>
      <c r="C179" s="204" t="s">
        <v>601</v>
      </c>
      <c r="D179" s="204" t="s">
        <v>622</v>
      </c>
      <c r="E179" s="205" t="b">
        <f>VLOOKUP(D179,'Feature Set List'!A176:C246,2,0)</f>
        <v>1</v>
      </c>
      <c r="F179" s="205" t="b">
        <f>VLOOKUP(D179,'Feature Set List'!A176:C246,3,0)</f>
        <v>0</v>
      </c>
      <c r="G179" s="205">
        <v>-0.0153374</v>
      </c>
      <c r="H179" s="205">
        <v>2.2101227</v>
      </c>
      <c r="I179" s="205">
        <v>2.28527607</v>
      </c>
      <c r="J179" s="205">
        <v>-0.2592025</v>
      </c>
      <c r="K179" s="205">
        <v>0.70092025</v>
      </c>
      <c r="L179" s="205">
        <v>0.75153374</v>
      </c>
      <c r="M179" s="205">
        <v>-0.0153374</v>
      </c>
      <c r="N179" s="205">
        <v>0.72546012</v>
      </c>
      <c r="O179" s="205">
        <v>-0.2960123</v>
      </c>
      <c r="P179" s="205">
        <v>-0.5322086</v>
      </c>
      <c r="Q179" s="205">
        <v>-0.0444785</v>
      </c>
      <c r="R179" s="205">
        <v>0.75153374</v>
      </c>
      <c r="S179" s="205">
        <v>0.71165644</v>
      </c>
      <c r="T179" s="205">
        <v>-0.0460123</v>
      </c>
      <c r="U179" s="205">
        <v>-0.3819018</v>
      </c>
      <c r="V179" s="205">
        <v>0.75153374</v>
      </c>
      <c r="W179" s="205">
        <v>-0.4616564</v>
      </c>
      <c r="X179" s="205">
        <v>0.73006135</v>
      </c>
      <c r="Y179" s="205">
        <v>-0.398773</v>
      </c>
      <c r="Z179" s="205">
        <v>0.75153374</v>
      </c>
      <c r="AA179" s="205">
        <v>-0.4171779</v>
      </c>
      <c r="AB179" s="205">
        <v>-0.398773</v>
      </c>
      <c r="AC179" s="205">
        <v>-0.5030675</v>
      </c>
      <c r="AD179" s="205">
        <v>0.24079755</v>
      </c>
      <c r="AE179" s="205">
        <v>0.68711656</v>
      </c>
      <c r="AF179" s="205">
        <v>-0.2592025</v>
      </c>
      <c r="AG179" s="205">
        <v>-0.2883436</v>
      </c>
      <c r="AH179" s="205">
        <v>-0.0322086</v>
      </c>
      <c r="AI179" s="205">
        <v>0.6993865</v>
      </c>
      <c r="AJ179" s="205">
        <v>-0.0153374</v>
      </c>
      <c r="AK179" s="205">
        <v>0.0</v>
      </c>
      <c r="AL179" s="205">
        <v>-0.0153374</v>
      </c>
      <c r="AM179" s="205">
        <v>0.75153374</v>
      </c>
      <c r="AN179" s="205">
        <v>0.22852761</v>
      </c>
      <c r="AO179" s="205">
        <v>0.75153374</v>
      </c>
      <c r="AP179" s="205">
        <v>-0.053681</v>
      </c>
      <c r="AQ179" s="205">
        <v>0.75153374</v>
      </c>
      <c r="AR179" s="205">
        <v>0.69631902</v>
      </c>
      <c r="AS179" s="205">
        <v>-0.2453988</v>
      </c>
      <c r="AT179" s="205">
        <v>0.75153374</v>
      </c>
      <c r="AU179" s="205">
        <v>0.75153374</v>
      </c>
      <c r="AV179" s="205">
        <v>0.75153374</v>
      </c>
      <c r="AW179" s="205">
        <v>-0.0337423</v>
      </c>
      <c r="AX179" s="205">
        <v>0.75153374</v>
      </c>
      <c r="AY179" s="205">
        <v>-0.0260736</v>
      </c>
      <c r="AZ179" s="205">
        <v>0.75153374</v>
      </c>
      <c r="BA179" s="205">
        <v>-0.4248466</v>
      </c>
      <c r="BB179" s="205">
        <v>-0.0153374</v>
      </c>
      <c r="BC179" s="205">
        <v>0.75153374</v>
      </c>
      <c r="BD179" s="205">
        <v>0.24079755</v>
      </c>
      <c r="BE179" s="205">
        <v>-0.0153374</v>
      </c>
      <c r="BF179" s="205">
        <v>0.71932515</v>
      </c>
      <c r="BG179" s="205">
        <v>-0.2714724</v>
      </c>
      <c r="BH179" s="205">
        <v>0.24079755</v>
      </c>
      <c r="BI179" s="205">
        <v>-0.0153374</v>
      </c>
      <c r="BJ179" s="205">
        <v>0.25153374</v>
      </c>
      <c r="BK179" s="205">
        <v>-0.303681</v>
      </c>
      <c r="BL179" s="205">
        <v>-0.2592025</v>
      </c>
      <c r="BM179" s="205">
        <v>-0.5199387</v>
      </c>
      <c r="BN179" s="205">
        <v>0.00153374</v>
      </c>
      <c r="BO179" s="205">
        <v>0.00306748</v>
      </c>
      <c r="BP179" s="205">
        <v>0.75153374</v>
      </c>
      <c r="BQ179" s="205">
        <v>-0.4079755</v>
      </c>
      <c r="BR179" s="206"/>
      <c r="BS179" s="250">
        <f t="shared" si="1"/>
        <v>0.2368536356</v>
      </c>
      <c r="BT179" s="250">
        <f t="shared" si="2"/>
        <v>0.4771155909</v>
      </c>
      <c r="BU179" s="206"/>
      <c r="BV179" s="207">
        <f>IFERROR(__xludf.DUMMYFUNCTION("AVERAGE(ARRAYFORMULA(XLOOKUP(FILTER(INDIRECT(""'""&amp;BV$1&amp;""'!$C$4:$C$66""),INDIRECT(""'""&amp;BV$1&amp;""'!$D$4:$D$66"")=BV$2),$G$3:$BQ$3,$G179:$BQ179)))"),0.11196319857142857)</f>
        <v>0.1119631986</v>
      </c>
      <c r="BW179" s="207" t="str">
        <f>IFERROR(__xludf.DUMMYFUNCTION("IF(OR(BV179&gt;$BS179+$BT179*$BT$2,BV179&lt;$BS179-$BT179*$BT$2),AVEDEV(ARRAYFORMULA(XLOOKUP(FILTER(INDIRECT(""'""&amp;BV$1&amp;""'!$C$4:$C$66""),INDIRECT(""'""&amp;BV$1&amp;""'!$D$4:$D$66"")=BV$2),$G$3:$BQ$3,$G179:$BQ179))),"""")"),"")</f>
        <v/>
      </c>
      <c r="BX179" s="207">
        <f>IFERROR(__xludf.DUMMYFUNCTION("AVERAGE(ARRAYFORMULA(XLOOKUP(FILTER(INDIRECT(""'""&amp;BX$1&amp;""'!$C$4:$C$66""),INDIRECT(""'""&amp;BX$1&amp;""'!$D$4:$D$66"")=BX$2),$G$3:$BQ$3,$G179:$BQ179)))"),0.2864446359523809)</f>
        <v>0.286444636</v>
      </c>
      <c r="BY179" s="207" t="str">
        <f>IFERROR(__xludf.DUMMYFUNCTION("IF(OR(BX179&gt;$BS179+$BT179*$BT$2,BX179&lt;$BS179-$BT179*$BT$2),AVEDEV(ARRAYFORMULA(XLOOKUP(FILTER(INDIRECT(""'""&amp;BX$1&amp;""'!$C$4:$C$66""),INDIRECT(""'""&amp;BX$1&amp;""'!$D$4:$D$66"")=BX$2),$G$3:$BQ$3,$G179:$BQ179))),"""")"),"")</f>
        <v/>
      </c>
      <c r="BZ179" s="207">
        <f>IFERROR(__xludf.DUMMYFUNCTION("AVERAGE(ARRAYFORMULA(XLOOKUP(FILTER(INDIRECT(""'""&amp;BZ$1&amp;""'!$C$4:$C$66""),INDIRECT(""'""&amp;BZ$1&amp;""'!$D$4:$D$66"")=BZ$2),$G$3:$BQ$3,$G179:$BQ179)))"),-0.10638594727272728)</f>
        <v>-0.1063859473</v>
      </c>
      <c r="CA179" s="207" t="str">
        <f>IFERROR(__xludf.DUMMYFUNCTION("IF(OR(BZ179&gt;$BS179+$BT179*$BT$2,BZ179&lt;$BS179-$BT179*$BT$2),AVEDEV(ARRAYFORMULA(XLOOKUP(FILTER(INDIRECT(""'""&amp;BZ$1&amp;""'!$C$4:$C$66""),INDIRECT(""'""&amp;BZ$1&amp;""'!$D$4:$D$66"")=BZ$2),$G$3:$BQ$3,$G179:$BQ179))),"""")"),"")</f>
        <v/>
      </c>
      <c r="CB179" s="209"/>
      <c r="CC179" s="207">
        <f>IFERROR(__xludf.DUMMYFUNCTION("AVERAGE(ARRAYFORMULA(XLOOKUP(FILTER(INDIRECT(""'""&amp;CC$1&amp;""'!$C$4:$C$66""),INDIRECT(""'""&amp;CC$1&amp;""'!$D$4:$D$66"")=CC$2),$G$3:$BQ$3,$G179:$BQ179)))"),0.43529524374999995)</f>
        <v>0.4352952438</v>
      </c>
      <c r="CD179" s="207" t="str">
        <f>IFERROR(__xludf.DUMMYFUNCTION("IF(OR(CC179&gt;$BS179+$BT179*$BT$2,CC179&lt;$BS179-$BT179*$BT$2),AVEDEV(ARRAYFORMULA(XLOOKUP(FILTER(INDIRECT(""'""&amp;CC$1&amp;""'!$C$4:$C$66""),INDIRECT(""'""&amp;CC$1&amp;""'!$D$4:$D$66"")=CC$2),$G$3:$BQ$3,$G179:$BQ179))),"""")"),"")</f>
        <v/>
      </c>
      <c r="CE179" s="207">
        <f>IFERROR(__xludf.DUMMYFUNCTION("AVERAGE(ARRAYFORMULA(XLOOKUP(FILTER(INDIRECT(""'""&amp;CE$1&amp;""'!$C$4:$C$66""),INDIRECT(""'""&amp;CE$1&amp;""'!$D$4:$D$66"")=CE$2),$G$3:$BQ$3,$G179:$BQ179)))"),0.13101128225806458)</f>
        <v>0.1310112823</v>
      </c>
      <c r="CF179" s="207" t="str">
        <f>IFERROR(__xludf.DUMMYFUNCTION("IF(OR(CE179&gt;$BS179+$BT179*$BT$2,CE179&lt;$BS179-$BT179*$BT$2),AVEDEV(ARRAYFORMULA(XLOOKUP(FILTER(INDIRECT(""'""&amp;CE$1&amp;""'!$C$4:$C$66""),INDIRECT(""'""&amp;CE$1&amp;""'!$D$4:$D$66"")=CE$2),$G$3:$BQ$3,$G179:$BQ179))),"""")"),"")</f>
        <v/>
      </c>
      <c r="CG179" s="207">
        <f>IFERROR(__xludf.DUMMYFUNCTION("AVERAGE(ARRAYFORMULA(XLOOKUP(FILTER(INDIRECT(""'""&amp;CG$1&amp;""'!$C$4:$C$66""),INDIRECT(""'""&amp;CG$1&amp;""'!$D$4:$D$66"")=CG$2),$G$3:$BQ$3,$G179:$BQ179)))"),-0.30398774)</f>
        <v>-0.30398774</v>
      </c>
      <c r="CH179" s="207">
        <f>IFERROR(__xludf.DUMMYFUNCTION("IF(OR(CG179&gt;$BS179+$BT179*$BT$2,CG179&lt;$BS179-$BT179*$BT$2),AVEDEV(ARRAYFORMULA(XLOOKUP(FILTER(INDIRECT(""'""&amp;CG$1&amp;""'!$C$4:$C$66""),INDIRECT(""'""&amp;CG$1&amp;""'!$D$4:$D$66"")=CG$2),$G$3:$BQ$3,$G179:$BQ179))),"""")"),0.13963188799999998)</f>
        <v>0.139631888</v>
      </c>
      <c r="CI179" s="206"/>
      <c r="CJ179" s="251">
        <f>IFERROR(__xludf.DUMMYFUNCTION("AVERAGE(ARRAYFORMULA(XLOOKUP(FILTER(INDIRECT(""'""&amp;CJ$1&amp;""'!$C$4:$C$66""),INDIRECT(""'""&amp;CJ$1&amp;""'!$D$4:$D$66"")=CJ$2),$G$3:$BQ$3,$G179:$BQ179)))"),0.013292436666666678)</f>
        <v>0.01329243667</v>
      </c>
      <c r="CK179" s="207" t="str">
        <f>IFERROR(__xludf.DUMMYFUNCTION("IF(OR(CJ179&gt;$BS179+$BT179*$BT$2,CJ179&lt;$BS179-$BT179*$BT$2),AVEDEV(ARRAYFORMULA(XLOOKUP(FILTER(INDIRECT(""'""&amp;CJ$1&amp;""'!$C$4:$C$66""),INDIRECT(""'""&amp;CJ$1&amp;""'!$D$4:$D$66"")=CJ$2),$G$3:$BQ$3,$G179:$BQ179))),"""")"),"")</f>
        <v/>
      </c>
      <c r="CL179" s="251">
        <f>IFERROR(__xludf.DUMMYFUNCTION("AVERAGE(ARRAYFORMULA(XLOOKUP(FILTER(INDIRECT(""'""&amp;CL$1&amp;""'!$C$4:$C$66""),INDIRECT(""'""&amp;CL$1&amp;""'!$D$4:$D$66"")=CL$2),$G$3:$BQ$3,$G179:$BQ179)))"),0.33907503410256407)</f>
        <v>0.3390750341</v>
      </c>
      <c r="CM179" s="207" t="str">
        <f>IFERROR(__xludf.DUMMYFUNCTION("IF(OR(CL179&gt;$BS179+$BT179*$BT$2,CL179&lt;$BS179-$BT179*$BT$2),AVEDEV(ARRAYFORMULA(XLOOKUP(FILTER(INDIRECT(""'""&amp;CL$1&amp;""'!$C$4:$C$66""),INDIRECT(""'""&amp;CL$1&amp;""'!$D$4:$D$66"")=CL$2),$G$3:$BQ$3,$G179:$BQ179))),"""")"),"")</f>
        <v/>
      </c>
      <c r="CN179" s="251">
        <f>IFERROR(__xludf.DUMMYFUNCTION("AVERAGE(ARRAYFORMULA(XLOOKUP(FILTER(INDIRECT(""'""&amp;CN$1&amp;""'!$C$4:$C$66""),INDIRECT(""'""&amp;CN$1&amp;""'!$D$4:$D$66"")=CN$2),$G$3:$BQ$3,$G179:$BQ179)))"),-0.30398774)</f>
        <v>-0.30398774</v>
      </c>
      <c r="CO179" s="207">
        <f>IFERROR(__xludf.DUMMYFUNCTION("IF(OR(CN179&gt;$BS179+$BT179*$BT$2,CN179&lt;$BS179-$BT179*$BT$2),AVEDEV(ARRAYFORMULA(XLOOKUP(FILTER(INDIRECT(""'""&amp;CN$1&amp;""'!$C$4:$C$66""),INDIRECT(""'""&amp;CN$1&amp;""'!$D$4:$D$66"")=CN$2),$G$3:$BQ$3,$G179:$BQ179))),"""")"),0.13963188799999998)</f>
        <v>0.139631888</v>
      </c>
      <c r="CP179" s="252"/>
      <c r="CQ179" s="251">
        <f>IFERROR(__xludf.DUMMYFUNCTION("AVERAGE(ARRAYFORMULA(XLOOKUP(FILTER(INDIRECT(""'""&amp;CQ$1&amp;""'!$C$4:$C$66""),INDIRECT(""'""&amp;CQ$1&amp;""'!$D$4:$D$66"")=CQ$2),$G$3:$BQ$3,$G179:$BQ179)))"),0.39932076499999997)</f>
        <v>0.399320765</v>
      </c>
      <c r="CR179" s="207" t="str">
        <f>IFERROR(__xludf.DUMMYFUNCTION("IF(OR(CQ179&gt;$BS179+$BT179*$BT$2,CQ179&lt;$BS179-$BT179*$BT$2),AVEDEV(ARRAYFORMULA(XLOOKUP(FILTER(INDIRECT(""'""&amp;CQ$1&amp;""'!$C$4:$C$66""),INDIRECT(""'""&amp;CQ$1&amp;""'!$D$4:$D$66"")=CQ$2),$G$3:$BQ$3,$G179:$BQ179))),"""")"),"")</f>
        <v/>
      </c>
      <c r="CS179" s="251">
        <f>IFERROR(__xludf.DUMMYFUNCTION("AVERAGE(ARRAYFORMULA(XLOOKUP(FILTER(INDIRECT(""'""&amp;CS$1&amp;""'!$C$4:$C$66""),INDIRECT(""'""&amp;CS$1&amp;""'!$D$4:$D$66"")=CS$2),$G$3:$BQ$3,$G179:$BQ179)))"),-0.15576005111111113)</f>
        <v>-0.1557600511</v>
      </c>
      <c r="CT179" s="207" t="str">
        <f>IFERROR(__xludf.DUMMYFUNCTION("IF(OR(CS179&gt;$BS179+$BT179*$BT$2,CS179&lt;$BS179-$BT179*$BT$2),AVEDEV(ARRAYFORMULA(XLOOKUP(FILTER(INDIRECT(""'""&amp;CS$1&amp;""'!$C$4:$C$66""),INDIRECT(""'""&amp;CS$1&amp;""'!$D$4:$D$66"")=CS$2),$G$3:$BQ$3,$G179:$BQ179))),"""")"),"")</f>
        <v/>
      </c>
      <c r="CU179" s="251">
        <f>IFERROR(__xludf.DUMMYFUNCTION("AVERAGE(ARRAYFORMULA(XLOOKUP(FILTER(INDIRECT(""'""&amp;CU$1&amp;""'!$C$4:$C$66""),INDIRECT(""'""&amp;CU$1&amp;""'!$D$4:$D$66"")=CU$2),$G$3:$BQ$3,$G179:$BQ179)))"),0.19074177090909086)</f>
        <v>0.1907417709</v>
      </c>
      <c r="CV179" s="207" t="str">
        <f>IFERROR(__xludf.DUMMYFUNCTION("IF(OR(CU179&gt;$BS179+$BT179*$BT$2,CU179&lt;$BS179-$BT179*$BT$2),AVEDEV(ARRAYFORMULA(XLOOKUP(FILTER(INDIRECT(""'""&amp;CU$1&amp;""'!$C$4:$C$66""),INDIRECT(""'""&amp;CU$1&amp;""'!$D$4:$D$66"")=CU$2),$G$3:$BQ$3,$G179:$BQ179))),"""")"),"")</f>
        <v/>
      </c>
      <c r="CW179" s="251">
        <f>IFERROR(__xludf.DUMMYFUNCTION("AVERAGE(ARRAYFORMULA(XLOOKUP(FILTER(INDIRECT(""'""&amp;CW$1&amp;""'!$C$4:$C$66""),INDIRECT(""'""&amp;CW$1&amp;""'!$D$4:$D$66"")=CW$2),$G$3:$BQ$3,$G179:$BQ179)))"),0.24079755)</f>
        <v>0.24079755</v>
      </c>
      <c r="CX179" s="207" t="str">
        <f>IFERROR(__xludf.DUMMYFUNCTION("IF(OR(CW179&gt;$BS179+$BT179*$BT$2,CW179&lt;$BS179-$BT179*$BT$2),AVEDEV(ARRAYFORMULA(XLOOKUP(FILTER(INDIRECT(""'""&amp;CW$1&amp;""'!$C$4:$C$66""),INDIRECT(""'""&amp;CW$1&amp;""'!$D$4:$D$66"")=CW$2),$G$3:$BQ$3,$G179:$BQ179))),"""")"),"")</f>
        <v/>
      </c>
      <c r="CY179" s="251">
        <f>IFERROR(__xludf.DUMMYFUNCTION("AVERAGE(ARRAYFORMULA(XLOOKUP(FILTER(INDIRECT(""'""&amp;CY$1&amp;""'!$C$4:$C$66""),INDIRECT(""'""&amp;CY$1&amp;""'!$D$4:$D$66"")=CY$2),$G$3:$BQ$3,$G179:$BQ179)))"),0.2968886935714285)</f>
        <v>0.2968886936</v>
      </c>
      <c r="CZ179" s="207" t="str">
        <f>IFERROR(__xludf.DUMMYFUNCTION("IF(OR(CY179&gt;$BS179+$BT179*$BT$2,CY179&lt;$BS179-$BT179*$BT$2),AVEDEV(ARRAYFORMULA(XLOOKUP(FILTER(INDIRECT(""'""&amp;CY$1&amp;""'!$C$4:$C$66""),INDIRECT(""'""&amp;CY$1&amp;""'!$D$4:$D$66"")=CY$2),$G$3:$BQ$3,$G179:$BQ179))),"""")"),"")</f>
        <v/>
      </c>
      <c r="DA179" s="252"/>
      <c r="DB179" s="251">
        <f>IFERROR(__xludf.DUMMYFUNCTION("AVERAGE(ARRAYFORMULA(XLOOKUP(FILTER(INDIRECT(""'""&amp;DB$1&amp;""'!$C$4:$C$66""),INDIRECT(""'""&amp;DB$1&amp;""'!$D$4:$D$66"")=DB$2),$G$3:$BQ$3,$G179:$BQ179)))"),0.2952965203333333)</f>
        <v>0.2952965203</v>
      </c>
      <c r="DC179" s="207" t="str">
        <f>IFERROR(__xludf.DUMMYFUNCTION("IF(OR(DB179&gt;$BS179+$BT179*$BT$2,DB179&lt;$BS179-$BT179*$BT$2),AVEDEV(ARRAYFORMULA(XLOOKUP(FILTER(INDIRECT(""'""&amp;DB$1&amp;""'!$C$4:$C$66""),INDIRECT(""'""&amp;DB$1&amp;""'!$D$4:$D$66"")=DB$2),$G$3:$BQ$3,$G179:$BQ179))),"""")"),"")</f>
        <v/>
      </c>
      <c r="DD179" s="251">
        <f>IFERROR(__xludf.DUMMYFUNCTION("AVERAGE(ARRAYFORMULA(XLOOKUP(FILTER(INDIRECT(""'""&amp;DD$1&amp;""'!$C$4:$C$66""),INDIRECT(""'""&amp;DD$1&amp;""'!$D$4:$D$66"")=DD$2),$G$3:$BQ$3,$G179:$BQ179)))"),-0.05691888000000002)</f>
        <v>-0.05691888</v>
      </c>
      <c r="DE179" s="207" t="str">
        <f>IFERROR(__xludf.DUMMYFUNCTION("IF(OR(DD179&gt;$BS179+$BT179*$BT$2,DD179&lt;$BS179-$BT179*$BT$2),AVEDEV(ARRAYFORMULA(XLOOKUP(FILTER(INDIRECT(""'""&amp;DD$1&amp;""'!$C$4:$C$66""),INDIRECT(""'""&amp;DD$1&amp;""'!$D$4:$D$66"")=DD$2),$G$3:$BQ$3,$G179:$BQ179))),"""")"),"")</f>
        <v/>
      </c>
      <c r="DF179" s="251">
        <f>IFERROR(__xludf.DUMMYFUNCTION("AVERAGE(ARRAYFORMULA(XLOOKUP(FILTER(INDIRECT(""'""&amp;DF$1&amp;""'!$C$4:$C$66""),INDIRECT(""'""&amp;DF$1&amp;""'!$D$4:$D$66"")=DF$2),$G$3:$BQ$3,$G179:$BQ179)))"),0.134777615)</f>
        <v>0.134777615</v>
      </c>
      <c r="DG179" s="207" t="str">
        <f>IFERROR(__xludf.DUMMYFUNCTION("IF(OR(DF179&gt;$BS179+$BT179*$BT$2,DF179&lt;$BS179-$BT179*$BT$2),AVEDEV(ARRAYFORMULA(XLOOKUP(FILTER(INDIRECT(""'""&amp;DF$1&amp;""'!$C$4:$C$66""),INDIRECT(""'""&amp;DF$1&amp;""'!$D$4:$D$66"")=DF$2),$G$3:$BQ$3,$G179:$BQ179))),"""")"),"")</f>
        <v/>
      </c>
      <c r="DH179" s="251">
        <f>IFERROR(__xludf.DUMMYFUNCTION("AVERAGE(ARRAYFORMULA(XLOOKUP(FILTER(INDIRECT(""'""&amp;DH$1&amp;""'!$C$4:$C$66""),INDIRECT(""'""&amp;DH$1&amp;""'!$D$4:$D$66"")=DH$2),$G$3:$BQ$3,$G179:$BQ179)))"),0.033401495555555556)</f>
        <v>0.03340149556</v>
      </c>
      <c r="DI179" s="207" t="str">
        <f>IFERROR(__xludf.DUMMYFUNCTION("IF(OR(DH179&gt;$BS179+$BT179*$BT$2,DH179&lt;$BS179-$BT179*$BT$2),AVEDEV(ARRAYFORMULA(XLOOKUP(FILTER(INDIRECT(""'""&amp;DH$1&amp;""'!$C$4:$C$66""),INDIRECT(""'""&amp;DH$1&amp;""'!$D$4:$D$66"")=DH$2),$G$3:$BQ$3,$G179:$BQ179))),"""")"),"")</f>
        <v/>
      </c>
      <c r="DJ179" s="243"/>
    </row>
    <row r="180">
      <c r="A180" s="2"/>
      <c r="B180" s="204">
        <v>176.0</v>
      </c>
      <c r="C180" s="204" t="s">
        <v>601</v>
      </c>
      <c r="D180" s="204" t="s">
        <v>623</v>
      </c>
      <c r="E180" s="205" t="b">
        <f>VLOOKUP(D180,'Feature Set List'!A177:C246,2,0)</f>
        <v>1</v>
      </c>
      <c r="F180" s="205" t="b">
        <f>VLOOKUP(D180,'Feature Set List'!A177:C246,3,0)</f>
        <v>0</v>
      </c>
      <c r="G180" s="205">
        <v>0.10461957</v>
      </c>
      <c r="H180" s="205">
        <v>0.38179348</v>
      </c>
      <c r="I180" s="205">
        <v>-0.21875</v>
      </c>
      <c r="J180" s="205">
        <v>-0.0461957</v>
      </c>
      <c r="K180" s="205">
        <v>0.0</v>
      </c>
      <c r="L180" s="205">
        <v>-0.4959239</v>
      </c>
      <c r="M180" s="205">
        <v>-0.7516304</v>
      </c>
      <c r="N180" s="205">
        <v>1.05706522</v>
      </c>
      <c r="O180" s="205">
        <v>-0.0964674</v>
      </c>
      <c r="P180" s="205">
        <v>-0.85</v>
      </c>
      <c r="Q180" s="205">
        <v>1.31929348</v>
      </c>
      <c r="R180" s="205">
        <v>-0.1861413</v>
      </c>
      <c r="S180" s="205">
        <v>0.38179348</v>
      </c>
      <c r="T180" s="205">
        <v>-0.2608696</v>
      </c>
      <c r="U180" s="205">
        <v>-0.28125</v>
      </c>
      <c r="V180" s="205">
        <v>0.92255435</v>
      </c>
      <c r="W180" s="205">
        <v>-0.5896739</v>
      </c>
      <c r="X180" s="205">
        <v>-0.5095109</v>
      </c>
      <c r="Y180" s="205">
        <v>-1.0921196</v>
      </c>
      <c r="Z180" s="205">
        <v>-0.0230978</v>
      </c>
      <c r="AA180" s="205">
        <v>0.0</v>
      </c>
      <c r="AB180" s="205">
        <v>0.53125</v>
      </c>
      <c r="AC180" s="205">
        <v>-0.2649457</v>
      </c>
      <c r="AD180" s="205">
        <v>1.1861413</v>
      </c>
      <c r="AE180" s="205">
        <v>0.39673913</v>
      </c>
      <c r="AF180" s="205">
        <v>0.01222826</v>
      </c>
      <c r="AG180" s="205">
        <v>1.36005435</v>
      </c>
      <c r="AH180" s="205">
        <v>-0.0570652</v>
      </c>
      <c r="AI180" s="205">
        <v>-0.1100543</v>
      </c>
      <c r="AJ180" s="205">
        <v>-0.7173913</v>
      </c>
      <c r="AK180" s="205">
        <v>2.29076087</v>
      </c>
      <c r="AL180" s="205">
        <v>1.2513587</v>
      </c>
      <c r="AM180" s="205">
        <v>-0.1725543</v>
      </c>
      <c r="AN180" s="205">
        <v>0.51358696</v>
      </c>
      <c r="AO180" s="205">
        <v>0.99456522</v>
      </c>
      <c r="AP180" s="205">
        <v>0.69565217</v>
      </c>
      <c r="AQ180" s="205">
        <v>0.30434783</v>
      </c>
      <c r="AR180" s="205">
        <v>3.60597826</v>
      </c>
      <c r="AS180" s="205">
        <v>-0.3586957</v>
      </c>
      <c r="AT180" s="205">
        <v>0.01358696</v>
      </c>
      <c r="AU180" s="205">
        <v>4.33152174</v>
      </c>
      <c r="AV180" s="205">
        <v>-0.1480978</v>
      </c>
      <c r="AW180" s="205">
        <v>0.75679348</v>
      </c>
      <c r="AX180" s="205">
        <v>1.3125</v>
      </c>
      <c r="AY180" s="205">
        <v>0.74048913</v>
      </c>
      <c r="AZ180" s="205">
        <v>-0.4048913</v>
      </c>
      <c r="BA180" s="205">
        <v>-0.6059783</v>
      </c>
      <c r="BB180" s="205">
        <v>0.07336957</v>
      </c>
      <c r="BC180" s="205">
        <v>0.33967391</v>
      </c>
      <c r="BD180" s="205">
        <v>-1.220788</v>
      </c>
      <c r="BE180" s="205">
        <v>-0.6684783</v>
      </c>
      <c r="BF180" s="205">
        <v>-0.1630435</v>
      </c>
      <c r="BG180" s="205">
        <v>-0.5108696</v>
      </c>
      <c r="BH180" s="205">
        <v>1.19293478</v>
      </c>
      <c r="BI180" s="205">
        <v>-0.0665761</v>
      </c>
      <c r="BJ180" s="205">
        <v>0.6861413</v>
      </c>
      <c r="BK180" s="205">
        <v>0.55027174</v>
      </c>
      <c r="BL180" s="205">
        <v>0.19157609</v>
      </c>
      <c r="BM180" s="205">
        <v>-0.6304348</v>
      </c>
      <c r="BN180" s="205">
        <v>-1.2387228</v>
      </c>
      <c r="BO180" s="205">
        <v>-0.5679348</v>
      </c>
      <c r="BP180" s="205">
        <v>0.09375</v>
      </c>
      <c r="BQ180" s="205">
        <v>-1.1497283</v>
      </c>
      <c r="BR180" s="206"/>
      <c r="BS180" s="250">
        <f t="shared" si="1"/>
        <v>0.2084842973</v>
      </c>
      <c r="BT180" s="250">
        <f t="shared" si="2"/>
        <v>0.7015758014</v>
      </c>
      <c r="BU180" s="206"/>
      <c r="BV180" s="207">
        <f>IFERROR(__xludf.DUMMYFUNCTION("AVERAGE(ARRAYFORMULA(XLOOKUP(FILTER(INDIRECT(""'""&amp;BV$1&amp;""'!$C$4:$C$66""),INDIRECT(""'""&amp;BV$1&amp;""'!$D$4:$D$66"")=BV$2),$G$3:$BQ$3,$G180:$BQ180)))"),0.0772515442857143)</f>
        <v>0.07725154429</v>
      </c>
      <c r="BW180" s="207" t="str">
        <f>IFERROR(__xludf.DUMMYFUNCTION("IF(OR(BV180&gt;$BS180+$BT180*$BT$2,BV180&lt;$BS180-$BT180*$BT$2),AVEDEV(ARRAYFORMULA(XLOOKUP(FILTER(INDIRECT(""'""&amp;BV$1&amp;""'!$C$4:$C$66""),INDIRECT(""'""&amp;BV$1&amp;""'!$D$4:$D$66"")=BV$2),$G$3:$BQ$3,$G180:$BQ180))),"""")"),"")</f>
        <v/>
      </c>
      <c r="BX180" s="207">
        <f>IFERROR(__xludf.DUMMYFUNCTION("AVERAGE(ARRAYFORMULA(XLOOKUP(FILTER(INDIRECT(""'""&amp;BX$1&amp;""'!$C$4:$C$66""),INDIRECT(""'""&amp;BX$1&amp;""'!$D$4:$D$66"")=BX$2),$G$3:$BQ$3,$G180:$BQ180)))"),0.36348667023809533)</f>
        <v>0.3634866702</v>
      </c>
      <c r="BY180" s="207" t="str">
        <f>IFERROR(__xludf.DUMMYFUNCTION("IF(OR(BX180&gt;$BS180+$BT180*$BT$2,BX180&lt;$BS180-$BT180*$BT$2),AVEDEV(ARRAYFORMULA(XLOOKUP(FILTER(INDIRECT(""'""&amp;BX$1&amp;""'!$C$4:$C$66""),INDIRECT(""'""&amp;BX$1&amp;""'!$D$4:$D$66"")=BX$2),$G$3:$BQ$3,$G180:$BQ180))),"""")"),"")</f>
        <v/>
      </c>
      <c r="BZ180" s="207">
        <f>IFERROR(__xludf.DUMMYFUNCTION("AVERAGE(ARRAYFORMULA(XLOOKUP(FILTER(INDIRECT(""'""&amp;BZ$1&amp;""'!$C$4:$C$66""),INDIRECT(""'""&amp;BZ$1&amp;""'!$D$4:$D$66"")=BZ$2),$G$3:$BQ$3,$G180:$BQ180)))"),-0.5058794518181821)</f>
        <v>-0.5058794518</v>
      </c>
      <c r="CA180" s="207">
        <f>IFERROR(__xludf.DUMMYFUNCTION("IF(OR(BZ180&gt;$BS180+$BT180*$BT$2,BZ180&lt;$BS180-$BT180*$BT$2),AVEDEV(ARRAYFORMULA(XLOOKUP(FILTER(INDIRECT(""'""&amp;BZ$1&amp;""'!$C$4:$C$66""),INDIRECT(""'""&amp;BZ$1&amp;""'!$D$4:$D$66"")=BZ$2),$G$3:$BQ$3,$G180:$BQ180))),"""")"),0.2699200525619835)</f>
        <v>0.2699200526</v>
      </c>
      <c r="CB180" s="209"/>
      <c r="CC180" s="207">
        <f>IFERROR(__xludf.DUMMYFUNCTION("AVERAGE(ARRAYFORMULA(XLOOKUP(FILTER(INDIRECT(""'""&amp;CC$1&amp;""'!$C$4:$C$66""),INDIRECT(""'""&amp;CC$1&amp;""'!$D$4:$D$66"")=CC$2),$G$3:$BQ$3,$G180:$BQ180)))"),0.478260869375)</f>
        <v>0.4782608694</v>
      </c>
      <c r="CD180" s="207" t="str">
        <f>IFERROR(__xludf.DUMMYFUNCTION("IF(OR(CC180&gt;$BS180+$BT180*$BT$2,CC180&lt;$BS180-$BT180*$BT$2),AVEDEV(ARRAYFORMULA(XLOOKUP(FILTER(INDIRECT(""'""&amp;CC$1&amp;""'!$C$4:$C$66""),INDIRECT(""'""&amp;CC$1&amp;""'!$D$4:$D$66"")=CC$2),$G$3:$BQ$3,$G180:$BQ180))),"""")"),"")</f>
        <v/>
      </c>
      <c r="CE180" s="207">
        <f>IFERROR(__xludf.DUMMYFUNCTION("AVERAGE(ARRAYFORMULA(XLOOKUP(FILTER(INDIRECT(""'""&amp;CE$1&amp;""'!$C$4:$C$66""),INDIRECT(""'""&amp;CE$1&amp;""'!$D$4:$D$66"")=CE$2),$G$3:$BQ$3,$G180:$BQ180)))"),0.021787343225806468)</f>
        <v>0.02178734323</v>
      </c>
      <c r="CF180" s="207" t="str">
        <f>IFERROR(__xludf.DUMMYFUNCTION("IF(OR(CE180&gt;$BS180+$BT180*$BT$2,CE180&lt;$BS180-$BT180*$BT$2),AVEDEV(ARRAYFORMULA(XLOOKUP(FILTER(INDIRECT(""'""&amp;CE$1&amp;""'!$C$4:$C$66""),INDIRECT(""'""&amp;CE$1&amp;""'!$D$4:$D$66"")=CE$2),$G$3:$BQ$3,$G180:$BQ180))),"""")"),"")</f>
        <v/>
      </c>
      <c r="CG180" s="207">
        <f>IFERROR(__xludf.DUMMYFUNCTION("AVERAGE(ARRAYFORMULA(XLOOKUP(FILTER(INDIRECT(""'""&amp;CG$1&amp;""'!$C$4:$C$66""),INDIRECT(""'""&amp;CG$1&amp;""'!$D$4:$D$66"")=CG$2),$G$3:$BQ$3,$G180:$BQ180)))"),-0.51728264)</f>
        <v>-0.51728264</v>
      </c>
      <c r="CH180" s="207">
        <f>IFERROR(__xludf.DUMMYFUNCTION("IF(OR(CG180&gt;$BS180+$BT180*$BT$2,CG180&lt;$BS180-$BT180*$BT$2),AVEDEV(ARRAYFORMULA(XLOOKUP(FILTER(INDIRECT(""'""&amp;CG$1&amp;""'!$C$4:$C$66""),INDIRECT(""'""&amp;CG$1&amp;""'!$D$4:$D$66"")=CG$2),$G$3:$BQ$3,$G180:$BQ180))),"""")"),0.16856520799999997)</f>
        <v>0.168565208</v>
      </c>
      <c r="CI180" s="206"/>
      <c r="CJ180" s="251">
        <f>IFERROR(__xludf.DUMMYFUNCTION("AVERAGE(ARRAYFORMULA(XLOOKUP(FILTER(INDIRECT(""'""&amp;CJ$1&amp;""'!$C$4:$C$66""),INDIRECT(""'""&amp;CJ$1&amp;""'!$D$4:$D$66"")=CJ$2),$G$3:$BQ$3,$G180:$BQ180)))"),-0.12634058999999997)</f>
        <v>-0.12634059</v>
      </c>
      <c r="CK180" s="207" t="str">
        <f>IFERROR(__xludf.DUMMYFUNCTION("IF(OR(CJ180&gt;$BS180+$BT180*$BT$2,CJ180&lt;$BS180-$BT180*$BT$2),AVEDEV(ARRAYFORMULA(XLOOKUP(FILTER(INDIRECT(""'""&amp;CJ$1&amp;""'!$C$4:$C$66""),INDIRECT(""'""&amp;CJ$1&amp;""'!$D$4:$D$66"")=CJ$2),$G$3:$BQ$3,$G180:$BQ180))),"""")"),"")</f>
        <v/>
      </c>
      <c r="CL180" s="251">
        <f>IFERROR(__xludf.DUMMYFUNCTION("AVERAGE(ARRAYFORMULA(XLOOKUP(FILTER(INDIRECT(""'""&amp;CL$1&amp;""'!$C$4:$C$66""),INDIRECT(""'""&amp;CL$1&amp;""'!$D$4:$D$66"")=CL$2),$G$3:$BQ$3,$G180:$BQ180)))"),0.3726275115384616)</f>
        <v>0.3726275115</v>
      </c>
      <c r="CM180" s="207" t="str">
        <f>IFERROR(__xludf.DUMMYFUNCTION("IF(OR(CL180&gt;$BS180+$BT180*$BT$2,CL180&lt;$BS180-$BT180*$BT$2),AVEDEV(ARRAYFORMULA(XLOOKUP(FILTER(INDIRECT(""'""&amp;CL$1&amp;""'!$C$4:$C$66""),INDIRECT(""'""&amp;CL$1&amp;""'!$D$4:$D$66"")=CL$2),$G$3:$BQ$3,$G180:$BQ180))),"""")"),"")</f>
        <v/>
      </c>
      <c r="CN180" s="251">
        <f>IFERROR(__xludf.DUMMYFUNCTION("AVERAGE(ARRAYFORMULA(XLOOKUP(FILTER(INDIRECT(""'""&amp;CN$1&amp;""'!$C$4:$C$66""),INDIRECT(""'""&amp;CN$1&amp;""'!$D$4:$D$66"")=CN$2),$G$3:$BQ$3,$G180:$BQ180)))"),-0.51728264)</f>
        <v>-0.51728264</v>
      </c>
      <c r="CO180" s="207">
        <f>IFERROR(__xludf.DUMMYFUNCTION("IF(OR(CN180&gt;$BS180+$BT180*$BT$2,CN180&lt;$BS180-$BT180*$BT$2),AVEDEV(ARRAYFORMULA(XLOOKUP(FILTER(INDIRECT(""'""&amp;CN$1&amp;""'!$C$4:$C$66""),INDIRECT(""'""&amp;CN$1&amp;""'!$D$4:$D$66"")=CN$2),$G$3:$BQ$3,$G180:$BQ180))),"""")"),0.16856520799999997)</f>
        <v>0.168565208</v>
      </c>
      <c r="CP180" s="252"/>
      <c r="CQ180" s="251">
        <f>IFERROR(__xludf.DUMMYFUNCTION("AVERAGE(ARRAYFORMULA(XLOOKUP(FILTER(INDIRECT(""'""&amp;CQ$1&amp;""'!$C$4:$C$66""),INDIRECT(""'""&amp;CQ$1&amp;""'!$D$4:$D$66"")=CQ$2),$G$3:$BQ$3,$G180:$BQ180)))"),0.6891498442857144)</f>
        <v>0.6891498443</v>
      </c>
      <c r="CR180" s="207" t="str">
        <f>IFERROR(__xludf.DUMMYFUNCTION("IF(OR(CQ180&gt;$BS180+$BT180*$BT$2,CQ180&lt;$BS180-$BT180*$BT$2),AVEDEV(ARRAYFORMULA(XLOOKUP(FILTER(INDIRECT(""'""&amp;CQ$1&amp;""'!$C$4:$C$66""),INDIRECT(""'""&amp;CQ$1&amp;""'!$D$4:$D$66"")=CQ$2),$G$3:$BQ$3,$G180:$BQ180))),"""")"),"")</f>
        <v/>
      </c>
      <c r="CS180" s="251">
        <f>IFERROR(__xludf.DUMMYFUNCTION("AVERAGE(ARRAYFORMULA(XLOOKUP(FILTER(INDIRECT(""'""&amp;CS$1&amp;""'!$C$4:$C$66""),INDIRECT(""'""&amp;CS$1&amp;""'!$D$4:$D$66"")=CS$2),$G$3:$BQ$3,$G180:$BQ180)))"),-0.5032608744444445)</f>
        <v>-0.5032608744</v>
      </c>
      <c r="CT180" s="207">
        <f>IFERROR(__xludf.DUMMYFUNCTION("IF(OR(CS180&gt;$BS180+$BT180*$BT$2,CS180&lt;$BS180-$BT180*$BT$2),AVEDEV(ARRAYFORMULA(XLOOKUP(FILTER(INDIRECT(""'""&amp;CS$1&amp;""'!$C$4:$C$66""),INDIRECT(""'""&amp;CS$1&amp;""'!$D$4:$D$66"")=CS$2),$G$3:$BQ$3,$G180:$BQ180))),"""")"),0.30513285061728396)</f>
        <v>0.3051328506</v>
      </c>
      <c r="CU180" s="251">
        <f>IFERROR(__xludf.DUMMYFUNCTION("AVERAGE(ARRAYFORMULA(XLOOKUP(FILTER(INDIRECT(""'""&amp;CU$1&amp;""'!$C$4:$C$66""),INDIRECT(""'""&amp;CU$1&amp;""'!$D$4:$D$66"")=CU$2),$G$3:$BQ$3,$G180:$BQ180)))"),-0.10906620545454547)</f>
        <v>-0.1090662055</v>
      </c>
      <c r="CV180" s="207" t="str">
        <f>IFERROR(__xludf.DUMMYFUNCTION("IF(OR(CU180&gt;$BS180+$BT180*$BT$2,CU180&lt;$BS180-$BT180*$BT$2),AVEDEV(ARRAYFORMULA(XLOOKUP(FILTER(INDIRECT(""'""&amp;CU$1&amp;""'!$C$4:$C$66""),INDIRECT(""'""&amp;CU$1&amp;""'!$D$4:$D$66"")=CU$2),$G$3:$BQ$3,$G180:$BQ180))),"""")"),"")</f>
        <v/>
      </c>
      <c r="CW180" s="251">
        <f>IFERROR(__xludf.DUMMYFUNCTION("AVERAGE(ARRAYFORMULA(XLOOKUP(FILTER(INDIRECT(""'""&amp;CW$1&amp;""'!$C$4:$C$66""),INDIRECT(""'""&amp;CW$1&amp;""'!$D$4:$D$66"")=CW$2),$G$3:$BQ$3,$G180:$BQ180)))"),1.18953804)</f>
        <v>1.18953804</v>
      </c>
      <c r="CX180" s="207">
        <f>IFERROR(__xludf.DUMMYFUNCTION("IF(OR(CW180&gt;$BS180+$BT180*$BT$2,CW180&lt;$BS180-$BT180*$BT$2),AVEDEV(ARRAYFORMULA(XLOOKUP(FILTER(INDIRECT(""'""&amp;CW$1&amp;""'!$C$4:$C$66""),INDIRECT(""'""&amp;CW$1&amp;""'!$D$4:$D$66"")=CW$2),$G$3:$BQ$3,$G180:$BQ180))),"""")"),0.003396740000000009)</f>
        <v>0.00339674</v>
      </c>
      <c r="CY180" s="251">
        <f>IFERROR(__xludf.DUMMYFUNCTION("AVERAGE(ARRAYFORMULA(XLOOKUP(FILTER(INDIRECT(""'""&amp;CY$1&amp;""'!$C$4:$C$66""),INDIRECT(""'""&amp;CY$1&amp;""'!$D$4:$D$66"")=CY$2),$G$3:$BQ$3,$G180:$BQ180)))"),0.3137713507142857)</f>
        <v>0.3137713507</v>
      </c>
      <c r="CZ180" s="207" t="str">
        <f>IFERROR(__xludf.DUMMYFUNCTION("IF(OR(CY180&gt;$BS180+$BT180*$BT$2,CY180&lt;$BS180-$BT180*$BT$2),AVEDEV(ARRAYFORMULA(XLOOKUP(FILTER(INDIRECT(""'""&amp;CY$1&amp;""'!$C$4:$C$66""),INDIRECT(""'""&amp;CY$1&amp;""'!$D$4:$D$66"")=CY$2),$G$3:$BQ$3,$G180:$BQ180))),"""")"),"")</f>
        <v/>
      </c>
      <c r="DA180" s="252"/>
      <c r="DB180" s="251">
        <f>IFERROR(__xludf.DUMMYFUNCTION("AVERAGE(ARRAYFORMULA(XLOOKUP(FILTER(INDIRECT(""'""&amp;DB$1&amp;""'!$C$4:$C$66""),INDIRECT(""'""&amp;DB$1&amp;""'!$D$4:$D$66"")=DB$2),$G$3:$BQ$3,$G180:$BQ180)))"),0.36778985066666664)</f>
        <v>0.3677898507</v>
      </c>
      <c r="DC180" s="207" t="str">
        <f>IFERROR(__xludf.DUMMYFUNCTION("IF(OR(DB180&gt;$BS180+$BT180*$BT$2,DB180&lt;$BS180-$BT180*$BT$2),AVEDEV(ARRAYFORMULA(XLOOKUP(FILTER(INDIRECT(""'""&amp;DB$1&amp;""'!$C$4:$C$66""),INDIRECT(""'""&amp;DB$1&amp;""'!$D$4:$D$66"")=DB$2),$G$3:$BQ$3,$G180:$BQ180))),"""")"),"")</f>
        <v/>
      </c>
      <c r="DD180" s="251">
        <f>IFERROR(__xludf.DUMMYFUNCTION("AVERAGE(ARRAYFORMULA(XLOOKUP(FILTER(INDIRECT(""'""&amp;DD$1&amp;""'!$C$4:$C$66""),INDIRECT(""'""&amp;DD$1&amp;""'!$D$4:$D$66"")=DD$2),$G$3:$BQ$3,$G180:$BQ180)))"),-0.46977657)</f>
        <v>-0.46977657</v>
      </c>
      <c r="DE180" s="207" t="str">
        <f>IFERROR(__xludf.DUMMYFUNCTION("IF(OR(DD180&gt;$BS180+$BT180*$BT$2,DD180&lt;$BS180-$BT180*$BT$2),AVEDEV(ARRAYFORMULA(XLOOKUP(FILTER(INDIRECT(""'""&amp;DD$1&amp;""'!$C$4:$C$66""),INDIRECT(""'""&amp;DD$1&amp;""'!$D$4:$D$66"")=DD$2),$G$3:$BQ$3,$G180:$BQ180))),"""")"),"")</f>
        <v/>
      </c>
      <c r="DF180" s="251">
        <f>IFERROR(__xludf.DUMMYFUNCTION("AVERAGE(ARRAYFORMULA(XLOOKUP(FILTER(INDIRECT(""'""&amp;DF$1&amp;""'!$C$4:$C$66""),INDIRECT(""'""&amp;DF$1&amp;""'!$D$4:$D$66"")=DF$2),$G$3:$BQ$3,$G180:$BQ180)))"),-0.07048233624999999)</f>
        <v>-0.07048233625</v>
      </c>
      <c r="DG180" s="207" t="str">
        <f>IFERROR(__xludf.DUMMYFUNCTION("IF(OR(DF180&gt;$BS180+$BT180*$BT$2,DF180&lt;$BS180-$BT180*$BT$2),AVEDEV(ARRAYFORMULA(XLOOKUP(FILTER(INDIRECT(""'""&amp;DF$1&amp;""'!$C$4:$C$66""),INDIRECT(""'""&amp;DF$1&amp;""'!$D$4:$D$66"")=DF$2),$G$3:$BQ$3,$G180:$BQ180))),"""")"),"")</f>
        <v/>
      </c>
      <c r="DH180" s="251">
        <f>IFERROR(__xludf.DUMMYFUNCTION("AVERAGE(ARRAYFORMULA(XLOOKUP(FILTER(INDIRECT(""'""&amp;DH$1&amp;""'!$C$4:$C$66""),INDIRECT(""'""&amp;DH$1&amp;""'!$D$4:$D$66"")=DH$2),$G$3:$BQ$3,$G180:$BQ180)))"),-0.03132548666666661)</f>
        <v>-0.03132548667</v>
      </c>
      <c r="DI180" s="207" t="str">
        <f>IFERROR(__xludf.DUMMYFUNCTION("IF(OR(DH180&gt;$BS180+$BT180*$BT$2,DH180&lt;$BS180-$BT180*$BT$2),AVEDEV(ARRAYFORMULA(XLOOKUP(FILTER(INDIRECT(""'""&amp;DH$1&amp;""'!$C$4:$C$66""),INDIRECT(""'""&amp;DH$1&amp;""'!$D$4:$D$66"")=DH$2),$G$3:$BQ$3,$G180:$BQ180))),"""")"),"")</f>
        <v/>
      </c>
      <c r="DJ180" s="243"/>
    </row>
    <row r="181">
      <c r="A181" s="2"/>
      <c r="B181" s="204">
        <v>177.0</v>
      </c>
      <c r="C181" s="204" t="s">
        <v>601</v>
      </c>
      <c r="D181" s="204" t="s">
        <v>624</v>
      </c>
      <c r="E181" s="205" t="b">
        <f>VLOOKUP(D181,'Feature Set List'!A178:C246,2,0)</f>
        <v>1</v>
      </c>
      <c r="F181" s="205" t="b">
        <f>VLOOKUP(D181,'Feature Set List'!A178:C246,3,0)</f>
        <v>0</v>
      </c>
      <c r="G181" s="205">
        <v>0.35542984</v>
      </c>
      <c r="H181" s="205">
        <v>0.21891526</v>
      </c>
      <c r="I181" s="205">
        <v>0.09100972</v>
      </c>
      <c r="J181" s="205">
        <v>0.1008486</v>
      </c>
      <c r="K181" s="205">
        <v>0.07994097</v>
      </c>
      <c r="L181" s="205">
        <v>-0.8268356</v>
      </c>
      <c r="M181" s="205">
        <v>-0.6221867</v>
      </c>
      <c r="N181" s="205">
        <v>1.14992006</v>
      </c>
      <c r="O181" s="205">
        <v>0.15127291</v>
      </c>
      <c r="P181" s="205">
        <v>-0.513098</v>
      </c>
      <c r="Q181" s="205">
        <v>1.07735826</v>
      </c>
      <c r="R181" s="205">
        <v>-0.0848604</v>
      </c>
      <c r="S181" s="205">
        <v>0.48210552</v>
      </c>
      <c r="T181" s="205">
        <v>-0.26565</v>
      </c>
      <c r="U181" s="205">
        <v>-0.0221375</v>
      </c>
      <c r="V181" s="205">
        <v>1.11425409</v>
      </c>
      <c r="W181" s="205">
        <v>-0.6769155</v>
      </c>
      <c r="X181" s="205">
        <v>-0.1771</v>
      </c>
      <c r="Y181" s="205">
        <v>-0.7289386</v>
      </c>
      <c r="Z181" s="205">
        <v>0.22383471</v>
      </c>
      <c r="AA181" s="205">
        <v>-0.052884</v>
      </c>
      <c r="AB181" s="205">
        <v>0.70348051</v>
      </c>
      <c r="AC181" s="205">
        <v>-0.0479646</v>
      </c>
      <c r="AD181" s="205">
        <v>1.35653671</v>
      </c>
      <c r="AE181" s="205">
        <v>0.57557496</v>
      </c>
      <c r="AF181" s="205">
        <v>-0.9813061</v>
      </c>
      <c r="AG181" s="205">
        <v>1.30365269</v>
      </c>
      <c r="AH181" s="205">
        <v>0.21522568</v>
      </c>
      <c r="AI181" s="205">
        <v>-0.2939368</v>
      </c>
      <c r="AJ181" s="205">
        <v>-0.3888821</v>
      </c>
      <c r="AK181" s="205">
        <v>1.14131103</v>
      </c>
      <c r="AL181" s="205">
        <v>0.63829787</v>
      </c>
      <c r="AM181" s="205">
        <v>-0.0184479</v>
      </c>
      <c r="AN181" s="205">
        <v>0.0</v>
      </c>
      <c r="AO181" s="205">
        <v>0.95806174</v>
      </c>
      <c r="AP181" s="205">
        <v>0.63829787</v>
      </c>
      <c r="AQ181" s="205">
        <v>0.58172427</v>
      </c>
      <c r="AR181" s="205">
        <v>3.36244004</v>
      </c>
      <c r="AS181" s="205">
        <v>-0.4138482</v>
      </c>
      <c r="AT181" s="205">
        <v>0.33698192</v>
      </c>
      <c r="AU181" s="205">
        <v>-0.3234534</v>
      </c>
      <c r="AV181" s="205">
        <v>0.05657361</v>
      </c>
      <c r="AW181" s="205">
        <v>0.72930759</v>
      </c>
      <c r="AX181" s="205">
        <v>1.38113393</v>
      </c>
      <c r="AY181" s="205">
        <v>0.94822285</v>
      </c>
      <c r="AZ181" s="205">
        <v>-0.1033083</v>
      </c>
      <c r="BA181" s="205">
        <v>-0.7204526</v>
      </c>
      <c r="BB181" s="205">
        <v>0.36772845</v>
      </c>
      <c r="BC181" s="205">
        <v>0.50916246</v>
      </c>
      <c r="BD181" s="205">
        <v>-0.8199483</v>
      </c>
      <c r="BE181" s="205">
        <v>-0.2816382</v>
      </c>
      <c r="BF181" s="205">
        <v>-0.0282868</v>
      </c>
      <c r="BG181" s="205">
        <v>-0.4980937</v>
      </c>
      <c r="BH181" s="205">
        <v>1.36514574</v>
      </c>
      <c r="BI181" s="205">
        <v>-0.3910958</v>
      </c>
      <c r="BJ181" s="205">
        <v>0.71823884</v>
      </c>
      <c r="BK181" s="205">
        <v>-0.0590333</v>
      </c>
      <c r="BL181" s="205">
        <v>-0.3781823</v>
      </c>
      <c r="BM181" s="205">
        <v>-0.689829</v>
      </c>
      <c r="BN181" s="205">
        <v>-0.9123109</v>
      </c>
      <c r="BO181" s="205">
        <v>-0.4208584</v>
      </c>
      <c r="BP181" s="205">
        <v>-0.4525889</v>
      </c>
      <c r="BQ181" s="205">
        <v>-0.7221744</v>
      </c>
      <c r="BR181" s="206"/>
      <c r="BS181" s="250">
        <f t="shared" si="1"/>
        <v>0.1589800381</v>
      </c>
      <c r="BT181" s="250">
        <f t="shared" si="2"/>
        <v>0.5815511714</v>
      </c>
      <c r="BU181" s="206"/>
      <c r="BV181" s="207">
        <f>IFERROR(__xludf.DUMMYFUNCTION("AVERAGE(ARRAYFORMULA(XLOOKUP(FILTER(INDIRECT(""'""&amp;BV$1&amp;""'!$C$4:$C$66""),INDIRECT(""'""&amp;BV$1&amp;""'!$D$4:$D$66"")=BV$2),$G$3:$BQ$3,$G181:$BQ181)))"),0.2021364342857143)</f>
        <v>0.2021364343</v>
      </c>
      <c r="BW181" s="207" t="str">
        <f>IFERROR(__xludf.DUMMYFUNCTION("IF(OR(BV181&gt;$BS181+$BT181*$BT$2,BV181&lt;$BS181-$BT181*$BT$2),AVEDEV(ARRAYFORMULA(XLOOKUP(FILTER(INDIRECT(""'""&amp;BV$1&amp;""'!$C$4:$C$66""),INDIRECT(""'""&amp;BV$1&amp;""'!$D$4:$D$66"")=BV$2),$G$3:$BQ$3,$G181:$BQ181))),"""")"),"")</f>
        <v/>
      </c>
      <c r="BX181" s="207">
        <f>IFERROR(__xludf.DUMMYFUNCTION("AVERAGE(ARRAYFORMULA(XLOOKUP(FILTER(INDIRECT(""'""&amp;BX$1&amp;""'!$C$4:$C$66""),INDIRECT(""'""&amp;BX$1&amp;""'!$D$4:$D$66"")=BX$2),$G$3:$BQ$3,$G181:$BQ181)))"),0.36729214047619035)</f>
        <v>0.3672921405</v>
      </c>
      <c r="BY181" s="207" t="str">
        <f>IFERROR(__xludf.DUMMYFUNCTION("IF(OR(BX181&gt;$BS181+$BT181*$BT$2,BX181&lt;$BS181-$BT181*$BT$2),AVEDEV(ARRAYFORMULA(XLOOKUP(FILTER(INDIRECT(""'""&amp;BX$1&amp;""'!$C$4:$C$66""),INDIRECT(""'""&amp;BX$1&amp;""'!$D$4:$D$66"")=BX$2),$G$3:$BQ$3,$G181:$BQ181))),"""")"),"")</f>
        <v/>
      </c>
      <c r="BZ181" s="207">
        <f>IFERROR(__xludf.DUMMYFUNCTION("AVERAGE(ARRAYFORMULA(XLOOKUP(FILTER(INDIRECT(""'""&amp;BZ$1&amp;""'!$C$4:$C$66""),INDIRECT(""'""&amp;BZ$1&amp;""'!$D$4:$D$66"")=BZ$2),$G$3:$BQ$3,$G181:$BQ181)))"),-0.5248264145454546)</f>
        <v>-0.5248264145</v>
      </c>
      <c r="CA181" s="207">
        <f>IFERROR(__xludf.DUMMYFUNCTION("IF(OR(BZ181&gt;$BS181+$BT181*$BT$2,BZ181&lt;$BS181-$BT181*$BT$2),AVEDEV(ARRAYFORMULA(XLOOKUP(FILTER(INDIRECT(""'""&amp;BZ$1&amp;""'!$C$4:$C$66""),INDIRECT(""'""&amp;BZ$1&amp;""'!$D$4:$D$66"")=BZ$2),$G$3:$BQ$3,$G181:$BQ181))),"""")"),0.28594167239669416)</f>
        <v>0.2859416724</v>
      </c>
      <c r="CB181" s="209"/>
      <c r="CC181" s="207">
        <f>IFERROR(__xludf.DUMMYFUNCTION("AVERAGE(ARRAYFORMULA(XLOOKUP(FILTER(INDIRECT(""'""&amp;CC$1&amp;""'!$C$4:$C$66""),INDIRECT(""'""&amp;CC$1&amp;""'!$D$4:$D$66"")=CC$2),$G$3:$BQ$3,$G181:$BQ181)))"),0.49963104125)</f>
        <v>0.4996310413</v>
      </c>
      <c r="CD181" s="207" t="str">
        <f>IFERROR(__xludf.DUMMYFUNCTION("IF(OR(CC181&gt;$BS181+$BT181*$BT$2,CC181&lt;$BS181-$BT181*$BT$2),AVEDEV(ARRAYFORMULA(XLOOKUP(FILTER(INDIRECT(""'""&amp;CC$1&amp;""'!$C$4:$C$66""),INDIRECT(""'""&amp;CC$1&amp;""'!$D$4:$D$66"")=CC$2),$G$3:$BQ$3,$G181:$BQ181))),"""")"),"")</f>
        <v/>
      </c>
      <c r="CE181" s="207">
        <f>IFERROR(__xludf.DUMMYFUNCTION("AVERAGE(ARRAYFORMULA(XLOOKUP(FILTER(INDIRECT(""'""&amp;CE$1&amp;""'!$C$4:$C$66""),INDIRECT(""'""&amp;CE$1&amp;""'!$D$4:$D$66"")=CE$2),$G$3:$BQ$3,$G181:$BQ181)))"),0.0352930441935484)</f>
        <v>0.03529304419</v>
      </c>
      <c r="CF181" s="207" t="str">
        <f>IFERROR(__xludf.DUMMYFUNCTION("IF(OR(CE181&gt;$BS181+$BT181*$BT$2,CE181&lt;$BS181-$BT181*$BT$2),AVEDEV(ARRAYFORMULA(XLOOKUP(FILTER(INDIRECT(""'""&amp;CE$1&amp;""'!$C$4:$C$66""),INDIRECT(""'""&amp;CE$1&amp;""'!$D$4:$D$66"")=CE$2),$G$3:$BQ$3,$G181:$BQ181))),"""")"),"")</f>
        <v/>
      </c>
      <c r="CG181" s="207">
        <f>IFERROR(__xludf.DUMMYFUNCTION("AVERAGE(ARRAYFORMULA(XLOOKUP(FILTER(INDIRECT(""'""&amp;CG$1&amp;""'!$C$4:$C$66""),INDIRECT(""'""&amp;CG$1&amp;""'!$D$4:$D$66"")=CG$2),$G$3:$BQ$3,$G181:$BQ181)))"),-0.4822285)</f>
        <v>-0.4822285</v>
      </c>
      <c r="CH181" s="207">
        <f>IFERROR(__xludf.DUMMYFUNCTION("IF(OR(CG181&gt;$BS181+$BT181*$BT$2,CG181&lt;$BS181-$BT181*$BT$2),AVEDEV(ARRAYFORMULA(XLOOKUP(FILTER(INDIRECT(""'""&amp;CG$1&amp;""'!$C$4:$C$66""),INDIRECT(""'""&amp;CG$1&amp;""'!$D$4:$D$66"")=CG$2),$G$3:$BQ$3,$G181:$BQ181))),"""")"),0.11398351999999998)</f>
        <v>0.11398352</v>
      </c>
      <c r="CI181" s="206"/>
      <c r="CJ181" s="251">
        <f>IFERROR(__xludf.DUMMYFUNCTION("AVERAGE(ARRAYFORMULA(XLOOKUP(FILTER(INDIRECT(""'""&amp;CJ$1&amp;""'!$C$4:$C$66""),INDIRECT(""'""&amp;CJ$1&amp;""'!$D$4:$D$66"")=CJ$2),$G$3:$BQ$3,$G181:$BQ181)))"),0.08553274133333333)</f>
        <v>0.08553274133</v>
      </c>
      <c r="CK181" s="207" t="str">
        <f>IFERROR(__xludf.DUMMYFUNCTION("IF(OR(CJ181&gt;$BS181+$BT181*$BT$2,CJ181&lt;$BS181-$BT181*$BT$2),AVEDEV(ARRAYFORMULA(XLOOKUP(FILTER(INDIRECT(""'""&amp;CJ$1&amp;""'!$C$4:$C$66""),INDIRECT(""'""&amp;CJ$1&amp;""'!$D$4:$D$66"")=CJ$2),$G$3:$BQ$3,$G181:$BQ181))),"""")"),"")</f>
        <v/>
      </c>
      <c r="CL181" s="251">
        <f>IFERROR(__xludf.DUMMYFUNCTION("AVERAGE(ARRAYFORMULA(XLOOKUP(FILTER(INDIRECT(""'""&amp;CL$1&amp;""'!$C$4:$C$66""),INDIRECT(""'""&amp;CL$1&amp;""'!$D$4:$D$66"")=CL$2),$G$3:$BQ$3,$G181:$BQ181)))"),0.3224222579487179)</f>
        <v>0.3224222579</v>
      </c>
      <c r="CM181" s="207" t="str">
        <f>IFERROR(__xludf.DUMMYFUNCTION("IF(OR(CL181&gt;$BS181+$BT181*$BT$2,CL181&lt;$BS181-$BT181*$BT$2),AVEDEV(ARRAYFORMULA(XLOOKUP(FILTER(INDIRECT(""'""&amp;CL$1&amp;""'!$C$4:$C$66""),INDIRECT(""'""&amp;CL$1&amp;""'!$D$4:$D$66"")=CL$2),$G$3:$BQ$3,$G181:$BQ181))),"""")"),"")</f>
        <v/>
      </c>
      <c r="CN181" s="251">
        <f>IFERROR(__xludf.DUMMYFUNCTION("AVERAGE(ARRAYFORMULA(XLOOKUP(FILTER(INDIRECT(""'""&amp;CN$1&amp;""'!$C$4:$C$66""),INDIRECT(""'""&amp;CN$1&amp;""'!$D$4:$D$66"")=CN$2),$G$3:$BQ$3,$G181:$BQ181)))"),-0.4822285)</f>
        <v>-0.4822285</v>
      </c>
      <c r="CO181" s="207">
        <f>IFERROR(__xludf.DUMMYFUNCTION("IF(OR(CN181&gt;$BS181+$BT181*$BT$2,CN181&lt;$BS181-$BT181*$BT$2),AVEDEV(ARRAYFORMULA(XLOOKUP(FILTER(INDIRECT(""'""&amp;CN$1&amp;""'!$C$4:$C$66""),INDIRECT(""'""&amp;CN$1&amp;""'!$D$4:$D$66"")=CN$2),$G$3:$BQ$3,$G181:$BQ181))),"""")"),0.11398351999999998)</f>
        <v>0.11398352</v>
      </c>
      <c r="CP181" s="252"/>
      <c r="CQ181" s="251">
        <f>IFERROR(__xludf.DUMMYFUNCTION("AVERAGE(ARRAYFORMULA(XLOOKUP(FILTER(INDIRECT(""'""&amp;CQ$1&amp;""'!$C$4:$C$66""),INDIRECT(""'""&amp;CQ$1&amp;""'!$D$4:$D$66"")=CQ$2),$G$3:$BQ$3,$G181:$BQ181)))"),0.5579176707142858)</f>
        <v>0.5579176707</v>
      </c>
      <c r="CR181" s="207" t="str">
        <f>IFERROR(__xludf.DUMMYFUNCTION("IF(OR(CQ181&gt;$BS181+$BT181*$BT$2,CQ181&lt;$BS181-$BT181*$BT$2),AVEDEV(ARRAYFORMULA(XLOOKUP(FILTER(INDIRECT(""'""&amp;CQ$1&amp;""'!$C$4:$C$66""),INDIRECT(""'""&amp;CQ$1&amp;""'!$D$4:$D$66"")=CQ$2),$G$3:$BQ$3,$G181:$BQ181))),"""")"),"")</f>
        <v/>
      </c>
      <c r="CS181" s="251">
        <f>IFERROR(__xludf.DUMMYFUNCTION("AVERAGE(ARRAYFORMULA(XLOOKUP(FILTER(INDIRECT(""'""&amp;CS$1&amp;""'!$C$4:$C$66""),INDIRECT(""'""&amp;CS$1&amp;""'!$D$4:$D$66"")=CS$2),$G$3:$BQ$3,$G181:$BQ181)))"),-0.5533281400000001)</f>
        <v>-0.55332814</v>
      </c>
      <c r="CT181" s="207">
        <f>IFERROR(__xludf.DUMMYFUNCTION("IF(OR(CS181&gt;$BS181+$BT181*$BT$2,CS181&lt;$BS181-$BT181*$BT$2),AVEDEV(ARRAYFORMULA(XLOOKUP(FILTER(INDIRECT(""'""&amp;CS$1&amp;""'!$C$4:$C$66""),INDIRECT(""'""&amp;CS$1&amp;""'!$D$4:$D$66"")=CS$2),$G$3:$BQ$3,$G181:$BQ181))),"""")"),0.2748147244444444)</f>
        <v>0.2748147244</v>
      </c>
      <c r="CU181" s="251">
        <f>IFERROR(__xludf.DUMMYFUNCTION("AVERAGE(ARRAYFORMULA(XLOOKUP(FILTER(INDIRECT(""'""&amp;CU$1&amp;""'!$C$4:$C$66""),INDIRECT(""'""&amp;CU$1&amp;""'!$D$4:$D$66"")=CU$2),$G$3:$BQ$3,$G181:$BQ181)))"),0.05934639454545457)</f>
        <v>0.05934639455</v>
      </c>
      <c r="CV181" s="207" t="str">
        <f>IFERROR(__xludf.DUMMYFUNCTION("IF(OR(CU181&gt;$BS181+$BT181*$BT$2,CU181&lt;$BS181-$BT181*$BT$2),AVEDEV(ARRAYFORMULA(XLOOKUP(FILTER(INDIRECT(""'""&amp;CU$1&amp;""'!$C$4:$C$66""),INDIRECT(""'""&amp;CU$1&amp;""'!$D$4:$D$66"")=CU$2),$G$3:$BQ$3,$G181:$BQ181))),"""")"),"")</f>
        <v/>
      </c>
      <c r="CW181" s="251">
        <f>IFERROR(__xludf.DUMMYFUNCTION("AVERAGE(ARRAYFORMULA(XLOOKUP(FILTER(INDIRECT(""'""&amp;CW$1&amp;""'!$C$4:$C$66""),INDIRECT(""'""&amp;CW$1&amp;""'!$D$4:$D$66"")=CW$2),$G$3:$BQ$3,$G181:$BQ181)))"),1.3608412250000002)</f>
        <v>1.360841225</v>
      </c>
      <c r="CX181" s="207">
        <f>IFERROR(__xludf.DUMMYFUNCTION("IF(OR(CW181&gt;$BS181+$BT181*$BT$2,CW181&lt;$BS181-$BT181*$BT$2),AVEDEV(ARRAYFORMULA(XLOOKUP(FILTER(INDIRECT(""'""&amp;CW$1&amp;""'!$C$4:$C$66""),INDIRECT(""'""&amp;CW$1&amp;""'!$D$4:$D$66"")=CW$2),$G$3:$BQ$3,$G181:$BQ181))),"""")"),0.004304514999999953)</f>
        <v>0.004304515</v>
      </c>
      <c r="CY181" s="251">
        <f>IFERROR(__xludf.DUMMYFUNCTION("AVERAGE(ARRAYFORMULA(XLOOKUP(FILTER(INDIRECT(""'""&amp;CY$1&amp;""'!$C$4:$C$66""),INDIRECT(""'""&amp;CY$1&amp;""'!$D$4:$D$66"")=CY$2),$G$3:$BQ$3,$G181:$BQ181)))"),0.3193949035714286)</f>
        <v>0.3193949036</v>
      </c>
      <c r="CZ181" s="207" t="str">
        <f>IFERROR(__xludf.DUMMYFUNCTION("IF(OR(CY181&gt;$BS181+$BT181*$BT$2,CY181&lt;$BS181-$BT181*$BT$2),AVEDEV(ARRAYFORMULA(XLOOKUP(FILTER(INDIRECT(""'""&amp;CY$1&amp;""'!$C$4:$C$66""),INDIRECT(""'""&amp;CY$1&amp;""'!$D$4:$D$66"")=CY$2),$G$3:$BQ$3,$G181:$BQ181))),"""")"),"")</f>
        <v/>
      </c>
      <c r="DA181" s="252"/>
      <c r="DB181" s="251">
        <f>IFERROR(__xludf.DUMMYFUNCTION("AVERAGE(ARRAYFORMULA(XLOOKUP(FILTER(INDIRECT(""'""&amp;DB$1&amp;""'!$C$4:$C$66""),INDIRECT(""'""&amp;DB$1&amp;""'!$D$4:$D$66"")=DB$2),$G$3:$BQ$3,$G181:$BQ181)))"),0.3433689976666666)</f>
        <v>0.3433689977</v>
      </c>
      <c r="DC181" s="207" t="str">
        <f>IFERROR(__xludf.DUMMYFUNCTION("IF(OR(DB181&gt;$BS181+$BT181*$BT$2,DB181&lt;$BS181-$BT181*$BT$2),AVEDEV(ARRAYFORMULA(XLOOKUP(FILTER(INDIRECT(""'""&amp;DB$1&amp;""'!$C$4:$C$66""),INDIRECT(""'""&amp;DB$1&amp;""'!$D$4:$D$66"")=DB$2),$G$3:$BQ$3,$G181:$BQ181))),"""")"),"")</f>
        <v/>
      </c>
      <c r="DD181" s="251">
        <f>IFERROR(__xludf.DUMMYFUNCTION("AVERAGE(ARRAYFORMULA(XLOOKUP(FILTER(INDIRECT(""'""&amp;DD$1&amp;""'!$C$4:$C$66""),INDIRECT(""'""&amp;DD$1&amp;""'!$D$4:$D$66"")=DD$2),$G$3:$BQ$3,$G181:$BQ181)))"),-0.4336626611111111)</f>
        <v>-0.4336626611</v>
      </c>
      <c r="DE181" s="207">
        <f>IFERROR(__xludf.DUMMYFUNCTION("IF(OR(DD181&gt;$BS181+$BT181*$BT$2,DD181&lt;$BS181-$BT181*$BT$2),AVEDEV(ARRAYFORMULA(XLOOKUP(FILTER(INDIRECT(""'""&amp;DD$1&amp;""'!$C$4:$C$66""),INDIRECT(""'""&amp;DD$1&amp;""'!$D$4:$D$66"")=DD$2),$G$3:$BQ$3,$G181:$BQ181))),"""")"),0.3216314296296296)</f>
        <v>0.3216314296</v>
      </c>
      <c r="DF181" s="251">
        <f>IFERROR(__xludf.DUMMYFUNCTION("AVERAGE(ARRAYFORMULA(XLOOKUP(FILTER(INDIRECT(""'""&amp;DF$1&amp;""'!$C$4:$C$66""),INDIRECT(""'""&amp;DF$1&amp;""'!$D$4:$D$66"")=DF$2),$G$3:$BQ$3,$G181:$BQ181)))"),0.1161911225)</f>
        <v>0.1161911225</v>
      </c>
      <c r="DG181" s="207" t="str">
        <f>IFERROR(__xludf.DUMMYFUNCTION("IF(OR(DF181&gt;$BS181+$BT181*$BT$2,DF181&lt;$BS181-$BT181*$BT$2),AVEDEV(ARRAYFORMULA(XLOOKUP(FILTER(INDIRECT(""'""&amp;DF$1&amp;""'!$C$4:$C$66""),INDIRECT(""'""&amp;DF$1&amp;""'!$D$4:$D$66"")=DF$2),$G$3:$BQ$3,$G181:$BQ181))),"""")"),"")</f>
        <v/>
      </c>
      <c r="DH181" s="251">
        <f>IFERROR(__xludf.DUMMYFUNCTION("AVERAGE(ARRAYFORMULA(XLOOKUP(FILTER(INDIRECT(""'""&amp;DH$1&amp;""'!$C$4:$C$66""),INDIRECT(""'""&amp;DH$1&amp;""'!$D$4:$D$66"")=DH$2),$G$3:$BQ$3,$G181:$BQ181)))"),-0.002746673333333338)</f>
        <v>-0.002746673333</v>
      </c>
      <c r="DI181" s="207" t="str">
        <f>IFERROR(__xludf.DUMMYFUNCTION("IF(OR(DH181&gt;$BS181+$BT181*$BT$2,DH181&lt;$BS181-$BT181*$BT$2),AVEDEV(ARRAYFORMULA(XLOOKUP(FILTER(INDIRECT(""'""&amp;DH$1&amp;""'!$C$4:$C$66""),INDIRECT(""'""&amp;DH$1&amp;""'!$D$4:$D$66"")=DH$2),$G$3:$BQ$3,$G181:$BQ181))),"""")"),"")</f>
        <v/>
      </c>
      <c r="DJ181" s="243"/>
    </row>
    <row r="182">
      <c r="A182" s="2"/>
      <c r="B182" s="204">
        <v>178.0</v>
      </c>
      <c r="C182" s="204" t="s">
        <v>601</v>
      </c>
      <c r="D182" s="204" t="s">
        <v>625</v>
      </c>
      <c r="E182" s="205" t="b">
        <f>VLOOKUP(D182,'Feature Set List'!A179:C246,2,0)</f>
        <v>1</v>
      </c>
      <c r="F182" s="205" t="b">
        <f>VLOOKUP(D182,'Feature Set List'!A179:C246,3,0)</f>
        <v>0</v>
      </c>
      <c r="G182" s="205">
        <v>-0.2509506</v>
      </c>
      <c r="H182" s="205">
        <v>0.58174905</v>
      </c>
      <c r="I182" s="205">
        <v>-0.2965779</v>
      </c>
      <c r="J182" s="205">
        <v>0.03422053</v>
      </c>
      <c r="K182" s="205">
        <v>0.18631179</v>
      </c>
      <c r="L182" s="205">
        <v>3.20152091</v>
      </c>
      <c r="M182" s="205">
        <v>0.68821293</v>
      </c>
      <c r="N182" s="205">
        <v>-0.1939163</v>
      </c>
      <c r="O182" s="205">
        <v>-0.1863118</v>
      </c>
      <c r="P182" s="205">
        <v>-0.1330798</v>
      </c>
      <c r="Q182" s="205">
        <v>0.25475285</v>
      </c>
      <c r="R182" s="205">
        <v>0.23954373</v>
      </c>
      <c r="S182" s="205">
        <v>-0.026616</v>
      </c>
      <c r="T182" s="205">
        <v>0.6539924</v>
      </c>
      <c r="U182" s="205">
        <v>-0.148289</v>
      </c>
      <c r="V182" s="205">
        <v>-0.3117871</v>
      </c>
      <c r="W182" s="205">
        <v>1.60836502</v>
      </c>
      <c r="X182" s="205">
        <v>-0.2623574</v>
      </c>
      <c r="Y182" s="205">
        <v>-0.0836502</v>
      </c>
      <c r="Z182" s="205">
        <v>-0.2091255</v>
      </c>
      <c r="AA182" s="205">
        <v>0.57034221</v>
      </c>
      <c r="AB182" s="205">
        <v>-0.2053232</v>
      </c>
      <c r="AC182" s="205">
        <v>-0.0494297</v>
      </c>
      <c r="AD182" s="205">
        <v>-0.3231939</v>
      </c>
      <c r="AE182" s="205">
        <v>-0.1863118</v>
      </c>
      <c r="AF182" s="205">
        <v>8.08365019</v>
      </c>
      <c r="AG182" s="205">
        <v>-0.0418251</v>
      </c>
      <c r="AH182" s="205">
        <v>-0.2509506</v>
      </c>
      <c r="AI182" s="205">
        <v>1.1634981</v>
      </c>
      <c r="AJ182" s="205">
        <v>-0.1711027</v>
      </c>
      <c r="AK182" s="205">
        <v>1.38403042</v>
      </c>
      <c r="AL182" s="205">
        <v>1.03041825</v>
      </c>
      <c r="AM182" s="205">
        <v>0.08365019</v>
      </c>
      <c r="AN182" s="205">
        <v>1.53231939</v>
      </c>
      <c r="AO182" s="205">
        <v>0.02281369</v>
      </c>
      <c r="AP182" s="205">
        <v>0.17110266</v>
      </c>
      <c r="AQ182" s="205">
        <v>-0.3422053</v>
      </c>
      <c r="AR182" s="205">
        <v>-0.2015209</v>
      </c>
      <c r="AS182" s="205">
        <v>0.98098859</v>
      </c>
      <c r="AT182" s="205">
        <v>-0.3764259</v>
      </c>
      <c r="AU182" s="205">
        <v>13.5285171</v>
      </c>
      <c r="AV182" s="205">
        <v>-0.0608365</v>
      </c>
      <c r="AW182" s="205">
        <v>0.08365019</v>
      </c>
      <c r="AX182" s="205">
        <v>-0.2053232</v>
      </c>
      <c r="AY182" s="205">
        <v>-0.3041825</v>
      </c>
      <c r="AZ182" s="205">
        <v>-0.21673</v>
      </c>
      <c r="BA182" s="205">
        <v>1.8365019</v>
      </c>
      <c r="BB182" s="205">
        <v>-0.3307985</v>
      </c>
      <c r="BC182" s="205">
        <v>-0.1520913</v>
      </c>
      <c r="BD182" s="205">
        <v>-0.1749049</v>
      </c>
      <c r="BE182" s="205">
        <v>-0.3726236</v>
      </c>
      <c r="BF182" s="205">
        <v>0.12547529</v>
      </c>
      <c r="BG182" s="205">
        <v>0.90114068</v>
      </c>
      <c r="BH182" s="205">
        <v>-0.3231939</v>
      </c>
      <c r="BI182" s="205">
        <v>1.7338403</v>
      </c>
      <c r="BJ182" s="205">
        <v>0.0</v>
      </c>
      <c r="BK182" s="205">
        <v>1.84030418</v>
      </c>
      <c r="BL182" s="205">
        <v>2.41064639</v>
      </c>
      <c r="BM182" s="205">
        <v>1.53612167</v>
      </c>
      <c r="BN182" s="205">
        <v>0.28897338</v>
      </c>
      <c r="BO182" s="205">
        <v>0.3878327</v>
      </c>
      <c r="BP182" s="205">
        <v>2.5513308</v>
      </c>
      <c r="BQ182" s="205">
        <v>-0.3498099</v>
      </c>
      <c r="BR182" s="206"/>
      <c r="BS182" s="250">
        <f t="shared" si="1"/>
        <v>0.6818154362</v>
      </c>
      <c r="BT182" s="250">
        <f t="shared" si="2"/>
        <v>1.092715695</v>
      </c>
      <c r="BU182" s="206"/>
      <c r="BV182" s="207">
        <f>IFERROR(__xludf.DUMMYFUNCTION("AVERAGE(ARRAYFORMULA(XLOOKUP(FILTER(INDIRECT(""'""&amp;BV$1&amp;""'!$C$4:$C$66""),INDIRECT(""'""&amp;BV$1&amp;""'!$D$4:$D$66"")=BV$2),$G$3:$BQ$3,$G182:$BQ182)))"),0.1450298685714286)</f>
        <v>0.1450298686</v>
      </c>
      <c r="BW182" s="207" t="str">
        <f>IFERROR(__xludf.DUMMYFUNCTION("IF(OR(BV182&gt;$BS182+$BT182*$BT$2,BV182&lt;$BS182-$BT182*$BT$2),AVEDEV(ARRAYFORMULA(XLOOKUP(FILTER(INDIRECT(""'""&amp;BV$1&amp;""'!$C$4:$C$66""),INDIRECT(""'""&amp;BV$1&amp;""'!$D$4:$D$66"")=BV$2),$G$3:$BQ$3,$G182:$BQ182))),"""")"),"")</f>
        <v/>
      </c>
      <c r="BX182" s="207">
        <f>IFERROR(__xludf.DUMMYFUNCTION("AVERAGE(ARRAYFORMULA(XLOOKUP(FILTER(INDIRECT(""'""&amp;BX$1&amp;""'!$C$4:$C$66""),INDIRECT(""'""&amp;BX$1&amp;""'!$D$4:$D$66"")=BX$2),$G$3:$BQ$3,$G182:$BQ182)))"),0.2847184447619048)</f>
        <v>0.2847184448</v>
      </c>
      <c r="BY182" s="207" t="str">
        <f>IFERROR(__xludf.DUMMYFUNCTION("IF(OR(BX182&gt;$BS182+$BT182*$BT$2,BX182&lt;$BS182-$BT182*$BT$2),AVEDEV(ARRAYFORMULA(XLOOKUP(FILTER(INDIRECT(""'""&amp;BX$1&amp;""'!$C$4:$C$66""),INDIRECT(""'""&amp;BX$1&amp;""'!$D$4:$D$66"")=BX$2),$G$3:$BQ$3,$G182:$BQ182))),"""")"),"")</f>
        <v/>
      </c>
      <c r="BZ182" s="207">
        <f>IFERROR(__xludf.DUMMYFUNCTION("AVERAGE(ARRAYFORMULA(XLOOKUP(FILTER(INDIRECT(""'""&amp;BZ$1&amp;""'!$C$4:$C$66""),INDIRECT(""'""&amp;BZ$1&amp;""'!$D$4:$D$66"")=BZ$2),$G$3:$BQ$3,$G182:$BQ182)))"),1.5385413109090906)</f>
        <v>1.538541311</v>
      </c>
      <c r="CA182" s="207" t="str">
        <f>IFERROR(__xludf.DUMMYFUNCTION("IF(OR(BZ182&gt;$BS182+$BT182*$BT$2,BZ182&lt;$BS182-$BT182*$BT$2),AVEDEV(ARRAYFORMULA(XLOOKUP(FILTER(INDIRECT(""'""&amp;BZ$1&amp;""'!$C$4:$C$66""),INDIRECT(""'""&amp;BZ$1&amp;""'!$D$4:$D$66"")=BZ$2),$G$3:$BQ$3,$G182:$BQ182))),"""")"),"")</f>
        <v/>
      </c>
      <c r="CB182" s="209"/>
      <c r="CC182" s="207">
        <f>IFERROR(__xludf.DUMMYFUNCTION("AVERAGE(ARRAYFORMULA(XLOOKUP(FILTER(INDIRECT(""'""&amp;CC$1&amp;""'!$C$4:$C$66""),INDIRECT(""'""&amp;CC$1&amp;""'!$D$4:$D$66"")=CC$2),$G$3:$BQ$3,$G182:$BQ182)))"),0.11240493937499998)</f>
        <v>0.1124049394</v>
      </c>
      <c r="CD182" s="207" t="str">
        <f>IFERROR(__xludf.DUMMYFUNCTION("IF(OR(CC182&gt;$BS182+$BT182*$BT$2,CC182&lt;$BS182-$BT182*$BT$2),AVEDEV(ARRAYFORMULA(XLOOKUP(FILTER(INDIRECT(""'""&amp;CC$1&amp;""'!$C$4:$C$66""),INDIRECT(""'""&amp;CC$1&amp;""'!$D$4:$D$66"")=CC$2),$G$3:$BQ$3,$G182:$BQ182))),"""")"),"")</f>
        <v/>
      </c>
      <c r="CE182" s="207">
        <f>IFERROR(__xludf.DUMMYFUNCTION("AVERAGE(ARRAYFORMULA(XLOOKUP(FILTER(INDIRECT(""'""&amp;CE$1&amp;""'!$C$4:$C$66""),INDIRECT(""'""&amp;CE$1&amp;""'!$D$4:$D$66"")=CE$2),$G$3:$BQ$3,$G182:$BQ182)))"),0.6587759041935485)</f>
        <v>0.6587759042</v>
      </c>
      <c r="CF182" s="207" t="str">
        <f>IFERROR(__xludf.DUMMYFUNCTION("IF(OR(CE182&gt;$BS182+$BT182*$BT$2,CE182&lt;$BS182-$BT182*$BT$2),AVEDEV(ARRAYFORMULA(XLOOKUP(FILTER(INDIRECT(""'""&amp;CE$1&amp;""'!$C$4:$C$66""),INDIRECT(""'""&amp;CE$1&amp;""'!$D$4:$D$66"")=CE$2),$G$3:$BQ$3,$G182:$BQ182))),"""")"),"")</f>
        <v/>
      </c>
      <c r="CG182" s="207">
        <f>IFERROR(__xludf.DUMMYFUNCTION("AVERAGE(ARRAYFORMULA(XLOOKUP(FILTER(INDIRECT(""'""&amp;CG$1&amp;""'!$C$4:$C$66""),INDIRECT(""'""&amp;CG$1&amp;""'!$D$4:$D$66"")=CG$2),$G$3:$BQ$3,$G182:$BQ182)))"),0.847908754)</f>
        <v>0.847908754</v>
      </c>
      <c r="CH182" s="207" t="str">
        <f>IFERROR(__xludf.DUMMYFUNCTION("IF(OR(CG182&gt;$BS182+$BT182*$BT$2,CG182&lt;$BS182-$BT182*$BT$2),AVEDEV(ARRAYFORMULA(XLOOKUP(FILTER(INDIRECT(""'""&amp;CG$1&amp;""'!$C$4:$C$66""),INDIRECT(""'""&amp;CG$1&amp;""'!$D$4:$D$66"")=CG$2),$G$3:$BQ$3,$G182:$BQ182))),"""")"),"")</f>
        <v/>
      </c>
      <c r="CI182" s="206"/>
      <c r="CJ182" s="251">
        <f>IFERROR(__xludf.DUMMYFUNCTION("AVERAGE(ARRAYFORMULA(XLOOKUP(FILTER(INDIRECT(""'""&amp;CJ$1&amp;""'!$C$4:$C$66""),INDIRECT(""'""&amp;CJ$1&amp;""'!$D$4:$D$66"")=CJ$2),$G$3:$BQ$3,$G182:$BQ182)))"),-0.01444868133333335)</f>
        <v>-0.01444868133</v>
      </c>
      <c r="CK182" s="207" t="str">
        <f>IFERROR(__xludf.DUMMYFUNCTION("IF(OR(CJ182&gt;$BS182+$BT182*$BT$2,CJ182&lt;$BS182-$BT182*$BT$2),AVEDEV(ARRAYFORMULA(XLOOKUP(FILTER(INDIRECT(""'""&amp;CJ$1&amp;""'!$C$4:$C$66""),INDIRECT(""'""&amp;CJ$1&amp;""'!$D$4:$D$66"")=CJ$2),$G$3:$BQ$3,$G182:$BQ182))),"""")"),"")</f>
        <v/>
      </c>
      <c r="CL182" s="251">
        <f>IFERROR(__xludf.DUMMYFUNCTION("AVERAGE(ARRAYFORMULA(XLOOKUP(FILTER(INDIRECT(""'""&amp;CL$1&amp;""'!$C$4:$C$66""),INDIRECT(""'""&amp;CL$1&amp;""'!$D$4:$D$66"")=CL$2),$G$3:$BQ$3,$G182:$BQ182)))"),0.6016379035897438)</f>
        <v>0.6016379036</v>
      </c>
      <c r="CM182" s="207" t="str">
        <f>IFERROR(__xludf.DUMMYFUNCTION("IF(OR(CL182&gt;$BS182+$BT182*$BT$2,CL182&lt;$BS182-$BT182*$BT$2),AVEDEV(ARRAYFORMULA(XLOOKUP(FILTER(INDIRECT(""'""&amp;CL$1&amp;""'!$C$4:$C$66""),INDIRECT(""'""&amp;CL$1&amp;""'!$D$4:$D$66"")=CL$2),$G$3:$BQ$3,$G182:$BQ182))),"""")"),"")</f>
        <v/>
      </c>
      <c r="CN182" s="251">
        <f>IFERROR(__xludf.DUMMYFUNCTION("AVERAGE(ARRAYFORMULA(XLOOKUP(FILTER(INDIRECT(""'""&amp;CN$1&amp;""'!$C$4:$C$66""),INDIRECT(""'""&amp;CN$1&amp;""'!$D$4:$D$66"")=CN$2),$G$3:$BQ$3,$G182:$BQ182)))"),0.847908754)</f>
        <v>0.847908754</v>
      </c>
      <c r="CO182" s="207" t="str">
        <f>IFERROR(__xludf.DUMMYFUNCTION("IF(OR(CN182&gt;$BS182+$BT182*$BT$2,CN182&lt;$BS182-$BT182*$BT$2),AVEDEV(ARRAYFORMULA(XLOOKUP(FILTER(INDIRECT(""'""&amp;CN$1&amp;""'!$C$4:$C$66""),INDIRECT(""'""&amp;CN$1&amp;""'!$D$4:$D$66"")=CN$2),$G$3:$BQ$3,$G182:$BQ182))),"""")"),"")</f>
        <v/>
      </c>
      <c r="CP182" s="252"/>
      <c r="CQ182" s="251">
        <f>IFERROR(__xludf.DUMMYFUNCTION("AVERAGE(ARRAYFORMULA(XLOOKUP(FILTER(INDIRECT(""'""&amp;CQ$1&amp;""'!$C$4:$C$66""),INDIRECT(""'""&amp;CQ$1&amp;""'!$D$4:$D$66"")=CQ$2),$G$3:$BQ$3,$G182:$BQ182)))"),0.381314505)</f>
        <v>0.381314505</v>
      </c>
      <c r="CR182" s="207" t="str">
        <f>IFERROR(__xludf.DUMMYFUNCTION("IF(OR(CQ182&gt;$BS182+$BT182*$BT$2,CQ182&lt;$BS182-$BT182*$BT$2),AVEDEV(ARRAYFORMULA(XLOOKUP(FILTER(INDIRECT(""'""&amp;CQ$1&amp;""'!$C$4:$C$66""),INDIRECT(""'""&amp;CQ$1&amp;""'!$D$4:$D$66"")=CQ$2),$G$3:$BQ$3,$G182:$BQ182))),"""")"),"")</f>
        <v/>
      </c>
      <c r="CS182" s="251">
        <f>IFERROR(__xludf.DUMMYFUNCTION("AVERAGE(ARRAYFORMULA(XLOOKUP(FILTER(INDIRECT(""'""&amp;CS$1&amp;""'!$C$4:$C$66""),INDIRECT(""'""&amp;CS$1&amp;""'!$D$4:$D$66"")=CS$2),$G$3:$BQ$3,$G182:$BQ182)))"),1.7338403055555558)</f>
        <v>1.733840306</v>
      </c>
      <c r="CT182" s="207" t="str">
        <f>IFERROR(__xludf.DUMMYFUNCTION("IF(OR(CS182&gt;$BS182+$BT182*$BT$2,CS182&lt;$BS182-$BT182*$BT$2),AVEDEV(ARRAYFORMULA(XLOOKUP(FILTER(INDIRECT(""'""&amp;CS$1&amp;""'!$C$4:$C$66""),INDIRECT(""'""&amp;CS$1&amp;""'!$D$4:$D$66"")=CS$2),$G$3:$BQ$3,$G182:$BQ182))),"""")"),"")</f>
        <v/>
      </c>
      <c r="CU182" s="251">
        <f>IFERROR(__xludf.DUMMYFUNCTION("AVERAGE(ARRAYFORMULA(XLOOKUP(FILTER(INDIRECT(""'""&amp;CU$1&amp;""'!$C$4:$C$66""),INDIRECT(""'""&amp;CU$1&amp;""'!$D$4:$D$66"")=CU$2),$G$3:$BQ$3,$G182:$BQ182)))"),0.06878671636363635)</f>
        <v>0.06878671636</v>
      </c>
      <c r="CV182" s="207" t="str">
        <f>IFERROR(__xludf.DUMMYFUNCTION("IF(OR(CU182&gt;$BS182+$BT182*$BT$2,CU182&lt;$BS182-$BT182*$BT$2),AVEDEV(ARRAYFORMULA(XLOOKUP(FILTER(INDIRECT(""'""&amp;CU$1&amp;""'!$C$4:$C$66""),INDIRECT(""'""&amp;CU$1&amp;""'!$D$4:$D$66"")=CU$2),$G$3:$BQ$3,$G182:$BQ182))),"""")"),"")</f>
        <v/>
      </c>
      <c r="CW182" s="251">
        <f>IFERROR(__xludf.DUMMYFUNCTION("AVERAGE(ARRAYFORMULA(XLOOKUP(FILTER(INDIRECT(""'""&amp;CW$1&amp;""'!$C$4:$C$66""),INDIRECT(""'""&amp;CW$1&amp;""'!$D$4:$D$66"")=CW$2),$G$3:$BQ$3,$G182:$BQ182)))"),-0.3231939)</f>
        <v>-0.3231939</v>
      </c>
      <c r="CX182" s="207" t="str">
        <f>IFERROR(__xludf.DUMMYFUNCTION("IF(OR(CW182&gt;$BS182+$BT182*$BT$2,CW182&lt;$BS182-$BT182*$BT$2),AVEDEV(ARRAYFORMULA(XLOOKUP(FILTER(INDIRECT(""'""&amp;CW$1&amp;""'!$C$4:$C$66""),INDIRECT(""'""&amp;CW$1&amp;""'!$D$4:$D$66"")=CW$2),$G$3:$BQ$3,$G182:$BQ182))),"""")"),"")</f>
        <v/>
      </c>
      <c r="CY182" s="251">
        <f>IFERROR(__xludf.DUMMYFUNCTION("AVERAGE(ARRAYFORMULA(XLOOKUP(FILTER(INDIRECT(""'""&amp;CY$1&amp;""'!$C$4:$C$66""),INDIRECT(""'""&amp;CY$1&amp;""'!$D$4:$D$66"")=CY$2),$G$3:$BQ$3,$G182:$BQ182)))"),0.3661053678571429)</f>
        <v>0.3661053679</v>
      </c>
      <c r="CZ182" s="207" t="str">
        <f>IFERROR(__xludf.DUMMYFUNCTION("IF(OR(CY182&gt;$BS182+$BT182*$BT$2,CY182&lt;$BS182-$BT182*$BT$2),AVEDEV(ARRAYFORMULA(XLOOKUP(FILTER(INDIRECT(""'""&amp;CY$1&amp;""'!$C$4:$C$66""),INDIRECT(""'""&amp;CY$1&amp;""'!$D$4:$D$66"")=CY$2),$G$3:$BQ$3,$G182:$BQ182))),"""")"),"")</f>
        <v/>
      </c>
      <c r="DA182" s="252"/>
      <c r="DB182" s="251">
        <f>IFERROR(__xludf.DUMMYFUNCTION("AVERAGE(ARRAYFORMULA(XLOOKUP(FILTER(INDIRECT(""'""&amp;DB$1&amp;""'!$C$4:$C$66""),INDIRECT(""'""&amp;DB$1&amp;""'!$D$4:$D$66"")=DB$2),$G$3:$BQ$3,$G182:$BQ182)))"),0.3304182430000001)</f>
        <v>0.330418243</v>
      </c>
      <c r="DC182" s="207" t="str">
        <f>IFERROR(__xludf.DUMMYFUNCTION("IF(OR(DB182&gt;$BS182+$BT182*$BT$2,DB182&lt;$BS182-$BT182*$BT$2),AVEDEV(ARRAYFORMULA(XLOOKUP(FILTER(INDIRECT(""'""&amp;DB$1&amp;""'!$C$4:$C$66""),INDIRECT(""'""&amp;DB$1&amp;""'!$D$4:$D$66"")=DB$2),$G$3:$BQ$3,$G182:$BQ182))),"""")"),"")</f>
        <v/>
      </c>
      <c r="DD182" s="251">
        <f>IFERROR(__xludf.DUMMYFUNCTION("AVERAGE(ARRAYFORMULA(XLOOKUP(FILTER(INDIRECT(""'""&amp;DD$1&amp;""'!$C$4:$C$66""),INDIRECT(""'""&amp;DD$1&amp;""'!$D$4:$D$66"")=DD$2),$G$3:$BQ$3,$G182:$BQ182)))"),1.0088719922222222)</f>
        <v>1.008871992</v>
      </c>
      <c r="DE182" s="207" t="str">
        <f>IFERROR(__xludf.DUMMYFUNCTION("IF(OR(DD182&gt;$BS182+$BT182*$BT$2,DD182&lt;$BS182-$BT182*$BT$2),AVEDEV(ARRAYFORMULA(XLOOKUP(FILTER(INDIRECT(""'""&amp;DD$1&amp;""'!$C$4:$C$66""),INDIRECT(""'""&amp;DD$1&amp;""'!$D$4:$D$66"")=DD$2),$G$3:$BQ$3,$G182:$BQ182))),"""")"),"")</f>
        <v/>
      </c>
      <c r="DF182" s="251">
        <f>IFERROR(__xludf.DUMMYFUNCTION("AVERAGE(ARRAYFORMULA(XLOOKUP(FILTER(INDIRECT(""'""&amp;DF$1&amp;""'!$C$4:$C$66""),INDIRECT(""'""&amp;DF$1&amp;""'!$D$4:$D$66"")=DF$2),$G$3:$BQ$3,$G182:$BQ182)))"),-0.030418257500000004)</f>
        <v>-0.0304182575</v>
      </c>
      <c r="DG182" s="207" t="str">
        <f>IFERROR(__xludf.DUMMYFUNCTION("IF(OR(DF182&gt;$BS182+$BT182*$BT$2,DF182&lt;$BS182-$BT182*$BT$2),AVEDEV(ARRAYFORMULA(XLOOKUP(FILTER(INDIRECT(""'""&amp;DF$1&amp;""'!$C$4:$C$66""),INDIRECT(""'""&amp;DF$1&amp;""'!$D$4:$D$66"")=DF$2),$G$3:$BQ$3,$G182:$BQ182))),"""")"),"")</f>
        <v/>
      </c>
      <c r="DH182" s="251">
        <f>IFERROR(__xludf.DUMMYFUNCTION("AVERAGE(ARRAYFORMULA(XLOOKUP(FILTER(INDIRECT(""'""&amp;DH$1&amp;""'!$C$4:$C$66""),INDIRECT(""'""&amp;DH$1&amp;""'!$D$4:$D$66"")=DH$2),$G$3:$BQ$3,$G182:$BQ182)))"),1.0198563600000001)</f>
        <v>1.01985636</v>
      </c>
      <c r="DI182" s="207" t="str">
        <f>IFERROR(__xludf.DUMMYFUNCTION("IF(OR(DH182&gt;$BS182+$BT182*$BT$2,DH182&lt;$BS182-$BT182*$BT$2),AVEDEV(ARRAYFORMULA(XLOOKUP(FILTER(INDIRECT(""'""&amp;DH$1&amp;""'!$C$4:$C$66""),INDIRECT(""'""&amp;DH$1&amp;""'!$D$4:$D$66"")=DH$2),$G$3:$BQ$3,$G182:$BQ182))),"""")"),"")</f>
        <v/>
      </c>
      <c r="DJ182" s="243"/>
    </row>
    <row r="183">
      <c r="A183" s="2"/>
      <c r="B183" s="204">
        <v>179.0</v>
      </c>
      <c r="C183" s="204" t="s">
        <v>601</v>
      </c>
      <c r="D183" s="204" t="s">
        <v>626</v>
      </c>
      <c r="E183" s="205" t="b">
        <f>VLOOKUP(D183,'Feature Set List'!A180:C246,2,0)</f>
        <v>1</v>
      </c>
      <c r="F183" s="205" t="b">
        <f>VLOOKUP(D183,'Feature Set List'!A180:C246,3,0)</f>
        <v>0</v>
      </c>
      <c r="G183" s="205">
        <v>0.20423892</v>
      </c>
      <c r="H183" s="205">
        <v>0.26396917</v>
      </c>
      <c r="I183" s="205">
        <v>-0.0867052</v>
      </c>
      <c r="J183" s="205">
        <v>0.0</v>
      </c>
      <c r="K183" s="205">
        <v>0.01091843</v>
      </c>
      <c r="L183" s="205">
        <v>-0.6974952</v>
      </c>
      <c r="M183" s="205">
        <v>-0.7109827</v>
      </c>
      <c r="N183" s="205">
        <v>1.06936416</v>
      </c>
      <c r="O183" s="205">
        <v>0.00256904</v>
      </c>
      <c r="P183" s="205">
        <v>-0.7007065</v>
      </c>
      <c r="Q183" s="205">
        <v>1.1554271</v>
      </c>
      <c r="R183" s="205">
        <v>-0.1631342</v>
      </c>
      <c r="S183" s="205">
        <v>0.40141297</v>
      </c>
      <c r="T183" s="205">
        <v>-0.2928709</v>
      </c>
      <c r="U183" s="205">
        <v>-0.1753372</v>
      </c>
      <c r="V183" s="205">
        <v>0.98715478</v>
      </c>
      <c r="W183" s="205">
        <v>-0.6634554</v>
      </c>
      <c r="X183" s="205">
        <v>-0.3641618</v>
      </c>
      <c r="Y183" s="205">
        <v>-0.9280668</v>
      </c>
      <c r="Z183" s="205">
        <v>0.07450225</v>
      </c>
      <c r="AA183" s="205">
        <v>-0.0584457</v>
      </c>
      <c r="AB183" s="205">
        <v>0.58831085</v>
      </c>
      <c r="AC183" s="205">
        <v>-0.1811175</v>
      </c>
      <c r="AD183" s="205">
        <v>1.23827874</v>
      </c>
      <c r="AE183" s="205">
        <v>0.45728966</v>
      </c>
      <c r="AF183" s="205">
        <v>-0.5375723</v>
      </c>
      <c r="AG183" s="205">
        <v>1.29287091</v>
      </c>
      <c r="AH183" s="205">
        <v>0.05459216</v>
      </c>
      <c r="AI183" s="205">
        <v>-0.236352</v>
      </c>
      <c r="AJ183" s="205">
        <v>-0.5728966</v>
      </c>
      <c r="AK183" s="205">
        <v>1.64739884</v>
      </c>
      <c r="AL183" s="205">
        <v>0.89466924</v>
      </c>
      <c r="AM183" s="205">
        <v>-0.1226718</v>
      </c>
      <c r="AN183" s="205">
        <v>0.21130379</v>
      </c>
      <c r="AO183" s="205">
        <v>0.93898523</v>
      </c>
      <c r="AP183" s="205">
        <v>0.63134232</v>
      </c>
      <c r="AQ183" s="205">
        <v>0.41682723</v>
      </c>
      <c r="AR183" s="205">
        <v>3.42967245</v>
      </c>
      <c r="AS183" s="205">
        <v>-0.416185</v>
      </c>
      <c r="AT183" s="205">
        <v>0.15157354</v>
      </c>
      <c r="AU183" s="205">
        <v>1.8477842</v>
      </c>
      <c r="AV183" s="205">
        <v>-0.0719332</v>
      </c>
      <c r="AW183" s="205">
        <v>0.70777136</v>
      </c>
      <c r="AX183" s="205">
        <v>1.31021195</v>
      </c>
      <c r="AY183" s="205">
        <v>0.8150289</v>
      </c>
      <c r="AZ183" s="205">
        <v>-0.2761721</v>
      </c>
      <c r="BA183" s="205">
        <v>-0.6936416</v>
      </c>
      <c r="BB183" s="205">
        <v>0.19653179</v>
      </c>
      <c r="BC183" s="205">
        <v>0.39563263</v>
      </c>
      <c r="BD183" s="205">
        <v>-1.0359666</v>
      </c>
      <c r="BE183" s="205">
        <v>-0.4938985</v>
      </c>
      <c r="BF183" s="205">
        <v>-0.1226718</v>
      </c>
      <c r="BG183" s="205">
        <v>-0.5317919</v>
      </c>
      <c r="BH183" s="205">
        <v>1.24598587</v>
      </c>
      <c r="BI183" s="205">
        <v>-0.2665382</v>
      </c>
      <c r="BJ183" s="205">
        <v>0.66859345</v>
      </c>
      <c r="BK183" s="205">
        <v>0.19845857</v>
      </c>
      <c r="BL183" s="205">
        <v>-0.1380861</v>
      </c>
      <c r="BM183" s="205">
        <v>-0.6891458</v>
      </c>
      <c r="BN183" s="205">
        <v>-1.0924855</v>
      </c>
      <c r="BO183" s="205">
        <v>-0.5189467</v>
      </c>
      <c r="BP183" s="205">
        <v>-0.2228645</v>
      </c>
      <c r="BQ183" s="205">
        <v>-0.9511882</v>
      </c>
      <c r="BR183" s="206"/>
      <c r="BS183" s="250">
        <f t="shared" si="1"/>
        <v>0.1507171905</v>
      </c>
      <c r="BT183" s="250">
        <f t="shared" si="2"/>
        <v>0.6125944278</v>
      </c>
      <c r="BU183" s="206"/>
      <c r="BV183" s="207">
        <f>IFERROR(__xludf.DUMMYFUNCTION("AVERAGE(ARRAYFORMULA(XLOOKUP(FILTER(INDIRECT(""'""&amp;BV$1&amp;""'!$C$4:$C$66""),INDIRECT(""'""&amp;BV$1&amp;""'!$D$4:$D$66"")=BV$2),$G$3:$BQ$3,$G183:$BQ183)))"),0.11129461714285714)</f>
        <v>0.1112946171</v>
      </c>
      <c r="BW183" s="207" t="str">
        <f>IFERROR(__xludf.DUMMYFUNCTION("IF(OR(BV183&gt;$BS183+$BT183*$BT$2,BV183&lt;$BS183-$BT183*$BT$2),AVEDEV(ARRAYFORMULA(XLOOKUP(FILTER(INDIRECT(""'""&amp;BV$1&amp;""'!$C$4:$C$66""),INDIRECT(""'""&amp;BV$1&amp;""'!$D$4:$D$66"")=BV$2),$G$3:$BQ$3,$G183:$BQ183))),"""")"),"")</f>
        <v/>
      </c>
      <c r="BX183" s="207">
        <f>IFERROR(__xludf.DUMMYFUNCTION("AVERAGE(ARRAYFORMULA(XLOOKUP(FILTER(INDIRECT(""'""&amp;BX$1&amp;""'!$C$4:$C$66""),INDIRECT(""'""&amp;BX$1&amp;""'!$D$4:$D$66"")=BX$2),$G$3:$BQ$3,$G183:$BQ183)))"),0.33278282523809527)</f>
        <v>0.3327828252</v>
      </c>
      <c r="BY183" s="207" t="str">
        <f>IFERROR(__xludf.DUMMYFUNCTION("IF(OR(BX183&gt;$BS183+$BT183*$BT$2,BX183&lt;$BS183-$BT183*$BT$2),AVEDEV(ARRAYFORMULA(XLOOKUP(FILTER(INDIRECT(""'""&amp;BX$1&amp;""'!$C$4:$C$66""),INDIRECT(""'""&amp;BX$1&amp;""'!$D$4:$D$66"")=BX$2),$G$3:$BQ$3,$G183:$BQ183))),"""")"),"")</f>
        <v/>
      </c>
      <c r="BZ183" s="207">
        <f>IFERROR(__xludf.DUMMYFUNCTION("AVERAGE(ARRAYFORMULA(XLOOKUP(FILTER(INDIRECT(""'""&amp;BZ$1&amp;""'!$C$4:$C$66""),INDIRECT(""'""&amp;BZ$1&amp;""'!$D$4:$D$66"")=BZ$2),$G$3:$BQ$3,$G183:$BQ183)))"),-0.5441700345454545)</f>
        <v>-0.5441700345</v>
      </c>
      <c r="CA183" s="207">
        <f>IFERROR(__xludf.DUMMYFUNCTION("IF(OR(BZ183&gt;$BS183+$BT183*$BT$2,BZ183&lt;$BS183-$BT183*$BT$2),AVEDEV(ARRAYFORMULA(XLOOKUP(FILTER(INDIRECT(""'""&amp;BZ$1&amp;""'!$C$4:$C$66""),INDIRECT(""'""&amp;BZ$1&amp;""'!$D$4:$D$66"")=BZ$2),$G$3:$BQ$3,$G183:$BQ183))),"""")"),0.23169159239669426)</f>
        <v>0.2316915924</v>
      </c>
      <c r="CB183" s="209"/>
      <c r="CC183" s="207">
        <f>IFERROR(__xludf.DUMMYFUNCTION("AVERAGE(ARRAYFORMULA(XLOOKUP(FILTER(INDIRECT(""'""&amp;CC$1&amp;""'!$C$4:$C$66""),INDIRECT(""'""&amp;CC$1&amp;""'!$D$4:$D$66"")=CC$2),$G$3:$BQ$3,$G183:$BQ183)))"),0.45616569937499996)</f>
        <v>0.4561656994</v>
      </c>
      <c r="CD183" s="207" t="str">
        <f>IFERROR(__xludf.DUMMYFUNCTION("IF(OR(CC183&gt;$BS183+$BT183*$BT$2,CC183&lt;$BS183-$BT183*$BT$2),AVEDEV(ARRAYFORMULA(XLOOKUP(FILTER(INDIRECT(""'""&amp;CC$1&amp;""'!$C$4:$C$66""),INDIRECT(""'""&amp;CC$1&amp;""'!$D$4:$D$66"")=CC$2),$G$3:$BQ$3,$G183:$BQ183))),"""")"),"")</f>
        <v/>
      </c>
      <c r="CE183" s="207">
        <f>IFERROR(__xludf.DUMMYFUNCTION("AVERAGE(ARRAYFORMULA(XLOOKUP(FILTER(INDIRECT(""'""&amp;CE$1&amp;""'!$C$4:$C$66""),INDIRECT(""'""&amp;CE$1&amp;""'!$D$4:$D$66"")=CE$2),$G$3:$BQ$3,$G183:$BQ183)))"),-0.0021339625806451753)</f>
        <v>-0.002133962581</v>
      </c>
      <c r="CF183" s="207" t="str">
        <f>IFERROR(__xludf.DUMMYFUNCTION("IF(OR(CE183&gt;$BS183+$BT183*$BT$2,CE183&lt;$BS183-$BT183*$BT$2),AVEDEV(ARRAYFORMULA(XLOOKUP(FILTER(INDIRECT(""'""&amp;CE$1&amp;""'!$C$4:$C$66""),INDIRECT(""'""&amp;CE$1&amp;""'!$D$4:$D$66"")=CE$2),$G$3:$BQ$3,$G183:$BQ183))),"""")"),"")</f>
        <v/>
      </c>
      <c r="CG183" s="207">
        <f>IFERROR(__xludf.DUMMYFUNCTION("AVERAGE(ARRAYFORMULA(XLOOKUP(FILTER(INDIRECT(""'""&amp;CG$1&amp;""'!$C$4:$C$66""),INDIRECT(""'""&amp;CG$1&amp;""'!$D$4:$D$66"")=CG$2),$G$3:$BQ$3,$G183:$BQ183)))"),-0.5270391799999999)</f>
        <v>-0.52703918</v>
      </c>
      <c r="CH183" s="207">
        <f>IFERROR(__xludf.DUMMYFUNCTION("IF(OR(CG183&gt;$BS183+$BT183*$BT$2,CG183&lt;$BS183-$BT183*$BT$2),AVEDEV(ARRAYFORMULA(XLOOKUP(FILTER(INDIRECT(""'""&amp;CG$1&amp;""'!$C$4:$C$66""),INDIRECT(""'""&amp;CG$1&amp;""'!$D$4:$D$66"")=CG$2),$G$3:$BQ$3,$G183:$BQ183))),"""")"),0.138008984)</f>
        <v>0.138008984</v>
      </c>
      <c r="CI183" s="206"/>
      <c r="CJ183" s="251">
        <f>IFERROR(__xludf.DUMMYFUNCTION("AVERAGE(ARRAYFORMULA(XLOOKUP(FILTER(INDIRECT(""'""&amp;CJ$1&amp;""'!$C$4:$C$66""),INDIRECT(""'""&amp;CJ$1&amp;""'!$D$4:$D$66"")=CJ$2),$G$3:$BQ$3,$G183:$BQ183)))"),-0.04581459466666667)</f>
        <v>-0.04581459467</v>
      </c>
      <c r="CK183" s="207" t="str">
        <f>IFERROR(__xludf.DUMMYFUNCTION("IF(OR(CJ183&gt;$BS183+$BT183*$BT$2,CJ183&lt;$BS183-$BT183*$BT$2),AVEDEV(ARRAYFORMULA(XLOOKUP(FILTER(INDIRECT(""'""&amp;CJ$1&amp;""'!$C$4:$C$66""),INDIRECT(""'""&amp;CJ$1&amp;""'!$D$4:$D$66"")=CJ$2),$G$3:$BQ$3,$G183:$BQ183))),"""")"),"")</f>
        <v/>
      </c>
      <c r="CL183" s="251">
        <f>IFERROR(__xludf.DUMMYFUNCTION("AVERAGE(ARRAYFORMULA(XLOOKUP(FILTER(INDIRECT(""'""&amp;CL$1&amp;""'!$C$4:$C$66""),INDIRECT(""'""&amp;CL$1&amp;""'!$D$4:$D$66"")=CL$2),$G$3:$BQ$3,$G183:$BQ183)))"),0.31360439794871803)</f>
        <v>0.3136043979</v>
      </c>
      <c r="CM183" s="207" t="str">
        <f>IFERROR(__xludf.DUMMYFUNCTION("IF(OR(CL183&gt;$BS183+$BT183*$BT$2,CL183&lt;$BS183-$BT183*$BT$2),AVEDEV(ARRAYFORMULA(XLOOKUP(FILTER(INDIRECT(""'""&amp;CL$1&amp;""'!$C$4:$C$66""),INDIRECT(""'""&amp;CL$1&amp;""'!$D$4:$D$66"")=CL$2),$G$3:$BQ$3,$G183:$BQ183))),"""")"),"")</f>
        <v/>
      </c>
      <c r="CN183" s="251">
        <f>IFERROR(__xludf.DUMMYFUNCTION("AVERAGE(ARRAYFORMULA(XLOOKUP(FILTER(INDIRECT(""'""&amp;CN$1&amp;""'!$C$4:$C$66""),INDIRECT(""'""&amp;CN$1&amp;""'!$D$4:$D$66"")=CN$2),$G$3:$BQ$3,$G183:$BQ183)))"),-0.5270391799999999)</f>
        <v>-0.52703918</v>
      </c>
      <c r="CO183" s="207">
        <f>IFERROR(__xludf.DUMMYFUNCTION("IF(OR(CN183&gt;$BS183+$BT183*$BT$2,CN183&lt;$BS183-$BT183*$BT$2),AVEDEV(ARRAYFORMULA(XLOOKUP(FILTER(INDIRECT(""'""&amp;CN$1&amp;""'!$C$4:$C$66""),INDIRECT(""'""&amp;CN$1&amp;""'!$D$4:$D$66"")=CN$2),$G$3:$BQ$3,$G183:$BQ183))),"""")"),0.138008984)</f>
        <v>0.138008984</v>
      </c>
      <c r="CP183" s="252"/>
      <c r="CQ183" s="251">
        <f>IFERROR(__xludf.DUMMYFUNCTION("AVERAGE(ARRAYFORMULA(XLOOKUP(FILTER(INDIRECT(""'""&amp;CQ$1&amp;""'!$C$4:$C$66""),INDIRECT(""'""&amp;CQ$1&amp;""'!$D$4:$D$66"")=CQ$2),$G$3:$BQ$3,$G183:$BQ183)))"),0.5862923171428571)</f>
        <v>0.5862923171</v>
      </c>
      <c r="CR183" s="207" t="str">
        <f>IFERROR(__xludf.DUMMYFUNCTION("IF(OR(CQ183&gt;$BS183+$BT183*$BT$2,CQ183&lt;$BS183-$BT183*$BT$2),AVEDEV(ARRAYFORMULA(XLOOKUP(FILTER(INDIRECT(""'""&amp;CQ$1&amp;""'!$C$4:$C$66""),INDIRECT(""'""&amp;CQ$1&amp;""'!$D$4:$D$66"")=CQ$2),$G$3:$BQ$3,$G183:$BQ183))),"""")"),"")</f>
        <v/>
      </c>
      <c r="CS183" s="251">
        <f>IFERROR(__xludf.DUMMYFUNCTION("AVERAGE(ARRAYFORMULA(XLOOKUP(FILTER(INDIRECT(""'""&amp;CS$1&amp;""'!$C$4:$C$66""),INDIRECT(""'""&amp;CS$1&amp;""'!$D$4:$D$66"")=CS$2),$G$3:$BQ$3,$G183:$BQ183)))"),-0.5578391644444444)</f>
        <v>-0.5578391644</v>
      </c>
      <c r="CT183" s="207">
        <f>IFERROR(__xludf.DUMMYFUNCTION("IF(OR(CS183&gt;$BS183+$BT183*$BT$2,CS183&lt;$BS183-$BT183*$BT$2),AVEDEV(ARRAYFORMULA(XLOOKUP(FILTER(INDIRECT(""'""&amp;CS$1&amp;""'!$C$4:$C$66""),INDIRECT(""'""&amp;CS$1&amp;""'!$D$4:$D$66"")=CS$2),$G$3:$BQ$3,$G183:$BQ183))),"""")"),0.23273626962962968)</f>
        <v>0.2327362696</v>
      </c>
      <c r="CU183" s="251">
        <f>IFERROR(__xludf.DUMMYFUNCTION("AVERAGE(ARRAYFORMULA(XLOOKUP(FILTER(INDIRECT(""'""&amp;CU$1&amp;""'!$C$4:$C$66""),INDIRECT(""'""&amp;CU$1&amp;""'!$D$4:$D$66"")=CU$2),$G$3:$BQ$3,$G183:$BQ183)))"),-0.05138085272727273)</f>
        <v>-0.05138085273</v>
      </c>
      <c r="CV183" s="207" t="str">
        <f>IFERROR(__xludf.DUMMYFUNCTION("IF(OR(CU183&gt;$BS183+$BT183*$BT$2,CU183&lt;$BS183-$BT183*$BT$2),AVEDEV(ARRAYFORMULA(XLOOKUP(FILTER(INDIRECT(""'""&amp;CU$1&amp;""'!$C$4:$C$66""),INDIRECT(""'""&amp;CU$1&amp;""'!$D$4:$D$66"")=CU$2),$G$3:$BQ$3,$G183:$BQ183))),"""")"),"")</f>
        <v/>
      </c>
      <c r="CW183" s="251">
        <f>IFERROR(__xludf.DUMMYFUNCTION("AVERAGE(ARRAYFORMULA(XLOOKUP(FILTER(INDIRECT(""'""&amp;CW$1&amp;""'!$C$4:$C$66""),INDIRECT(""'""&amp;CW$1&amp;""'!$D$4:$D$66"")=CW$2),$G$3:$BQ$3,$G183:$BQ183)))"),1.242132305)</f>
        <v>1.242132305</v>
      </c>
      <c r="CX183" s="207">
        <f>IFERROR(__xludf.DUMMYFUNCTION("IF(OR(CW183&gt;$BS183+$BT183*$BT$2,CW183&lt;$BS183-$BT183*$BT$2),AVEDEV(ARRAYFORMULA(XLOOKUP(FILTER(INDIRECT(""'""&amp;CW$1&amp;""'!$C$4:$C$66""),INDIRECT(""'""&amp;CW$1&amp;""'!$D$4:$D$66"")=CW$2),$G$3:$BQ$3,$G183:$BQ183))),"""")"),0.0038535650000000032)</f>
        <v>0.003853565</v>
      </c>
      <c r="CY183" s="251">
        <f>IFERROR(__xludf.DUMMYFUNCTION("AVERAGE(ARRAYFORMULA(XLOOKUP(FILTER(INDIRECT(""'""&amp;CY$1&amp;""'!$C$4:$C$66""),INDIRECT(""'""&amp;CY$1&amp;""'!$D$4:$D$66"")=CY$2),$G$3:$BQ$3,$G183:$BQ183)))"),0.28420039)</f>
        <v>0.28420039</v>
      </c>
      <c r="CZ183" s="207" t="str">
        <f>IFERROR(__xludf.DUMMYFUNCTION("IF(OR(CY183&gt;$BS183+$BT183*$BT$2,CY183&lt;$BS183-$BT183*$BT$2),AVEDEV(ARRAYFORMULA(XLOOKUP(FILTER(INDIRECT(""'""&amp;CY$1&amp;""'!$C$4:$C$66""),INDIRECT(""'""&amp;CY$1&amp;""'!$D$4:$D$66"")=CY$2),$G$3:$BQ$3,$G183:$BQ183))),"""")"),"")</f>
        <v/>
      </c>
      <c r="DA183" s="252"/>
      <c r="DB183" s="251">
        <f>IFERROR(__xludf.DUMMYFUNCTION("AVERAGE(ARRAYFORMULA(XLOOKUP(FILTER(INDIRECT(""'""&amp;DB$1&amp;""'!$C$4:$C$66""),INDIRECT(""'""&amp;DB$1&amp;""'!$D$4:$D$66"")=DB$2),$G$3:$BQ$3,$G183:$BQ183)))"),0.3223506740000001)</f>
        <v>0.322350674</v>
      </c>
      <c r="DC183" s="207" t="str">
        <f>IFERROR(__xludf.DUMMYFUNCTION("IF(OR(DB183&gt;$BS183+$BT183*$BT$2,DB183&lt;$BS183-$BT183*$BT$2),AVEDEV(ARRAYFORMULA(XLOOKUP(FILTER(INDIRECT(""'""&amp;DB$1&amp;""'!$C$4:$C$66""),INDIRECT(""'""&amp;DB$1&amp;""'!$D$4:$D$66"")=DB$2),$G$3:$BQ$3,$G183:$BQ183))),"""")"),"")</f>
        <v/>
      </c>
      <c r="DD183" s="251">
        <f>IFERROR(__xludf.DUMMYFUNCTION("AVERAGE(ARRAYFORMULA(XLOOKUP(FILTER(INDIRECT(""'""&amp;DD$1&amp;""'!$C$4:$C$66""),INDIRECT(""'""&amp;DD$1&amp;""'!$D$4:$D$66"")=DD$2),$G$3:$BQ$3,$G183:$BQ183)))"),-0.4795547088888889)</f>
        <v>-0.4795547089</v>
      </c>
      <c r="DE183" s="207">
        <f>IFERROR(__xludf.DUMMYFUNCTION("IF(OR(DD183&gt;$BS183+$BT183*$BT$2,DD183&lt;$BS183-$BT183*$BT$2),AVEDEV(ARRAYFORMULA(XLOOKUP(FILTER(INDIRECT(""'""&amp;DD$1&amp;""'!$C$4:$C$66""),INDIRECT(""'""&amp;DD$1&amp;""'!$D$4:$D$66"")=DD$2),$G$3:$BQ$3,$G183:$BQ183))),"""")"),0.28402198814814805)</f>
        <v>0.2840219881</v>
      </c>
      <c r="DF183" s="251">
        <f>IFERROR(__xludf.DUMMYFUNCTION("AVERAGE(ARRAYFORMULA(XLOOKUP(FILTER(INDIRECT(""'""&amp;DF$1&amp;""'!$C$4:$C$66""),INDIRECT(""'""&amp;DF$1&amp;""'!$D$4:$D$66"")=DF$2),$G$3:$BQ$3,$G183:$BQ183)))"),-0.0033718612499999967)</f>
        <v>-0.00337186125</v>
      </c>
      <c r="DG183" s="207" t="str">
        <f>IFERROR(__xludf.DUMMYFUNCTION("IF(OR(DF183&gt;$BS183+$BT183*$BT$2,DF183&lt;$BS183-$BT183*$BT$2),AVEDEV(ARRAYFORMULA(XLOOKUP(FILTER(INDIRECT(""'""&amp;DF$1&amp;""'!$C$4:$C$66""),INDIRECT(""'""&amp;DF$1&amp;""'!$D$4:$D$66"")=DF$2),$G$3:$BQ$3,$G183:$BQ183))),"""")"),"")</f>
        <v/>
      </c>
      <c r="DH183" s="251">
        <f>IFERROR(__xludf.DUMMYFUNCTION("AVERAGE(ARRAYFORMULA(XLOOKUP(FILTER(INDIRECT(""'""&amp;DH$1&amp;""'!$C$4:$C$66""),INDIRECT(""'""&amp;DH$1&amp;""'!$D$4:$D$66"")=DH$2),$G$3:$BQ$3,$G183:$BQ183)))"),-0.047099125555555586)</f>
        <v>-0.04709912556</v>
      </c>
      <c r="DI183" s="207" t="str">
        <f>IFERROR(__xludf.DUMMYFUNCTION("IF(OR(DH183&gt;$BS183+$BT183*$BT$2,DH183&lt;$BS183-$BT183*$BT$2),AVEDEV(ARRAYFORMULA(XLOOKUP(FILTER(INDIRECT(""'""&amp;DH$1&amp;""'!$C$4:$C$66""),INDIRECT(""'""&amp;DH$1&amp;""'!$D$4:$D$66"")=DH$2),$G$3:$BQ$3,$G183:$BQ183))),"""")"),"")</f>
        <v/>
      </c>
      <c r="DJ183" s="243"/>
    </row>
    <row r="184">
      <c r="A184" s="2"/>
      <c r="B184" s="204">
        <v>180.0</v>
      </c>
      <c r="C184" s="204" t="s">
        <v>601</v>
      </c>
      <c r="D184" s="204" t="s">
        <v>627</v>
      </c>
      <c r="E184" s="205" t="b">
        <f>VLOOKUP(D184,'Feature Set List'!A181:C246,2,0)</f>
        <v>1</v>
      </c>
      <c r="F184" s="205" t="b">
        <f>VLOOKUP(D184,'Feature Set List'!A181:C246,3,0)</f>
        <v>0</v>
      </c>
      <c r="G184" s="205">
        <v>0.0254717</v>
      </c>
      <c r="H184" s="205">
        <v>0.27075472</v>
      </c>
      <c r="I184" s="205">
        <v>0.09716981</v>
      </c>
      <c r="J184" s="205">
        <v>0.11886792</v>
      </c>
      <c r="K184" s="205">
        <v>-0.2764151</v>
      </c>
      <c r="L184" s="205">
        <v>-0.9764151</v>
      </c>
      <c r="M184" s="205">
        <v>-0.9962264</v>
      </c>
      <c r="N184" s="205">
        <v>0.51792453</v>
      </c>
      <c r="O184" s="205">
        <v>0.2009434</v>
      </c>
      <c r="P184" s="205">
        <v>-0.854717</v>
      </c>
      <c r="Q184" s="205">
        <v>0.71132075</v>
      </c>
      <c r="R184" s="205">
        <v>-0.3349057</v>
      </c>
      <c r="S184" s="205">
        <v>0.39245283</v>
      </c>
      <c r="T184" s="205">
        <v>-0.6141509</v>
      </c>
      <c r="U184" s="205">
        <v>-0.1971698</v>
      </c>
      <c r="V184" s="205">
        <v>0.69245283</v>
      </c>
      <c r="W184" s="205">
        <v>-0.8424528</v>
      </c>
      <c r="X184" s="205">
        <v>-0.2122642</v>
      </c>
      <c r="Y184" s="205">
        <v>-1.195283</v>
      </c>
      <c r="Z184" s="205">
        <v>0.27924528</v>
      </c>
      <c r="AA184" s="205">
        <v>-0.2377358</v>
      </c>
      <c r="AB184" s="205">
        <v>0.15283019</v>
      </c>
      <c r="AC184" s="205">
        <v>-0.4358491</v>
      </c>
      <c r="AD184" s="205">
        <v>1.08679245</v>
      </c>
      <c r="AE184" s="205">
        <v>0.2745283</v>
      </c>
      <c r="AF184" s="205">
        <v>-0.745283</v>
      </c>
      <c r="AG184" s="205">
        <v>1.29811321</v>
      </c>
      <c r="AH184" s="205">
        <v>-0.1679245</v>
      </c>
      <c r="AI184" s="205">
        <v>-0.5179245</v>
      </c>
      <c r="AJ184" s="205">
        <v>-0.5037736</v>
      </c>
      <c r="AK184" s="205">
        <v>1.03679245</v>
      </c>
      <c r="AL184" s="205">
        <v>0.32264151</v>
      </c>
      <c r="AM184" s="205">
        <v>-0.3415094</v>
      </c>
      <c r="AN184" s="205">
        <v>-0.0764151</v>
      </c>
      <c r="AO184" s="205">
        <v>0.49056604</v>
      </c>
      <c r="AP184" s="205">
        <v>0.61698113</v>
      </c>
      <c r="AQ184" s="205">
        <v>0.58396226</v>
      </c>
      <c r="AR184" s="205">
        <v>2.08867925</v>
      </c>
      <c r="AS184" s="205">
        <v>-0.5990566</v>
      </c>
      <c r="AT184" s="205">
        <v>0.01415094</v>
      </c>
      <c r="AU184" s="205">
        <v>1.55660377</v>
      </c>
      <c r="AV184" s="205">
        <v>0.16886792</v>
      </c>
      <c r="AW184" s="205">
        <v>0.77075472</v>
      </c>
      <c r="AX184" s="205">
        <v>0.91415094</v>
      </c>
      <c r="AY184" s="205">
        <v>0.85377358</v>
      </c>
      <c r="AZ184" s="205">
        <v>0.03113208</v>
      </c>
      <c r="BA184" s="205">
        <v>-0.8650943</v>
      </c>
      <c r="BB184" s="205">
        <v>0.00377358</v>
      </c>
      <c r="BC184" s="205">
        <v>0.22735849</v>
      </c>
      <c r="BD184" s="205">
        <v>-1.1216981</v>
      </c>
      <c r="BE184" s="205">
        <v>0.0</v>
      </c>
      <c r="BF184" s="205">
        <v>-0.0990566</v>
      </c>
      <c r="BG184" s="205">
        <v>-0.759434</v>
      </c>
      <c r="BH184" s="205">
        <v>1.11037736</v>
      </c>
      <c r="BI184" s="205">
        <v>-0.6886792</v>
      </c>
      <c r="BJ184" s="205">
        <v>0.49716981</v>
      </c>
      <c r="BK184" s="205">
        <v>-0.2103774</v>
      </c>
      <c r="BL184" s="205">
        <v>-0.4886792</v>
      </c>
      <c r="BM184" s="205">
        <v>-0.9622642</v>
      </c>
      <c r="BN184" s="205">
        <v>-1.2481132</v>
      </c>
      <c r="BO184" s="205">
        <v>-0.6037736</v>
      </c>
      <c r="BP184" s="205">
        <v>-0.4424528</v>
      </c>
      <c r="BQ184" s="205">
        <v>-1.2641509</v>
      </c>
      <c r="BR184" s="206"/>
      <c r="BS184" s="250">
        <f t="shared" si="1"/>
        <v>-0.02337525952</v>
      </c>
      <c r="BT184" s="250">
        <f t="shared" si="2"/>
        <v>0.5763368906</v>
      </c>
      <c r="BU184" s="206"/>
      <c r="BV184" s="207">
        <f>IFERROR(__xludf.DUMMYFUNCTION("AVERAGE(ARRAYFORMULA(XLOOKUP(FILTER(INDIRECT(""'""&amp;BV$1&amp;""'!$C$4:$C$66""),INDIRECT(""'""&amp;BV$1&amp;""'!$D$4:$D$66"")=BV$2),$G$3:$BQ$3,$G184:$BQ184)))"),0.0642857142857143)</f>
        <v>0.06428571429</v>
      </c>
      <c r="BW184" s="207" t="str">
        <f>IFERROR(__xludf.DUMMYFUNCTION("IF(OR(BV184&gt;$BS184+$BT184*$BT$2,BV184&lt;$BS184-$BT184*$BT$2),AVEDEV(ARRAYFORMULA(XLOOKUP(FILTER(INDIRECT(""'""&amp;BV$1&amp;""'!$C$4:$C$66""),INDIRECT(""'""&amp;BV$1&amp;""'!$D$4:$D$66"")=BV$2),$G$3:$BQ$3,$G184:$BQ184))),"""")"),"")</f>
        <v/>
      </c>
      <c r="BX184" s="207">
        <f>IFERROR(__xludf.DUMMYFUNCTION("AVERAGE(ARRAYFORMULA(XLOOKUP(FILTER(INDIRECT(""'""&amp;BX$1&amp;""'!$C$4:$C$66""),INDIRECT(""'""&amp;BX$1&amp;""'!$D$4:$D$66"")=BX$2),$G$3:$BQ$3,$G184:$BQ184)))"),0.13191824023809526)</f>
        <v>0.1319182402</v>
      </c>
      <c r="BY184" s="207" t="str">
        <f>IFERROR(__xludf.DUMMYFUNCTION("IF(OR(BX184&gt;$BS184+$BT184*$BT$2,BX184&lt;$BS184-$BT184*$BT$2),AVEDEV(ARRAYFORMULA(XLOOKUP(FILTER(INDIRECT(""'""&amp;BX$1&amp;""'!$C$4:$C$66""),INDIRECT(""'""&amp;BX$1&amp;""'!$D$4:$D$66"")=BX$2),$G$3:$BQ$3,$G184:$BQ184))),"""")"),"")</f>
        <v/>
      </c>
      <c r="BZ184" s="207">
        <f>IFERROR(__xludf.DUMMYFUNCTION("AVERAGE(ARRAYFORMULA(XLOOKUP(FILTER(INDIRECT(""'""&amp;BZ$1&amp;""'!$C$4:$C$66""),INDIRECT(""'""&amp;BZ$1&amp;""'!$D$4:$D$66"")=BZ$2),$G$3:$BQ$3,$G184:$BQ184)))"),-0.7268439018181818)</f>
        <v>-0.7268439018</v>
      </c>
      <c r="CA184" s="207">
        <f>IFERROR(__xludf.DUMMYFUNCTION("IF(OR(BZ184&gt;$BS184+$BT184*$BT$2,BZ184&lt;$BS184-$BT184*$BT$2),AVEDEV(ARRAYFORMULA(XLOOKUP(FILTER(INDIRECT(""'""&amp;BZ$1&amp;""'!$C$4:$C$66""),INDIRECT(""'""&amp;BZ$1&amp;""'!$D$4:$D$66"")=BZ$2),$G$3:$BQ$3,$G184:$BQ184))),"""")"),0.295088106446281)</f>
        <v>0.2950881064</v>
      </c>
      <c r="CB184" s="209"/>
      <c r="CC184" s="207">
        <f>IFERROR(__xludf.DUMMYFUNCTION("AVERAGE(ARRAYFORMULA(XLOOKUP(FILTER(INDIRECT(""'""&amp;CC$1&amp;""'!$C$4:$C$66""),INDIRECT(""'""&amp;CC$1&amp;""'!$D$4:$D$66"")=CC$2),$G$3:$BQ$3,$G184:$BQ184)))"),0.31928066187500004)</f>
        <v>0.3192806619</v>
      </c>
      <c r="CD184" s="207" t="str">
        <f>IFERROR(__xludf.DUMMYFUNCTION("IF(OR(CC184&gt;$BS184+$BT184*$BT$2,CC184&lt;$BS184-$BT184*$BT$2),AVEDEV(ARRAYFORMULA(XLOOKUP(FILTER(INDIRECT(""'""&amp;CC$1&amp;""'!$C$4:$C$66""),INDIRECT(""'""&amp;CC$1&amp;""'!$D$4:$D$66"")=CC$2),$G$3:$BQ$3,$G184:$BQ184))),"""")"),"")</f>
        <v/>
      </c>
      <c r="CE184" s="207">
        <f>IFERROR(__xludf.DUMMYFUNCTION("AVERAGE(ARRAYFORMULA(XLOOKUP(FILTER(INDIRECT(""'""&amp;CE$1&amp;""'!$C$4:$C$66""),INDIRECT(""'""&amp;CE$1&amp;""'!$D$4:$D$66"")=CE$2),$G$3:$BQ$3,$G184:$BQ184)))"),-0.15073036612903226)</f>
        <v>-0.1507303661</v>
      </c>
      <c r="CF184" s="207" t="str">
        <f>IFERROR(__xludf.DUMMYFUNCTION("IF(OR(CE184&gt;$BS184+$BT184*$BT$2,CE184&lt;$BS184-$BT184*$BT$2),AVEDEV(ARRAYFORMULA(XLOOKUP(FILTER(INDIRECT(""'""&amp;CE$1&amp;""'!$C$4:$C$66""),INDIRECT(""'""&amp;CE$1&amp;""'!$D$4:$D$66"")=CE$2),$G$3:$BQ$3,$G184:$BQ184))),"""")"),"")</f>
        <v/>
      </c>
      <c r="CG184" s="207">
        <f>IFERROR(__xludf.DUMMYFUNCTION("AVERAGE(ARRAYFORMULA(XLOOKUP(FILTER(INDIRECT(""'""&amp;CG$1&amp;""'!$C$4:$C$66""),INDIRECT(""'""&amp;CG$1&amp;""'!$D$4:$D$66"")=CG$2),$G$3:$BQ$3,$G184:$BQ184)))"),-0.73849056)</f>
        <v>-0.73849056</v>
      </c>
      <c r="CH184" s="207">
        <f>IFERROR(__xludf.DUMMYFUNCTION("IF(OR(CG184&gt;$BS184+$BT184*$BT$2,CG184&lt;$BS184-$BT184*$BT$2),AVEDEV(ARRAYFORMULA(XLOOKUP(FILTER(INDIRECT(""'""&amp;CG$1&amp;""'!$C$4:$C$66""),INDIRECT(""'""&amp;CG$1&amp;""'!$D$4:$D$66"")=CG$2),$G$3:$BQ$3,$G184:$BQ184))),"""")"),0.10550944799999998)</f>
        <v>0.105509448</v>
      </c>
      <c r="CI184" s="206"/>
      <c r="CJ184" s="251">
        <f>IFERROR(__xludf.DUMMYFUNCTION("AVERAGE(ARRAYFORMULA(XLOOKUP(FILTER(INDIRECT(""'""&amp;CJ$1&amp;""'!$C$4:$C$66""),INDIRECT(""'""&amp;CJ$1&amp;""'!$D$4:$D$66"")=CJ$2),$G$3:$BQ$3,$G184:$BQ184)))"),-0.20157233066666666)</f>
        <v>-0.2015723307</v>
      </c>
      <c r="CK184" s="207" t="str">
        <f>IFERROR(__xludf.DUMMYFUNCTION("IF(OR(CJ184&gt;$BS184+$BT184*$BT$2,CJ184&lt;$BS184-$BT184*$BT$2),AVEDEV(ARRAYFORMULA(XLOOKUP(FILTER(INDIRECT(""'""&amp;CJ$1&amp;""'!$C$4:$C$66""),INDIRECT(""'""&amp;CJ$1&amp;""'!$D$4:$D$66"")=CJ$2),$G$3:$BQ$3,$G184:$BQ184))),"""")"),"")</f>
        <v/>
      </c>
      <c r="CL184" s="251">
        <f>IFERROR(__xludf.DUMMYFUNCTION("AVERAGE(ARRAYFORMULA(XLOOKUP(FILTER(INDIRECT(""'""&amp;CL$1&amp;""'!$C$4:$C$66""),INDIRECT(""'""&amp;CL$1&amp;""'!$D$4:$D$66"")=CL$2),$G$3:$BQ$3,$G184:$BQ184)))"),0.13333333666666666)</f>
        <v>0.1333333367</v>
      </c>
      <c r="CM184" s="207" t="str">
        <f>IFERROR(__xludf.DUMMYFUNCTION("IF(OR(CL184&gt;$BS184+$BT184*$BT$2,CL184&lt;$BS184-$BT184*$BT$2),AVEDEV(ARRAYFORMULA(XLOOKUP(FILTER(INDIRECT(""'""&amp;CL$1&amp;""'!$C$4:$C$66""),INDIRECT(""'""&amp;CL$1&amp;""'!$D$4:$D$66"")=CL$2),$G$3:$BQ$3,$G184:$BQ184))),"""")"),"")</f>
        <v/>
      </c>
      <c r="CN184" s="251">
        <f>IFERROR(__xludf.DUMMYFUNCTION("AVERAGE(ARRAYFORMULA(XLOOKUP(FILTER(INDIRECT(""'""&amp;CN$1&amp;""'!$C$4:$C$66""),INDIRECT(""'""&amp;CN$1&amp;""'!$D$4:$D$66"")=CN$2),$G$3:$BQ$3,$G184:$BQ184)))"),-0.73849056)</f>
        <v>-0.73849056</v>
      </c>
      <c r="CO184" s="207">
        <f>IFERROR(__xludf.DUMMYFUNCTION("IF(OR(CN184&gt;$BS184+$BT184*$BT$2,CN184&lt;$BS184-$BT184*$BT$2),AVEDEV(ARRAYFORMULA(XLOOKUP(FILTER(INDIRECT(""'""&amp;CN$1&amp;""'!$C$4:$C$66""),INDIRECT(""'""&amp;CN$1&amp;""'!$D$4:$D$66"")=CN$2),$G$3:$BQ$3,$G184:$BQ184))),"""")"),0.10550944799999998)</f>
        <v>0.105509448</v>
      </c>
      <c r="CP184" s="252"/>
      <c r="CQ184" s="251">
        <f>IFERROR(__xludf.DUMMYFUNCTION("AVERAGE(ARRAYFORMULA(XLOOKUP(FILTER(INDIRECT(""'""&amp;CQ$1&amp;""'!$C$4:$C$66""),INDIRECT(""'""&amp;CQ$1&amp;""'!$D$4:$D$66"")=CQ$2),$G$3:$BQ$3,$G184:$BQ184)))"),0.40545822)</f>
        <v>0.40545822</v>
      </c>
      <c r="CR184" s="207" t="str">
        <f>IFERROR(__xludf.DUMMYFUNCTION("IF(OR(CQ184&gt;$BS184+$BT184*$BT$2,CQ184&lt;$BS184-$BT184*$BT$2),AVEDEV(ARRAYFORMULA(XLOOKUP(FILTER(INDIRECT(""'""&amp;CQ$1&amp;""'!$C$4:$C$66""),INDIRECT(""'""&amp;CQ$1&amp;""'!$D$4:$D$66"")=CQ$2),$G$3:$BQ$3,$G184:$BQ184))),"""")"),"")</f>
        <v/>
      </c>
      <c r="CS184" s="251">
        <f>IFERROR(__xludf.DUMMYFUNCTION("AVERAGE(ARRAYFORMULA(XLOOKUP(FILTER(INDIRECT(""'""&amp;CS$1&amp;""'!$C$4:$C$66""),INDIRECT(""'""&amp;CS$1&amp;""'!$D$4:$D$66"")=CS$2),$G$3:$BQ$3,$G184:$BQ184)))"),-0.7849056444444444)</f>
        <v>-0.7849056444</v>
      </c>
      <c r="CT184" s="207">
        <f>IFERROR(__xludf.DUMMYFUNCTION("IF(OR(CS184&gt;$BS184+$BT184*$BT$2,CS184&lt;$BS184-$BT184*$BT$2),AVEDEV(ARRAYFORMULA(XLOOKUP(FILTER(INDIRECT(""'""&amp;CS$1&amp;""'!$C$4:$C$66""),INDIRECT(""'""&amp;CS$1&amp;""'!$D$4:$D$66"")=CS$2),$G$3:$BQ$3,$G184:$BQ184))),"""")"),0.22683438518518517)</f>
        <v>0.2268343852</v>
      </c>
      <c r="CU184" s="251">
        <f>IFERROR(__xludf.DUMMYFUNCTION("AVERAGE(ARRAYFORMULA(XLOOKUP(FILTER(INDIRECT(""'""&amp;CU$1&amp;""'!$C$4:$C$66""),INDIRECT(""'""&amp;CU$1&amp;""'!$D$4:$D$66"")=CU$2),$G$3:$BQ$3,$G184:$BQ184)))"),-0.16243567636363637)</f>
        <v>-0.1624356764</v>
      </c>
      <c r="CV184" s="207" t="str">
        <f>IFERROR(__xludf.DUMMYFUNCTION("IF(OR(CU184&gt;$BS184+$BT184*$BT$2,CU184&lt;$BS184-$BT184*$BT$2),AVEDEV(ARRAYFORMULA(XLOOKUP(FILTER(INDIRECT(""'""&amp;CU$1&amp;""'!$C$4:$C$66""),INDIRECT(""'""&amp;CU$1&amp;""'!$D$4:$D$66"")=CU$2),$G$3:$BQ$3,$G184:$BQ184))),"""")"),"")</f>
        <v/>
      </c>
      <c r="CW184" s="251">
        <f>IFERROR(__xludf.DUMMYFUNCTION("AVERAGE(ARRAYFORMULA(XLOOKUP(FILTER(INDIRECT(""'""&amp;CW$1&amp;""'!$C$4:$C$66""),INDIRECT(""'""&amp;CW$1&amp;""'!$D$4:$D$66"")=CW$2),$G$3:$BQ$3,$G184:$BQ184)))"),1.098584905)</f>
        <v>1.098584905</v>
      </c>
      <c r="CX184" s="207">
        <f>IFERROR(__xludf.DUMMYFUNCTION("IF(OR(CW184&gt;$BS184+$BT184*$BT$2,CW184&lt;$BS184-$BT184*$BT$2),AVEDEV(ARRAYFORMULA(XLOOKUP(FILTER(INDIRECT(""'""&amp;CW$1&amp;""'!$C$4:$C$66""),INDIRECT(""'""&amp;CW$1&amp;""'!$D$4:$D$66"")=CW$2),$G$3:$BQ$3,$G184:$BQ184))),"""")"),0.011792455000000035)</f>
        <v>0.011792455</v>
      </c>
      <c r="CY184" s="251">
        <f>IFERROR(__xludf.DUMMYFUNCTION("AVERAGE(ARRAYFORMULA(XLOOKUP(FILTER(INDIRECT(""'""&amp;CY$1&amp;""'!$C$4:$C$66""),INDIRECT(""'""&amp;CY$1&amp;""'!$D$4:$D$66"")=CY$2),$G$3:$BQ$3,$G184:$BQ184)))"),0.025741244285714306)</f>
        <v>0.02574124429</v>
      </c>
      <c r="CZ184" s="207" t="str">
        <f>IFERROR(__xludf.DUMMYFUNCTION("IF(OR(CY184&gt;$BS184+$BT184*$BT$2,CY184&lt;$BS184-$BT184*$BT$2),AVEDEV(ARRAYFORMULA(XLOOKUP(FILTER(INDIRECT(""'""&amp;CY$1&amp;""'!$C$4:$C$66""),INDIRECT(""'""&amp;CY$1&amp;""'!$D$4:$D$66"")=CY$2),$G$3:$BQ$3,$G184:$BQ184))),"""")"),"")</f>
        <v/>
      </c>
      <c r="DA184" s="252"/>
      <c r="DB184" s="251">
        <f>IFERROR(__xludf.DUMMYFUNCTION("AVERAGE(ARRAYFORMULA(XLOOKUP(FILTER(INDIRECT(""'""&amp;DB$1&amp;""'!$C$4:$C$66""),INDIRECT(""'""&amp;DB$1&amp;""'!$D$4:$D$66"")=DB$2),$G$3:$BQ$3,$G184:$BQ184)))"),0.11981132133333335)</f>
        <v>0.1198113213</v>
      </c>
      <c r="DC184" s="207" t="str">
        <f>IFERROR(__xludf.DUMMYFUNCTION("IF(OR(DB184&gt;$BS184+$BT184*$BT$2,DB184&lt;$BS184-$BT184*$BT$2),AVEDEV(ARRAYFORMULA(XLOOKUP(FILTER(INDIRECT(""'""&amp;DB$1&amp;""'!$C$4:$C$66""),INDIRECT(""'""&amp;DB$1&amp;""'!$D$4:$D$66"")=DB$2),$G$3:$BQ$3,$G184:$BQ184))),"""")"),"")</f>
        <v/>
      </c>
      <c r="DD184" s="251">
        <f>IFERROR(__xludf.DUMMYFUNCTION("AVERAGE(ARRAYFORMULA(XLOOKUP(FILTER(INDIRECT(""'""&amp;DD$1&amp;""'!$C$4:$C$66""),INDIRECT(""'""&amp;DD$1&amp;""'!$D$4:$D$66"")=DD$2),$G$3:$BQ$3,$G184:$BQ184)))"),-0.6574423422222222)</f>
        <v>-0.6574423422</v>
      </c>
      <c r="DE184" s="207">
        <f>IFERROR(__xludf.DUMMYFUNCTION("IF(OR(DD184&gt;$BS184+$BT184*$BT$2,DD184&lt;$BS184-$BT184*$BT$2),AVEDEV(ARRAYFORMULA(XLOOKUP(FILTER(INDIRECT(""'""&amp;DD$1&amp;""'!$C$4:$C$66""),INDIRECT(""'""&amp;DD$1&amp;""'!$D$4:$D$66"")=DD$2),$G$3:$BQ$3,$G184:$BQ184))),"""")"),0.34500349925925927)</f>
        <v>0.3450034993</v>
      </c>
      <c r="DF184" s="251">
        <f>IFERROR(__xludf.DUMMYFUNCTION("AVERAGE(ARRAYFORMULA(XLOOKUP(FILTER(INDIRECT(""'""&amp;DF$1&amp;""'!$C$4:$C$66""),INDIRECT(""'""&amp;DF$1&amp;""'!$D$4:$D$66"")=DF$2),$G$3:$BQ$3,$G184:$BQ184)))"),0.02558962375)</f>
        <v>0.02558962375</v>
      </c>
      <c r="DG184" s="207" t="str">
        <f>IFERROR(__xludf.DUMMYFUNCTION("IF(OR(DF184&gt;$BS184+$BT184*$BT$2,DF184&lt;$BS184-$BT184*$BT$2),AVEDEV(ARRAYFORMULA(XLOOKUP(FILTER(INDIRECT(""'""&amp;DF$1&amp;""'!$C$4:$C$66""),INDIRECT(""'""&amp;DF$1&amp;""'!$D$4:$D$66"")=DF$2),$G$3:$BQ$3,$G184:$BQ184))),"""")"),"")</f>
        <v/>
      </c>
      <c r="DH184" s="251">
        <f>IFERROR(__xludf.DUMMYFUNCTION("AVERAGE(ARRAYFORMULA(XLOOKUP(FILTER(INDIRECT(""'""&amp;DH$1&amp;""'!$C$4:$C$66""),INDIRECT(""'""&amp;DH$1&amp;""'!$D$4:$D$66"")=DH$2),$G$3:$BQ$3,$G184:$BQ184)))"),-0.1961215855555556)</f>
        <v>-0.1961215856</v>
      </c>
      <c r="DI184" s="207" t="str">
        <f>IFERROR(__xludf.DUMMYFUNCTION("IF(OR(DH184&gt;$BS184+$BT184*$BT$2,DH184&lt;$BS184-$BT184*$BT$2),AVEDEV(ARRAYFORMULA(XLOOKUP(FILTER(INDIRECT(""'""&amp;DH$1&amp;""'!$C$4:$C$66""),INDIRECT(""'""&amp;DH$1&amp;""'!$D$4:$D$66"")=DH$2),$G$3:$BQ$3,$G184:$BQ184))),"""")"),"")</f>
        <v/>
      </c>
      <c r="DJ184" s="243"/>
    </row>
    <row r="185">
      <c r="A185" s="2"/>
      <c r="B185" s="204">
        <v>181.0</v>
      </c>
      <c r="C185" s="204" t="s">
        <v>601</v>
      </c>
      <c r="D185" s="204" t="s">
        <v>628</v>
      </c>
      <c r="E185" s="205" t="b">
        <f>VLOOKUP(D185,'Feature Set List'!A182:C246,2,0)</f>
        <v>1</v>
      </c>
      <c r="F185" s="205" t="b">
        <f>VLOOKUP(D185,'Feature Set List'!A182:C246,3,0)</f>
        <v>0</v>
      </c>
      <c r="G185" s="205">
        <v>0.0</v>
      </c>
      <c r="H185" s="205">
        <v>0.0</v>
      </c>
      <c r="I185" s="205">
        <v>0.0</v>
      </c>
      <c r="J185" s="205">
        <v>0.0</v>
      </c>
      <c r="K185" s="205">
        <v>0.0</v>
      </c>
      <c r="L185" s="205">
        <v>2.44902957</v>
      </c>
      <c r="M185" s="205">
        <v>1.22451479</v>
      </c>
      <c r="N185" s="205">
        <v>0.0</v>
      </c>
      <c r="O185" s="205">
        <v>0.0</v>
      </c>
      <c r="P185" s="205">
        <v>4.1988612</v>
      </c>
      <c r="Q185" s="205">
        <v>0.0</v>
      </c>
      <c r="R185" s="205">
        <v>0.0</v>
      </c>
      <c r="S185" s="205">
        <v>0.0</v>
      </c>
      <c r="T185" s="205">
        <v>0.91838609</v>
      </c>
      <c r="U185" s="205">
        <v>0.0</v>
      </c>
      <c r="V185" s="205">
        <v>0.0</v>
      </c>
      <c r="W185" s="205">
        <v>2.14290088</v>
      </c>
      <c r="X185" s="205">
        <v>0.0</v>
      </c>
      <c r="Y185" s="205">
        <v>1.83677218</v>
      </c>
      <c r="Z185" s="205">
        <v>0.0</v>
      </c>
      <c r="AA185" s="205">
        <v>0.0</v>
      </c>
      <c r="AB185" s="205">
        <v>0.91838609</v>
      </c>
      <c r="AC185" s="205">
        <v>1.95922366</v>
      </c>
      <c r="AD185" s="205">
        <v>0.0</v>
      </c>
      <c r="AE185" s="205">
        <v>0.0</v>
      </c>
      <c r="AF185" s="205">
        <v>1.83677218</v>
      </c>
      <c r="AG185" s="205">
        <v>0.0</v>
      </c>
      <c r="AH185" s="205">
        <v>0.0</v>
      </c>
      <c r="AI185" s="205">
        <v>0.97961183</v>
      </c>
      <c r="AJ185" s="205">
        <v>0.36735444</v>
      </c>
      <c r="AK185" s="205">
        <v>0.0</v>
      </c>
      <c r="AL185" s="205">
        <v>0.0</v>
      </c>
      <c r="AM185" s="205">
        <v>0.0</v>
      </c>
      <c r="AN185" s="205">
        <v>1.22451479</v>
      </c>
      <c r="AO185" s="205">
        <v>0.0</v>
      </c>
      <c r="AP185" s="205">
        <v>0.0</v>
      </c>
      <c r="AQ185" s="205">
        <v>0.0</v>
      </c>
      <c r="AR185" s="205">
        <v>0.0</v>
      </c>
      <c r="AS185" s="205">
        <v>0.97961183</v>
      </c>
      <c r="AT185" s="205">
        <v>0.0</v>
      </c>
      <c r="AU185" s="205">
        <v>0.0</v>
      </c>
      <c r="AV185" s="205">
        <v>0.0</v>
      </c>
      <c r="AW185" s="205">
        <v>0.0</v>
      </c>
      <c r="AX185" s="205">
        <v>0.0</v>
      </c>
      <c r="AY185" s="205">
        <v>0.0</v>
      </c>
      <c r="AZ185" s="205">
        <v>0.0</v>
      </c>
      <c r="BA185" s="205">
        <v>3.67354436</v>
      </c>
      <c r="BB185" s="205">
        <v>0.61225739</v>
      </c>
      <c r="BC185" s="205">
        <v>0.0</v>
      </c>
      <c r="BD185" s="205">
        <v>2.44902957</v>
      </c>
      <c r="BE185" s="205">
        <v>0.0</v>
      </c>
      <c r="BF185" s="205">
        <v>0.0</v>
      </c>
      <c r="BG185" s="205">
        <v>1.53064348</v>
      </c>
      <c r="BH185" s="205">
        <v>0.0</v>
      </c>
      <c r="BI185" s="205">
        <v>0.0</v>
      </c>
      <c r="BJ185" s="205">
        <v>0.0</v>
      </c>
      <c r="BK185" s="205">
        <v>1.22451479</v>
      </c>
      <c r="BL185" s="205">
        <v>1.22451479</v>
      </c>
      <c r="BM185" s="205">
        <v>1.02038817</v>
      </c>
      <c r="BN185" s="205">
        <v>3.20210617</v>
      </c>
      <c r="BO185" s="205">
        <v>0.0</v>
      </c>
      <c r="BP185" s="205">
        <v>0.40813078</v>
      </c>
      <c r="BQ185" s="205">
        <v>6.8572828</v>
      </c>
      <c r="BR185" s="206"/>
      <c r="BS185" s="250">
        <f t="shared" si="1"/>
        <v>0.6863230449</v>
      </c>
      <c r="BT185" s="250">
        <f t="shared" si="2"/>
        <v>0.8928301054</v>
      </c>
      <c r="BU185" s="206"/>
      <c r="BV185" s="207">
        <f>IFERROR(__xludf.DUMMYFUNCTION("AVERAGE(ARRAYFORMULA(XLOOKUP(FILTER(INDIRECT(""'""&amp;BV$1&amp;""'!$C$4:$C$66""),INDIRECT(""'""&amp;BV$1&amp;""'!$D$4:$D$66"")=BV$2),$G$3:$BQ$3,$G185:$BQ185)))"),0.2623960257142857)</f>
        <v>0.2623960257</v>
      </c>
      <c r="BW185" s="207" t="str">
        <f>IFERROR(__xludf.DUMMYFUNCTION("IF(OR(BV185&gt;$BS185+$BT185*$BT$2,BV185&lt;$BS185-$BT185*$BT$2),AVEDEV(ARRAYFORMULA(XLOOKUP(FILTER(INDIRECT(""'""&amp;BV$1&amp;""'!$C$4:$C$66""),INDIRECT(""'""&amp;BV$1&amp;""'!$D$4:$D$66"")=BV$2),$G$3:$BQ$3,$G185:$BQ185))),"""")"),"")</f>
        <v/>
      </c>
      <c r="BX185" s="207">
        <f>IFERROR(__xludf.DUMMYFUNCTION("AVERAGE(ARRAYFORMULA(XLOOKUP(FILTER(INDIRECT(""'""&amp;BX$1&amp;""'!$C$4:$C$66""),INDIRECT(""'""&amp;BX$1&amp;""'!$D$4:$D$66"")=BX$2),$G$3:$BQ$3,$G185:$BQ185)))"),0.46789001571428573)</f>
        <v>0.4678900157</v>
      </c>
      <c r="BY185" s="207" t="str">
        <f>IFERROR(__xludf.DUMMYFUNCTION("IF(OR(BX185&gt;$BS185+$BT185*$BT$2,BX185&lt;$BS185-$BT185*$BT$2),AVEDEV(ARRAYFORMULA(XLOOKUP(FILTER(INDIRECT(""'""&amp;BX$1&amp;""'!$C$4:$C$66""),INDIRECT(""'""&amp;BX$1&amp;""'!$D$4:$D$66"")=BX$2),$G$3:$BQ$3,$G185:$BQ185))),"""")"),"")</f>
        <v/>
      </c>
      <c r="BZ185" s="207">
        <f>IFERROR(__xludf.DUMMYFUNCTION("AVERAGE(ARRAYFORMULA(XLOOKUP(FILTER(INDIRECT(""'""&amp;BZ$1&amp;""'!$C$4:$C$66""),INDIRECT(""'""&amp;BZ$1&amp;""'!$D$4:$D$66"")=BZ$2),$G$3:$BQ$3,$G185:$BQ185)))"),1.7546517654545455)</f>
        <v>1.754651765</v>
      </c>
      <c r="CA185" s="207">
        <f>IFERROR(__xludf.DUMMYFUNCTION("IF(OR(BZ185&gt;$BS185+$BT185*$BT$2,BZ185&lt;$BS185-$BT185*$BT$2),AVEDEV(ARRAYFORMULA(XLOOKUP(FILTER(INDIRECT(""'""&amp;BZ$1&amp;""'!$C$4:$C$66""),INDIRECT(""'""&amp;BZ$1&amp;""'!$D$4:$D$66"")=BZ$2),$G$3:$BQ$3,$G185:$BQ185))),"""")"),1.0199945049586778)</f>
        <v>1.019994505</v>
      </c>
      <c r="CB185" s="209"/>
      <c r="CC185" s="207">
        <f>IFERROR(__xludf.DUMMYFUNCTION("AVERAGE(ARRAYFORMULA(XLOOKUP(FILTER(INDIRECT(""'""&amp;CC$1&amp;""'!$C$4:$C$66""),INDIRECT(""'""&amp;CC$1&amp;""'!$D$4:$D$66"")=CC$2),$G$3:$BQ$3,$G185:$BQ185)))"),0.09949182625)</f>
        <v>0.09949182625</v>
      </c>
      <c r="CD185" s="207" t="str">
        <f>IFERROR(__xludf.DUMMYFUNCTION("IF(OR(CC185&gt;$BS185+$BT185*$BT$2,CC185&lt;$BS185-$BT185*$BT$2),AVEDEV(ARRAYFORMULA(XLOOKUP(FILTER(INDIRECT(""'""&amp;CC$1&amp;""'!$C$4:$C$66""),INDIRECT(""'""&amp;CC$1&amp;""'!$D$4:$D$66"")=CC$2),$G$3:$BQ$3,$G185:$BQ185))),"""")"),"")</f>
        <v/>
      </c>
      <c r="CE185" s="207">
        <f>IFERROR(__xludf.DUMMYFUNCTION("AVERAGE(ARRAYFORMULA(XLOOKUP(FILTER(INDIRECT(""'""&amp;CE$1&amp;""'!$C$4:$C$66""),INDIRECT(""'""&amp;CE$1&amp;""'!$D$4:$D$66"")=CE$2),$G$3:$BQ$3,$G185:$BQ185)))"),0.8274678425806452)</f>
        <v>0.8274678426</v>
      </c>
      <c r="CF185" s="207" t="str">
        <f>IFERROR(__xludf.DUMMYFUNCTION("IF(OR(CE185&gt;$BS185+$BT185*$BT$2,CE185&lt;$BS185-$BT185*$BT$2),AVEDEV(ARRAYFORMULA(XLOOKUP(FILTER(INDIRECT(""'""&amp;CE$1&amp;""'!$C$4:$C$66""),INDIRECT(""'""&amp;CE$1&amp;""'!$D$4:$D$66"")=CE$2),$G$3:$BQ$3,$G185:$BQ185))),"""")"),"")</f>
        <v/>
      </c>
      <c r="CG185" s="207">
        <f>IFERROR(__xludf.DUMMYFUNCTION("AVERAGE(ARRAYFORMULA(XLOOKUP(FILTER(INDIRECT(""'""&amp;CG$1&amp;""'!$C$4:$C$66""),INDIRECT(""'""&amp;CG$1&amp;""'!$D$4:$D$66"")=CG$2),$G$3:$BQ$3,$G185:$BQ185)))"),2.260209392)</f>
        <v>2.260209392</v>
      </c>
      <c r="CH185" s="207">
        <f>IFERROR(__xludf.DUMMYFUNCTION("IF(OR(CG185&gt;$BS185+$BT185*$BT$2,CG185&lt;$BS185-$BT185*$BT$2),AVEDEV(ARRAYFORMULA(XLOOKUP(FILTER(INDIRECT(""'""&amp;CG$1&amp;""'!$C$4:$C$66""),INDIRECT(""'""&amp;CG$1&amp;""'!$D$4:$D$66"")=CG$2),$G$3:$BQ$3,$G185:$BQ185))),"""")"),1.3407947103999998)</f>
        <v>1.34079471</v>
      </c>
      <c r="CI185" s="206"/>
      <c r="CJ185" s="251">
        <f>IFERROR(__xludf.DUMMYFUNCTION("AVERAGE(ARRAYFORMULA(XLOOKUP(FILTER(INDIRECT(""'""&amp;CJ$1&amp;""'!$C$4:$C$66""),INDIRECT(""'""&amp;CJ$1&amp;""'!$D$4:$D$66"")=CJ$2),$G$3:$BQ$3,$G185:$BQ185)))"),0.42313516599999995)</f>
        <v>0.423135166</v>
      </c>
      <c r="CK185" s="207" t="str">
        <f>IFERROR(__xludf.DUMMYFUNCTION("IF(OR(CJ185&gt;$BS185+$BT185*$BT$2,CJ185&lt;$BS185-$BT185*$BT$2),AVEDEV(ARRAYFORMULA(XLOOKUP(FILTER(INDIRECT(""'""&amp;CJ$1&amp;""'!$C$4:$C$66""),INDIRECT(""'""&amp;CJ$1&amp;""'!$D$4:$D$66"")=CJ$2),$G$3:$BQ$3,$G185:$BQ185))),"""")"),"")</f>
        <v/>
      </c>
      <c r="CL185" s="251">
        <f>IFERROR(__xludf.DUMMYFUNCTION("AVERAGE(ARRAYFORMULA(XLOOKUP(FILTER(INDIRECT(""'""&amp;CL$1&amp;""'!$C$4:$C$66""),INDIRECT(""'""&amp;CL$1&amp;""'!$D$4:$D$66"")=CL$2),$G$3:$BQ$3,$G185:$BQ185)))"),0.5619675133333334)</f>
        <v>0.5619675133</v>
      </c>
      <c r="CM185" s="207" t="str">
        <f>IFERROR(__xludf.DUMMYFUNCTION("IF(OR(CL185&gt;$BS185+$BT185*$BT$2,CL185&lt;$BS185-$BT185*$BT$2),AVEDEV(ARRAYFORMULA(XLOOKUP(FILTER(INDIRECT(""'""&amp;CL$1&amp;""'!$C$4:$C$66""),INDIRECT(""'""&amp;CL$1&amp;""'!$D$4:$D$66"")=CL$2),$G$3:$BQ$3,$G185:$BQ185))),"""")"),"")</f>
        <v/>
      </c>
      <c r="CN185" s="251">
        <f>IFERROR(__xludf.DUMMYFUNCTION("AVERAGE(ARRAYFORMULA(XLOOKUP(FILTER(INDIRECT(""'""&amp;CN$1&amp;""'!$C$4:$C$66""),INDIRECT(""'""&amp;CN$1&amp;""'!$D$4:$D$66"")=CN$2),$G$3:$BQ$3,$G185:$BQ185)))"),2.260209392)</f>
        <v>2.260209392</v>
      </c>
      <c r="CO185" s="207">
        <f>IFERROR(__xludf.DUMMYFUNCTION("IF(OR(CN185&gt;$BS185+$BT185*$BT$2,CN185&lt;$BS185-$BT185*$BT$2),AVEDEV(ARRAYFORMULA(XLOOKUP(FILTER(INDIRECT(""'""&amp;CN$1&amp;""'!$C$4:$C$66""),INDIRECT(""'""&amp;CN$1&amp;""'!$D$4:$D$66"")=CN$2),$G$3:$BQ$3,$G185:$BQ185))),"""")"),1.3407947103999998)</f>
        <v>1.34079471</v>
      </c>
      <c r="CP185" s="252"/>
      <c r="CQ185" s="251">
        <f>IFERROR(__xludf.DUMMYFUNCTION("AVERAGE(ARRAYFORMULA(XLOOKUP(FILTER(INDIRECT(""'""&amp;CQ$1&amp;""'!$C$4:$C$66""),INDIRECT(""'""&amp;CQ$1&amp;""'!$D$4:$D$66"")=CQ$2),$G$3:$BQ$3,$G185:$BQ185)))"),0.1574376157142857)</f>
        <v>0.1574376157</v>
      </c>
      <c r="CR185" s="207" t="str">
        <f>IFERROR(__xludf.DUMMYFUNCTION("IF(OR(CQ185&gt;$BS185+$BT185*$BT$2,CQ185&lt;$BS185-$BT185*$BT$2),AVEDEV(ARRAYFORMULA(XLOOKUP(FILTER(INDIRECT(""'""&amp;CQ$1&amp;""'!$C$4:$C$66""),INDIRECT(""'""&amp;CQ$1&amp;""'!$D$4:$D$66"")=CQ$2),$G$3:$BQ$3,$G185:$BQ185))),"""")"),"")</f>
        <v/>
      </c>
      <c r="CS185" s="251">
        <f>IFERROR(__xludf.DUMMYFUNCTION("AVERAGE(ARRAYFORMULA(XLOOKUP(FILTER(INDIRECT(""'""&amp;CS$1&amp;""'!$C$4:$C$66""),INDIRECT(""'""&amp;CS$1&amp;""'!$D$4:$D$66"")=CS$2),$G$3:$BQ$3,$G185:$BQ185)))"),2.0311979166666667)</f>
        <v>2.031197917</v>
      </c>
      <c r="CT185" s="207">
        <f>IFERROR(__xludf.DUMMYFUNCTION("IF(OR(CS185&gt;$BS185+$BT185*$BT$2,CS185&lt;$BS185-$BT185*$BT$2),AVEDEV(ARRAYFORMULA(XLOOKUP(FILTER(INDIRECT(""'""&amp;CS$1&amp;""'!$C$4:$C$66""),INDIRECT(""'""&amp;CS$1&amp;""'!$D$4:$D$66"")=CS$2),$G$3:$BQ$3,$G185:$BQ185))),"""")"),0.9643431874074072)</f>
        <v>0.9643431874</v>
      </c>
      <c r="CU185" s="251">
        <f>IFERROR(__xludf.DUMMYFUNCTION("AVERAGE(ARRAYFORMULA(XLOOKUP(FILTER(INDIRECT(""'""&amp;CU$1&amp;""'!$C$4:$C$66""),INDIRECT(""'""&amp;CU$1&amp;""'!$D$4:$D$66"")=CU$2),$G$3:$BQ$3,$G185:$BQ185)))"),0.4007502936363636)</f>
        <v>0.4007502936</v>
      </c>
      <c r="CV185" s="207" t="str">
        <f>IFERROR(__xludf.DUMMYFUNCTION("IF(OR(CU185&gt;$BS185+$BT185*$BT$2,CU185&lt;$BS185-$BT185*$BT$2),AVEDEV(ARRAYFORMULA(XLOOKUP(FILTER(INDIRECT(""'""&amp;CU$1&amp;""'!$C$4:$C$66""),INDIRECT(""'""&amp;CU$1&amp;""'!$D$4:$D$66"")=CU$2),$G$3:$BQ$3,$G185:$BQ185))),"""")"),"")</f>
        <v/>
      </c>
      <c r="CW185" s="251">
        <f>IFERROR(__xludf.DUMMYFUNCTION("AVERAGE(ARRAYFORMULA(XLOOKUP(FILTER(INDIRECT(""'""&amp;CW$1&amp;""'!$C$4:$C$66""),INDIRECT(""'""&amp;CW$1&amp;""'!$D$4:$D$66"")=CW$2),$G$3:$BQ$3,$G185:$BQ185)))"),0.0)</f>
        <v>0</v>
      </c>
      <c r="CX185" s="207" t="str">
        <f>IFERROR(__xludf.DUMMYFUNCTION("IF(OR(CW185&gt;$BS185+$BT185*$BT$2,CW185&lt;$BS185-$BT185*$BT$2),AVEDEV(ARRAYFORMULA(XLOOKUP(FILTER(INDIRECT(""'""&amp;CW$1&amp;""'!$C$4:$C$66""),INDIRECT(""'""&amp;CW$1&amp;""'!$D$4:$D$66"")=CW$2),$G$3:$BQ$3,$G185:$BQ185))),"""")"),"")</f>
        <v/>
      </c>
      <c r="CY185" s="251">
        <f>IFERROR(__xludf.DUMMYFUNCTION("AVERAGE(ARRAYFORMULA(XLOOKUP(FILTER(INDIRECT(""'""&amp;CY$1&amp;""'!$C$4:$C$66""),INDIRECT(""'""&amp;CY$1&amp;""'!$D$4:$D$66"")=CY$2),$G$3:$BQ$3,$G185:$BQ185)))"),0.8613849271428572)</f>
        <v>0.8613849271</v>
      </c>
      <c r="CZ185" s="207" t="str">
        <f>IFERROR(__xludf.DUMMYFUNCTION("IF(OR(CY185&gt;$BS185+$BT185*$BT$2,CY185&lt;$BS185-$BT185*$BT$2),AVEDEV(ARRAYFORMULA(XLOOKUP(FILTER(INDIRECT(""'""&amp;CY$1&amp;""'!$C$4:$C$66""),INDIRECT(""'""&amp;CY$1&amp;""'!$D$4:$D$66"")=CY$2),$G$3:$BQ$3,$G185:$BQ185))),"""")"),"")</f>
        <v/>
      </c>
      <c r="DA185" s="252"/>
      <c r="DB185" s="251">
        <f>IFERROR(__xludf.DUMMYFUNCTION("AVERAGE(ARRAYFORMULA(XLOOKUP(FILTER(INDIRECT(""'""&amp;DB$1&amp;""'!$C$4:$C$66""),INDIRECT(""'""&amp;DB$1&amp;""'!$D$4:$D$66"")=DB$2),$G$3:$BQ$3,$G185:$BQ185)))"),0.5238188536666667)</f>
        <v>0.5238188537</v>
      </c>
      <c r="DC185" s="207" t="str">
        <f>IFERROR(__xludf.DUMMYFUNCTION("IF(OR(DB185&gt;$BS185+$BT185*$BT$2,DB185&lt;$BS185-$BT185*$BT$2),AVEDEV(ARRAYFORMULA(XLOOKUP(FILTER(INDIRECT(""'""&amp;DB$1&amp;""'!$C$4:$C$66""),INDIRECT(""'""&amp;DB$1&amp;""'!$D$4:$D$66"")=DB$2),$G$3:$BQ$3,$G185:$BQ185))),"""")"),"")</f>
        <v/>
      </c>
      <c r="DD185" s="251">
        <f>IFERROR(__xludf.DUMMYFUNCTION("AVERAGE(ARRAYFORMULA(XLOOKUP(FILTER(INDIRECT(""'""&amp;DD$1&amp;""'!$C$4:$C$66""),INDIRECT(""'""&amp;DD$1&amp;""'!$D$4:$D$66"")=DD$2),$G$3:$BQ$3,$G185:$BQ185)))"),1.7364027844444445)</f>
        <v>1.736402784</v>
      </c>
      <c r="DE185" s="207">
        <f>IFERROR(__xludf.DUMMYFUNCTION("IF(OR(DD185&gt;$BS185+$BT185*$BT$2,DD185&lt;$BS185-$BT185*$BT$2),AVEDEV(ARRAYFORMULA(XLOOKUP(FILTER(INDIRECT(""'""&amp;DD$1&amp;""'!$C$4:$C$66""),INDIRECT(""'""&amp;DD$1&amp;""'!$D$4:$D$66"")=DD$2),$G$3:$BQ$3,$G185:$BQ185))),"""")"),1.2263833049382715)</f>
        <v>1.226383305</v>
      </c>
      <c r="DF185" s="251">
        <f>IFERROR(__xludf.DUMMYFUNCTION("AVERAGE(ARRAYFORMULA(XLOOKUP(FILTER(INDIRECT(""'""&amp;DF$1&amp;""'!$C$4:$C$66""),INDIRECT(""'""&amp;DF$1&amp;""'!$D$4:$D$66"")=DF$2),$G$3:$BQ$3,$G185:$BQ185)))"),0.045919305)</f>
        <v>0.045919305</v>
      </c>
      <c r="DG185" s="207" t="str">
        <f>IFERROR(__xludf.DUMMYFUNCTION("IF(OR(DF185&gt;$BS185+$BT185*$BT$2,DF185&lt;$BS185-$BT185*$BT$2),AVEDEV(ARRAYFORMULA(XLOOKUP(FILTER(INDIRECT(""'""&amp;DF$1&amp;""'!$C$4:$C$66""),INDIRECT(""'""&amp;DF$1&amp;""'!$D$4:$D$66"")=DF$2),$G$3:$BQ$3,$G185:$BQ185))),"""")"),"")</f>
        <v/>
      </c>
      <c r="DH185" s="251">
        <f>IFERROR(__xludf.DUMMYFUNCTION("AVERAGE(ARRAYFORMULA(XLOOKUP(FILTER(INDIRECT(""'""&amp;DH$1&amp;""'!$C$4:$C$66""),INDIRECT(""'""&amp;DH$1&amp;""'!$D$4:$D$66"")=DH$2),$G$3:$BQ$3,$G185:$BQ185)))"),0.872806928888889)</f>
        <v>0.8728069289</v>
      </c>
      <c r="DI185" s="207" t="str">
        <f>IFERROR(__xludf.DUMMYFUNCTION("IF(OR(DH185&gt;$BS185+$BT185*$BT$2,DH185&lt;$BS185-$BT185*$BT$2),AVEDEV(ARRAYFORMULA(XLOOKUP(FILTER(INDIRECT(""'""&amp;DH$1&amp;""'!$C$4:$C$66""),INDIRECT(""'""&amp;DH$1&amp;""'!$D$4:$D$66"")=DH$2),$G$3:$BQ$3,$G185:$BQ185))),"""")"),"")</f>
        <v/>
      </c>
      <c r="DJ185" s="243"/>
    </row>
    <row r="186">
      <c r="A186" s="2"/>
      <c r="B186" s="204">
        <v>182.0</v>
      </c>
      <c r="C186" s="204" t="s">
        <v>601</v>
      </c>
      <c r="D186" s="204" t="s">
        <v>629</v>
      </c>
      <c r="E186" s="205" t="b">
        <f>VLOOKUP(D186,'Feature Set List'!A183:C246,2,0)</f>
        <v>1</v>
      </c>
      <c r="F186" s="205" t="b">
        <f>VLOOKUP(D186,'Feature Set List'!A183:C246,3,0)</f>
        <v>0</v>
      </c>
      <c r="G186" s="205">
        <v>0.57142857</v>
      </c>
      <c r="H186" s="205">
        <v>-0.0714286</v>
      </c>
      <c r="I186" s="205">
        <v>-0.2857143</v>
      </c>
      <c r="J186" s="205">
        <v>0.08171429</v>
      </c>
      <c r="K186" s="205">
        <v>0.28571429</v>
      </c>
      <c r="L186" s="205">
        <v>0.762</v>
      </c>
      <c r="M186" s="205">
        <v>-0.5714286</v>
      </c>
      <c r="N186" s="205">
        <v>-0.4285714</v>
      </c>
      <c r="O186" s="205">
        <v>-0.3265714</v>
      </c>
      <c r="P186" s="205">
        <v>-0.7345714</v>
      </c>
      <c r="Q186" s="205">
        <v>0.762</v>
      </c>
      <c r="R186" s="205">
        <v>-0.0714286</v>
      </c>
      <c r="S186" s="205">
        <v>-0.1905714</v>
      </c>
      <c r="T186" s="205">
        <v>0.28571429</v>
      </c>
      <c r="U186" s="205">
        <v>-0.508</v>
      </c>
      <c r="V186" s="205">
        <v>1.0</v>
      </c>
      <c r="W186" s="205">
        <v>0.28571429</v>
      </c>
      <c r="X186" s="205">
        <v>-0.6665714</v>
      </c>
      <c r="Y186" s="205">
        <v>0.28571429</v>
      </c>
      <c r="Z186" s="205">
        <v>-0.0714286</v>
      </c>
      <c r="AA186" s="205">
        <v>-0.4285714</v>
      </c>
      <c r="AB186" s="205">
        <v>0.28571429</v>
      </c>
      <c r="AC186" s="205">
        <v>0.57142857</v>
      </c>
      <c r="AD186" s="205">
        <v>-0.4285714</v>
      </c>
      <c r="AE186" s="205">
        <v>1.0</v>
      </c>
      <c r="AF186" s="205">
        <v>0.28571429</v>
      </c>
      <c r="AG186" s="205">
        <v>0.28571429</v>
      </c>
      <c r="AH186" s="205">
        <v>-0.0714286</v>
      </c>
      <c r="AI186" s="205">
        <v>0.0</v>
      </c>
      <c r="AJ186" s="205">
        <v>0.0</v>
      </c>
      <c r="AK186" s="205">
        <v>0.762</v>
      </c>
      <c r="AL186" s="205">
        <v>0.762</v>
      </c>
      <c r="AM186" s="205">
        <v>1.0</v>
      </c>
      <c r="AN186" s="205">
        <v>-0.4285714</v>
      </c>
      <c r="AO186" s="205">
        <v>0.0</v>
      </c>
      <c r="AP186" s="205">
        <v>0.0</v>
      </c>
      <c r="AQ186" s="205">
        <v>0.0</v>
      </c>
      <c r="AR186" s="205">
        <v>1.71428571</v>
      </c>
      <c r="AS186" s="205">
        <v>0.57142857</v>
      </c>
      <c r="AT186" s="205">
        <v>0.08171429</v>
      </c>
      <c r="AU186" s="205">
        <v>1.71428571</v>
      </c>
      <c r="AV186" s="205">
        <v>-0.508</v>
      </c>
      <c r="AW186" s="205">
        <v>0.0</v>
      </c>
      <c r="AX186" s="205">
        <v>1.0</v>
      </c>
      <c r="AY186" s="205">
        <v>-0.4285714</v>
      </c>
      <c r="AZ186" s="205">
        <v>-0.5714286</v>
      </c>
      <c r="BA186" s="205">
        <v>-0.4285714</v>
      </c>
      <c r="BB186" s="205">
        <v>-0.1905714</v>
      </c>
      <c r="BC186" s="205">
        <v>1.0</v>
      </c>
      <c r="BD186" s="205">
        <v>-0.4834286</v>
      </c>
      <c r="BE186" s="205">
        <v>-0.2857143</v>
      </c>
      <c r="BF186" s="205">
        <v>-0.4285714</v>
      </c>
      <c r="BG186" s="205">
        <v>1.0</v>
      </c>
      <c r="BH186" s="205">
        <v>-0.4285714</v>
      </c>
      <c r="BI186" s="205">
        <v>0.762</v>
      </c>
      <c r="BJ186" s="205">
        <v>-0.4285714</v>
      </c>
      <c r="BK186" s="205">
        <v>0.28571429</v>
      </c>
      <c r="BL186" s="205">
        <v>0.762</v>
      </c>
      <c r="BM186" s="205">
        <v>0.28571429</v>
      </c>
      <c r="BN186" s="205">
        <v>-0.4834286</v>
      </c>
      <c r="BO186" s="205">
        <v>0.12685714</v>
      </c>
      <c r="BP186" s="205">
        <v>-0.1905714</v>
      </c>
      <c r="BQ186" s="205">
        <v>-0.5714286</v>
      </c>
      <c r="BR186" s="206"/>
      <c r="BS186" s="250">
        <f t="shared" si="1"/>
        <v>0.1248526105</v>
      </c>
      <c r="BT186" s="250">
        <f t="shared" si="2"/>
        <v>0.4775276951</v>
      </c>
      <c r="BU186" s="206"/>
      <c r="BV186" s="207">
        <f>IFERROR(__xludf.DUMMYFUNCTION("AVERAGE(ARRAYFORMULA(XLOOKUP(FILTER(INDIRECT(""'""&amp;BV$1&amp;""'!$C$4:$C$66""),INDIRECT(""'""&amp;BV$1&amp;""'!$D$4:$D$66"")=BV$2),$G$3:$BQ$3,$G186:$BQ186)))"),-0.18820407142857146)</f>
        <v>-0.1882040714</v>
      </c>
      <c r="BW186" s="207" t="str">
        <f>IFERROR(__xludf.DUMMYFUNCTION("IF(OR(BV186&gt;$BS186+$BT186*$BT$2,BV186&lt;$BS186-$BT186*$BT$2),AVEDEV(ARRAYFORMULA(XLOOKUP(FILTER(INDIRECT(""'""&amp;BV$1&amp;""'!$C$4:$C$66""),INDIRECT(""'""&amp;BV$1&amp;""'!$D$4:$D$66"")=BV$2),$G$3:$BQ$3,$G186:$BQ186))),"""")"),"")</f>
        <v/>
      </c>
      <c r="BX186" s="207">
        <f>IFERROR(__xludf.DUMMYFUNCTION("AVERAGE(ARRAYFORMULA(XLOOKUP(FILTER(INDIRECT(""'""&amp;BX$1&amp;""'!$C$4:$C$66""),INDIRECT(""'""&amp;BX$1&amp;""'!$D$4:$D$66"")=BX$2),$G$3:$BQ$3,$G186:$BQ186)))"),0.1852857173809524)</f>
        <v>0.1852857174</v>
      </c>
      <c r="BY186" s="207" t="str">
        <f>IFERROR(__xludf.DUMMYFUNCTION("IF(OR(BX186&gt;$BS186+$BT186*$BT$2,BX186&lt;$BS186-$BT186*$BT$2),AVEDEV(ARRAYFORMULA(XLOOKUP(FILTER(INDIRECT(""'""&amp;BX$1&amp;""'!$C$4:$C$66""),INDIRECT(""'""&amp;BX$1&amp;""'!$D$4:$D$66"")=BX$2),$G$3:$BQ$3,$G186:$BQ186))),"""")"),"")</f>
        <v/>
      </c>
      <c r="BZ186" s="207">
        <f>IFERROR(__xludf.DUMMYFUNCTION("AVERAGE(ARRAYFORMULA(XLOOKUP(FILTER(INDIRECT(""'""&amp;BZ$1&amp;""'!$C$4:$C$66""),INDIRECT(""'""&amp;BZ$1&amp;""'!$D$4:$D$66"")=BZ$2),$G$3:$BQ$3,$G186:$BQ186)))"),0.04145454727272728)</f>
        <v>0.04145454727</v>
      </c>
      <c r="CA186" s="207" t="str">
        <f>IFERROR(__xludf.DUMMYFUNCTION("IF(OR(BZ186&gt;$BS186+$BT186*$BT$2,BZ186&lt;$BS186-$BT186*$BT$2),AVEDEV(ARRAYFORMULA(XLOOKUP(FILTER(INDIRECT(""'""&amp;BZ$1&amp;""'!$C$4:$C$66""),INDIRECT(""'""&amp;BZ$1&amp;""'!$D$4:$D$66"")=BZ$2),$G$3:$BQ$3,$G186:$BQ186))),"""")"),"")</f>
        <v/>
      </c>
      <c r="CB186" s="209"/>
      <c r="CC186" s="207">
        <f>IFERROR(__xludf.DUMMYFUNCTION("AVERAGE(ARRAYFORMULA(XLOOKUP(FILTER(INDIRECT(""'""&amp;CC$1&amp;""'!$C$4:$C$66""),INDIRECT(""'""&amp;CC$1&amp;""'!$D$4:$D$66"")=CC$2),$G$3:$BQ$3,$G186:$BQ186)))"),0.1168571475)</f>
        <v>0.1168571475</v>
      </c>
      <c r="CD186" s="207" t="str">
        <f>IFERROR(__xludf.DUMMYFUNCTION("IF(OR(CC186&gt;$BS186+$BT186*$BT$2,CC186&lt;$BS186-$BT186*$BT$2),AVEDEV(ARRAYFORMULA(XLOOKUP(FILTER(INDIRECT(""'""&amp;CC$1&amp;""'!$C$4:$C$66""),INDIRECT(""'""&amp;CC$1&amp;""'!$D$4:$D$66"")=CC$2),$G$3:$BQ$3,$G186:$BQ186))),"""")"),"")</f>
        <v/>
      </c>
      <c r="CE186" s="207">
        <f>IFERROR(__xludf.DUMMYFUNCTION("AVERAGE(ARRAYFORMULA(XLOOKUP(FILTER(INDIRECT(""'""&amp;CE$1&amp;""'!$C$4:$C$66""),INDIRECT(""'""&amp;CE$1&amp;""'!$D$4:$D$66"")=CE$2),$G$3:$BQ$3,$G186:$BQ186)))"),0.018165900645161298)</f>
        <v>0.01816590065</v>
      </c>
      <c r="CF186" s="207" t="str">
        <f>IFERROR(__xludf.DUMMYFUNCTION("IF(OR(CE186&gt;$BS186+$BT186*$BT$2,CE186&lt;$BS186-$BT186*$BT$2),AVEDEV(ARRAYFORMULA(XLOOKUP(FILTER(INDIRECT(""'""&amp;CE$1&amp;""'!$C$4:$C$66""),INDIRECT(""'""&amp;CE$1&amp;""'!$D$4:$D$66"")=CE$2),$G$3:$BQ$3,$G186:$BQ186))),"""")"),"")</f>
        <v/>
      </c>
      <c r="CG186" s="207">
        <f>IFERROR(__xludf.DUMMYFUNCTION("AVERAGE(ARRAYFORMULA(XLOOKUP(FILTER(INDIRECT(""'""&amp;CG$1&amp;""'!$C$4:$C$66""),INDIRECT(""'""&amp;CG$1&amp;""'!$D$4:$D$66"")=CG$2),$G$3:$BQ$3,$G186:$BQ186)))"),0.138800012)</f>
        <v>0.138800012</v>
      </c>
      <c r="CH186" s="207" t="str">
        <f>IFERROR(__xludf.DUMMYFUNCTION("IF(OR(CG186&gt;$BS186+$BT186*$BT$2,CG186&lt;$BS186-$BT186*$BT$2),AVEDEV(ARRAYFORMULA(XLOOKUP(FILTER(INDIRECT(""'""&amp;CG$1&amp;""'!$C$4:$C$66""),INDIRECT(""'""&amp;CG$1&amp;""'!$D$4:$D$66"")=CG$2),$G$3:$BQ$3,$G186:$BQ186))),"""")"),"")</f>
        <v/>
      </c>
      <c r="CI186" s="206"/>
      <c r="CJ186" s="251">
        <f>IFERROR(__xludf.DUMMYFUNCTION("AVERAGE(ARRAYFORMULA(XLOOKUP(FILTER(INDIRECT(""'""&amp;CJ$1&amp;""'!$C$4:$C$66""),INDIRECT(""'""&amp;CJ$1&amp;""'!$D$4:$D$66"")=CJ$2),$G$3:$BQ$3,$G186:$BQ186)))"),0.041942862666666664)</f>
        <v>0.04194286267</v>
      </c>
      <c r="CK186" s="207" t="str">
        <f>IFERROR(__xludf.DUMMYFUNCTION("IF(OR(CJ186&gt;$BS186+$BT186*$BT$2,CJ186&lt;$BS186-$BT186*$BT$2),AVEDEV(ARRAYFORMULA(XLOOKUP(FILTER(INDIRECT(""'""&amp;CJ$1&amp;""'!$C$4:$C$66""),INDIRECT(""'""&amp;CJ$1&amp;""'!$D$4:$D$66"")=CJ$2),$G$3:$BQ$3,$G186:$BQ186))),"""")"),"")</f>
        <v/>
      </c>
      <c r="CL186" s="251">
        <f>IFERROR(__xludf.DUMMYFUNCTION("AVERAGE(ARRAYFORMULA(XLOOKUP(FILTER(INDIRECT(""'""&amp;CL$1&amp;""'!$C$4:$C$66""),INDIRECT(""'""&amp;CL$1&amp;""'!$D$4:$D$66"")=CL$2),$G$3:$BQ$3,$G186:$BQ186)))"),0.12398535000000002)</f>
        <v>0.12398535</v>
      </c>
      <c r="CM186" s="207" t="str">
        <f>IFERROR(__xludf.DUMMYFUNCTION("IF(OR(CL186&gt;$BS186+$BT186*$BT$2,CL186&lt;$BS186-$BT186*$BT$2),AVEDEV(ARRAYFORMULA(XLOOKUP(FILTER(INDIRECT(""'""&amp;CL$1&amp;""'!$C$4:$C$66""),INDIRECT(""'""&amp;CL$1&amp;""'!$D$4:$D$66"")=CL$2),$G$3:$BQ$3,$G186:$BQ186))),"""")"),"")</f>
        <v/>
      </c>
      <c r="CN186" s="251">
        <f>IFERROR(__xludf.DUMMYFUNCTION("AVERAGE(ARRAYFORMULA(XLOOKUP(FILTER(INDIRECT(""'""&amp;CN$1&amp;""'!$C$4:$C$66""),INDIRECT(""'""&amp;CN$1&amp;""'!$D$4:$D$66"")=CN$2),$G$3:$BQ$3,$G186:$BQ186)))"),0.138800012)</f>
        <v>0.138800012</v>
      </c>
      <c r="CO186" s="207" t="str">
        <f>IFERROR(__xludf.DUMMYFUNCTION("IF(OR(CN186&gt;$BS186+$BT186*$BT$2,CN186&lt;$BS186-$BT186*$BT$2),AVEDEV(ARRAYFORMULA(XLOOKUP(FILTER(INDIRECT(""'""&amp;CN$1&amp;""'!$C$4:$C$66""),INDIRECT(""'""&amp;CN$1&amp;""'!$D$4:$D$66"")=CN$2),$G$3:$BQ$3,$G186:$BQ186))),"""")"),"")</f>
        <v/>
      </c>
      <c r="CP186" s="252"/>
      <c r="CQ186" s="251">
        <f>IFERROR(__xludf.DUMMYFUNCTION("AVERAGE(ARRAYFORMULA(XLOOKUP(FILTER(INDIRECT(""'""&amp;CQ$1&amp;""'!$C$4:$C$66""),INDIRECT(""'""&amp;CQ$1&amp;""'!$D$4:$D$66"")=CQ$2),$G$3:$BQ$3,$G186:$BQ186)))"),0.23204081928571427)</f>
        <v>0.2320408193</v>
      </c>
      <c r="CR186" s="207" t="str">
        <f>IFERROR(__xludf.DUMMYFUNCTION("IF(OR(CQ186&gt;$BS186+$BT186*$BT$2,CQ186&lt;$BS186-$BT186*$BT$2),AVEDEV(ARRAYFORMULA(XLOOKUP(FILTER(INDIRECT(""'""&amp;CQ$1&amp;""'!$C$4:$C$66""),INDIRECT(""'""&amp;CQ$1&amp;""'!$D$4:$D$66"")=CQ$2),$G$3:$BQ$3,$G186:$BQ186))),"""")"),"")</f>
        <v/>
      </c>
      <c r="CS186" s="251">
        <f>IFERROR(__xludf.DUMMYFUNCTION("AVERAGE(ARRAYFORMULA(XLOOKUP(FILTER(INDIRECT(""'""&amp;CS$1&amp;""'!$C$4:$C$66""),INDIRECT(""'""&amp;CS$1&amp;""'!$D$4:$D$66"")=CS$2),$G$3:$BQ$3,$G186:$BQ186)))"),0.08241270333333335)</f>
        <v>0.08241270333</v>
      </c>
      <c r="CT186" s="207" t="str">
        <f>IFERROR(__xludf.DUMMYFUNCTION("IF(OR(CS186&gt;$BS186+$BT186*$BT$2,CS186&lt;$BS186-$BT186*$BT$2),AVEDEV(ARRAYFORMULA(XLOOKUP(FILTER(INDIRECT(""'""&amp;CS$1&amp;""'!$C$4:$C$66""),INDIRECT(""'""&amp;CS$1&amp;""'!$D$4:$D$66"")=CS$2),$G$3:$BQ$3,$G186:$BQ186))),"""")"),"")</f>
        <v/>
      </c>
      <c r="CU186" s="251">
        <f>IFERROR(__xludf.DUMMYFUNCTION("AVERAGE(ARRAYFORMULA(XLOOKUP(FILTER(INDIRECT(""'""&amp;CU$1&amp;""'!$C$4:$C$66""),INDIRECT(""'""&amp;CU$1&amp;""'!$D$4:$D$66"")=CU$2),$G$3:$BQ$3,$G186:$BQ186)))"),0.11779220818181818)</f>
        <v>0.1177922082</v>
      </c>
      <c r="CV186" s="207" t="str">
        <f>IFERROR(__xludf.DUMMYFUNCTION("IF(OR(CU186&gt;$BS186+$BT186*$BT$2,CU186&lt;$BS186-$BT186*$BT$2),AVEDEV(ARRAYFORMULA(XLOOKUP(FILTER(INDIRECT(""'""&amp;CU$1&amp;""'!$C$4:$C$66""),INDIRECT(""'""&amp;CU$1&amp;""'!$D$4:$D$66"")=CU$2),$G$3:$BQ$3,$G186:$BQ186))),"""")"),"")</f>
        <v/>
      </c>
      <c r="CW186" s="251">
        <f>IFERROR(__xludf.DUMMYFUNCTION("AVERAGE(ARRAYFORMULA(XLOOKUP(FILTER(INDIRECT(""'""&amp;CW$1&amp;""'!$C$4:$C$66""),INDIRECT(""'""&amp;CW$1&amp;""'!$D$4:$D$66"")=CW$2),$G$3:$BQ$3,$G186:$BQ186)))"),-0.4285714)</f>
        <v>-0.4285714</v>
      </c>
      <c r="CX186" s="207">
        <f>IFERROR(__xludf.DUMMYFUNCTION("IF(OR(CW186&gt;$BS186+$BT186*$BT$2,CW186&lt;$BS186-$BT186*$BT$2),AVEDEV(ARRAYFORMULA(XLOOKUP(FILTER(INDIRECT(""'""&amp;CW$1&amp;""'!$C$4:$C$66""),INDIRECT(""'""&amp;CW$1&amp;""'!$D$4:$D$66"")=CW$2),$G$3:$BQ$3,$G186:$BQ186))),"""")"),0.0)</f>
        <v>0</v>
      </c>
      <c r="CY186" s="251">
        <f>IFERROR(__xludf.DUMMYFUNCTION("AVERAGE(ARRAYFORMULA(XLOOKUP(FILTER(INDIRECT(""'""&amp;CY$1&amp;""'!$C$4:$C$66""),INDIRECT(""'""&amp;CY$1&amp;""'!$D$4:$D$66"")=CY$2),$G$3:$BQ$3,$G186:$BQ186)))"),0.1904489792857143)</f>
        <v>0.1904489793</v>
      </c>
      <c r="CZ186" s="207" t="str">
        <f>IFERROR(__xludf.DUMMYFUNCTION("IF(OR(CY186&gt;$BS186+$BT186*$BT$2,CY186&lt;$BS186-$BT186*$BT$2),AVEDEV(ARRAYFORMULA(XLOOKUP(FILTER(INDIRECT(""'""&amp;CY$1&amp;""'!$C$4:$C$66""),INDIRECT(""'""&amp;CY$1&amp;""'!$D$4:$D$66"")=CY$2),$G$3:$BQ$3,$G186:$BQ186))),"""")"),"")</f>
        <v/>
      </c>
      <c r="DA186" s="252"/>
      <c r="DB186" s="251">
        <f>IFERROR(__xludf.DUMMYFUNCTION("AVERAGE(ARRAYFORMULA(XLOOKUP(FILTER(INDIRECT(""'""&amp;DB$1&amp;""'!$C$4:$C$66""),INDIRECT(""'""&amp;DB$1&amp;""'!$D$4:$D$66"")=DB$2),$G$3:$BQ$3,$G186:$BQ186)))"),0.22529524033333329)</f>
        <v>0.2252952403</v>
      </c>
      <c r="DC186" s="207" t="str">
        <f>IFERROR(__xludf.DUMMYFUNCTION("IF(OR(DB186&gt;$BS186+$BT186*$BT$2,DB186&lt;$BS186-$BT186*$BT$2),AVEDEV(ARRAYFORMULA(XLOOKUP(FILTER(INDIRECT(""'""&amp;DB$1&amp;""'!$C$4:$C$66""),INDIRECT(""'""&amp;DB$1&amp;""'!$D$4:$D$66"")=DB$2),$G$3:$BQ$3,$G186:$BQ186))),"""")"),"")</f>
        <v/>
      </c>
      <c r="DD186" s="251">
        <f>IFERROR(__xludf.DUMMYFUNCTION("AVERAGE(ARRAYFORMULA(XLOOKUP(FILTER(INDIRECT(""'""&amp;DD$1&amp;""'!$C$4:$C$66""),INDIRECT(""'""&amp;DD$1&amp;""'!$D$4:$D$66"")=DD$2),$G$3:$BQ$3,$G186:$BQ186)))"),-0.005777773333333335)</f>
        <v>-0.005777773333</v>
      </c>
      <c r="DE186" s="207" t="str">
        <f>IFERROR(__xludf.DUMMYFUNCTION("IF(OR(DD186&gt;$BS186+$BT186*$BT$2,DD186&lt;$BS186-$BT186*$BT$2),AVEDEV(ARRAYFORMULA(XLOOKUP(FILTER(INDIRECT(""'""&amp;DD$1&amp;""'!$C$4:$C$66""),INDIRECT(""'""&amp;DD$1&amp;""'!$D$4:$D$66"")=DD$2),$G$3:$BQ$3,$G186:$BQ186))),"""")"),"")</f>
        <v/>
      </c>
      <c r="DF186" s="251">
        <f>IFERROR(__xludf.DUMMYFUNCTION("AVERAGE(ARRAYFORMULA(XLOOKUP(FILTER(INDIRECT(""'""&amp;DF$1&amp;""'!$C$4:$C$66""),INDIRECT(""'""&amp;DF$1&amp;""'!$D$4:$D$66"")=DF$2),$G$3:$BQ$3,$G186:$BQ186)))"),-0.31564285)</f>
        <v>-0.31564285</v>
      </c>
      <c r="DG186" s="207" t="str">
        <f>IFERROR(__xludf.DUMMYFUNCTION("IF(OR(DF186&gt;$BS186+$BT186*$BT$2,DF186&lt;$BS186-$BT186*$BT$2),AVEDEV(ARRAYFORMULA(XLOOKUP(FILTER(INDIRECT(""'""&amp;DF$1&amp;""'!$C$4:$C$66""),INDIRECT(""'""&amp;DF$1&amp;""'!$D$4:$D$66"")=DF$2),$G$3:$BQ$3,$G186:$BQ186))),"""")"),"")</f>
        <v/>
      </c>
      <c r="DH186" s="251">
        <f>IFERROR(__xludf.DUMMYFUNCTION("AVERAGE(ARRAYFORMULA(XLOOKUP(FILTER(INDIRECT(""'""&amp;DH$1&amp;""'!$C$4:$C$66""),INDIRECT(""'""&amp;DH$1&amp;""'!$D$4:$D$66"")=DH$2),$G$3:$BQ$3,$G186:$BQ186)))"),0.1032380988888889)</f>
        <v>0.1032380989</v>
      </c>
      <c r="DI186" s="207" t="str">
        <f>IFERROR(__xludf.DUMMYFUNCTION("IF(OR(DH186&gt;$BS186+$BT186*$BT$2,DH186&lt;$BS186-$BT186*$BT$2),AVEDEV(ARRAYFORMULA(XLOOKUP(FILTER(INDIRECT(""'""&amp;DH$1&amp;""'!$C$4:$C$66""),INDIRECT(""'""&amp;DH$1&amp;""'!$D$4:$D$66"")=DH$2),$G$3:$BQ$3,$G186:$BQ186))),"""")"),"")</f>
        <v/>
      </c>
      <c r="DJ186" s="243"/>
    </row>
    <row r="187">
      <c r="A187" s="2"/>
      <c r="B187" s="204">
        <v>183.0</v>
      </c>
      <c r="C187" s="204" t="s">
        <v>630</v>
      </c>
      <c r="D187" s="204" t="s">
        <v>631</v>
      </c>
      <c r="E187" s="205" t="b">
        <f>VLOOKUP(D187,'Feature Set List'!A184:C246,2,0)</f>
        <v>1</v>
      </c>
      <c r="F187" s="205" t="b">
        <f>VLOOKUP(D187,'Feature Set List'!A184:C246,3,0)</f>
        <v>1</v>
      </c>
      <c r="G187" s="205">
        <v>-0.3150427</v>
      </c>
      <c r="H187" s="205">
        <v>-0.3382076</v>
      </c>
      <c r="I187" s="205">
        <v>-0.6057623</v>
      </c>
      <c r="J187" s="205">
        <v>0.04835674</v>
      </c>
      <c r="K187" s="205">
        <v>-0.8678442</v>
      </c>
      <c r="L187" s="205">
        <v>0.80787607</v>
      </c>
      <c r="M187" s="205">
        <v>1.58274215</v>
      </c>
      <c r="N187" s="205">
        <v>0.11408716</v>
      </c>
      <c r="O187" s="205">
        <v>0.53974229</v>
      </c>
      <c r="P187" s="205">
        <v>1.12176053</v>
      </c>
      <c r="Q187" s="205">
        <v>-0.8463877</v>
      </c>
      <c r="R187" s="205">
        <v>0.35905603</v>
      </c>
      <c r="S187" s="205">
        <v>2.38048357</v>
      </c>
      <c r="T187" s="205">
        <v>-0.5180252</v>
      </c>
      <c r="U187" s="205">
        <v>0.83509483</v>
      </c>
      <c r="V187" s="205">
        <v>0.64050963</v>
      </c>
      <c r="W187" s="205">
        <v>0.99232663</v>
      </c>
      <c r="X187" s="205">
        <v>0.564355</v>
      </c>
      <c r="Y187" s="205">
        <v>-0.540611</v>
      </c>
      <c r="Z187" s="205">
        <v>-0.0176632</v>
      </c>
      <c r="AA187" s="205">
        <v>-0.1815549</v>
      </c>
      <c r="AB187" s="205">
        <v>-1.1521645</v>
      </c>
      <c r="AC187" s="205">
        <v>0.04111771</v>
      </c>
      <c r="AD187" s="205">
        <v>-0.6439844</v>
      </c>
      <c r="AE187" s="205">
        <v>0.8188794</v>
      </c>
      <c r="AF187" s="205">
        <v>0.0</v>
      </c>
      <c r="AG187" s="205">
        <v>0.33299551</v>
      </c>
      <c r="AH187" s="205">
        <v>0.31591139</v>
      </c>
      <c r="AI187" s="205">
        <v>-0.0671782</v>
      </c>
      <c r="AJ187" s="205">
        <v>1.82742146</v>
      </c>
      <c r="AK187" s="205">
        <v>-0.3605038</v>
      </c>
      <c r="AL187" s="205">
        <v>-0.4502678</v>
      </c>
      <c r="AM187" s="205">
        <v>-0.0915014</v>
      </c>
      <c r="AN187" s="205">
        <v>-0.1250905</v>
      </c>
      <c r="AO187" s="205">
        <v>0.50007239</v>
      </c>
      <c r="AP187" s="205">
        <v>-0.7262198</v>
      </c>
      <c r="AQ187" s="205">
        <v>-0.0587809</v>
      </c>
      <c r="AR187" s="205">
        <v>0.1048212</v>
      </c>
      <c r="AS187" s="205">
        <v>0.12161575</v>
      </c>
      <c r="AT187" s="205">
        <v>-0.5545099</v>
      </c>
      <c r="AU187" s="205">
        <v>-1.1521645</v>
      </c>
      <c r="AV187" s="205">
        <v>0.51455046</v>
      </c>
      <c r="AW187" s="205">
        <v>0.72448241</v>
      </c>
      <c r="AX187" s="205">
        <v>0.01563631</v>
      </c>
      <c r="AY187" s="205">
        <v>0.97640075</v>
      </c>
      <c r="AZ187" s="205">
        <v>0.03300999</v>
      </c>
      <c r="BA187" s="205">
        <v>1.11249457</v>
      </c>
      <c r="BB187" s="205">
        <v>-0.0674678</v>
      </c>
      <c r="BC187" s="205">
        <v>1.52656725</v>
      </c>
      <c r="BD187" s="205">
        <v>-0.6949472</v>
      </c>
      <c r="BE187" s="205">
        <v>-0.1456493</v>
      </c>
      <c r="BF187" s="205">
        <v>-0.5953381</v>
      </c>
      <c r="BG187" s="205">
        <v>0.31185754</v>
      </c>
      <c r="BH187" s="205">
        <v>-0.6549877</v>
      </c>
      <c r="BI187" s="205">
        <v>0.16852469</v>
      </c>
      <c r="BJ187" s="205">
        <v>0.59562762</v>
      </c>
      <c r="BK187" s="205">
        <v>-0.3694802</v>
      </c>
      <c r="BL187" s="205">
        <v>-0.9607065</v>
      </c>
      <c r="BM187" s="205">
        <v>-0.3387867</v>
      </c>
      <c r="BN187" s="205">
        <v>-0.4893586</v>
      </c>
      <c r="BO187" s="205">
        <v>-0.1054003</v>
      </c>
      <c r="BP187" s="205">
        <v>-0.4456349</v>
      </c>
      <c r="BQ187" s="205">
        <v>4.09468655</v>
      </c>
      <c r="BR187" s="206"/>
      <c r="BS187" s="250">
        <f t="shared" si="1"/>
        <v>0.1530451076</v>
      </c>
      <c r="BT187" s="250">
        <f t="shared" si="2"/>
        <v>0.634010671</v>
      </c>
      <c r="BU187" s="206"/>
      <c r="BV187" s="207">
        <f>IFERROR(__xludf.DUMMYFUNCTION("AVERAGE(ARRAYFORMULA(XLOOKUP(FILTER(INDIRECT(""'""&amp;BV$1&amp;""'!$C$4:$C$66""),INDIRECT(""'""&amp;BV$1&amp;""'!$D$4:$D$66"")=BV$2),$G$3:$BQ$3,$G187:$BQ187)))"),0.24315705285714287)</f>
        <v>0.2431570529</v>
      </c>
      <c r="BW187" s="207" t="str">
        <f>IFERROR(__xludf.DUMMYFUNCTION("IF(OR(BV187&gt;$BS187+$BT187*$BT$2,BV187&lt;$BS187-$BT187*$BT$2),AVEDEV(ARRAYFORMULA(XLOOKUP(FILTER(INDIRECT(""'""&amp;BV$1&amp;""'!$C$4:$C$66""),INDIRECT(""'""&amp;BV$1&amp;""'!$D$4:$D$66"")=BV$2),$G$3:$BQ$3,$G187:$BQ187))),"""")"),"")</f>
        <v/>
      </c>
      <c r="BX187" s="207">
        <f>IFERROR(__xludf.DUMMYFUNCTION("AVERAGE(ARRAYFORMULA(XLOOKUP(FILTER(INDIRECT(""'""&amp;BX$1&amp;""'!$C$4:$C$66""),INDIRECT(""'""&amp;BX$1&amp;""'!$D$4:$D$66"")=BX$2),$G$3:$BQ$3,$G187:$BQ187)))"),0.15368743023809522)</f>
        <v>0.1536874302</v>
      </c>
      <c r="BY187" s="207" t="str">
        <f>IFERROR(__xludf.DUMMYFUNCTION("IF(OR(BX187&gt;$BS187+$BT187*$BT$2,BX187&lt;$BS187-$BT187*$BT$2),AVEDEV(ARRAYFORMULA(XLOOKUP(FILTER(INDIRECT(""'""&amp;BX$1&amp;""'!$C$4:$C$66""),INDIRECT(""'""&amp;BX$1&amp;""'!$D$4:$D$66"")=BX$2),$G$3:$BQ$3,$G187:$BQ187))),"""")"),"")</f>
        <v/>
      </c>
      <c r="BZ187" s="207">
        <f>IFERROR(__xludf.DUMMYFUNCTION("AVERAGE(ARRAYFORMULA(XLOOKUP(FILTER(INDIRECT(""'""&amp;BZ$1&amp;""'!$C$4:$C$66""),INDIRECT(""'""&amp;BZ$1&amp;""'!$D$4:$D$66"")=BZ$2),$G$3:$BQ$3,$G187:$BQ187)))"),0.3579767581818181)</f>
        <v>0.3579767582</v>
      </c>
      <c r="CA187" s="207" t="str">
        <f>IFERROR(__xludf.DUMMYFUNCTION("IF(OR(BZ187&gt;$BS187+$BT187*$BT$2,BZ187&lt;$BS187-$BT187*$BT$2),AVEDEV(ARRAYFORMULA(XLOOKUP(FILTER(INDIRECT(""'""&amp;BZ$1&amp;""'!$C$4:$C$66""),INDIRECT(""'""&amp;BZ$1&amp;""'!$D$4:$D$66"")=BZ$2),$G$3:$BQ$3,$G187:$BQ187))),"""")"),"")</f>
        <v/>
      </c>
      <c r="CB187" s="209"/>
      <c r="CC187" s="207">
        <f>IFERROR(__xludf.DUMMYFUNCTION("AVERAGE(ARRAYFORMULA(XLOOKUP(FILTER(INDIRECT(""'""&amp;CC$1&amp;""'!$C$4:$C$66""),INDIRECT(""'""&amp;CC$1&amp;""'!$D$4:$D$66"")=CC$2),$G$3:$BQ$3,$G187:$BQ187)))"),-0.007602788749999995)</f>
        <v>-0.00760278875</v>
      </c>
      <c r="CD187" s="207" t="str">
        <f>IFERROR(__xludf.DUMMYFUNCTION("IF(OR(CC187&gt;$BS187+$BT187*$BT$2,CC187&lt;$BS187-$BT187*$BT$2),AVEDEV(ARRAYFORMULA(XLOOKUP(FILTER(INDIRECT(""'""&amp;CC$1&amp;""'!$C$4:$C$66""),INDIRECT(""'""&amp;CC$1&amp;""'!$D$4:$D$66"")=CC$2),$G$3:$BQ$3,$G187:$BQ187))),"""")"),"")</f>
        <v/>
      </c>
      <c r="CE187" s="207">
        <f>IFERROR(__xludf.DUMMYFUNCTION("AVERAGE(ARRAYFORMULA(XLOOKUP(FILTER(INDIRECT(""'""&amp;CE$1&amp;""'!$C$4:$C$66""),INDIRECT(""'""&amp;CE$1&amp;""'!$D$4:$D$66"")=CE$2),$G$3:$BQ$3,$G187:$BQ187)))"),0.34199059709677415)</f>
        <v>0.3419905971</v>
      </c>
      <c r="CF187" s="207" t="str">
        <f>IFERROR(__xludf.DUMMYFUNCTION("IF(OR(CE187&gt;$BS187+$BT187*$BT$2,CE187&lt;$BS187-$BT187*$BT$2),AVEDEV(ARRAYFORMULA(XLOOKUP(FILTER(INDIRECT(""'""&amp;CE$1&amp;""'!$C$4:$C$66""),INDIRECT(""'""&amp;CE$1&amp;""'!$D$4:$D$66"")=CE$2),$G$3:$BQ$3,$G187:$BQ187))),"""")"),"")</f>
        <v/>
      </c>
      <c r="CG187" s="207">
        <f>IFERROR(__xludf.DUMMYFUNCTION("AVERAGE(ARRAYFORMULA(XLOOKUP(FILTER(INDIRECT(""'""&amp;CG$1&amp;""'!$C$4:$C$66""),INDIRECT(""'""&amp;CG$1&amp;""'!$D$4:$D$66"")=CG$2),$G$3:$BQ$3,$G187:$BQ187)))"),0.42994063800000004)</f>
        <v>0.429940638</v>
      </c>
      <c r="CH187" s="207" t="str">
        <f>IFERROR(__xludf.DUMMYFUNCTION("IF(OR(CG187&gt;$BS187+$BT187*$BT$2,CG187&lt;$BS187-$BT187*$BT$2),AVEDEV(ARRAYFORMULA(XLOOKUP(FILTER(INDIRECT(""'""&amp;CG$1&amp;""'!$C$4:$C$66""),INDIRECT(""'""&amp;CG$1&amp;""'!$D$4:$D$66"")=CG$2),$G$3:$BQ$3,$G187:$BQ187))),"""")"),"")</f>
        <v/>
      </c>
      <c r="CI187" s="206"/>
      <c r="CJ187" s="251">
        <f>IFERROR(__xludf.DUMMYFUNCTION("AVERAGE(ARRAYFORMULA(XLOOKUP(FILTER(INDIRECT(""'""&amp;CJ$1&amp;""'!$C$4:$C$66""),INDIRECT(""'""&amp;CJ$1&amp;""'!$D$4:$D$66"")=CJ$2),$G$3:$BQ$3,$G187:$BQ187)))"),-0.047449440666666676)</f>
        <v>-0.04744944067</v>
      </c>
      <c r="CK187" s="207" t="str">
        <f>IFERROR(__xludf.DUMMYFUNCTION("IF(OR(CJ187&gt;$BS187+$BT187*$BT$2,CJ187&lt;$BS187-$BT187*$BT$2),AVEDEV(ARRAYFORMULA(XLOOKUP(FILTER(INDIRECT(""'""&amp;CJ$1&amp;""'!$C$4:$C$66""),INDIRECT(""'""&amp;CJ$1&amp;""'!$D$4:$D$66"")=CJ$2),$G$3:$BQ$3,$G187:$BQ187))),"""")"),"")</f>
        <v/>
      </c>
      <c r="CL187" s="251">
        <f>IFERROR(__xludf.DUMMYFUNCTION("AVERAGE(ARRAYFORMULA(XLOOKUP(FILTER(INDIRECT(""'""&amp;CL$1&amp;""'!$C$4:$C$66""),INDIRECT(""'""&amp;CL$1&amp;""'!$D$4:$D$66"")=CL$2),$G$3:$BQ$3,$G187:$BQ187)))"),0.2978836076923076)</f>
        <v>0.2978836077</v>
      </c>
      <c r="CM187" s="207" t="str">
        <f>IFERROR(__xludf.DUMMYFUNCTION("IF(OR(CL187&gt;$BS187+$BT187*$BT$2,CL187&lt;$BS187-$BT187*$BT$2),AVEDEV(ARRAYFORMULA(XLOOKUP(FILTER(INDIRECT(""'""&amp;CL$1&amp;""'!$C$4:$C$66""),INDIRECT(""'""&amp;CL$1&amp;""'!$D$4:$D$66"")=CL$2),$G$3:$BQ$3,$G187:$BQ187))),"""")"),"")</f>
        <v/>
      </c>
      <c r="CN187" s="251">
        <f>IFERROR(__xludf.DUMMYFUNCTION("AVERAGE(ARRAYFORMULA(XLOOKUP(FILTER(INDIRECT(""'""&amp;CN$1&amp;""'!$C$4:$C$66""),INDIRECT(""'""&amp;CN$1&amp;""'!$D$4:$D$66"")=CN$2),$G$3:$BQ$3,$G187:$BQ187)))"),0.42994063800000004)</f>
        <v>0.429940638</v>
      </c>
      <c r="CO187" s="207" t="str">
        <f>IFERROR(__xludf.DUMMYFUNCTION("IF(OR(CN187&gt;$BS187+$BT187*$BT$2,CN187&lt;$BS187-$BT187*$BT$2),AVEDEV(ARRAYFORMULA(XLOOKUP(FILTER(INDIRECT(""'""&amp;CN$1&amp;""'!$C$4:$C$66""),INDIRECT(""'""&amp;CN$1&amp;""'!$D$4:$D$66"")=CN$2),$G$3:$BQ$3,$G187:$BQ187))),"""")"),"")</f>
        <v/>
      </c>
      <c r="CP187" s="252"/>
      <c r="CQ187" s="251">
        <f>IFERROR(__xludf.DUMMYFUNCTION("AVERAGE(ARRAYFORMULA(XLOOKUP(FILTER(INDIRECT(""'""&amp;CQ$1&amp;""'!$C$4:$C$66""),INDIRECT(""'""&amp;CQ$1&amp;""'!$D$4:$D$66"")=CQ$2),$G$3:$BQ$3,$G187:$BQ187)))"),-0.020476110714285713)</f>
        <v>-0.02047611071</v>
      </c>
      <c r="CR187" s="207" t="str">
        <f>IFERROR(__xludf.DUMMYFUNCTION("IF(OR(CQ187&gt;$BS187+$BT187*$BT$2,CQ187&lt;$BS187-$BT187*$BT$2),AVEDEV(ARRAYFORMULA(XLOOKUP(FILTER(INDIRECT(""'""&amp;CQ$1&amp;""'!$C$4:$C$66""),INDIRECT(""'""&amp;CQ$1&amp;""'!$D$4:$D$66"")=CQ$2),$G$3:$BQ$3,$G187:$BQ187))),"""")"),"")</f>
        <v/>
      </c>
      <c r="CS187" s="251">
        <f>IFERROR(__xludf.DUMMYFUNCTION("AVERAGE(ARRAYFORMULA(XLOOKUP(FILTER(INDIRECT(""'""&amp;CS$1&amp;""'!$C$4:$C$66""),INDIRECT(""'""&amp;CS$1&amp;""'!$D$4:$D$66"")=CS$2),$G$3:$BQ$3,$G187:$BQ187)))"),0.4715023388888888)</f>
        <v>0.4715023389</v>
      </c>
      <c r="CT187" s="207" t="str">
        <f>IFERROR(__xludf.DUMMYFUNCTION("IF(OR(CS187&gt;$BS187+$BT187*$BT$2,CS187&lt;$BS187-$BT187*$BT$2),AVEDEV(ARRAYFORMULA(XLOOKUP(FILTER(INDIRECT(""'""&amp;CS$1&amp;""'!$C$4:$C$66""),INDIRECT(""'""&amp;CS$1&amp;""'!$D$4:$D$66"")=CS$2),$G$3:$BQ$3,$G187:$BQ187))),"""")"),"")</f>
        <v/>
      </c>
      <c r="CU187" s="251">
        <f>IFERROR(__xludf.DUMMYFUNCTION("AVERAGE(ARRAYFORMULA(XLOOKUP(FILTER(INDIRECT(""'""&amp;CU$1&amp;""'!$C$4:$C$66""),INDIRECT(""'""&amp;CU$1&amp;""'!$D$4:$D$66"")=CU$2),$G$3:$BQ$3,$G187:$BQ187)))"),0.1374363327272727)</f>
        <v>0.1374363327</v>
      </c>
      <c r="CV187" s="207" t="str">
        <f>IFERROR(__xludf.DUMMYFUNCTION("IF(OR(CU187&gt;$BS187+$BT187*$BT$2,CU187&lt;$BS187-$BT187*$BT$2),AVEDEV(ARRAYFORMULA(XLOOKUP(FILTER(INDIRECT(""'""&amp;CU$1&amp;""'!$C$4:$C$66""),INDIRECT(""'""&amp;CU$1&amp;""'!$D$4:$D$66"")=CU$2),$G$3:$BQ$3,$G187:$BQ187))),"""")"),"")</f>
        <v/>
      </c>
      <c r="CW187" s="251">
        <f>IFERROR(__xludf.DUMMYFUNCTION("AVERAGE(ARRAYFORMULA(XLOOKUP(FILTER(INDIRECT(""'""&amp;CW$1&amp;""'!$C$4:$C$66""),INDIRECT(""'""&amp;CW$1&amp;""'!$D$4:$D$66"")=CW$2),$G$3:$BQ$3,$G187:$BQ187)))"),-0.6494860499999999)</f>
        <v>-0.64948605</v>
      </c>
      <c r="CX187" s="207">
        <f>IFERROR(__xludf.DUMMYFUNCTION("IF(OR(CW187&gt;$BS187+$BT187*$BT$2,CW187&lt;$BS187-$BT187*$BT$2),AVEDEV(ARRAYFORMULA(XLOOKUP(FILTER(INDIRECT(""'""&amp;CW$1&amp;""'!$C$4:$C$66""),INDIRECT(""'""&amp;CW$1&amp;""'!$D$4:$D$66"")=CW$2),$G$3:$BQ$3,$G187:$BQ187))),"""")"),0.005501649999999969)</f>
        <v>0.00550165</v>
      </c>
      <c r="CY187" s="251">
        <f>IFERROR(__xludf.DUMMYFUNCTION("AVERAGE(ARRAYFORMULA(XLOOKUP(FILTER(INDIRECT(""'""&amp;CY$1&amp;""'!$C$4:$C$66""),INDIRECT(""'""&amp;CY$1&amp;""'!$D$4:$D$66"")=CY$2),$G$3:$BQ$3,$G187:$BQ187)))"),0.5219963214285713)</f>
        <v>0.5219963214</v>
      </c>
      <c r="CZ187" s="207" t="str">
        <f>IFERROR(__xludf.DUMMYFUNCTION("IF(OR(CY187&gt;$BS187+$BT187*$BT$2,CY187&lt;$BS187-$BT187*$BT$2),AVEDEV(ARRAYFORMULA(XLOOKUP(FILTER(INDIRECT(""'""&amp;CY$1&amp;""'!$C$4:$C$66""),INDIRECT(""'""&amp;CY$1&amp;""'!$D$4:$D$66"")=CY$2),$G$3:$BQ$3,$G187:$BQ187))),"""")"),"")</f>
        <v/>
      </c>
      <c r="DA187" s="252"/>
      <c r="DB187" s="251">
        <f>IFERROR(__xludf.DUMMYFUNCTION("AVERAGE(ARRAYFORMULA(XLOOKUP(FILTER(INDIRECT(""'""&amp;DB$1&amp;""'!$C$4:$C$66""),INDIRECT(""'""&amp;DB$1&amp;""'!$D$4:$D$66"")=DB$2),$G$3:$BQ$3,$G187:$BQ187)))"),0.061212303333333294)</f>
        <v>0.06121230333</v>
      </c>
      <c r="DC187" s="207" t="str">
        <f>IFERROR(__xludf.DUMMYFUNCTION("IF(OR(DB187&gt;$BS187+$BT187*$BT$2,DB187&lt;$BS187-$BT187*$BT$2),AVEDEV(ARRAYFORMULA(XLOOKUP(FILTER(INDIRECT(""'""&amp;DB$1&amp;""'!$C$4:$C$66""),INDIRECT(""'""&amp;DB$1&amp;""'!$D$4:$D$66"")=DB$2),$G$3:$BQ$3,$G187:$BQ187))),"""")"),"")</f>
        <v/>
      </c>
      <c r="DD187" s="251">
        <f>IFERROR(__xludf.DUMMYFUNCTION("AVERAGE(ARRAYFORMULA(XLOOKUP(FILTER(INDIRECT(""'""&amp;DD$1&amp;""'!$C$4:$C$66""),INDIRECT(""'""&amp;DD$1&amp;""'!$D$4:$D$66"")=DD$2),$G$3:$BQ$3,$G187:$BQ187)))"),0.5510995344444444)</f>
        <v>0.5510995344</v>
      </c>
      <c r="DE187" s="207" t="str">
        <f>IFERROR(__xludf.DUMMYFUNCTION("IF(OR(DD187&gt;$BS187+$BT187*$BT$2,DD187&lt;$BS187-$BT187*$BT$2),AVEDEV(ARRAYFORMULA(XLOOKUP(FILTER(INDIRECT(""'""&amp;DD$1&amp;""'!$C$4:$C$66""),INDIRECT(""'""&amp;DD$1&amp;""'!$D$4:$D$66"")=DD$2),$G$3:$BQ$3,$G187:$BQ187))),"""")"),"")</f>
        <v/>
      </c>
      <c r="DF187" s="251">
        <f>IFERROR(__xludf.DUMMYFUNCTION("AVERAGE(ARRAYFORMULA(XLOOKUP(FILTER(INDIRECT(""'""&amp;DF$1&amp;""'!$C$4:$C$66""),INDIRECT(""'""&amp;DF$1&amp;""'!$D$4:$D$66"")=DF$2),$G$3:$BQ$3,$G187:$BQ187)))"),0.8462067525)</f>
        <v>0.8462067525</v>
      </c>
      <c r="DG187" s="207">
        <f>IFERROR(__xludf.DUMMYFUNCTION("IF(OR(DF187&gt;$BS187+$BT187*$BT$2,DF187&lt;$BS187-$BT187*$BT$2),AVEDEV(ARRAYFORMULA(XLOOKUP(FILTER(INDIRECT(""'""&amp;DF$1&amp;""'!$C$4:$C$66""),INDIRECT(""'""&amp;DF$1&amp;""'!$D$4:$D$66"")=DF$2),$G$3:$BQ$3,$G187:$BQ187))),"""")"),0.6614213806250001)</f>
        <v>0.6614213806</v>
      </c>
      <c r="DH187" s="251">
        <f>IFERROR(__xludf.DUMMYFUNCTION("AVERAGE(ARRAYFORMULA(XLOOKUP(FILTER(INDIRECT(""'""&amp;DH$1&amp;""'!$C$4:$C$66""),INDIRECT(""'""&amp;DH$1&amp;""'!$D$4:$D$66"")=DH$2),$G$3:$BQ$3,$G187:$BQ187)))"),-0.18663836)</f>
        <v>-0.18663836</v>
      </c>
      <c r="DI187" s="207" t="str">
        <f>IFERROR(__xludf.DUMMYFUNCTION("IF(OR(DH187&gt;$BS187+$BT187*$BT$2,DH187&lt;$BS187-$BT187*$BT$2),AVEDEV(ARRAYFORMULA(XLOOKUP(FILTER(INDIRECT(""'""&amp;DH$1&amp;""'!$C$4:$C$66""),INDIRECT(""'""&amp;DH$1&amp;""'!$D$4:$D$66"")=DH$2),$G$3:$BQ$3,$G187:$BQ187))),"""")"),"")</f>
        <v/>
      </c>
      <c r="DJ187" s="243"/>
    </row>
    <row r="188">
      <c r="A188" s="2"/>
      <c r="B188" s="204">
        <v>184.0</v>
      </c>
      <c r="C188" s="204" t="s">
        <v>630</v>
      </c>
      <c r="D188" s="204" t="s">
        <v>632</v>
      </c>
      <c r="E188" s="205" t="b">
        <f>VLOOKUP(D188,'Feature Set List'!A185:C246,2,0)</f>
        <v>1</v>
      </c>
      <c r="F188" s="205" t="b">
        <f>VLOOKUP(D188,'Feature Set List'!A185:C246,3,0)</f>
        <v>1</v>
      </c>
      <c r="G188" s="205">
        <v>1.72808053</v>
      </c>
      <c r="H188" s="205">
        <v>-0.3147953</v>
      </c>
      <c r="I188" s="205">
        <v>0.42130119</v>
      </c>
      <c r="J188" s="205">
        <v>-0.4598273</v>
      </c>
      <c r="K188" s="205">
        <v>-0.925247</v>
      </c>
      <c r="L188" s="205">
        <v>-0.3277201</v>
      </c>
      <c r="M188" s="205">
        <v>-0.180824</v>
      </c>
      <c r="N188" s="205">
        <v>-0.4193749</v>
      </c>
      <c r="O188" s="205">
        <v>-0.2584975</v>
      </c>
      <c r="P188" s="205">
        <v>0.60896042</v>
      </c>
      <c r="Q188" s="205">
        <v>-0.4433605</v>
      </c>
      <c r="R188" s="205">
        <v>-0.1118499</v>
      </c>
      <c r="S188" s="205">
        <v>0.147269</v>
      </c>
      <c r="T188" s="205">
        <v>0.24544833</v>
      </c>
      <c r="U188" s="205">
        <v>0.49276083</v>
      </c>
      <c r="V188" s="205">
        <v>-0.4747406</v>
      </c>
      <c r="W188" s="205">
        <v>0.47474057</v>
      </c>
      <c r="X188" s="205">
        <v>2.25812465</v>
      </c>
      <c r="Y188" s="205">
        <v>0.02050581</v>
      </c>
      <c r="Z188" s="205">
        <v>1.57024793</v>
      </c>
      <c r="AA188" s="205">
        <v>-0.2690611</v>
      </c>
      <c r="AB188" s="205">
        <v>0.92835394</v>
      </c>
      <c r="AC188" s="205">
        <v>0.63568011</v>
      </c>
      <c r="AD188" s="205">
        <v>0.63443733</v>
      </c>
      <c r="AE188" s="205">
        <v>0.44118561</v>
      </c>
      <c r="AF188" s="205">
        <v>-0.2926738</v>
      </c>
      <c r="AG188" s="205">
        <v>1.62493009</v>
      </c>
      <c r="AH188" s="205">
        <v>1.06630212</v>
      </c>
      <c r="AI188" s="205">
        <v>-0.3374138</v>
      </c>
      <c r="AJ188" s="205">
        <v>1.40682284</v>
      </c>
      <c r="AK188" s="205">
        <v>-0.925247</v>
      </c>
      <c r="AL188" s="205">
        <v>-0.1572112</v>
      </c>
      <c r="AM188" s="205">
        <v>0.66488535</v>
      </c>
      <c r="AN188" s="205">
        <v>0.30758715</v>
      </c>
      <c r="AO188" s="205">
        <v>-0.6725906</v>
      </c>
      <c r="AP188" s="205">
        <v>-0.925247</v>
      </c>
      <c r="AQ188" s="205">
        <v>0.0894799</v>
      </c>
      <c r="AR188" s="205">
        <v>0.02671969</v>
      </c>
      <c r="AS188" s="205">
        <v>-0.2566333</v>
      </c>
      <c r="AT188" s="205">
        <v>-0.0950724</v>
      </c>
      <c r="AU188" s="205">
        <v>-0.925247</v>
      </c>
      <c r="AV188" s="205">
        <v>2.73597216</v>
      </c>
      <c r="AW188" s="205">
        <v>0.09258684</v>
      </c>
      <c r="AX188" s="205">
        <v>-0.5584416</v>
      </c>
      <c r="AY188" s="205">
        <v>1.12160567</v>
      </c>
      <c r="AZ188" s="205">
        <v>-0.2852172</v>
      </c>
      <c r="BA188" s="205">
        <v>-0.1199279</v>
      </c>
      <c r="BB188" s="205">
        <v>-0.1230349</v>
      </c>
      <c r="BC188" s="205">
        <v>0.0</v>
      </c>
      <c r="BD188" s="205">
        <v>-0.324986</v>
      </c>
      <c r="BE188" s="205">
        <v>1.95240167</v>
      </c>
      <c r="BF188" s="205">
        <v>1.45777667</v>
      </c>
      <c r="BG188" s="205">
        <v>-0.3931523</v>
      </c>
      <c r="BH188" s="205">
        <v>0.74566582</v>
      </c>
      <c r="BI188" s="205">
        <v>-0.925247</v>
      </c>
      <c r="BJ188" s="205">
        <v>0.06710992</v>
      </c>
      <c r="BK188" s="205">
        <v>-0.5982725</v>
      </c>
      <c r="BL188" s="205">
        <v>0.87615734</v>
      </c>
      <c r="BM188" s="205">
        <v>-0.5043808</v>
      </c>
      <c r="BN188" s="205">
        <v>-0.3620208</v>
      </c>
      <c r="BO188" s="205">
        <v>4.99658237</v>
      </c>
      <c r="BP188" s="205">
        <v>-0.4192506</v>
      </c>
      <c r="BQ188" s="205">
        <v>1.38134593</v>
      </c>
      <c r="BR188" s="206"/>
      <c r="BS188" s="250">
        <f t="shared" si="1"/>
        <v>0.2830866965</v>
      </c>
      <c r="BT188" s="250">
        <f t="shared" si="2"/>
        <v>0.7535818277</v>
      </c>
      <c r="BU188" s="206"/>
      <c r="BV188" s="207">
        <f>IFERROR(__xludf.DUMMYFUNCTION("AVERAGE(ARRAYFORMULA(XLOOKUP(FILTER(INDIRECT(""'""&amp;BV$1&amp;""'!$C$4:$C$66""),INDIRECT(""'""&amp;BV$1&amp;""'!$D$4:$D$66"")=BV$2),$G$3:$BQ$3,$G188:$BQ188)))"),0.8436320942857142)</f>
        <v>0.8436320943</v>
      </c>
      <c r="BW188" s="207" t="str">
        <f>IFERROR(__xludf.DUMMYFUNCTION("IF(OR(BV188&gt;$BS188+$BT188*$BT$2,BV188&lt;$BS188-$BT188*$BT$2),AVEDEV(ARRAYFORMULA(XLOOKUP(FILTER(INDIRECT(""'""&amp;BV$1&amp;""'!$C$4:$C$66""),INDIRECT(""'""&amp;BV$1&amp;""'!$D$4:$D$66"")=BV$2),$G$3:$BQ$3,$G188:$BQ188))),"""")"),"")</f>
        <v/>
      </c>
      <c r="BX188" s="207">
        <f>IFERROR(__xludf.DUMMYFUNCTION("AVERAGE(ARRAYFORMULA(XLOOKUP(FILTER(INDIRECT(""'""&amp;BX$1&amp;""'!$C$4:$C$66""),INDIRECT(""'""&amp;BX$1&amp;""'!$D$4:$D$66"")=BX$2),$G$3:$BQ$3,$G188:$BQ188)))"),0.27121374214285715)</f>
        <v>0.2712137421</v>
      </c>
      <c r="BY188" s="207" t="str">
        <f>IFERROR(__xludf.DUMMYFUNCTION("IF(OR(BX188&gt;$BS188+$BT188*$BT$2,BX188&lt;$BS188-$BT188*$BT$2),AVEDEV(ARRAYFORMULA(XLOOKUP(FILTER(INDIRECT(""'""&amp;BX$1&amp;""'!$C$4:$C$66""),INDIRECT(""'""&amp;BX$1&amp;""'!$D$4:$D$66"")=BX$2),$G$3:$BQ$3,$G188:$BQ188))),"""")"),"")</f>
        <v/>
      </c>
      <c r="BZ188" s="207">
        <f>IFERROR(__xludf.DUMMYFUNCTION("AVERAGE(ARRAYFORMULA(XLOOKUP(FILTER(INDIRECT(""'""&amp;BZ$1&amp;""'!$C$4:$C$66""),INDIRECT(""'""&amp;BZ$1&amp;""'!$D$4:$D$66"")=BZ$2),$G$3:$BQ$3,$G188:$BQ188)))"),0.12427198727272729)</f>
        <v>0.1242719873</v>
      </c>
      <c r="CA188" s="207" t="str">
        <f>IFERROR(__xludf.DUMMYFUNCTION("IF(OR(BZ188&gt;$BS188+$BT188*$BT$2,BZ188&lt;$BS188-$BT188*$BT$2),AVEDEV(ARRAYFORMULA(XLOOKUP(FILTER(INDIRECT(""'""&amp;BZ$1&amp;""'!$C$4:$C$66""),INDIRECT(""'""&amp;BZ$1&amp;""'!$D$4:$D$66"")=BZ$2),$G$3:$BQ$3,$G188:$BQ188))),"""")"),"")</f>
        <v/>
      </c>
      <c r="CB188" s="209"/>
      <c r="CC188" s="207">
        <f>IFERROR(__xludf.DUMMYFUNCTION("AVERAGE(ARRAYFORMULA(XLOOKUP(FILTER(INDIRECT(""'""&amp;CC$1&amp;""'!$C$4:$C$66""),INDIRECT(""'""&amp;CC$1&amp;""'!$D$4:$D$66"")=CC$2),$G$3:$BQ$3,$G188:$BQ188)))"),-0.050080016249999984)</f>
        <v>-0.05008001625</v>
      </c>
      <c r="CD188" s="207" t="str">
        <f>IFERROR(__xludf.DUMMYFUNCTION("IF(OR(CC188&gt;$BS188+$BT188*$BT$2,CC188&lt;$BS188-$BT188*$BT$2),AVEDEV(ARRAYFORMULA(XLOOKUP(FILTER(INDIRECT(""'""&amp;CC$1&amp;""'!$C$4:$C$66""),INDIRECT(""'""&amp;CC$1&amp;""'!$D$4:$D$66"")=CC$2),$G$3:$BQ$3,$G188:$BQ188))),"""")"),"")</f>
        <v/>
      </c>
      <c r="CE188" s="207">
        <f>IFERROR(__xludf.DUMMYFUNCTION("AVERAGE(ARRAYFORMULA(XLOOKUP(FILTER(INDIRECT(""'""&amp;CE$1&amp;""'!$C$4:$C$66""),INDIRECT(""'""&amp;CE$1&amp;""'!$D$4:$D$66"")=CE$2),$G$3:$BQ$3,$G188:$BQ188)))"),0.3622492619354838)</f>
        <v>0.3622492619</v>
      </c>
      <c r="CF188" s="207" t="str">
        <f>IFERROR(__xludf.DUMMYFUNCTION("IF(OR(CE188&gt;$BS188+$BT188*$BT$2,CE188&lt;$BS188-$BT188*$BT$2),AVEDEV(ARRAYFORMULA(XLOOKUP(FILTER(INDIRECT(""'""&amp;CE$1&amp;""'!$C$4:$C$66""),INDIRECT(""'""&amp;CE$1&amp;""'!$D$4:$D$66"")=CE$2),$G$3:$BQ$3,$G188:$BQ188))),"""")"),"")</f>
        <v/>
      </c>
      <c r="CG188" s="207">
        <f>IFERROR(__xludf.DUMMYFUNCTION("AVERAGE(ARRAYFORMULA(XLOOKUP(FILTER(INDIRECT(""'""&amp;CG$1&amp;""'!$C$4:$C$66""),INDIRECT(""'""&amp;CG$1&amp;""'!$D$4:$D$66"")=CG$2),$G$3:$BQ$3,$G188:$BQ188)))"),0.01693904999999999)</f>
        <v>0.01693905</v>
      </c>
      <c r="CH188" s="207" t="str">
        <f>IFERROR(__xludf.DUMMYFUNCTION("IF(OR(CG188&gt;$BS188+$BT188*$BT$2,CG188&lt;$BS188-$BT188*$BT$2),AVEDEV(ARRAYFORMULA(XLOOKUP(FILTER(INDIRECT(""'""&amp;CG$1&amp;""'!$C$4:$C$66""),INDIRECT(""'""&amp;CG$1&amp;""'!$D$4:$D$66"")=CG$2),$G$3:$BQ$3,$G188:$BQ188))),"""")"),"")</f>
        <v/>
      </c>
      <c r="CI188" s="206"/>
      <c r="CJ188" s="251">
        <f>IFERROR(__xludf.DUMMYFUNCTION("AVERAGE(ARRAYFORMULA(XLOOKUP(FILTER(INDIRECT(""'""&amp;CJ$1&amp;""'!$C$4:$C$66""),INDIRECT(""'""&amp;CJ$1&amp;""'!$D$4:$D$66"")=CJ$2),$G$3:$BQ$3,$G188:$BQ188)))"),0.8739369026666666)</f>
        <v>0.8739369027</v>
      </c>
      <c r="CK188" s="207" t="str">
        <f>IFERROR(__xludf.DUMMYFUNCTION("IF(OR(CJ188&gt;$BS188+$BT188*$BT$2,CJ188&lt;$BS188-$BT188*$BT$2),AVEDEV(ARRAYFORMULA(XLOOKUP(FILTER(INDIRECT(""'""&amp;CJ$1&amp;""'!$C$4:$C$66""),INDIRECT(""'""&amp;CJ$1&amp;""'!$D$4:$D$66"")=CJ$2),$G$3:$BQ$3,$G188:$BQ188))),"""")"),"")</f>
        <v/>
      </c>
      <c r="CL188" s="251">
        <f>IFERROR(__xludf.DUMMYFUNCTION("AVERAGE(ARRAYFORMULA(XLOOKUP(FILTER(INDIRECT(""'""&amp;CL$1&amp;""'!$C$4:$C$66""),INDIRECT(""'""&amp;CL$1&amp;""'!$D$4:$D$66"")=CL$2),$G$3:$BQ$3,$G188:$BQ188)))"),0.11778173230769234)</f>
        <v>0.1177817323</v>
      </c>
      <c r="CM188" s="207" t="str">
        <f>IFERROR(__xludf.DUMMYFUNCTION("IF(OR(CL188&gt;$BS188+$BT188*$BT$2,CL188&lt;$BS188-$BT188*$BT$2),AVEDEV(ARRAYFORMULA(XLOOKUP(FILTER(INDIRECT(""'""&amp;CL$1&amp;""'!$C$4:$C$66""),INDIRECT(""'""&amp;CL$1&amp;""'!$D$4:$D$66"")=CL$2),$G$3:$BQ$3,$G188:$BQ188))),"""")"),"")</f>
        <v/>
      </c>
      <c r="CN188" s="251">
        <f>IFERROR(__xludf.DUMMYFUNCTION("AVERAGE(ARRAYFORMULA(XLOOKUP(FILTER(INDIRECT(""'""&amp;CN$1&amp;""'!$C$4:$C$66""),INDIRECT(""'""&amp;CN$1&amp;""'!$D$4:$D$66"")=CN$2),$G$3:$BQ$3,$G188:$BQ188)))"),0.01693904999999999)</f>
        <v>0.01693905</v>
      </c>
      <c r="CO188" s="207" t="str">
        <f>IFERROR(__xludf.DUMMYFUNCTION("IF(OR(CN188&gt;$BS188+$BT188*$BT$2,CN188&lt;$BS188-$BT188*$BT$2),AVEDEV(ARRAYFORMULA(XLOOKUP(FILTER(INDIRECT(""'""&amp;CN$1&amp;""'!$C$4:$C$66""),INDIRECT(""'""&amp;CN$1&amp;""'!$D$4:$D$66"")=CN$2),$G$3:$BQ$3,$G188:$BQ188))),"""")"),"")</f>
        <v/>
      </c>
      <c r="CP188" s="252"/>
      <c r="CQ188" s="251">
        <f>IFERROR(__xludf.DUMMYFUNCTION("AVERAGE(ARRAYFORMULA(XLOOKUP(FILTER(INDIRECT(""'""&amp;CQ$1&amp;""'!$C$4:$C$66""),INDIRECT(""'""&amp;CQ$1&amp;""'!$D$4:$D$66"")=CQ$2),$G$3:$BQ$3,$G188:$BQ188)))"),-0.06472646357142854)</f>
        <v>-0.06472646357</v>
      </c>
      <c r="CR188" s="207" t="str">
        <f>IFERROR(__xludf.DUMMYFUNCTION("IF(OR(CQ188&gt;$BS188+$BT188*$BT$2,CQ188&lt;$BS188-$BT188*$BT$2),AVEDEV(ARRAYFORMULA(XLOOKUP(FILTER(INDIRECT(""'""&amp;CQ$1&amp;""'!$C$4:$C$66""),INDIRECT(""'""&amp;CQ$1&amp;""'!$D$4:$D$66"")=CQ$2),$G$3:$BQ$3,$G188:$BQ188))),"""")"),"")</f>
        <v/>
      </c>
      <c r="CS188" s="251">
        <f>IFERROR(__xludf.DUMMYFUNCTION("AVERAGE(ARRAYFORMULA(XLOOKUP(FILTER(INDIRECT(""'""&amp;CS$1&amp;""'!$C$4:$C$66""),INDIRECT(""'""&amp;CS$1&amp;""'!$D$4:$D$66"")=CS$2),$G$3:$BQ$3,$G188:$BQ188)))"),0.2396210955555555)</f>
        <v>0.2396210956</v>
      </c>
      <c r="CT188" s="207" t="str">
        <f>IFERROR(__xludf.DUMMYFUNCTION("IF(OR(CS188&gt;$BS188+$BT188*$BT$2,CS188&lt;$BS188-$BT188*$BT$2),AVEDEV(ARRAYFORMULA(XLOOKUP(FILTER(INDIRECT(""'""&amp;CS$1&amp;""'!$C$4:$C$66""),INDIRECT(""'""&amp;CS$1&amp;""'!$D$4:$D$66"")=CS$2),$G$3:$BQ$3,$G188:$BQ188))),"""")"),"")</f>
        <v/>
      </c>
      <c r="CU188" s="251">
        <f>IFERROR(__xludf.DUMMYFUNCTION("AVERAGE(ARRAYFORMULA(XLOOKUP(FILTER(INDIRECT(""'""&amp;CU$1&amp;""'!$C$4:$C$66""),INDIRECT(""'""&amp;CU$1&amp;""'!$D$4:$D$66"")=CU$2),$G$3:$BQ$3,$G188:$BQ188)))"),0.9211401863636365)</f>
        <v>0.9211401864</v>
      </c>
      <c r="CV188" s="207" t="str">
        <f>IFERROR(__xludf.DUMMYFUNCTION("IF(OR(CU188&gt;$BS188+$BT188*$BT$2,CU188&lt;$BS188-$BT188*$BT$2),AVEDEV(ARRAYFORMULA(XLOOKUP(FILTER(INDIRECT(""'""&amp;CU$1&amp;""'!$C$4:$C$66""),INDIRECT(""'""&amp;CU$1&amp;""'!$D$4:$D$66"")=CU$2),$G$3:$BQ$3,$G188:$BQ188))),"""")"),"")</f>
        <v/>
      </c>
      <c r="CW188" s="251">
        <f>IFERROR(__xludf.DUMMYFUNCTION("AVERAGE(ARRAYFORMULA(XLOOKUP(FILTER(INDIRECT(""'""&amp;CW$1&amp;""'!$C$4:$C$66""),INDIRECT(""'""&amp;CW$1&amp;""'!$D$4:$D$66"")=CW$2),$G$3:$BQ$3,$G188:$BQ188)))"),0.690051575)</f>
        <v>0.690051575</v>
      </c>
      <c r="CX188" s="207" t="str">
        <f>IFERROR(__xludf.DUMMYFUNCTION("IF(OR(CW188&gt;$BS188+$BT188*$BT$2,CW188&lt;$BS188-$BT188*$BT$2),AVEDEV(ARRAYFORMULA(XLOOKUP(FILTER(INDIRECT(""'""&amp;CW$1&amp;""'!$C$4:$C$66""),INDIRECT(""'""&amp;CW$1&amp;""'!$D$4:$D$66"")=CW$2),$G$3:$BQ$3,$G188:$BQ188))),"""")"),"")</f>
        <v/>
      </c>
      <c r="CY188" s="251">
        <f>IFERROR(__xludf.DUMMYFUNCTION("AVERAGE(ARRAYFORMULA(XLOOKUP(FILTER(INDIRECT(""'""&amp;CY$1&amp;""'!$C$4:$C$66""),INDIRECT(""'""&amp;CY$1&amp;""'!$D$4:$D$66"")=CY$2),$G$3:$BQ$3,$G188:$BQ188)))"),0.1200832542857143)</f>
        <v>0.1200832543</v>
      </c>
      <c r="CZ188" s="207" t="str">
        <f>IFERROR(__xludf.DUMMYFUNCTION("IF(OR(CY188&gt;$BS188+$BT188*$BT$2,CY188&lt;$BS188-$BT188*$BT$2),AVEDEV(ARRAYFORMULA(XLOOKUP(FILTER(INDIRECT(""'""&amp;CY$1&amp;""'!$C$4:$C$66""),INDIRECT(""'""&amp;CY$1&amp;""'!$D$4:$D$66"")=CY$2),$G$3:$BQ$3,$G188:$BQ188))),"""")"),"")</f>
        <v/>
      </c>
      <c r="DA188" s="252"/>
      <c r="DB188" s="251">
        <f>IFERROR(__xludf.DUMMYFUNCTION("AVERAGE(ARRAYFORMULA(XLOOKUP(FILTER(INDIRECT(""'""&amp;DB$1&amp;""'!$C$4:$C$66""),INDIRECT(""'""&amp;DB$1&amp;""'!$D$4:$D$66"")=DB$2),$G$3:$BQ$3,$G188:$BQ188)))"),0.10091550466666664)</f>
        <v>0.1009155047</v>
      </c>
      <c r="DC188" s="207" t="str">
        <f>IFERROR(__xludf.DUMMYFUNCTION("IF(OR(DB188&gt;$BS188+$BT188*$BT$2,DB188&lt;$BS188-$BT188*$BT$2),AVEDEV(ARRAYFORMULA(XLOOKUP(FILTER(INDIRECT(""'""&amp;DB$1&amp;""'!$C$4:$C$66""),INDIRECT(""'""&amp;DB$1&amp;""'!$D$4:$D$66"")=DB$2),$G$3:$BQ$3,$G188:$BQ188))),"""")"),"")</f>
        <v/>
      </c>
      <c r="DD188" s="251">
        <f>IFERROR(__xludf.DUMMYFUNCTION("AVERAGE(ARRAYFORMULA(XLOOKUP(FILTER(INDIRECT(""'""&amp;DD$1&amp;""'!$C$4:$C$66""),INDIRECT(""'""&amp;DD$1&amp;""'!$D$4:$D$66"")=DD$2),$G$3:$BQ$3,$G188:$BQ188)))"),0.517816578888889)</f>
        <v>0.5178165789</v>
      </c>
      <c r="DE188" s="207" t="str">
        <f>IFERROR(__xludf.DUMMYFUNCTION("IF(OR(DD188&gt;$BS188+$BT188*$BT$2,DD188&lt;$BS188-$BT188*$BT$2),AVEDEV(ARRAYFORMULA(XLOOKUP(FILTER(INDIRECT(""'""&amp;DD$1&amp;""'!$C$4:$C$66""),INDIRECT(""'""&amp;DD$1&amp;""'!$D$4:$D$66"")=DD$2),$G$3:$BQ$3,$G188:$BQ188))),"""")"),"")</f>
        <v/>
      </c>
      <c r="DF188" s="251">
        <f>IFERROR(__xludf.DUMMYFUNCTION("AVERAGE(ARRAYFORMULA(XLOOKUP(FILTER(INDIRECT(""'""&amp;DF$1&amp;""'!$C$4:$C$66""),INDIRECT(""'""&amp;DF$1&amp;""'!$D$4:$D$66"")=DF$2),$G$3:$BQ$3,$G188:$BQ188)))"),0.28047908)</f>
        <v>0.28047908</v>
      </c>
      <c r="DG188" s="207" t="str">
        <f>IFERROR(__xludf.DUMMYFUNCTION("IF(OR(DF188&gt;$BS188+$BT188*$BT$2,DF188&lt;$BS188-$BT188*$BT$2),AVEDEV(ARRAYFORMULA(XLOOKUP(FILTER(INDIRECT(""'""&amp;DF$1&amp;""'!$C$4:$C$66""),INDIRECT(""'""&amp;DF$1&amp;""'!$D$4:$D$66"")=DF$2),$G$3:$BQ$3,$G188:$BQ188))),"""")"),"")</f>
        <v/>
      </c>
      <c r="DH188" s="251">
        <f>IFERROR(__xludf.DUMMYFUNCTION("AVERAGE(ARRAYFORMULA(XLOOKUP(FILTER(INDIRECT(""'""&amp;DH$1&amp;""'!$C$4:$C$66""),INDIRECT(""'""&amp;DH$1&amp;""'!$D$4:$D$66"")=DH$2),$G$3:$BQ$3,$G188:$BQ188)))"),0.6937039577777777)</f>
        <v>0.6937039578</v>
      </c>
      <c r="DI188" s="207" t="str">
        <f>IFERROR(__xludf.DUMMYFUNCTION("IF(OR(DH188&gt;$BS188+$BT188*$BT$2,DH188&lt;$BS188-$BT188*$BT$2),AVEDEV(ARRAYFORMULA(XLOOKUP(FILTER(INDIRECT(""'""&amp;DH$1&amp;""'!$C$4:$C$66""),INDIRECT(""'""&amp;DH$1&amp;""'!$D$4:$D$66"")=DH$2),$G$3:$BQ$3,$G188:$BQ188))),"""")"),"")</f>
        <v/>
      </c>
      <c r="DJ188" s="243"/>
    </row>
    <row r="189">
      <c r="A189" s="2"/>
      <c r="B189" s="204">
        <v>185.0</v>
      </c>
      <c r="C189" s="204" t="s">
        <v>630</v>
      </c>
      <c r="D189" s="204" t="s">
        <v>633</v>
      </c>
      <c r="E189" s="205" t="b">
        <f>VLOOKUP(D189,'Feature Set List'!A186:C246,2,0)</f>
        <v>1</v>
      </c>
      <c r="F189" s="205" t="b">
        <f>VLOOKUP(D189,'Feature Set List'!A186:C246,3,0)</f>
        <v>1</v>
      </c>
      <c r="G189" s="205">
        <v>1.33333333</v>
      </c>
      <c r="H189" s="205">
        <v>0.0</v>
      </c>
      <c r="I189" s="205">
        <v>0.66666667</v>
      </c>
      <c r="J189" s="205">
        <v>0.66666667</v>
      </c>
      <c r="K189" s="205">
        <v>1.0</v>
      </c>
      <c r="L189" s="205">
        <v>0.33333333</v>
      </c>
      <c r="M189" s="205">
        <v>-0.6666667</v>
      </c>
      <c r="N189" s="205">
        <v>1.0</v>
      </c>
      <c r="O189" s="205">
        <v>1.33333333</v>
      </c>
      <c r="P189" s="205">
        <v>-0.6666667</v>
      </c>
      <c r="Q189" s="205">
        <v>0.33333333</v>
      </c>
      <c r="R189" s="205">
        <v>-0.6666667</v>
      </c>
      <c r="S189" s="205">
        <v>0.33333333</v>
      </c>
      <c r="T189" s="205">
        <v>1.33333333</v>
      </c>
      <c r="U189" s="205">
        <v>-0.3333333</v>
      </c>
      <c r="V189" s="205">
        <v>0.0</v>
      </c>
      <c r="W189" s="205">
        <v>0.0</v>
      </c>
      <c r="X189" s="205">
        <v>-0.6666667</v>
      </c>
      <c r="Y189" s="205">
        <v>1.66666667</v>
      </c>
      <c r="Z189" s="205">
        <v>-1.3333333</v>
      </c>
      <c r="AA189" s="205">
        <v>0.33333333</v>
      </c>
      <c r="AB189" s="205">
        <v>-2.0</v>
      </c>
      <c r="AC189" s="205">
        <v>1.33333333</v>
      </c>
      <c r="AD189" s="205">
        <v>0.33333333</v>
      </c>
      <c r="AE189" s="205">
        <v>-0.3333333</v>
      </c>
      <c r="AF189" s="205">
        <v>0.66666667</v>
      </c>
      <c r="AG189" s="205">
        <v>-0.3333333</v>
      </c>
      <c r="AH189" s="205">
        <v>0.66666667</v>
      </c>
      <c r="AI189" s="205">
        <v>-0.3333333</v>
      </c>
      <c r="AJ189" s="205">
        <v>-0.6666667</v>
      </c>
      <c r="AK189" s="205">
        <v>1.0</v>
      </c>
      <c r="AL189" s="205">
        <v>1.33333333</v>
      </c>
      <c r="AM189" s="205">
        <v>1.33333333</v>
      </c>
      <c r="AN189" s="205">
        <v>0.0</v>
      </c>
      <c r="AO189" s="205">
        <v>-1.6666667</v>
      </c>
      <c r="AP189" s="205">
        <v>0.0</v>
      </c>
      <c r="AQ189" s="205">
        <v>0.0</v>
      </c>
      <c r="AR189" s="205">
        <v>-0.3333333</v>
      </c>
      <c r="AS189" s="205">
        <v>0.33333333</v>
      </c>
      <c r="AT189" s="205">
        <v>4.33333333</v>
      </c>
      <c r="AU189" s="205">
        <v>-2.0</v>
      </c>
      <c r="AV189" s="205">
        <v>0.0</v>
      </c>
      <c r="AW189" s="205">
        <v>0.66666667</v>
      </c>
      <c r="AX189" s="205">
        <v>0.0</v>
      </c>
      <c r="AY189" s="205">
        <v>-1.0</v>
      </c>
      <c r="AZ189" s="205">
        <v>0.0</v>
      </c>
      <c r="BA189" s="205">
        <v>-0.6666667</v>
      </c>
      <c r="BB189" s="205">
        <v>-0.6666667</v>
      </c>
      <c r="BC189" s="205">
        <v>-0.6666667</v>
      </c>
      <c r="BD189" s="205">
        <v>2.33333333</v>
      </c>
      <c r="BE189" s="205">
        <v>0.66666667</v>
      </c>
      <c r="BF189" s="205">
        <v>1.66666667</v>
      </c>
      <c r="BG189" s="205">
        <v>0.0</v>
      </c>
      <c r="BH189" s="205">
        <v>0.0</v>
      </c>
      <c r="BI189" s="205">
        <v>0.33333333</v>
      </c>
      <c r="BJ189" s="205">
        <v>2.33333333</v>
      </c>
      <c r="BK189" s="205">
        <v>0.0</v>
      </c>
      <c r="BL189" s="205">
        <v>-0.3333333</v>
      </c>
      <c r="BM189" s="205">
        <v>-0.6666667</v>
      </c>
      <c r="BN189" s="205">
        <v>0.66666667</v>
      </c>
      <c r="BO189" s="205">
        <v>0.66666667</v>
      </c>
      <c r="BP189" s="205">
        <v>0.33333333</v>
      </c>
      <c r="BQ189" s="205">
        <v>-0.3333333</v>
      </c>
      <c r="BR189" s="206"/>
      <c r="BS189" s="250">
        <f t="shared" si="1"/>
        <v>0.2380952367</v>
      </c>
      <c r="BT189" s="250">
        <f t="shared" si="2"/>
        <v>0.7679516257</v>
      </c>
      <c r="BU189" s="206"/>
      <c r="BV189" s="207">
        <f>IFERROR(__xludf.DUMMYFUNCTION("AVERAGE(ARRAYFORMULA(XLOOKUP(FILTER(INDIRECT(""'""&amp;BV$1&amp;""'!$C$4:$C$66""),INDIRECT(""'""&amp;BV$1&amp;""'!$D$4:$D$66"")=BV$2),$G$3:$BQ$3,$G189:$BQ189)))"),-0.5714285757142857)</f>
        <v>-0.5714285757</v>
      </c>
      <c r="BW189" s="207">
        <f>IFERROR(__xludf.DUMMYFUNCTION("IF(OR(BV189&gt;$BS189+$BT189*$BT$2,BV189&lt;$BS189-$BT189*$BT$2),AVEDEV(ARRAYFORMULA(XLOOKUP(FILTER(INDIRECT(""'""&amp;BV$1&amp;""'!$C$4:$C$66""),INDIRECT(""'""&amp;BV$1&amp;""'!$D$4:$D$66"")=BV$2),$G$3:$BQ$3,$G189:$BQ189))),"""")"),0.4897959420408164)</f>
        <v>0.489795942</v>
      </c>
      <c r="BX189" s="207">
        <f>IFERROR(__xludf.DUMMYFUNCTION("AVERAGE(ARRAYFORMULA(XLOOKUP(FILTER(INDIRECT(""'""&amp;BX$1&amp;""'!$C$4:$C$66""),INDIRECT(""'""&amp;BX$1&amp;""'!$D$4:$D$66"")=BX$2),$G$3:$BQ$3,$G189:$BQ189)))"),0.36507936690476195)</f>
        <v>0.3650793669</v>
      </c>
      <c r="BY189" s="207" t="str">
        <f>IFERROR(__xludf.DUMMYFUNCTION("IF(OR(BX189&gt;$BS189+$BT189*$BT$2,BX189&lt;$BS189-$BT189*$BT$2),AVEDEV(ARRAYFORMULA(XLOOKUP(FILTER(INDIRECT(""'""&amp;BX$1&amp;""'!$C$4:$C$66""),INDIRECT(""'""&amp;BX$1&amp;""'!$D$4:$D$66"")=BX$2),$G$3:$BQ$3,$G189:$BQ189))),"""")"),"")</f>
        <v/>
      </c>
      <c r="BZ189" s="207">
        <f>IFERROR(__xludf.DUMMYFUNCTION("AVERAGE(ARRAYFORMULA(XLOOKUP(FILTER(INDIRECT(""'""&amp;BZ$1&amp;""'!$C$4:$C$66""),INDIRECT(""'""&amp;BZ$1&amp;""'!$D$4:$D$66"")=BZ$2),$G$3:$BQ$3,$G189:$BQ189)))"),0.24242423000000005)</f>
        <v>0.24242423</v>
      </c>
      <c r="CA189" s="207" t="str">
        <f>IFERROR(__xludf.DUMMYFUNCTION("IF(OR(BZ189&gt;$BS189+$BT189*$BT$2,BZ189&lt;$BS189-$BT189*$BT$2),AVEDEV(ARRAYFORMULA(XLOOKUP(FILTER(INDIRECT(""'""&amp;BZ$1&amp;""'!$C$4:$C$66""),INDIRECT(""'""&amp;BZ$1&amp;""'!$D$4:$D$66"")=BZ$2),$G$3:$BQ$3,$G189:$BQ189))),"""")"),"")</f>
        <v/>
      </c>
      <c r="CB189" s="209"/>
      <c r="CC189" s="207">
        <f>IFERROR(__xludf.DUMMYFUNCTION("AVERAGE(ARRAYFORMULA(XLOOKUP(FILTER(INDIRECT(""'""&amp;CC$1&amp;""'!$C$4:$C$66""),INDIRECT(""'""&amp;CC$1&amp;""'!$D$4:$D$66"")=CC$2),$G$3:$BQ$3,$G189:$BQ189)))"),0.52083334)</f>
        <v>0.52083334</v>
      </c>
      <c r="CD189" s="207" t="str">
        <f>IFERROR(__xludf.DUMMYFUNCTION("IF(OR(CC189&gt;$BS189+$BT189*$BT$2,CC189&lt;$BS189-$BT189*$BT$2),AVEDEV(ARRAYFORMULA(XLOOKUP(FILTER(INDIRECT(""'""&amp;CC$1&amp;""'!$C$4:$C$66""),INDIRECT(""'""&amp;CC$1&amp;""'!$D$4:$D$66"")=CC$2),$G$3:$BQ$3,$G189:$BQ189))),"""")"),"")</f>
        <v/>
      </c>
      <c r="CE189" s="207">
        <f>IFERROR(__xludf.DUMMYFUNCTION("AVERAGE(ARRAYFORMULA(XLOOKUP(FILTER(INDIRECT(""'""&amp;CE$1&amp;""'!$C$4:$C$66""),INDIRECT(""'""&amp;CE$1&amp;""'!$D$4:$D$66"")=CE$2),$G$3:$BQ$3,$G189:$BQ189)))"),0.22580644870967748)</f>
        <v>0.2258064487</v>
      </c>
      <c r="CF189" s="207" t="str">
        <f>IFERROR(__xludf.DUMMYFUNCTION("IF(OR(CE189&gt;$BS189+$BT189*$BT$2,CE189&lt;$BS189-$BT189*$BT$2),AVEDEV(ARRAYFORMULA(XLOOKUP(FILTER(INDIRECT(""'""&amp;CE$1&amp;""'!$C$4:$C$66""),INDIRECT(""'""&amp;CE$1&amp;""'!$D$4:$D$66"")=CE$2),$G$3:$BQ$3,$G189:$BQ189))),"""")"),"")</f>
        <v/>
      </c>
      <c r="CG189" s="207">
        <f>IFERROR(__xludf.DUMMYFUNCTION("AVERAGE(ARRAYFORMULA(XLOOKUP(FILTER(INDIRECT(""'""&amp;CG$1&amp;""'!$C$4:$C$66""),INDIRECT(""'""&amp;CG$1&amp;""'!$D$4:$D$66"")=CG$2),$G$3:$BQ$3,$G189:$BQ189)))"),0.06666665200000002)</f>
        <v>0.066666652</v>
      </c>
      <c r="CH189" s="207" t="str">
        <f>IFERROR(__xludf.DUMMYFUNCTION("IF(OR(CG189&gt;$BS189+$BT189*$BT$2,CG189&lt;$BS189-$BT189*$BT$2),AVEDEV(ARRAYFORMULA(XLOOKUP(FILTER(INDIRECT(""'""&amp;CG$1&amp;""'!$C$4:$C$66""),INDIRECT(""'""&amp;CG$1&amp;""'!$D$4:$D$66"")=CG$2),$G$3:$BQ$3,$G189:$BQ189))),"""")"),"")</f>
        <v/>
      </c>
      <c r="CI189" s="206"/>
      <c r="CJ189" s="251">
        <f>IFERROR(__xludf.DUMMYFUNCTION("AVERAGE(ARRAYFORMULA(XLOOKUP(FILTER(INDIRECT(""'""&amp;CJ$1&amp;""'!$C$4:$C$66""),INDIRECT(""'""&amp;CJ$1&amp;""'!$D$4:$D$66"")=CJ$2),$G$3:$BQ$3,$G189:$BQ189)))"),0.4888888866666667)</f>
        <v>0.4888888867</v>
      </c>
      <c r="CK189" s="207" t="str">
        <f>IFERROR(__xludf.DUMMYFUNCTION("IF(OR(CJ189&gt;$BS189+$BT189*$BT$2,CJ189&lt;$BS189-$BT189*$BT$2),AVEDEV(ARRAYFORMULA(XLOOKUP(FILTER(INDIRECT(""'""&amp;CJ$1&amp;""'!$C$4:$C$66""),INDIRECT(""'""&amp;CJ$1&amp;""'!$D$4:$D$66"")=CJ$2),$G$3:$BQ$3,$G189:$BQ189))),"""")"),"")</f>
        <v/>
      </c>
      <c r="CL189" s="251">
        <f>IFERROR(__xludf.DUMMYFUNCTION("AVERAGE(ARRAYFORMULA(XLOOKUP(FILTER(INDIRECT(""'""&amp;CL$1&amp;""'!$C$4:$C$66""),INDIRECT(""'""&amp;CL$1&amp;""'!$D$4:$D$66"")=CL$2),$G$3:$BQ$3,$G189:$BQ189)))"),0.17094017051282057)</f>
        <v>0.1709401705</v>
      </c>
      <c r="CM189" s="207" t="str">
        <f>IFERROR(__xludf.DUMMYFUNCTION("IF(OR(CL189&gt;$BS189+$BT189*$BT$2,CL189&lt;$BS189-$BT189*$BT$2),AVEDEV(ARRAYFORMULA(XLOOKUP(FILTER(INDIRECT(""'""&amp;CL$1&amp;""'!$C$4:$C$66""),INDIRECT(""'""&amp;CL$1&amp;""'!$D$4:$D$66"")=CL$2),$G$3:$BQ$3,$G189:$BQ189))),"""")"),"")</f>
        <v/>
      </c>
      <c r="CN189" s="251">
        <f>IFERROR(__xludf.DUMMYFUNCTION("AVERAGE(ARRAYFORMULA(XLOOKUP(FILTER(INDIRECT(""'""&amp;CN$1&amp;""'!$C$4:$C$66""),INDIRECT(""'""&amp;CN$1&amp;""'!$D$4:$D$66"")=CN$2),$G$3:$BQ$3,$G189:$BQ189)))"),0.06666665200000002)</f>
        <v>0.066666652</v>
      </c>
      <c r="CO189" s="207" t="str">
        <f>IFERROR(__xludf.DUMMYFUNCTION("IF(OR(CN189&gt;$BS189+$BT189*$BT$2,CN189&lt;$BS189-$BT189*$BT$2),AVEDEV(ARRAYFORMULA(XLOOKUP(FILTER(INDIRECT(""'""&amp;CN$1&amp;""'!$C$4:$C$66""),INDIRECT(""'""&amp;CN$1&amp;""'!$D$4:$D$66"")=CN$2),$G$3:$BQ$3,$G189:$BQ189))),"""")"),"")</f>
        <v/>
      </c>
      <c r="CP189" s="252"/>
      <c r="CQ189" s="251">
        <f>IFERROR(__xludf.DUMMYFUNCTION("AVERAGE(ARRAYFORMULA(XLOOKUP(FILTER(INDIRECT(""'""&amp;CQ$1&amp;""'!$C$4:$C$66""),INDIRECT(""'""&amp;CQ$1&amp;""'!$D$4:$D$66"")=CQ$2),$G$3:$BQ$3,$G189:$BQ189)))"),0.38095238857142866)</f>
        <v>0.3809523886</v>
      </c>
      <c r="CR189" s="207" t="str">
        <f>IFERROR(__xludf.DUMMYFUNCTION("IF(OR(CQ189&gt;$BS189+$BT189*$BT$2,CQ189&lt;$BS189-$BT189*$BT$2),AVEDEV(ARRAYFORMULA(XLOOKUP(FILTER(INDIRECT(""'""&amp;CQ$1&amp;""'!$C$4:$C$66""),INDIRECT(""'""&amp;CQ$1&amp;""'!$D$4:$D$66"")=CQ$2),$G$3:$BQ$3,$G189:$BQ189))),"""")"),"")</f>
        <v/>
      </c>
      <c r="CS189" s="251">
        <f>IFERROR(__xludf.DUMMYFUNCTION("AVERAGE(ARRAYFORMULA(XLOOKUP(FILTER(INDIRECT(""'""&amp;CS$1&amp;""'!$C$4:$C$66""),INDIRECT(""'""&amp;CS$1&amp;""'!$D$4:$D$66"")=CS$2),$G$3:$BQ$3,$G189:$BQ189)))"),0.3703703588888889)</f>
        <v>0.3703703589</v>
      </c>
      <c r="CT189" s="207" t="str">
        <f>IFERROR(__xludf.DUMMYFUNCTION("IF(OR(CS189&gt;$BS189+$BT189*$BT$2,CS189&lt;$BS189-$BT189*$BT$2),AVEDEV(ARRAYFORMULA(XLOOKUP(FILTER(INDIRECT(""'""&amp;CS$1&amp;""'!$C$4:$C$66""),INDIRECT(""'""&amp;CS$1&amp;""'!$D$4:$D$66"")=CS$2),$G$3:$BQ$3,$G189:$BQ189))),"""")"),"")</f>
        <v/>
      </c>
      <c r="CU189" s="251">
        <f>IFERROR(__xludf.DUMMYFUNCTION("AVERAGE(ARRAYFORMULA(XLOOKUP(FILTER(INDIRECT(""'""&amp;CU$1&amp;""'!$C$4:$C$66""),INDIRECT(""'""&amp;CU$1&amp;""'!$D$4:$D$66"")=CU$2),$G$3:$BQ$3,$G189:$BQ189)))"),0.6363636354545454)</f>
        <v>0.6363636355</v>
      </c>
      <c r="CV189" s="207" t="str">
        <f>IFERROR(__xludf.DUMMYFUNCTION("IF(OR(CU189&gt;$BS189+$BT189*$BT$2,CU189&lt;$BS189-$BT189*$BT$2),AVEDEV(ARRAYFORMULA(XLOOKUP(FILTER(INDIRECT(""'""&amp;CU$1&amp;""'!$C$4:$C$66""),INDIRECT(""'""&amp;CU$1&amp;""'!$D$4:$D$66"")=CU$2),$G$3:$BQ$3,$G189:$BQ189))),"""")"),"")</f>
        <v/>
      </c>
      <c r="CW189" s="251">
        <f>IFERROR(__xludf.DUMMYFUNCTION("AVERAGE(ARRAYFORMULA(XLOOKUP(FILTER(INDIRECT(""'""&amp;CW$1&amp;""'!$C$4:$C$66""),INDIRECT(""'""&amp;CW$1&amp;""'!$D$4:$D$66"")=CW$2),$G$3:$BQ$3,$G189:$BQ189)))"),0.166666665)</f>
        <v>0.166666665</v>
      </c>
      <c r="CX189" s="207" t="str">
        <f>IFERROR(__xludf.DUMMYFUNCTION("IF(OR(CW189&gt;$BS189+$BT189*$BT$2,CW189&lt;$BS189-$BT189*$BT$2),AVEDEV(ARRAYFORMULA(XLOOKUP(FILTER(INDIRECT(""'""&amp;CW$1&amp;""'!$C$4:$C$66""),INDIRECT(""'""&amp;CW$1&amp;""'!$D$4:$D$66"")=CW$2),$G$3:$BQ$3,$G189:$BQ189))),"""")"),"")</f>
        <v/>
      </c>
      <c r="CY189" s="251">
        <f>IFERROR(__xludf.DUMMYFUNCTION("AVERAGE(ARRAYFORMULA(XLOOKUP(FILTER(INDIRECT(""'""&amp;CY$1&amp;""'!$C$4:$C$66""),INDIRECT(""'""&amp;CY$1&amp;""'!$D$4:$D$66"")=CY$2),$G$3:$BQ$3,$G189:$BQ189)))"),0.09523809428571428)</f>
        <v>0.09523809429</v>
      </c>
      <c r="CZ189" s="207" t="str">
        <f>IFERROR(__xludf.DUMMYFUNCTION("IF(OR(CY189&gt;$BS189+$BT189*$BT$2,CY189&lt;$BS189-$BT189*$BT$2),AVEDEV(ARRAYFORMULA(XLOOKUP(FILTER(INDIRECT(""'""&amp;CY$1&amp;""'!$C$4:$C$66""),INDIRECT(""'""&amp;CY$1&amp;""'!$D$4:$D$66"")=CY$2),$G$3:$BQ$3,$G189:$BQ189))),"""")"),"")</f>
        <v/>
      </c>
      <c r="DA189" s="252"/>
      <c r="DB189" s="251">
        <f>IFERROR(__xludf.DUMMYFUNCTION("AVERAGE(ARRAYFORMULA(XLOOKUP(FILTER(INDIRECT(""'""&amp;DB$1&amp;""'!$C$4:$C$66""),INDIRECT(""'""&amp;DB$1&amp;""'!$D$4:$D$66"")=DB$2),$G$3:$BQ$3,$G189:$BQ189)))"),0.3666666696666667)</f>
        <v>0.3666666697</v>
      </c>
      <c r="DC189" s="207" t="str">
        <f>IFERROR(__xludf.DUMMYFUNCTION("IF(OR(DB189&gt;$BS189+$BT189*$BT$2,DB189&lt;$BS189-$BT189*$BT$2),AVEDEV(ARRAYFORMULA(XLOOKUP(FILTER(INDIRECT(""'""&amp;DB$1&amp;""'!$C$4:$C$66""),INDIRECT(""'""&amp;DB$1&amp;""'!$D$4:$D$66"")=DB$2),$G$3:$BQ$3,$G189:$BQ189))),"""")"),"")</f>
        <v/>
      </c>
      <c r="DD189" s="251">
        <f>IFERROR(__xludf.DUMMYFUNCTION("AVERAGE(ARRAYFORMULA(XLOOKUP(FILTER(INDIRECT(""'""&amp;DD$1&amp;""'!$C$4:$C$66""),INDIRECT(""'""&amp;DD$1&amp;""'!$D$4:$D$66"")=DD$2),$G$3:$BQ$3,$G189:$BQ189)))"),0.037037021111111144)</f>
        <v>0.03703702111</v>
      </c>
      <c r="DE189" s="207" t="str">
        <f>IFERROR(__xludf.DUMMYFUNCTION("IF(OR(DD189&gt;$BS189+$BT189*$BT$2,DD189&lt;$BS189-$BT189*$BT$2),AVEDEV(ARRAYFORMULA(XLOOKUP(FILTER(INDIRECT(""'""&amp;DD$1&amp;""'!$C$4:$C$66""),INDIRECT(""'""&amp;DD$1&amp;""'!$D$4:$D$66"")=DD$2),$G$3:$BQ$3,$G189:$BQ189))),"""")"),"")</f>
        <v/>
      </c>
      <c r="DF189" s="251">
        <f>IFERROR(__xludf.DUMMYFUNCTION("AVERAGE(ARRAYFORMULA(XLOOKUP(FILTER(INDIRECT(""'""&amp;DF$1&amp;""'!$C$4:$C$66""),INDIRECT(""'""&amp;DF$1&amp;""'!$D$4:$D$66"")=DF$2),$G$3:$BQ$3,$G189:$BQ189)))"),-0.08333333874999997)</f>
        <v>-0.08333333875</v>
      </c>
      <c r="DG189" s="207" t="str">
        <f>IFERROR(__xludf.DUMMYFUNCTION("IF(OR(DF189&gt;$BS189+$BT189*$BT$2,DF189&lt;$BS189-$BT189*$BT$2),AVEDEV(ARRAYFORMULA(XLOOKUP(FILTER(INDIRECT(""'""&amp;DF$1&amp;""'!$C$4:$C$66""),INDIRECT(""'""&amp;DF$1&amp;""'!$D$4:$D$66"")=DF$2),$G$3:$BQ$3,$G189:$BQ189))),"""")"),"")</f>
        <v/>
      </c>
      <c r="DH189" s="251">
        <f>IFERROR(__xludf.DUMMYFUNCTION("AVERAGE(ARRAYFORMULA(XLOOKUP(FILTER(INDIRECT(""'""&amp;DH$1&amp;""'!$C$4:$C$66""),INDIRECT(""'""&amp;DH$1&amp;""'!$D$4:$D$66"")=DH$2),$G$3:$BQ$3,$G189:$BQ189)))"),0.7037037044444445)</f>
        <v>0.7037037044</v>
      </c>
      <c r="DI189" s="207" t="str">
        <f>IFERROR(__xludf.DUMMYFUNCTION("IF(OR(DH189&gt;$BS189+$BT189*$BT$2,DH189&lt;$BS189-$BT189*$BT$2),AVEDEV(ARRAYFORMULA(XLOOKUP(FILTER(INDIRECT(""'""&amp;DH$1&amp;""'!$C$4:$C$66""),INDIRECT(""'""&amp;DH$1&amp;""'!$D$4:$D$66"")=DH$2),$G$3:$BQ$3,$G189:$BQ189))),"""")"),"")</f>
        <v/>
      </c>
      <c r="DJ189" s="243"/>
    </row>
    <row r="190">
      <c r="A190" s="2"/>
      <c r="B190" s="204">
        <v>186.0</v>
      </c>
      <c r="C190" s="204" t="s">
        <v>630</v>
      </c>
      <c r="D190" s="204" t="s">
        <v>634</v>
      </c>
      <c r="E190" s="205" t="b">
        <f>VLOOKUP(D190,'Feature Set List'!A187:C246,2,0)</f>
        <v>1</v>
      </c>
      <c r="F190" s="205" t="b">
        <f>VLOOKUP(D190,'Feature Set List'!A187:C246,3,0)</f>
        <v>1</v>
      </c>
      <c r="G190" s="205">
        <v>-0.3636364</v>
      </c>
      <c r="H190" s="205">
        <v>0.18181818</v>
      </c>
      <c r="I190" s="205">
        <v>-0.7272727</v>
      </c>
      <c r="J190" s="205">
        <v>1.09090909</v>
      </c>
      <c r="K190" s="205">
        <v>-1.8181818</v>
      </c>
      <c r="L190" s="205">
        <v>0.18181818</v>
      </c>
      <c r="M190" s="205">
        <v>-0.7272727</v>
      </c>
      <c r="N190" s="205">
        <v>0.36363636</v>
      </c>
      <c r="O190" s="205">
        <v>0.72727273</v>
      </c>
      <c r="P190" s="205">
        <v>-0.1818182</v>
      </c>
      <c r="Q190" s="205">
        <v>-0.7272727</v>
      </c>
      <c r="R190" s="205">
        <v>0.18181818</v>
      </c>
      <c r="S190" s="205">
        <v>1.09090909</v>
      </c>
      <c r="T190" s="205">
        <v>0.0</v>
      </c>
      <c r="U190" s="205">
        <v>0.0</v>
      </c>
      <c r="V190" s="205">
        <v>0.18181818</v>
      </c>
      <c r="W190" s="205">
        <v>0.18181818</v>
      </c>
      <c r="X190" s="205">
        <v>-0.5454545</v>
      </c>
      <c r="Y190" s="205">
        <v>0.90909091</v>
      </c>
      <c r="Z190" s="205">
        <v>-0.1818182</v>
      </c>
      <c r="AA190" s="205">
        <v>0.90909091</v>
      </c>
      <c r="AB190" s="205">
        <v>-0.9090909</v>
      </c>
      <c r="AC190" s="205">
        <v>0.18181818</v>
      </c>
      <c r="AD190" s="205">
        <v>0.54545455</v>
      </c>
      <c r="AE190" s="205">
        <v>-0.7272727</v>
      </c>
      <c r="AF190" s="205">
        <v>0.90909091</v>
      </c>
      <c r="AG190" s="205">
        <v>-0.7272727</v>
      </c>
      <c r="AH190" s="205">
        <v>-0.1818182</v>
      </c>
      <c r="AI190" s="205">
        <v>-0.1818182</v>
      </c>
      <c r="AJ190" s="205">
        <v>0.36363636</v>
      </c>
      <c r="AK190" s="205">
        <v>-1.4545455</v>
      </c>
      <c r="AL190" s="205">
        <v>0.54545455</v>
      </c>
      <c r="AM190" s="205">
        <v>-0.1818182</v>
      </c>
      <c r="AN190" s="205">
        <v>-0.5454545</v>
      </c>
      <c r="AO190" s="205">
        <v>-0.1818182</v>
      </c>
      <c r="AP190" s="205">
        <v>-1.6363636</v>
      </c>
      <c r="AQ190" s="205">
        <v>-0.1818182</v>
      </c>
      <c r="AR190" s="205">
        <v>-0.7272727</v>
      </c>
      <c r="AS190" s="205">
        <v>-0.3636364</v>
      </c>
      <c r="AT190" s="205">
        <v>0.18181818</v>
      </c>
      <c r="AU190" s="205">
        <v>-2.0</v>
      </c>
      <c r="AV190" s="205">
        <v>-0.5454545</v>
      </c>
      <c r="AW190" s="205">
        <v>1.27272727</v>
      </c>
      <c r="AX190" s="205">
        <v>-0.3636364</v>
      </c>
      <c r="AY190" s="205">
        <v>0.36363636</v>
      </c>
      <c r="AZ190" s="205">
        <v>0.36363636</v>
      </c>
      <c r="BA190" s="205">
        <v>0.18181818</v>
      </c>
      <c r="BB190" s="205">
        <v>0.36363636</v>
      </c>
      <c r="BC190" s="205">
        <v>0.90909091</v>
      </c>
      <c r="BD190" s="205">
        <v>0.54545455</v>
      </c>
      <c r="BE190" s="205">
        <v>-0.3636364</v>
      </c>
      <c r="BF190" s="205">
        <v>0.0</v>
      </c>
      <c r="BG190" s="205">
        <v>1.09090909</v>
      </c>
      <c r="BH190" s="205">
        <v>0.0</v>
      </c>
      <c r="BI190" s="205">
        <v>-2.0</v>
      </c>
      <c r="BJ190" s="205">
        <v>0.18181818</v>
      </c>
      <c r="BK190" s="205">
        <v>0.54545455</v>
      </c>
      <c r="BL190" s="205">
        <v>-1.6363636</v>
      </c>
      <c r="BM190" s="205">
        <v>1.09090909</v>
      </c>
      <c r="BN190" s="205">
        <v>-0.7272727</v>
      </c>
      <c r="BO190" s="205">
        <v>-0.9090909</v>
      </c>
      <c r="BP190" s="205">
        <v>-0.3636364</v>
      </c>
      <c r="BQ190" s="205">
        <v>-1.6363636</v>
      </c>
      <c r="BR190" s="206"/>
      <c r="BS190" s="250">
        <f t="shared" si="1"/>
        <v>-0.1298701283</v>
      </c>
      <c r="BT190" s="250">
        <f t="shared" si="2"/>
        <v>0.6283240547</v>
      </c>
      <c r="BU190" s="206"/>
      <c r="BV190" s="207">
        <f>IFERROR(__xludf.DUMMYFUNCTION("AVERAGE(ARRAYFORMULA(XLOOKUP(FILTER(INDIRECT(""'""&amp;BV$1&amp;""'!$C$4:$C$66""),INDIRECT(""'""&amp;BV$1&amp;""'!$D$4:$D$66"")=BV$2),$G$3:$BQ$3,$G190:$BQ190)))"),-0.28571428285714284)</f>
        <v>-0.2857142829</v>
      </c>
      <c r="BW190" s="207" t="str">
        <f>IFERROR(__xludf.DUMMYFUNCTION("IF(OR(BV190&gt;$BS190+$BT190*$BT$2,BV190&lt;$BS190-$BT190*$BT$2),AVEDEV(ARRAYFORMULA(XLOOKUP(FILTER(INDIRECT(""'""&amp;BV$1&amp;""'!$C$4:$C$66""),INDIRECT(""'""&amp;BV$1&amp;""'!$D$4:$D$66"")=BV$2),$G$3:$BQ$3,$G190:$BQ190))),"""")"),"")</f>
        <v/>
      </c>
      <c r="BX190" s="207">
        <f>IFERROR(__xludf.DUMMYFUNCTION("AVERAGE(ARRAYFORMULA(XLOOKUP(FILTER(INDIRECT(""'""&amp;BX$1&amp;""'!$C$4:$C$66""),INDIRECT(""'""&amp;BX$1&amp;""'!$D$4:$D$66"")=BX$2),$G$3:$BQ$3,$G190:$BQ190)))"),-0.15584415380952377)</f>
        <v>-0.1558441538</v>
      </c>
      <c r="BY190" s="207" t="str">
        <f>IFERROR(__xludf.DUMMYFUNCTION("IF(OR(BX190&gt;$BS190+$BT190*$BT$2,BX190&lt;$BS190-$BT190*$BT$2),AVEDEV(ARRAYFORMULA(XLOOKUP(FILTER(INDIRECT(""'""&amp;BX$1&amp;""'!$C$4:$C$66""),INDIRECT(""'""&amp;BX$1&amp;""'!$D$4:$D$66"")=BX$2),$G$3:$BQ$3,$G190:$BQ190))),"""")"),"")</f>
        <v/>
      </c>
      <c r="BZ190" s="207">
        <f>IFERROR(__xludf.DUMMYFUNCTION("AVERAGE(ARRAYFORMULA(XLOOKUP(FILTER(INDIRECT(""'""&amp;BZ$1&amp;""'!$C$4:$C$66""),INDIRECT(""'""&amp;BZ$1&amp;""'!$D$4:$D$66"")=BZ$2),$G$3:$BQ$3,$G190:$BQ190)))"),0.23140495545454545)</f>
        <v>0.2314049555</v>
      </c>
      <c r="CA190" s="207" t="str">
        <f>IFERROR(__xludf.DUMMYFUNCTION("IF(OR(BZ190&gt;$BS190+$BT190*$BT$2,BZ190&lt;$BS190-$BT190*$BT$2),AVEDEV(ARRAYFORMULA(XLOOKUP(FILTER(INDIRECT(""'""&amp;BZ$1&amp;""'!$C$4:$C$66""),INDIRECT(""'""&amp;BZ$1&amp;""'!$D$4:$D$66"")=BZ$2),$G$3:$BQ$3,$G190:$BQ190))),"""")"),"")</f>
        <v/>
      </c>
      <c r="CB190" s="209"/>
      <c r="CC190" s="207">
        <f>IFERROR(__xludf.DUMMYFUNCTION("AVERAGE(ARRAYFORMULA(XLOOKUP(FILTER(INDIRECT(""'""&amp;CC$1&amp;""'!$C$4:$C$66""),INDIRECT(""'""&amp;CC$1&amp;""'!$D$4:$D$66"")=CC$2),$G$3:$BQ$3,$G190:$BQ190)))"),-0.19318181749999996)</f>
        <v>-0.1931818175</v>
      </c>
      <c r="CD190" s="207" t="str">
        <f>IFERROR(__xludf.DUMMYFUNCTION("IF(OR(CC190&gt;$BS190+$BT190*$BT$2,CC190&lt;$BS190-$BT190*$BT$2),AVEDEV(ARRAYFORMULA(XLOOKUP(FILTER(INDIRECT(""'""&amp;CC$1&amp;""'!$C$4:$C$66""),INDIRECT(""'""&amp;CC$1&amp;""'!$D$4:$D$66"")=CC$2),$G$3:$BQ$3,$G190:$BQ190))),"""")"),"")</f>
        <v/>
      </c>
      <c r="CE190" s="207">
        <f>IFERROR(__xludf.DUMMYFUNCTION("AVERAGE(ARRAYFORMULA(XLOOKUP(FILTER(INDIRECT(""'""&amp;CE$1&amp;""'!$C$4:$C$66""),INDIRECT(""'""&amp;CE$1&amp;""'!$D$4:$D$66"")=CE$2),$G$3:$BQ$3,$G190:$BQ190)))"),2.9032258138768945E-9)</f>
        <v>0.000000002903225814</v>
      </c>
      <c r="CF190" s="207" t="str">
        <f>IFERROR(__xludf.DUMMYFUNCTION("IF(OR(CE190&gt;$BS190+$BT190*$BT$2,CE190&lt;$BS190-$BT190*$BT$2),AVEDEV(ARRAYFORMULA(XLOOKUP(FILTER(INDIRECT(""'""&amp;CE$1&amp;""'!$C$4:$C$66""),INDIRECT(""'""&amp;CE$1&amp;""'!$D$4:$D$66"")=CE$2),$G$3:$BQ$3,$G190:$BQ190))),"""")"),"")</f>
        <v/>
      </c>
      <c r="CG190" s="207">
        <f>IFERROR(__xludf.DUMMYFUNCTION("AVERAGE(ARRAYFORMULA(XLOOKUP(FILTER(INDIRECT(""'""&amp;CG$1&amp;""'!$C$4:$C$66""),INDIRECT(""'""&amp;CG$1&amp;""'!$D$4:$D$66"")=CG$2),$G$3:$BQ$3,$G190:$BQ190)))"),0.145454534)</f>
        <v>0.145454534</v>
      </c>
      <c r="CH190" s="207" t="str">
        <f>IFERROR(__xludf.DUMMYFUNCTION("IF(OR(CG190&gt;$BS190+$BT190*$BT$2,CG190&lt;$BS190-$BT190*$BT$2),AVEDEV(ARRAYFORMULA(XLOOKUP(FILTER(INDIRECT(""'""&amp;CG$1&amp;""'!$C$4:$C$66""),INDIRECT(""'""&amp;CG$1&amp;""'!$D$4:$D$66"")=CG$2),$G$3:$BQ$3,$G190:$BQ190))),"""")"),"")</f>
        <v/>
      </c>
      <c r="CI190" s="206"/>
      <c r="CJ190" s="251">
        <f>IFERROR(__xludf.DUMMYFUNCTION("AVERAGE(ARRAYFORMULA(XLOOKUP(FILTER(INDIRECT(""'""&amp;CJ$1&amp;""'!$C$4:$C$66""),INDIRECT(""'""&amp;CJ$1&amp;""'!$D$4:$D$66"")=CJ$2),$G$3:$BQ$3,$G190:$BQ190)))"),-6.66666677417993E-10)</f>
        <v>-0.0000000006666666774</v>
      </c>
      <c r="CK190" s="207" t="str">
        <f>IFERROR(__xludf.DUMMYFUNCTION("IF(OR(CJ190&gt;$BS190+$BT190*$BT$2,CJ190&lt;$BS190-$BT190*$BT$2),AVEDEV(ARRAYFORMULA(XLOOKUP(FILTER(INDIRECT(""'""&amp;CJ$1&amp;""'!$C$4:$C$66""),INDIRECT(""'""&amp;CJ$1&amp;""'!$D$4:$D$66"")=CJ$2),$G$3:$BQ$3,$G190:$BQ190))),"""")"),"")</f>
        <v/>
      </c>
      <c r="CL190" s="251">
        <f>IFERROR(__xludf.DUMMYFUNCTION("AVERAGE(ARRAYFORMULA(XLOOKUP(FILTER(INDIRECT(""'""&amp;CL$1&amp;""'!$C$4:$C$66""),INDIRECT(""'""&amp;CL$1&amp;""'!$D$4:$D$66"")=CL$2),$G$3:$BQ$3,$G190:$BQ190)))"),-0.13053612794871794)</f>
        <v>-0.1305361279</v>
      </c>
      <c r="CM190" s="207" t="str">
        <f>IFERROR(__xludf.DUMMYFUNCTION("IF(OR(CL190&gt;$BS190+$BT190*$BT$2,CL190&lt;$BS190-$BT190*$BT$2),AVEDEV(ARRAYFORMULA(XLOOKUP(FILTER(INDIRECT(""'""&amp;CL$1&amp;""'!$C$4:$C$66""),INDIRECT(""'""&amp;CL$1&amp;""'!$D$4:$D$66"")=CL$2),$G$3:$BQ$3,$G190:$BQ190))),"""")"),"")</f>
        <v/>
      </c>
      <c r="CN190" s="251">
        <f>IFERROR(__xludf.DUMMYFUNCTION("AVERAGE(ARRAYFORMULA(XLOOKUP(FILTER(INDIRECT(""'""&amp;CN$1&amp;""'!$C$4:$C$66""),INDIRECT(""'""&amp;CN$1&amp;""'!$D$4:$D$66"")=CN$2),$G$3:$BQ$3,$G190:$BQ190)))"),0.145454534)</f>
        <v>0.145454534</v>
      </c>
      <c r="CO190" s="207" t="str">
        <f>IFERROR(__xludf.DUMMYFUNCTION("IF(OR(CN190&gt;$BS190+$BT190*$BT$2,CN190&lt;$BS190-$BT190*$BT$2),AVEDEV(ARRAYFORMULA(XLOOKUP(FILTER(INDIRECT(""'""&amp;CN$1&amp;""'!$C$4:$C$66""),INDIRECT(""'""&amp;CN$1&amp;""'!$D$4:$D$66"")=CN$2),$G$3:$BQ$3,$G190:$BQ190))),"""")"),"")</f>
        <v/>
      </c>
      <c r="CP190" s="252"/>
      <c r="CQ190" s="251">
        <f>IFERROR(__xludf.DUMMYFUNCTION("AVERAGE(ARRAYFORMULA(XLOOKUP(FILTER(INDIRECT(""'""&amp;CQ$1&amp;""'!$C$4:$C$66""),INDIRECT(""'""&amp;CQ$1&amp;""'!$D$4:$D$66"")=CQ$2),$G$3:$BQ$3,$G190:$BQ190)))"),-0.051948051428571416)</f>
        <v>-0.05194805143</v>
      </c>
      <c r="CR190" s="207" t="str">
        <f>IFERROR(__xludf.DUMMYFUNCTION("IF(OR(CQ190&gt;$BS190+$BT190*$BT$2,CQ190&lt;$BS190-$BT190*$BT$2),AVEDEV(ARRAYFORMULA(XLOOKUP(FILTER(INDIRECT(""'""&amp;CQ$1&amp;""'!$C$4:$C$66""),INDIRECT(""'""&amp;CQ$1&amp;""'!$D$4:$D$66"")=CQ$2),$G$3:$BQ$3,$G190:$BQ190))),"""")"),"")</f>
        <v/>
      </c>
      <c r="CS190" s="251">
        <f>IFERROR(__xludf.DUMMYFUNCTION("AVERAGE(ARRAYFORMULA(XLOOKUP(FILTER(INDIRECT(""'""&amp;CS$1&amp;""'!$C$4:$C$66""),INDIRECT(""'""&amp;CS$1&amp;""'!$D$4:$D$66"")=CS$2),$G$3:$BQ$3,$G190:$BQ190)))"),0.12121211777777775)</f>
        <v>0.1212121178</v>
      </c>
      <c r="CT190" s="207" t="str">
        <f>IFERROR(__xludf.DUMMYFUNCTION("IF(OR(CS190&gt;$BS190+$BT190*$BT$2,CS190&lt;$BS190-$BT190*$BT$2),AVEDEV(ARRAYFORMULA(XLOOKUP(FILTER(INDIRECT(""'""&amp;CS$1&amp;""'!$C$4:$C$66""),INDIRECT(""'""&amp;CS$1&amp;""'!$D$4:$D$66"")=CS$2),$G$3:$BQ$3,$G190:$BQ190))),"""")"),"")</f>
        <v/>
      </c>
      <c r="CU190" s="251">
        <f>IFERROR(__xludf.DUMMYFUNCTION("AVERAGE(ARRAYFORMULA(XLOOKUP(FILTER(INDIRECT(""'""&amp;CU$1&amp;""'!$C$4:$C$66""),INDIRECT(""'""&amp;CU$1&amp;""'!$D$4:$D$66"")=CU$2),$G$3:$BQ$3,$G190:$BQ190)))"),0.09917355545454544)</f>
        <v>0.09917355545</v>
      </c>
      <c r="CV190" s="207" t="str">
        <f>IFERROR(__xludf.DUMMYFUNCTION("IF(OR(CU190&gt;$BS190+$BT190*$BT$2,CU190&lt;$BS190-$BT190*$BT$2),AVEDEV(ARRAYFORMULA(XLOOKUP(FILTER(INDIRECT(""'""&amp;CU$1&amp;""'!$C$4:$C$66""),INDIRECT(""'""&amp;CU$1&amp;""'!$D$4:$D$66"")=CU$2),$G$3:$BQ$3,$G190:$BQ190))),"""")"),"")</f>
        <v/>
      </c>
      <c r="CW190" s="251">
        <f>IFERROR(__xludf.DUMMYFUNCTION("AVERAGE(ARRAYFORMULA(XLOOKUP(FILTER(INDIRECT(""'""&amp;CW$1&amp;""'!$C$4:$C$66""),INDIRECT(""'""&amp;CW$1&amp;""'!$D$4:$D$66"")=CW$2),$G$3:$BQ$3,$G190:$BQ190)))"),0.272727275)</f>
        <v>0.272727275</v>
      </c>
      <c r="CX190" s="207" t="str">
        <f>IFERROR(__xludf.DUMMYFUNCTION("IF(OR(CW190&gt;$BS190+$BT190*$BT$2,CW190&lt;$BS190-$BT190*$BT$2),AVEDEV(ARRAYFORMULA(XLOOKUP(FILTER(INDIRECT(""'""&amp;CW$1&amp;""'!$C$4:$C$66""),INDIRECT(""'""&amp;CW$1&amp;""'!$D$4:$D$66"")=CW$2),$G$3:$BQ$3,$G190:$BQ190))),"""")"),"")</f>
        <v/>
      </c>
      <c r="CY190" s="251">
        <f>IFERROR(__xludf.DUMMYFUNCTION("AVERAGE(ARRAYFORMULA(XLOOKUP(FILTER(INDIRECT(""'""&amp;CY$1&amp;""'!$C$4:$C$66""),INDIRECT(""'""&amp;CY$1&amp;""'!$D$4:$D$66"")=CY$2),$G$3:$BQ$3,$G190:$BQ190)))"),-0.35064934571428574)</f>
        <v>-0.3506493457</v>
      </c>
      <c r="CZ190" s="207" t="str">
        <f>IFERROR(__xludf.DUMMYFUNCTION("IF(OR(CY190&gt;$BS190+$BT190*$BT$2,CY190&lt;$BS190-$BT190*$BT$2),AVEDEV(ARRAYFORMULA(XLOOKUP(FILTER(INDIRECT(""'""&amp;CY$1&amp;""'!$C$4:$C$66""),INDIRECT(""'""&amp;CY$1&amp;""'!$D$4:$D$66"")=CY$2),$G$3:$BQ$3,$G190:$BQ190))),"""")"),"")</f>
        <v/>
      </c>
      <c r="DA190" s="252"/>
      <c r="DB190" s="251">
        <f>IFERROR(__xludf.DUMMYFUNCTION("AVERAGE(ARRAYFORMULA(XLOOKUP(FILTER(INDIRECT(""'""&amp;DB$1&amp;""'!$C$4:$C$66""),INDIRECT(""'""&amp;DB$1&amp;""'!$D$4:$D$66"")=DB$2),$G$3:$BQ$3,$G190:$BQ190)))"),-0.27272727300000005)</f>
        <v>-0.272727273</v>
      </c>
      <c r="DC190" s="207" t="str">
        <f>IFERROR(__xludf.DUMMYFUNCTION("IF(OR(DB190&gt;$BS190+$BT190*$BT$2,DB190&lt;$BS190-$BT190*$BT$2),AVEDEV(ARRAYFORMULA(XLOOKUP(FILTER(INDIRECT(""'""&amp;DB$1&amp;""'!$C$4:$C$66""),INDIRECT(""'""&amp;DB$1&amp;""'!$D$4:$D$66"")=DB$2),$G$3:$BQ$3,$G190:$BQ190))),"""")"),"")</f>
        <v/>
      </c>
      <c r="DD190" s="251">
        <f>IFERROR(__xludf.DUMMYFUNCTION("AVERAGE(ARRAYFORMULA(XLOOKUP(FILTER(INDIRECT(""'""&amp;DD$1&amp;""'!$C$4:$C$66""),INDIRECT(""'""&amp;DD$1&amp;""'!$D$4:$D$66"")=DD$2),$G$3:$BQ$3,$G190:$BQ190)))"),-0.020202018888888895)</f>
        <v>-0.02020201889</v>
      </c>
      <c r="DE190" s="207" t="str">
        <f>IFERROR(__xludf.DUMMYFUNCTION("IF(OR(DD190&gt;$BS190+$BT190*$BT$2,DD190&lt;$BS190-$BT190*$BT$2),AVEDEV(ARRAYFORMULA(XLOOKUP(FILTER(INDIRECT(""'""&amp;DD$1&amp;""'!$C$4:$C$66""),INDIRECT(""'""&amp;DD$1&amp;""'!$D$4:$D$66"")=DD$2),$G$3:$BQ$3,$G190:$BQ190))),"""")"),"")</f>
        <v/>
      </c>
      <c r="DF190" s="251">
        <f>IFERROR(__xludf.DUMMYFUNCTION("AVERAGE(ARRAYFORMULA(XLOOKUP(FILTER(INDIRECT(""'""&amp;DF$1&amp;""'!$C$4:$C$66""),INDIRECT(""'""&amp;DF$1&amp;""'!$D$4:$D$66"")=DF$2),$G$3:$BQ$3,$G190:$BQ190)))"),0.49999999875)</f>
        <v>0.4999999988</v>
      </c>
      <c r="DG190" s="207">
        <f>IFERROR(__xludf.DUMMYFUNCTION("IF(OR(DF190&gt;$BS190+$BT190*$BT$2,DF190&lt;$BS190-$BT190*$BT$2),AVEDEV(ARRAYFORMULA(XLOOKUP(FILTER(INDIRECT(""'""&amp;DF$1&amp;""'!$C$4:$C$66""),INDIRECT(""'""&amp;DF$1&amp;""'!$D$4:$D$66"")=DF$2),$G$3:$BQ$3,$G190:$BQ190))),"""")"),0.3068181834375)</f>
        <v>0.3068181834</v>
      </c>
      <c r="DH190" s="251">
        <f>IFERROR(__xludf.DUMMYFUNCTION("AVERAGE(ARRAYFORMULA(XLOOKUP(FILTER(INDIRECT(""'""&amp;DH$1&amp;""'!$C$4:$C$66""),INDIRECT(""'""&amp;DH$1&amp;""'!$D$4:$D$66"")=DH$2),$G$3:$BQ$3,$G190:$BQ190)))"),0.16161615999999998)</f>
        <v>0.16161616</v>
      </c>
      <c r="DI190" s="207" t="str">
        <f>IFERROR(__xludf.DUMMYFUNCTION("IF(OR(DH190&gt;$BS190+$BT190*$BT$2,DH190&lt;$BS190-$BT190*$BT$2),AVEDEV(ARRAYFORMULA(XLOOKUP(FILTER(INDIRECT(""'""&amp;DH$1&amp;""'!$C$4:$C$66""),INDIRECT(""'""&amp;DH$1&amp;""'!$D$4:$D$66"")=DH$2),$G$3:$BQ$3,$G190:$BQ190))),"""")"),"")</f>
        <v/>
      </c>
      <c r="DJ190" s="243"/>
    </row>
    <row r="191">
      <c r="A191" s="2"/>
      <c r="B191" s="204">
        <v>187.0</v>
      </c>
      <c r="C191" s="204" t="s">
        <v>630</v>
      </c>
      <c r="D191" s="204" t="s">
        <v>635</v>
      </c>
      <c r="E191" s="205" t="b">
        <f>VLOOKUP(D191,'Feature Set List'!A188:C246,2,0)</f>
        <v>1</v>
      </c>
      <c r="F191" s="205" t="b">
        <f>VLOOKUP(D191,'Feature Set List'!A188:C246,3,0)</f>
        <v>1</v>
      </c>
      <c r="G191" s="205">
        <v>1.5797453</v>
      </c>
      <c r="H191" s="205">
        <v>0.8835658</v>
      </c>
      <c r="I191" s="205">
        <v>0.88174651</v>
      </c>
      <c r="J191" s="205">
        <v>-0.349909</v>
      </c>
      <c r="K191" s="205">
        <v>-1.4907823</v>
      </c>
      <c r="L191" s="205">
        <v>-0.3165555</v>
      </c>
      <c r="M191" s="205">
        <v>-0.447544</v>
      </c>
      <c r="N191" s="205">
        <v>-0.3159491</v>
      </c>
      <c r="O191" s="205">
        <v>-0.7992723</v>
      </c>
      <c r="P191" s="205">
        <v>0.12310491</v>
      </c>
      <c r="Q191" s="205">
        <v>0.3856883</v>
      </c>
      <c r="R191" s="205">
        <v>-0.4311704</v>
      </c>
      <c r="S191" s="205">
        <v>-0.3850819</v>
      </c>
      <c r="T191" s="205">
        <v>0.11218921</v>
      </c>
      <c r="U191" s="205">
        <v>0.38204973</v>
      </c>
      <c r="V191" s="205">
        <v>-0.5051546</v>
      </c>
      <c r="W191" s="205">
        <v>-0.3608247</v>
      </c>
      <c r="X191" s="205">
        <v>0.29472408</v>
      </c>
      <c r="Y191" s="205">
        <v>0.77198302</v>
      </c>
      <c r="Z191" s="205">
        <v>1.30442693</v>
      </c>
      <c r="AA191" s="205">
        <v>0.16858702</v>
      </c>
      <c r="AB191" s="205">
        <v>0.28138266</v>
      </c>
      <c r="AC191" s="205">
        <v>0.12734991</v>
      </c>
      <c r="AD191" s="205">
        <v>1.88417223</v>
      </c>
      <c r="AE191" s="205">
        <v>-0.1024864</v>
      </c>
      <c r="AF191" s="205">
        <v>-0.5045482</v>
      </c>
      <c r="AG191" s="205">
        <v>1.1055185</v>
      </c>
      <c r="AH191" s="205">
        <v>-0.0430564</v>
      </c>
      <c r="AI191" s="205">
        <v>-0.2007277</v>
      </c>
      <c r="AJ191" s="205">
        <v>2.14857489</v>
      </c>
      <c r="AK191" s="205">
        <v>-1.6662583</v>
      </c>
      <c r="AL191" s="205">
        <v>0.04730139</v>
      </c>
      <c r="AM191" s="205">
        <v>0.47907823</v>
      </c>
      <c r="AN191" s="205">
        <v>0.38508187</v>
      </c>
      <c r="AO191" s="205">
        <v>-0.468769</v>
      </c>
      <c r="AP191" s="205">
        <v>-1.6737174</v>
      </c>
      <c r="AQ191" s="205">
        <v>-0.3141298</v>
      </c>
      <c r="AR191" s="205">
        <v>-0.1934506</v>
      </c>
      <c r="AS191" s="205">
        <v>0.0</v>
      </c>
      <c r="AT191" s="205">
        <v>0.4548211</v>
      </c>
      <c r="AU191" s="205">
        <v>-1.6882959</v>
      </c>
      <c r="AV191" s="205">
        <v>1.27713766</v>
      </c>
      <c r="AW191" s="205">
        <v>0.46634324</v>
      </c>
      <c r="AX191" s="205">
        <v>-0.5003032</v>
      </c>
      <c r="AY191" s="205">
        <v>0.64766525</v>
      </c>
      <c r="AZ191" s="205">
        <v>-0.0830807</v>
      </c>
      <c r="BA191" s="205">
        <v>-0.2807762</v>
      </c>
      <c r="BB191" s="205">
        <v>0.93935719</v>
      </c>
      <c r="BC191" s="205">
        <v>-0.3305033</v>
      </c>
      <c r="BD191" s="205">
        <v>0.24984839</v>
      </c>
      <c r="BE191" s="205">
        <v>0.60824742</v>
      </c>
      <c r="BF191" s="205">
        <v>1.37659187</v>
      </c>
      <c r="BG191" s="205">
        <v>-0.4123711</v>
      </c>
      <c r="BH191" s="205">
        <v>2.22922984</v>
      </c>
      <c r="BI191" s="205">
        <v>-1.6882959</v>
      </c>
      <c r="BJ191" s="205">
        <v>-0.4372347</v>
      </c>
      <c r="BK191" s="205">
        <v>-0.3596119</v>
      </c>
      <c r="BL191" s="205">
        <v>1.58156458</v>
      </c>
      <c r="BM191" s="205">
        <v>0.64584597</v>
      </c>
      <c r="BN191" s="205">
        <v>-0.3232262</v>
      </c>
      <c r="BO191" s="205">
        <v>1.60097029</v>
      </c>
      <c r="BP191" s="205">
        <v>-0.0072771</v>
      </c>
      <c r="BQ191" s="205">
        <v>-0.7180109</v>
      </c>
      <c r="BR191" s="206"/>
      <c r="BS191" s="250">
        <f t="shared" si="1"/>
        <v>0.127389184</v>
      </c>
      <c r="BT191" s="250">
        <f t="shared" si="2"/>
        <v>0.6849028541</v>
      </c>
      <c r="BU191" s="206"/>
      <c r="BV191" s="207">
        <f>IFERROR(__xludf.DUMMYFUNCTION("AVERAGE(ARRAYFORMULA(XLOOKUP(FILTER(INDIRECT(""'""&amp;BV$1&amp;""'!$C$4:$C$66""),INDIRECT(""'""&amp;BV$1&amp;""'!$D$4:$D$66"")=BV$2),$G$3:$BQ$3,$G191:$BQ191)))"),0.5692627499999999)</f>
        <v>0.56926275</v>
      </c>
      <c r="BW191" s="207" t="str">
        <f>IFERROR(__xludf.DUMMYFUNCTION("IF(OR(BV191&gt;$BS191+$BT191*$BT$2,BV191&lt;$BS191-$BT191*$BT$2),AVEDEV(ARRAYFORMULA(XLOOKUP(FILTER(INDIRECT(""'""&amp;BV$1&amp;""'!$C$4:$C$66""),INDIRECT(""'""&amp;BV$1&amp;""'!$D$4:$D$66"")=BV$2),$G$3:$BQ$3,$G191:$BQ191))),"""")"),"")</f>
        <v/>
      </c>
      <c r="BX191" s="207">
        <f>IFERROR(__xludf.DUMMYFUNCTION("AVERAGE(ARRAYFORMULA(XLOOKUP(FILTER(INDIRECT(""'""&amp;BX$1&amp;""'!$C$4:$C$66""),INDIRECT(""'""&amp;BX$1&amp;""'!$D$4:$D$66"")=BX$2),$G$3:$BQ$3,$G191:$BQ191)))"),0.0799486007142857)</f>
        <v>0.07994860071</v>
      </c>
      <c r="BY191" s="207" t="str">
        <f>IFERROR(__xludf.DUMMYFUNCTION("IF(OR(BX191&gt;$BS191+$BT191*$BT$2,BX191&lt;$BS191-$BT191*$BT$2),AVEDEV(ARRAYFORMULA(XLOOKUP(FILTER(INDIRECT(""'""&amp;BX$1&amp;""'!$C$4:$C$66""),INDIRECT(""'""&amp;BX$1&amp;""'!$D$4:$D$66"")=BX$2),$G$3:$BQ$3,$G191:$BQ191))),"""")"),"")</f>
        <v/>
      </c>
      <c r="BZ191" s="207">
        <f>IFERROR(__xludf.DUMMYFUNCTION("AVERAGE(ARRAYFORMULA(XLOOKUP(FILTER(INDIRECT(""'""&amp;BZ$1&amp;""'!$C$4:$C$66""),INDIRECT(""'""&amp;BZ$1&amp;""'!$D$4:$D$66"")=BZ$2),$G$3:$BQ$3,$G191:$BQ191)))"),0.11268537363636363)</f>
        <v>0.1126853736</v>
      </c>
      <c r="CA191" s="207" t="str">
        <f>IFERROR(__xludf.DUMMYFUNCTION("IF(OR(BZ191&gt;$BS191+$BT191*$BT$2,BZ191&lt;$BS191-$BT191*$BT$2),AVEDEV(ARRAYFORMULA(XLOOKUP(FILTER(INDIRECT(""'""&amp;BZ$1&amp;""'!$C$4:$C$66""),INDIRECT(""'""&amp;BZ$1&amp;""'!$D$4:$D$66"")=BZ$2),$G$3:$BQ$3,$G191:$BQ191))),"""")"),"")</f>
        <v/>
      </c>
      <c r="CB191" s="209"/>
      <c r="CC191" s="207">
        <f>IFERROR(__xludf.DUMMYFUNCTION("AVERAGE(ARRAYFORMULA(XLOOKUP(FILTER(INDIRECT(""'""&amp;CC$1&amp;""'!$C$4:$C$66""),INDIRECT(""'""&amp;CC$1&amp;""'!$D$4:$D$66"")=CC$2),$G$3:$BQ$3,$G191:$BQ191)))"),-0.06317919812500003)</f>
        <v>-0.06317919813</v>
      </c>
      <c r="CD191" s="207" t="str">
        <f>IFERROR(__xludf.DUMMYFUNCTION("IF(OR(CC191&gt;$BS191+$BT191*$BT$2,CC191&lt;$BS191-$BT191*$BT$2),AVEDEV(ARRAYFORMULA(XLOOKUP(FILTER(INDIRECT(""'""&amp;CC$1&amp;""'!$C$4:$C$66""),INDIRECT(""'""&amp;CC$1&amp;""'!$D$4:$D$66"")=CC$2),$G$3:$BQ$3,$G191:$BQ191))),"""")"),"")</f>
        <v/>
      </c>
      <c r="CE191" s="207">
        <f>IFERROR(__xludf.DUMMYFUNCTION("AVERAGE(ARRAYFORMULA(XLOOKUP(FILTER(INDIRECT(""'""&amp;CE$1&amp;""'!$C$4:$C$66""),INDIRECT(""'""&amp;CE$1&amp;""'!$D$4:$D$66"")=CE$2),$G$3:$BQ$3,$G191:$BQ191)))"),0.17776169419354837)</f>
        <v>0.1777616942</v>
      </c>
      <c r="CF191" s="207" t="str">
        <f>IFERROR(__xludf.DUMMYFUNCTION("IF(OR(CE191&gt;$BS191+$BT191*$BT$2,CE191&lt;$BS191-$BT191*$BT$2),AVEDEV(ARRAYFORMULA(XLOOKUP(FILTER(INDIRECT(""'""&amp;CE$1&amp;""'!$C$4:$C$66""),INDIRECT(""'""&amp;CE$1&amp;""'!$D$4:$D$66"")=CE$2),$G$3:$BQ$3,$G191:$BQ191))),"""")"),"")</f>
        <v/>
      </c>
      <c r="CG191" s="207">
        <f>IFERROR(__xludf.DUMMYFUNCTION("AVERAGE(ARRAYFORMULA(XLOOKUP(FILTER(INDIRECT(""'""&amp;CG$1&amp;""'!$C$4:$C$66""),INDIRECT(""'""&amp;CG$1&amp;""'!$D$4:$D$66"")=CG$2),$G$3:$BQ$3,$G191:$BQ191)))"),-0.091570636)</f>
        <v>-0.091570636</v>
      </c>
      <c r="CH191" s="207" t="str">
        <f>IFERROR(__xludf.DUMMYFUNCTION("IF(OR(CG191&gt;$BS191+$BT191*$BT$2,CG191&lt;$BS191-$BT191*$BT$2),AVEDEV(ARRAYFORMULA(XLOOKUP(FILTER(INDIRECT(""'""&amp;CG$1&amp;""'!$C$4:$C$66""),INDIRECT(""'""&amp;CG$1&amp;""'!$D$4:$D$66"")=CG$2),$G$3:$BQ$3,$G191:$BQ191))),"""")"),"")</f>
        <v/>
      </c>
      <c r="CI191" s="206"/>
      <c r="CJ191" s="251">
        <f>IFERROR(__xludf.DUMMYFUNCTION("AVERAGE(ARRAYFORMULA(XLOOKUP(FILTER(INDIRECT(""'""&amp;CJ$1&amp;""'!$C$4:$C$66""),INDIRECT(""'""&amp;CJ$1&amp;""'!$D$4:$D$66"")=CJ$2),$G$3:$BQ$3,$G191:$BQ191)))"),0.4929047860000001)</f>
        <v>0.492904786</v>
      </c>
      <c r="CK191" s="207" t="str">
        <f>IFERROR(__xludf.DUMMYFUNCTION("IF(OR(CJ191&gt;$BS191+$BT191*$BT$2,CJ191&lt;$BS191-$BT191*$BT$2),AVEDEV(ARRAYFORMULA(XLOOKUP(FILTER(INDIRECT(""'""&amp;CJ$1&amp;""'!$C$4:$C$66""),INDIRECT(""'""&amp;CJ$1&amp;""'!$D$4:$D$66"")=CJ$2),$G$3:$BQ$3,$G191:$BQ191))),"""")"),"")</f>
        <v/>
      </c>
      <c r="CL191" s="251">
        <f>IFERROR(__xludf.DUMMYFUNCTION("AVERAGE(ARRAYFORMULA(XLOOKUP(FILTER(INDIRECT(""'""&amp;CL$1&amp;""'!$C$4:$C$66""),INDIRECT(""'""&amp;CL$1&amp;""'!$D$4:$D$66"")=CL$2),$G$3:$BQ$3,$G191:$BQ191)))"),0.0016650358974359119)</f>
        <v>0.001665035897</v>
      </c>
      <c r="CM191" s="207" t="str">
        <f>IFERROR(__xludf.DUMMYFUNCTION("IF(OR(CL191&gt;$BS191+$BT191*$BT$2,CL191&lt;$BS191-$BT191*$BT$2),AVEDEV(ARRAYFORMULA(XLOOKUP(FILTER(INDIRECT(""'""&amp;CL$1&amp;""'!$C$4:$C$66""),INDIRECT(""'""&amp;CL$1&amp;""'!$D$4:$D$66"")=CL$2),$G$3:$BQ$3,$G191:$BQ191))),"""")"),"")</f>
        <v/>
      </c>
      <c r="CN191" s="251">
        <f>IFERROR(__xludf.DUMMYFUNCTION("AVERAGE(ARRAYFORMULA(XLOOKUP(FILTER(INDIRECT(""'""&amp;CN$1&amp;""'!$C$4:$C$66""),INDIRECT(""'""&amp;CN$1&amp;""'!$D$4:$D$66"")=CN$2),$G$3:$BQ$3,$G191:$BQ191)))"),-0.091570636)</f>
        <v>-0.091570636</v>
      </c>
      <c r="CO191" s="207" t="str">
        <f>IFERROR(__xludf.DUMMYFUNCTION("IF(OR(CN191&gt;$BS191+$BT191*$BT$2,CN191&lt;$BS191-$BT191*$BT$2),AVEDEV(ARRAYFORMULA(XLOOKUP(FILTER(INDIRECT(""'""&amp;CN$1&amp;""'!$C$4:$C$66""),INDIRECT(""'""&amp;CN$1&amp;""'!$D$4:$D$66"")=CN$2),$G$3:$BQ$3,$G191:$BQ191))),"""")"),"")</f>
        <v/>
      </c>
      <c r="CP191" s="252"/>
      <c r="CQ191" s="251">
        <f>IFERROR(__xludf.DUMMYFUNCTION("AVERAGE(ARRAYFORMULA(XLOOKUP(FILTER(INDIRECT(""'""&amp;CQ$1&amp;""'!$C$4:$C$66""),INDIRECT(""'""&amp;CQ$1&amp;""'!$D$4:$D$66"")=CQ$2),$G$3:$BQ$3,$G191:$BQ191)))"),-0.11490167142857148)</f>
        <v>-0.1149016714</v>
      </c>
      <c r="CR191" s="207" t="str">
        <f>IFERROR(__xludf.DUMMYFUNCTION("IF(OR(CQ191&gt;$BS191+$BT191*$BT$2,CQ191&lt;$BS191-$BT191*$BT$2),AVEDEV(ARRAYFORMULA(XLOOKUP(FILTER(INDIRECT(""'""&amp;CQ$1&amp;""'!$C$4:$C$66""),INDIRECT(""'""&amp;CQ$1&amp;""'!$D$4:$D$66"")=CQ$2),$G$3:$BQ$3,$G191:$BQ191))),"""")"),"")</f>
        <v/>
      </c>
      <c r="CS191" s="251">
        <f>IFERROR(__xludf.DUMMYFUNCTION("AVERAGE(ARRAYFORMULA(XLOOKUP(FILTER(INDIRECT(""'""&amp;CS$1&amp;""'!$C$4:$C$66""),INDIRECT(""'""&amp;CS$1&amp;""'!$D$4:$D$66"")=CS$2),$G$3:$BQ$3,$G191:$BQ191)))"),0.0751970933333333)</f>
        <v>0.07519709333</v>
      </c>
      <c r="CT191" s="207" t="str">
        <f>IFERROR(__xludf.DUMMYFUNCTION("IF(OR(CS191&gt;$BS191+$BT191*$BT$2,CS191&lt;$BS191-$BT191*$BT$2),AVEDEV(ARRAYFORMULA(XLOOKUP(FILTER(INDIRECT(""'""&amp;CS$1&amp;""'!$C$4:$C$66""),INDIRECT(""'""&amp;CS$1&amp;""'!$D$4:$D$66"")=CS$2),$G$3:$BQ$3,$G191:$BQ191))),"""")"),"")</f>
        <v/>
      </c>
      <c r="CU191" s="251">
        <f>IFERROR(__xludf.DUMMYFUNCTION("AVERAGE(ARRAYFORMULA(XLOOKUP(FILTER(INDIRECT(""'""&amp;CU$1&amp;""'!$C$4:$C$66""),INDIRECT(""'""&amp;CU$1&amp;""'!$D$4:$D$66"")=CU$2),$G$3:$BQ$3,$G191:$BQ191)))"),0.3150669790909091)</f>
        <v>0.3150669791</v>
      </c>
      <c r="CV191" s="207" t="str">
        <f>IFERROR(__xludf.DUMMYFUNCTION("IF(OR(CU191&gt;$BS191+$BT191*$BT$2,CU191&lt;$BS191-$BT191*$BT$2),AVEDEV(ARRAYFORMULA(XLOOKUP(FILTER(INDIRECT(""'""&amp;CU$1&amp;""'!$C$4:$C$66""),INDIRECT(""'""&amp;CU$1&amp;""'!$D$4:$D$66"")=CU$2),$G$3:$BQ$3,$G191:$BQ191))),"""")"),"")</f>
        <v/>
      </c>
      <c r="CW191" s="251">
        <f>IFERROR(__xludf.DUMMYFUNCTION("AVERAGE(ARRAYFORMULA(XLOOKUP(FILTER(INDIRECT(""'""&amp;CW$1&amp;""'!$C$4:$C$66""),INDIRECT(""'""&amp;CW$1&amp;""'!$D$4:$D$66"")=CW$2),$G$3:$BQ$3,$G191:$BQ191)))"),2.0567010349999997)</f>
        <v>2.056701035</v>
      </c>
      <c r="CX191" s="207">
        <f>IFERROR(__xludf.DUMMYFUNCTION("IF(OR(CW191&gt;$BS191+$BT191*$BT$2,CW191&lt;$BS191-$BT191*$BT$2),AVEDEV(ARRAYFORMULA(XLOOKUP(FILTER(INDIRECT(""'""&amp;CW$1&amp;""'!$C$4:$C$66""),INDIRECT(""'""&amp;CW$1&amp;""'!$D$4:$D$66"")=CW$2),$G$3:$BQ$3,$G191:$BQ191))),"""")"),0.172528805)</f>
        <v>0.172528805</v>
      </c>
      <c r="CY191" s="251">
        <f>IFERROR(__xludf.DUMMYFUNCTION("AVERAGE(ARRAYFORMULA(XLOOKUP(FILTER(INDIRECT(""'""&amp;CY$1&amp;""'!$C$4:$C$66""),INDIRECT(""'""&amp;CY$1&amp;""'!$D$4:$D$66"")=CY$2),$G$3:$BQ$3,$G191:$BQ191)))"),-0.08606947214285711)</f>
        <v>-0.08606947214</v>
      </c>
      <c r="CZ191" s="207" t="str">
        <f>IFERROR(__xludf.DUMMYFUNCTION("IF(OR(CY191&gt;$BS191+$BT191*$BT$2,CY191&lt;$BS191-$BT191*$BT$2),AVEDEV(ARRAYFORMULA(XLOOKUP(FILTER(INDIRECT(""'""&amp;CY$1&amp;""'!$C$4:$C$66""),INDIRECT(""'""&amp;CY$1&amp;""'!$D$4:$D$66"")=CY$2),$G$3:$BQ$3,$G191:$BQ191))),"""")"),"")</f>
        <v/>
      </c>
      <c r="DA191" s="252"/>
      <c r="DB191" s="251">
        <f>IFERROR(__xludf.DUMMYFUNCTION("AVERAGE(ARRAYFORMULA(XLOOKUP(FILTER(INDIRECT(""'""&amp;DB$1&amp;""'!$C$4:$C$66""),INDIRECT(""'""&amp;DB$1&amp;""'!$D$4:$D$66"")=DB$2),$G$3:$BQ$3,$G191:$BQ191)))"),-0.10721487200000006)</f>
        <v>-0.107214872</v>
      </c>
      <c r="DC191" s="207" t="str">
        <f>IFERROR(__xludf.DUMMYFUNCTION("IF(OR(DB191&gt;$BS191+$BT191*$BT$2,DB191&lt;$BS191-$BT191*$BT$2),AVEDEV(ARRAYFORMULA(XLOOKUP(FILTER(INDIRECT(""'""&amp;DB$1&amp;""'!$C$4:$C$66""),INDIRECT(""'""&amp;DB$1&amp;""'!$D$4:$D$66"")=DB$2),$G$3:$BQ$3,$G191:$BQ191))),"""")"),"")</f>
        <v/>
      </c>
      <c r="DD191" s="251">
        <f>IFERROR(__xludf.DUMMYFUNCTION("AVERAGE(ARRAYFORMULA(XLOOKUP(FILTER(INDIRECT(""'""&amp;DD$1&amp;""'!$C$4:$C$66""),INDIRECT(""'""&amp;DD$1&amp;""'!$D$4:$D$66"")=DD$2),$G$3:$BQ$3,$G191:$BQ191)))"),0.2591469611111111)</f>
        <v>0.2591469611</v>
      </c>
      <c r="DE191" s="207" t="str">
        <f>IFERROR(__xludf.DUMMYFUNCTION("IF(OR(DD191&gt;$BS191+$BT191*$BT$2,DD191&lt;$BS191-$BT191*$BT$2),AVEDEV(ARRAYFORMULA(XLOOKUP(FILTER(INDIRECT(""'""&amp;DD$1&amp;""'!$C$4:$C$66""),INDIRECT(""'""&amp;DD$1&amp;""'!$D$4:$D$66"")=DD$2),$G$3:$BQ$3,$G191:$BQ191))),"""")"),"")</f>
        <v/>
      </c>
      <c r="DF191" s="251">
        <f>IFERROR(__xludf.DUMMYFUNCTION("AVERAGE(ARRAYFORMULA(XLOOKUP(FILTER(INDIRECT(""'""&amp;DF$1&amp;""'!$C$4:$C$66""),INDIRECT(""'""&amp;DF$1&amp;""'!$D$4:$D$66"")=DF$2),$G$3:$BQ$3,$G191:$BQ191)))"),0.20603394874999995)</f>
        <v>0.2060339488</v>
      </c>
      <c r="DG191" s="207" t="str">
        <f>IFERROR(__xludf.DUMMYFUNCTION("IF(OR(DF191&gt;$BS191+$BT191*$BT$2,DF191&lt;$BS191-$BT191*$BT$2),AVEDEV(ARRAYFORMULA(XLOOKUP(FILTER(INDIRECT(""'""&amp;DF$1&amp;""'!$C$4:$C$66""),INDIRECT(""'""&amp;DF$1&amp;""'!$D$4:$D$66"")=DF$2),$G$3:$BQ$3,$G191:$BQ191))),"""")"),"")</f>
        <v/>
      </c>
      <c r="DH191" s="251">
        <f>IFERROR(__xludf.DUMMYFUNCTION("AVERAGE(ARRAYFORMULA(XLOOKUP(FILTER(INDIRECT(""'""&amp;DH$1&amp;""'!$C$4:$C$66""),INDIRECT(""'""&amp;DH$1&amp;""'!$D$4:$D$66"")=DH$2),$G$3:$BQ$3,$G191:$BQ191)))"),0.73377805)</f>
        <v>0.73377805</v>
      </c>
      <c r="DI191" s="207" t="str">
        <f>IFERROR(__xludf.DUMMYFUNCTION("IF(OR(DH191&gt;$BS191+$BT191*$BT$2,DH191&lt;$BS191-$BT191*$BT$2),AVEDEV(ARRAYFORMULA(XLOOKUP(FILTER(INDIRECT(""'""&amp;DH$1&amp;""'!$C$4:$C$66""),INDIRECT(""'""&amp;DH$1&amp;""'!$D$4:$D$66"")=DH$2),$G$3:$BQ$3,$G191:$BQ191))),"""")"),"")</f>
        <v/>
      </c>
      <c r="DJ191" s="243"/>
    </row>
    <row r="192">
      <c r="A192" s="2"/>
      <c r="B192" s="204">
        <v>188.0</v>
      </c>
      <c r="C192" s="204" t="s">
        <v>630</v>
      </c>
      <c r="D192" s="204" t="s">
        <v>636</v>
      </c>
      <c r="E192" s="205" t="b">
        <f>VLOOKUP(D192,'Feature Set List'!A189:C246,2,0)</f>
        <v>1</v>
      </c>
      <c r="F192" s="205" t="b">
        <f>VLOOKUP(D192,'Feature Set List'!A189:C246,3,0)</f>
        <v>1</v>
      </c>
      <c r="G192" s="205">
        <v>-0.244012</v>
      </c>
      <c r="H192" s="205">
        <v>0.10751463</v>
      </c>
      <c r="I192" s="205">
        <v>-0.244012</v>
      </c>
      <c r="J192" s="205">
        <v>0.72039234</v>
      </c>
      <c r="K192" s="205">
        <v>-0.244012</v>
      </c>
      <c r="L192" s="205">
        <v>0.98965354</v>
      </c>
      <c r="M192" s="205">
        <v>-0.244012</v>
      </c>
      <c r="N192" s="205">
        <v>0.55016611</v>
      </c>
      <c r="O192" s="205">
        <v>0.36696725</v>
      </c>
      <c r="P192" s="205">
        <v>1.0772979</v>
      </c>
      <c r="Q192" s="205">
        <v>-0.244012</v>
      </c>
      <c r="R192" s="205">
        <v>-0.244012</v>
      </c>
      <c r="S192" s="205">
        <v>-0.2391457</v>
      </c>
      <c r="T192" s="205">
        <v>0.42771713</v>
      </c>
      <c r="U192" s="205">
        <v>-0.244012</v>
      </c>
      <c r="V192" s="205">
        <v>1.67340611</v>
      </c>
      <c r="W192" s="205">
        <v>0.0</v>
      </c>
      <c r="X192" s="205">
        <v>-0.1335232</v>
      </c>
      <c r="Y192" s="205">
        <v>-0.0873912</v>
      </c>
      <c r="Z192" s="205">
        <v>-0.244012</v>
      </c>
      <c r="AA192" s="205">
        <v>-0.244012</v>
      </c>
      <c r="AB192" s="205">
        <v>1.8923588</v>
      </c>
      <c r="AC192" s="205">
        <v>-0.0632811</v>
      </c>
      <c r="AD192" s="205">
        <v>0.05980066</v>
      </c>
      <c r="AE192" s="205">
        <v>-0.244012</v>
      </c>
      <c r="AF192" s="205">
        <v>0.81468122</v>
      </c>
      <c r="AG192" s="205">
        <v>-0.244012</v>
      </c>
      <c r="AH192" s="205">
        <v>0.1223857</v>
      </c>
      <c r="AI192" s="205">
        <v>0.74317355</v>
      </c>
      <c r="AJ192" s="205">
        <v>-0.244012</v>
      </c>
      <c r="AK192" s="205">
        <v>1.5383009</v>
      </c>
      <c r="AL192" s="205">
        <v>0.31824078</v>
      </c>
      <c r="AM192" s="205">
        <v>-0.1309287</v>
      </c>
      <c r="AN192" s="205">
        <v>0.69381427</v>
      </c>
      <c r="AO192" s="205">
        <v>2.01512419</v>
      </c>
      <c r="AP192" s="205">
        <v>1.42534409</v>
      </c>
      <c r="AQ192" s="205">
        <v>0.33152982</v>
      </c>
      <c r="AR192" s="205">
        <v>0.90580604</v>
      </c>
      <c r="AS192" s="205">
        <v>0.99218478</v>
      </c>
      <c r="AT192" s="205">
        <v>-0.144281</v>
      </c>
      <c r="AU192" s="205">
        <v>-0.244012</v>
      </c>
      <c r="AV192" s="205">
        <v>0.04856826</v>
      </c>
      <c r="AW192" s="205">
        <v>1.39022307</v>
      </c>
      <c r="AX192" s="205">
        <v>0.38721721</v>
      </c>
      <c r="AY192" s="205">
        <v>-0.244012</v>
      </c>
      <c r="AZ192" s="205">
        <v>0.25306122</v>
      </c>
      <c r="BA192" s="205">
        <v>0.78398988</v>
      </c>
      <c r="BB192" s="205">
        <v>-0.244012</v>
      </c>
      <c r="BC192" s="205">
        <v>0.48561936</v>
      </c>
      <c r="BD192" s="205">
        <v>-0.2428125</v>
      </c>
      <c r="BE192" s="205">
        <v>-0.244012</v>
      </c>
      <c r="BF192" s="205">
        <v>-0.1425091</v>
      </c>
      <c r="BG192" s="205">
        <v>-0.244012</v>
      </c>
      <c r="BH192" s="205">
        <v>-0.244012</v>
      </c>
      <c r="BI192" s="205">
        <v>1.36206296</v>
      </c>
      <c r="BJ192" s="205">
        <v>0.93048568</v>
      </c>
      <c r="BK192" s="205">
        <v>0.92194273</v>
      </c>
      <c r="BL192" s="205">
        <v>-0.244012</v>
      </c>
      <c r="BM192" s="205">
        <v>-0.244012</v>
      </c>
      <c r="BN192" s="205">
        <v>-0.244012</v>
      </c>
      <c r="BO192" s="205">
        <v>-0.1221009</v>
      </c>
      <c r="BP192" s="205">
        <v>0.7688024</v>
      </c>
      <c r="BQ192" s="205">
        <v>-0.244012</v>
      </c>
      <c r="BR192" s="206"/>
      <c r="BS192" s="250">
        <f t="shared" si="1"/>
        <v>0.2924380187</v>
      </c>
      <c r="BT192" s="250">
        <f t="shared" si="2"/>
        <v>0.5366067817</v>
      </c>
      <c r="BU192" s="206"/>
      <c r="BV192" s="207">
        <f>IFERROR(__xludf.DUMMYFUNCTION("AVERAGE(ARRAYFORMULA(XLOOKUP(FILTER(INDIRECT(""'""&amp;BV$1&amp;""'!$C$4:$C$66""),INDIRECT(""'""&amp;BV$1&amp;""'!$D$4:$D$66"")=BV$2),$G$3:$BQ$3,$G192:$BQ192)))"),0.09450585571428562)</f>
        <v>0.09450585571</v>
      </c>
      <c r="BW192" s="207" t="str">
        <f>IFERROR(__xludf.DUMMYFUNCTION("IF(OR(BV192&gt;$BS192+$BT192*$BT$2,BV192&lt;$BS192-$BT192*$BT$2),AVEDEV(ARRAYFORMULA(XLOOKUP(FILTER(INDIRECT(""'""&amp;BV$1&amp;""'!$C$4:$C$66""),INDIRECT(""'""&amp;BV$1&amp;""'!$D$4:$D$66"")=BV$2),$G$3:$BQ$3,$G192:$BQ192))),"""")"),"")</f>
        <v/>
      </c>
      <c r="BX192" s="207">
        <f>IFERROR(__xludf.DUMMYFUNCTION("AVERAGE(ARRAYFORMULA(XLOOKUP(FILTER(INDIRECT(""'""&amp;BX$1&amp;""'!$C$4:$C$66""),INDIRECT(""'""&amp;BX$1&amp;""'!$D$4:$D$66"")=BX$2),$G$3:$BQ$3,$G192:$BQ192)))"),0.35633135714285735)</f>
        <v>0.3563313571</v>
      </c>
      <c r="BY192" s="207" t="str">
        <f>IFERROR(__xludf.DUMMYFUNCTION("IF(OR(BX192&gt;$BS192+$BT192*$BT$2,BX192&lt;$BS192-$BT192*$BT$2),AVEDEV(ARRAYFORMULA(XLOOKUP(FILTER(INDIRECT(""'""&amp;BX$1&amp;""'!$C$4:$C$66""),INDIRECT(""'""&amp;BX$1&amp;""'!$D$4:$D$66"")=BX$2),$G$3:$BQ$3,$G192:$BQ192))),"""")"),"")</f>
        <v/>
      </c>
      <c r="BZ192" s="207">
        <f>IFERROR(__xludf.DUMMYFUNCTION("AVERAGE(ARRAYFORMULA(XLOOKUP(FILTER(INDIRECT(""'""&amp;BZ$1&amp;""'!$C$4:$C$66""),INDIRECT(""'""&amp;BZ$1&amp;""'!$D$4:$D$66"")=BZ$2),$G$3:$BQ$3,$G192:$BQ192)))"),0.3206339718181818)</f>
        <v>0.3206339718</v>
      </c>
      <c r="CA192" s="207" t="str">
        <f>IFERROR(__xludf.DUMMYFUNCTION("IF(OR(BZ192&gt;$BS192+$BT192*$BT$2,BZ192&lt;$BS192-$BT192*$BT$2),AVEDEV(ARRAYFORMULA(XLOOKUP(FILTER(INDIRECT(""'""&amp;BZ$1&amp;""'!$C$4:$C$66""),INDIRECT(""'""&amp;BZ$1&amp;""'!$D$4:$D$66"")=BZ$2),$G$3:$BQ$3,$G192:$BQ192))),"""")"),"")</f>
        <v/>
      </c>
      <c r="CB192" s="209"/>
      <c r="CC192" s="207">
        <f>IFERROR(__xludf.DUMMYFUNCTION("AVERAGE(ARRAYFORMULA(XLOOKUP(FILTER(INDIRECT(""'""&amp;CC$1&amp;""'!$C$4:$C$66""),INDIRECT(""'""&amp;CC$1&amp;""'!$D$4:$D$66"")=CC$2),$G$3:$BQ$3,$G192:$BQ192)))"),0.4358250325000001)</f>
        <v>0.4358250325</v>
      </c>
      <c r="CD192" s="207" t="str">
        <f>IFERROR(__xludf.DUMMYFUNCTION("IF(OR(CC192&gt;$BS192+$BT192*$BT$2,CC192&lt;$BS192-$BT192*$BT$2),AVEDEV(ARRAYFORMULA(XLOOKUP(FILTER(INDIRECT(""'""&amp;CC$1&amp;""'!$C$4:$C$66""),INDIRECT(""'""&amp;CC$1&amp;""'!$D$4:$D$66"")=CC$2),$G$3:$BQ$3,$G192:$BQ192))),"""")"),"")</f>
        <v/>
      </c>
      <c r="CE192" s="207">
        <f>IFERROR(__xludf.DUMMYFUNCTION("AVERAGE(ARRAYFORMULA(XLOOKUP(FILTER(INDIRECT(""'""&amp;CE$1&amp;""'!$C$4:$C$66""),INDIRECT(""'""&amp;CE$1&amp;""'!$D$4:$D$66"")=CE$2),$G$3:$BQ$3,$G192:$BQ192)))"),0.22011503645161296)</f>
        <v>0.2201150365</v>
      </c>
      <c r="CF192" s="207" t="str">
        <f>IFERROR(__xludf.DUMMYFUNCTION("IF(OR(CE192&gt;$BS192+$BT192*$BT$2,CE192&lt;$BS192-$BT192*$BT$2),AVEDEV(ARRAYFORMULA(XLOOKUP(FILTER(INDIRECT(""'""&amp;CE$1&amp;""'!$C$4:$C$66""),INDIRECT(""'""&amp;CE$1&amp;""'!$D$4:$D$66"")=CE$2),$G$3:$BQ$3,$G192:$BQ192))),"""")"),"")</f>
        <v/>
      </c>
      <c r="CG192" s="207">
        <f>IFERROR(__xludf.DUMMYFUNCTION("AVERAGE(ARRAYFORMULA(XLOOKUP(FILTER(INDIRECT(""'""&amp;CG$1&amp;""'!$C$4:$C$66""),INDIRECT(""'""&amp;CG$1&amp;""'!$D$4:$D$66"")=CG$2),$G$3:$BQ$3,$G192:$BQ192)))"),0.607435538)</f>
        <v>0.607435538</v>
      </c>
      <c r="CH192" s="207" t="str">
        <f>IFERROR(__xludf.DUMMYFUNCTION("IF(OR(CG192&gt;$BS192+$BT192*$BT$2,CG192&lt;$BS192-$BT192*$BT$2),AVEDEV(ARRAYFORMULA(XLOOKUP(FILTER(INDIRECT(""'""&amp;CG$1&amp;""'!$C$4:$C$66""),INDIRECT(""'""&amp;CG$1&amp;""'!$D$4:$D$66"")=CG$2),$G$3:$BQ$3,$G192:$BQ192))),"""")"),"")</f>
        <v/>
      </c>
      <c r="CI192" s="206"/>
      <c r="CJ192" s="251">
        <f>IFERROR(__xludf.DUMMYFUNCTION("AVERAGE(ARRAYFORMULA(XLOOKUP(FILTER(INDIRECT(""'""&amp;CJ$1&amp;""'!$C$4:$C$66""),INDIRECT(""'""&amp;CJ$1&amp;""'!$D$4:$D$66"")=CJ$2),$G$3:$BQ$3,$G192:$BQ192)))"),0.020416614)</f>
        <v>0.020416614</v>
      </c>
      <c r="CK192" s="207" t="str">
        <f>IFERROR(__xludf.DUMMYFUNCTION("IF(OR(CJ192&gt;$BS192+$BT192*$BT$2,CJ192&lt;$BS192-$BT192*$BT$2),AVEDEV(ARRAYFORMULA(XLOOKUP(FILTER(INDIRECT(""'""&amp;CJ$1&amp;""'!$C$4:$C$66""),INDIRECT(""'""&amp;CJ$1&amp;""'!$D$4:$D$66"")=CJ$2),$G$3:$BQ$3,$G192:$BQ192))),"""")"),"")</f>
        <v/>
      </c>
      <c r="CL192" s="251">
        <f>IFERROR(__xludf.DUMMYFUNCTION("AVERAGE(ARRAYFORMULA(XLOOKUP(FILTER(INDIRECT(""'""&amp;CL$1&amp;""'!$C$4:$C$66""),INDIRECT(""'""&amp;CL$1&amp;""'!$D$4:$D$66"")=CL$2),$G$3:$BQ$3,$G192:$BQ192)))"),0.411667096923077)</f>
        <v>0.4116670969</v>
      </c>
      <c r="CM192" s="207" t="str">
        <f>IFERROR(__xludf.DUMMYFUNCTION("IF(OR(CL192&gt;$BS192+$BT192*$BT$2,CL192&lt;$BS192-$BT192*$BT$2),AVEDEV(ARRAYFORMULA(XLOOKUP(FILTER(INDIRECT(""'""&amp;CL$1&amp;""'!$C$4:$C$66""),INDIRECT(""'""&amp;CL$1&amp;""'!$D$4:$D$66"")=CL$2),$G$3:$BQ$3,$G192:$BQ192))),"""")"),"")</f>
        <v/>
      </c>
      <c r="CN192" s="251">
        <f>IFERROR(__xludf.DUMMYFUNCTION("AVERAGE(ARRAYFORMULA(XLOOKUP(FILTER(INDIRECT(""'""&amp;CN$1&amp;""'!$C$4:$C$66""),INDIRECT(""'""&amp;CN$1&amp;""'!$D$4:$D$66"")=CN$2),$G$3:$BQ$3,$G192:$BQ192)))"),0.607435538)</f>
        <v>0.607435538</v>
      </c>
      <c r="CO192" s="207" t="str">
        <f>IFERROR(__xludf.DUMMYFUNCTION("IF(OR(CN192&gt;$BS192+$BT192*$BT$2,CN192&lt;$BS192-$BT192*$BT$2),AVEDEV(ARRAYFORMULA(XLOOKUP(FILTER(INDIRECT(""'""&amp;CN$1&amp;""'!$C$4:$C$66""),INDIRECT(""'""&amp;CN$1&amp;""'!$D$4:$D$66"")=CN$2),$G$3:$BQ$3,$G192:$BQ192))),"""")"),"")</f>
        <v/>
      </c>
      <c r="CP192" s="252"/>
      <c r="CQ192" s="251">
        <f>IFERROR(__xludf.DUMMYFUNCTION("AVERAGE(ARRAYFORMULA(XLOOKUP(FILTER(INDIRECT(""'""&amp;CQ$1&amp;""'!$C$4:$C$66""),INDIRECT(""'""&amp;CQ$1&amp;""'!$D$4:$D$66"")=CQ$2),$G$3:$BQ$3,$G192:$BQ192)))"),0.6492643592857145)</f>
        <v>0.6492643593</v>
      </c>
      <c r="CR192" s="207" t="str">
        <f>IFERROR(__xludf.DUMMYFUNCTION("IF(OR(CQ192&gt;$BS192+$BT192*$BT$2,CQ192&lt;$BS192-$BT192*$BT$2),AVEDEV(ARRAYFORMULA(XLOOKUP(FILTER(INDIRECT(""'""&amp;CQ$1&amp;""'!$C$4:$C$66""),INDIRECT(""'""&amp;CQ$1&amp;""'!$D$4:$D$66"")=CQ$2),$G$3:$BQ$3,$G192:$BQ192))),"""")"),"")</f>
        <v/>
      </c>
      <c r="CS192" s="251">
        <f>IFERROR(__xludf.DUMMYFUNCTION("AVERAGE(ARRAYFORMULA(XLOOKUP(FILTER(INDIRECT(""'""&amp;CS$1&amp;""'!$C$4:$C$66""),INDIRECT(""'""&amp;CS$1&amp;""'!$D$4:$D$66"")=CS$2),$G$3:$BQ$3,$G192:$BQ192)))"),0.39088049666666663)</f>
        <v>0.3908804967</v>
      </c>
      <c r="CT192" s="207" t="str">
        <f>IFERROR(__xludf.DUMMYFUNCTION("IF(OR(CS192&gt;$BS192+$BT192*$BT$2,CS192&lt;$BS192-$BT192*$BT$2),AVEDEV(ARRAYFORMULA(XLOOKUP(FILTER(INDIRECT(""'""&amp;CS$1&amp;""'!$C$4:$C$66""),INDIRECT(""'""&amp;CS$1&amp;""'!$D$4:$D$66"")=CS$2),$G$3:$BQ$3,$G192:$BQ192))),"""")"),"")</f>
        <v/>
      </c>
      <c r="CU192" s="251">
        <f>IFERROR(__xludf.DUMMYFUNCTION("AVERAGE(ARRAYFORMULA(XLOOKUP(FILTER(INDIRECT(""'""&amp;CU$1&amp;""'!$C$4:$C$66""),INDIRECT(""'""&amp;CU$1&amp;""'!$D$4:$D$66"")=CU$2),$G$3:$BQ$3,$G192:$BQ192)))"),0.10260114363636363)</f>
        <v>0.1026011436</v>
      </c>
      <c r="CV192" s="207" t="str">
        <f>IFERROR(__xludf.DUMMYFUNCTION("IF(OR(CU192&gt;$BS192+$BT192*$BT$2,CU192&lt;$BS192-$BT192*$BT$2),AVEDEV(ARRAYFORMULA(XLOOKUP(FILTER(INDIRECT(""'""&amp;CU$1&amp;""'!$C$4:$C$66""),INDIRECT(""'""&amp;CU$1&amp;""'!$D$4:$D$66"")=CU$2),$G$3:$BQ$3,$G192:$BQ192))),"""")"),"")</f>
        <v/>
      </c>
      <c r="CW192" s="251">
        <f>IFERROR(__xludf.DUMMYFUNCTION("AVERAGE(ARRAYFORMULA(XLOOKUP(FILTER(INDIRECT(""'""&amp;CW$1&amp;""'!$C$4:$C$66""),INDIRECT(""'""&amp;CW$1&amp;""'!$D$4:$D$66"")=CW$2),$G$3:$BQ$3,$G192:$BQ192)))"),-0.09210567)</f>
        <v>-0.09210567</v>
      </c>
      <c r="CX192" s="207" t="str">
        <f>IFERROR(__xludf.DUMMYFUNCTION("IF(OR(CW192&gt;$BS192+$BT192*$BT$2,CW192&lt;$BS192-$BT192*$BT$2),AVEDEV(ARRAYFORMULA(XLOOKUP(FILTER(INDIRECT(""'""&amp;CW$1&amp;""'!$C$4:$C$66""),INDIRECT(""'""&amp;CW$1&amp;""'!$D$4:$D$66"")=CW$2),$G$3:$BQ$3,$G192:$BQ192))),"""")"),"")</f>
        <v/>
      </c>
      <c r="CY192" s="251">
        <f>IFERROR(__xludf.DUMMYFUNCTION("AVERAGE(ARRAYFORMULA(XLOOKUP(FILTER(INDIRECT(""'""&amp;CY$1&amp;""'!$C$4:$C$66""),INDIRECT(""'""&amp;CY$1&amp;""'!$D$4:$D$66"")=CY$2),$G$3:$BQ$3,$G192:$BQ192)))"),0.3169073692857142)</f>
        <v>0.3169073693</v>
      </c>
      <c r="CZ192" s="207" t="str">
        <f>IFERROR(__xludf.DUMMYFUNCTION("IF(OR(CY192&gt;$BS192+$BT192*$BT$2,CY192&lt;$BS192-$BT192*$BT$2),AVEDEV(ARRAYFORMULA(XLOOKUP(FILTER(INDIRECT(""'""&amp;CY$1&amp;""'!$C$4:$C$66""),INDIRECT(""'""&amp;CY$1&amp;""'!$D$4:$D$66"")=CY$2),$G$3:$BQ$3,$G192:$BQ192))),"""")"),"")</f>
        <v/>
      </c>
      <c r="DA192" s="252"/>
      <c r="DB192" s="251">
        <f>IFERROR(__xludf.DUMMYFUNCTION("AVERAGE(ARRAYFORMULA(XLOOKUP(FILTER(INDIRECT(""'""&amp;DB$1&amp;""'!$C$4:$C$66""),INDIRECT(""'""&amp;DB$1&amp;""'!$D$4:$D$66"")=DB$2),$G$3:$BQ$3,$G192:$BQ192)))"),0.4142192746666669)</f>
        <v>0.4142192747</v>
      </c>
      <c r="DC192" s="207" t="str">
        <f>IFERROR(__xludf.DUMMYFUNCTION("IF(OR(DB192&gt;$BS192+$BT192*$BT$2,DB192&lt;$BS192-$BT192*$BT$2),AVEDEV(ARRAYFORMULA(XLOOKUP(FILTER(INDIRECT(""'""&amp;DB$1&amp;""'!$C$4:$C$66""),INDIRECT(""'""&amp;DB$1&amp;""'!$D$4:$D$66"")=DB$2),$G$3:$BQ$3,$G192:$BQ192))),"""")"),"")</f>
        <v/>
      </c>
      <c r="DD192" s="251">
        <f>IFERROR(__xludf.DUMMYFUNCTION("AVERAGE(ARRAYFORMULA(XLOOKUP(FILTER(INDIRECT(""'""&amp;DD$1&amp;""'!$C$4:$C$66""),INDIRECT(""'""&amp;DD$1&amp;""'!$D$4:$D$66"")=DD$2),$G$3:$BQ$3,$G192:$BQ192)))"),0.28835452333333333)</f>
        <v>0.2883545233</v>
      </c>
      <c r="DE192" s="207" t="str">
        <f>IFERROR(__xludf.DUMMYFUNCTION("IF(OR(DD192&gt;$BS192+$BT192*$BT$2,DD192&lt;$BS192-$BT192*$BT$2),AVEDEV(ARRAYFORMULA(XLOOKUP(FILTER(INDIRECT(""'""&amp;DD$1&amp;""'!$C$4:$C$66""),INDIRECT(""'""&amp;DD$1&amp;""'!$D$4:$D$66"")=DD$2),$G$3:$BQ$3,$G192:$BQ192))),"""")"),"")</f>
        <v/>
      </c>
      <c r="DF192" s="251">
        <f>IFERROR(__xludf.DUMMYFUNCTION("AVERAGE(ARRAYFORMULA(XLOOKUP(FILTER(INDIRECT(""'""&amp;DF$1&amp;""'!$C$4:$C$66""),INDIRECT(""'""&amp;DF$1&amp;""'!$D$4:$D$66"")=DF$2),$G$3:$BQ$3,$G192:$BQ192)))"),-0.10489715375)</f>
        <v>-0.1048971538</v>
      </c>
      <c r="DG192" s="207" t="str">
        <f>IFERROR(__xludf.DUMMYFUNCTION("IF(OR(DF192&gt;$BS192+$BT192*$BT$2,DF192&lt;$BS192-$BT192*$BT$2),AVEDEV(ARRAYFORMULA(XLOOKUP(FILTER(INDIRECT(""'""&amp;DF$1&amp;""'!$C$4:$C$66""),INDIRECT(""'""&amp;DF$1&amp;""'!$D$4:$D$66"")=DF$2),$G$3:$BQ$3,$G192:$BQ192))),"""")"),"")</f>
        <v/>
      </c>
      <c r="DH192" s="251">
        <f>IFERROR(__xludf.DUMMYFUNCTION("AVERAGE(ARRAYFORMULA(XLOOKUP(FILTER(INDIRECT(""'""&amp;DH$1&amp;""'!$C$4:$C$66""),INDIRECT(""'""&amp;DH$1&amp;""'!$D$4:$D$66"")=DH$2),$G$3:$BQ$3,$G192:$BQ192)))"),0.2698272144444444)</f>
        <v>0.2698272144</v>
      </c>
      <c r="DI192" s="207" t="str">
        <f>IFERROR(__xludf.DUMMYFUNCTION("IF(OR(DH192&gt;$BS192+$BT192*$BT$2,DH192&lt;$BS192-$BT192*$BT$2),AVEDEV(ARRAYFORMULA(XLOOKUP(FILTER(INDIRECT(""'""&amp;DH$1&amp;""'!$C$4:$C$66""),INDIRECT(""'""&amp;DH$1&amp;""'!$D$4:$D$66"")=DH$2),$G$3:$BQ$3,$G192:$BQ192))),"""")"),"")</f>
        <v/>
      </c>
      <c r="DJ192" s="243"/>
    </row>
    <row r="193">
      <c r="A193" s="2"/>
      <c r="B193" s="204">
        <v>189.0</v>
      </c>
      <c r="C193" s="204" t="s">
        <v>630</v>
      </c>
      <c r="D193" s="204" t="s">
        <v>637</v>
      </c>
      <c r="E193" s="205" t="b">
        <f>VLOOKUP(D193,'Feature Set List'!A190:C246,2,0)</f>
        <v>1</v>
      </c>
      <c r="F193" s="205" t="b">
        <f>VLOOKUP(D193,'Feature Set List'!A190:C246,3,0)</f>
        <v>1</v>
      </c>
      <c r="G193" s="205">
        <v>0.0</v>
      </c>
      <c r="H193" s="205">
        <v>0.0</v>
      </c>
      <c r="I193" s="205">
        <v>0.0</v>
      </c>
      <c r="J193" s="205">
        <v>0.0</v>
      </c>
      <c r="K193" s="205">
        <v>0.2079</v>
      </c>
      <c r="L193" s="205">
        <v>0.0</v>
      </c>
      <c r="M193" s="205">
        <v>0.5403</v>
      </c>
      <c r="N193" s="205">
        <v>0.0</v>
      </c>
      <c r="O193" s="205">
        <v>0.4409</v>
      </c>
      <c r="P193" s="205">
        <v>0.0</v>
      </c>
      <c r="Q193" s="205">
        <v>0.0</v>
      </c>
      <c r="R193" s="205">
        <v>0.0</v>
      </c>
      <c r="S193" s="205">
        <v>0.2777</v>
      </c>
      <c r="T193" s="205">
        <v>0.0</v>
      </c>
      <c r="U193" s="205">
        <v>0.0</v>
      </c>
      <c r="V193" s="205">
        <v>0.0</v>
      </c>
      <c r="W193" s="205">
        <v>0.0</v>
      </c>
      <c r="X193" s="205">
        <v>0.1048</v>
      </c>
      <c r="Y193" s="205">
        <v>0.0</v>
      </c>
      <c r="Z193" s="205">
        <v>0.0</v>
      </c>
      <c r="AA193" s="205">
        <v>0.0</v>
      </c>
      <c r="AB193" s="205">
        <v>0.0</v>
      </c>
      <c r="AC193" s="205">
        <v>0.0</v>
      </c>
      <c r="AD193" s="205">
        <v>0.0</v>
      </c>
      <c r="AE193" s="205">
        <v>0.3128</v>
      </c>
      <c r="AF193" s="205">
        <v>0.0</v>
      </c>
      <c r="AG193" s="205">
        <v>0.0</v>
      </c>
      <c r="AH193" s="205">
        <v>0.0</v>
      </c>
      <c r="AI193" s="205">
        <v>0.0</v>
      </c>
      <c r="AJ193" s="205">
        <v>0.0</v>
      </c>
      <c r="AK193" s="205">
        <v>0.0218</v>
      </c>
      <c r="AL193" s="205">
        <v>0.0</v>
      </c>
      <c r="AM193" s="205">
        <v>0.0</v>
      </c>
      <c r="AN193" s="205">
        <v>0.0</v>
      </c>
      <c r="AO193" s="205">
        <v>0.0</v>
      </c>
      <c r="AP193" s="205">
        <v>0.0</v>
      </c>
      <c r="AQ193" s="205">
        <v>0.0</v>
      </c>
      <c r="AR193" s="205">
        <v>0.0</v>
      </c>
      <c r="AS193" s="205">
        <v>0.0</v>
      </c>
      <c r="AT193" s="205">
        <v>0.0</v>
      </c>
      <c r="AU193" s="205">
        <v>0.0</v>
      </c>
      <c r="AV193" s="205">
        <v>0.0</v>
      </c>
      <c r="AW193" s="205">
        <v>0.0</v>
      </c>
      <c r="AX193" s="205">
        <v>0.1169</v>
      </c>
      <c r="AY193" s="205">
        <v>0.0</v>
      </c>
      <c r="AZ193" s="205">
        <v>0.0</v>
      </c>
      <c r="BA193" s="205">
        <v>0.0</v>
      </c>
      <c r="BB193" s="205">
        <v>0.0</v>
      </c>
      <c r="BC193" s="205">
        <v>0.02013</v>
      </c>
      <c r="BD193" s="205">
        <v>0.0</v>
      </c>
      <c r="BE193" s="205">
        <v>0.0</v>
      </c>
      <c r="BF193" s="205">
        <v>0.003412</v>
      </c>
      <c r="BG193" s="205">
        <v>0.0</v>
      </c>
      <c r="BH193" s="205">
        <v>0.02669</v>
      </c>
      <c r="BI193" s="205">
        <v>0.03929</v>
      </c>
      <c r="BJ193" s="205">
        <v>0.0949</v>
      </c>
      <c r="BK193" s="205">
        <v>0.02306</v>
      </c>
      <c r="BL193" s="205">
        <v>0.0</v>
      </c>
      <c r="BM193" s="205">
        <v>0.0</v>
      </c>
      <c r="BN193" s="205">
        <v>0.0</v>
      </c>
      <c r="BO193" s="205">
        <v>0.0</v>
      </c>
      <c r="BP193" s="205">
        <v>0.0</v>
      </c>
      <c r="BQ193" s="205">
        <v>0.6808</v>
      </c>
      <c r="BR193" s="206"/>
      <c r="BS193" s="250">
        <f t="shared" si="1"/>
        <v>0.0462124127</v>
      </c>
      <c r="BT193" s="250">
        <f t="shared" si="2"/>
        <v>0.07495518367</v>
      </c>
      <c r="BU193" s="206"/>
      <c r="BV193" s="207">
        <f>IFERROR(__xludf.DUMMYFUNCTION("AVERAGE(ARRAYFORMULA(XLOOKUP(FILTER(INDIRECT(""'""&amp;BV$1&amp;""'!$C$4:$C$66""),INDIRECT(""'""&amp;BV$1&amp;""'!$D$4:$D$66"")=BV$2),$G$3:$BQ$3,$G193:$BQ193)))"),0.014971428571428571)</f>
        <v>0.01497142857</v>
      </c>
      <c r="BW193" s="207" t="str">
        <f>IFERROR(__xludf.DUMMYFUNCTION("IF(OR(BV193&gt;$BS193+$BT193*$BT$2,BV193&lt;$BS193-$BT193*$BT$2),AVEDEV(ARRAYFORMULA(XLOOKUP(FILTER(INDIRECT(""'""&amp;BV$1&amp;""'!$C$4:$C$66""),INDIRECT(""'""&amp;BV$1&amp;""'!$D$4:$D$66"")=BV$2),$G$3:$BQ$3,$G193:$BQ193))),"""")"),"")</f>
        <v/>
      </c>
      <c r="BX193" s="207">
        <f>IFERROR(__xludf.DUMMYFUNCTION("AVERAGE(ARRAYFORMULA(XLOOKUP(FILTER(INDIRECT(""'""&amp;BX$1&amp;""'!$C$4:$C$66""),INDIRECT(""'""&amp;BX$1&amp;""'!$D$4:$D$66"")=BX$2),$G$3:$BQ$3,$G193:$BQ193)))"),0.05395909523809524)</f>
        <v>0.05395909524</v>
      </c>
      <c r="BY193" s="207" t="str">
        <f>IFERROR(__xludf.DUMMYFUNCTION("IF(OR(BX193&gt;$BS193+$BT193*$BT$2,BX193&lt;$BS193-$BT193*$BT$2),AVEDEV(ARRAYFORMULA(XLOOKUP(FILTER(INDIRECT(""'""&amp;BX$1&amp;""'!$C$4:$C$66""),INDIRECT(""'""&amp;BX$1&amp;""'!$D$4:$D$66"")=BX$2),$G$3:$BQ$3,$G193:$BQ193))),"""")"),"")</f>
        <v/>
      </c>
      <c r="BZ193" s="207">
        <f>IFERROR(__xludf.DUMMYFUNCTION("AVERAGE(ARRAYFORMULA(XLOOKUP(FILTER(INDIRECT(""'""&amp;BZ$1&amp;""'!$C$4:$C$66""),INDIRECT(""'""&amp;BZ$1&amp;""'!$D$4:$D$66"")=BZ$2),$G$3:$BQ$3,$G193:$BQ193)))"),0.04911818181818182)</f>
        <v>0.04911818182</v>
      </c>
      <c r="CA193" s="207" t="str">
        <f>IFERROR(__xludf.DUMMYFUNCTION("IF(OR(BZ193&gt;$BS193+$BT193*$BT$2,BZ193&lt;$BS193-$BT193*$BT$2),AVEDEV(ARRAYFORMULA(XLOOKUP(FILTER(INDIRECT(""'""&amp;BZ$1&amp;""'!$C$4:$C$66""),INDIRECT(""'""&amp;BZ$1&amp;""'!$D$4:$D$66"")=BZ$2),$G$3:$BQ$3,$G193:$BQ193))),"""")"),"")</f>
        <v/>
      </c>
      <c r="CB193" s="209"/>
      <c r="CC193" s="207">
        <f>IFERROR(__xludf.DUMMYFUNCTION("AVERAGE(ARRAYFORMULA(XLOOKUP(FILTER(INDIRECT(""'""&amp;CC$1&amp;""'!$C$4:$C$66""),INDIRECT(""'""&amp;CC$1&amp;""'!$D$4:$D$66"")=CC$2),$G$3:$BQ$3,$G193:$BQ193)))"),0.0341195)</f>
        <v>0.0341195</v>
      </c>
      <c r="CD193" s="207" t="str">
        <f>IFERROR(__xludf.DUMMYFUNCTION("IF(OR(CC193&gt;$BS193+$BT193*$BT$2,CC193&lt;$BS193-$BT193*$BT$2),AVEDEV(ARRAYFORMULA(XLOOKUP(FILTER(INDIRECT(""'""&amp;CC$1&amp;""'!$C$4:$C$66""),INDIRECT(""'""&amp;CC$1&amp;""'!$D$4:$D$66"")=CC$2),$G$3:$BQ$3,$G193:$BQ193))),"""")"),"")</f>
        <v/>
      </c>
      <c r="CE193" s="207">
        <f>IFERROR(__xludf.DUMMYFUNCTION("AVERAGE(ARRAYFORMULA(XLOOKUP(FILTER(INDIRECT(""'""&amp;CE$1&amp;""'!$C$4:$C$66""),INDIRECT(""'""&amp;CE$1&amp;""'!$D$4:$D$66"")=CE$2),$G$3:$BQ$3,$G193:$BQ193)))"),0.06915387096774193)</f>
        <v>0.06915387097</v>
      </c>
      <c r="CF193" s="207" t="str">
        <f>IFERROR(__xludf.DUMMYFUNCTION("IF(OR(CE193&gt;$BS193+$BT193*$BT$2,CE193&lt;$BS193-$BT193*$BT$2),AVEDEV(ARRAYFORMULA(XLOOKUP(FILTER(INDIRECT(""'""&amp;CE$1&amp;""'!$C$4:$C$66""),INDIRECT(""'""&amp;CE$1&amp;""'!$D$4:$D$66"")=CE$2),$G$3:$BQ$3,$G193:$BQ193))),"""")"),"")</f>
        <v/>
      </c>
      <c r="CG193" s="207">
        <f>IFERROR(__xludf.DUMMYFUNCTION("AVERAGE(ARRAYFORMULA(XLOOKUP(FILTER(INDIRECT(""'""&amp;CG$1&amp;""'!$C$4:$C$66""),INDIRECT(""'""&amp;CG$1&amp;""'!$D$4:$D$66"")=CG$2),$G$3:$BQ$3,$G193:$BQ193)))"),0.0)</f>
        <v>0</v>
      </c>
      <c r="CH193" s="207" t="str">
        <f>IFERROR(__xludf.DUMMYFUNCTION("IF(OR(CG193&gt;$BS193+$BT193*$BT$2,CG193&lt;$BS193-$BT193*$BT$2),AVEDEV(ARRAYFORMULA(XLOOKUP(FILTER(INDIRECT(""'""&amp;CG$1&amp;""'!$C$4:$C$66""),INDIRECT(""'""&amp;CG$1&amp;""'!$D$4:$D$66"")=CG$2),$G$3:$BQ$3,$G193:$BQ193))),"""")"),"")</f>
        <v/>
      </c>
      <c r="CI193" s="206"/>
      <c r="CJ193" s="251">
        <f>IFERROR(__xludf.DUMMYFUNCTION("AVERAGE(ARRAYFORMULA(XLOOKUP(FILTER(INDIRECT(""'""&amp;CJ$1&amp;""'!$C$4:$C$66""),INDIRECT(""'""&amp;CJ$1&amp;""'!$D$4:$D$66"")=CJ$2),$G$3:$BQ$3,$G193:$BQ193)))"),0.02784)</f>
        <v>0.02784</v>
      </c>
      <c r="CK193" s="207" t="str">
        <f>IFERROR(__xludf.DUMMYFUNCTION("IF(OR(CJ193&gt;$BS193+$BT193*$BT$2,CJ193&lt;$BS193-$BT193*$BT$2),AVEDEV(ARRAYFORMULA(XLOOKUP(FILTER(INDIRECT(""'""&amp;CJ$1&amp;""'!$C$4:$C$66""),INDIRECT(""'""&amp;CJ$1&amp;""'!$D$4:$D$66"")=CJ$2),$G$3:$BQ$3,$G193:$BQ193))),"""")"),"")</f>
        <v/>
      </c>
      <c r="CL193" s="251">
        <f>IFERROR(__xludf.DUMMYFUNCTION("AVERAGE(ARRAYFORMULA(XLOOKUP(FILTER(INDIRECT(""'""&amp;CL$1&amp;""'!$C$4:$C$66""),INDIRECT(""'""&amp;CL$1&amp;""'!$D$4:$D$66"")=CL$2),$G$3:$BQ$3,$G193:$BQ193)))"),0.06394312820512821)</f>
        <v>0.06394312821</v>
      </c>
      <c r="CM193" s="207" t="str">
        <f>IFERROR(__xludf.DUMMYFUNCTION("IF(OR(CL193&gt;$BS193+$BT193*$BT$2,CL193&lt;$BS193-$BT193*$BT$2),AVEDEV(ARRAYFORMULA(XLOOKUP(FILTER(INDIRECT(""'""&amp;CL$1&amp;""'!$C$4:$C$66""),INDIRECT(""'""&amp;CL$1&amp;""'!$D$4:$D$66"")=CL$2),$G$3:$BQ$3,$G193:$BQ193))),"""")"),"")</f>
        <v/>
      </c>
      <c r="CN193" s="251">
        <f>IFERROR(__xludf.DUMMYFUNCTION("AVERAGE(ARRAYFORMULA(XLOOKUP(FILTER(INDIRECT(""'""&amp;CN$1&amp;""'!$C$4:$C$66""),INDIRECT(""'""&amp;CN$1&amp;""'!$D$4:$D$66"")=CN$2),$G$3:$BQ$3,$G193:$BQ193)))"),0.0)</f>
        <v>0</v>
      </c>
      <c r="CO193" s="207" t="str">
        <f>IFERROR(__xludf.DUMMYFUNCTION("IF(OR(CN193&gt;$BS193+$BT193*$BT$2,CN193&lt;$BS193-$BT193*$BT$2),AVEDEV(ARRAYFORMULA(XLOOKUP(FILTER(INDIRECT(""'""&amp;CN$1&amp;""'!$C$4:$C$66""),INDIRECT(""'""&amp;CN$1&amp;""'!$D$4:$D$66"")=CN$2),$G$3:$BQ$3,$G193:$BQ193))),"""")"),"")</f>
        <v/>
      </c>
      <c r="CP193" s="252"/>
      <c r="CQ193" s="251">
        <f>IFERROR(__xludf.DUMMYFUNCTION("AVERAGE(ARRAYFORMULA(XLOOKUP(FILTER(INDIRECT(""'""&amp;CQ$1&amp;""'!$C$4:$C$66""),INDIRECT(""'""&amp;CQ$1&amp;""'!$D$4:$D$66"")=CQ$2),$G$3:$BQ$3,$G193:$BQ193)))"),0.025790857142857143)</f>
        <v>0.02579085714</v>
      </c>
      <c r="CR193" s="207" t="str">
        <f>IFERROR(__xludf.DUMMYFUNCTION("IF(OR(CQ193&gt;$BS193+$BT193*$BT$2,CQ193&lt;$BS193-$BT193*$BT$2),AVEDEV(ARRAYFORMULA(XLOOKUP(FILTER(INDIRECT(""'""&amp;CQ$1&amp;""'!$C$4:$C$66""),INDIRECT(""'""&amp;CQ$1&amp;""'!$D$4:$D$66"")=CQ$2),$G$3:$BQ$3,$G193:$BQ193))),"""")"),"")</f>
        <v/>
      </c>
      <c r="CS193" s="251">
        <f>IFERROR(__xludf.DUMMYFUNCTION("AVERAGE(ARRAYFORMULA(XLOOKUP(FILTER(INDIRECT(""'""&amp;CS$1&amp;""'!$C$4:$C$66""),INDIRECT(""'""&amp;CS$1&amp;""'!$D$4:$D$66"")=CS$2),$G$3:$BQ$3,$G193:$BQ193)))"),0.060033333333333334)</f>
        <v>0.06003333333</v>
      </c>
      <c r="CT193" s="207" t="str">
        <f>IFERROR(__xludf.DUMMYFUNCTION("IF(OR(CS193&gt;$BS193+$BT193*$BT$2,CS193&lt;$BS193-$BT193*$BT$2),AVEDEV(ARRAYFORMULA(XLOOKUP(FILTER(INDIRECT(""'""&amp;CS$1&amp;""'!$C$4:$C$66""),INDIRECT(""'""&amp;CS$1&amp;""'!$D$4:$D$66"")=CS$2),$G$3:$BQ$3,$G193:$BQ193))),"""")"),"")</f>
        <v/>
      </c>
      <c r="CU193" s="251">
        <f>IFERROR(__xludf.DUMMYFUNCTION("AVERAGE(ARRAYFORMULA(XLOOKUP(FILTER(INDIRECT(""'""&amp;CU$1&amp;""'!$C$4:$C$66""),INDIRECT(""'""&amp;CU$1&amp;""'!$D$4:$D$66"")=CU$2),$G$3:$BQ$3,$G193:$BQ193)))"),0.025245454545454547)</f>
        <v>0.02524545455</v>
      </c>
      <c r="CV193" s="207" t="str">
        <f>IFERROR(__xludf.DUMMYFUNCTION("IF(OR(CU193&gt;$BS193+$BT193*$BT$2,CU193&lt;$BS193-$BT193*$BT$2),AVEDEV(ARRAYFORMULA(XLOOKUP(FILTER(INDIRECT(""'""&amp;CU$1&amp;""'!$C$4:$C$66""),INDIRECT(""'""&amp;CU$1&amp;""'!$D$4:$D$66"")=CU$2),$G$3:$BQ$3,$G193:$BQ193))),"""")"),"")</f>
        <v/>
      </c>
      <c r="CW193" s="251">
        <f>IFERROR(__xludf.DUMMYFUNCTION("AVERAGE(ARRAYFORMULA(XLOOKUP(FILTER(INDIRECT(""'""&amp;CW$1&amp;""'!$C$4:$C$66""),INDIRECT(""'""&amp;CW$1&amp;""'!$D$4:$D$66"")=CW$2),$G$3:$BQ$3,$G193:$BQ193)))"),0.013345)</f>
        <v>0.013345</v>
      </c>
      <c r="CX193" s="207" t="str">
        <f>IFERROR(__xludf.DUMMYFUNCTION("IF(OR(CW193&gt;$BS193+$BT193*$BT$2,CW193&lt;$BS193-$BT193*$BT$2),AVEDEV(ARRAYFORMULA(XLOOKUP(FILTER(INDIRECT(""'""&amp;CW$1&amp;""'!$C$4:$C$66""),INDIRECT(""'""&amp;CW$1&amp;""'!$D$4:$D$66"")=CW$2),$G$3:$BQ$3,$G193:$BQ193))),"""")"),"")</f>
        <v/>
      </c>
      <c r="CY193" s="251">
        <f>IFERROR(__xludf.DUMMYFUNCTION("AVERAGE(ARRAYFORMULA(XLOOKUP(FILTER(INDIRECT(""'""&amp;CY$1&amp;""'!$C$4:$C$66""),INDIRECT(""'""&amp;CY$1&amp;""'!$D$4:$D$66"")=CY$2),$G$3:$BQ$3,$G193:$BQ193)))"),0.09949428571428572)</f>
        <v>0.09949428571</v>
      </c>
      <c r="CZ193" s="207" t="str">
        <f>IFERROR(__xludf.DUMMYFUNCTION("IF(OR(CY193&gt;$BS193+$BT193*$BT$2,CY193&lt;$BS193-$BT193*$BT$2),AVEDEV(ARRAYFORMULA(XLOOKUP(FILTER(INDIRECT(""'""&amp;CY$1&amp;""'!$C$4:$C$66""),INDIRECT(""'""&amp;CY$1&amp;""'!$D$4:$D$66"")=CY$2),$G$3:$BQ$3,$G193:$BQ193))),"""")"),"")</f>
        <v/>
      </c>
      <c r="DA193" s="252"/>
      <c r="DB193" s="251">
        <f>IFERROR(__xludf.DUMMYFUNCTION("AVERAGE(ARRAYFORMULA(XLOOKUP(FILTER(INDIRECT(""'""&amp;DB$1&amp;""'!$C$4:$C$66""),INDIRECT(""'""&amp;DB$1&amp;""'!$D$4:$D$66"")=DB$2),$G$3:$BQ$3,$G193:$BQ193)))"),0.05069973333333333)</f>
        <v>0.05069973333</v>
      </c>
      <c r="DC193" s="207" t="str">
        <f>IFERROR(__xludf.DUMMYFUNCTION("IF(OR(DB193&gt;$BS193+$BT193*$BT$2,DB193&lt;$BS193-$BT193*$BT$2),AVEDEV(ARRAYFORMULA(XLOOKUP(FILTER(INDIRECT(""'""&amp;DB$1&amp;""'!$C$4:$C$66""),INDIRECT(""'""&amp;DB$1&amp;""'!$D$4:$D$66"")=DB$2),$G$3:$BQ$3,$G193:$BQ193))),"""")"),"")</f>
        <v/>
      </c>
      <c r="DD193" s="251">
        <f>IFERROR(__xludf.DUMMYFUNCTION("AVERAGE(ARRAYFORMULA(XLOOKUP(FILTER(INDIRECT(""'""&amp;DD$1&amp;""'!$C$4:$C$66""),INDIRECT(""'""&amp;DD$1&amp;""'!$D$4:$D$66"")=DD$2),$G$3:$BQ$3,$G193:$BQ193)))"),0.060033333333333334)</f>
        <v>0.06003333333</v>
      </c>
      <c r="DE193" s="207" t="str">
        <f>IFERROR(__xludf.DUMMYFUNCTION("IF(OR(DD193&gt;$BS193+$BT193*$BT$2,DD193&lt;$BS193-$BT193*$BT$2),AVEDEV(ARRAYFORMULA(XLOOKUP(FILTER(INDIRECT(""'""&amp;DD$1&amp;""'!$C$4:$C$66""),INDIRECT(""'""&amp;DD$1&amp;""'!$D$4:$D$66"")=DD$2),$G$3:$BQ$3,$G193:$BQ193))),"""")"),"")</f>
        <v/>
      </c>
      <c r="DF193" s="251">
        <f>IFERROR(__xludf.DUMMYFUNCTION("AVERAGE(ARRAYFORMULA(XLOOKUP(FILTER(INDIRECT(""'""&amp;DF$1&amp;""'!$C$4:$C$66""),INDIRECT(""'""&amp;DF$1&amp;""'!$D$4:$D$66"")=DF$2),$G$3:$BQ$3,$G193:$BQ193)))"),0.089825)</f>
        <v>0.089825</v>
      </c>
      <c r="DG193" s="207" t="str">
        <f>IFERROR(__xludf.DUMMYFUNCTION("IF(OR(DF193&gt;$BS193+$BT193*$BT$2,DF193&lt;$BS193-$BT193*$BT$2),AVEDEV(ARRAYFORMULA(XLOOKUP(FILTER(INDIRECT(""'""&amp;DF$1&amp;""'!$C$4:$C$66""),INDIRECT(""'""&amp;DF$1&amp;""'!$D$4:$D$66"")=DF$2),$G$3:$BQ$3,$G193:$BQ193))),"""")"),"")</f>
        <v/>
      </c>
      <c r="DH193" s="251">
        <f>IFERROR(__xludf.DUMMYFUNCTION("AVERAGE(ARRAYFORMULA(XLOOKUP(FILTER(INDIRECT(""'""&amp;DH$1&amp;""'!$C$4:$C$66""),INDIRECT(""'""&amp;DH$1&amp;""'!$D$4:$D$66"")=DH$2),$G$3:$BQ$3,$G193:$BQ193)))"),0.0029655555555555555)</f>
        <v>0.002965555556</v>
      </c>
      <c r="DI193" s="207" t="str">
        <f>IFERROR(__xludf.DUMMYFUNCTION("IF(OR(DH193&gt;$BS193+$BT193*$BT$2,DH193&lt;$BS193-$BT193*$BT$2),AVEDEV(ARRAYFORMULA(XLOOKUP(FILTER(INDIRECT(""'""&amp;DH$1&amp;""'!$C$4:$C$66""),INDIRECT(""'""&amp;DH$1&amp;""'!$D$4:$D$66"")=DH$2),$G$3:$BQ$3,$G193:$BQ193))),"""")"),"")</f>
        <v/>
      </c>
      <c r="DJ193" s="243"/>
    </row>
    <row r="194">
      <c r="A194" s="2"/>
      <c r="B194" s="204">
        <v>190.0</v>
      </c>
      <c r="C194" s="204" t="s">
        <v>630</v>
      </c>
      <c r="D194" s="204" t="s">
        <v>638</v>
      </c>
      <c r="E194" s="205" t="b">
        <f>VLOOKUP(D194,'Feature Set List'!A191:C246,2,0)</f>
        <v>1</v>
      </c>
      <c r="F194" s="205" t="b">
        <f>VLOOKUP(D194,'Feature Set List'!A191:C246,3,0)</f>
        <v>1</v>
      </c>
      <c r="G194" s="205">
        <v>-0.1428145</v>
      </c>
      <c r="H194" s="205">
        <v>-0.2681628</v>
      </c>
      <c r="I194" s="205">
        <v>0.35977309</v>
      </c>
      <c r="J194" s="205">
        <v>-0.2781648</v>
      </c>
      <c r="K194" s="205">
        <v>1.49034634</v>
      </c>
      <c r="L194" s="205">
        <v>-0.2767715</v>
      </c>
      <c r="M194" s="205">
        <v>-0.4246616</v>
      </c>
      <c r="N194" s="205">
        <v>0.90565287</v>
      </c>
      <c r="O194" s="205">
        <v>-0.183121</v>
      </c>
      <c r="P194" s="205">
        <v>-0.6266421</v>
      </c>
      <c r="Q194" s="205">
        <v>0.83698248</v>
      </c>
      <c r="R194" s="205">
        <v>1.90933519</v>
      </c>
      <c r="S194" s="205">
        <v>0.68968949</v>
      </c>
      <c r="T194" s="205">
        <v>0.09454618</v>
      </c>
      <c r="U194" s="205">
        <v>1.22312898</v>
      </c>
      <c r="V194" s="205">
        <v>-0.1597333</v>
      </c>
      <c r="W194" s="205">
        <v>1.77846338</v>
      </c>
      <c r="X194" s="205">
        <v>0.41401274</v>
      </c>
      <c r="Y194" s="205">
        <v>0.27866242</v>
      </c>
      <c r="Z194" s="205">
        <v>1.27985669</v>
      </c>
      <c r="AA194" s="205">
        <v>0.64390924</v>
      </c>
      <c r="AB194" s="205">
        <v>-0.7354697</v>
      </c>
      <c r="AC194" s="205">
        <v>1.20123408</v>
      </c>
      <c r="AD194" s="205">
        <v>-0.2045183</v>
      </c>
      <c r="AE194" s="205">
        <v>0.11445064</v>
      </c>
      <c r="AF194" s="205">
        <v>0.52896099</v>
      </c>
      <c r="AG194" s="205">
        <v>0.55881768</v>
      </c>
      <c r="AH194" s="205">
        <v>1.51721736</v>
      </c>
      <c r="AI194" s="205">
        <v>0.11793392</v>
      </c>
      <c r="AJ194" s="205">
        <v>-0.4325239</v>
      </c>
      <c r="AK194" s="205">
        <v>-0.3255872</v>
      </c>
      <c r="AL194" s="205">
        <v>0.11843153</v>
      </c>
      <c r="AM194" s="205">
        <v>-0.1184315</v>
      </c>
      <c r="AN194" s="205">
        <v>0.16769506</v>
      </c>
      <c r="AO194" s="205">
        <v>-0.7354697</v>
      </c>
      <c r="AP194" s="205">
        <v>-0.7354697</v>
      </c>
      <c r="AQ194" s="205">
        <v>1.23755971</v>
      </c>
      <c r="AR194" s="205">
        <v>-0.7354697</v>
      </c>
      <c r="AS194" s="205">
        <v>-0.4445163</v>
      </c>
      <c r="AT194" s="205">
        <v>0.74293392</v>
      </c>
      <c r="AU194" s="205">
        <v>-0.7354697</v>
      </c>
      <c r="AV194" s="205">
        <v>-0.6809813</v>
      </c>
      <c r="AW194" s="205">
        <v>-0.7027966</v>
      </c>
      <c r="AX194" s="205">
        <v>1.33807723</v>
      </c>
      <c r="AY194" s="205">
        <v>0.0</v>
      </c>
      <c r="AZ194" s="205">
        <v>1.24054538</v>
      </c>
      <c r="BA194" s="205">
        <v>-0.5095541</v>
      </c>
      <c r="BB194" s="205">
        <v>0.48964968</v>
      </c>
      <c r="BC194" s="205">
        <v>1.43063296</v>
      </c>
      <c r="BD194" s="205">
        <v>-0.7354697</v>
      </c>
      <c r="BE194" s="205">
        <v>-0.1930732</v>
      </c>
      <c r="BF194" s="205">
        <v>-0.1861067</v>
      </c>
      <c r="BG194" s="205">
        <v>0.28861465</v>
      </c>
      <c r="BH194" s="205">
        <v>-0.15625</v>
      </c>
      <c r="BI194" s="205">
        <v>-0.7354697</v>
      </c>
      <c r="BJ194" s="205">
        <v>-0.1263933</v>
      </c>
      <c r="BK194" s="205">
        <v>-0.2060111</v>
      </c>
      <c r="BL194" s="205">
        <v>0.07663217</v>
      </c>
      <c r="BM194" s="205">
        <v>0.84544188</v>
      </c>
      <c r="BN194" s="205">
        <v>-0.140824</v>
      </c>
      <c r="BO194" s="205">
        <v>0.32941879</v>
      </c>
      <c r="BP194" s="205">
        <v>-0.3408141</v>
      </c>
      <c r="BQ194" s="205">
        <v>-0.6575438</v>
      </c>
      <c r="BR194" s="206"/>
      <c r="BS194" s="250">
        <f t="shared" si="1"/>
        <v>0.1795924098</v>
      </c>
      <c r="BT194" s="250">
        <f t="shared" si="2"/>
        <v>0.6053684754</v>
      </c>
      <c r="BU194" s="206"/>
      <c r="BV194" s="207">
        <f>IFERROR(__xludf.DUMMYFUNCTION("AVERAGE(ARRAYFORMULA(XLOOKUP(FILTER(INDIRECT(""'""&amp;BV$1&amp;""'!$C$4:$C$66""),INDIRECT(""'""&amp;BV$1&amp;""'!$D$4:$D$66"")=BV$2),$G$3:$BQ$3,$G194:$BQ194)))"),0.18212581000000003)</f>
        <v>0.18212581</v>
      </c>
      <c r="BW194" s="207" t="str">
        <f>IFERROR(__xludf.DUMMYFUNCTION("IF(OR(BV194&gt;$BS194+$BT194*$BT$2,BV194&lt;$BS194-$BT194*$BT$2),AVEDEV(ARRAYFORMULA(XLOOKUP(FILTER(INDIRECT(""'""&amp;BV$1&amp;""'!$C$4:$C$66""),INDIRECT(""'""&amp;BV$1&amp;""'!$D$4:$D$66"")=BV$2),$G$3:$BQ$3,$G194:$BQ194))),"""")"),"")</f>
        <v/>
      </c>
      <c r="BX194" s="207">
        <f>IFERROR(__xludf.DUMMYFUNCTION("AVERAGE(ARRAYFORMULA(XLOOKUP(FILTER(INDIRECT(""'""&amp;BX$1&amp;""'!$C$4:$C$66""),INDIRECT(""'""&amp;BX$1&amp;""'!$D$4:$D$66"")=BX$2),$G$3:$BQ$3,$G194:$BQ194)))"),0.19915311976190478)</f>
        <v>0.1991531198</v>
      </c>
      <c r="BY194" s="207" t="str">
        <f>IFERROR(__xludf.DUMMYFUNCTION("IF(OR(BX194&gt;$BS194+$BT194*$BT$2,BX194&lt;$BS194-$BT194*$BT$2),AVEDEV(ARRAYFORMULA(XLOOKUP(FILTER(INDIRECT(""'""&amp;BX$1&amp;""'!$C$4:$C$66""),INDIRECT(""'""&amp;BX$1&amp;""'!$D$4:$D$66"")=BX$2),$G$3:$BQ$3,$G194:$BQ194))),"""")"),"")</f>
        <v/>
      </c>
      <c r="BZ194" s="207">
        <f>IFERROR(__xludf.DUMMYFUNCTION("AVERAGE(ARRAYFORMULA(XLOOKUP(FILTER(INDIRECT(""'""&amp;BZ$1&amp;""'!$C$4:$C$66""),INDIRECT(""'""&amp;BZ$1&amp;""'!$D$4:$D$66"")=BZ$2),$G$3:$BQ$3,$G194:$BQ194)))"),0.25328876636363634)</f>
        <v>0.2532887664</v>
      </c>
      <c r="CA194" s="207" t="str">
        <f>IFERROR(__xludf.DUMMYFUNCTION("IF(OR(BZ194&gt;$BS194+$BT194*$BT$2,BZ194&lt;$BS194-$BT194*$BT$2),AVEDEV(ARRAYFORMULA(XLOOKUP(FILTER(INDIRECT(""'""&amp;BZ$1&amp;""'!$C$4:$C$66""),INDIRECT(""'""&amp;BZ$1&amp;""'!$D$4:$D$66"")=BZ$2),$G$3:$BQ$3,$G194:$BQ194))),"""")"),"")</f>
        <v/>
      </c>
      <c r="CB194" s="209"/>
      <c r="CC194" s="207">
        <f>IFERROR(__xludf.DUMMYFUNCTION("AVERAGE(ARRAYFORMULA(XLOOKUP(FILTER(INDIRECT(""'""&amp;CC$1&amp;""'!$C$4:$C$66""),INDIRECT(""'""&amp;CC$1&amp;""'!$D$4:$D$66"")=CC$2),$G$3:$BQ$3,$G194:$BQ194)))"),0.26402829)</f>
        <v>0.26402829</v>
      </c>
      <c r="CD194" s="207" t="str">
        <f>IFERROR(__xludf.DUMMYFUNCTION("IF(OR(CC194&gt;$BS194+$BT194*$BT$2,CC194&lt;$BS194-$BT194*$BT$2),AVEDEV(ARRAYFORMULA(XLOOKUP(FILTER(INDIRECT(""'""&amp;CC$1&amp;""'!$C$4:$C$66""),INDIRECT(""'""&amp;CC$1&amp;""'!$D$4:$D$66"")=CC$2),$G$3:$BQ$3,$G194:$BQ194))),"""")"),"")</f>
        <v/>
      </c>
      <c r="CE194" s="207">
        <f>IFERROR(__xludf.DUMMYFUNCTION("AVERAGE(ARRAYFORMULA(XLOOKUP(FILTER(INDIRECT(""'""&amp;CE$1&amp;""'!$C$4:$C$66""),INDIRECT(""'""&amp;CE$1&amp;""'!$D$4:$D$66"")=CE$2),$G$3:$BQ$3,$G194:$BQ194)))"),0.25834704032258066)</f>
        <v>0.2583470403</v>
      </c>
      <c r="CF194" s="207" t="str">
        <f>IFERROR(__xludf.DUMMYFUNCTION("IF(OR(CE194&gt;$BS194+$BT194*$BT$2,CE194&lt;$BS194-$BT194*$BT$2),AVEDEV(ARRAYFORMULA(XLOOKUP(FILTER(INDIRECT(""'""&amp;CE$1&amp;""'!$C$4:$C$66""),INDIRECT(""'""&amp;CE$1&amp;""'!$D$4:$D$66"")=CE$2),$G$3:$BQ$3,$G194:$BQ194))),"""")"),"")</f>
        <v/>
      </c>
      <c r="CG194" s="207">
        <f>IFERROR(__xludf.DUMMYFUNCTION("AVERAGE(ARRAYFORMULA(XLOOKUP(FILTER(INDIRECT(""'""&amp;CG$1&amp;""'!$C$4:$C$66""),INDIRECT(""'""&amp;CG$1&amp;""'!$D$4:$D$66"")=CG$2),$G$3:$BQ$3,$G194:$BQ194)))"),-0.23951033400000005)</f>
        <v>-0.239510334</v>
      </c>
      <c r="CH194" s="207" t="str">
        <f>IFERROR(__xludf.DUMMYFUNCTION("IF(OR(CG194&gt;$BS194+$BT194*$BT$2,CG194&lt;$BS194-$BT194*$BT$2),AVEDEV(ARRAYFORMULA(XLOOKUP(FILTER(INDIRECT(""'""&amp;CG$1&amp;""'!$C$4:$C$66""),INDIRECT(""'""&amp;CG$1&amp;""'!$D$4:$D$66"")=CG$2),$G$3:$BQ$3,$G194:$BQ194))),"""")"),"")</f>
        <v/>
      </c>
      <c r="CI194" s="206"/>
      <c r="CJ194" s="251">
        <f>IFERROR(__xludf.DUMMYFUNCTION("AVERAGE(ARRAYFORMULA(XLOOKUP(FILTER(INDIRECT(""'""&amp;CJ$1&amp;""'!$C$4:$C$66""),INDIRECT(""'""&amp;CJ$1&amp;""'!$D$4:$D$66"")=CJ$2),$G$3:$BQ$3,$G194:$BQ194)))"),0.5089570133333333)</f>
        <v>0.5089570133</v>
      </c>
      <c r="CK194" s="207" t="str">
        <f>IFERROR(__xludf.DUMMYFUNCTION("IF(OR(CJ194&gt;$BS194+$BT194*$BT$2,CJ194&lt;$BS194-$BT194*$BT$2),AVEDEV(ARRAYFORMULA(XLOOKUP(FILTER(INDIRECT(""'""&amp;CJ$1&amp;""'!$C$4:$C$66""),INDIRECT(""'""&amp;CJ$1&amp;""'!$D$4:$D$66"")=CJ$2),$G$3:$BQ$3,$G194:$BQ194))),"""")"),"")</f>
        <v/>
      </c>
      <c r="CL194" s="251">
        <f>IFERROR(__xludf.DUMMYFUNCTION("AVERAGE(ARRAYFORMULA(XLOOKUP(FILTER(INDIRECT(""'""&amp;CL$1&amp;""'!$C$4:$C$66""),INDIRECT(""'""&amp;CL$1&amp;""'!$D$4:$D$66"")=CL$2),$G$3:$BQ$3,$G194:$BQ194)))"),0.1515910879487179)</f>
        <v>0.1515910879</v>
      </c>
      <c r="CM194" s="207" t="str">
        <f>IFERROR(__xludf.DUMMYFUNCTION("IF(OR(CL194&gt;$BS194+$BT194*$BT$2,CL194&lt;$BS194-$BT194*$BT$2),AVEDEV(ARRAYFORMULA(XLOOKUP(FILTER(INDIRECT(""'""&amp;CL$1&amp;""'!$C$4:$C$66""),INDIRECT(""'""&amp;CL$1&amp;""'!$D$4:$D$66"")=CL$2),$G$3:$BQ$3,$G194:$BQ194))),"""")"),"")</f>
        <v/>
      </c>
      <c r="CN194" s="251">
        <f>IFERROR(__xludf.DUMMYFUNCTION("AVERAGE(ARRAYFORMULA(XLOOKUP(FILTER(INDIRECT(""'""&amp;CN$1&amp;""'!$C$4:$C$66""),INDIRECT(""'""&amp;CN$1&amp;""'!$D$4:$D$66"")=CN$2),$G$3:$BQ$3,$G194:$BQ194)))"),-0.23951033400000005)</f>
        <v>-0.239510334</v>
      </c>
      <c r="CO194" s="207" t="str">
        <f>IFERROR(__xludf.DUMMYFUNCTION("IF(OR(CN194&gt;$BS194+$BT194*$BT$2,CN194&lt;$BS194-$BT194*$BT$2),AVEDEV(ARRAYFORMULA(XLOOKUP(FILTER(INDIRECT(""'""&amp;CN$1&amp;""'!$C$4:$C$66""),INDIRECT(""'""&amp;CN$1&amp;""'!$D$4:$D$66"")=CN$2),$G$3:$BQ$3,$G194:$BQ194))),"""")"),"")</f>
        <v/>
      </c>
      <c r="CP194" s="252"/>
      <c r="CQ194" s="251">
        <f>IFERROR(__xludf.DUMMYFUNCTION("AVERAGE(ARRAYFORMULA(XLOOKUP(FILTER(INDIRECT(""'""&amp;CQ$1&amp;""'!$C$4:$C$66""),INDIRECT(""'""&amp;CQ$1&amp;""'!$D$4:$D$66"")=CQ$2),$G$3:$BQ$3,$G194:$BQ194)))"),0.013629582142857144)</f>
        <v>0.01362958214</v>
      </c>
      <c r="CR194" s="207" t="str">
        <f>IFERROR(__xludf.DUMMYFUNCTION("IF(OR(CQ194&gt;$BS194+$BT194*$BT$2,CQ194&lt;$BS194-$BT194*$BT$2),AVEDEV(ARRAYFORMULA(XLOOKUP(FILTER(INDIRECT(""'""&amp;CQ$1&amp;""'!$C$4:$C$66""),INDIRECT(""'""&amp;CQ$1&amp;""'!$D$4:$D$66"")=CQ$2),$G$3:$BQ$3,$G194:$BQ194))),"""")"),"")</f>
        <v/>
      </c>
      <c r="CS194" s="251">
        <f>IFERROR(__xludf.DUMMYFUNCTION("AVERAGE(ARRAYFORMULA(XLOOKUP(FILTER(INDIRECT(""'""&amp;CS$1&amp;""'!$C$4:$C$66""),INDIRECT(""'""&amp;CS$1&amp;""'!$D$4:$D$66"")=CS$2),$G$3:$BQ$3,$G194:$BQ194)))"),0.07779879666666664)</f>
        <v>0.07779879667</v>
      </c>
      <c r="CT194" s="207" t="str">
        <f>IFERROR(__xludf.DUMMYFUNCTION("IF(OR(CS194&gt;$BS194+$BT194*$BT$2,CS194&lt;$BS194-$BT194*$BT$2),AVEDEV(ARRAYFORMULA(XLOOKUP(FILTER(INDIRECT(""'""&amp;CS$1&amp;""'!$C$4:$C$66""),INDIRECT(""'""&amp;CS$1&amp;""'!$D$4:$D$66"")=CS$2),$G$3:$BQ$3,$G194:$BQ194))),"""")"),"")</f>
        <v/>
      </c>
      <c r="CU194" s="251">
        <f>IFERROR(__xludf.DUMMYFUNCTION("AVERAGE(ARRAYFORMULA(XLOOKUP(FILTER(INDIRECT(""'""&amp;CU$1&amp;""'!$C$4:$C$66""),INDIRECT(""'""&amp;CU$1&amp;""'!$D$4:$D$66"")=CU$2),$G$3:$BQ$3,$G194:$BQ194)))"),0.4653345827272728)</f>
        <v>0.4653345827</v>
      </c>
      <c r="CV194" s="207" t="str">
        <f>IFERROR(__xludf.DUMMYFUNCTION("IF(OR(CU194&gt;$BS194+$BT194*$BT$2,CU194&lt;$BS194-$BT194*$BT$2),AVEDEV(ARRAYFORMULA(XLOOKUP(FILTER(INDIRECT(""'""&amp;CU$1&amp;""'!$C$4:$C$66""),INDIRECT(""'""&amp;CU$1&amp;""'!$D$4:$D$66"")=CU$2),$G$3:$BQ$3,$G194:$BQ194))),"""")"),"")</f>
        <v/>
      </c>
      <c r="CW194" s="251">
        <f>IFERROR(__xludf.DUMMYFUNCTION("AVERAGE(ARRAYFORMULA(XLOOKUP(FILTER(INDIRECT(""'""&amp;CW$1&amp;""'!$C$4:$C$66""),INDIRECT(""'""&amp;CW$1&amp;""'!$D$4:$D$66"")=CW$2),$G$3:$BQ$3,$G194:$BQ194)))"),-0.18038415)</f>
        <v>-0.18038415</v>
      </c>
      <c r="CX194" s="207" t="str">
        <f>IFERROR(__xludf.DUMMYFUNCTION("IF(OR(CW194&gt;$BS194+$BT194*$BT$2,CW194&lt;$BS194-$BT194*$BT$2),AVEDEV(ARRAYFORMULA(XLOOKUP(FILTER(INDIRECT(""'""&amp;CW$1&amp;""'!$C$4:$C$66""),INDIRECT(""'""&amp;CW$1&amp;""'!$D$4:$D$66"")=CW$2),$G$3:$BQ$3,$G194:$BQ194))),"""")"),"")</f>
        <v/>
      </c>
      <c r="CY194" s="251">
        <f>IFERROR(__xludf.DUMMYFUNCTION("AVERAGE(ARRAYFORMULA(XLOOKUP(FILTER(INDIRECT(""'""&amp;CY$1&amp;""'!$C$4:$C$66""),INDIRECT(""'""&amp;CY$1&amp;""'!$D$4:$D$66"")=CY$2),$G$3:$BQ$3,$G194:$BQ194)))"),0.2578871507142856)</f>
        <v>0.2578871507</v>
      </c>
      <c r="CZ194" s="207" t="str">
        <f>IFERROR(__xludf.DUMMYFUNCTION("IF(OR(CY194&gt;$BS194+$BT194*$BT$2,CY194&lt;$BS194-$BT194*$BT$2),AVEDEV(ARRAYFORMULA(XLOOKUP(FILTER(INDIRECT(""'""&amp;CY$1&amp;""'!$C$4:$C$66""),INDIRECT(""'""&amp;CY$1&amp;""'!$D$4:$D$66"")=CY$2),$G$3:$BQ$3,$G194:$BQ194))),"""")"),"")</f>
        <v/>
      </c>
      <c r="DA194" s="252"/>
      <c r="DB194" s="251">
        <f>IFERROR(__xludf.DUMMYFUNCTION("AVERAGE(ARRAYFORMULA(XLOOKUP(FILTER(INDIRECT(""'""&amp;DB$1&amp;""'!$C$4:$C$66""),INDIRECT(""'""&amp;DB$1&amp;""'!$D$4:$D$66"")=DB$2),$G$3:$BQ$3,$G194:$BQ194)))"),0.29626958000000003)</f>
        <v>0.29626958</v>
      </c>
      <c r="DC194" s="207" t="str">
        <f>IFERROR(__xludf.DUMMYFUNCTION("IF(OR(DB194&gt;$BS194+$BT194*$BT$2,DB194&lt;$BS194-$BT194*$BT$2),AVEDEV(ARRAYFORMULA(XLOOKUP(FILTER(INDIRECT(""'""&amp;DB$1&amp;""'!$C$4:$C$66""),INDIRECT(""'""&amp;DB$1&amp;""'!$D$4:$D$66"")=DB$2),$G$3:$BQ$3,$G194:$BQ194))),"""")"),"")</f>
        <v/>
      </c>
      <c r="DD194" s="251">
        <f>IFERROR(__xludf.DUMMYFUNCTION("AVERAGE(ARRAYFORMULA(XLOOKUP(FILTER(INDIRECT(""'""&amp;DD$1&amp;""'!$C$4:$C$66""),INDIRECT(""'""&amp;DD$1&amp;""'!$D$4:$D$66"")=DD$2),$G$3:$BQ$3,$G194:$BQ194)))"),0.006336259999999996)</f>
        <v>0.00633626</v>
      </c>
      <c r="DE194" s="207" t="str">
        <f>IFERROR(__xludf.DUMMYFUNCTION("IF(OR(DD194&gt;$BS194+$BT194*$BT$2,DD194&lt;$BS194-$BT194*$BT$2),AVEDEV(ARRAYFORMULA(XLOOKUP(FILTER(INDIRECT(""'""&amp;DD$1&amp;""'!$C$4:$C$66""),INDIRECT(""'""&amp;DD$1&amp;""'!$D$4:$D$66"")=DD$2),$G$3:$BQ$3,$G194:$BQ194))),"""")"),"")</f>
        <v/>
      </c>
      <c r="DF194" s="251">
        <f>IFERROR(__xludf.DUMMYFUNCTION("AVERAGE(ARRAYFORMULA(XLOOKUP(FILTER(INDIRECT(""'""&amp;DF$1&amp;""'!$C$4:$C$66""),INDIRECT(""'""&amp;DF$1&amp;""'!$D$4:$D$66"")=DF$2),$G$3:$BQ$3,$G194:$BQ194)))"),0.6363704225000001)</f>
        <v>0.6363704225</v>
      </c>
      <c r="DG194" s="207" t="str">
        <f>IFERROR(__xludf.DUMMYFUNCTION("IF(OR(DF194&gt;$BS194+$BT194*$BT$2,DF194&lt;$BS194-$BT194*$BT$2),AVEDEV(ARRAYFORMULA(XLOOKUP(FILTER(INDIRECT(""'""&amp;DF$1&amp;""'!$C$4:$C$66""),INDIRECT(""'""&amp;DF$1&amp;""'!$D$4:$D$66"")=DF$2),$G$3:$BQ$3,$G194:$BQ194))),"""")"),"")</f>
        <v/>
      </c>
      <c r="DH194" s="251">
        <f>IFERROR(__xludf.DUMMYFUNCTION("AVERAGE(ARRAYFORMULA(XLOOKUP(FILTER(INDIRECT(""'""&amp;DH$1&amp;""'!$C$4:$C$66""),INDIRECT(""'""&amp;DH$1&amp;""'!$D$4:$D$66"")=DH$2),$G$3:$BQ$3,$G194:$BQ194)))"),-0.07003272222222222)</f>
        <v>-0.07003272222</v>
      </c>
      <c r="DI194" s="207" t="str">
        <f>IFERROR(__xludf.DUMMYFUNCTION("IF(OR(DH194&gt;$BS194+$BT194*$BT$2,DH194&lt;$BS194-$BT194*$BT$2),AVEDEV(ARRAYFORMULA(XLOOKUP(FILTER(INDIRECT(""'""&amp;DH$1&amp;""'!$C$4:$C$66""),INDIRECT(""'""&amp;DH$1&amp;""'!$D$4:$D$66"")=DH$2),$G$3:$BQ$3,$G194:$BQ194))),"""")"),"")</f>
        <v/>
      </c>
      <c r="DJ194" s="243"/>
    </row>
    <row r="195">
      <c r="A195" s="2"/>
      <c r="B195" s="204">
        <v>191.0</v>
      </c>
      <c r="C195" s="204" t="s">
        <v>630</v>
      </c>
      <c r="D195" s="204" t="s">
        <v>639</v>
      </c>
      <c r="E195" s="205" t="b">
        <f>VLOOKUP(D195,'Feature Set List'!A192:C246,2,0)</f>
        <v>1</v>
      </c>
      <c r="F195" s="205" t="b">
        <f>VLOOKUP(D195,'Feature Set List'!A192:C246,3,0)</f>
        <v>1</v>
      </c>
      <c r="G195" s="205">
        <v>0.0</v>
      </c>
      <c r="H195" s="205">
        <v>0.0</v>
      </c>
      <c r="I195" s="205">
        <v>0.0</v>
      </c>
      <c r="J195" s="205">
        <v>0.0</v>
      </c>
      <c r="K195" s="205">
        <v>0.0</v>
      </c>
      <c r="L195" s="205">
        <v>0.0</v>
      </c>
      <c r="M195" s="205">
        <v>0.0</v>
      </c>
      <c r="N195" s="205">
        <v>0.0</v>
      </c>
      <c r="O195" s="205">
        <v>0.0</v>
      </c>
      <c r="P195" s="205">
        <v>0.0</v>
      </c>
      <c r="Q195" s="205">
        <v>0.0</v>
      </c>
      <c r="R195" s="205">
        <v>0.0</v>
      </c>
      <c r="S195" s="205">
        <v>0.0</v>
      </c>
      <c r="T195" s="205">
        <v>0.0</v>
      </c>
      <c r="U195" s="205">
        <v>0.0</v>
      </c>
      <c r="V195" s="205">
        <v>0.0</v>
      </c>
      <c r="W195" s="205">
        <v>0.0</v>
      </c>
      <c r="X195" s="205">
        <v>0.0</v>
      </c>
      <c r="Y195" s="205">
        <v>0.0</v>
      </c>
      <c r="Z195" s="205">
        <v>0.0</v>
      </c>
      <c r="AA195" s="205">
        <v>0.0</v>
      </c>
      <c r="AB195" s="205">
        <v>0.0</v>
      </c>
      <c r="AC195" s="205">
        <v>0.0</v>
      </c>
      <c r="AD195" s="205">
        <v>0.0</v>
      </c>
      <c r="AE195" s="205">
        <v>0.0</v>
      </c>
      <c r="AF195" s="205">
        <v>0.0</v>
      </c>
      <c r="AG195" s="205">
        <v>0.0</v>
      </c>
      <c r="AH195" s="205">
        <v>0.0</v>
      </c>
      <c r="AI195" s="205">
        <v>0.0</v>
      </c>
      <c r="AJ195" s="205">
        <v>0.0</v>
      </c>
      <c r="AK195" s="205">
        <v>0.0</v>
      </c>
      <c r="AL195" s="205">
        <v>0.0</v>
      </c>
      <c r="AM195" s="205">
        <v>0.0</v>
      </c>
      <c r="AN195" s="205">
        <v>0.0</v>
      </c>
      <c r="AO195" s="205">
        <v>0.0</v>
      </c>
      <c r="AP195" s="205">
        <v>0.0</v>
      </c>
      <c r="AQ195" s="205">
        <v>0.0</v>
      </c>
      <c r="AR195" s="205">
        <v>0.0</v>
      </c>
      <c r="AS195" s="205">
        <v>0.0</v>
      </c>
      <c r="AT195" s="205">
        <v>0.0</v>
      </c>
      <c r="AU195" s="205">
        <v>0.0</v>
      </c>
      <c r="AV195" s="205">
        <v>0.0</v>
      </c>
      <c r="AW195" s="205">
        <v>0.0</v>
      </c>
      <c r="AX195" s="205">
        <v>0.0</v>
      </c>
      <c r="AY195" s="205">
        <v>0.0</v>
      </c>
      <c r="AZ195" s="205">
        <v>0.0</v>
      </c>
      <c r="BA195" s="205">
        <v>0.0</v>
      </c>
      <c r="BB195" s="205">
        <v>0.0</v>
      </c>
      <c r="BC195" s="205">
        <v>0.0</v>
      </c>
      <c r="BD195" s="205">
        <v>0.0</v>
      </c>
      <c r="BE195" s="205">
        <v>0.0</v>
      </c>
      <c r="BF195" s="205">
        <v>0.0</v>
      </c>
      <c r="BG195" s="205">
        <v>0.0</v>
      </c>
      <c r="BH195" s="205">
        <v>0.0</v>
      </c>
      <c r="BI195" s="205">
        <v>0.0</v>
      </c>
      <c r="BJ195" s="205">
        <v>0.0</v>
      </c>
      <c r="BK195" s="205">
        <v>0.0</v>
      </c>
      <c r="BL195" s="205">
        <v>0.0</v>
      </c>
      <c r="BM195" s="205">
        <v>0.0</v>
      </c>
      <c r="BN195" s="205">
        <v>0.0</v>
      </c>
      <c r="BO195" s="205">
        <v>0.0</v>
      </c>
      <c r="BP195" s="205">
        <v>0.0</v>
      </c>
      <c r="BQ195" s="205">
        <v>0.04464</v>
      </c>
      <c r="BR195" s="206"/>
      <c r="BS195" s="250">
        <f t="shared" si="1"/>
        <v>0.0007085714286</v>
      </c>
      <c r="BT195" s="250">
        <f t="shared" si="2"/>
        <v>0.001394648526</v>
      </c>
      <c r="BU195" s="206"/>
      <c r="BV195" s="207">
        <f>IFERROR(__xludf.DUMMYFUNCTION("AVERAGE(ARRAYFORMULA(XLOOKUP(FILTER(INDIRECT(""'""&amp;BV$1&amp;""'!$C$4:$C$66""),INDIRECT(""'""&amp;BV$1&amp;""'!$D$4:$D$66"")=BV$2),$G$3:$BQ$3,$G195:$BQ195)))"),0.0)</f>
        <v>0</v>
      </c>
      <c r="BW195" s="207" t="str">
        <f>IFERROR(__xludf.DUMMYFUNCTION("IF(OR(BV195&gt;$BS195+$BT195*$BT$2,BV195&lt;$BS195-$BT195*$BT$2),AVEDEV(ARRAYFORMULA(XLOOKUP(FILTER(INDIRECT(""'""&amp;BV$1&amp;""'!$C$4:$C$66""),INDIRECT(""'""&amp;BV$1&amp;""'!$D$4:$D$66"")=BV$2),$G$3:$BQ$3,$G195:$BQ195))),"""")"),"")</f>
        <v/>
      </c>
      <c r="BX195" s="207">
        <f>IFERROR(__xludf.DUMMYFUNCTION("AVERAGE(ARRAYFORMULA(XLOOKUP(FILTER(INDIRECT(""'""&amp;BX$1&amp;""'!$C$4:$C$66""),INDIRECT(""'""&amp;BX$1&amp;""'!$D$4:$D$66"")=BX$2),$G$3:$BQ$3,$G195:$BQ195)))"),0.0010628571428571427)</f>
        <v>0.001062857143</v>
      </c>
      <c r="BY195" s="207" t="str">
        <f>IFERROR(__xludf.DUMMYFUNCTION("IF(OR(BX195&gt;$BS195+$BT195*$BT$2,BX195&lt;$BS195-$BT195*$BT$2),AVEDEV(ARRAYFORMULA(XLOOKUP(FILTER(INDIRECT(""'""&amp;BX$1&amp;""'!$C$4:$C$66""),INDIRECT(""'""&amp;BX$1&amp;""'!$D$4:$D$66"")=BX$2),$G$3:$BQ$3,$G195:$BQ195))),"""")"),"")</f>
        <v/>
      </c>
      <c r="BZ195" s="207">
        <f>IFERROR(__xludf.DUMMYFUNCTION("AVERAGE(ARRAYFORMULA(XLOOKUP(FILTER(INDIRECT(""'""&amp;BZ$1&amp;""'!$C$4:$C$66""),INDIRECT(""'""&amp;BZ$1&amp;""'!$D$4:$D$66"")=BZ$2),$G$3:$BQ$3,$G195:$BQ195)))"),0.0)</f>
        <v>0</v>
      </c>
      <c r="CA195" s="207" t="str">
        <f>IFERROR(__xludf.DUMMYFUNCTION("IF(OR(BZ195&gt;$BS195+$BT195*$BT$2,BZ195&lt;$BS195-$BT195*$BT$2),AVEDEV(ARRAYFORMULA(XLOOKUP(FILTER(INDIRECT(""'""&amp;BZ$1&amp;""'!$C$4:$C$66""),INDIRECT(""'""&amp;BZ$1&amp;""'!$D$4:$D$66"")=BZ$2),$G$3:$BQ$3,$G195:$BQ195))),"""")"),"")</f>
        <v/>
      </c>
      <c r="CB195" s="209"/>
      <c r="CC195" s="207">
        <f>IFERROR(__xludf.DUMMYFUNCTION("AVERAGE(ARRAYFORMULA(XLOOKUP(FILTER(INDIRECT(""'""&amp;CC$1&amp;""'!$C$4:$C$66""),INDIRECT(""'""&amp;CC$1&amp;""'!$D$4:$D$66"")=CC$2),$G$3:$BQ$3,$G195:$BQ195)))"),0.0)</f>
        <v>0</v>
      </c>
      <c r="CD195" s="207" t="str">
        <f>IFERROR(__xludf.DUMMYFUNCTION("IF(OR(CC195&gt;$BS195+$BT195*$BT$2,CC195&lt;$BS195-$BT195*$BT$2),AVEDEV(ARRAYFORMULA(XLOOKUP(FILTER(INDIRECT(""'""&amp;CC$1&amp;""'!$C$4:$C$66""),INDIRECT(""'""&amp;CC$1&amp;""'!$D$4:$D$66"")=CC$2),$G$3:$BQ$3,$G195:$BQ195))),"""")"),"")</f>
        <v/>
      </c>
      <c r="CE195" s="207">
        <f>IFERROR(__xludf.DUMMYFUNCTION("AVERAGE(ARRAYFORMULA(XLOOKUP(FILTER(INDIRECT(""'""&amp;CE$1&amp;""'!$C$4:$C$66""),INDIRECT(""'""&amp;CE$1&amp;""'!$D$4:$D$66"")=CE$2),$G$3:$BQ$3,$G195:$BQ195)))"),0.0014399999999999999)</f>
        <v>0.00144</v>
      </c>
      <c r="CF195" s="207" t="str">
        <f>IFERROR(__xludf.DUMMYFUNCTION("IF(OR(CE195&gt;$BS195+$BT195*$BT$2,CE195&lt;$BS195-$BT195*$BT$2),AVEDEV(ARRAYFORMULA(XLOOKUP(FILTER(INDIRECT(""'""&amp;CE$1&amp;""'!$C$4:$C$66""),INDIRECT(""'""&amp;CE$1&amp;""'!$D$4:$D$66"")=CE$2),$G$3:$BQ$3,$G195:$BQ195))),"""")"),"")</f>
        <v/>
      </c>
      <c r="CG195" s="207">
        <f>IFERROR(__xludf.DUMMYFUNCTION("AVERAGE(ARRAYFORMULA(XLOOKUP(FILTER(INDIRECT(""'""&amp;CG$1&amp;""'!$C$4:$C$66""),INDIRECT(""'""&amp;CG$1&amp;""'!$D$4:$D$66"")=CG$2),$G$3:$BQ$3,$G195:$BQ195)))"),0.0)</f>
        <v>0</v>
      </c>
      <c r="CH195" s="207" t="str">
        <f>IFERROR(__xludf.DUMMYFUNCTION("IF(OR(CG195&gt;$BS195+$BT195*$BT$2,CG195&lt;$BS195-$BT195*$BT$2),AVEDEV(ARRAYFORMULA(XLOOKUP(FILTER(INDIRECT(""'""&amp;CG$1&amp;""'!$C$4:$C$66""),INDIRECT(""'""&amp;CG$1&amp;""'!$D$4:$D$66"")=CG$2),$G$3:$BQ$3,$G195:$BQ195))),"""")"),"")</f>
        <v/>
      </c>
      <c r="CI195" s="206"/>
      <c r="CJ195" s="251">
        <f>IFERROR(__xludf.DUMMYFUNCTION("AVERAGE(ARRAYFORMULA(XLOOKUP(FILTER(INDIRECT(""'""&amp;CJ$1&amp;""'!$C$4:$C$66""),INDIRECT(""'""&amp;CJ$1&amp;""'!$D$4:$D$66"")=CJ$2),$G$3:$BQ$3,$G195:$BQ195)))"),0.0)</f>
        <v>0</v>
      </c>
      <c r="CK195" s="207" t="str">
        <f>IFERROR(__xludf.DUMMYFUNCTION("IF(OR(CJ195&gt;$BS195+$BT195*$BT$2,CJ195&lt;$BS195-$BT195*$BT$2),AVEDEV(ARRAYFORMULA(XLOOKUP(FILTER(INDIRECT(""'""&amp;CJ$1&amp;""'!$C$4:$C$66""),INDIRECT(""'""&amp;CJ$1&amp;""'!$D$4:$D$66"")=CJ$2),$G$3:$BQ$3,$G195:$BQ195))),"""")"),"")</f>
        <v/>
      </c>
      <c r="CL195" s="251">
        <f>IFERROR(__xludf.DUMMYFUNCTION("AVERAGE(ARRAYFORMULA(XLOOKUP(FILTER(INDIRECT(""'""&amp;CL$1&amp;""'!$C$4:$C$66""),INDIRECT(""'""&amp;CL$1&amp;""'!$D$4:$D$66"")=CL$2),$G$3:$BQ$3,$G195:$BQ195)))"),0.0011446153846153845)</f>
        <v>0.001144615385</v>
      </c>
      <c r="CM195" s="207" t="str">
        <f>IFERROR(__xludf.DUMMYFUNCTION("IF(OR(CL195&gt;$BS195+$BT195*$BT$2,CL195&lt;$BS195-$BT195*$BT$2),AVEDEV(ARRAYFORMULA(XLOOKUP(FILTER(INDIRECT(""'""&amp;CL$1&amp;""'!$C$4:$C$66""),INDIRECT(""'""&amp;CL$1&amp;""'!$D$4:$D$66"")=CL$2),$G$3:$BQ$3,$G195:$BQ195))),"""")"),"")</f>
        <v/>
      </c>
      <c r="CN195" s="251">
        <f>IFERROR(__xludf.DUMMYFUNCTION("AVERAGE(ARRAYFORMULA(XLOOKUP(FILTER(INDIRECT(""'""&amp;CN$1&amp;""'!$C$4:$C$66""),INDIRECT(""'""&amp;CN$1&amp;""'!$D$4:$D$66"")=CN$2),$G$3:$BQ$3,$G195:$BQ195)))"),0.0)</f>
        <v>0</v>
      </c>
      <c r="CO195" s="207" t="str">
        <f>IFERROR(__xludf.DUMMYFUNCTION("IF(OR(CN195&gt;$BS195+$BT195*$BT$2,CN195&lt;$BS195-$BT195*$BT$2),AVEDEV(ARRAYFORMULA(XLOOKUP(FILTER(INDIRECT(""'""&amp;CN$1&amp;""'!$C$4:$C$66""),INDIRECT(""'""&amp;CN$1&amp;""'!$D$4:$D$66"")=CN$2),$G$3:$BQ$3,$G195:$BQ195))),"""")"),"")</f>
        <v/>
      </c>
      <c r="CP195" s="252"/>
      <c r="CQ195" s="251">
        <f>IFERROR(__xludf.DUMMYFUNCTION("AVERAGE(ARRAYFORMULA(XLOOKUP(FILTER(INDIRECT(""'""&amp;CQ$1&amp;""'!$C$4:$C$66""),INDIRECT(""'""&amp;CQ$1&amp;""'!$D$4:$D$66"")=CQ$2),$G$3:$BQ$3,$G195:$BQ195)))"),0.0)</f>
        <v>0</v>
      </c>
      <c r="CR195" s="207" t="str">
        <f>IFERROR(__xludf.DUMMYFUNCTION("IF(OR(CQ195&gt;$BS195+$BT195*$BT$2,CQ195&lt;$BS195-$BT195*$BT$2),AVEDEV(ARRAYFORMULA(XLOOKUP(FILTER(INDIRECT(""'""&amp;CQ$1&amp;""'!$C$4:$C$66""),INDIRECT(""'""&amp;CQ$1&amp;""'!$D$4:$D$66"")=CQ$2),$G$3:$BQ$3,$G195:$BQ195))),"""")"),"")</f>
        <v/>
      </c>
      <c r="CS195" s="251">
        <f>IFERROR(__xludf.DUMMYFUNCTION("AVERAGE(ARRAYFORMULA(XLOOKUP(FILTER(INDIRECT(""'""&amp;CS$1&amp;""'!$C$4:$C$66""),INDIRECT(""'""&amp;CS$1&amp;""'!$D$4:$D$66"")=CS$2),$G$3:$BQ$3,$G195:$BQ195)))"),0.0)</f>
        <v>0</v>
      </c>
      <c r="CT195" s="207" t="str">
        <f>IFERROR(__xludf.DUMMYFUNCTION("IF(OR(CS195&gt;$BS195+$BT195*$BT$2,CS195&lt;$BS195-$BT195*$BT$2),AVEDEV(ARRAYFORMULA(XLOOKUP(FILTER(INDIRECT(""'""&amp;CS$1&amp;""'!$C$4:$C$66""),INDIRECT(""'""&amp;CS$1&amp;""'!$D$4:$D$66"")=CS$2),$G$3:$BQ$3,$G195:$BQ195))),"""")"),"")</f>
        <v/>
      </c>
      <c r="CU195" s="251">
        <f>IFERROR(__xludf.DUMMYFUNCTION("AVERAGE(ARRAYFORMULA(XLOOKUP(FILTER(INDIRECT(""'""&amp;CU$1&amp;""'!$C$4:$C$66""),INDIRECT(""'""&amp;CU$1&amp;""'!$D$4:$D$66"")=CU$2),$G$3:$BQ$3,$G195:$BQ195)))"),0.0)</f>
        <v>0</v>
      </c>
      <c r="CV195" s="207" t="str">
        <f>IFERROR(__xludf.DUMMYFUNCTION("IF(OR(CU195&gt;$BS195+$BT195*$BT$2,CU195&lt;$BS195-$BT195*$BT$2),AVEDEV(ARRAYFORMULA(XLOOKUP(FILTER(INDIRECT(""'""&amp;CU$1&amp;""'!$C$4:$C$66""),INDIRECT(""'""&amp;CU$1&amp;""'!$D$4:$D$66"")=CU$2),$G$3:$BQ$3,$G195:$BQ195))),"""")"),"")</f>
        <v/>
      </c>
      <c r="CW195" s="251">
        <f>IFERROR(__xludf.DUMMYFUNCTION("AVERAGE(ARRAYFORMULA(XLOOKUP(FILTER(INDIRECT(""'""&amp;CW$1&amp;""'!$C$4:$C$66""),INDIRECT(""'""&amp;CW$1&amp;""'!$D$4:$D$66"")=CW$2),$G$3:$BQ$3,$G195:$BQ195)))"),0.0)</f>
        <v>0</v>
      </c>
      <c r="CX195" s="207" t="str">
        <f>IFERROR(__xludf.DUMMYFUNCTION("IF(OR(CW195&gt;$BS195+$BT195*$BT$2,CW195&lt;$BS195-$BT195*$BT$2),AVEDEV(ARRAYFORMULA(XLOOKUP(FILTER(INDIRECT(""'""&amp;CW$1&amp;""'!$C$4:$C$66""),INDIRECT(""'""&amp;CW$1&amp;""'!$D$4:$D$66"")=CW$2),$G$3:$BQ$3,$G195:$BQ195))),"""")"),"")</f>
        <v/>
      </c>
      <c r="CY195" s="251">
        <f>IFERROR(__xludf.DUMMYFUNCTION("AVERAGE(ARRAYFORMULA(XLOOKUP(FILTER(INDIRECT(""'""&amp;CY$1&amp;""'!$C$4:$C$66""),INDIRECT(""'""&amp;CY$1&amp;""'!$D$4:$D$66"")=CY$2),$G$3:$BQ$3,$G195:$BQ195)))"),0.0031885714285714286)</f>
        <v>0.003188571429</v>
      </c>
      <c r="CZ195" s="207">
        <f>IFERROR(__xludf.DUMMYFUNCTION("IF(OR(CY195&gt;$BS195+$BT195*$BT$2,CY195&lt;$BS195-$BT195*$BT$2),AVEDEV(ARRAYFORMULA(XLOOKUP(FILTER(INDIRECT(""'""&amp;CY$1&amp;""'!$C$4:$C$66""),INDIRECT(""'""&amp;CY$1&amp;""'!$D$4:$D$66"")=CY$2),$G$3:$BQ$3,$G195:$BQ195))),"""")"),0.005921632653061225)</f>
        <v>0.005921632653</v>
      </c>
      <c r="DA195" s="252"/>
      <c r="DB195" s="251">
        <f>IFERROR(__xludf.DUMMYFUNCTION("AVERAGE(ARRAYFORMULA(XLOOKUP(FILTER(INDIRECT(""'""&amp;DB$1&amp;""'!$C$4:$C$66""),INDIRECT(""'""&amp;DB$1&amp;""'!$D$4:$D$66"")=DB$2),$G$3:$BQ$3,$G195:$BQ195)))"),0.001488)</f>
        <v>0.001488</v>
      </c>
      <c r="DC195" s="207" t="str">
        <f>IFERROR(__xludf.DUMMYFUNCTION("IF(OR(DB195&gt;$BS195+$BT195*$BT$2,DB195&lt;$BS195-$BT195*$BT$2),AVEDEV(ARRAYFORMULA(XLOOKUP(FILTER(INDIRECT(""'""&amp;DB$1&amp;""'!$C$4:$C$66""),INDIRECT(""'""&amp;DB$1&amp;""'!$D$4:$D$66"")=DB$2),$G$3:$BQ$3,$G195:$BQ195))),"""")"),"")</f>
        <v/>
      </c>
      <c r="DD195" s="251">
        <f>IFERROR(__xludf.DUMMYFUNCTION("AVERAGE(ARRAYFORMULA(XLOOKUP(FILTER(INDIRECT(""'""&amp;DD$1&amp;""'!$C$4:$C$66""),INDIRECT(""'""&amp;DD$1&amp;""'!$D$4:$D$66"")=DD$2),$G$3:$BQ$3,$G195:$BQ195)))"),0.0)</f>
        <v>0</v>
      </c>
      <c r="DE195" s="207" t="str">
        <f>IFERROR(__xludf.DUMMYFUNCTION("IF(OR(DD195&gt;$BS195+$BT195*$BT$2,DD195&lt;$BS195-$BT195*$BT$2),AVEDEV(ARRAYFORMULA(XLOOKUP(FILTER(INDIRECT(""'""&amp;DD$1&amp;""'!$C$4:$C$66""),INDIRECT(""'""&amp;DD$1&amp;""'!$D$4:$D$66"")=DD$2),$G$3:$BQ$3,$G195:$BQ195))),"""")"),"")</f>
        <v/>
      </c>
      <c r="DF195" s="251">
        <f>IFERROR(__xludf.DUMMYFUNCTION("AVERAGE(ARRAYFORMULA(XLOOKUP(FILTER(INDIRECT(""'""&amp;DF$1&amp;""'!$C$4:$C$66""),INDIRECT(""'""&amp;DF$1&amp;""'!$D$4:$D$66"")=DF$2),$G$3:$BQ$3,$G195:$BQ195)))"),0.0)</f>
        <v>0</v>
      </c>
      <c r="DG195" s="207" t="str">
        <f>IFERROR(__xludf.DUMMYFUNCTION("IF(OR(DF195&gt;$BS195+$BT195*$BT$2,DF195&lt;$BS195-$BT195*$BT$2),AVEDEV(ARRAYFORMULA(XLOOKUP(FILTER(INDIRECT(""'""&amp;DF$1&amp;""'!$C$4:$C$66""),INDIRECT(""'""&amp;DF$1&amp;""'!$D$4:$D$66"")=DF$2),$G$3:$BQ$3,$G195:$BQ195))),"""")"),"")</f>
        <v/>
      </c>
      <c r="DH195" s="251">
        <f>IFERROR(__xludf.DUMMYFUNCTION("AVERAGE(ARRAYFORMULA(XLOOKUP(FILTER(INDIRECT(""'""&amp;DH$1&amp;""'!$C$4:$C$66""),INDIRECT(""'""&amp;DH$1&amp;""'!$D$4:$D$66"")=DH$2),$G$3:$BQ$3,$G195:$BQ195)))"),0.0)</f>
        <v>0</v>
      </c>
      <c r="DI195" s="207" t="str">
        <f>IFERROR(__xludf.DUMMYFUNCTION("IF(OR(DH195&gt;$BS195+$BT195*$BT$2,DH195&lt;$BS195-$BT195*$BT$2),AVEDEV(ARRAYFORMULA(XLOOKUP(FILTER(INDIRECT(""'""&amp;DH$1&amp;""'!$C$4:$C$66""),INDIRECT(""'""&amp;DH$1&amp;""'!$D$4:$D$66"")=DH$2),$G$3:$BQ$3,$G195:$BQ195))),"""")"),"")</f>
        <v/>
      </c>
      <c r="DJ195" s="243"/>
    </row>
    <row r="196">
      <c r="A196" s="2"/>
      <c r="B196" s="204">
        <v>192.0</v>
      </c>
      <c r="C196" s="204" t="s">
        <v>630</v>
      </c>
      <c r="D196" s="204" t="s">
        <v>640</v>
      </c>
      <c r="E196" s="205" t="b">
        <f>VLOOKUP(D196,'Feature Set List'!A193:C246,2,0)</f>
        <v>1</v>
      </c>
      <c r="F196" s="205" t="b">
        <f>VLOOKUP(D196,'Feature Set List'!A193:C246,3,0)</f>
        <v>1</v>
      </c>
      <c r="G196" s="205">
        <v>5.66758223</v>
      </c>
      <c r="H196" s="205">
        <v>0.0</v>
      </c>
      <c r="I196" s="205">
        <v>0.0</v>
      </c>
      <c r="J196" s="205">
        <v>0.0</v>
      </c>
      <c r="K196" s="205">
        <v>0.0</v>
      </c>
      <c r="L196" s="205">
        <v>6.48824278</v>
      </c>
      <c r="M196" s="205">
        <v>7.45517072</v>
      </c>
      <c r="N196" s="205">
        <v>0.09852393</v>
      </c>
      <c r="O196" s="205">
        <v>0.0</v>
      </c>
      <c r="P196" s="205">
        <v>9.42922221</v>
      </c>
      <c r="Q196" s="205">
        <v>0.0</v>
      </c>
      <c r="R196" s="205">
        <v>0.0</v>
      </c>
      <c r="S196" s="205">
        <v>0.0</v>
      </c>
      <c r="T196" s="205">
        <v>8.98818695</v>
      </c>
      <c r="U196" s="205">
        <v>0.0</v>
      </c>
      <c r="V196" s="205">
        <v>0.0</v>
      </c>
      <c r="W196" s="205">
        <v>5.60617226</v>
      </c>
      <c r="X196" s="205">
        <v>0.0</v>
      </c>
      <c r="Y196" s="205">
        <v>7.69634443</v>
      </c>
      <c r="Z196" s="205">
        <v>0.0</v>
      </c>
      <c r="AA196" s="205">
        <v>0.0</v>
      </c>
      <c r="AB196" s="205">
        <v>0.0</v>
      </c>
      <c r="AC196" s="205">
        <v>0.0</v>
      </c>
      <c r="AD196" s="205">
        <v>0.0</v>
      </c>
      <c r="AE196" s="205">
        <v>0.0</v>
      </c>
      <c r="AF196" s="205">
        <v>10.3224582</v>
      </c>
      <c r="AG196" s="205">
        <v>0.0</v>
      </c>
      <c r="AH196" s="205">
        <v>0.0</v>
      </c>
      <c r="AI196" s="205">
        <v>0.0</v>
      </c>
      <c r="AJ196" s="205">
        <v>0.0</v>
      </c>
      <c r="AK196" s="205">
        <v>0.0</v>
      </c>
      <c r="AL196" s="205">
        <v>0.0</v>
      </c>
      <c r="AM196" s="205">
        <v>0.0</v>
      </c>
      <c r="AN196" s="205">
        <v>0.0</v>
      </c>
      <c r="AO196" s="205">
        <v>0.0</v>
      </c>
      <c r="AP196" s="205">
        <v>0.0</v>
      </c>
      <c r="AQ196" s="205">
        <v>0.0</v>
      </c>
      <c r="AR196" s="205">
        <v>3.47133829</v>
      </c>
      <c r="AS196" s="205">
        <v>0.0</v>
      </c>
      <c r="AT196" s="205">
        <v>1.90147607</v>
      </c>
      <c r="AU196" s="205">
        <v>0.0</v>
      </c>
      <c r="AV196" s="205">
        <v>4.81565843</v>
      </c>
      <c r="AW196" s="205">
        <v>0.0</v>
      </c>
      <c r="AX196" s="205">
        <v>0.0</v>
      </c>
      <c r="AY196" s="205">
        <v>0.0</v>
      </c>
      <c r="AZ196" s="205">
        <v>4.93736183</v>
      </c>
      <c r="BA196" s="205">
        <v>7.72425806</v>
      </c>
      <c r="BB196" s="205">
        <v>0.0</v>
      </c>
      <c r="BC196" s="205">
        <v>0.0</v>
      </c>
      <c r="BD196" s="205">
        <v>10.7512115</v>
      </c>
      <c r="BE196" s="205">
        <v>0.0</v>
      </c>
      <c r="BF196" s="205">
        <v>0.0</v>
      </c>
      <c r="BG196" s="205">
        <v>0.0</v>
      </c>
      <c r="BH196" s="205">
        <v>0.0</v>
      </c>
      <c r="BI196" s="205">
        <v>0.0</v>
      </c>
      <c r="BJ196" s="205">
        <v>4.27190103</v>
      </c>
      <c r="BK196" s="205">
        <v>0.0</v>
      </c>
      <c r="BL196" s="205">
        <v>0.0</v>
      </c>
      <c r="BM196" s="205">
        <v>11.4669168</v>
      </c>
      <c r="BN196" s="205">
        <v>0.0</v>
      </c>
      <c r="BO196" s="205">
        <v>0.0</v>
      </c>
      <c r="BP196" s="205">
        <v>0.0</v>
      </c>
      <c r="BQ196" s="205">
        <v>0.0</v>
      </c>
      <c r="BR196" s="206"/>
      <c r="BS196" s="250">
        <f t="shared" si="1"/>
        <v>1.763365488</v>
      </c>
      <c r="BT196" s="250">
        <f t="shared" si="2"/>
        <v>2.627925523</v>
      </c>
      <c r="BU196" s="206"/>
      <c r="BV196" s="207">
        <f>IFERROR(__xludf.DUMMYFUNCTION("AVERAGE(ARRAYFORMULA(XLOOKUP(FILTER(INDIRECT(""'""&amp;BV$1&amp;""'!$C$4:$C$66""),INDIRECT(""'""&amp;BV$1&amp;""'!$D$4:$D$66"")=BV$2),$G$3:$BQ$3,$G196:$BQ196)))"),0.0)</f>
        <v>0</v>
      </c>
      <c r="BW196" s="207" t="str">
        <f>IFERROR(__xludf.DUMMYFUNCTION("IF(OR(BV196&gt;$BS196+$BT196*$BT$2,BV196&lt;$BS196-$BT196*$BT$2),AVEDEV(ARRAYFORMULA(XLOOKUP(FILTER(INDIRECT(""'""&amp;BV$1&amp;""'!$C$4:$C$66""),INDIRECT(""'""&amp;BV$1&amp;""'!$D$4:$D$66"")=BV$2),$G$3:$BQ$3,$G196:$BQ196))),"""")"),"")</f>
        <v/>
      </c>
      <c r="BX196" s="207">
        <f>IFERROR(__xludf.DUMMYFUNCTION("AVERAGE(ARRAYFORMULA(XLOOKUP(FILTER(INDIRECT(""'""&amp;BX$1&amp;""'!$C$4:$C$66""),INDIRECT(""'""&amp;BX$1&amp;""'!$D$4:$D$66"")=BX$2),$G$3:$BQ$3,$G196:$BQ196)))"),0.3466404226190476)</f>
        <v>0.3466404226</v>
      </c>
      <c r="BY196" s="207" t="str">
        <f>IFERROR(__xludf.DUMMYFUNCTION("IF(OR(BX196&gt;$BS196+$BT196*$BT$2,BX196&lt;$BS196-$BT196*$BT$2),AVEDEV(ARRAYFORMULA(XLOOKUP(FILTER(INDIRECT(""'""&amp;BX$1&amp;""'!$C$4:$C$66""),INDIRECT(""'""&amp;BX$1&amp;""'!$D$4:$D$66"")=BX$2),$G$3:$BQ$3,$G196:$BQ196))),"""")"),"")</f>
        <v/>
      </c>
      <c r="BZ196" s="207">
        <f>IFERROR(__xludf.DUMMYFUNCTION("AVERAGE(ARRAYFORMULA(XLOOKUP(FILTER(INDIRECT(""'""&amp;BZ$1&amp;""'!$C$4:$C$66""),INDIRECT(""'""&amp;BZ$1&amp;""'!$D$4:$D$66"")=BZ$2),$G$3:$BQ$3,$G196:$BQ196)))"),7.7983560427272725)</f>
        <v>7.798356043</v>
      </c>
      <c r="CA196" s="207">
        <f>IFERROR(__xludf.DUMMYFUNCTION("IF(OR(BZ196&gt;$BS196+$BT196*$BT$2,BZ196&lt;$BS196-$BT196*$BT$2),AVEDEV(ARRAYFORMULA(XLOOKUP(FILTER(INDIRECT(""'""&amp;BZ$1&amp;""'!$C$4:$C$66""),INDIRECT(""'""&amp;BZ$1&amp;""'!$D$4:$D$66"")=BZ$2),$G$3:$BQ$3,$G196:$BQ196))),"""")"),1.638792725289256)</f>
        <v>1.638792725</v>
      </c>
      <c r="CB196" s="209"/>
      <c r="CC196" s="207">
        <f>IFERROR(__xludf.DUMMYFUNCTION("AVERAGE(ARRAYFORMULA(XLOOKUP(FILTER(INDIRECT(""'""&amp;CC$1&amp;""'!$C$4:$C$66""),INDIRECT(""'""&amp;CC$1&amp;""'!$D$4:$D$66"")=CC$2),$G$3:$BQ$3,$G196:$BQ196)))"),0.125)</f>
        <v>0.125</v>
      </c>
      <c r="CD196" s="207" t="str">
        <f>IFERROR(__xludf.DUMMYFUNCTION("IF(OR(CC196&gt;$BS196+$BT196*$BT$2,CC196&lt;$BS196-$BT196*$BT$2),AVEDEV(ARRAYFORMULA(XLOOKUP(FILTER(INDIRECT(""'""&amp;CC$1&amp;""'!$C$4:$C$66""),INDIRECT(""'""&amp;CC$1&amp;""'!$D$4:$D$66"")=CC$2),$G$3:$BQ$3,$G196:$BQ196))),"""")"),"")</f>
        <v/>
      </c>
      <c r="CE196" s="207">
        <f>IFERROR(__xludf.DUMMYFUNCTION("AVERAGE(ARRAYFORMULA(XLOOKUP(FILTER(INDIRECT(""'""&amp;CE$1&amp;""'!$C$4:$C$66""),INDIRECT(""'""&amp;CE$1&amp;""'!$D$4:$D$66"")=CE$2),$G$3:$BQ$3,$G196:$BQ196)))"),1.6643003122580646)</f>
        <v>1.664300312</v>
      </c>
      <c r="CF196" s="207" t="str">
        <f>IFERROR(__xludf.DUMMYFUNCTION("IF(OR(CE196&gt;$BS196+$BT196*$BT$2,CE196&lt;$BS196-$BT196*$BT$2),AVEDEV(ARRAYFORMULA(XLOOKUP(FILTER(INDIRECT(""'""&amp;CE$1&amp;""'!$C$4:$C$66""),INDIRECT(""'""&amp;CE$1&amp;""'!$D$4:$D$66"")=CE$2),$G$3:$BQ$3,$G196:$BQ196))),"""")"),"")</f>
        <v/>
      </c>
      <c r="CG196" s="207">
        <f>IFERROR(__xludf.DUMMYFUNCTION("AVERAGE(ARRAYFORMULA(XLOOKUP(FILTER(INDIRECT(""'""&amp;CG$1&amp;""'!$C$4:$C$66""),INDIRECT(""'""&amp;CG$1&amp;""'!$D$4:$D$66"")=CG$2),$G$3:$BQ$3,$G196:$BQ196)))"),5.228333444)</f>
        <v>5.228333444</v>
      </c>
      <c r="CH196" s="207">
        <f>IFERROR(__xludf.DUMMYFUNCTION("IF(OR(CG196&gt;$BS196+$BT196*$BT$2,CG196&lt;$BS196-$BT196*$BT$2),AVEDEV(ARRAYFORMULA(XLOOKUP(FILTER(INDIRECT(""'""&amp;CG$1&amp;""'!$C$4:$C$66""),INDIRECT(""'""&amp;CG$1&amp;""'!$D$4:$D$66"")=CG$2),$G$3:$BQ$3,$G196:$BQ196))),"""")"),4.1826667552000005)</f>
        <v>4.182666755</v>
      </c>
      <c r="CI196" s="206"/>
      <c r="CJ196" s="251">
        <f>IFERROR(__xludf.DUMMYFUNCTION("AVERAGE(ARRAYFORMULA(XLOOKUP(FILTER(INDIRECT(""'""&amp;CJ$1&amp;""'!$C$4:$C$66""),INDIRECT(""'""&amp;CJ$1&amp;""'!$D$4:$D$66"")=CJ$2),$G$3:$BQ$3,$G196:$BQ196)))"),1.7887228973333333)</f>
        <v>1.788722897</v>
      </c>
      <c r="CK196" s="207" t="str">
        <f>IFERROR(__xludf.DUMMYFUNCTION("IF(OR(CJ196&gt;$BS196+$BT196*$BT$2,CJ196&lt;$BS196-$BT196*$BT$2),AVEDEV(ARRAYFORMULA(XLOOKUP(FILTER(INDIRECT(""'""&amp;CJ$1&amp;""'!$C$4:$C$66""),INDIRECT(""'""&amp;CJ$1&amp;""'!$D$4:$D$66"")=CJ$2),$G$3:$BQ$3,$G196:$BQ196))),"""")"),"")</f>
        <v/>
      </c>
      <c r="CL196" s="251">
        <f>IFERROR(__xludf.DUMMYFUNCTION("AVERAGE(ARRAYFORMULA(XLOOKUP(FILTER(INDIRECT(""'""&amp;CL$1&amp;""'!$C$4:$C$66""),INDIRECT(""'""&amp;CL$1&amp;""'!$D$4:$D$66"")=CL$2),$G$3:$BQ$3,$G196:$BQ196)))"),1.2145718856410257)</f>
        <v>1.214571886</v>
      </c>
      <c r="CM196" s="207" t="str">
        <f>IFERROR(__xludf.DUMMYFUNCTION("IF(OR(CL196&gt;$BS196+$BT196*$BT$2,CL196&lt;$BS196-$BT196*$BT$2),AVEDEV(ARRAYFORMULA(XLOOKUP(FILTER(INDIRECT(""'""&amp;CL$1&amp;""'!$C$4:$C$66""),INDIRECT(""'""&amp;CL$1&amp;""'!$D$4:$D$66"")=CL$2),$G$3:$BQ$3,$G196:$BQ196))),"""")"),"")</f>
        <v/>
      </c>
      <c r="CN196" s="251">
        <f>IFERROR(__xludf.DUMMYFUNCTION("AVERAGE(ARRAYFORMULA(XLOOKUP(FILTER(INDIRECT(""'""&amp;CN$1&amp;""'!$C$4:$C$66""),INDIRECT(""'""&amp;CN$1&amp;""'!$D$4:$D$66"")=CN$2),$G$3:$BQ$3,$G196:$BQ196)))"),5.228333444)</f>
        <v>5.228333444</v>
      </c>
      <c r="CO196" s="207">
        <f>IFERROR(__xludf.DUMMYFUNCTION("IF(OR(CN196&gt;$BS196+$BT196*$BT$2,CN196&lt;$BS196-$BT196*$BT$2),AVEDEV(ARRAYFORMULA(XLOOKUP(FILTER(INDIRECT(""'""&amp;CN$1&amp;""'!$C$4:$C$66""),INDIRECT(""'""&amp;CN$1&amp;""'!$D$4:$D$66"")=CN$2),$G$3:$BQ$3,$G196:$BQ196))),"""")"),4.1826667552000005)</f>
        <v>4.182666755</v>
      </c>
      <c r="CP196" s="252"/>
      <c r="CQ196" s="251">
        <f>IFERROR(__xludf.DUMMYFUNCTION("AVERAGE(ARRAYFORMULA(XLOOKUP(FILTER(INDIRECT(""'""&amp;CQ$1&amp;""'!$C$4:$C$66""),INDIRECT(""'""&amp;CQ$1&amp;""'!$D$4:$D$66"")=CQ$2),$G$3:$BQ$3,$G196:$BQ196)))"),0.007037423571428571)</f>
        <v>0.007037423571</v>
      </c>
      <c r="CR196" s="207" t="str">
        <f>IFERROR(__xludf.DUMMYFUNCTION("IF(OR(CQ196&gt;$BS196+$BT196*$BT$2,CQ196&lt;$BS196-$BT196*$BT$2),AVEDEV(ARRAYFORMULA(XLOOKUP(FILTER(INDIRECT(""'""&amp;CQ$1&amp;""'!$C$4:$C$66""),INDIRECT(""'""&amp;CQ$1&amp;""'!$D$4:$D$66"")=CQ$2),$G$3:$BQ$3,$G196:$BQ196))),"""")"),"")</f>
        <v/>
      </c>
      <c r="CS196" s="251">
        <f>IFERROR(__xludf.DUMMYFUNCTION("AVERAGE(ARRAYFORMULA(XLOOKUP(FILTER(INDIRECT(""'""&amp;CS$1&amp;""'!$C$4:$C$66""),INDIRECT(""'""&amp;CS$1&amp;""'!$D$4:$D$66"")=CS$2),$G$3:$BQ$3,$G196:$BQ196)))"),7.708626426666667)</f>
        <v>7.708626427</v>
      </c>
      <c r="CT196" s="207">
        <f>IFERROR(__xludf.DUMMYFUNCTION("IF(OR(CS196&gt;$BS196+$BT196*$BT$2,CS196&lt;$BS196-$BT196*$BT$2),AVEDEV(ARRAYFORMULA(XLOOKUP(FILTER(INDIRECT(""'""&amp;CS$1&amp;""'!$C$4:$C$66""),INDIRECT(""'""&amp;CS$1&amp;""'!$D$4:$D$66"")=CS$2),$G$3:$BQ$3,$G196:$BQ196))),"""")"),1.251026602962963)</f>
        <v>1.251026603</v>
      </c>
      <c r="CU196" s="251">
        <f>IFERROR(__xludf.DUMMYFUNCTION("AVERAGE(ARRAYFORMULA(XLOOKUP(FILTER(INDIRECT(""'""&amp;CU$1&amp;""'!$C$4:$C$66""),INDIRECT(""'""&amp;CU$1&amp;""'!$D$4:$D$66"")=CU$2),$G$3:$BQ$3,$G196:$BQ196)))"),1.0594996663636362)</f>
        <v>1.059499666</v>
      </c>
      <c r="CV196" s="207" t="str">
        <f>IFERROR(__xludf.DUMMYFUNCTION("IF(OR(CU196&gt;$BS196+$BT196*$BT$2,CU196&lt;$BS196-$BT196*$BT$2),AVEDEV(ARRAYFORMULA(XLOOKUP(FILTER(INDIRECT(""'""&amp;CU$1&amp;""'!$C$4:$C$66""),INDIRECT(""'""&amp;CU$1&amp;""'!$D$4:$D$66"")=CU$2),$G$3:$BQ$3,$G196:$BQ196))),"""")"),"")</f>
        <v/>
      </c>
      <c r="CW196" s="251">
        <f>IFERROR(__xludf.DUMMYFUNCTION("AVERAGE(ARRAYFORMULA(XLOOKUP(FILTER(INDIRECT(""'""&amp;CW$1&amp;""'!$C$4:$C$66""),INDIRECT(""'""&amp;CW$1&amp;""'!$D$4:$D$66"")=CW$2),$G$3:$BQ$3,$G196:$BQ196)))"),0.0)</f>
        <v>0</v>
      </c>
      <c r="CX196" s="207" t="str">
        <f>IFERROR(__xludf.DUMMYFUNCTION("IF(OR(CW196&gt;$BS196+$BT196*$BT$2,CW196&lt;$BS196-$BT196*$BT$2),AVEDEV(ARRAYFORMULA(XLOOKUP(FILTER(INDIRECT(""'""&amp;CW$1&amp;""'!$C$4:$C$66""),INDIRECT(""'""&amp;CW$1&amp;""'!$D$4:$D$66"")=CW$2),$G$3:$BQ$3,$G196:$BQ196))),"""")"),"")</f>
        <v/>
      </c>
      <c r="CY196" s="251">
        <f>IFERROR(__xludf.DUMMYFUNCTION("AVERAGE(ARRAYFORMULA(XLOOKUP(FILTER(INDIRECT(""'""&amp;CY$1&amp;""'!$C$4:$C$66""),INDIRECT(""'""&amp;CY$1&amp;""'!$D$4:$D$66"")=CY$2),$G$3:$BQ$3,$G196:$BQ196)))"),0.5530885228571429)</f>
        <v>0.5530885229</v>
      </c>
      <c r="CZ196" s="207" t="str">
        <f>IFERROR(__xludf.DUMMYFUNCTION("IF(OR(CY196&gt;$BS196+$BT196*$BT$2,CY196&lt;$BS196-$BT196*$BT$2),AVEDEV(ARRAYFORMULA(XLOOKUP(FILTER(INDIRECT(""'""&amp;CY$1&amp;""'!$C$4:$C$66""),INDIRECT(""'""&amp;CY$1&amp;""'!$D$4:$D$66"")=CY$2),$G$3:$BQ$3,$G196:$BQ196))),"""")"),"")</f>
        <v/>
      </c>
      <c r="DA196" s="252"/>
      <c r="DB196" s="251">
        <f>IFERROR(__xludf.DUMMYFUNCTION("AVERAGE(ARRAYFORMULA(XLOOKUP(FILTER(INDIRECT(""'""&amp;DB$1&amp;""'!$C$4:$C$66""),INDIRECT(""'""&amp;DB$1&amp;""'!$D$4:$D$66"")=DB$2),$G$3:$BQ$3,$G196:$BQ196)))"),0.2090633676666667)</f>
        <v>0.2090633677</v>
      </c>
      <c r="DC196" s="207" t="str">
        <f>IFERROR(__xludf.DUMMYFUNCTION("IF(OR(DB196&gt;$BS196+$BT196*$BT$2,DB196&lt;$BS196-$BT196*$BT$2),AVEDEV(ARRAYFORMULA(XLOOKUP(FILTER(INDIRECT(""'""&amp;DB$1&amp;""'!$C$4:$C$66""),INDIRECT(""'""&amp;DB$1&amp;""'!$D$4:$D$66"")=DB$2),$G$3:$BQ$3,$G196:$BQ196))),"""")"),"")</f>
        <v/>
      </c>
      <c r="DD196" s="251">
        <f>IFERROR(__xludf.DUMMYFUNCTION("AVERAGE(ARRAYFORMULA(XLOOKUP(FILTER(INDIRECT(""'""&amp;DD$1&amp;""'!$C$4:$C$66""),INDIRECT(""'""&amp;DD$1&amp;""'!$D$4:$D$66"")=DD$2),$G$3:$BQ$3,$G196:$BQ196)))"),7.515712271111111)</f>
        <v>7.515712271</v>
      </c>
      <c r="DE196" s="207">
        <f>IFERROR(__xludf.DUMMYFUNCTION("IF(OR(DD196&gt;$BS196+$BT196*$BT$2,DD196&lt;$BS196-$BT196*$BT$2),AVEDEV(ARRAYFORMULA(XLOOKUP(FILTER(INDIRECT(""'""&amp;DD$1&amp;""'!$C$4:$C$66""),INDIRECT(""'""&amp;DD$1&amp;""'!$D$4:$D$66"")=DD$2),$G$3:$BQ$3,$G196:$BQ196))),"""")"),1.6768299856790123)</f>
        <v>1.676829986</v>
      </c>
      <c r="DF196" s="251">
        <f>IFERROR(__xludf.DUMMYFUNCTION("AVERAGE(ARRAYFORMULA(XLOOKUP(FILTER(INDIRECT(""'""&amp;DF$1&amp;""'!$C$4:$C$66""),INDIRECT(""'""&amp;DF$1&amp;""'!$D$4:$D$66"")=DF$2),$G$3:$BQ$3,$G196:$BQ196)))"),0.61717022875)</f>
        <v>0.6171702288</v>
      </c>
      <c r="DG196" s="207" t="str">
        <f>IFERROR(__xludf.DUMMYFUNCTION("IF(OR(DF196&gt;$BS196+$BT196*$BT$2,DF196&lt;$BS196-$BT196*$BT$2),AVEDEV(ARRAYFORMULA(XLOOKUP(FILTER(INDIRECT(""'""&amp;DF$1&amp;""'!$C$4:$C$66""),INDIRECT(""'""&amp;DF$1&amp;""'!$D$4:$D$66"")=DF$2),$G$3:$BQ$3,$G196:$BQ196))),"""")"),"")</f>
        <v/>
      </c>
      <c r="DH196" s="251">
        <f>IFERROR(__xludf.DUMMYFUNCTION("AVERAGE(ARRAYFORMULA(XLOOKUP(FILTER(INDIRECT(""'""&amp;DH$1&amp;""'!$C$4:$C$66""),INDIRECT(""'""&amp;DH$1&amp;""'!$D$4:$D$66"")=DH$2),$G$3:$BQ$3,$G196:$BQ196)))"),2.0020891811111112)</f>
        <v>2.002089181</v>
      </c>
      <c r="DI196" s="207" t="str">
        <f>IFERROR(__xludf.DUMMYFUNCTION("IF(OR(DH196&gt;$BS196+$BT196*$BT$2,DH196&lt;$BS196-$BT196*$BT$2),AVEDEV(ARRAYFORMULA(XLOOKUP(FILTER(INDIRECT(""'""&amp;DH$1&amp;""'!$C$4:$C$66""),INDIRECT(""'""&amp;DH$1&amp;""'!$D$4:$D$66"")=DH$2),$G$3:$BQ$3,$G196:$BQ196))),"""")"),"")</f>
        <v/>
      </c>
      <c r="DJ196" s="243"/>
    </row>
    <row r="197">
      <c r="A197" s="2"/>
      <c r="B197" s="204">
        <v>193.0</v>
      </c>
      <c r="C197" s="204" t="s">
        <v>630</v>
      </c>
      <c r="D197" s="204" t="s">
        <v>641</v>
      </c>
      <c r="E197" s="205" t="b">
        <f>VLOOKUP(D197,'Feature Set List'!A194:C246,2,0)</f>
        <v>1</v>
      </c>
      <c r="F197" s="205" t="b">
        <f>VLOOKUP(D197,'Feature Set List'!A194:C246,3,0)</f>
        <v>1</v>
      </c>
      <c r="G197" s="205">
        <v>1.33940485</v>
      </c>
      <c r="H197" s="205">
        <v>0.0</v>
      </c>
      <c r="I197" s="205">
        <v>1.26951181</v>
      </c>
      <c r="J197" s="205">
        <v>0.0</v>
      </c>
      <c r="K197" s="205">
        <v>0.0</v>
      </c>
      <c r="L197" s="205">
        <v>1.23075294</v>
      </c>
      <c r="M197" s="205">
        <v>1.41416923</v>
      </c>
      <c r="N197" s="205">
        <v>0.01868898</v>
      </c>
      <c r="O197" s="205">
        <v>0.0</v>
      </c>
      <c r="P197" s="205">
        <v>1.7886265</v>
      </c>
      <c r="Q197" s="205">
        <v>0.0</v>
      </c>
      <c r="R197" s="205">
        <v>1.11786509</v>
      </c>
      <c r="S197" s="205">
        <v>0.0</v>
      </c>
      <c r="T197" s="205">
        <v>1.70496664</v>
      </c>
      <c r="U197" s="205">
        <v>0.0</v>
      </c>
      <c r="V197" s="205">
        <v>0.0</v>
      </c>
      <c r="W197" s="205">
        <v>1.06343323</v>
      </c>
      <c r="X197" s="205">
        <v>0.0</v>
      </c>
      <c r="Y197" s="205">
        <v>1.4599174</v>
      </c>
      <c r="Z197" s="205">
        <v>0.0</v>
      </c>
      <c r="AA197" s="205">
        <v>1.61622366</v>
      </c>
      <c r="AB197" s="205">
        <v>0.0</v>
      </c>
      <c r="AC197" s="205">
        <v>1.22990575</v>
      </c>
      <c r="AD197" s="205">
        <v>0.0</v>
      </c>
      <c r="AE197" s="205">
        <v>0.0</v>
      </c>
      <c r="AF197" s="205">
        <v>1.95806417</v>
      </c>
      <c r="AG197" s="205">
        <v>0.0</v>
      </c>
      <c r="AH197" s="205">
        <v>0.0</v>
      </c>
      <c r="AI197" s="205">
        <v>0.0</v>
      </c>
      <c r="AJ197" s="205">
        <v>0.0</v>
      </c>
      <c r="AK197" s="205">
        <v>0.0</v>
      </c>
      <c r="AL197" s="205">
        <v>0.26919411</v>
      </c>
      <c r="AM197" s="205">
        <v>0.0</v>
      </c>
      <c r="AN197" s="205">
        <v>0.0</v>
      </c>
      <c r="AO197" s="205">
        <v>0.0</v>
      </c>
      <c r="AP197" s="205">
        <v>0.0</v>
      </c>
      <c r="AQ197" s="205">
        <v>0.0</v>
      </c>
      <c r="AR197" s="205">
        <v>0.65847718</v>
      </c>
      <c r="AS197" s="205">
        <v>0.0</v>
      </c>
      <c r="AT197" s="205">
        <v>0.36069046</v>
      </c>
      <c r="AU197" s="205">
        <v>0.0</v>
      </c>
      <c r="AV197" s="205">
        <v>0.91348089</v>
      </c>
      <c r="AW197" s="205">
        <v>0.0</v>
      </c>
      <c r="AX197" s="205">
        <v>0.0</v>
      </c>
      <c r="AY197" s="205">
        <v>0.0</v>
      </c>
      <c r="AZ197" s="205">
        <v>0.93656677</v>
      </c>
      <c r="BA197" s="205">
        <v>1.46521233</v>
      </c>
      <c r="BB197" s="205">
        <v>0.0</v>
      </c>
      <c r="BC197" s="205">
        <v>0.0</v>
      </c>
      <c r="BD197" s="205">
        <v>2.71312083</v>
      </c>
      <c r="BE197" s="205">
        <v>0.10003177</v>
      </c>
      <c r="BF197" s="205">
        <v>0.0</v>
      </c>
      <c r="BG197" s="205">
        <v>0.0</v>
      </c>
      <c r="BH197" s="205">
        <v>0.0</v>
      </c>
      <c r="BI197" s="205">
        <v>0.25966324</v>
      </c>
      <c r="BJ197" s="205">
        <v>0.8103357</v>
      </c>
      <c r="BK197" s="205">
        <v>0.0</v>
      </c>
      <c r="BL197" s="205">
        <v>0.0</v>
      </c>
      <c r="BM197" s="205">
        <v>3.0731759</v>
      </c>
      <c r="BN197" s="205">
        <v>2.54791909</v>
      </c>
      <c r="BO197" s="205">
        <v>0.0</v>
      </c>
      <c r="BP197" s="205">
        <v>0.0</v>
      </c>
      <c r="BQ197" s="205">
        <v>0.0</v>
      </c>
      <c r="BR197" s="206"/>
      <c r="BS197" s="250">
        <f t="shared" si="1"/>
        <v>0.4971333098</v>
      </c>
      <c r="BT197" s="250">
        <f t="shared" si="2"/>
        <v>0.6466178972</v>
      </c>
      <c r="BU197" s="206"/>
      <c r="BV197" s="207">
        <f>IFERROR(__xludf.DUMMYFUNCTION("AVERAGE(ARRAYFORMULA(XLOOKUP(FILTER(INDIRECT(""'""&amp;BV$1&amp;""'!$C$4:$C$66""),INDIRECT(""'""&amp;BV$1&amp;""'!$D$4:$D$66"")=BV$2),$G$3:$BQ$3,$G197:$BQ197)))"),0.014290252857142858)</f>
        <v>0.01429025286</v>
      </c>
      <c r="BW197" s="207" t="str">
        <f>IFERROR(__xludf.DUMMYFUNCTION("IF(OR(BV197&gt;$BS197+$BT197*$BT$2,BV197&lt;$BS197-$BT197*$BT$2),AVEDEV(ARRAYFORMULA(XLOOKUP(FILTER(INDIRECT(""'""&amp;BV$1&amp;""'!$C$4:$C$66""),INDIRECT(""'""&amp;BV$1&amp;""'!$D$4:$D$66"")=BV$2),$G$3:$BQ$3,$G197:$BQ197))),"""")"),"")</f>
        <v/>
      </c>
      <c r="BX197" s="207">
        <f>IFERROR(__xludf.DUMMYFUNCTION("AVERAGE(ARRAYFORMULA(XLOOKUP(FILTER(INDIRECT(""'""&amp;BX$1&amp;""'!$C$4:$C$66""),INDIRECT(""'""&amp;BX$1&amp;""'!$D$4:$D$66"")=BX$2),$G$3:$BQ$3,$G197:$BQ197)))"),0.23339152738095242)</f>
        <v>0.2333915274</v>
      </c>
      <c r="BY197" s="207" t="str">
        <f>IFERROR(__xludf.DUMMYFUNCTION("IF(OR(BX197&gt;$BS197+$BT197*$BT$2,BX197&lt;$BS197-$BT197*$BT$2),AVEDEV(ARRAYFORMULA(XLOOKUP(FILTER(INDIRECT(""'""&amp;BX$1&amp;""'!$C$4:$C$66""),INDIRECT(""'""&amp;BX$1&amp;""'!$D$4:$D$66"")=BX$2),$G$3:$BQ$3,$G197:$BQ197))),"""")"),"")</f>
        <v/>
      </c>
      <c r="BZ197" s="207">
        <f>IFERROR(__xludf.DUMMYFUNCTION("AVERAGE(ARRAYFORMULA(XLOOKUP(FILTER(INDIRECT(""'""&amp;BZ$1&amp;""'!$C$4:$C$66""),INDIRECT(""'""&amp;BZ$1&amp;""'!$D$4:$D$66"")=BZ$2),$G$3:$BQ$3,$G197:$BQ197)))"),1.5849354509090907)</f>
        <v>1.584935451</v>
      </c>
      <c r="CA197" s="207">
        <f>IFERROR(__xludf.DUMMYFUNCTION("IF(OR(BZ197&gt;$BS197+$BT197*$BT$2,BZ197&lt;$BS197-$BT197*$BT$2),AVEDEV(ARRAYFORMULA(XLOOKUP(FILTER(INDIRECT(""'""&amp;BZ$1&amp;""'!$C$4:$C$66""),INDIRECT(""'""&amp;BZ$1&amp;""'!$D$4:$D$66"")=BZ$2),$G$3:$BQ$3,$G197:$BQ197))),"""")"),0.39728934661157017)</f>
        <v>0.3972893466</v>
      </c>
      <c r="CB197" s="209"/>
      <c r="CC197" s="207">
        <f>IFERROR(__xludf.DUMMYFUNCTION("AVERAGE(ARRAYFORMULA(XLOOKUP(FILTER(INDIRECT(""'""&amp;CC$1&amp;""'!$C$4:$C$66""),INDIRECT(""'""&amp;CC$1&amp;""'!$D$4:$D$66"")=CC$2),$G$3:$BQ$3,$G197:$BQ197)))"),0.023711215)</f>
        <v>0.023711215</v>
      </c>
      <c r="CD197" s="207" t="str">
        <f>IFERROR(__xludf.DUMMYFUNCTION("IF(OR(CC197&gt;$BS197+$BT197*$BT$2,CC197&lt;$BS197-$BT197*$BT$2),AVEDEV(ARRAYFORMULA(XLOOKUP(FILTER(INDIRECT(""'""&amp;CC$1&amp;""'!$C$4:$C$66""),INDIRECT(""'""&amp;CC$1&amp;""'!$D$4:$D$66"")=CC$2),$G$3:$BQ$3,$G197:$BQ197))),"""")"),"")</f>
        <v/>
      </c>
      <c r="CE197" s="207">
        <f>IFERROR(__xludf.DUMMYFUNCTION("AVERAGE(ARRAYFORMULA(XLOOKUP(FILTER(INDIRECT(""'""&amp;CE$1&amp;""'!$C$4:$C$66""),INDIRECT(""'""&amp;CE$1&amp;""'!$D$4:$D$66"")=CE$2),$G$3:$BQ$3,$G197:$BQ197)))"),0.5460491303225805)</f>
        <v>0.5460491303</v>
      </c>
      <c r="CF197" s="207" t="str">
        <f>IFERROR(__xludf.DUMMYFUNCTION("IF(OR(CE197&gt;$BS197+$BT197*$BT$2,CE197&lt;$BS197-$BT197*$BT$2),AVEDEV(ARRAYFORMULA(XLOOKUP(FILTER(INDIRECT(""'""&amp;CE$1&amp;""'!$C$4:$C$66""),INDIRECT(""'""&amp;CE$1&amp;""'!$D$4:$D$66"")=CE$2),$G$3:$BQ$3,$G197:$BQ197))),"""")"),"")</f>
        <v/>
      </c>
      <c r="CG197" s="207">
        <f>IFERROR(__xludf.DUMMYFUNCTION("AVERAGE(ARRAYFORMULA(XLOOKUP(FILTER(INDIRECT(""'""&amp;CG$1&amp;""'!$C$4:$C$66""),INDIRECT(""'""&amp;CG$1&amp;""'!$D$4:$D$66"")=CG$2),$G$3:$BQ$3,$G197:$BQ197)))"),0.9917610939999999)</f>
        <v>0.991761094</v>
      </c>
      <c r="CH197" s="207" t="str">
        <f>IFERROR(__xludf.DUMMYFUNCTION("IF(OR(CG197&gt;$BS197+$BT197*$BT$2,CG197&lt;$BS197-$BT197*$BT$2),AVEDEV(ARRAYFORMULA(XLOOKUP(FILTER(INDIRECT(""'""&amp;CG$1&amp;""'!$C$4:$C$66""),INDIRECT(""'""&amp;CG$1&amp;""'!$D$4:$D$66"")=CG$2),$G$3:$BQ$3,$G197:$BQ197))),"""")"),"")</f>
        <v/>
      </c>
      <c r="CI197" s="206"/>
      <c r="CJ197" s="251">
        <f>IFERROR(__xludf.DUMMYFUNCTION("AVERAGE(ARRAYFORMULA(XLOOKUP(FILTER(INDIRECT(""'""&amp;CJ$1&amp;""'!$C$4:$C$66""),INDIRECT(""'""&amp;CJ$1&amp;""'!$D$4:$D$66"")=CJ$2),$G$3:$BQ$3,$G197:$BQ197)))"),0.6132025846666667)</f>
        <v>0.6132025847</v>
      </c>
      <c r="CK197" s="207" t="str">
        <f>IFERROR(__xludf.DUMMYFUNCTION("IF(OR(CJ197&gt;$BS197+$BT197*$BT$2,CJ197&lt;$BS197-$BT197*$BT$2),AVEDEV(ARRAYFORMULA(XLOOKUP(FILTER(INDIRECT(""'""&amp;CJ$1&amp;""'!$C$4:$C$66""),INDIRECT(""'""&amp;CJ$1&amp;""'!$D$4:$D$66"")=CJ$2),$G$3:$BQ$3,$G197:$BQ197))),"""")"),"")</f>
        <v/>
      </c>
      <c r="CL197" s="251">
        <f>IFERROR(__xludf.DUMMYFUNCTION("AVERAGE(ARRAYFORMULA(XLOOKUP(FILTER(INDIRECT(""'""&amp;CL$1&amp;""'!$C$4:$C$66""),INDIRECT(""'""&amp;CL$1&amp;""'!$D$4:$D$66"")=CL$2),$G$3:$BQ$3,$G197:$BQ197)))"),0.33794670871794874)</f>
        <v>0.3379467087</v>
      </c>
      <c r="CM197" s="207" t="str">
        <f>IFERROR(__xludf.DUMMYFUNCTION("IF(OR(CL197&gt;$BS197+$BT197*$BT$2,CL197&lt;$BS197-$BT197*$BT$2),AVEDEV(ARRAYFORMULA(XLOOKUP(FILTER(INDIRECT(""'""&amp;CL$1&amp;""'!$C$4:$C$66""),INDIRECT(""'""&amp;CL$1&amp;""'!$D$4:$D$66"")=CL$2),$G$3:$BQ$3,$G197:$BQ197))),"""")"),"")</f>
        <v/>
      </c>
      <c r="CN197" s="251">
        <f>IFERROR(__xludf.DUMMYFUNCTION("AVERAGE(ARRAYFORMULA(XLOOKUP(FILTER(INDIRECT(""'""&amp;CN$1&amp;""'!$C$4:$C$66""),INDIRECT(""'""&amp;CN$1&amp;""'!$D$4:$D$66"")=CN$2),$G$3:$BQ$3,$G197:$BQ197)))"),0.9917610939999999)</f>
        <v>0.991761094</v>
      </c>
      <c r="CO197" s="207" t="str">
        <f>IFERROR(__xludf.DUMMYFUNCTION("IF(OR(CN197&gt;$BS197+$BT197*$BT$2,CN197&lt;$BS197-$BT197*$BT$2),AVEDEV(ARRAYFORMULA(XLOOKUP(FILTER(INDIRECT(""'""&amp;CN$1&amp;""'!$C$4:$C$66""),INDIRECT(""'""&amp;CN$1&amp;""'!$D$4:$D$66"")=CN$2),$G$3:$BQ$3,$G197:$BQ197))),"""")"),"")</f>
        <v/>
      </c>
      <c r="CP197" s="252"/>
      <c r="CQ197" s="251">
        <f>IFERROR(__xludf.DUMMYFUNCTION("AVERAGE(ARRAYFORMULA(XLOOKUP(FILTER(INDIRECT(""'""&amp;CQ$1&amp;""'!$C$4:$C$66""),INDIRECT(""'""&amp;CQ$1&amp;""'!$D$4:$D$66"")=CQ$2),$G$3:$BQ$3,$G197:$BQ197)))"),0.02056307785714286)</f>
        <v>0.02056307786</v>
      </c>
      <c r="CR197" s="207" t="str">
        <f>IFERROR(__xludf.DUMMYFUNCTION("IF(OR(CQ197&gt;$BS197+$BT197*$BT$2,CQ197&lt;$BS197-$BT197*$BT$2),AVEDEV(ARRAYFORMULA(XLOOKUP(FILTER(INDIRECT(""'""&amp;CQ$1&amp;""'!$C$4:$C$66""),INDIRECT(""'""&amp;CQ$1&amp;""'!$D$4:$D$66"")=CQ$2),$G$3:$BQ$3,$G197:$BQ197))),"""")"),"")</f>
        <v/>
      </c>
      <c r="CS197" s="251">
        <f>IFERROR(__xludf.DUMMYFUNCTION("AVERAGE(ARRAYFORMULA(XLOOKUP(FILTER(INDIRECT(""'""&amp;CS$1&amp;""'!$C$4:$C$66""),INDIRECT(""'""&amp;CS$1&amp;""'!$D$4:$D$66"")=CS$2),$G$3:$BQ$3,$G197:$BQ197)))"),1.4916163655555554)</f>
        <v>1.491616366</v>
      </c>
      <c r="CT197" s="207">
        <f>IFERROR(__xludf.DUMMYFUNCTION("IF(OR(CS197&gt;$BS197+$BT197*$BT$2,CS197&lt;$BS197-$BT197*$BT$2),AVEDEV(ARRAYFORMULA(XLOOKUP(FILTER(INDIRECT(""'""&amp;CS$1&amp;""'!$C$4:$C$66""),INDIRECT(""'""&amp;CS$1&amp;""'!$D$4:$D$66"")=CS$2),$G$3:$BQ$3,$G197:$BQ197))),"""")"),0.21706849185185184)</f>
        <v>0.2170684919</v>
      </c>
      <c r="CU197" s="251">
        <f>IFERROR(__xludf.DUMMYFUNCTION("AVERAGE(ARRAYFORMULA(XLOOKUP(FILTER(INDIRECT(""'""&amp;CU$1&amp;""'!$C$4:$C$66""),INDIRECT(""'""&amp;CU$1&amp;""'!$D$4:$D$66"")=CU$2),$G$3:$BQ$3,$G197:$BQ197)))"),0.45971523)</f>
        <v>0.45971523</v>
      </c>
      <c r="CV197" s="207" t="str">
        <f>IFERROR(__xludf.DUMMYFUNCTION("IF(OR(CU197&gt;$BS197+$BT197*$BT$2,CU197&lt;$BS197-$BT197*$BT$2),AVEDEV(ARRAYFORMULA(XLOOKUP(FILTER(INDIRECT(""'""&amp;CU$1&amp;""'!$C$4:$C$66""),INDIRECT(""'""&amp;CU$1&amp;""'!$D$4:$D$66"")=CU$2),$G$3:$BQ$3,$G197:$BQ197))),"""")"),"")</f>
        <v/>
      </c>
      <c r="CW197" s="251">
        <f>IFERROR(__xludf.DUMMYFUNCTION("AVERAGE(ARRAYFORMULA(XLOOKUP(FILTER(INDIRECT(""'""&amp;CW$1&amp;""'!$C$4:$C$66""),INDIRECT(""'""&amp;CW$1&amp;""'!$D$4:$D$66"")=CW$2),$G$3:$BQ$3,$G197:$BQ197)))"),0.0)</f>
        <v>0</v>
      </c>
      <c r="CX197" s="207" t="str">
        <f>IFERROR(__xludf.DUMMYFUNCTION("IF(OR(CW197&gt;$BS197+$BT197*$BT$2,CW197&lt;$BS197-$BT197*$BT$2),AVEDEV(ARRAYFORMULA(XLOOKUP(FILTER(INDIRECT(""'""&amp;CW$1&amp;""'!$C$4:$C$66""),INDIRECT(""'""&amp;CW$1&amp;""'!$D$4:$D$66"")=CW$2),$G$3:$BQ$3,$G197:$BQ197))),"""")"),"")</f>
        <v/>
      </c>
      <c r="CY197" s="251">
        <f>IFERROR(__xludf.DUMMYFUNCTION("AVERAGE(ARRAYFORMULA(XLOOKUP(FILTER(INDIRECT(""'""&amp;CY$1&amp;""'!$C$4:$C$66""),INDIRECT(""'""&amp;CY$1&amp;""'!$D$4:$D$66"")=CY$2),$G$3:$BQ$3,$G197:$BQ197)))"),0.3853043071428572)</f>
        <v>0.3853043071</v>
      </c>
      <c r="CZ197" s="207" t="str">
        <f>IFERROR(__xludf.DUMMYFUNCTION("IF(OR(CY197&gt;$BS197+$BT197*$BT$2,CY197&lt;$BS197-$BT197*$BT$2),AVEDEV(ARRAYFORMULA(XLOOKUP(FILTER(INDIRECT(""'""&amp;CY$1&amp;""'!$C$4:$C$66""),INDIRECT(""'""&amp;CY$1&amp;""'!$D$4:$D$66"")=CY$2),$G$3:$BQ$3,$G197:$BQ197))),"""")"),"")</f>
        <v/>
      </c>
      <c r="DA197" s="252"/>
      <c r="DB197" s="251">
        <f>IFERROR(__xludf.DUMMYFUNCTION("AVERAGE(ARRAYFORMULA(XLOOKUP(FILTER(INDIRECT(""'""&amp;DB$1&amp;""'!$C$4:$C$66""),INDIRECT(""'""&amp;DB$1&amp;""'!$D$4:$D$66"")=DB$2),$G$3:$BQ$3,$G197:$BQ197)))"),0.10161700033333333)</f>
        <v>0.1016170003</v>
      </c>
      <c r="DC197" s="207" t="str">
        <f>IFERROR(__xludf.DUMMYFUNCTION("IF(OR(DB197&gt;$BS197+$BT197*$BT$2,DB197&lt;$BS197-$BT197*$BT$2),AVEDEV(ARRAYFORMULA(XLOOKUP(FILTER(INDIRECT(""'""&amp;DB$1&amp;""'!$C$4:$C$66""),INDIRECT(""'""&amp;DB$1&amp;""'!$D$4:$D$66"")=DB$2),$G$3:$BQ$3,$G197:$BQ197))),"""")"),"")</f>
        <v/>
      </c>
      <c r="DD197" s="251">
        <f>IFERROR(__xludf.DUMMYFUNCTION("AVERAGE(ARRAYFORMULA(XLOOKUP(FILTER(INDIRECT(""'""&amp;DD$1&amp;""'!$C$4:$C$66""),INDIRECT(""'""&amp;DD$1&amp;""'!$D$4:$D$66"")=DD$2),$G$3:$BQ$3,$G197:$BQ197)))"),1.554802501111111)</f>
        <v>1.554802501</v>
      </c>
      <c r="DE197" s="207">
        <f>IFERROR(__xludf.DUMMYFUNCTION("IF(OR(DD197&gt;$BS197+$BT197*$BT$2,DD197&lt;$BS197-$BT197*$BT$2),AVEDEV(ARRAYFORMULA(XLOOKUP(FILTER(INDIRECT(""'""&amp;DD$1&amp;""'!$C$4:$C$66""),INDIRECT(""'""&amp;DD$1&amp;""'!$D$4:$D$66"")=DD$2),$G$3:$BQ$3,$G197:$BQ197))),"""")"),0.42274700814814814)</f>
        <v>0.4227470081</v>
      </c>
      <c r="DF197" s="251">
        <f>IFERROR(__xludf.DUMMYFUNCTION("AVERAGE(ARRAYFORMULA(XLOOKUP(FILTER(INDIRECT(""'""&amp;DF$1&amp;""'!$C$4:$C$66""),INDIRECT(""'""&amp;DF$1&amp;""'!$D$4:$D$66"")=DF$2),$G$3:$BQ$3,$G197:$BQ197)))"),0.45883194000000005)</f>
        <v>0.45883194</v>
      </c>
      <c r="DG197" s="207" t="str">
        <f>IFERROR(__xludf.DUMMYFUNCTION("IF(OR(DF197&gt;$BS197+$BT197*$BT$2,DF197&lt;$BS197-$BT197*$BT$2),AVEDEV(ARRAYFORMULA(XLOOKUP(FILTER(INDIRECT(""'""&amp;DF$1&amp;""'!$C$4:$C$66""),INDIRECT(""'""&amp;DF$1&amp;""'!$D$4:$D$66"")=DF$2),$G$3:$BQ$3,$G197:$BQ197))),"""")"),"")</f>
        <v/>
      </c>
      <c r="DH197" s="251">
        <f>IFERROR(__xludf.DUMMYFUNCTION("AVERAGE(ARRAYFORMULA(XLOOKUP(FILTER(INDIRECT(""'""&amp;DH$1&amp;""'!$C$4:$C$66""),INDIRECT(""'""&amp;DH$1&amp;""'!$D$4:$D$66"")=DH$2),$G$3:$BQ$3,$G197:$BQ197)))"),0.6628778511111112)</f>
        <v>0.6628778511</v>
      </c>
      <c r="DI197" s="207" t="str">
        <f>IFERROR(__xludf.DUMMYFUNCTION("IF(OR(DH197&gt;$BS197+$BT197*$BT$2,DH197&lt;$BS197-$BT197*$BT$2),AVEDEV(ARRAYFORMULA(XLOOKUP(FILTER(INDIRECT(""'""&amp;DH$1&amp;""'!$C$4:$C$66""),INDIRECT(""'""&amp;DH$1&amp;""'!$D$4:$D$66"")=DH$2),$G$3:$BQ$3,$G197:$BQ197))),"""")"),"")</f>
        <v/>
      </c>
      <c r="DJ197" s="243"/>
    </row>
    <row r="198">
      <c r="A198" s="2"/>
      <c r="B198" s="204">
        <v>194.0</v>
      </c>
      <c r="C198" s="204" t="s">
        <v>630</v>
      </c>
      <c r="D198" s="204" t="s">
        <v>642</v>
      </c>
      <c r="E198" s="205" t="b">
        <f>VLOOKUP(D198,'Feature Set List'!A195:C246,2,0)</f>
        <v>1</v>
      </c>
      <c r="F198" s="205" t="b">
        <f>VLOOKUP(D198,'Feature Set List'!A195:C246,3,0)</f>
        <v>1</v>
      </c>
      <c r="G198" s="205">
        <v>0.0</v>
      </c>
      <c r="H198" s="205">
        <v>0.0</v>
      </c>
      <c r="I198" s="205">
        <v>0.0</v>
      </c>
      <c r="J198" s="205">
        <v>0.0</v>
      </c>
      <c r="K198" s="205">
        <v>0.0</v>
      </c>
      <c r="L198" s="205">
        <v>0.0</v>
      </c>
      <c r="M198" s="205">
        <v>0.0</v>
      </c>
      <c r="N198" s="205">
        <v>0.0</v>
      </c>
      <c r="O198" s="205">
        <v>0.0</v>
      </c>
      <c r="P198" s="205">
        <v>0.0</v>
      </c>
      <c r="Q198" s="205">
        <v>0.0</v>
      </c>
      <c r="R198" s="205">
        <v>0.0</v>
      </c>
      <c r="S198" s="205">
        <v>0.0</v>
      </c>
      <c r="T198" s="205">
        <v>0.0</v>
      </c>
      <c r="U198" s="205">
        <v>0.03834</v>
      </c>
      <c r="V198" s="205">
        <v>0.0</v>
      </c>
      <c r="W198" s="205">
        <v>0.0</v>
      </c>
      <c r="X198" s="205">
        <v>0.0</v>
      </c>
      <c r="Y198" s="205">
        <v>0.0</v>
      </c>
      <c r="Z198" s="205">
        <v>0.0</v>
      </c>
      <c r="AA198" s="205">
        <v>0.0</v>
      </c>
      <c r="AB198" s="205">
        <v>0.0</v>
      </c>
      <c r="AC198" s="205">
        <v>0.0</v>
      </c>
      <c r="AD198" s="205">
        <v>0.0</v>
      </c>
      <c r="AE198" s="205">
        <v>0.0</v>
      </c>
      <c r="AF198" s="205">
        <v>0.0</v>
      </c>
      <c r="AG198" s="205">
        <v>0.0</v>
      </c>
      <c r="AH198" s="205">
        <v>0.0</v>
      </c>
      <c r="AI198" s="205">
        <v>0.08203</v>
      </c>
      <c r="AJ198" s="205">
        <v>0.0</v>
      </c>
      <c r="AK198" s="205">
        <v>0.103</v>
      </c>
      <c r="AL198" s="205">
        <v>0.0</v>
      </c>
      <c r="AM198" s="205">
        <v>0.04946</v>
      </c>
      <c r="AN198" s="205">
        <v>0.0</v>
      </c>
      <c r="AO198" s="205">
        <v>0.0</v>
      </c>
      <c r="AP198" s="205">
        <v>0.0</v>
      </c>
      <c r="AQ198" s="205">
        <v>0.0851</v>
      </c>
      <c r="AR198" s="205">
        <v>0.0</v>
      </c>
      <c r="AS198" s="205">
        <v>0.0</v>
      </c>
      <c r="AT198" s="205">
        <v>0.0</v>
      </c>
      <c r="AU198" s="205">
        <v>0.0</v>
      </c>
      <c r="AV198" s="205">
        <v>0.0</v>
      </c>
      <c r="AW198" s="205">
        <v>0.0</v>
      </c>
      <c r="AX198" s="205">
        <v>0.0</v>
      </c>
      <c r="AY198" s="205">
        <v>0.0</v>
      </c>
      <c r="AZ198" s="205">
        <v>0.0</v>
      </c>
      <c r="BA198" s="205">
        <v>0.0</v>
      </c>
      <c r="BB198" s="205">
        <v>0.0</v>
      </c>
      <c r="BC198" s="205">
        <v>0.0</v>
      </c>
      <c r="BD198" s="205">
        <v>0.0</v>
      </c>
      <c r="BE198" s="205">
        <v>0.0</v>
      </c>
      <c r="BF198" s="205">
        <v>0.0</v>
      </c>
      <c r="BG198" s="205">
        <v>0.0</v>
      </c>
      <c r="BH198" s="205">
        <v>0.0</v>
      </c>
      <c r="BI198" s="205">
        <v>0.0</v>
      </c>
      <c r="BJ198" s="205">
        <v>0.03189</v>
      </c>
      <c r="BK198" s="205">
        <v>0.0</v>
      </c>
      <c r="BL198" s="205">
        <v>0.0</v>
      </c>
      <c r="BM198" s="205">
        <v>0.0</v>
      </c>
      <c r="BN198" s="205">
        <v>0.08391</v>
      </c>
      <c r="BO198" s="205">
        <v>0.0</v>
      </c>
      <c r="BP198" s="205">
        <v>0.0</v>
      </c>
      <c r="BQ198" s="205">
        <v>0.03879</v>
      </c>
      <c r="BR198" s="206"/>
      <c r="BS198" s="250">
        <f t="shared" si="1"/>
        <v>0.008135238095</v>
      </c>
      <c r="BT198" s="250">
        <f t="shared" si="2"/>
        <v>0.01420438398</v>
      </c>
      <c r="BU198" s="206"/>
      <c r="BV198" s="207">
        <f>IFERROR(__xludf.DUMMYFUNCTION("AVERAGE(ARRAYFORMULA(XLOOKUP(FILTER(INDIRECT(""'""&amp;BV$1&amp;""'!$C$4:$C$66""),INDIRECT(""'""&amp;BV$1&amp;""'!$D$4:$D$66"")=BV$2),$G$3:$BQ$3,$G198:$BQ198)))"),0.005477142857142857)</f>
        <v>0.005477142857</v>
      </c>
      <c r="BW198" s="207" t="str">
        <f>IFERROR(__xludf.DUMMYFUNCTION("IF(OR(BV198&gt;$BS198+$BT198*$BT$2,BV198&lt;$BS198-$BT198*$BT$2),AVEDEV(ARRAYFORMULA(XLOOKUP(FILTER(INDIRECT(""'""&amp;BV$1&amp;""'!$C$4:$C$66""),INDIRECT(""'""&amp;BV$1&amp;""'!$D$4:$D$66"")=BV$2),$G$3:$BQ$3,$G198:$BQ198))),"""")"),"")</f>
        <v/>
      </c>
      <c r="BX198" s="207">
        <f>IFERROR(__xludf.DUMMYFUNCTION("AVERAGE(ARRAYFORMULA(XLOOKUP(FILTER(INDIRECT(""'""&amp;BX$1&amp;""'!$C$4:$C$66""),INDIRECT(""'""&amp;BX$1&amp;""'!$D$4:$D$66"")=BX$2),$G$3:$BQ$3,$G198:$BQ198)))"),0.011289999999999998)</f>
        <v>0.01129</v>
      </c>
      <c r="BY198" s="207" t="str">
        <f>IFERROR(__xludf.DUMMYFUNCTION("IF(OR(BX198&gt;$BS198+$BT198*$BT$2,BX198&lt;$BS198-$BT198*$BT$2),AVEDEV(ARRAYFORMULA(XLOOKUP(FILTER(INDIRECT(""'""&amp;BX$1&amp;""'!$C$4:$C$66""),INDIRECT(""'""&amp;BX$1&amp;""'!$D$4:$D$66"")=BX$2),$G$3:$BQ$3,$G198:$BQ198))),"""")"),"")</f>
        <v/>
      </c>
      <c r="BZ198" s="207">
        <f>IFERROR(__xludf.DUMMYFUNCTION("AVERAGE(ARRAYFORMULA(XLOOKUP(FILTER(INDIRECT(""'""&amp;BZ$1&amp;""'!$C$4:$C$66""),INDIRECT(""'""&amp;BZ$1&amp;""'!$D$4:$D$66"")=BZ$2),$G$3:$BQ$3,$G198:$BQ198)))"),0.0)</f>
        <v>0</v>
      </c>
      <c r="CA198" s="207" t="str">
        <f>IFERROR(__xludf.DUMMYFUNCTION("IF(OR(BZ198&gt;$BS198+$BT198*$BT$2,BZ198&lt;$BS198-$BT198*$BT$2),AVEDEV(ARRAYFORMULA(XLOOKUP(FILTER(INDIRECT(""'""&amp;BZ$1&amp;""'!$C$4:$C$66""),INDIRECT(""'""&amp;BZ$1&amp;""'!$D$4:$D$66"")=BZ$2),$G$3:$BQ$3,$G198:$BQ198))),"""")"),"")</f>
        <v/>
      </c>
      <c r="CB198" s="209"/>
      <c r="CC198" s="207">
        <f>IFERROR(__xludf.DUMMYFUNCTION("AVERAGE(ARRAYFORMULA(XLOOKUP(FILTER(INDIRECT(""'""&amp;CC$1&amp;""'!$C$4:$C$66""),INDIRECT(""'""&amp;CC$1&amp;""'!$D$4:$D$66"")=CC$2),$G$3:$BQ$3,$G198:$BQ198)))"),0.019279374999999998)</f>
        <v>0.019279375</v>
      </c>
      <c r="CD198" s="207" t="str">
        <f>IFERROR(__xludf.DUMMYFUNCTION("IF(OR(CC198&gt;$BS198+$BT198*$BT$2,CC198&lt;$BS198-$BT198*$BT$2),AVEDEV(ARRAYFORMULA(XLOOKUP(FILTER(INDIRECT(""'""&amp;CC$1&amp;""'!$C$4:$C$66""),INDIRECT(""'""&amp;CC$1&amp;""'!$D$4:$D$66"")=CC$2),$G$3:$BQ$3,$G198:$BQ198))),"""")"),"")</f>
        <v/>
      </c>
      <c r="CE198" s="207">
        <f>IFERROR(__xludf.DUMMYFUNCTION("AVERAGE(ARRAYFORMULA(XLOOKUP(FILTER(INDIRECT(""'""&amp;CE$1&amp;""'!$C$4:$C$66""),INDIRECT(""'""&amp;CE$1&amp;""'!$D$4:$D$66"")=CE$2),$G$3:$BQ$3,$G198:$BQ198)))"),0.006582258064516129)</f>
        <v>0.006582258065</v>
      </c>
      <c r="CF198" s="207" t="str">
        <f>IFERROR(__xludf.DUMMYFUNCTION("IF(OR(CE198&gt;$BS198+$BT198*$BT$2,CE198&lt;$BS198-$BT198*$BT$2),AVEDEV(ARRAYFORMULA(XLOOKUP(FILTER(INDIRECT(""'""&amp;CE$1&amp;""'!$C$4:$C$66""),INDIRECT(""'""&amp;CE$1&amp;""'!$D$4:$D$66"")=CE$2),$G$3:$BQ$3,$G198:$BQ198))),"""")"),"")</f>
        <v/>
      </c>
      <c r="CG198" s="207">
        <f>IFERROR(__xludf.DUMMYFUNCTION("AVERAGE(ARRAYFORMULA(XLOOKUP(FILTER(INDIRECT(""'""&amp;CG$1&amp;""'!$C$4:$C$66""),INDIRECT(""'""&amp;CG$1&amp;""'!$D$4:$D$66"")=CG$2),$G$3:$BQ$3,$G198:$BQ198)))"),0.0)</f>
        <v>0</v>
      </c>
      <c r="CH198" s="207" t="str">
        <f>IFERROR(__xludf.DUMMYFUNCTION("IF(OR(CG198&gt;$BS198+$BT198*$BT$2,CG198&lt;$BS198-$BT198*$BT$2),AVEDEV(ARRAYFORMULA(XLOOKUP(FILTER(INDIRECT(""'""&amp;CG$1&amp;""'!$C$4:$C$66""),INDIRECT(""'""&amp;CG$1&amp;""'!$D$4:$D$66"")=CG$2),$G$3:$BQ$3,$G198:$BQ198))),"""")"),"")</f>
        <v/>
      </c>
      <c r="CI198" s="206"/>
      <c r="CJ198" s="251">
        <f>IFERROR(__xludf.DUMMYFUNCTION("AVERAGE(ARRAYFORMULA(XLOOKUP(FILTER(INDIRECT(""'""&amp;CJ$1&amp;""'!$C$4:$C$66""),INDIRECT(""'""&amp;CJ$1&amp;""'!$D$4:$D$66"")=CJ$2),$G$3:$BQ$3,$G198:$BQ198)))"),0.002556)</f>
        <v>0.002556</v>
      </c>
      <c r="CK198" s="207" t="str">
        <f>IFERROR(__xludf.DUMMYFUNCTION("IF(OR(CJ198&gt;$BS198+$BT198*$BT$2,CJ198&lt;$BS198-$BT198*$BT$2),AVEDEV(ARRAYFORMULA(XLOOKUP(FILTER(INDIRECT(""'""&amp;CJ$1&amp;""'!$C$4:$C$66""),INDIRECT(""'""&amp;CJ$1&amp;""'!$D$4:$D$66"")=CJ$2),$G$3:$BQ$3,$G198:$BQ198))),"""")"),"")</f>
        <v/>
      </c>
      <c r="CL198" s="251">
        <f>IFERROR(__xludf.DUMMYFUNCTION("AVERAGE(ARRAYFORMULA(XLOOKUP(FILTER(INDIRECT(""'""&amp;CL$1&amp;""'!$C$4:$C$66""),INDIRECT(""'""&amp;CL$1&amp;""'!$D$4:$D$66"")=CL$2),$G$3:$BQ$3,$G198:$BQ198)))"),0.012158461538461536)</f>
        <v>0.01215846154</v>
      </c>
      <c r="CM198" s="207" t="str">
        <f>IFERROR(__xludf.DUMMYFUNCTION("IF(OR(CL198&gt;$BS198+$BT198*$BT$2,CL198&lt;$BS198-$BT198*$BT$2),AVEDEV(ARRAYFORMULA(XLOOKUP(FILTER(INDIRECT(""'""&amp;CL$1&amp;""'!$C$4:$C$66""),INDIRECT(""'""&amp;CL$1&amp;""'!$D$4:$D$66"")=CL$2),$G$3:$BQ$3,$G198:$BQ198))),"""")"),"")</f>
        <v/>
      </c>
      <c r="CN198" s="251">
        <f>IFERROR(__xludf.DUMMYFUNCTION("AVERAGE(ARRAYFORMULA(XLOOKUP(FILTER(INDIRECT(""'""&amp;CN$1&amp;""'!$C$4:$C$66""),INDIRECT(""'""&amp;CN$1&amp;""'!$D$4:$D$66"")=CN$2),$G$3:$BQ$3,$G198:$BQ198)))"),0.0)</f>
        <v>0</v>
      </c>
      <c r="CO198" s="207" t="str">
        <f>IFERROR(__xludf.DUMMYFUNCTION("IF(OR(CN198&gt;$BS198+$BT198*$BT$2,CN198&lt;$BS198-$BT198*$BT$2),AVEDEV(ARRAYFORMULA(XLOOKUP(FILTER(INDIRECT(""'""&amp;CN$1&amp;""'!$C$4:$C$66""),INDIRECT(""'""&amp;CN$1&amp;""'!$D$4:$D$66"")=CN$2),$G$3:$BQ$3,$G198:$BQ198))),"""")"),"")</f>
        <v/>
      </c>
      <c r="CP198" s="252"/>
      <c r="CQ198" s="251">
        <f>IFERROR(__xludf.DUMMYFUNCTION("AVERAGE(ARRAYFORMULA(XLOOKUP(FILTER(INDIRECT(""'""&amp;CQ$1&amp;""'!$C$4:$C$66""),INDIRECT(""'""&amp;CQ$1&amp;""'!$D$4:$D$66"")=CQ$2),$G$3:$BQ$3,$G198:$BQ198)))"),0.019295)</f>
        <v>0.019295</v>
      </c>
      <c r="CR198" s="207" t="str">
        <f>IFERROR(__xludf.DUMMYFUNCTION("IF(OR(CQ198&gt;$BS198+$BT198*$BT$2,CQ198&lt;$BS198-$BT198*$BT$2),AVEDEV(ARRAYFORMULA(XLOOKUP(FILTER(INDIRECT(""'""&amp;CQ$1&amp;""'!$C$4:$C$66""),INDIRECT(""'""&amp;CQ$1&amp;""'!$D$4:$D$66"")=CQ$2),$G$3:$BQ$3,$G198:$BQ198))),"""")"),"")</f>
        <v/>
      </c>
      <c r="CS198" s="251">
        <f>IFERROR(__xludf.DUMMYFUNCTION("AVERAGE(ARRAYFORMULA(XLOOKUP(FILTER(INDIRECT(""'""&amp;CS$1&amp;""'!$C$4:$C$66""),INDIRECT(""'""&amp;CS$1&amp;""'!$D$4:$D$66"")=CS$2),$G$3:$BQ$3,$G198:$BQ198)))"),0.0)</f>
        <v>0</v>
      </c>
      <c r="CT198" s="207" t="str">
        <f>IFERROR(__xludf.DUMMYFUNCTION("IF(OR(CS198&gt;$BS198+$BT198*$BT$2,CS198&lt;$BS198-$BT198*$BT$2),AVEDEV(ARRAYFORMULA(XLOOKUP(FILTER(INDIRECT(""'""&amp;CS$1&amp;""'!$C$4:$C$66""),INDIRECT(""'""&amp;CS$1&amp;""'!$D$4:$D$66"")=CS$2),$G$3:$BQ$3,$G198:$BQ198))),"""")"),"")</f>
        <v/>
      </c>
      <c r="CU198" s="251">
        <f>IFERROR(__xludf.DUMMYFUNCTION("AVERAGE(ARRAYFORMULA(XLOOKUP(FILTER(INDIRECT(""'""&amp;CU$1&amp;""'!$C$4:$C$66""),INDIRECT(""'""&amp;CU$1&amp;""'!$D$4:$D$66"")=CU$2),$G$3:$BQ$3,$G198:$BQ198)))"),0.004496363636363636)</f>
        <v>0.004496363636</v>
      </c>
      <c r="CV198" s="207" t="str">
        <f>IFERROR(__xludf.DUMMYFUNCTION("IF(OR(CU198&gt;$BS198+$BT198*$BT$2,CU198&lt;$BS198-$BT198*$BT$2),AVEDEV(ARRAYFORMULA(XLOOKUP(FILTER(INDIRECT(""'""&amp;CU$1&amp;""'!$C$4:$C$66""),INDIRECT(""'""&amp;CU$1&amp;""'!$D$4:$D$66"")=CU$2),$G$3:$BQ$3,$G198:$BQ198))),"""")"),"")</f>
        <v/>
      </c>
      <c r="CW198" s="251">
        <f>IFERROR(__xludf.DUMMYFUNCTION("AVERAGE(ARRAYFORMULA(XLOOKUP(FILTER(INDIRECT(""'""&amp;CW$1&amp;""'!$C$4:$C$66""),INDIRECT(""'""&amp;CW$1&amp;""'!$D$4:$D$66"")=CW$2),$G$3:$BQ$3,$G198:$BQ198)))"),0.0)</f>
        <v>0</v>
      </c>
      <c r="CX198" s="207" t="str">
        <f>IFERROR(__xludf.DUMMYFUNCTION("IF(OR(CW198&gt;$BS198+$BT198*$BT$2,CW198&lt;$BS198-$BT198*$BT$2),AVEDEV(ARRAYFORMULA(XLOOKUP(FILTER(INDIRECT(""'""&amp;CW$1&amp;""'!$C$4:$C$66""),INDIRECT(""'""&amp;CW$1&amp;""'!$D$4:$D$66"")=CW$2),$G$3:$BQ$3,$G198:$BQ198))),"""")"),"")</f>
        <v/>
      </c>
      <c r="CY198" s="251">
        <f>IFERROR(__xludf.DUMMYFUNCTION("AVERAGE(ARRAYFORMULA(XLOOKUP(FILTER(INDIRECT(""'""&amp;CY$1&amp;""'!$C$4:$C$66""),INDIRECT(""'""&amp;CY$1&amp;""'!$D$4:$D$66"")=CY$2),$G$3:$BQ$3,$G198:$BQ198)))"),0.011042142857142858)</f>
        <v>0.01104214286</v>
      </c>
      <c r="CZ198" s="207" t="str">
        <f>IFERROR(__xludf.DUMMYFUNCTION("IF(OR(CY198&gt;$BS198+$BT198*$BT$2,CY198&lt;$BS198-$BT198*$BT$2),AVEDEV(ARRAYFORMULA(XLOOKUP(FILTER(INDIRECT(""'""&amp;CY$1&amp;""'!$C$4:$C$66""),INDIRECT(""'""&amp;CY$1&amp;""'!$D$4:$D$66"")=CY$2),$G$3:$BQ$3,$G198:$BQ198))),"""")"),"")</f>
        <v/>
      </c>
      <c r="DA198" s="252"/>
      <c r="DB198" s="251">
        <f>IFERROR(__xludf.DUMMYFUNCTION("AVERAGE(ARRAYFORMULA(XLOOKUP(FILTER(INDIRECT(""'""&amp;DB$1&amp;""'!$C$4:$C$66""),INDIRECT(""'""&amp;DB$1&amp;""'!$D$4:$D$66"")=DB$2),$G$3:$BQ$3,$G198:$BQ198)))"),0.011360333333333332)</f>
        <v>0.01136033333</v>
      </c>
      <c r="DC198" s="207" t="str">
        <f>IFERROR(__xludf.DUMMYFUNCTION("IF(OR(DB198&gt;$BS198+$BT198*$BT$2,DB198&lt;$BS198-$BT198*$BT$2),AVEDEV(ARRAYFORMULA(XLOOKUP(FILTER(INDIRECT(""'""&amp;DB$1&amp;""'!$C$4:$C$66""),INDIRECT(""'""&amp;DB$1&amp;""'!$D$4:$D$66"")=DB$2),$G$3:$BQ$3,$G198:$BQ198))),"""")"),"")</f>
        <v/>
      </c>
      <c r="DD198" s="251">
        <f>IFERROR(__xludf.DUMMYFUNCTION("AVERAGE(ARRAYFORMULA(XLOOKUP(FILTER(INDIRECT(""'""&amp;DD$1&amp;""'!$C$4:$C$66""),INDIRECT(""'""&amp;DD$1&amp;""'!$D$4:$D$66"")=DD$2),$G$3:$BQ$3,$G198:$BQ198)))"),0.0)</f>
        <v>0</v>
      </c>
      <c r="DE198" s="207" t="str">
        <f>IFERROR(__xludf.DUMMYFUNCTION("IF(OR(DD198&gt;$BS198+$BT198*$BT$2,DD198&lt;$BS198-$BT198*$BT$2),AVEDEV(ARRAYFORMULA(XLOOKUP(FILTER(INDIRECT(""'""&amp;DD$1&amp;""'!$C$4:$C$66""),INDIRECT(""'""&amp;DD$1&amp;""'!$D$4:$D$66"")=DD$2),$G$3:$BQ$3,$G198:$BQ198))),"""")"),"")</f>
        <v/>
      </c>
      <c r="DF198" s="251">
        <f>IFERROR(__xludf.DUMMYFUNCTION("AVERAGE(ARRAYFORMULA(XLOOKUP(FILTER(INDIRECT(""'""&amp;DF$1&amp;""'!$C$4:$C$66""),INDIRECT(""'""&amp;DF$1&amp;""'!$D$4:$D$66"")=DF$2),$G$3:$BQ$3,$G198:$BQ198)))"),0.0047925)</f>
        <v>0.0047925</v>
      </c>
      <c r="DG198" s="207" t="str">
        <f>IFERROR(__xludf.DUMMYFUNCTION("IF(OR(DF198&gt;$BS198+$BT198*$BT$2,DF198&lt;$BS198-$BT198*$BT$2),AVEDEV(ARRAYFORMULA(XLOOKUP(FILTER(INDIRECT(""'""&amp;DF$1&amp;""'!$C$4:$C$66""),INDIRECT(""'""&amp;DF$1&amp;""'!$D$4:$D$66"")=DF$2),$G$3:$BQ$3,$G198:$BQ198))),"""")"),"")</f>
        <v/>
      </c>
      <c r="DH198" s="251">
        <f>IFERROR(__xludf.DUMMYFUNCTION("AVERAGE(ARRAYFORMULA(XLOOKUP(FILTER(INDIRECT(""'""&amp;DH$1&amp;""'!$C$4:$C$66""),INDIRECT(""'""&amp;DH$1&amp;""'!$D$4:$D$66"")=DH$2),$G$3:$BQ$3,$G198:$BQ198)))"),0.014818888888888888)</f>
        <v>0.01481888889</v>
      </c>
      <c r="DI198" s="207" t="str">
        <f>IFERROR(__xludf.DUMMYFUNCTION("IF(OR(DH198&gt;$BS198+$BT198*$BT$2,DH198&lt;$BS198-$BT198*$BT$2),AVEDEV(ARRAYFORMULA(XLOOKUP(FILTER(INDIRECT(""'""&amp;DH$1&amp;""'!$C$4:$C$66""),INDIRECT(""'""&amp;DH$1&amp;""'!$D$4:$D$66"")=DH$2),$G$3:$BQ$3,$G198:$BQ198))),"""")"),"")</f>
        <v/>
      </c>
      <c r="DJ198" s="243"/>
    </row>
    <row r="199">
      <c r="A199" s="2"/>
      <c r="B199" s="204">
        <v>195.0</v>
      </c>
      <c r="C199" s="204" t="s">
        <v>630</v>
      </c>
      <c r="D199" s="204" t="s">
        <v>643</v>
      </c>
      <c r="E199" s="205" t="b">
        <f>VLOOKUP(D199,'Feature Set List'!A196:C246,2,0)</f>
        <v>1</v>
      </c>
      <c r="F199" s="205" t="b">
        <f>VLOOKUP(D199,'Feature Set List'!A196:C246,3,0)</f>
        <v>1</v>
      </c>
      <c r="G199" s="205">
        <v>0.0</v>
      </c>
      <c r="H199" s="205">
        <v>0.0</v>
      </c>
      <c r="I199" s="205">
        <v>0.0</v>
      </c>
      <c r="J199" s="205">
        <v>0.0</v>
      </c>
      <c r="K199" s="205">
        <v>0.02107</v>
      </c>
      <c r="L199" s="205">
        <v>0.0</v>
      </c>
      <c r="M199" s="205">
        <v>0.0</v>
      </c>
      <c r="N199" s="205">
        <v>0.0</v>
      </c>
      <c r="O199" s="205">
        <v>0.0</v>
      </c>
      <c r="P199" s="205">
        <v>0.0</v>
      </c>
      <c r="Q199" s="205">
        <v>0.0</v>
      </c>
      <c r="R199" s="205">
        <v>0.0</v>
      </c>
      <c r="S199" s="205">
        <v>0.0</v>
      </c>
      <c r="T199" s="205">
        <v>0.0</v>
      </c>
      <c r="U199" s="205">
        <v>0.0</v>
      </c>
      <c r="V199" s="205">
        <v>0.0</v>
      </c>
      <c r="W199" s="205">
        <v>0.0</v>
      </c>
      <c r="X199" s="205">
        <v>0.0</v>
      </c>
      <c r="Y199" s="205">
        <v>0.0</v>
      </c>
      <c r="Z199" s="205">
        <v>0.0</v>
      </c>
      <c r="AA199" s="205">
        <v>0.0</v>
      </c>
      <c r="AB199" s="205">
        <v>0.0</v>
      </c>
      <c r="AC199" s="205">
        <v>0.0</v>
      </c>
      <c r="AD199" s="205">
        <v>0.0</v>
      </c>
      <c r="AE199" s="205">
        <v>0.01788</v>
      </c>
      <c r="AF199" s="205">
        <v>0.0</v>
      </c>
      <c r="AG199" s="205">
        <v>0.0</v>
      </c>
      <c r="AH199" s="205">
        <v>0.0</v>
      </c>
      <c r="AI199" s="205">
        <v>0.0</v>
      </c>
      <c r="AJ199" s="205">
        <v>0.0</v>
      </c>
      <c r="AK199" s="205">
        <v>0.05754</v>
      </c>
      <c r="AL199" s="205">
        <v>0.0</v>
      </c>
      <c r="AM199" s="205">
        <v>0.0</v>
      </c>
      <c r="AN199" s="205">
        <v>0.0</v>
      </c>
      <c r="AO199" s="205">
        <v>0.0</v>
      </c>
      <c r="AP199" s="205">
        <v>0.0</v>
      </c>
      <c r="AQ199" s="205">
        <v>0.0</v>
      </c>
      <c r="AR199" s="205">
        <v>0.0</v>
      </c>
      <c r="AS199" s="205">
        <v>0.0</v>
      </c>
      <c r="AT199" s="205">
        <v>6.903E-4</v>
      </c>
      <c r="AU199" s="205">
        <v>0.0</v>
      </c>
      <c r="AV199" s="205">
        <v>0.0</v>
      </c>
      <c r="AW199" s="205">
        <v>0.0</v>
      </c>
      <c r="AX199" s="205">
        <v>0.0</v>
      </c>
      <c r="AY199" s="205">
        <v>0.0</v>
      </c>
      <c r="AZ199" s="205">
        <v>0.0</v>
      </c>
      <c r="BA199" s="205">
        <v>0.0</v>
      </c>
      <c r="BB199" s="205">
        <v>0.0</v>
      </c>
      <c r="BC199" s="205">
        <v>0.0</v>
      </c>
      <c r="BD199" s="205">
        <v>0.05269</v>
      </c>
      <c r="BE199" s="205">
        <v>0.0</v>
      </c>
      <c r="BF199" s="205">
        <v>0.09947</v>
      </c>
      <c r="BG199" s="205">
        <v>0.0</v>
      </c>
      <c r="BH199" s="205">
        <v>0.0</v>
      </c>
      <c r="BI199" s="205">
        <v>0.005047</v>
      </c>
      <c r="BJ199" s="205">
        <v>0.0</v>
      </c>
      <c r="BK199" s="205">
        <v>0.0</v>
      </c>
      <c r="BL199" s="205">
        <v>0.0</v>
      </c>
      <c r="BM199" s="205">
        <v>0.0</v>
      </c>
      <c r="BN199" s="205">
        <v>0.0</v>
      </c>
      <c r="BO199" s="205">
        <v>0.0</v>
      </c>
      <c r="BP199" s="205">
        <v>0.0</v>
      </c>
      <c r="BQ199" s="205">
        <v>0.04464</v>
      </c>
      <c r="BR199" s="206"/>
      <c r="BS199" s="250">
        <f t="shared" si="1"/>
        <v>0.004746465079</v>
      </c>
      <c r="BT199" s="250">
        <f t="shared" si="2"/>
        <v>0.008416245855</v>
      </c>
      <c r="BU199" s="206"/>
      <c r="BV199" s="207">
        <f>IFERROR(__xludf.DUMMYFUNCTION("AVERAGE(ARRAYFORMULA(XLOOKUP(FILTER(INDIRECT(""'""&amp;BV$1&amp;""'!$C$4:$C$66""),INDIRECT(""'""&amp;BV$1&amp;""'!$D$4:$D$66"")=BV$2),$G$3:$BQ$3,$G199:$BQ199)))"),0.0)</f>
        <v>0</v>
      </c>
      <c r="BW199" s="207" t="str">
        <f>IFERROR(__xludf.DUMMYFUNCTION("IF(OR(BV199&gt;$BS199+$BT199*$BT$2,BV199&lt;$BS199-$BT199*$BT$2),AVEDEV(ARRAYFORMULA(XLOOKUP(FILTER(INDIRECT(""'""&amp;BV$1&amp;""'!$C$4:$C$66""),INDIRECT(""'""&amp;BV$1&amp;""'!$D$4:$D$66"")=BV$2),$G$3:$BQ$3,$G199:$BQ199))),"""")"),"")</f>
        <v/>
      </c>
      <c r="BX199" s="207">
        <f>IFERROR(__xludf.DUMMYFUNCTION("AVERAGE(ARRAYFORMULA(XLOOKUP(FILTER(INDIRECT(""'""&amp;BX$1&amp;""'!$C$4:$C$66""),INDIRECT(""'""&amp;BX$1&amp;""'!$D$4:$D$66"")=BX$2),$G$3:$BQ$3,$G199:$BQ199)))"),0.0058651738095238095)</f>
        <v>0.00586517381</v>
      </c>
      <c r="BY199" s="207" t="str">
        <f>IFERROR(__xludf.DUMMYFUNCTION("IF(OR(BX199&gt;$BS199+$BT199*$BT$2,BX199&lt;$BS199-$BT199*$BT$2),AVEDEV(ARRAYFORMULA(XLOOKUP(FILTER(INDIRECT(""'""&amp;BX$1&amp;""'!$C$4:$C$66""),INDIRECT(""'""&amp;BX$1&amp;""'!$D$4:$D$66"")=BX$2),$G$3:$BQ$3,$G199:$BQ199))),"""")"),"")</f>
        <v/>
      </c>
      <c r="BZ199" s="207">
        <f>IFERROR(__xludf.DUMMYFUNCTION("AVERAGE(ARRAYFORMULA(XLOOKUP(FILTER(INDIRECT(""'""&amp;BZ$1&amp;""'!$C$4:$C$66""),INDIRECT(""'""&amp;BZ$1&amp;""'!$D$4:$D$66"")=BZ$2),$G$3:$BQ$3,$G199:$BQ199)))"),0.0)</f>
        <v>0</v>
      </c>
      <c r="CA199" s="207" t="str">
        <f>IFERROR(__xludf.DUMMYFUNCTION("IF(OR(BZ199&gt;$BS199+$BT199*$BT$2,BZ199&lt;$BS199-$BT199*$BT$2),AVEDEV(ARRAYFORMULA(XLOOKUP(FILTER(INDIRECT(""'""&amp;BZ$1&amp;""'!$C$4:$C$66""),INDIRECT(""'""&amp;BZ$1&amp;""'!$D$4:$D$66"")=BZ$2),$G$3:$BQ$3,$G199:$BQ199))),"""")"),"")</f>
        <v/>
      </c>
      <c r="CB199" s="209"/>
      <c r="CC199" s="207">
        <f>IFERROR(__xludf.DUMMYFUNCTION("AVERAGE(ARRAYFORMULA(XLOOKUP(FILTER(INDIRECT(""'""&amp;CC$1&amp;""'!$C$4:$C$66""),INDIRECT(""'""&amp;CC$1&amp;""'!$D$4:$D$66"")=CC$2),$G$3:$BQ$3,$G199:$BQ199)))"),0.012290643750000002)</f>
        <v>0.01229064375</v>
      </c>
      <c r="CD199" s="207" t="str">
        <f>IFERROR(__xludf.DUMMYFUNCTION("IF(OR(CC199&gt;$BS199+$BT199*$BT$2,CC199&lt;$BS199-$BT199*$BT$2),AVEDEV(ARRAYFORMULA(XLOOKUP(FILTER(INDIRECT(""'""&amp;CC$1&amp;""'!$C$4:$C$66""),INDIRECT(""'""&amp;CC$1&amp;""'!$D$4:$D$66"")=CC$2),$G$3:$BQ$3,$G199:$BQ199))),"""")"),"")</f>
        <v/>
      </c>
      <c r="CE199" s="207">
        <f>IFERROR(__xludf.DUMMYFUNCTION("AVERAGE(ARRAYFORMULA(XLOOKUP(FILTER(INDIRECT(""'""&amp;CE$1&amp;""'!$C$4:$C$66""),INDIRECT(""'""&amp;CE$1&amp;""'!$D$4:$D$66"")=CE$2),$G$3:$BQ$3,$G199:$BQ199)))"),0.0016028064516129033)</f>
        <v>0.001602806452</v>
      </c>
      <c r="CF199" s="207" t="str">
        <f>IFERROR(__xludf.DUMMYFUNCTION("IF(OR(CE199&gt;$BS199+$BT199*$BT$2,CE199&lt;$BS199-$BT199*$BT$2),AVEDEV(ARRAYFORMULA(XLOOKUP(FILTER(INDIRECT(""'""&amp;CE$1&amp;""'!$C$4:$C$66""),INDIRECT(""'""&amp;CE$1&amp;""'!$D$4:$D$66"")=CE$2),$G$3:$BQ$3,$G199:$BQ199))),"""")"),"")</f>
        <v/>
      </c>
      <c r="CG199" s="207">
        <f>IFERROR(__xludf.DUMMYFUNCTION("AVERAGE(ARRAYFORMULA(XLOOKUP(FILTER(INDIRECT(""'""&amp;CG$1&amp;""'!$C$4:$C$66""),INDIRECT(""'""&amp;CG$1&amp;""'!$D$4:$D$66"")=CG$2),$G$3:$BQ$3,$G199:$BQ199)))"),0.0)</f>
        <v>0</v>
      </c>
      <c r="CH199" s="207" t="str">
        <f>IFERROR(__xludf.DUMMYFUNCTION("IF(OR(CG199&gt;$BS199+$BT199*$BT$2,CG199&lt;$BS199-$BT199*$BT$2),AVEDEV(ARRAYFORMULA(XLOOKUP(FILTER(INDIRECT(""'""&amp;CG$1&amp;""'!$C$4:$C$66""),INDIRECT(""'""&amp;CG$1&amp;""'!$D$4:$D$66"")=CG$2),$G$3:$BQ$3,$G199:$BQ199))),"""")"),"")</f>
        <v/>
      </c>
      <c r="CI199" s="206"/>
      <c r="CJ199" s="251">
        <f>IFERROR(__xludf.DUMMYFUNCTION("AVERAGE(ARRAYFORMULA(XLOOKUP(FILTER(INDIRECT(""'""&amp;CJ$1&amp;""'!$C$4:$C$66""),INDIRECT(""'""&amp;CJ$1&amp;""'!$D$4:$D$66"")=CJ$2),$G$3:$BQ$3,$G199:$BQ199)))"),0.00123802)</f>
        <v>0.00123802</v>
      </c>
      <c r="CK199" s="207" t="str">
        <f>IFERROR(__xludf.DUMMYFUNCTION("IF(OR(CJ199&gt;$BS199+$BT199*$BT$2,CJ199&lt;$BS199-$BT199*$BT$2),AVEDEV(ARRAYFORMULA(XLOOKUP(FILTER(INDIRECT(""'""&amp;CJ$1&amp;""'!$C$4:$C$66""),INDIRECT(""'""&amp;CJ$1&amp;""'!$D$4:$D$66"")=CJ$2),$G$3:$BQ$3,$G199:$BQ199))),"""")"),"")</f>
        <v/>
      </c>
      <c r="CL199" s="251">
        <f>IFERROR(__xludf.DUMMYFUNCTION("AVERAGE(ARRAYFORMULA(XLOOKUP(FILTER(INDIRECT(""'""&amp;CL$1&amp;""'!$C$4:$C$66""),INDIRECT(""'""&amp;CL$1&amp;""'!$D$4:$D$66"")=CL$2),$G$3:$BQ$3,$G199:$BQ199)))"),0.005840179487179487)</f>
        <v>0.005840179487</v>
      </c>
      <c r="CM199" s="207" t="str">
        <f>IFERROR(__xludf.DUMMYFUNCTION("IF(OR(CL199&gt;$BS199+$BT199*$BT$2,CL199&lt;$BS199-$BT199*$BT$2),AVEDEV(ARRAYFORMULA(XLOOKUP(FILTER(INDIRECT(""'""&amp;CL$1&amp;""'!$C$4:$C$66""),INDIRECT(""'""&amp;CL$1&amp;""'!$D$4:$D$66"")=CL$2),$G$3:$BQ$3,$G199:$BQ199))),"""")"),"")</f>
        <v/>
      </c>
      <c r="CN199" s="251">
        <f>IFERROR(__xludf.DUMMYFUNCTION("AVERAGE(ARRAYFORMULA(XLOOKUP(FILTER(INDIRECT(""'""&amp;CN$1&amp;""'!$C$4:$C$66""),INDIRECT(""'""&amp;CN$1&amp;""'!$D$4:$D$66"")=CN$2),$G$3:$BQ$3,$G199:$BQ199)))"),0.0)</f>
        <v>0</v>
      </c>
      <c r="CO199" s="207" t="str">
        <f>IFERROR(__xludf.DUMMYFUNCTION("IF(OR(CN199&gt;$BS199+$BT199*$BT$2,CN199&lt;$BS199-$BT199*$BT$2),AVEDEV(ARRAYFORMULA(XLOOKUP(FILTER(INDIRECT(""'""&amp;CN$1&amp;""'!$C$4:$C$66""),INDIRECT(""'""&amp;CN$1&amp;""'!$D$4:$D$66"")=CN$2),$G$3:$BQ$3,$G199:$BQ199))),"""")"),"")</f>
        <v/>
      </c>
      <c r="CP199" s="252"/>
      <c r="CQ199" s="251">
        <f>IFERROR(__xludf.DUMMYFUNCTION("AVERAGE(ARRAYFORMULA(XLOOKUP(FILTER(INDIRECT(""'""&amp;CQ$1&amp;""'!$C$4:$C$66""),INDIRECT(""'""&amp;CQ$1&amp;""'!$D$4:$D$66"")=CQ$2),$G$3:$BQ$3,$G199:$BQ199)))"),0.012492142857142858)</f>
        <v>0.01249214286</v>
      </c>
      <c r="CR199" s="207" t="str">
        <f>IFERROR(__xludf.DUMMYFUNCTION("IF(OR(CQ199&gt;$BS199+$BT199*$BT$2,CQ199&lt;$BS199-$BT199*$BT$2),AVEDEV(ARRAYFORMULA(XLOOKUP(FILTER(INDIRECT(""'""&amp;CQ$1&amp;""'!$C$4:$C$66""),INDIRECT(""'""&amp;CQ$1&amp;""'!$D$4:$D$66"")=CQ$2),$G$3:$BQ$3,$G199:$BQ199))),"""")"),"")</f>
        <v/>
      </c>
      <c r="CS199" s="251">
        <f>IFERROR(__xludf.DUMMYFUNCTION("AVERAGE(ARRAYFORMULA(XLOOKUP(FILTER(INDIRECT(""'""&amp;CS$1&amp;""'!$C$4:$C$66""),INDIRECT(""'""&amp;CS$1&amp;""'!$D$4:$D$66"")=CS$2),$G$3:$BQ$3,$G199:$BQ199)))"),0.0)</f>
        <v>0</v>
      </c>
      <c r="CT199" s="207" t="str">
        <f>IFERROR(__xludf.DUMMYFUNCTION("IF(OR(CS199&gt;$BS199+$BT199*$BT$2,CS199&lt;$BS199-$BT199*$BT$2),AVEDEV(ARRAYFORMULA(XLOOKUP(FILTER(INDIRECT(""'""&amp;CS$1&amp;""'!$C$4:$C$66""),INDIRECT(""'""&amp;CS$1&amp;""'!$D$4:$D$66"")=CS$2),$G$3:$BQ$3,$G199:$BQ199))),"""")"),"")</f>
        <v/>
      </c>
      <c r="CU199" s="251">
        <f>IFERROR(__xludf.DUMMYFUNCTION("AVERAGE(ARRAYFORMULA(XLOOKUP(FILTER(INDIRECT(""'""&amp;CU$1&amp;""'!$C$4:$C$66""),INDIRECT(""'""&amp;CU$1&amp;""'!$D$4:$D$66"")=CU$2),$G$3:$BQ$3,$G199:$BQ199)))"),6.275454545454545E-5)</f>
        <v>0.00006275454545</v>
      </c>
      <c r="CV199" s="207" t="str">
        <f>IFERROR(__xludf.DUMMYFUNCTION("IF(OR(CU199&gt;$BS199+$BT199*$BT$2,CU199&lt;$BS199-$BT199*$BT$2),AVEDEV(ARRAYFORMULA(XLOOKUP(FILTER(INDIRECT(""'""&amp;CU$1&amp;""'!$C$4:$C$66""),INDIRECT(""'""&amp;CU$1&amp;""'!$D$4:$D$66"")=CU$2),$G$3:$BQ$3,$G199:$BQ199))),"""")"),"")</f>
        <v/>
      </c>
      <c r="CW199" s="251">
        <f>IFERROR(__xludf.DUMMYFUNCTION("AVERAGE(ARRAYFORMULA(XLOOKUP(FILTER(INDIRECT(""'""&amp;CW$1&amp;""'!$C$4:$C$66""),INDIRECT(""'""&amp;CW$1&amp;""'!$D$4:$D$66"")=CW$2),$G$3:$BQ$3,$G199:$BQ199)))"),0.0)</f>
        <v>0</v>
      </c>
      <c r="CX199" s="207" t="str">
        <f>IFERROR(__xludf.DUMMYFUNCTION("IF(OR(CW199&gt;$BS199+$BT199*$BT$2,CW199&lt;$BS199-$BT199*$BT$2),AVEDEV(ARRAYFORMULA(XLOOKUP(FILTER(INDIRECT(""'""&amp;CW$1&amp;""'!$C$4:$C$66""),INDIRECT(""'""&amp;CW$1&amp;""'!$D$4:$D$66"")=CW$2),$G$3:$BQ$3,$G199:$BQ199))),"""")"),"")</f>
        <v/>
      </c>
      <c r="CY199" s="251">
        <f>IFERROR(__xludf.DUMMYFUNCTION("AVERAGE(ARRAYFORMULA(XLOOKUP(FILTER(INDIRECT(""'""&amp;CY$1&amp;""'!$C$4:$C$66""),INDIRECT(""'""&amp;CY$1&amp;""'!$D$4:$D$66"")=CY$2),$G$3:$BQ$3,$G199:$BQ199)))"),0.0035490714285714288)</f>
        <v>0.003549071429</v>
      </c>
      <c r="CZ199" s="207" t="str">
        <f>IFERROR(__xludf.DUMMYFUNCTION("IF(OR(CY199&gt;$BS199+$BT199*$BT$2,CY199&lt;$BS199-$BT199*$BT$2),AVEDEV(ARRAYFORMULA(XLOOKUP(FILTER(INDIRECT(""'""&amp;CY$1&amp;""'!$C$4:$C$66""),INDIRECT(""'""&amp;CY$1&amp;""'!$D$4:$D$66"")=CY$2),$G$3:$BQ$3,$G199:$BQ199))),"""")"),"")</f>
        <v/>
      </c>
      <c r="DA199" s="252"/>
      <c r="DB199" s="251">
        <f>IFERROR(__xludf.DUMMYFUNCTION("AVERAGE(ARRAYFORMULA(XLOOKUP(FILTER(INDIRECT(""'""&amp;DB$1&amp;""'!$C$4:$C$66""),INDIRECT(""'""&amp;DB$1&amp;""'!$D$4:$D$66"")=DB$2),$G$3:$BQ$3,$G199:$BQ199)))"),0.008211243333333333)</f>
        <v>0.008211243333</v>
      </c>
      <c r="DC199" s="207" t="str">
        <f>IFERROR(__xludf.DUMMYFUNCTION("IF(OR(DB199&gt;$BS199+$BT199*$BT$2,DB199&lt;$BS199-$BT199*$BT$2),AVEDEV(ARRAYFORMULA(XLOOKUP(FILTER(INDIRECT(""'""&amp;DB$1&amp;""'!$C$4:$C$66""),INDIRECT(""'""&amp;DB$1&amp;""'!$D$4:$D$66"")=DB$2),$G$3:$BQ$3,$G199:$BQ199))),"""")"),"")</f>
        <v/>
      </c>
      <c r="DD199" s="251">
        <f>IFERROR(__xludf.DUMMYFUNCTION("AVERAGE(ARRAYFORMULA(XLOOKUP(FILTER(INDIRECT(""'""&amp;DD$1&amp;""'!$C$4:$C$66""),INDIRECT(""'""&amp;DD$1&amp;""'!$D$4:$D$66"")=DD$2),$G$3:$BQ$3,$G199:$BQ199)))"),0.0)</f>
        <v>0</v>
      </c>
      <c r="DE199" s="207" t="str">
        <f>IFERROR(__xludf.DUMMYFUNCTION("IF(OR(DD199&gt;$BS199+$BT199*$BT$2,DD199&lt;$BS199-$BT199*$BT$2),AVEDEV(ARRAYFORMULA(XLOOKUP(FILTER(INDIRECT(""'""&amp;DD$1&amp;""'!$C$4:$C$66""),INDIRECT(""'""&amp;DD$1&amp;""'!$D$4:$D$66"")=DD$2),$G$3:$BQ$3,$G199:$BQ199))),"""")"),"")</f>
        <v/>
      </c>
      <c r="DF199" s="251">
        <f>IFERROR(__xludf.DUMMYFUNCTION("AVERAGE(ARRAYFORMULA(XLOOKUP(FILTER(INDIRECT(""'""&amp;DF$1&amp;""'!$C$4:$C$66""),INDIRECT(""'""&amp;DF$1&amp;""'!$D$4:$D$66"")=DF$2),$G$3:$BQ$3,$G199:$BQ199)))"),0.0)</f>
        <v>0</v>
      </c>
      <c r="DG199" s="207" t="str">
        <f>IFERROR(__xludf.DUMMYFUNCTION("IF(OR(DF199&gt;$BS199+$BT199*$BT$2,DF199&lt;$BS199-$BT199*$BT$2),AVEDEV(ARRAYFORMULA(XLOOKUP(FILTER(INDIRECT(""'""&amp;DF$1&amp;""'!$C$4:$C$66""),INDIRECT(""'""&amp;DF$1&amp;""'!$D$4:$D$66"")=DF$2),$G$3:$BQ$3,$G199:$BQ199))),"""")"),"")</f>
        <v/>
      </c>
      <c r="DH199" s="251">
        <f>IFERROR(__xludf.DUMMYFUNCTION("AVERAGE(ARRAYFORMULA(XLOOKUP(FILTER(INDIRECT(""'""&amp;DH$1&amp;""'!$C$4:$C$66""),INDIRECT(""'""&amp;DH$1&amp;""'!$D$4:$D$66"")=DH$2),$G$3:$BQ$3,$G199:$BQ199)))"),0.0)</f>
        <v>0</v>
      </c>
      <c r="DI199" s="207" t="str">
        <f>IFERROR(__xludf.DUMMYFUNCTION("IF(OR(DH199&gt;$BS199+$BT199*$BT$2,DH199&lt;$BS199-$BT199*$BT$2),AVEDEV(ARRAYFORMULA(XLOOKUP(FILTER(INDIRECT(""'""&amp;DH$1&amp;""'!$C$4:$C$66""),INDIRECT(""'""&amp;DH$1&amp;""'!$D$4:$D$66"")=DH$2),$G$3:$BQ$3,$G199:$BQ199))),"""")"),"")</f>
        <v/>
      </c>
      <c r="DJ199" s="243"/>
    </row>
    <row r="200">
      <c r="A200" s="2"/>
      <c r="B200" s="204">
        <v>196.0</v>
      </c>
      <c r="C200" s="204" t="s">
        <v>630</v>
      </c>
      <c r="D200" s="204" t="s">
        <v>644</v>
      </c>
      <c r="E200" s="205" t="b">
        <f>VLOOKUP(D200,'Feature Set List'!A197:C246,2,0)</f>
        <v>1</v>
      </c>
      <c r="F200" s="205" t="b">
        <f>VLOOKUP(D200,'Feature Set List'!A197:C246,3,0)</f>
        <v>1</v>
      </c>
      <c r="G200" s="205">
        <v>0.85420376</v>
      </c>
      <c r="H200" s="205">
        <v>4.48071217</v>
      </c>
      <c r="I200" s="205">
        <v>0.08468843</v>
      </c>
      <c r="J200" s="205">
        <v>0.0</v>
      </c>
      <c r="K200" s="205">
        <v>4.60534125</v>
      </c>
      <c r="L200" s="205">
        <v>0.0</v>
      </c>
      <c r="M200" s="205">
        <v>0.0</v>
      </c>
      <c r="N200" s="205">
        <v>0.0</v>
      </c>
      <c r="O200" s="205">
        <v>0.0</v>
      </c>
      <c r="P200" s="205">
        <v>0.0</v>
      </c>
      <c r="Q200" s="205">
        <v>0.1109001</v>
      </c>
      <c r="R200" s="205">
        <v>0.0</v>
      </c>
      <c r="S200" s="205">
        <v>0.0</v>
      </c>
      <c r="T200" s="205">
        <v>0.84866469</v>
      </c>
      <c r="U200" s="205">
        <v>0.0</v>
      </c>
      <c r="V200" s="205">
        <v>0.0</v>
      </c>
      <c r="W200" s="205">
        <v>0.0</v>
      </c>
      <c r="X200" s="205">
        <v>0.0</v>
      </c>
      <c r="Y200" s="205">
        <v>0.88486647</v>
      </c>
      <c r="Z200" s="205">
        <v>0.0</v>
      </c>
      <c r="AA200" s="205">
        <v>0.0</v>
      </c>
      <c r="AB200" s="205">
        <v>0.0</v>
      </c>
      <c r="AC200" s="205">
        <v>0.08138477</v>
      </c>
      <c r="AD200" s="205">
        <v>1.89950544</v>
      </c>
      <c r="AE200" s="205">
        <v>3.3867458</v>
      </c>
      <c r="AF200" s="205">
        <v>0.0</v>
      </c>
      <c r="AG200" s="205">
        <v>0.0</v>
      </c>
      <c r="AH200" s="205">
        <v>0.0</v>
      </c>
      <c r="AI200" s="205">
        <v>0.0</v>
      </c>
      <c r="AJ200" s="205">
        <v>0.23382789</v>
      </c>
      <c r="AK200" s="205">
        <v>0.0</v>
      </c>
      <c r="AL200" s="205">
        <v>3.50544016</v>
      </c>
      <c r="AM200" s="205">
        <v>1.6933729</v>
      </c>
      <c r="AN200" s="205">
        <v>0.0</v>
      </c>
      <c r="AO200" s="205">
        <v>0.0</v>
      </c>
      <c r="AP200" s="205">
        <v>0.0</v>
      </c>
      <c r="AQ200" s="205">
        <v>0.0</v>
      </c>
      <c r="AR200" s="205">
        <v>5.84965381</v>
      </c>
      <c r="AS200" s="205">
        <v>0.0</v>
      </c>
      <c r="AT200" s="205">
        <v>0.0</v>
      </c>
      <c r="AU200" s="205">
        <v>0.0</v>
      </c>
      <c r="AV200" s="205">
        <v>1.11513353</v>
      </c>
      <c r="AW200" s="205">
        <v>0.79307616</v>
      </c>
      <c r="AX200" s="205">
        <v>0.0</v>
      </c>
      <c r="AY200" s="205">
        <v>6.19188922</v>
      </c>
      <c r="AZ200" s="205">
        <v>0.0</v>
      </c>
      <c r="BA200" s="205">
        <v>0.0</v>
      </c>
      <c r="BB200" s="205">
        <v>0.0</v>
      </c>
      <c r="BC200" s="205">
        <v>0.0</v>
      </c>
      <c r="BD200" s="205">
        <v>6.9297725</v>
      </c>
      <c r="BE200" s="205">
        <v>0.0</v>
      </c>
      <c r="BF200" s="205">
        <v>1.684273</v>
      </c>
      <c r="BG200" s="205">
        <v>7.00890208</v>
      </c>
      <c r="BH200" s="205">
        <v>2.14836795</v>
      </c>
      <c r="BI200" s="205">
        <v>2.84470821</v>
      </c>
      <c r="BJ200" s="205">
        <v>0.0</v>
      </c>
      <c r="BK200" s="205">
        <v>2.89416419</v>
      </c>
      <c r="BL200" s="205">
        <v>0.0</v>
      </c>
      <c r="BM200" s="205">
        <v>0.0</v>
      </c>
      <c r="BN200" s="205">
        <v>6.1305638</v>
      </c>
      <c r="BO200" s="205">
        <v>0.74559842</v>
      </c>
      <c r="BP200" s="205">
        <v>0.0</v>
      </c>
      <c r="BQ200" s="205">
        <v>0.0</v>
      </c>
      <c r="BR200" s="206"/>
      <c r="BS200" s="250">
        <f t="shared" si="1"/>
        <v>1.06358344</v>
      </c>
      <c r="BT200" s="250">
        <f t="shared" si="2"/>
        <v>1.439720983</v>
      </c>
      <c r="BU200" s="206"/>
      <c r="BV200" s="207">
        <f>IFERROR(__xludf.DUMMYFUNCTION("AVERAGE(ARRAYFORMULA(XLOOKUP(FILTER(INDIRECT(""'""&amp;BV$1&amp;""'!$C$4:$C$66""),INDIRECT(""'""&amp;BV$1&amp;""'!$D$4:$D$66"")=BV$2),$G$3:$BQ$3,$G200:$BQ200)))"),0.8845556028571429)</f>
        <v>0.8845556029</v>
      </c>
      <c r="BW200" s="207" t="str">
        <f>IFERROR(__xludf.DUMMYFUNCTION("IF(OR(BV200&gt;$BS200+$BT200*$BT$2,BV200&lt;$BS200-$BT200*$BT$2),AVEDEV(ARRAYFORMULA(XLOOKUP(FILTER(INDIRECT(""'""&amp;BV$1&amp;""'!$C$4:$C$66""),INDIRECT(""'""&amp;BV$1&amp;""'!$D$4:$D$66"")=BV$2),$G$3:$BQ$3,$G200:$BQ200))),"""")"),"")</f>
        <v/>
      </c>
      <c r="BX200" s="207">
        <f>IFERROR(__xludf.DUMMYFUNCTION("AVERAGE(ARRAYFORMULA(XLOOKUP(FILTER(INDIRECT(""'""&amp;BX$1&amp;""'!$C$4:$C$66""),INDIRECT(""'""&amp;BX$1&amp;""'!$D$4:$D$66"")=BX$2),$G$3:$BQ$3,$G200:$BQ200)))"),1.219325515)</f>
        <v>1.219325515</v>
      </c>
      <c r="BY200" s="207" t="str">
        <f>IFERROR(__xludf.DUMMYFUNCTION("IF(OR(BX200&gt;$BS200+$BT200*$BT$2,BX200&lt;$BS200-$BT200*$BT$2),AVEDEV(ARRAYFORMULA(XLOOKUP(FILTER(INDIRECT(""'""&amp;BX$1&amp;""'!$C$4:$C$66""),INDIRECT(""'""&amp;BX$1&amp;""'!$D$4:$D$66"")=BX$2),$G$3:$BQ$3,$G200:$BQ200))),"""")"),"")</f>
        <v/>
      </c>
      <c r="BZ200" s="207">
        <f>IFERROR(__xludf.DUMMYFUNCTION("AVERAGE(ARRAYFORMULA(XLOOKUP(FILTER(INDIRECT(""'""&amp;BZ$1&amp;""'!$C$4:$C$66""),INDIRECT(""'""&amp;BZ$1&amp;""'!$D$4:$D$66"")=BZ$2),$G$3:$BQ$3,$G200:$BQ200)))"),0.23524862909090907)</f>
        <v>0.2352486291</v>
      </c>
      <c r="CA200" s="207" t="str">
        <f>IFERROR(__xludf.DUMMYFUNCTION("IF(OR(BZ200&gt;$BS200+$BT200*$BT$2,BZ200&lt;$BS200-$BT200*$BT$2),AVEDEV(ARRAYFORMULA(XLOOKUP(FILTER(INDIRECT(""'""&amp;BZ$1&amp;""'!$C$4:$C$66""),INDIRECT(""'""&amp;BZ$1&amp;""'!$D$4:$D$66"")=BZ$2),$G$3:$BQ$3,$G200:$BQ200))),"""")"),"")</f>
        <v/>
      </c>
      <c r="CB200" s="209"/>
      <c r="CC200" s="207">
        <f>IFERROR(__xludf.DUMMYFUNCTION("AVERAGE(ARRAYFORMULA(XLOOKUP(FILTER(INDIRECT(""'""&amp;CC$1&amp;""'!$C$4:$C$66""),INDIRECT(""'""&amp;CC$1&amp;""'!$D$4:$D$66"")=CC$2),$G$3:$BQ$3,$G200:$BQ200)))"),0.9343842737500001)</f>
        <v>0.9343842738</v>
      </c>
      <c r="CD200" s="207" t="str">
        <f>IFERROR(__xludf.DUMMYFUNCTION("IF(OR(CC200&gt;$BS200+$BT200*$BT$2,CC200&lt;$BS200-$BT200*$BT$2),AVEDEV(ARRAYFORMULA(XLOOKUP(FILTER(INDIRECT(""'""&amp;CC$1&amp;""'!$C$4:$C$66""),INDIRECT(""'""&amp;CC$1&amp;""'!$D$4:$D$66"")=CC$2),$G$3:$BQ$3,$G200:$BQ200))),"""")"),"")</f>
        <v/>
      </c>
      <c r="CE200" s="207">
        <f>IFERROR(__xludf.DUMMYFUNCTION("AVERAGE(ARRAYFORMULA(XLOOKUP(FILTER(INDIRECT(""'""&amp;CE$1&amp;""'!$C$4:$C$66""),INDIRECT(""'""&amp;CE$1&amp;""'!$D$4:$D$66"")=CE$2),$G$3:$BQ$3,$G200:$BQ200)))"),0.9591653106451612)</f>
        <v>0.9591653106</v>
      </c>
      <c r="CF200" s="207" t="str">
        <f>IFERROR(__xludf.DUMMYFUNCTION("IF(OR(CE200&gt;$BS200+$BT200*$BT$2,CE200&lt;$BS200-$BT200*$BT$2),AVEDEV(ARRAYFORMULA(XLOOKUP(FILTER(INDIRECT(""'""&amp;CE$1&amp;""'!$C$4:$C$66""),INDIRECT(""'""&amp;CE$1&amp;""'!$D$4:$D$66"")=CE$2),$G$3:$BQ$3,$G200:$BQ200))),"""")"),"")</f>
        <v/>
      </c>
      <c r="CG200" s="207">
        <f>IFERROR(__xludf.DUMMYFUNCTION("AVERAGE(ARRAYFORMULA(XLOOKUP(FILTER(INDIRECT(""'""&amp;CG$1&amp;""'!$C$4:$C$66""),INDIRECT(""'""&amp;CG$1&amp;""'!$D$4:$D$66"")=CG$2),$G$3:$BQ$3,$G200:$BQ200)))"),1.571513354)</f>
        <v>1.571513354</v>
      </c>
      <c r="CH200" s="207" t="str">
        <f>IFERROR(__xludf.DUMMYFUNCTION("IF(OR(CG200&gt;$BS200+$BT200*$BT$2,CG200&lt;$BS200-$BT200*$BT$2),AVEDEV(ARRAYFORMULA(XLOOKUP(FILTER(INDIRECT(""'""&amp;CG$1&amp;""'!$C$4:$C$66""),INDIRECT(""'""&amp;CG$1&amp;""'!$D$4:$D$66"")=CG$2),$G$3:$BQ$3,$G200:$BQ200))),"""")"),"")</f>
        <v/>
      </c>
      <c r="CI200" s="206"/>
      <c r="CJ200" s="251">
        <f>IFERROR(__xludf.DUMMYFUNCTION("AVERAGE(ARRAYFORMULA(XLOOKUP(FILTER(INDIRECT(""'""&amp;CJ$1&amp;""'!$C$4:$C$66""),INDIRECT(""'""&amp;CJ$1&amp;""'!$D$4:$D$66"")=CJ$2),$G$3:$BQ$3,$G200:$BQ200)))"),0.3968532813333333)</f>
        <v>0.3968532813</v>
      </c>
      <c r="CK200" s="207" t="str">
        <f>IFERROR(__xludf.DUMMYFUNCTION("IF(OR(CJ200&gt;$BS200+$BT200*$BT$2,CJ200&lt;$BS200-$BT200*$BT$2),AVEDEV(ARRAYFORMULA(XLOOKUP(FILTER(INDIRECT(""'""&amp;CJ$1&amp;""'!$C$4:$C$66""),INDIRECT(""'""&amp;CJ$1&amp;""'!$D$4:$D$66"")=CJ$2),$G$3:$BQ$3,$G200:$BQ200))),"""")"),"")</f>
        <v/>
      </c>
      <c r="CL200" s="251">
        <f>IFERROR(__xludf.DUMMYFUNCTION("AVERAGE(ARRAYFORMULA(XLOOKUP(FILTER(INDIRECT(""'""&amp;CL$1&amp;""'!$C$4:$C$66""),INDIRECT(""'""&amp;CL$1&amp;""'!$D$4:$D$66"")=CL$2),$G$3:$BQ$3,$G200:$BQ200)))"),1.1841264046153848)</f>
        <v>1.184126405</v>
      </c>
      <c r="CM200" s="207" t="str">
        <f>IFERROR(__xludf.DUMMYFUNCTION("IF(OR(CL200&gt;$BS200+$BT200*$BT$2,CL200&lt;$BS200-$BT200*$BT$2),AVEDEV(ARRAYFORMULA(XLOOKUP(FILTER(INDIRECT(""'""&amp;CL$1&amp;""'!$C$4:$C$66""),INDIRECT(""'""&amp;CL$1&amp;""'!$D$4:$D$66"")=CL$2),$G$3:$BQ$3,$G200:$BQ200))),"""")"),"")</f>
        <v/>
      </c>
      <c r="CN200" s="251">
        <f>IFERROR(__xludf.DUMMYFUNCTION("AVERAGE(ARRAYFORMULA(XLOOKUP(FILTER(INDIRECT(""'""&amp;CN$1&amp;""'!$C$4:$C$66""),INDIRECT(""'""&amp;CN$1&amp;""'!$D$4:$D$66"")=CN$2),$G$3:$BQ$3,$G200:$BQ200)))"),1.571513354)</f>
        <v>1.571513354</v>
      </c>
      <c r="CO200" s="207" t="str">
        <f>IFERROR(__xludf.DUMMYFUNCTION("IF(OR(CN200&gt;$BS200+$BT200*$BT$2,CN200&lt;$BS200-$BT200*$BT$2),AVEDEV(ARRAYFORMULA(XLOOKUP(FILTER(INDIRECT(""'""&amp;CN$1&amp;""'!$C$4:$C$66""),INDIRECT(""'""&amp;CN$1&amp;""'!$D$4:$D$66"")=CN$2),$G$3:$BQ$3,$G200:$BQ200))),"""")"),"")</f>
        <v/>
      </c>
      <c r="CP200" s="252"/>
      <c r="CQ200" s="251">
        <f>IFERROR(__xludf.DUMMYFUNCTION("AVERAGE(ARRAYFORMULA(XLOOKUP(FILTER(INDIRECT(""'""&amp;CQ$1&amp;""'!$C$4:$C$66""),INDIRECT(""'""&amp;CQ$1&amp;""'!$D$4:$D$66"")=CQ$2),$G$3:$BQ$3,$G200:$BQ200)))"),1.1960293914285713)</f>
        <v>1.196029391</v>
      </c>
      <c r="CR200" s="207" t="str">
        <f>IFERROR(__xludf.DUMMYFUNCTION("IF(OR(CQ200&gt;$BS200+$BT200*$BT$2,CQ200&lt;$BS200-$BT200*$BT$2),AVEDEV(ARRAYFORMULA(XLOOKUP(FILTER(INDIRECT(""'""&amp;CQ$1&amp;""'!$C$4:$C$66""),INDIRECT(""'""&amp;CQ$1&amp;""'!$D$4:$D$66"")=CQ$2),$G$3:$BQ$3,$G200:$BQ200))),"""")"),"")</f>
        <v/>
      </c>
      <c r="CS200" s="251">
        <f>IFERROR(__xludf.DUMMYFUNCTION("AVERAGE(ARRAYFORMULA(XLOOKUP(FILTER(INDIRECT(""'""&amp;CS$1&amp;""'!$C$4:$C$66""),INDIRECT(""'""&amp;CS$1&amp;""'!$D$4:$D$66"")=CS$2),$G$3:$BQ$3,$G200:$BQ200)))"),0.2875261022222222)</f>
        <v>0.2875261022</v>
      </c>
      <c r="CT200" s="207" t="str">
        <f>IFERROR(__xludf.DUMMYFUNCTION("IF(OR(CS200&gt;$BS200+$BT200*$BT$2,CS200&lt;$BS200-$BT200*$BT$2),AVEDEV(ARRAYFORMULA(XLOOKUP(FILTER(INDIRECT(""'""&amp;CS$1&amp;""'!$C$4:$C$66""),INDIRECT(""'""&amp;CS$1&amp;""'!$D$4:$D$66"")=CS$2),$G$3:$BQ$3,$G200:$BQ200))),"""")"),"")</f>
        <v/>
      </c>
      <c r="CU200" s="251">
        <f>IFERROR(__xludf.DUMMYFUNCTION("AVERAGE(ARRAYFORMULA(XLOOKUP(FILTER(INDIRECT(""'""&amp;CU$1&amp;""'!$C$4:$C$66""),INDIRECT(""'""&amp;CU$1&amp;""'!$D$4:$D$66"")=CU$2),$G$3:$BQ$3,$G200:$BQ200)))"),0.9676719727272727)</f>
        <v>0.9676719727</v>
      </c>
      <c r="CV200" s="207" t="str">
        <f>IFERROR(__xludf.DUMMYFUNCTION("IF(OR(CU200&gt;$BS200+$BT200*$BT$2,CU200&lt;$BS200-$BT200*$BT$2),AVEDEV(ARRAYFORMULA(XLOOKUP(FILTER(INDIRECT(""'""&amp;CU$1&amp;""'!$C$4:$C$66""),INDIRECT(""'""&amp;CU$1&amp;""'!$D$4:$D$66"")=CU$2),$G$3:$BQ$3,$G200:$BQ200))),"""")"),"")</f>
        <v/>
      </c>
      <c r="CW200" s="251">
        <f>IFERROR(__xludf.DUMMYFUNCTION("AVERAGE(ARRAYFORMULA(XLOOKUP(FILTER(INDIRECT(""'""&amp;CW$1&amp;""'!$C$4:$C$66""),INDIRECT(""'""&amp;CW$1&amp;""'!$D$4:$D$66"")=CW$2),$G$3:$BQ$3,$G200:$BQ200)))"),2.0239366949999997)</f>
        <v>2.023936695</v>
      </c>
      <c r="CX200" s="207" t="str">
        <f>IFERROR(__xludf.DUMMYFUNCTION("IF(OR(CW200&gt;$BS200+$BT200*$BT$2,CW200&lt;$BS200-$BT200*$BT$2),AVEDEV(ARRAYFORMULA(XLOOKUP(FILTER(INDIRECT(""'""&amp;CW$1&amp;""'!$C$4:$C$66""),INDIRECT(""'""&amp;CW$1&amp;""'!$D$4:$D$66"")=CW$2),$G$3:$BQ$3,$G200:$BQ200))),"""")"),"")</f>
        <v/>
      </c>
      <c r="CY200" s="251">
        <f>IFERROR(__xludf.DUMMYFUNCTION("AVERAGE(ARRAYFORMULA(XLOOKUP(FILTER(INDIRECT(""'""&amp;CY$1&amp;""'!$C$4:$C$66""),INDIRECT(""'""&amp;CY$1&amp;""'!$D$4:$D$66"")=CY$2),$G$3:$BQ$3,$G200:$BQ200)))"),1.0835467007142858)</f>
        <v>1.083546701</v>
      </c>
      <c r="CZ200" s="207" t="str">
        <f>IFERROR(__xludf.DUMMYFUNCTION("IF(OR(CY200&gt;$BS200+$BT200*$BT$2,CY200&lt;$BS200-$BT200*$BT$2),AVEDEV(ARRAYFORMULA(XLOOKUP(FILTER(INDIRECT(""'""&amp;CY$1&amp;""'!$C$4:$C$66""),INDIRECT(""'""&amp;CY$1&amp;""'!$D$4:$D$66"")=CY$2),$G$3:$BQ$3,$G200:$BQ200))),"""")"),"")</f>
        <v/>
      </c>
      <c r="DA200" s="252"/>
      <c r="DB200" s="251">
        <f>IFERROR(__xludf.DUMMYFUNCTION("AVERAGE(ARRAYFORMULA(XLOOKUP(FILTER(INDIRECT(""'""&amp;DB$1&amp;""'!$C$4:$C$66""),INDIRECT(""'""&amp;DB$1&amp;""'!$D$4:$D$66"")=DB$2),$G$3:$BQ$3,$G200:$BQ200)))"),1.0200857243333334)</f>
        <v>1.020085724</v>
      </c>
      <c r="DC200" s="207" t="str">
        <f>IFERROR(__xludf.DUMMYFUNCTION("IF(OR(DB200&gt;$BS200+$BT200*$BT$2,DB200&lt;$BS200-$BT200*$BT$2),AVEDEV(ARRAYFORMULA(XLOOKUP(FILTER(INDIRECT(""'""&amp;DB$1&amp;""'!$C$4:$C$66""),INDIRECT(""'""&amp;DB$1&amp;""'!$D$4:$D$66"")=DB$2),$G$3:$BQ$3,$G200:$BQ200))),"""")"),"")</f>
        <v/>
      </c>
      <c r="DD200" s="251">
        <f>IFERROR(__xludf.DUMMYFUNCTION("AVERAGE(ARRAYFORMULA(XLOOKUP(FILTER(INDIRECT(""'""&amp;DD$1&amp;""'!$C$4:$C$66""),INDIRECT(""'""&amp;DD$1&amp;""'!$D$4:$D$66"")=DD$2),$G$3:$BQ$3,$G200:$BQ200)))"),0.3131113311111111)</f>
        <v>0.3131113311</v>
      </c>
      <c r="DE200" s="207" t="str">
        <f>IFERROR(__xludf.DUMMYFUNCTION("IF(OR(DD200&gt;$BS200+$BT200*$BT$2,DD200&lt;$BS200-$BT200*$BT$2),AVEDEV(ARRAYFORMULA(XLOOKUP(FILTER(INDIRECT(""'""&amp;DD$1&amp;""'!$C$4:$C$66""),INDIRECT(""'""&amp;DD$1&amp;""'!$D$4:$D$66"")=DD$2),$G$3:$BQ$3,$G200:$BQ200))),"""")"),"")</f>
        <v/>
      </c>
      <c r="DF200" s="251">
        <f>IFERROR(__xludf.DUMMYFUNCTION("AVERAGE(ARRAYFORMULA(XLOOKUP(FILTER(INDIRECT(""'""&amp;DF$1&amp;""'!$C$4:$C$66""),INDIRECT(""'""&amp;DF$1&amp;""'!$D$4:$D$66"")=DF$2),$G$3:$BQ$3,$G200:$BQ200)))"),0.80321463875)</f>
        <v>0.8032146388</v>
      </c>
      <c r="DG200" s="207" t="str">
        <f>IFERROR(__xludf.DUMMYFUNCTION("IF(OR(DF200&gt;$BS200+$BT200*$BT$2,DF200&lt;$BS200-$BT200*$BT$2),AVEDEV(ARRAYFORMULA(XLOOKUP(FILTER(INDIRECT(""'""&amp;DF$1&amp;""'!$C$4:$C$66""),INDIRECT(""'""&amp;DF$1&amp;""'!$D$4:$D$66"")=DF$2),$G$3:$BQ$3,$G200:$BQ200))),"""")"),"")</f>
        <v/>
      </c>
      <c r="DH200" s="251">
        <f>IFERROR(__xludf.DUMMYFUNCTION("AVERAGE(ARRAYFORMULA(XLOOKUP(FILTER(INDIRECT(""'""&amp;DH$1&amp;""'!$C$4:$C$66""),INDIRECT(""'""&amp;DH$1&amp;""'!$D$4:$D$66"")=DH$2),$G$3:$BQ$3,$G200:$BQ200)))"),1.5883723488888888)</f>
        <v>1.588372349</v>
      </c>
      <c r="DI200" s="207" t="str">
        <f>IFERROR(__xludf.DUMMYFUNCTION("IF(OR(DH200&gt;$BS200+$BT200*$BT$2,DH200&lt;$BS200-$BT200*$BT$2),AVEDEV(ARRAYFORMULA(XLOOKUP(FILTER(INDIRECT(""'""&amp;DH$1&amp;""'!$C$4:$C$66""),INDIRECT(""'""&amp;DH$1&amp;""'!$D$4:$D$66"")=DH$2),$G$3:$BQ$3,$G200:$BQ200))),"""")"),"")</f>
        <v/>
      </c>
      <c r="DJ200" s="243"/>
    </row>
    <row r="201">
      <c r="A201" s="2"/>
      <c r="B201" s="204">
        <v>197.0</v>
      </c>
      <c r="C201" s="204" t="s">
        <v>630</v>
      </c>
      <c r="D201" s="204" t="s">
        <v>645</v>
      </c>
      <c r="E201" s="205" t="b">
        <f>VLOOKUP(D201,'Feature Set List'!A198:C246,2,0)</f>
        <v>1</v>
      </c>
      <c r="F201" s="205" t="b">
        <f>VLOOKUP(D201,'Feature Set List'!A198:C246,3,0)</f>
        <v>1</v>
      </c>
      <c r="G201" s="205">
        <v>0.05123967</v>
      </c>
      <c r="H201" s="205">
        <v>-0.3041322</v>
      </c>
      <c r="I201" s="205">
        <v>0.65983471</v>
      </c>
      <c r="J201" s="205">
        <v>-0.3246281</v>
      </c>
      <c r="K201" s="205">
        <v>0.5014876</v>
      </c>
      <c r="L201" s="205">
        <v>-0.4145455</v>
      </c>
      <c r="M201" s="205">
        <v>-0.448595</v>
      </c>
      <c r="N201" s="205">
        <v>0.43239669</v>
      </c>
      <c r="O201" s="205">
        <v>-0.3884298</v>
      </c>
      <c r="P201" s="205">
        <v>-0.5120661</v>
      </c>
      <c r="Q201" s="205">
        <v>0.50545455</v>
      </c>
      <c r="R201" s="205">
        <v>1.19636364</v>
      </c>
      <c r="S201" s="205">
        <v>0.29421488</v>
      </c>
      <c r="T201" s="205">
        <v>-0.0578512</v>
      </c>
      <c r="U201" s="205">
        <v>0.80198347</v>
      </c>
      <c r="V201" s="205">
        <v>-0.3196694</v>
      </c>
      <c r="W201" s="205">
        <v>1.08099174</v>
      </c>
      <c r="X201" s="205">
        <v>0.78578512</v>
      </c>
      <c r="Y201" s="205">
        <v>0.02942149</v>
      </c>
      <c r="Z201" s="205">
        <v>0.69719008</v>
      </c>
      <c r="AA201" s="205">
        <v>0.9861157</v>
      </c>
      <c r="AB201" s="205">
        <v>-0.9771901</v>
      </c>
      <c r="AC201" s="205">
        <v>0.88595041</v>
      </c>
      <c r="AD201" s="205">
        <v>-0.0264463</v>
      </c>
      <c r="AE201" s="205">
        <v>-0.2019835</v>
      </c>
      <c r="AF201" s="205">
        <v>0.1553719</v>
      </c>
      <c r="AG201" s="205">
        <v>0.34446281</v>
      </c>
      <c r="AH201" s="205">
        <v>0.71471074</v>
      </c>
      <c r="AI201" s="205">
        <v>-0.134876</v>
      </c>
      <c r="AJ201" s="205">
        <v>0.17256198</v>
      </c>
      <c r="AK201" s="205">
        <v>-0.7048926</v>
      </c>
      <c r="AL201" s="205">
        <v>-0.1900826</v>
      </c>
      <c r="AM201" s="205">
        <v>-0.286281</v>
      </c>
      <c r="AN201" s="205">
        <v>-0.0436364</v>
      </c>
      <c r="AO201" s="205">
        <v>-0.9771901</v>
      </c>
      <c r="AP201" s="205">
        <v>-0.8778512</v>
      </c>
      <c r="AQ201" s="205">
        <v>0.6968595</v>
      </c>
      <c r="AR201" s="205">
        <v>0.42380165</v>
      </c>
      <c r="AS201" s="205">
        <v>-0.4614876</v>
      </c>
      <c r="AT201" s="205">
        <v>0.17586777</v>
      </c>
      <c r="AU201" s="205">
        <v>-0.9771901</v>
      </c>
      <c r="AV201" s="205">
        <v>0.23669421</v>
      </c>
      <c r="AW201" s="205">
        <v>-0.8572231</v>
      </c>
      <c r="AX201" s="205">
        <v>0.63504132</v>
      </c>
      <c r="AY201" s="205">
        <v>0.0</v>
      </c>
      <c r="AZ201" s="205">
        <v>0.63669421</v>
      </c>
      <c r="BA201" s="205">
        <v>-0.5173554</v>
      </c>
      <c r="BB201" s="205">
        <v>0.57123967</v>
      </c>
      <c r="BC201" s="205">
        <v>0.75900826</v>
      </c>
      <c r="BD201" s="205">
        <v>-0.7065124</v>
      </c>
      <c r="BE201" s="205">
        <v>0.66578512</v>
      </c>
      <c r="BF201" s="205">
        <v>-0.2383471</v>
      </c>
      <c r="BG201" s="205">
        <v>0.05719008</v>
      </c>
      <c r="BH201" s="205">
        <v>-0.2747107</v>
      </c>
      <c r="BI201" s="205">
        <v>-0.9771901</v>
      </c>
      <c r="BJ201" s="205">
        <v>-0.5649587</v>
      </c>
      <c r="BK201" s="205">
        <v>-0.3438017</v>
      </c>
      <c r="BL201" s="205">
        <v>-0.437686</v>
      </c>
      <c r="BM201" s="205">
        <v>0.57652893</v>
      </c>
      <c r="BN201" s="205">
        <v>-0.5821488</v>
      </c>
      <c r="BO201" s="205">
        <v>0.18942149</v>
      </c>
      <c r="BP201" s="205">
        <v>0.72561983</v>
      </c>
      <c r="BQ201" s="205">
        <v>-0.788</v>
      </c>
      <c r="BR201" s="206"/>
      <c r="BS201" s="250">
        <f t="shared" si="1"/>
        <v>0.02743381619</v>
      </c>
      <c r="BT201" s="250">
        <f t="shared" si="2"/>
        <v>0.5014235212</v>
      </c>
      <c r="BU201" s="206"/>
      <c r="BV201" s="207">
        <f>IFERROR(__xludf.DUMMYFUNCTION("AVERAGE(ARRAYFORMULA(XLOOKUP(FILTER(INDIRECT(""'""&amp;BV$1&amp;""'!$C$4:$C$66""),INDIRECT(""'""&amp;BV$1&amp;""'!$D$4:$D$66"")=BV$2),$G$3:$BQ$3,$G201:$BQ201)))"),0.20141675428571432)</f>
        <v>0.2014167543</v>
      </c>
      <c r="BW201" s="207" t="str">
        <f>IFERROR(__xludf.DUMMYFUNCTION("IF(OR(BV201&gt;$BS201+$BT201*$BT$2,BV201&lt;$BS201-$BT201*$BT$2),AVEDEV(ARRAYFORMULA(XLOOKUP(FILTER(INDIRECT(""'""&amp;BV$1&amp;""'!$C$4:$C$66""),INDIRECT(""'""&amp;BV$1&amp;""'!$D$4:$D$66"")=BV$2),$G$3:$BQ$3,$G201:$BQ201))),"""")"),"")</f>
        <v/>
      </c>
      <c r="BX201" s="207">
        <f>IFERROR(__xludf.DUMMYFUNCTION("AVERAGE(ARRAYFORMULA(XLOOKUP(FILTER(INDIRECT(""'""&amp;BX$1&amp;""'!$C$4:$C$66""),INDIRECT(""'""&amp;BX$1&amp;""'!$D$4:$D$66"")=BX$2),$G$3:$BQ$3,$G201:$BQ201)))"),0.018153480714285714)</f>
        <v>0.01815348071</v>
      </c>
      <c r="BY201" s="207" t="str">
        <f>IFERROR(__xludf.DUMMYFUNCTION("IF(OR(BX201&gt;$BS201+$BT201*$BT$2,BX201&lt;$BS201-$BT201*$BT$2),AVEDEV(ARRAYFORMULA(XLOOKUP(FILTER(INDIRECT(""'""&amp;BX$1&amp;""'!$C$4:$C$66""),INDIRECT(""'""&amp;BX$1&amp;""'!$D$4:$D$66"")=BX$2),$G$3:$BQ$3,$G201:$BQ201))),"""")"),"")</f>
        <v/>
      </c>
      <c r="BZ201" s="207">
        <f>IFERROR(__xludf.DUMMYFUNCTION("AVERAGE(ARRAYFORMULA(XLOOKUP(FILTER(INDIRECT(""'""&amp;BZ$1&amp;""'!$C$4:$C$66""),INDIRECT(""'""&amp;BZ$1&amp;""'!$D$4:$D$66"")=BZ$2),$G$3:$BQ$3,$G201:$BQ201)))"),0.0527122490909091)</f>
        <v>0.05271224909</v>
      </c>
      <c r="CA201" s="207" t="str">
        <f>IFERROR(__xludf.DUMMYFUNCTION("IF(OR(BZ201&gt;$BS201+$BT201*$BT$2,BZ201&lt;$BS201-$BT201*$BT$2),AVEDEV(ARRAYFORMULA(XLOOKUP(FILTER(INDIRECT(""'""&amp;BZ$1&amp;""'!$C$4:$C$66""),INDIRECT(""'""&amp;BZ$1&amp;""'!$D$4:$D$66"")=BZ$2),$G$3:$BQ$3,$G201:$BQ201))),"""")"),"")</f>
        <v/>
      </c>
      <c r="CB201" s="209"/>
      <c r="CC201" s="207">
        <f>IFERROR(__xludf.DUMMYFUNCTION("AVERAGE(ARRAYFORMULA(XLOOKUP(FILTER(INDIRECT(""'""&amp;CC$1&amp;""'!$C$4:$C$66""),INDIRECT(""'""&amp;CC$1&amp;""'!$D$4:$D$66"")=CC$2),$G$3:$BQ$3,$G201:$BQ201)))"),-0.027456605625000005)</f>
        <v>-0.02745660563</v>
      </c>
      <c r="CD201" s="207" t="str">
        <f>IFERROR(__xludf.DUMMYFUNCTION("IF(OR(CC201&gt;$BS201+$BT201*$BT$2,CC201&lt;$BS201-$BT201*$BT$2),AVEDEV(ARRAYFORMULA(XLOOKUP(FILTER(INDIRECT(""'""&amp;CC$1&amp;""'!$C$4:$C$66""),INDIRECT(""'""&amp;CC$1&amp;""'!$D$4:$D$66"")=CC$2),$G$3:$BQ$3,$G201:$BQ201))),"""")"),"")</f>
        <v/>
      </c>
      <c r="CE201" s="207">
        <f>IFERROR(__xludf.DUMMYFUNCTION("AVERAGE(ARRAYFORMULA(XLOOKUP(FILTER(INDIRECT(""'""&amp;CE$1&amp;""'!$C$4:$C$66""),INDIRECT(""'""&amp;CE$1&amp;""'!$D$4:$D$66"")=CE$2),$G$3:$BQ$3,$G201:$BQ201)))"),0.11084296903225807)</f>
        <v>0.110842969</v>
      </c>
      <c r="CF201" s="207" t="str">
        <f>IFERROR(__xludf.DUMMYFUNCTION("IF(OR(CE201&gt;$BS201+$BT201*$BT$2,CE201&lt;$BS201-$BT201*$BT$2),AVEDEV(ARRAYFORMULA(XLOOKUP(FILTER(INDIRECT(""'""&amp;CE$1&amp;""'!$C$4:$C$66""),INDIRECT(""'""&amp;CE$1&amp;""'!$D$4:$D$66"")=CE$2),$G$3:$BQ$3,$G201:$BQ201))),"""")"),"")</f>
        <v/>
      </c>
      <c r="CG201" s="207">
        <f>IFERROR(__xludf.DUMMYFUNCTION("AVERAGE(ARRAYFORMULA(XLOOKUP(FILTER(INDIRECT(""'""&amp;CG$1&amp;""'!$C$4:$C$66""),INDIRECT(""'""&amp;CG$1&amp;""'!$D$4:$D$66"")=CG$2),$G$3:$BQ$3,$G201:$BQ201)))"),-0.298314044)</f>
        <v>-0.298314044</v>
      </c>
      <c r="CH201" s="207" t="str">
        <f>IFERROR(__xludf.DUMMYFUNCTION("IF(OR(CG201&gt;$BS201+$BT201*$BT$2,CG201&lt;$BS201-$BT201*$BT$2),AVEDEV(ARRAYFORMULA(XLOOKUP(FILTER(INDIRECT(""'""&amp;CG$1&amp;""'!$C$4:$C$66""),INDIRECT(""'""&amp;CG$1&amp;""'!$D$4:$D$66"")=CG$2),$G$3:$BQ$3,$G201:$BQ201))),"""")"),"")</f>
        <v/>
      </c>
      <c r="CI201" s="206"/>
      <c r="CJ201" s="251">
        <f>IFERROR(__xludf.DUMMYFUNCTION("AVERAGE(ARRAYFORMULA(XLOOKUP(FILTER(INDIRECT(""'""&amp;CJ$1&amp;""'!$C$4:$C$66""),INDIRECT(""'""&amp;CJ$1&amp;""'!$D$4:$D$66"")=CJ$2),$G$3:$BQ$3,$G201:$BQ201)))"),0.3791515113333333)</f>
        <v>0.3791515113</v>
      </c>
      <c r="CK201" s="207" t="str">
        <f>IFERROR(__xludf.DUMMYFUNCTION("IF(OR(CJ201&gt;$BS201+$BT201*$BT$2,CJ201&lt;$BS201-$BT201*$BT$2),AVEDEV(ARRAYFORMULA(XLOOKUP(FILTER(INDIRECT(""'""&amp;CJ$1&amp;""'!$C$4:$C$66""),INDIRECT(""'""&amp;CJ$1&amp;""'!$D$4:$D$66"")=CJ$2),$G$3:$BQ$3,$G201:$BQ201))),"""")"),"")</f>
        <v/>
      </c>
      <c r="CL201" s="251">
        <f>IFERROR(__xludf.DUMMYFUNCTION("AVERAGE(ARRAYFORMULA(XLOOKUP(FILTER(INDIRECT(""'""&amp;CL$1&amp;""'!$C$4:$C$66""),INDIRECT(""'""&amp;CL$1&amp;""'!$D$4:$D$66"")=CL$2),$G$3:$BQ$3,$G201:$BQ201)))"),-0.025790211282051285)</f>
        <v>-0.02579021128</v>
      </c>
      <c r="CM201" s="207" t="str">
        <f>IFERROR(__xludf.DUMMYFUNCTION("IF(OR(CL201&gt;$BS201+$BT201*$BT$2,CL201&lt;$BS201-$BT201*$BT$2),AVEDEV(ARRAYFORMULA(XLOOKUP(FILTER(INDIRECT(""'""&amp;CL$1&amp;""'!$C$4:$C$66""),INDIRECT(""'""&amp;CL$1&amp;""'!$D$4:$D$66"")=CL$2),$G$3:$BQ$3,$G201:$BQ201))),"""")"),"")</f>
        <v/>
      </c>
      <c r="CN201" s="251">
        <f>IFERROR(__xludf.DUMMYFUNCTION("AVERAGE(ARRAYFORMULA(XLOOKUP(FILTER(INDIRECT(""'""&amp;CN$1&amp;""'!$C$4:$C$66""),INDIRECT(""'""&amp;CN$1&amp;""'!$D$4:$D$66"")=CN$2),$G$3:$BQ$3,$G201:$BQ201)))"),-0.298314044)</f>
        <v>-0.298314044</v>
      </c>
      <c r="CO201" s="207" t="str">
        <f>IFERROR(__xludf.DUMMYFUNCTION("IF(OR(CN201&gt;$BS201+$BT201*$BT$2,CN201&lt;$BS201-$BT201*$BT$2),AVEDEV(ARRAYFORMULA(XLOOKUP(FILTER(INDIRECT(""'""&amp;CN$1&amp;""'!$C$4:$C$66""),INDIRECT(""'""&amp;CN$1&amp;""'!$D$4:$D$66"")=CN$2),$G$3:$BQ$3,$G201:$BQ201))),"""")"),"")</f>
        <v/>
      </c>
      <c r="CP201" s="252"/>
      <c r="CQ201" s="251">
        <f>IFERROR(__xludf.DUMMYFUNCTION("AVERAGE(ARRAYFORMULA(XLOOKUP(FILTER(INDIRECT(""'""&amp;CQ$1&amp;""'!$C$4:$C$66""),INDIRECT(""'""&amp;CQ$1&amp;""'!$D$4:$D$66"")=CQ$2),$G$3:$BQ$3,$G201:$BQ201)))"),-0.2159834642857143)</f>
        <v>-0.2159834643</v>
      </c>
      <c r="CR201" s="207" t="str">
        <f>IFERROR(__xludf.DUMMYFUNCTION("IF(OR(CQ201&gt;$BS201+$BT201*$BT$2,CQ201&lt;$BS201-$BT201*$BT$2),AVEDEV(ARRAYFORMULA(XLOOKUP(FILTER(INDIRECT(""'""&amp;CQ$1&amp;""'!$C$4:$C$66""),INDIRECT(""'""&amp;CQ$1&amp;""'!$D$4:$D$66"")=CQ$2),$G$3:$BQ$3,$G201:$BQ201))),"""")"),"")</f>
        <v/>
      </c>
      <c r="CS201" s="251">
        <f>IFERROR(__xludf.DUMMYFUNCTION("AVERAGE(ARRAYFORMULA(XLOOKUP(FILTER(INDIRECT(""'""&amp;CS$1&amp;""'!$C$4:$C$66""),INDIRECT(""'""&amp;CS$1&amp;""'!$D$4:$D$66"")=CS$2),$G$3:$BQ$3,$G201:$BQ201)))"),-0.0703764888888889)</f>
        <v>-0.07037648889</v>
      </c>
      <c r="CT201" s="207" t="str">
        <f>IFERROR(__xludf.DUMMYFUNCTION("IF(OR(CS201&gt;$BS201+$BT201*$BT$2,CS201&lt;$BS201-$BT201*$BT$2),AVEDEV(ARRAYFORMULA(XLOOKUP(FILTER(INDIRECT(""'""&amp;CS$1&amp;""'!$C$4:$C$66""),INDIRECT(""'""&amp;CS$1&amp;""'!$D$4:$D$66"")=CS$2),$G$3:$BQ$3,$G201:$BQ201))),"""")"),"")</f>
        <v/>
      </c>
      <c r="CU201" s="251">
        <f>IFERROR(__xludf.DUMMYFUNCTION("AVERAGE(ARRAYFORMULA(XLOOKUP(FILTER(INDIRECT(""'""&amp;CU$1&amp;""'!$C$4:$C$66""),INDIRECT(""'""&amp;CU$1&amp;""'!$D$4:$D$66"")=CU$2),$G$3:$BQ$3,$G201:$BQ201)))"),0.26485348999999997)</f>
        <v>0.26485349</v>
      </c>
      <c r="CV201" s="207" t="str">
        <f>IFERROR(__xludf.DUMMYFUNCTION("IF(OR(CU201&gt;$BS201+$BT201*$BT$2,CU201&lt;$BS201-$BT201*$BT$2),AVEDEV(ARRAYFORMULA(XLOOKUP(FILTER(INDIRECT(""'""&amp;CU$1&amp;""'!$C$4:$C$66""),INDIRECT(""'""&amp;CU$1&amp;""'!$D$4:$D$66"")=CU$2),$G$3:$BQ$3,$G201:$BQ201))),"""")"),"")</f>
        <v/>
      </c>
      <c r="CW201" s="251">
        <f>IFERROR(__xludf.DUMMYFUNCTION("AVERAGE(ARRAYFORMULA(XLOOKUP(FILTER(INDIRECT(""'""&amp;CW$1&amp;""'!$C$4:$C$66""),INDIRECT(""'""&amp;CW$1&amp;""'!$D$4:$D$66"")=CW$2),$G$3:$BQ$3,$G201:$BQ201)))"),-0.15057849999999998)</f>
        <v>-0.1505785</v>
      </c>
      <c r="CX201" s="207" t="str">
        <f>IFERROR(__xludf.DUMMYFUNCTION("IF(OR(CW201&gt;$BS201+$BT201*$BT$2,CW201&lt;$BS201-$BT201*$BT$2),AVEDEV(ARRAYFORMULA(XLOOKUP(FILTER(INDIRECT(""'""&amp;CW$1&amp;""'!$C$4:$C$66""),INDIRECT(""'""&amp;CW$1&amp;""'!$D$4:$D$66"")=CW$2),$G$3:$BQ$3,$G201:$BQ201))),"""")"),"")</f>
        <v/>
      </c>
      <c r="CY201" s="251">
        <f>IFERROR(__xludf.DUMMYFUNCTION("AVERAGE(ARRAYFORMULA(XLOOKUP(FILTER(INDIRECT(""'""&amp;CY$1&amp;""'!$C$4:$C$66""),INDIRECT(""'""&amp;CY$1&amp;""'!$D$4:$D$66"")=CY$2),$G$3:$BQ$3,$G201:$BQ201)))"),0.126476965)</f>
        <v>0.126476965</v>
      </c>
      <c r="CZ201" s="207" t="str">
        <f>IFERROR(__xludf.DUMMYFUNCTION("IF(OR(CY201&gt;$BS201+$BT201*$BT$2,CY201&lt;$BS201-$BT201*$BT$2),AVEDEV(ARRAYFORMULA(XLOOKUP(FILTER(INDIRECT(""'""&amp;CY$1&amp;""'!$C$4:$C$66""),INDIRECT(""'""&amp;CY$1&amp;""'!$D$4:$D$66"")=CY$2),$G$3:$BQ$3,$G201:$BQ201))),"""")"),"")</f>
        <v/>
      </c>
      <c r="DA201" s="252"/>
      <c r="DB201" s="251">
        <f>IFERROR(__xludf.DUMMYFUNCTION("AVERAGE(ARRAYFORMULA(XLOOKUP(FILTER(INDIRECT(""'""&amp;DB$1&amp;""'!$C$4:$C$66""),INDIRECT(""'""&amp;DB$1&amp;""'!$D$4:$D$66"")=DB$2),$G$3:$BQ$3,$G201:$BQ201)))"),0.04590082433333332)</f>
        <v>0.04590082433</v>
      </c>
      <c r="DC201" s="207" t="str">
        <f>IFERROR(__xludf.DUMMYFUNCTION("IF(OR(DB201&gt;$BS201+$BT201*$BT$2,DB201&lt;$BS201-$BT201*$BT$2),AVEDEV(ARRAYFORMULA(XLOOKUP(FILTER(INDIRECT(""'""&amp;DB$1&amp;""'!$C$4:$C$66""),INDIRECT(""'""&amp;DB$1&amp;""'!$D$4:$D$66"")=DB$2),$G$3:$BQ$3,$G201:$BQ201))),"""")"),"")</f>
        <v/>
      </c>
      <c r="DD201" s="251">
        <f>IFERROR(__xludf.DUMMYFUNCTION("AVERAGE(ARRAYFORMULA(XLOOKUP(FILTER(INDIRECT(""'""&amp;DD$1&amp;""'!$C$4:$C$66""),INDIRECT(""'""&amp;DD$1&amp;""'!$D$4:$D$66"")=DD$2),$G$3:$BQ$3,$G201:$BQ201)))"),-5.509611111111175E-4)</f>
        <v>-0.0005509611111</v>
      </c>
      <c r="DE201" s="207" t="str">
        <f>IFERROR(__xludf.DUMMYFUNCTION("IF(OR(DD201&gt;$BS201+$BT201*$BT$2,DD201&lt;$BS201-$BT201*$BT$2),AVEDEV(ARRAYFORMULA(XLOOKUP(FILTER(INDIRECT(""'""&amp;DD$1&amp;""'!$C$4:$C$66""),INDIRECT(""'""&amp;DD$1&amp;""'!$D$4:$D$66"")=DD$2),$G$3:$BQ$3,$G201:$BQ201))),"""")"),"")</f>
        <v/>
      </c>
      <c r="DF201" s="251">
        <f>IFERROR(__xludf.DUMMYFUNCTION("AVERAGE(ARRAYFORMULA(XLOOKUP(FILTER(INDIRECT(""'""&amp;DF$1&amp;""'!$C$4:$C$66""),INDIRECT(""'""&amp;DF$1&amp;""'!$D$4:$D$66"")=DF$2),$G$3:$BQ$3,$G201:$BQ201)))"),0.46243801000000007)</f>
        <v>0.46243801</v>
      </c>
      <c r="DG201" s="207" t="str">
        <f>IFERROR(__xludf.DUMMYFUNCTION("IF(OR(DF201&gt;$BS201+$BT201*$BT$2,DF201&lt;$BS201-$BT201*$BT$2),AVEDEV(ARRAYFORMULA(XLOOKUP(FILTER(INDIRECT(""'""&amp;DF$1&amp;""'!$C$4:$C$66""),INDIRECT(""'""&amp;DF$1&amp;""'!$D$4:$D$66"")=DF$2),$G$3:$BQ$3,$G201:$BQ201))),"""")"),"")</f>
        <v/>
      </c>
      <c r="DH201" s="251">
        <f>IFERROR(__xludf.DUMMYFUNCTION("AVERAGE(ARRAYFORMULA(XLOOKUP(FILTER(INDIRECT(""'""&amp;DH$1&amp;""'!$C$4:$C$66""),INDIRECT(""'""&amp;DH$1&amp;""'!$D$4:$D$66"")=DH$2),$G$3:$BQ$3,$G201:$BQ201)))"),-0.23489806888888895)</f>
        <v>-0.2348980689</v>
      </c>
      <c r="DI201" s="207" t="str">
        <f>IFERROR(__xludf.DUMMYFUNCTION("IF(OR(DH201&gt;$BS201+$BT201*$BT$2,DH201&lt;$BS201-$BT201*$BT$2),AVEDEV(ARRAYFORMULA(XLOOKUP(FILTER(INDIRECT(""'""&amp;DH$1&amp;""'!$C$4:$C$66""),INDIRECT(""'""&amp;DH$1&amp;""'!$D$4:$D$66"")=DH$2),$G$3:$BQ$3,$G201:$BQ201))),"""")"),"")</f>
        <v/>
      </c>
      <c r="DJ201" s="243"/>
    </row>
    <row r="202">
      <c r="A202" s="2"/>
      <c r="B202" s="204">
        <v>198.0</v>
      </c>
      <c r="C202" s="204" t="s">
        <v>646</v>
      </c>
      <c r="D202" s="204" t="s">
        <v>647</v>
      </c>
      <c r="E202" s="205" t="b">
        <f>VLOOKUP(D202,'Feature Set List'!A199:C246,2,0)</f>
        <v>1</v>
      </c>
      <c r="F202" s="205" t="b">
        <f>VLOOKUP(D202,'Feature Set List'!A199:C246,3,0)</f>
        <v>1</v>
      </c>
      <c r="G202" s="205">
        <v>-0.3333333</v>
      </c>
      <c r="H202" s="205">
        <v>0.0</v>
      </c>
      <c r="I202" s="205">
        <v>-0.6666667</v>
      </c>
      <c r="J202" s="205">
        <v>0.66666667</v>
      </c>
      <c r="K202" s="205">
        <v>0.0</v>
      </c>
      <c r="L202" s="205">
        <v>-0.3333333</v>
      </c>
      <c r="M202" s="205">
        <v>-0.6666667</v>
      </c>
      <c r="N202" s="205">
        <v>0.0</v>
      </c>
      <c r="O202" s="205">
        <v>0.66666667</v>
      </c>
      <c r="P202" s="205">
        <v>-0.6666667</v>
      </c>
      <c r="Q202" s="205">
        <v>-0.6666667</v>
      </c>
      <c r="R202" s="205">
        <v>-0.6666667</v>
      </c>
      <c r="S202" s="205">
        <v>0.33333333</v>
      </c>
      <c r="T202" s="205">
        <v>0.0</v>
      </c>
      <c r="U202" s="205">
        <v>-0.3333333</v>
      </c>
      <c r="V202" s="205">
        <v>0.33333333</v>
      </c>
      <c r="W202" s="205">
        <v>-0.3333333</v>
      </c>
      <c r="X202" s="205">
        <v>0.0</v>
      </c>
      <c r="Y202" s="205">
        <v>1.0</v>
      </c>
      <c r="Z202" s="205">
        <v>-1.0</v>
      </c>
      <c r="AA202" s="205">
        <v>-0.3333333</v>
      </c>
      <c r="AB202" s="205">
        <v>0.0</v>
      </c>
      <c r="AC202" s="205">
        <v>0.0</v>
      </c>
      <c r="AD202" s="205">
        <v>0.0</v>
      </c>
      <c r="AE202" s="205">
        <v>-0.3333333</v>
      </c>
      <c r="AF202" s="205">
        <v>0.33333333</v>
      </c>
      <c r="AG202" s="205">
        <v>-0.6666667</v>
      </c>
      <c r="AH202" s="205">
        <v>1.33333333</v>
      </c>
      <c r="AI202" s="205">
        <v>0.66666667</v>
      </c>
      <c r="AJ202" s="205">
        <v>-0.6666667</v>
      </c>
      <c r="AK202" s="205">
        <v>-0.3333333</v>
      </c>
      <c r="AL202" s="205">
        <v>1.0</v>
      </c>
      <c r="AM202" s="205">
        <v>0.33333333</v>
      </c>
      <c r="AN202" s="205">
        <v>0.0</v>
      </c>
      <c r="AO202" s="205">
        <v>-1.6666667</v>
      </c>
      <c r="AP202" s="205">
        <v>-0.3333333</v>
      </c>
      <c r="AQ202" s="205">
        <v>-0.6666667</v>
      </c>
      <c r="AR202" s="205">
        <v>-0.6666667</v>
      </c>
      <c r="AS202" s="205">
        <v>-0.3333333</v>
      </c>
      <c r="AT202" s="205">
        <v>0.33333333</v>
      </c>
      <c r="AU202" s="205">
        <v>-2.3333333</v>
      </c>
      <c r="AV202" s="205">
        <v>0.0</v>
      </c>
      <c r="AW202" s="205">
        <v>0.0</v>
      </c>
      <c r="AX202" s="205">
        <v>0.33333333</v>
      </c>
      <c r="AY202" s="205">
        <v>-1.0</v>
      </c>
      <c r="AZ202" s="205">
        <v>0.33333333</v>
      </c>
      <c r="BA202" s="205">
        <v>1.0</v>
      </c>
      <c r="BB202" s="205">
        <v>-0.6666667</v>
      </c>
      <c r="BC202" s="205">
        <v>0.0</v>
      </c>
      <c r="BD202" s="205">
        <v>0.0</v>
      </c>
      <c r="BE202" s="205">
        <v>-0.3333333</v>
      </c>
      <c r="BF202" s="205">
        <v>0.33333333</v>
      </c>
      <c r="BG202" s="205">
        <v>0.0</v>
      </c>
      <c r="BH202" s="205">
        <v>-0.6666667</v>
      </c>
      <c r="BI202" s="205">
        <v>0.0</v>
      </c>
      <c r="BJ202" s="205">
        <v>1.33333333</v>
      </c>
      <c r="BK202" s="205">
        <v>0.0</v>
      </c>
      <c r="BL202" s="205">
        <v>-0.6666667</v>
      </c>
      <c r="BM202" s="205">
        <v>-0.6666667</v>
      </c>
      <c r="BN202" s="205">
        <v>0.33333333</v>
      </c>
      <c r="BO202" s="205">
        <v>0.33333333</v>
      </c>
      <c r="BP202" s="205">
        <v>0.66666667</v>
      </c>
      <c r="BQ202" s="205">
        <v>0.33333333</v>
      </c>
      <c r="BR202" s="206"/>
      <c r="BS202" s="250">
        <f t="shared" si="1"/>
        <v>-0.0952380973</v>
      </c>
      <c r="BT202" s="250">
        <f t="shared" si="2"/>
        <v>0.4897959198</v>
      </c>
      <c r="BU202" s="206"/>
      <c r="BV202" s="207">
        <f>IFERROR(__xludf.DUMMYFUNCTION("AVERAGE(ARRAYFORMULA(XLOOKUP(FILTER(INDIRECT(""'""&amp;BV$1&amp;""'!$C$4:$C$66""),INDIRECT(""'""&amp;BV$1&amp;""'!$D$4:$D$66"")=BV$2),$G$3:$BQ$3,$G202:$BQ202)))"),-0.6666666714285714)</f>
        <v>-0.6666666714</v>
      </c>
      <c r="BW202" s="207">
        <f>IFERROR(__xludf.DUMMYFUNCTION("IF(OR(BV202&gt;$BS202+$BT202*$BT$2,BV202&lt;$BS202-$BT202*$BT$2),AVEDEV(ARRAYFORMULA(XLOOKUP(FILTER(INDIRECT(""'""&amp;BV$1&amp;""'!$C$4:$C$66""),INDIRECT(""'""&amp;BV$1&amp;""'!$D$4:$D$66"")=BV$2),$G$3:$BQ$3,$G202:$BQ202))),"""")"),0.38095240408163267)</f>
        <v>0.3809524041</v>
      </c>
      <c r="BX202" s="207">
        <f>IFERROR(__xludf.DUMMYFUNCTION("AVERAGE(ARRAYFORMULA(XLOOKUP(FILTER(INDIRECT(""'""&amp;BX$1&amp;""'!$C$4:$C$66""),INDIRECT(""'""&amp;BX$1&amp;""'!$D$4:$D$66"")=BX$2),$G$3:$BQ$3,$G202:$BQ202)))"),0.0476190454761905)</f>
        <v>0.04761904548</v>
      </c>
      <c r="BY202" s="207" t="str">
        <f>IFERROR(__xludf.DUMMYFUNCTION("IF(OR(BX202&gt;$BS202+$BT202*$BT$2,BX202&lt;$BS202-$BT202*$BT$2),AVEDEV(ARRAYFORMULA(XLOOKUP(FILTER(INDIRECT(""'""&amp;BX$1&amp;""'!$C$4:$C$66""),INDIRECT(""'""&amp;BX$1&amp;""'!$D$4:$D$66"")=BX$2),$G$3:$BQ$3,$G202:$BQ202))),"""")"),"")</f>
        <v/>
      </c>
      <c r="BZ202" s="207">
        <f>IFERROR(__xludf.DUMMYFUNCTION("AVERAGE(ARRAYFORMULA(XLOOKUP(FILTER(INDIRECT(""'""&amp;BZ$1&amp;""'!$C$4:$C$66""),INDIRECT(""'""&amp;BZ$1&amp;""'!$D$4:$D$66"")=BZ$2),$G$3:$BQ$3,$G202:$BQ202)))"),-0.03030303090909089)</f>
        <v>-0.03030303091</v>
      </c>
      <c r="CA202" s="207" t="str">
        <f>IFERROR(__xludf.DUMMYFUNCTION("IF(OR(BZ202&gt;$BS202+$BT202*$BT$2,BZ202&lt;$BS202-$BT202*$BT$2),AVEDEV(ARRAYFORMULA(XLOOKUP(FILTER(INDIRECT(""'""&amp;BZ$1&amp;""'!$C$4:$C$66""),INDIRECT(""'""&amp;BZ$1&amp;""'!$D$4:$D$66"")=BZ$2),$G$3:$BQ$3,$G202:$BQ202))),"""")"),"")</f>
        <v/>
      </c>
      <c r="CB202" s="209"/>
      <c r="CC202" s="207">
        <f>IFERROR(__xludf.DUMMYFUNCTION("AVERAGE(ARRAYFORMULA(XLOOKUP(FILTER(INDIRECT(""'""&amp;CC$1&amp;""'!$C$4:$C$66""),INDIRECT(""'""&amp;CC$1&amp;""'!$D$4:$D$66"")=CC$2),$G$3:$BQ$3,$G202:$BQ202)))"),-0.062499998125)</f>
        <v>-0.06249999813</v>
      </c>
      <c r="CD202" s="207" t="str">
        <f>IFERROR(__xludf.DUMMYFUNCTION("IF(OR(CC202&gt;$BS202+$BT202*$BT$2,CC202&lt;$BS202-$BT202*$BT$2),AVEDEV(ARRAYFORMULA(XLOOKUP(FILTER(INDIRECT(""'""&amp;CC$1&amp;""'!$C$4:$C$66""),INDIRECT(""'""&amp;CC$1&amp;""'!$D$4:$D$66"")=CC$2),$G$3:$BQ$3,$G202:$BQ202))),"""")"),"")</f>
        <v/>
      </c>
      <c r="CE202" s="207">
        <f>IFERROR(__xludf.DUMMYFUNCTION("AVERAGE(ARRAYFORMULA(XLOOKUP(FILTER(INDIRECT(""'""&amp;CE$1&amp;""'!$C$4:$C$66""),INDIRECT(""'""&amp;CE$1&amp;""'!$D$4:$D$66"")=CE$2),$G$3:$BQ$3,$G202:$BQ202)))"),0.043010750967741915)</f>
        <v>0.04301075097</v>
      </c>
      <c r="CF202" s="207" t="str">
        <f>IFERROR(__xludf.DUMMYFUNCTION("IF(OR(CE202&gt;$BS202+$BT202*$BT$2,CE202&lt;$BS202-$BT202*$BT$2),AVEDEV(ARRAYFORMULA(XLOOKUP(FILTER(INDIRECT(""'""&amp;CE$1&amp;""'!$C$4:$C$66""),INDIRECT(""'""&amp;CE$1&amp;""'!$D$4:$D$66"")=CE$2),$G$3:$BQ$3,$G202:$BQ202))),"""")"),"")</f>
        <v/>
      </c>
      <c r="CG202" s="207">
        <f>IFERROR(__xludf.DUMMYFUNCTION("AVERAGE(ARRAYFORMULA(XLOOKUP(FILTER(INDIRECT(""'""&amp;CG$1&amp;""'!$C$4:$C$66""),INDIRECT(""'""&amp;CG$1&amp;""'!$D$4:$D$66"")=CG$2),$G$3:$BQ$3,$G202:$BQ202)))"),1.1102230246251566E-17)</f>
        <v>0</v>
      </c>
      <c r="CH202" s="207" t="str">
        <f>IFERROR(__xludf.DUMMYFUNCTION("IF(OR(CG202&gt;$BS202+$BT202*$BT$2,CG202&lt;$BS202-$BT202*$BT$2),AVEDEV(ARRAYFORMULA(XLOOKUP(FILTER(INDIRECT(""'""&amp;CG$1&amp;""'!$C$4:$C$66""),INDIRECT(""'""&amp;CG$1&amp;""'!$D$4:$D$66"")=CG$2),$G$3:$BQ$3,$G202:$BQ202))),"""")"),"")</f>
        <v/>
      </c>
      <c r="CI202" s="206"/>
      <c r="CJ202" s="251">
        <f>IFERROR(__xludf.DUMMYFUNCTION("AVERAGE(ARRAYFORMULA(XLOOKUP(FILTER(INDIRECT(""'""&amp;CJ$1&amp;""'!$C$4:$C$66""),INDIRECT(""'""&amp;CJ$1&amp;""'!$D$4:$D$66"")=CJ$2),$G$3:$BQ$3,$G202:$BQ202)))"),6.000000000542608E-9)</f>
        <v>0.000000006000000001</v>
      </c>
      <c r="CK202" s="207" t="str">
        <f>IFERROR(__xludf.DUMMYFUNCTION("IF(OR(CJ202&gt;$BS202+$BT202*$BT$2,CJ202&lt;$BS202-$BT202*$BT$2),AVEDEV(ARRAYFORMULA(XLOOKUP(FILTER(INDIRECT(""'""&amp;CJ$1&amp;""'!$C$4:$C$66""),INDIRECT(""'""&amp;CJ$1&amp;""'!$D$4:$D$66"")=CJ$2),$G$3:$BQ$3,$G202:$BQ202))),"""")"),"")</f>
        <v/>
      </c>
      <c r="CL202" s="251">
        <f>IFERROR(__xludf.DUMMYFUNCTION("AVERAGE(ARRAYFORMULA(XLOOKUP(FILTER(INDIRECT(""'""&amp;CL$1&amp;""'!$C$4:$C$66""),INDIRECT(""'""&amp;CL$1&amp;""'!$D$4:$D$66"")=CL$2),$G$3:$BQ$3,$G202:$BQ202)))"),-0.05982906461538462)</f>
        <v>-0.05982906462</v>
      </c>
      <c r="CM202" s="207" t="str">
        <f>IFERROR(__xludf.DUMMYFUNCTION("IF(OR(CL202&gt;$BS202+$BT202*$BT$2,CL202&lt;$BS202-$BT202*$BT$2),AVEDEV(ARRAYFORMULA(XLOOKUP(FILTER(INDIRECT(""'""&amp;CL$1&amp;""'!$C$4:$C$66""),INDIRECT(""'""&amp;CL$1&amp;""'!$D$4:$D$66"")=CL$2),$G$3:$BQ$3,$G202:$BQ202))),"""")"),"")</f>
        <v/>
      </c>
      <c r="CN202" s="251">
        <f>IFERROR(__xludf.DUMMYFUNCTION("AVERAGE(ARRAYFORMULA(XLOOKUP(FILTER(INDIRECT(""'""&amp;CN$1&amp;""'!$C$4:$C$66""),INDIRECT(""'""&amp;CN$1&amp;""'!$D$4:$D$66"")=CN$2),$G$3:$BQ$3,$G202:$BQ202)))"),1.1102230246251566E-17)</f>
        <v>0</v>
      </c>
      <c r="CO202" s="207" t="str">
        <f>IFERROR(__xludf.DUMMYFUNCTION("IF(OR(CN202&gt;$BS202+$BT202*$BT$2,CN202&lt;$BS202-$BT202*$BT$2),AVEDEV(ARRAYFORMULA(XLOOKUP(FILTER(INDIRECT(""'""&amp;CN$1&amp;""'!$C$4:$C$66""),INDIRECT(""'""&amp;CN$1&amp;""'!$D$4:$D$66"")=CN$2),$G$3:$BQ$3,$G202:$BQ202))),"""")"),"")</f>
        <v/>
      </c>
      <c r="CP202" s="252"/>
      <c r="CQ202" s="251">
        <f>IFERROR(__xludf.DUMMYFUNCTION("AVERAGE(ARRAYFORMULA(XLOOKUP(FILTER(INDIRECT(""'""&amp;CQ$1&amp;""'!$C$4:$C$66""),INDIRECT(""'""&amp;CQ$1&amp;""'!$D$4:$D$66"")=CQ$2),$G$3:$BQ$3,$G202:$BQ202)))"),0.04761905000000001)</f>
        <v>0.04761905</v>
      </c>
      <c r="CR202" s="207" t="str">
        <f>IFERROR(__xludf.DUMMYFUNCTION("IF(OR(CQ202&gt;$BS202+$BT202*$BT$2,CQ202&lt;$BS202-$BT202*$BT$2),AVEDEV(ARRAYFORMULA(XLOOKUP(FILTER(INDIRECT(""'""&amp;CQ$1&amp;""'!$C$4:$C$66""),INDIRECT(""'""&amp;CQ$1&amp;""'!$D$4:$D$66"")=CQ$2),$G$3:$BQ$3,$G202:$BQ202))),"""")"),"")</f>
        <v/>
      </c>
      <c r="CS202" s="251">
        <f>IFERROR(__xludf.DUMMYFUNCTION("AVERAGE(ARRAYFORMULA(XLOOKUP(FILTER(INDIRECT(""'""&amp;CS$1&amp;""'!$C$4:$C$66""),INDIRECT(""'""&amp;CS$1&amp;""'!$D$4:$D$66"")=CS$2),$G$3:$BQ$3,$G202:$BQ202)))"),3.3333333377467196E-9)</f>
        <v>0.000000003333333338</v>
      </c>
      <c r="CT202" s="207" t="str">
        <f>IFERROR(__xludf.DUMMYFUNCTION("IF(OR(CS202&gt;$BS202+$BT202*$BT$2,CS202&lt;$BS202-$BT202*$BT$2),AVEDEV(ARRAYFORMULA(XLOOKUP(FILTER(INDIRECT(""'""&amp;CS$1&amp;""'!$C$4:$C$66""),INDIRECT(""'""&amp;CS$1&amp;""'!$D$4:$D$66"")=CS$2),$G$3:$BQ$3,$G202:$BQ202))),"""")"),"")</f>
        <v/>
      </c>
      <c r="CU202" s="251">
        <f>IFERROR(__xludf.DUMMYFUNCTION("AVERAGE(ARRAYFORMULA(XLOOKUP(FILTER(INDIRECT(""'""&amp;CU$1&amp;""'!$C$4:$C$66""),INDIRECT(""'""&amp;CU$1&amp;""'!$D$4:$D$66"")=CU$2),$G$3:$BQ$3,$G202:$BQ202)))"),0.2424242436363636)</f>
        <v>0.2424242436</v>
      </c>
      <c r="CV202" s="207" t="str">
        <f>IFERROR(__xludf.DUMMYFUNCTION("IF(OR(CU202&gt;$BS202+$BT202*$BT$2,CU202&lt;$BS202-$BT202*$BT$2),AVEDEV(ARRAYFORMULA(XLOOKUP(FILTER(INDIRECT(""'""&amp;CU$1&amp;""'!$C$4:$C$66""),INDIRECT(""'""&amp;CU$1&amp;""'!$D$4:$D$66"")=CU$2),$G$3:$BQ$3,$G202:$BQ202))),"""")"),"")</f>
        <v/>
      </c>
      <c r="CW202" s="251">
        <f>IFERROR(__xludf.DUMMYFUNCTION("AVERAGE(ARRAYFORMULA(XLOOKUP(FILTER(INDIRECT(""'""&amp;CW$1&amp;""'!$C$4:$C$66""),INDIRECT(""'""&amp;CW$1&amp;""'!$D$4:$D$66"")=CW$2),$G$3:$BQ$3,$G202:$BQ202)))"),-0.33333335)</f>
        <v>-0.33333335</v>
      </c>
      <c r="CX202" s="207" t="str">
        <f>IFERROR(__xludf.DUMMYFUNCTION("IF(OR(CW202&gt;$BS202+$BT202*$BT$2,CW202&lt;$BS202-$BT202*$BT$2),AVEDEV(ARRAYFORMULA(XLOOKUP(FILTER(INDIRECT(""'""&amp;CW$1&amp;""'!$C$4:$C$66""),INDIRECT(""'""&amp;CW$1&amp;""'!$D$4:$D$66"")=CW$2),$G$3:$BQ$3,$G202:$BQ202))),"""")"),"")</f>
        <v/>
      </c>
      <c r="CY202" s="251">
        <f>IFERROR(__xludf.DUMMYFUNCTION("AVERAGE(ARRAYFORMULA(XLOOKUP(FILTER(INDIRECT(""'""&amp;CY$1&amp;""'!$C$4:$C$66""),INDIRECT(""'""&amp;CY$1&amp;""'!$D$4:$D$66"")=CY$2),$G$3:$BQ$3,$G202:$BQ202)))"),-1.0000000002666606E-8)</f>
        <v>-0.00000001</v>
      </c>
      <c r="CZ202" s="207" t="str">
        <f>IFERROR(__xludf.DUMMYFUNCTION("IF(OR(CY202&gt;$BS202+$BT202*$BT$2,CY202&lt;$BS202-$BT202*$BT$2),AVEDEV(ARRAYFORMULA(XLOOKUP(FILTER(INDIRECT(""'""&amp;CY$1&amp;""'!$C$4:$C$66""),INDIRECT(""'""&amp;CY$1&amp;""'!$D$4:$D$66"")=CY$2),$G$3:$BQ$3,$G202:$BQ202))),"""")"),"")</f>
        <v/>
      </c>
      <c r="DA202" s="252"/>
      <c r="DB202" s="251">
        <f>IFERROR(__xludf.DUMMYFUNCTION("AVERAGE(ARRAYFORMULA(XLOOKUP(FILTER(INDIRECT(""'""&amp;DB$1&amp;""'!$C$4:$C$66""),INDIRECT(""'""&amp;DB$1&amp;""'!$D$4:$D$66"")=DB$2),$G$3:$BQ$3,$G202:$BQ202)))"),0.07777777733333337)</f>
        <v>0.07777777733</v>
      </c>
      <c r="DC202" s="207" t="str">
        <f>IFERROR(__xludf.DUMMYFUNCTION("IF(OR(DB202&gt;$BS202+$BT202*$BT$2,DB202&lt;$BS202-$BT202*$BT$2),AVEDEV(ARRAYFORMULA(XLOOKUP(FILTER(INDIRECT(""'""&amp;DB$1&amp;""'!$C$4:$C$66""),INDIRECT(""'""&amp;DB$1&amp;""'!$D$4:$D$66"")=DB$2),$G$3:$BQ$3,$G202:$BQ202))),"""")"),"")</f>
        <v/>
      </c>
      <c r="DD202" s="251">
        <f>IFERROR(__xludf.DUMMYFUNCTION("AVERAGE(ARRAYFORMULA(XLOOKUP(FILTER(INDIRECT(""'""&amp;DD$1&amp;""'!$C$4:$C$66""),INDIRECT(""'""&amp;DD$1&amp;""'!$D$4:$D$66"")=DD$2),$G$3:$BQ$3,$G202:$BQ202)))"),-0.2222222222222222)</f>
        <v>-0.2222222222</v>
      </c>
      <c r="DE202" s="207" t="str">
        <f>IFERROR(__xludf.DUMMYFUNCTION("IF(OR(DD202&gt;$BS202+$BT202*$BT$2,DD202&lt;$BS202-$BT202*$BT$2),AVEDEV(ARRAYFORMULA(XLOOKUP(FILTER(INDIRECT(""'""&amp;DD$1&amp;""'!$C$4:$C$66""),INDIRECT(""'""&amp;DD$1&amp;""'!$D$4:$D$66"")=DD$2),$G$3:$BQ$3,$G202:$BQ202))),"""")"),"")</f>
        <v/>
      </c>
      <c r="DF202" s="251">
        <f>IFERROR(__xludf.DUMMYFUNCTION("AVERAGE(ARRAYFORMULA(XLOOKUP(FILTER(INDIRECT(""'""&amp;DF$1&amp;""'!$C$4:$C$66""),INDIRECT(""'""&amp;DF$1&amp;""'!$D$4:$D$66"")=DF$2),$G$3:$BQ$3,$G202:$BQ202)))"),-0.20833333375000002)</f>
        <v>-0.2083333338</v>
      </c>
      <c r="DG202" s="207" t="str">
        <f>IFERROR(__xludf.DUMMYFUNCTION("IF(OR(DF202&gt;$BS202+$BT202*$BT$2,DF202&lt;$BS202-$BT202*$BT$2),AVEDEV(ARRAYFORMULA(XLOOKUP(FILTER(INDIRECT(""'""&amp;DF$1&amp;""'!$C$4:$C$66""),INDIRECT(""'""&amp;DF$1&amp;""'!$D$4:$D$66"")=DF$2),$G$3:$BQ$3,$G202:$BQ202))),"""")"),"")</f>
        <v/>
      </c>
      <c r="DH202" s="251">
        <f>IFERROR(__xludf.DUMMYFUNCTION("AVERAGE(ARRAYFORMULA(XLOOKUP(FILTER(INDIRECT(""'""&amp;DH$1&amp;""'!$C$4:$C$66""),INDIRECT(""'""&amp;DH$1&amp;""'!$D$4:$D$66"")=DH$2),$G$3:$BQ$3,$G202:$BQ202)))"),0.14814814666666665)</f>
        <v>0.1481481467</v>
      </c>
      <c r="DI202" s="207" t="str">
        <f>IFERROR(__xludf.DUMMYFUNCTION("IF(OR(DH202&gt;$BS202+$BT202*$BT$2,DH202&lt;$BS202-$BT202*$BT$2),AVEDEV(ARRAYFORMULA(XLOOKUP(FILTER(INDIRECT(""'""&amp;DH$1&amp;""'!$C$4:$C$66""),INDIRECT(""'""&amp;DH$1&amp;""'!$D$4:$D$66"")=DH$2),$G$3:$BQ$3,$G202:$BQ202))),"""")"),"")</f>
        <v/>
      </c>
      <c r="DJ202" s="243"/>
    </row>
    <row r="203">
      <c r="A203" s="2"/>
      <c r="B203" s="204">
        <v>199.0</v>
      </c>
      <c r="C203" s="204" t="s">
        <v>646</v>
      </c>
      <c r="D203" s="204" t="s">
        <v>648</v>
      </c>
      <c r="E203" s="205" t="b">
        <f>VLOOKUP(D203,'Feature Set List'!A200:C246,2,0)</f>
        <v>1</v>
      </c>
      <c r="F203" s="205" t="b">
        <f>VLOOKUP(D203,'Feature Set List'!A200:C246,3,0)</f>
        <v>1</v>
      </c>
      <c r="G203" s="205">
        <v>-0.571833</v>
      </c>
      <c r="H203" s="205">
        <v>-0.2908705</v>
      </c>
      <c r="I203" s="205">
        <v>-1.1939137</v>
      </c>
      <c r="J203" s="205">
        <v>0.12031139</v>
      </c>
      <c r="K203" s="205">
        <v>0.07926398</v>
      </c>
      <c r="L203" s="205">
        <v>-0.6093418</v>
      </c>
      <c r="M203" s="205">
        <v>-1.1472045</v>
      </c>
      <c r="N203" s="205">
        <v>0.40622788</v>
      </c>
      <c r="O203" s="205">
        <v>0.39419674</v>
      </c>
      <c r="P203" s="205">
        <v>-1.2434536</v>
      </c>
      <c r="Q203" s="205">
        <v>0.16489738</v>
      </c>
      <c r="R203" s="205">
        <v>-0.4317056</v>
      </c>
      <c r="S203" s="205">
        <v>0.89879689</v>
      </c>
      <c r="T203" s="205">
        <v>-0.2512385</v>
      </c>
      <c r="U203" s="205">
        <v>-0.3545648</v>
      </c>
      <c r="V203" s="205">
        <v>-0.5194621</v>
      </c>
      <c r="W203" s="205">
        <v>-0.601557</v>
      </c>
      <c r="X203" s="205">
        <v>0.39490446</v>
      </c>
      <c r="Y203" s="205">
        <v>0.84147205</v>
      </c>
      <c r="Z203" s="205">
        <v>-0.0707714</v>
      </c>
      <c r="AA203" s="205">
        <v>-0.0622788</v>
      </c>
      <c r="AB203" s="205">
        <v>-0.9532909</v>
      </c>
      <c r="AC203" s="205">
        <v>0.0</v>
      </c>
      <c r="AD203" s="205">
        <v>0.38358103</v>
      </c>
      <c r="AE203" s="205">
        <v>0.32908705</v>
      </c>
      <c r="AF203" s="205">
        <v>0.34465676</v>
      </c>
      <c r="AG203" s="205">
        <v>-0.1953291</v>
      </c>
      <c r="AH203" s="205">
        <v>0.52158528</v>
      </c>
      <c r="AI203" s="205">
        <v>0.23213022</v>
      </c>
      <c r="AJ203" s="205">
        <v>-0.7070064</v>
      </c>
      <c r="AK203" s="205">
        <v>-0.5201699</v>
      </c>
      <c r="AL203" s="205">
        <v>0.62137297</v>
      </c>
      <c r="AM203" s="205">
        <v>0.37862703</v>
      </c>
      <c r="AN203" s="205">
        <v>0.34041047</v>
      </c>
      <c r="AO203" s="205">
        <v>-1.5994338</v>
      </c>
      <c r="AP203" s="205">
        <v>-0.6744515</v>
      </c>
      <c r="AQ203" s="205">
        <v>0.11464968</v>
      </c>
      <c r="AR203" s="205">
        <v>0.32130219</v>
      </c>
      <c r="AS203" s="205">
        <v>-0.9051663</v>
      </c>
      <c r="AT203" s="205">
        <v>0.21302194</v>
      </c>
      <c r="AU203" s="205">
        <v>-2.039632</v>
      </c>
      <c r="AV203" s="205">
        <v>0.67657466</v>
      </c>
      <c r="AW203" s="205">
        <v>0.6079264</v>
      </c>
      <c r="AX203" s="205">
        <v>0.4373673</v>
      </c>
      <c r="AY203" s="205">
        <v>-0.6475584</v>
      </c>
      <c r="AZ203" s="205">
        <v>0.68648266</v>
      </c>
      <c r="BA203" s="205">
        <v>-0.6857749</v>
      </c>
      <c r="BB203" s="205">
        <v>-0.8244869</v>
      </c>
      <c r="BC203" s="205">
        <v>0.86907289</v>
      </c>
      <c r="BD203" s="205">
        <v>-0.1627742</v>
      </c>
      <c r="BE203" s="205">
        <v>-0.7898089</v>
      </c>
      <c r="BF203" s="205">
        <v>0.51663128</v>
      </c>
      <c r="BG203" s="205">
        <v>-0.6857749</v>
      </c>
      <c r="BH203" s="205">
        <v>-0.2193914</v>
      </c>
      <c r="BI203" s="205">
        <v>0.25477707</v>
      </c>
      <c r="BJ203" s="205">
        <v>1.35456476</v>
      </c>
      <c r="BK203" s="205">
        <v>0.3517339</v>
      </c>
      <c r="BL203" s="205">
        <v>-1.0134466</v>
      </c>
      <c r="BM203" s="205">
        <v>-0.5951875</v>
      </c>
      <c r="BN203" s="205">
        <v>0.86058033</v>
      </c>
      <c r="BO203" s="205">
        <v>0.49115357</v>
      </c>
      <c r="BP203" s="205">
        <v>-0.168436</v>
      </c>
      <c r="BQ203" s="205">
        <v>0.56546355</v>
      </c>
      <c r="BR203" s="206"/>
      <c r="BS203" s="250">
        <f t="shared" si="1"/>
        <v>-0.09464271651</v>
      </c>
      <c r="BT203" s="250">
        <f t="shared" si="2"/>
        <v>0.5669087594</v>
      </c>
      <c r="BU203" s="206"/>
      <c r="BV203" s="207">
        <f>IFERROR(__xludf.DUMMYFUNCTION("AVERAGE(ARRAYFORMULA(XLOOKUP(FILTER(INDIRECT(""'""&amp;BV$1&amp;""'!$C$4:$C$66""),INDIRECT(""'""&amp;BV$1&amp;""'!$D$4:$D$66"")=BV$2),$G$3:$BQ$3,$G203:$BQ203)))"),-0.6906278485714284)</f>
        <v>-0.6906278486</v>
      </c>
      <c r="BW203" s="207">
        <f>IFERROR(__xludf.DUMMYFUNCTION("IF(OR(BV203&gt;$BS203+$BT203*$BT$2,BV203&lt;$BS203-$BT203*$BT$2),AVEDEV(ARRAYFORMULA(XLOOKUP(FILTER(INDIRECT(""'""&amp;BV$1&amp;""'!$C$4:$C$66""),INDIRECT(""'""&amp;BV$1&amp;""'!$D$4:$D$66"")=BV$2),$G$3:$BQ$3,$G203:$BQ203))),"""")"),0.41847565877551024)</f>
        <v>0.4184756588</v>
      </c>
      <c r="BX203" s="207">
        <f>IFERROR(__xludf.DUMMYFUNCTION("AVERAGE(ARRAYFORMULA(XLOOKUP(FILTER(INDIRECT(""'""&amp;BX$1&amp;""'!$C$4:$C$66""),INDIRECT(""'""&amp;BX$1&amp;""'!$D$4:$D$66"")=BX$2),$G$3:$BQ$3,$G203:$BQ203)))"),0.14526673880952387)</f>
        <v>0.1452667388</v>
      </c>
      <c r="BY203" s="207" t="str">
        <f>IFERROR(__xludf.DUMMYFUNCTION("IF(OR(BX203&gt;$BS203+$BT203*$BT$2,BX203&lt;$BS203-$BT203*$BT$2),AVEDEV(ARRAYFORMULA(XLOOKUP(FILTER(INDIRECT(""'""&amp;BX$1&amp;""'!$C$4:$C$66""),INDIRECT(""'""&amp;BX$1&amp;""'!$D$4:$D$66"")=BX$2),$G$3:$BQ$3,$G203:$BQ203))),"""")"),"")</f>
        <v/>
      </c>
      <c r="BZ203" s="207">
        <f>IFERROR(__xludf.DUMMYFUNCTION("AVERAGE(ARRAYFORMULA(XLOOKUP(FILTER(INDIRECT(""'""&amp;BZ$1&amp;""'!$C$4:$C$66""),INDIRECT(""'""&amp;BZ$1&amp;""'!$D$4:$D$66"")=BZ$2),$G$3:$BQ$3,$G203:$BQ203)))"),-0.3484526663636364)</f>
        <v>-0.3484526664</v>
      </c>
      <c r="CA203" s="207" t="str">
        <f>IFERROR(__xludf.DUMMYFUNCTION("IF(OR(BZ203&gt;$BS203+$BT203*$BT$2,BZ203&lt;$BS203-$BT203*$BT$2),AVEDEV(ARRAYFORMULA(XLOOKUP(FILTER(INDIRECT(""'""&amp;BZ$1&amp;""'!$C$4:$C$66""),INDIRECT(""'""&amp;BZ$1&amp;""'!$D$4:$D$66"")=BZ$2),$G$3:$BQ$3,$G203:$BQ203))),"""")"),"")</f>
        <v/>
      </c>
      <c r="CB203" s="209"/>
      <c r="CC203" s="207">
        <f>IFERROR(__xludf.DUMMYFUNCTION("AVERAGE(ARRAYFORMULA(XLOOKUP(FILTER(INDIRECT(""'""&amp;CC$1&amp;""'!$C$4:$C$66""),INDIRECT(""'""&amp;CC$1&amp;""'!$D$4:$D$66"")=CC$2),$G$3:$BQ$3,$G203:$BQ203)))"),-0.04750531125000002)</f>
        <v>-0.04750531125</v>
      </c>
      <c r="CD203" s="207" t="str">
        <f>IFERROR(__xludf.DUMMYFUNCTION("IF(OR(CC203&gt;$BS203+$BT203*$BT$2,CC203&lt;$BS203-$BT203*$BT$2),AVEDEV(ARRAYFORMULA(XLOOKUP(FILTER(INDIRECT(""'""&amp;CC$1&amp;""'!$C$4:$C$66""),INDIRECT(""'""&amp;CC$1&amp;""'!$D$4:$D$66"")=CC$2),$G$3:$BQ$3,$G203:$BQ203))),"""")"),"")</f>
        <v/>
      </c>
      <c r="CE203" s="207">
        <f>IFERROR(__xludf.DUMMYFUNCTION("AVERAGE(ARRAYFORMULA(XLOOKUP(FILTER(INDIRECT(""'""&amp;CE$1&amp;""'!$C$4:$C$66""),INDIRECT(""'""&amp;CE$1&amp;""'!$D$4:$D$66"")=CE$2),$G$3:$BQ$3,$G203:$BQ203)))"),0.13227404258064515)</f>
        <v>0.1322740426</v>
      </c>
      <c r="CF203" s="207" t="str">
        <f>IFERROR(__xludf.DUMMYFUNCTION("IF(OR(CE203&gt;$BS203+$BT203*$BT$2,CE203&lt;$BS203-$BT203*$BT$2),AVEDEV(ARRAYFORMULA(XLOOKUP(FILTER(INDIRECT(""'""&amp;CE$1&amp;""'!$C$4:$C$66""),INDIRECT(""'""&amp;CE$1&amp;""'!$D$4:$D$66"")=CE$2),$G$3:$BQ$3,$G203:$BQ203))),"""")"),"")</f>
        <v/>
      </c>
      <c r="CG203" s="207">
        <f>IFERROR(__xludf.DUMMYFUNCTION("AVERAGE(ARRAYFORMULA(XLOOKUP(FILTER(INDIRECT(""'""&amp;CG$1&amp;""'!$C$4:$C$66""),INDIRECT(""'""&amp;CG$1&amp;""'!$D$4:$D$66"")=CG$2),$G$3:$BQ$3,$G203:$BQ203)))"),-0.75428164)</f>
        <v>-0.75428164</v>
      </c>
      <c r="CH203" s="207">
        <f>IFERROR(__xludf.DUMMYFUNCTION("IF(OR(CG203&gt;$BS203+$BT203*$BT$2,CG203&lt;$BS203-$BT203*$BT$2),AVEDEV(ARRAYFORMULA(XLOOKUP(FILTER(INDIRECT(""'""&amp;CG$1&amp;""'!$C$4:$C$66""),INDIRECT(""'""&amp;CG$1&amp;""'!$D$4:$D$66"")=CG$2),$G$3:$BQ$3,$G203:$BQ203))),"""")"),0.25602264799999996)</f>
        <v>0.256022648</v>
      </c>
      <c r="CI203" s="206"/>
      <c r="CJ203" s="251">
        <f>IFERROR(__xludf.DUMMYFUNCTION("AVERAGE(ARRAYFORMULA(XLOOKUP(FILTER(INDIRECT(""'""&amp;CJ$1&amp;""'!$C$4:$C$66""),INDIRECT(""'""&amp;CJ$1&amp;""'!$D$4:$D$66"")=CJ$2),$G$3:$BQ$3,$G203:$BQ203)))"),-0.06359990466666668)</f>
        <v>-0.06359990467</v>
      </c>
      <c r="CK203" s="207" t="str">
        <f>IFERROR(__xludf.DUMMYFUNCTION("IF(OR(CJ203&gt;$BS203+$BT203*$BT$2,CJ203&lt;$BS203-$BT203*$BT$2),AVEDEV(ARRAYFORMULA(XLOOKUP(FILTER(INDIRECT(""'""&amp;CJ$1&amp;""'!$C$4:$C$66""),INDIRECT(""'""&amp;CJ$1&amp;""'!$D$4:$D$66"")=CJ$2),$G$3:$BQ$3,$G203:$BQ203))),"""")"),"")</f>
        <v/>
      </c>
      <c r="CL203" s="251">
        <f>IFERROR(__xludf.DUMMYFUNCTION("AVERAGE(ARRAYFORMULA(XLOOKUP(FILTER(INDIRECT(""'""&amp;CL$1&amp;""'!$C$4:$C$66""),INDIRECT(""'""&amp;CL$1&amp;""'!$D$4:$D$66"")=CL$2),$G$3:$BQ$3,$G203:$BQ203)))"),0.08135082384615384)</f>
        <v>0.08135082385</v>
      </c>
      <c r="CM203" s="207" t="str">
        <f>IFERROR(__xludf.DUMMYFUNCTION("IF(OR(CL203&gt;$BS203+$BT203*$BT$2,CL203&lt;$BS203-$BT203*$BT$2),AVEDEV(ARRAYFORMULA(XLOOKUP(FILTER(INDIRECT(""'""&amp;CL$1&amp;""'!$C$4:$C$66""),INDIRECT(""'""&amp;CL$1&amp;""'!$D$4:$D$66"")=CL$2),$G$3:$BQ$3,$G203:$BQ203))),"""")"),"")</f>
        <v/>
      </c>
      <c r="CN203" s="251">
        <f>IFERROR(__xludf.DUMMYFUNCTION("AVERAGE(ARRAYFORMULA(XLOOKUP(FILTER(INDIRECT(""'""&amp;CN$1&amp;""'!$C$4:$C$66""),INDIRECT(""'""&amp;CN$1&amp;""'!$D$4:$D$66"")=CN$2),$G$3:$BQ$3,$G203:$BQ203)))"),-0.75428164)</f>
        <v>-0.75428164</v>
      </c>
      <c r="CO203" s="207">
        <f>IFERROR(__xludf.DUMMYFUNCTION("IF(OR(CN203&gt;$BS203+$BT203*$BT$2,CN203&lt;$BS203-$BT203*$BT$2),AVEDEV(ARRAYFORMULA(XLOOKUP(FILTER(INDIRECT(""'""&amp;CN$1&amp;""'!$C$4:$C$66""),INDIRECT(""'""&amp;CN$1&amp;""'!$D$4:$D$66"")=CN$2),$G$3:$BQ$3,$G203:$BQ203))),"""")"),0.25602264799999996)</f>
        <v>0.256022648</v>
      </c>
      <c r="CP203" s="252"/>
      <c r="CQ203" s="251">
        <f>IFERROR(__xludf.DUMMYFUNCTION("AVERAGE(ARRAYFORMULA(XLOOKUP(FILTER(INDIRECT(""'""&amp;CQ$1&amp;""'!$C$4:$C$66""),INDIRECT(""'""&amp;CQ$1&amp;""'!$D$4:$D$66"")=CQ$2),$G$3:$BQ$3,$G203:$BQ203)))"),0.07855626214285714)</f>
        <v>0.07855626214</v>
      </c>
      <c r="CR203" s="207" t="str">
        <f>IFERROR(__xludf.DUMMYFUNCTION("IF(OR(CQ203&gt;$BS203+$BT203*$BT$2,CQ203&lt;$BS203-$BT203*$BT$2),AVEDEV(ARRAYFORMULA(XLOOKUP(FILTER(INDIRECT(""'""&amp;CQ$1&amp;""'!$C$4:$C$66""),INDIRECT(""'""&amp;CQ$1&amp;""'!$D$4:$D$66"")=CQ$2),$G$3:$BQ$3,$G203:$BQ203))),"""")"),"")</f>
        <v/>
      </c>
      <c r="CS203" s="251">
        <f>IFERROR(__xludf.DUMMYFUNCTION("AVERAGE(ARRAYFORMULA(XLOOKUP(FILTER(INDIRECT(""'""&amp;CS$1&amp;""'!$C$4:$C$66""),INDIRECT(""'""&amp;CS$1&amp;""'!$D$4:$D$66"")=CS$2),$G$3:$BQ$3,$G203:$BQ203)))"),-0.4360304988888889)</f>
        <v>-0.4360304989</v>
      </c>
      <c r="CT203" s="207" t="str">
        <f>IFERROR(__xludf.DUMMYFUNCTION("IF(OR(CS203&gt;$BS203+$BT203*$BT$2,CS203&lt;$BS203-$BT203*$BT$2),AVEDEV(ARRAYFORMULA(XLOOKUP(FILTER(INDIRECT(""'""&amp;CS$1&amp;""'!$C$4:$C$66""),INDIRECT(""'""&amp;CS$1&amp;""'!$D$4:$D$66"")=CS$2),$G$3:$BQ$3,$G203:$BQ203))),"""")"),"")</f>
        <v/>
      </c>
      <c r="CU203" s="251">
        <f>IFERROR(__xludf.DUMMYFUNCTION("AVERAGE(ARRAYFORMULA(XLOOKUP(FILTER(INDIRECT(""'""&amp;CU$1&amp;""'!$C$4:$C$66""),INDIRECT(""'""&amp;CU$1&amp;""'!$D$4:$D$66"")=CU$2),$G$3:$BQ$3,$G203:$BQ203)))"),0.19680885727272726)</f>
        <v>0.1968088573</v>
      </c>
      <c r="CV203" s="207" t="str">
        <f>IFERROR(__xludf.DUMMYFUNCTION("IF(OR(CU203&gt;$BS203+$BT203*$BT$2,CU203&lt;$BS203-$BT203*$BT$2),AVEDEV(ARRAYFORMULA(XLOOKUP(FILTER(INDIRECT(""'""&amp;CU$1&amp;""'!$C$4:$C$66""),INDIRECT(""'""&amp;CU$1&amp;""'!$D$4:$D$66"")=CU$2),$G$3:$BQ$3,$G203:$BQ203))),"""")"),"")</f>
        <v/>
      </c>
      <c r="CW203" s="251">
        <f>IFERROR(__xludf.DUMMYFUNCTION("AVERAGE(ARRAYFORMULA(XLOOKUP(FILTER(INDIRECT(""'""&amp;CW$1&amp;""'!$C$4:$C$66""),INDIRECT(""'""&amp;CW$1&amp;""'!$D$4:$D$66"")=CW$2),$G$3:$BQ$3,$G203:$BQ203)))"),0.082094815)</f>
        <v>0.082094815</v>
      </c>
      <c r="CX203" s="207" t="str">
        <f>IFERROR(__xludf.DUMMYFUNCTION("IF(OR(CW203&gt;$BS203+$BT203*$BT$2,CW203&lt;$BS203-$BT203*$BT$2),AVEDEV(ARRAYFORMULA(XLOOKUP(FILTER(INDIRECT(""'""&amp;CW$1&amp;""'!$C$4:$C$66""),INDIRECT(""'""&amp;CW$1&amp;""'!$D$4:$D$66"")=CW$2),$G$3:$BQ$3,$G203:$BQ203))),"""")"),"")</f>
        <v/>
      </c>
      <c r="CY203" s="251">
        <f>IFERROR(__xludf.DUMMYFUNCTION("AVERAGE(ARRAYFORMULA(XLOOKUP(FILTER(INDIRECT(""'""&amp;CY$1&amp;""'!$C$4:$C$66""),INDIRECT(""'""&amp;CY$1&amp;""'!$D$4:$D$66"")=CY$2),$G$3:$BQ$3,$G203:$BQ203)))"),0.2989080914285715)</f>
        <v>0.2989080914</v>
      </c>
      <c r="CZ203" s="207" t="str">
        <f>IFERROR(__xludf.DUMMYFUNCTION("IF(OR(CY203&gt;$BS203+$BT203*$BT$2,CY203&lt;$BS203-$BT203*$BT$2),AVEDEV(ARRAYFORMULA(XLOOKUP(FILTER(INDIRECT(""'""&amp;CY$1&amp;""'!$C$4:$C$66""),INDIRECT(""'""&amp;CY$1&amp;""'!$D$4:$D$66"")=CY$2),$G$3:$BQ$3,$G203:$BQ203))),"""")"),"")</f>
        <v/>
      </c>
      <c r="DA203" s="252"/>
      <c r="DB203" s="251">
        <f>IFERROR(__xludf.DUMMYFUNCTION("AVERAGE(ARRAYFORMULA(XLOOKUP(FILTER(INDIRECT(""'""&amp;DB$1&amp;""'!$C$4:$C$66""),INDIRECT(""'""&amp;DB$1&amp;""'!$D$4:$D$66"")=DB$2),$G$3:$BQ$3,$G203:$BQ203)))"),0.05999056299999999)</f>
        <v>0.059990563</v>
      </c>
      <c r="DC203" s="207" t="str">
        <f>IFERROR(__xludf.DUMMYFUNCTION("IF(OR(DB203&gt;$BS203+$BT203*$BT$2,DB203&lt;$BS203-$BT203*$BT$2),AVEDEV(ARRAYFORMULA(XLOOKUP(FILTER(INDIRECT(""'""&amp;DB$1&amp;""'!$C$4:$C$66""),INDIRECT(""'""&amp;DB$1&amp;""'!$D$4:$D$66"")=DB$2),$G$3:$BQ$3,$G203:$BQ203))),"""")"),"")</f>
        <v/>
      </c>
      <c r="DD203" s="251">
        <f>IFERROR(__xludf.DUMMYFUNCTION("AVERAGE(ARRAYFORMULA(XLOOKUP(FILTER(INDIRECT(""'""&amp;DD$1&amp;""'!$C$4:$C$66""),INDIRECT(""'""&amp;DD$1&amp;""'!$D$4:$D$66"")=DD$2),$G$3:$BQ$3,$G203:$BQ203)))"),-0.5587795711111111)</f>
        <v>-0.5587795711</v>
      </c>
      <c r="DE203" s="207" t="str">
        <f>IFERROR(__xludf.DUMMYFUNCTION("IF(OR(DD203&gt;$BS203+$BT203*$BT$2,DD203&lt;$BS203-$BT203*$BT$2),AVEDEV(ARRAYFORMULA(XLOOKUP(FILTER(INDIRECT(""'""&amp;DD$1&amp;""'!$C$4:$C$66""),INDIRECT(""'""&amp;DD$1&amp;""'!$D$4:$D$66"")=DD$2),$G$3:$BQ$3,$G203:$BQ203))),"""")"),"")</f>
        <v/>
      </c>
      <c r="DF203" s="251">
        <f>IFERROR(__xludf.DUMMYFUNCTION("AVERAGE(ARRAYFORMULA(XLOOKUP(FILTER(INDIRECT(""'""&amp;DF$1&amp;""'!$C$4:$C$66""),INDIRECT(""'""&amp;DF$1&amp;""'!$D$4:$D$66"")=DF$2),$G$3:$BQ$3,$G203:$BQ203)))"),-0.027954713749999985)</f>
        <v>-0.02795471375</v>
      </c>
      <c r="DG203" s="207" t="str">
        <f>IFERROR(__xludf.DUMMYFUNCTION("IF(OR(DF203&gt;$BS203+$BT203*$BT$2,DF203&lt;$BS203-$BT203*$BT$2),AVEDEV(ARRAYFORMULA(XLOOKUP(FILTER(INDIRECT(""'""&amp;DF$1&amp;""'!$C$4:$C$66""),INDIRECT(""'""&amp;DF$1&amp;""'!$D$4:$D$66"")=DF$2),$G$3:$BQ$3,$G203:$BQ203))),"""")"),"")</f>
        <v/>
      </c>
      <c r="DH203" s="251">
        <f>IFERROR(__xludf.DUMMYFUNCTION("AVERAGE(ARRAYFORMULA(XLOOKUP(FILTER(INDIRECT(""'""&amp;DH$1&amp;""'!$C$4:$C$66""),INDIRECT(""'""&amp;DH$1&amp;""'!$D$4:$D$66"")=DH$2),$G$3:$BQ$3,$G203:$BQ203)))"),0.3092710522222222)</f>
        <v>0.3092710522</v>
      </c>
      <c r="DI203" s="207" t="str">
        <f>IFERROR(__xludf.DUMMYFUNCTION("IF(OR(DH203&gt;$BS203+$BT203*$BT$2,DH203&lt;$BS203-$BT203*$BT$2),AVEDEV(ARRAYFORMULA(XLOOKUP(FILTER(INDIRECT(""'""&amp;DH$1&amp;""'!$C$4:$C$66""),INDIRECT(""'""&amp;DH$1&amp;""'!$D$4:$D$66"")=DH$2),$G$3:$BQ$3,$G203:$BQ203))),"""")"),"")</f>
        <v/>
      </c>
      <c r="DJ203" s="243"/>
    </row>
    <row r="204">
      <c r="A204" s="2"/>
      <c r="B204" s="204">
        <v>200.0</v>
      </c>
      <c r="C204" s="204" t="s">
        <v>646</v>
      </c>
      <c r="D204" s="204" t="s">
        <v>649</v>
      </c>
      <c r="E204" s="205" t="b">
        <f>VLOOKUP(D204,'Feature Set List'!A201:C246,2,0)</f>
        <v>1</v>
      </c>
      <c r="F204" s="205" t="b">
        <f>VLOOKUP(D204,'Feature Set List'!A201:C246,3,0)</f>
        <v>1</v>
      </c>
      <c r="G204" s="205">
        <v>-0.9518349</v>
      </c>
      <c r="H204" s="205">
        <v>0.36238532</v>
      </c>
      <c r="I204" s="205">
        <v>-0.4311927</v>
      </c>
      <c r="J204" s="205">
        <v>1.23623853</v>
      </c>
      <c r="K204" s="205">
        <v>-0.3302752</v>
      </c>
      <c r="L204" s="205">
        <v>-0.6330275</v>
      </c>
      <c r="M204" s="205">
        <v>-1.1534404</v>
      </c>
      <c r="N204" s="205">
        <v>0.7087156</v>
      </c>
      <c r="O204" s="205">
        <v>0.80963303</v>
      </c>
      <c r="P204" s="205">
        <v>-0.8715596</v>
      </c>
      <c r="Q204" s="205">
        <v>-0.4885321</v>
      </c>
      <c r="R204" s="205">
        <v>-0.3876147</v>
      </c>
      <c r="S204" s="205">
        <v>-0.0756881</v>
      </c>
      <c r="T204" s="205">
        <v>0.0</v>
      </c>
      <c r="U204" s="205">
        <v>0.74311927</v>
      </c>
      <c r="V204" s="205">
        <v>0.28899083</v>
      </c>
      <c r="W204" s="205">
        <v>-0.4449541</v>
      </c>
      <c r="X204" s="205">
        <v>-0.8899083</v>
      </c>
      <c r="Y204" s="205">
        <v>0.6146789</v>
      </c>
      <c r="Z204" s="205">
        <v>-0.9587156</v>
      </c>
      <c r="AA204" s="205">
        <v>-0.3302752</v>
      </c>
      <c r="AB204" s="205">
        <v>0.0733945</v>
      </c>
      <c r="AC204" s="205">
        <v>-0.3623853</v>
      </c>
      <c r="AD204" s="205">
        <v>0.06651376</v>
      </c>
      <c r="AE204" s="205">
        <v>0.35321101</v>
      </c>
      <c r="AF204" s="205">
        <v>0.13302752</v>
      </c>
      <c r="AG204" s="205">
        <v>-0.5779817</v>
      </c>
      <c r="AH204" s="205">
        <v>1.66284404</v>
      </c>
      <c r="AI204" s="205">
        <v>1.40137615</v>
      </c>
      <c r="AJ204" s="205">
        <v>-0.1811927</v>
      </c>
      <c r="AK204" s="205">
        <v>0.16055046</v>
      </c>
      <c r="AL204" s="205">
        <v>0.57110092</v>
      </c>
      <c r="AM204" s="205">
        <v>-0.1651376</v>
      </c>
      <c r="AN204" s="205">
        <v>-0.4655963</v>
      </c>
      <c r="AO204" s="205">
        <v>-1.8006881</v>
      </c>
      <c r="AP204" s="205">
        <v>0.48165138</v>
      </c>
      <c r="AQ204" s="205">
        <v>-0.2018349</v>
      </c>
      <c r="AR204" s="205">
        <v>-1.987844</v>
      </c>
      <c r="AS204" s="205">
        <v>-0.162844</v>
      </c>
      <c r="AT204" s="205">
        <v>0.8646789</v>
      </c>
      <c r="AU204" s="205">
        <v>-3.2706422</v>
      </c>
      <c r="AV204" s="205">
        <v>1.19495413</v>
      </c>
      <c r="AW204" s="205">
        <v>0.22477064</v>
      </c>
      <c r="AX204" s="205">
        <v>1.21788991</v>
      </c>
      <c r="AY204" s="205">
        <v>-0.8463303</v>
      </c>
      <c r="AZ204" s="205">
        <v>0.15366972</v>
      </c>
      <c r="BA204" s="205">
        <v>0.65366972</v>
      </c>
      <c r="BB204" s="205">
        <v>-0.9449541</v>
      </c>
      <c r="BC204" s="205">
        <v>0.12385321</v>
      </c>
      <c r="BD204" s="205">
        <v>-0.309633</v>
      </c>
      <c r="BE204" s="205">
        <v>-0.2247706</v>
      </c>
      <c r="BF204" s="205">
        <v>0.48853211</v>
      </c>
      <c r="BG204" s="205">
        <v>0.71559633</v>
      </c>
      <c r="BH204" s="205">
        <v>-0.4266055</v>
      </c>
      <c r="BI204" s="205">
        <v>0.61009174</v>
      </c>
      <c r="BJ204" s="205">
        <v>2.64678899</v>
      </c>
      <c r="BK204" s="205">
        <v>1.22018349</v>
      </c>
      <c r="BL204" s="205">
        <v>-0.3417431</v>
      </c>
      <c r="BM204" s="205">
        <v>-0.3004587</v>
      </c>
      <c r="BN204" s="205">
        <v>0.53899083</v>
      </c>
      <c r="BO204" s="205">
        <v>-0.0619266</v>
      </c>
      <c r="BP204" s="205">
        <v>0.5206422</v>
      </c>
      <c r="BQ204" s="205">
        <v>0.57110092</v>
      </c>
      <c r="BR204" s="206"/>
      <c r="BS204" s="250">
        <f t="shared" si="1"/>
        <v>0.01322630095</v>
      </c>
      <c r="BT204" s="250">
        <f t="shared" si="2"/>
        <v>0.6667564676</v>
      </c>
      <c r="BU204" s="206"/>
      <c r="BV204" s="207">
        <f>IFERROR(__xludf.DUMMYFUNCTION("AVERAGE(ARRAYFORMULA(XLOOKUP(FILTER(INDIRECT(""'""&amp;BV$1&amp;""'!$C$4:$C$66""),INDIRECT(""'""&amp;BV$1&amp;""'!$D$4:$D$66"")=BV$2),$G$3:$BQ$3,$G204:$BQ204)))"),-0.6150393185714285)</f>
        <v>-0.6150393186</v>
      </c>
      <c r="BW204" s="207" t="str">
        <f>IFERROR(__xludf.DUMMYFUNCTION("IF(OR(BV204&gt;$BS204+$BT204*$BT$2,BV204&lt;$BS204-$BT204*$BT$2),AVEDEV(ARRAYFORMULA(XLOOKUP(FILTER(INDIRECT(""'""&amp;BV$1&amp;""'!$C$4:$C$66""),INDIRECT(""'""&amp;BV$1&amp;""'!$D$4:$D$66"")=BV$2),$G$3:$BQ$3,$G204:$BQ204))),"""")"),"")</f>
        <v/>
      </c>
      <c r="BX204" s="207">
        <f>IFERROR(__xludf.DUMMYFUNCTION("AVERAGE(ARRAYFORMULA(XLOOKUP(FILTER(INDIRECT(""'""&amp;BX$1&amp;""'!$C$4:$C$66""),INDIRECT(""'""&amp;BX$1&amp;""'!$D$4:$D$66"")=BX$2),$G$3:$BQ$3,$G204:$BQ204)))"),0.28452927214285706)</f>
        <v>0.2845292721</v>
      </c>
      <c r="BY204" s="207" t="str">
        <f>IFERROR(__xludf.DUMMYFUNCTION("IF(OR(BX204&gt;$BS204+$BT204*$BT$2,BX204&lt;$BS204-$BT204*$BT$2),AVEDEV(ARRAYFORMULA(XLOOKUP(FILTER(INDIRECT(""'""&amp;BX$1&amp;""'!$C$4:$C$66""),INDIRECT(""'""&amp;BX$1&amp;""'!$D$4:$D$66"")=BX$2),$G$3:$BQ$3,$G204:$BQ204))),"""")"),"")</f>
        <v/>
      </c>
      <c r="BZ204" s="207">
        <f>IFERROR(__xludf.DUMMYFUNCTION("AVERAGE(ARRAYFORMULA(XLOOKUP(FILTER(INDIRECT(""'""&amp;BZ$1&amp;""'!$C$4:$C$66""),INDIRECT(""'""&amp;BZ$1&amp;""'!$D$4:$D$66"")=BZ$2),$G$3:$BQ$3,$G204:$BQ204)))"),-0.2545663036363636)</f>
        <v>-0.2545663036</v>
      </c>
      <c r="CA204" s="207" t="str">
        <f>IFERROR(__xludf.DUMMYFUNCTION("IF(OR(BZ204&gt;$BS204+$BT204*$BT$2,BZ204&lt;$BS204-$BT204*$BT$2),AVEDEV(ARRAYFORMULA(XLOOKUP(FILTER(INDIRECT(""'""&amp;BZ$1&amp;""'!$C$4:$C$66""),INDIRECT(""'""&amp;BZ$1&amp;""'!$D$4:$D$66"")=BZ$2),$G$3:$BQ$3,$G204:$BQ204))),"""")"),"")</f>
        <v/>
      </c>
      <c r="CB204" s="209"/>
      <c r="CC204" s="207">
        <f>IFERROR(__xludf.DUMMYFUNCTION("AVERAGE(ARRAYFORMULA(XLOOKUP(FILTER(INDIRECT(""'""&amp;CC$1&amp;""'!$C$4:$C$66""),INDIRECT(""'""&amp;CC$1&amp;""'!$D$4:$D$66"")=CC$2),$G$3:$BQ$3,$G204:$BQ204)))"),0.32869839375)</f>
        <v>0.3286983938</v>
      </c>
      <c r="CD204" s="207" t="str">
        <f>IFERROR(__xludf.DUMMYFUNCTION("IF(OR(CC204&gt;$BS204+$BT204*$BT$2,CC204&lt;$BS204-$BT204*$BT$2),AVEDEV(ARRAYFORMULA(XLOOKUP(FILTER(INDIRECT(""'""&amp;CC$1&amp;""'!$C$4:$C$66""),INDIRECT(""'""&amp;CC$1&amp;""'!$D$4:$D$66"")=CC$2),$G$3:$BQ$3,$G204:$BQ204))),"""")"),"")</f>
        <v/>
      </c>
      <c r="CE204" s="207">
        <f>IFERROR(__xludf.DUMMYFUNCTION("AVERAGE(ARRAYFORMULA(XLOOKUP(FILTER(INDIRECT(""'""&amp;CE$1&amp;""'!$C$4:$C$66""),INDIRECT(""'""&amp;CE$1&amp;""'!$D$4:$D$66"")=CE$2),$G$3:$BQ$3,$G204:$BQ204)))"),0.14087748064516134)</f>
        <v>0.1408774806</v>
      </c>
      <c r="CF204" s="207" t="str">
        <f>IFERROR(__xludf.DUMMYFUNCTION("IF(OR(CE204&gt;$BS204+$BT204*$BT$2,CE204&lt;$BS204-$BT204*$BT$2),AVEDEV(ARRAYFORMULA(XLOOKUP(FILTER(INDIRECT(""'""&amp;CE$1&amp;""'!$C$4:$C$66""),INDIRECT(""'""&amp;CE$1&amp;""'!$D$4:$D$66"")=CE$2),$G$3:$BQ$3,$G204:$BQ204))),"""")"),"")</f>
        <v/>
      </c>
      <c r="CG204" s="207">
        <f>IFERROR(__xludf.DUMMYFUNCTION("AVERAGE(ARRAYFORMULA(XLOOKUP(FILTER(INDIRECT(""'""&amp;CG$1&amp;""'!$C$4:$C$66""),INDIRECT(""'""&amp;CG$1&amp;""'!$D$4:$D$66"")=CG$2),$G$3:$BQ$3,$G204:$BQ204)))"),0.06697249000000001)</f>
        <v>0.06697249</v>
      </c>
      <c r="CH204" s="207" t="str">
        <f>IFERROR(__xludf.DUMMYFUNCTION("IF(OR(CG204&gt;$BS204+$BT204*$BT$2,CG204&lt;$BS204-$BT204*$BT$2),AVEDEV(ARRAYFORMULA(XLOOKUP(FILTER(INDIRECT(""'""&amp;CG$1&amp;""'!$C$4:$C$66""),INDIRECT(""'""&amp;CG$1&amp;""'!$D$4:$D$66"")=CG$2),$G$3:$BQ$3,$G204:$BQ204))),"""")"),"")</f>
        <v/>
      </c>
      <c r="CI204" s="206"/>
      <c r="CJ204" s="251">
        <f>IFERROR(__xludf.DUMMYFUNCTION("AVERAGE(ARRAYFORMULA(XLOOKUP(FILTER(INDIRECT(""'""&amp;CJ$1&amp;""'!$C$4:$C$66""),INDIRECT(""'""&amp;CJ$1&amp;""'!$D$4:$D$66"")=CJ$2),$G$3:$BQ$3,$G204:$BQ204)))"),0.06360856799999999)</f>
        <v>0.063608568</v>
      </c>
      <c r="CK204" s="207" t="str">
        <f>IFERROR(__xludf.DUMMYFUNCTION("IF(OR(CJ204&gt;$BS204+$BT204*$BT$2,CJ204&lt;$BS204-$BT204*$BT$2),AVEDEV(ARRAYFORMULA(XLOOKUP(FILTER(INDIRECT(""'""&amp;CJ$1&amp;""'!$C$4:$C$66""),INDIRECT(""'""&amp;CJ$1&amp;""'!$D$4:$D$66"")=CJ$2),$G$3:$BQ$3,$G204:$BQ204))),"""")"),"")</f>
        <v/>
      </c>
      <c r="CL204" s="251">
        <f>IFERROR(__xludf.DUMMYFUNCTION("AVERAGE(ARRAYFORMULA(XLOOKUP(FILTER(INDIRECT(""'""&amp;CL$1&amp;""'!$C$4:$C$66""),INDIRECT(""'""&amp;CL$1&amp;""'!$D$4:$D$66"")=CL$2),$G$3:$BQ$3,$G204:$BQ204)))"),0.09993530743589746)</f>
        <v>0.09993530744</v>
      </c>
      <c r="CM204" s="207" t="str">
        <f>IFERROR(__xludf.DUMMYFUNCTION("IF(OR(CL204&gt;$BS204+$BT204*$BT$2,CL204&lt;$BS204-$BT204*$BT$2),AVEDEV(ARRAYFORMULA(XLOOKUP(FILTER(INDIRECT(""'""&amp;CL$1&amp;""'!$C$4:$C$66""),INDIRECT(""'""&amp;CL$1&amp;""'!$D$4:$D$66"")=CL$2),$G$3:$BQ$3,$G204:$BQ204))),"""")"),"")</f>
        <v/>
      </c>
      <c r="CN204" s="251">
        <f>IFERROR(__xludf.DUMMYFUNCTION("AVERAGE(ARRAYFORMULA(XLOOKUP(FILTER(INDIRECT(""'""&amp;CN$1&amp;""'!$C$4:$C$66""),INDIRECT(""'""&amp;CN$1&amp;""'!$D$4:$D$66"")=CN$2),$G$3:$BQ$3,$G204:$BQ204)))"),0.06697249000000001)</f>
        <v>0.06697249</v>
      </c>
      <c r="CO204" s="207" t="str">
        <f>IFERROR(__xludf.DUMMYFUNCTION("IF(OR(CN204&gt;$BS204+$BT204*$BT$2,CN204&lt;$BS204-$BT204*$BT$2),AVEDEV(ARRAYFORMULA(XLOOKUP(FILTER(INDIRECT(""'""&amp;CN$1&amp;""'!$C$4:$C$66""),INDIRECT(""'""&amp;CN$1&amp;""'!$D$4:$D$66"")=CN$2),$G$3:$BQ$3,$G204:$BQ204))),"""")"),"")</f>
        <v/>
      </c>
      <c r="CP204" s="252"/>
      <c r="CQ204" s="251">
        <f>IFERROR(__xludf.DUMMYFUNCTION("AVERAGE(ARRAYFORMULA(XLOOKUP(FILTER(INDIRECT(""'""&amp;CQ$1&amp;""'!$C$4:$C$66""),INDIRECT(""'""&amp;CQ$1&amp;""'!$D$4:$D$66"")=CQ$2),$G$3:$BQ$3,$G204:$BQ204)))"),0.47984927428571433)</f>
        <v>0.4798492743</v>
      </c>
      <c r="CR204" s="207" t="str">
        <f>IFERROR(__xludf.DUMMYFUNCTION("IF(OR(CQ204&gt;$BS204+$BT204*$BT$2,CQ204&lt;$BS204-$BT204*$BT$2),AVEDEV(ARRAYFORMULA(XLOOKUP(FILTER(INDIRECT(""'""&amp;CQ$1&amp;""'!$C$4:$C$66""),INDIRECT(""'""&amp;CQ$1&amp;""'!$D$4:$D$66"")=CQ$2),$G$3:$BQ$3,$G204:$BQ204))),"""")"),"")</f>
        <v/>
      </c>
      <c r="CS204" s="251">
        <f>IFERROR(__xludf.DUMMYFUNCTION("AVERAGE(ARRAYFORMULA(XLOOKUP(FILTER(INDIRECT(""'""&amp;CS$1&amp;""'!$C$4:$C$66""),INDIRECT(""'""&amp;CS$1&amp;""'!$D$4:$D$66"")=CS$2),$G$3:$BQ$3,$G204:$BQ204)))"),-0.29482670666666666)</f>
        <v>-0.2948267067</v>
      </c>
      <c r="CT204" s="207" t="str">
        <f>IFERROR(__xludf.DUMMYFUNCTION("IF(OR(CS204&gt;$BS204+$BT204*$BT$2,CS204&lt;$BS204-$BT204*$BT$2),AVEDEV(ARRAYFORMULA(XLOOKUP(FILTER(INDIRECT(""'""&amp;CS$1&amp;""'!$C$4:$C$66""),INDIRECT(""'""&amp;CS$1&amp;""'!$D$4:$D$66"")=CS$2),$G$3:$BQ$3,$G204:$BQ204))),"""")"),"")</f>
        <v/>
      </c>
      <c r="CU204" s="251">
        <f>IFERROR(__xludf.DUMMYFUNCTION("AVERAGE(ARRAYFORMULA(XLOOKUP(FILTER(INDIRECT(""'""&amp;CU$1&amp;""'!$C$4:$C$66""),INDIRECT(""'""&amp;CU$1&amp;""'!$D$4:$D$66"")=CU$2),$G$3:$BQ$3,$G204:$BQ204)))"),0.33361134727272723)</f>
        <v>0.3336113473</v>
      </c>
      <c r="CV204" s="207" t="str">
        <f>IFERROR(__xludf.DUMMYFUNCTION("IF(OR(CU204&gt;$BS204+$BT204*$BT$2,CU204&lt;$BS204-$BT204*$BT$2),AVEDEV(ARRAYFORMULA(XLOOKUP(FILTER(INDIRECT(""'""&amp;CU$1&amp;""'!$C$4:$C$66""),INDIRECT(""'""&amp;CU$1&amp;""'!$D$4:$D$66"")=CU$2),$G$3:$BQ$3,$G204:$BQ204))),"""")"),"")</f>
        <v/>
      </c>
      <c r="CW204" s="251">
        <f>IFERROR(__xludf.DUMMYFUNCTION("AVERAGE(ARRAYFORMULA(XLOOKUP(FILTER(INDIRECT(""'""&amp;CW$1&amp;""'!$C$4:$C$66""),INDIRECT(""'""&amp;CW$1&amp;""'!$D$4:$D$66"")=CW$2),$G$3:$BQ$3,$G204:$BQ204)))"),-0.18004587)</f>
        <v>-0.18004587</v>
      </c>
      <c r="CX204" s="207" t="str">
        <f>IFERROR(__xludf.DUMMYFUNCTION("IF(OR(CW204&gt;$BS204+$BT204*$BT$2,CW204&lt;$BS204-$BT204*$BT$2),AVEDEV(ARRAYFORMULA(XLOOKUP(FILTER(INDIRECT(""'""&amp;CW$1&amp;""'!$C$4:$C$66""),INDIRECT(""'""&amp;CW$1&amp;""'!$D$4:$D$66"")=CW$2),$G$3:$BQ$3,$G204:$BQ204))),"""")"),"")</f>
        <v/>
      </c>
      <c r="CY204" s="251">
        <f>IFERROR(__xludf.DUMMYFUNCTION("AVERAGE(ARRAYFORMULA(XLOOKUP(FILTER(INDIRECT(""'""&amp;CY$1&amp;""'!$C$4:$C$66""),INDIRECT(""'""&amp;CY$1&amp;""'!$D$4:$D$66"")=CY$2),$G$3:$BQ$3,$G204:$BQ204)))"),0.18353538785714288)</f>
        <v>0.1835353879</v>
      </c>
      <c r="CZ204" s="207" t="str">
        <f>IFERROR(__xludf.DUMMYFUNCTION("IF(OR(CY204&gt;$BS204+$BT204*$BT$2,CY204&lt;$BS204-$BT204*$BT$2),AVEDEV(ARRAYFORMULA(XLOOKUP(FILTER(INDIRECT(""'""&amp;CY$1&amp;""'!$C$4:$C$66""),INDIRECT(""'""&amp;CY$1&amp;""'!$D$4:$D$66"")=CY$2),$G$3:$BQ$3,$G204:$BQ204))),"""")"),"")</f>
        <v/>
      </c>
      <c r="DA204" s="252"/>
      <c r="DB204" s="251">
        <f>IFERROR(__xludf.DUMMYFUNCTION("AVERAGE(ARRAYFORMULA(XLOOKUP(FILTER(INDIRECT(""'""&amp;DB$1&amp;""'!$C$4:$C$66""),INDIRECT(""'""&amp;DB$1&amp;""'!$D$4:$D$66"")=DB$2),$G$3:$BQ$3,$G204:$BQ204)))"),0.3908256913333333)</f>
        <v>0.3908256913</v>
      </c>
      <c r="DC204" s="207" t="str">
        <f>IFERROR(__xludf.DUMMYFUNCTION("IF(OR(DB204&gt;$BS204+$BT204*$BT$2,DB204&lt;$BS204-$BT204*$BT$2),AVEDEV(ARRAYFORMULA(XLOOKUP(FILTER(INDIRECT(""'""&amp;DB$1&amp;""'!$C$4:$C$66""),INDIRECT(""'""&amp;DB$1&amp;""'!$D$4:$D$66"")=DB$2),$G$3:$BQ$3,$G204:$BQ204))),"""")"),"")</f>
        <v/>
      </c>
      <c r="DD204" s="251">
        <f>IFERROR(__xludf.DUMMYFUNCTION("AVERAGE(ARRAYFORMULA(XLOOKUP(FILTER(INDIRECT(""'""&amp;DD$1&amp;""'!$C$4:$C$66""),INDIRECT(""'""&amp;DD$1&amp;""'!$D$4:$D$66"")=DD$2),$G$3:$BQ$3,$G204:$BQ204)))"),-0.27851681666666667)</f>
        <v>-0.2785168167</v>
      </c>
      <c r="DE204" s="207" t="str">
        <f>IFERROR(__xludf.DUMMYFUNCTION("IF(OR(DD204&gt;$BS204+$BT204*$BT$2,DD204&lt;$BS204-$BT204*$BT$2),AVEDEV(ARRAYFORMULA(XLOOKUP(FILTER(INDIRECT(""'""&amp;DD$1&amp;""'!$C$4:$C$66""),INDIRECT(""'""&amp;DD$1&amp;""'!$D$4:$D$66"")=DD$2),$G$3:$BQ$3,$G204:$BQ204))),"""")"),"")</f>
        <v/>
      </c>
      <c r="DF204" s="251">
        <f>IFERROR(__xludf.DUMMYFUNCTION("AVERAGE(ARRAYFORMULA(XLOOKUP(FILTER(INDIRECT(""'""&amp;DF$1&amp;""'!$C$4:$C$66""),INDIRECT(""'""&amp;DF$1&amp;""'!$D$4:$D$66"")=DF$2),$G$3:$BQ$3,$G204:$BQ204)))"),-0.014334872499999988)</f>
        <v>-0.0143348725</v>
      </c>
      <c r="DG204" s="207" t="str">
        <f>IFERROR(__xludf.DUMMYFUNCTION("IF(OR(DF204&gt;$BS204+$BT204*$BT$2,DF204&lt;$BS204-$BT204*$BT$2),AVEDEV(ARRAYFORMULA(XLOOKUP(FILTER(INDIRECT(""'""&amp;DF$1&amp;""'!$C$4:$C$66""),INDIRECT(""'""&amp;DF$1&amp;""'!$D$4:$D$66"")=DF$2),$G$3:$BQ$3,$G204:$BQ204))),"""")"),"")</f>
        <v/>
      </c>
      <c r="DH204" s="251">
        <f>IFERROR(__xludf.DUMMYFUNCTION("AVERAGE(ARRAYFORMULA(XLOOKUP(FILTER(INDIRECT(""'""&amp;DH$1&amp;""'!$C$4:$C$66""),INDIRECT(""'""&amp;DH$1&amp;""'!$D$4:$D$66"")=DH$2),$G$3:$BQ$3,$G204:$BQ204)))"),0.08460755000000002)</f>
        <v>0.08460755</v>
      </c>
      <c r="DI204" s="207" t="str">
        <f>IFERROR(__xludf.DUMMYFUNCTION("IF(OR(DH204&gt;$BS204+$BT204*$BT$2,DH204&lt;$BS204-$BT204*$BT$2),AVEDEV(ARRAYFORMULA(XLOOKUP(FILTER(INDIRECT(""'""&amp;DH$1&amp;""'!$C$4:$C$66""),INDIRECT(""'""&amp;DH$1&amp;""'!$D$4:$D$66"")=DH$2),$G$3:$BQ$3,$G204:$BQ204))),"""")"),"")</f>
        <v/>
      </c>
      <c r="DJ204" s="243"/>
    </row>
    <row r="205">
      <c r="A205" s="2"/>
      <c r="B205" s="204">
        <v>201.0</v>
      </c>
      <c r="C205" s="204" t="s">
        <v>646</v>
      </c>
      <c r="D205" s="204" t="s">
        <v>650</v>
      </c>
      <c r="E205" s="205" t="b">
        <f>VLOOKUP(D205,'Feature Set List'!A202:C246,2,0)</f>
        <v>1</v>
      </c>
      <c r="F205" s="205" t="b">
        <f>VLOOKUP(D205,'Feature Set List'!A202:C246,3,0)</f>
        <v>1</v>
      </c>
      <c r="G205" s="205">
        <v>0.67662298</v>
      </c>
      <c r="H205" s="205">
        <v>-0.1901859</v>
      </c>
      <c r="I205" s="205">
        <v>-0.3617799</v>
      </c>
      <c r="J205" s="205">
        <v>-0.4017068</v>
      </c>
      <c r="K205" s="205">
        <v>-1.1694301</v>
      </c>
      <c r="L205" s="205">
        <v>0.51752514</v>
      </c>
      <c r="M205" s="205">
        <v>1.13837245</v>
      </c>
      <c r="N205" s="205">
        <v>-0.348979</v>
      </c>
      <c r="O205" s="205">
        <v>0.25601951</v>
      </c>
      <c r="P205" s="205">
        <v>0.90307833</v>
      </c>
      <c r="Q205" s="205">
        <v>-0.971655</v>
      </c>
      <c r="R205" s="205">
        <v>0.00792441</v>
      </c>
      <c r="S205" s="205">
        <v>1.16915575</v>
      </c>
      <c r="T205" s="205">
        <v>-0.3864675</v>
      </c>
      <c r="U205" s="205">
        <v>0.06400488</v>
      </c>
      <c r="V205" s="205">
        <v>0.16641268</v>
      </c>
      <c r="W205" s="205">
        <v>0.6086559</v>
      </c>
      <c r="X205" s="205">
        <v>0.90795489</v>
      </c>
      <c r="Y205" s="205">
        <v>0.18744285</v>
      </c>
      <c r="Z205" s="205">
        <v>1.79731789</v>
      </c>
      <c r="AA205" s="205">
        <v>0.02590674</v>
      </c>
      <c r="AB205" s="205">
        <v>0.0</v>
      </c>
      <c r="AC205" s="205">
        <v>0.23468455</v>
      </c>
      <c r="AD205" s="205">
        <v>0.77842121</v>
      </c>
      <c r="AE205" s="205">
        <v>-0.110637</v>
      </c>
      <c r="AF205" s="205">
        <v>-0.307833</v>
      </c>
      <c r="AG205" s="205">
        <v>0.92685157</v>
      </c>
      <c r="AH205" s="205">
        <v>-0.0755867</v>
      </c>
      <c r="AI205" s="205">
        <v>-0.2551052</v>
      </c>
      <c r="AJ205" s="205">
        <v>3.95214874</v>
      </c>
      <c r="AK205" s="205">
        <v>-0.676623</v>
      </c>
      <c r="AL205" s="205">
        <v>-0.3852484</v>
      </c>
      <c r="AM205" s="205">
        <v>-0.0420603</v>
      </c>
      <c r="AN205" s="205">
        <v>-0.0387077</v>
      </c>
      <c r="AO205" s="205">
        <v>-0.1398964</v>
      </c>
      <c r="AP205" s="205">
        <v>-1.0149345</v>
      </c>
      <c r="AQ205" s="205">
        <v>0.15117342</v>
      </c>
      <c r="AR205" s="205">
        <v>-0.3529412</v>
      </c>
      <c r="AS205" s="205">
        <v>-0.1011887</v>
      </c>
      <c r="AT205" s="205">
        <v>-0.3175861</v>
      </c>
      <c r="AU205" s="205">
        <v>-1.4486437</v>
      </c>
      <c r="AV205" s="205">
        <v>2.12953368</v>
      </c>
      <c r="AW205" s="205">
        <v>0.99481865</v>
      </c>
      <c r="AX205" s="205">
        <v>-0.6747943</v>
      </c>
      <c r="AY205" s="205">
        <v>1.2316367</v>
      </c>
      <c r="AZ205" s="205">
        <v>-0.2218836</v>
      </c>
      <c r="BA205" s="205">
        <v>0.32246266</v>
      </c>
      <c r="BB205" s="205">
        <v>0.24321853</v>
      </c>
      <c r="BC205" s="205">
        <v>-0.3992685</v>
      </c>
      <c r="BD205" s="205">
        <v>-0.6699177</v>
      </c>
      <c r="BE205" s="205">
        <v>0.4651021</v>
      </c>
      <c r="BF205" s="205">
        <v>0.78756477</v>
      </c>
      <c r="BG205" s="205">
        <v>0.02590674</v>
      </c>
      <c r="BH205" s="205">
        <v>0.73879915</v>
      </c>
      <c r="BI205" s="205">
        <v>-0.1853094</v>
      </c>
      <c r="BJ205" s="205">
        <v>0.48643706</v>
      </c>
      <c r="BK205" s="205">
        <v>-0.6821091</v>
      </c>
      <c r="BL205" s="205">
        <v>-0.6366961</v>
      </c>
      <c r="BM205" s="205">
        <v>-0.2672966</v>
      </c>
      <c r="BN205" s="205">
        <v>-0.9625114</v>
      </c>
      <c r="BO205" s="205">
        <v>2.14782079</v>
      </c>
      <c r="BP205" s="205">
        <v>-0.6208473</v>
      </c>
      <c r="BQ205" s="205">
        <v>1.0716245</v>
      </c>
      <c r="BR205" s="206"/>
      <c r="BS205" s="250">
        <f t="shared" si="1"/>
        <v>0.169789986</v>
      </c>
      <c r="BT205" s="250">
        <f t="shared" si="2"/>
        <v>0.6485244666</v>
      </c>
      <c r="BU205" s="206"/>
      <c r="BV205" s="207">
        <f>IFERROR(__xludf.DUMMYFUNCTION("AVERAGE(ARRAYFORMULA(XLOOKUP(FILTER(INDIRECT(""'""&amp;BV$1&amp;""'!$C$4:$C$66""),INDIRECT(""'""&amp;BV$1&amp;""'!$D$4:$D$66"")=BV$2),$G$3:$BQ$3,$G205:$BQ205)))"),0.3050463714285714)</f>
        <v>0.3050463714</v>
      </c>
      <c r="BW205" s="207" t="str">
        <f>IFERROR(__xludf.DUMMYFUNCTION("IF(OR(BV205&gt;$BS205+$BT205*$BT$2,BV205&lt;$BS205-$BT205*$BT$2),AVEDEV(ARRAYFORMULA(XLOOKUP(FILTER(INDIRECT(""'""&amp;BV$1&amp;""'!$C$4:$C$66""),INDIRECT(""'""&amp;BV$1&amp;""'!$D$4:$D$66"")=BV$2),$G$3:$BQ$3,$G205:$BQ205))),"""")"),"")</f>
        <v/>
      </c>
      <c r="BX205" s="207">
        <f>IFERROR(__xludf.DUMMYFUNCTION("AVERAGE(ARRAYFORMULA(XLOOKUP(FILTER(INDIRECT(""'""&amp;BX$1&amp;""'!$C$4:$C$66""),INDIRECT(""'""&amp;BX$1&amp;""'!$D$4:$D$66"")=BX$2),$G$3:$BQ$3,$G205:$BQ205)))"),0.18740729071428572)</f>
        <v>0.1874072907</v>
      </c>
      <c r="BY205" s="207" t="str">
        <f>IFERROR(__xludf.DUMMYFUNCTION("IF(OR(BX205&gt;$BS205+$BT205*$BT$2,BX205&lt;$BS205-$BT205*$BT$2),AVEDEV(ARRAYFORMULA(XLOOKUP(FILTER(INDIRECT(""'""&amp;BX$1&amp;""'!$C$4:$C$66""),INDIRECT(""'""&amp;BX$1&amp;""'!$D$4:$D$66"")=BX$2),$G$3:$BQ$3,$G205:$BQ205))),"""")"),"")</f>
        <v/>
      </c>
      <c r="BZ205" s="207">
        <f>IFERROR(__xludf.DUMMYFUNCTION("AVERAGE(ARRAYFORMULA(XLOOKUP(FILTER(INDIRECT(""'""&amp;BZ$1&amp;""'!$C$4:$C$66""),INDIRECT(""'""&amp;BZ$1&amp;""'!$D$4:$D$66"")=BZ$2),$G$3:$BQ$3,$G205:$BQ205)))"),0.2882436009090909)</f>
        <v>0.2882436009</v>
      </c>
      <c r="CA205" s="207" t="str">
        <f>IFERROR(__xludf.DUMMYFUNCTION("IF(OR(BZ205&gt;$BS205+$BT205*$BT$2,BZ205&lt;$BS205-$BT205*$BT$2),AVEDEV(ARRAYFORMULA(XLOOKUP(FILTER(INDIRECT(""'""&amp;BZ$1&amp;""'!$C$4:$C$66""),INDIRECT(""'""&amp;BZ$1&amp;""'!$D$4:$D$66"")=BZ$2),$G$3:$BQ$3,$G205:$BQ205))),"""")"),"")</f>
        <v/>
      </c>
      <c r="CB205" s="209"/>
      <c r="CC205" s="207">
        <f>IFERROR(__xludf.DUMMYFUNCTION("AVERAGE(ARRAYFORMULA(XLOOKUP(FILTER(INDIRECT(""'""&amp;CC$1&amp;""'!$C$4:$C$66""),INDIRECT(""'""&amp;CC$1&amp;""'!$D$4:$D$66"")=CC$2),$G$3:$BQ$3,$G205:$BQ205)))"),-0.07194644374999999)</f>
        <v>-0.07194644375</v>
      </c>
      <c r="CD205" s="207" t="str">
        <f>IFERROR(__xludf.DUMMYFUNCTION("IF(OR(CC205&gt;$BS205+$BT205*$BT$2,CC205&lt;$BS205-$BT205*$BT$2),AVEDEV(ARRAYFORMULA(XLOOKUP(FILTER(INDIRECT(""'""&amp;CC$1&amp;""'!$C$4:$C$66""),INDIRECT(""'""&amp;CC$1&amp;""'!$D$4:$D$66"")=CC$2),$G$3:$BQ$3,$G205:$BQ205))),"""")"),"")</f>
        <v/>
      </c>
      <c r="CE205" s="207">
        <f>IFERROR(__xludf.DUMMYFUNCTION("AVERAGE(ARRAYFORMULA(XLOOKUP(FILTER(INDIRECT(""'""&amp;CE$1&amp;""'!$C$4:$C$66""),INDIRECT(""'""&amp;CE$1&amp;""'!$D$4:$D$66"")=CE$2),$G$3:$BQ$3,$G205:$BQ205)))"),0.38398993322580643)</f>
        <v>0.3839899332</v>
      </c>
      <c r="CF205" s="207" t="str">
        <f>IFERROR(__xludf.DUMMYFUNCTION("IF(OR(CE205&gt;$BS205+$BT205*$BT$2,CE205&lt;$BS205-$BT205*$BT$2),AVEDEV(ARRAYFORMULA(XLOOKUP(FILTER(INDIRECT(""'""&amp;CE$1&amp;""'!$C$4:$C$66""),INDIRECT(""'""&amp;CE$1&amp;""'!$D$4:$D$66"")=CE$2),$G$3:$BQ$3,$G205:$BQ205))),"""")"),"")</f>
        <v/>
      </c>
      <c r="CG205" s="207">
        <f>IFERROR(__xludf.DUMMYFUNCTION("AVERAGE(ARRAYFORMULA(XLOOKUP(FILTER(INDIRECT(""'""&amp;CG$1&amp;""'!$C$4:$C$66""),INDIRECT(""'""&amp;CG$1&amp;""'!$D$4:$D$66"")=CG$2),$G$3:$BQ$3,$G205:$BQ205)))"),0.152758306)</f>
        <v>0.152758306</v>
      </c>
      <c r="CH205" s="207" t="str">
        <f>IFERROR(__xludf.DUMMYFUNCTION("IF(OR(CG205&gt;$BS205+$BT205*$BT$2,CG205&lt;$BS205-$BT205*$BT$2),AVEDEV(ARRAYFORMULA(XLOOKUP(FILTER(INDIRECT(""'""&amp;CG$1&amp;""'!$C$4:$C$66""),INDIRECT(""'""&amp;CG$1&amp;""'!$D$4:$D$66"")=CG$2),$G$3:$BQ$3,$G205:$BQ205))),"""")"),"")</f>
        <v/>
      </c>
      <c r="CI205" s="206"/>
      <c r="CJ205" s="251">
        <f>IFERROR(__xludf.DUMMYFUNCTION("AVERAGE(ARRAYFORMULA(XLOOKUP(FILTER(INDIRECT(""'""&amp;CJ$1&amp;""'!$C$4:$C$66""),INDIRECT(""'""&amp;CJ$1&amp;""'!$D$4:$D$66"")=CJ$2),$G$3:$BQ$3,$G205:$BQ205)))"),0.2555115273333333)</f>
        <v>0.2555115273</v>
      </c>
      <c r="CK205" s="207" t="str">
        <f>IFERROR(__xludf.DUMMYFUNCTION("IF(OR(CJ205&gt;$BS205+$BT205*$BT$2,CJ205&lt;$BS205-$BT205*$BT$2),AVEDEV(ARRAYFORMULA(XLOOKUP(FILTER(INDIRECT(""'""&amp;CJ$1&amp;""'!$C$4:$C$66""),INDIRECT(""'""&amp;CJ$1&amp;""'!$D$4:$D$66"")=CJ$2),$G$3:$BQ$3,$G205:$BQ205))),"""")"),"")</f>
        <v/>
      </c>
      <c r="CL205" s="251">
        <f>IFERROR(__xludf.DUMMYFUNCTION("AVERAGE(ARRAYFORMULA(XLOOKUP(FILTER(INDIRECT(""'""&amp;CL$1&amp;""'!$C$4:$C$66""),INDIRECT(""'""&amp;CL$1&amp;""'!$D$4:$D$66"")=CL$2),$G$3:$BQ$3,$G205:$BQ205)))"),0.2363421046153846)</f>
        <v>0.2363421046</v>
      </c>
      <c r="CM205" s="207" t="str">
        <f>IFERROR(__xludf.DUMMYFUNCTION("IF(OR(CL205&gt;$BS205+$BT205*$BT$2,CL205&lt;$BS205-$BT205*$BT$2),AVEDEV(ARRAYFORMULA(XLOOKUP(FILTER(INDIRECT(""'""&amp;CL$1&amp;""'!$C$4:$C$66""),INDIRECT(""'""&amp;CL$1&amp;""'!$D$4:$D$66"")=CL$2),$G$3:$BQ$3,$G205:$BQ205))),"""")"),"")</f>
        <v/>
      </c>
      <c r="CN205" s="251">
        <f>IFERROR(__xludf.DUMMYFUNCTION("AVERAGE(ARRAYFORMULA(XLOOKUP(FILTER(INDIRECT(""'""&amp;CN$1&amp;""'!$C$4:$C$66""),INDIRECT(""'""&amp;CN$1&amp;""'!$D$4:$D$66"")=CN$2),$G$3:$BQ$3,$G205:$BQ205)))"),0.152758306)</f>
        <v>0.152758306</v>
      </c>
      <c r="CO205" s="207" t="str">
        <f>IFERROR(__xludf.DUMMYFUNCTION("IF(OR(CN205&gt;$BS205+$BT205*$BT$2,CN205&lt;$BS205-$BT205*$BT$2),AVEDEV(ARRAYFORMULA(XLOOKUP(FILTER(INDIRECT(""'""&amp;CN$1&amp;""'!$C$4:$C$66""),INDIRECT(""'""&amp;CN$1&amp;""'!$D$4:$D$66"")=CN$2),$G$3:$BQ$3,$G205:$BQ205))),"""")"),"")</f>
        <v/>
      </c>
      <c r="CP205" s="252"/>
      <c r="CQ205" s="251">
        <f>IFERROR(__xludf.DUMMYFUNCTION("AVERAGE(ARRAYFORMULA(XLOOKUP(FILTER(INDIRECT(""'""&amp;CQ$1&amp;""'!$C$4:$C$66""),INDIRECT(""'""&amp;CQ$1&amp;""'!$D$4:$D$66"")=CQ$2),$G$3:$BQ$3,$G205:$BQ205)))"),-0.07419341499999998)</f>
        <v>-0.074193415</v>
      </c>
      <c r="CR205" s="207" t="str">
        <f>IFERROR(__xludf.DUMMYFUNCTION("IF(OR(CQ205&gt;$BS205+$BT205*$BT$2,CQ205&lt;$BS205-$BT205*$BT$2),AVEDEV(ARRAYFORMULA(XLOOKUP(FILTER(INDIRECT(""'""&amp;CQ$1&amp;""'!$C$4:$C$66""),INDIRECT(""'""&amp;CQ$1&amp;""'!$D$4:$D$66"")=CQ$2),$G$3:$BQ$3,$G205:$BQ205))),"""")"),"")</f>
        <v/>
      </c>
      <c r="CS205" s="251">
        <f>IFERROR(__xludf.DUMMYFUNCTION("AVERAGE(ARRAYFORMULA(XLOOKUP(FILTER(INDIRECT(""'""&amp;CS$1&amp;""'!$C$4:$C$66""),INDIRECT(""'""&amp;CS$1&amp;""'!$D$4:$D$66"")=CS$2),$G$3:$BQ$3,$G205:$BQ205)))"),0.40665109)</f>
        <v>0.40665109</v>
      </c>
      <c r="CT205" s="207" t="str">
        <f>IFERROR(__xludf.DUMMYFUNCTION("IF(OR(CS205&gt;$BS205+$BT205*$BT$2,CS205&lt;$BS205-$BT205*$BT$2),AVEDEV(ARRAYFORMULA(XLOOKUP(FILTER(INDIRECT(""'""&amp;CS$1&amp;""'!$C$4:$C$66""),INDIRECT(""'""&amp;CS$1&amp;""'!$D$4:$D$66"")=CS$2),$G$3:$BQ$3,$G205:$BQ205))),"""")"),"")</f>
        <v/>
      </c>
      <c r="CU205" s="251">
        <f>IFERROR(__xludf.DUMMYFUNCTION("AVERAGE(ARRAYFORMULA(XLOOKUP(FILTER(INDIRECT(""'""&amp;CU$1&amp;""'!$C$4:$C$66""),INDIRECT(""'""&amp;CU$1&amp;""'!$D$4:$D$66"")=CU$2),$G$3:$BQ$3,$G205:$BQ205)))"),0.46144468636363634)</f>
        <v>0.4614446864</v>
      </c>
      <c r="CV205" s="207" t="str">
        <f>IFERROR(__xludf.DUMMYFUNCTION("IF(OR(CU205&gt;$BS205+$BT205*$BT$2,CU205&lt;$BS205-$BT205*$BT$2),AVEDEV(ARRAYFORMULA(XLOOKUP(FILTER(INDIRECT(""'""&amp;CU$1&amp;""'!$C$4:$C$66""),INDIRECT(""'""&amp;CU$1&amp;""'!$D$4:$D$66"")=CU$2),$G$3:$BQ$3,$G205:$BQ205))),"""")"),"")</f>
        <v/>
      </c>
      <c r="CW205" s="251">
        <f>IFERROR(__xludf.DUMMYFUNCTION("AVERAGE(ARRAYFORMULA(XLOOKUP(FILTER(INDIRECT(""'""&amp;CW$1&amp;""'!$C$4:$C$66""),INDIRECT(""'""&amp;CW$1&amp;""'!$D$4:$D$66"")=CW$2),$G$3:$BQ$3,$G205:$BQ205)))"),0.75861018)</f>
        <v>0.75861018</v>
      </c>
      <c r="CX205" s="207" t="str">
        <f>IFERROR(__xludf.DUMMYFUNCTION("IF(OR(CW205&gt;$BS205+$BT205*$BT$2,CW205&lt;$BS205-$BT205*$BT$2),AVEDEV(ARRAYFORMULA(XLOOKUP(FILTER(INDIRECT(""'""&amp;CW$1&amp;""'!$C$4:$C$66""),INDIRECT(""'""&amp;CW$1&amp;""'!$D$4:$D$66"")=CW$2),$G$3:$BQ$3,$G205:$BQ205))),"""")"),"")</f>
        <v/>
      </c>
      <c r="CY205" s="251">
        <f>IFERROR(__xludf.DUMMYFUNCTION("AVERAGE(ARRAYFORMULA(XLOOKUP(FILTER(INDIRECT(""'""&amp;CY$1&amp;""'!$C$4:$C$66""),INDIRECT(""'""&amp;CY$1&amp;""'!$D$4:$D$66"")=CY$2),$G$3:$BQ$3,$G205:$BQ205)))"),0.24038837928571427)</f>
        <v>0.2403883793</v>
      </c>
      <c r="CZ205" s="207" t="str">
        <f>IFERROR(__xludf.DUMMYFUNCTION("IF(OR(CY205&gt;$BS205+$BT205*$BT$2,CY205&lt;$BS205-$BT205*$BT$2),AVEDEV(ARRAYFORMULA(XLOOKUP(FILTER(INDIRECT(""'""&amp;CY$1&amp;""'!$C$4:$C$66""),INDIRECT(""'""&amp;CY$1&amp;""'!$D$4:$D$66"")=CY$2),$G$3:$BQ$3,$G205:$BQ205))),"""")"),"")</f>
        <v/>
      </c>
      <c r="DA205" s="252"/>
      <c r="DB205" s="251">
        <f>IFERROR(__xludf.DUMMYFUNCTION("AVERAGE(ARRAYFORMULA(XLOOKUP(FILTER(INDIRECT(""'""&amp;DB$1&amp;""'!$C$4:$C$66""),INDIRECT(""'""&amp;DB$1&amp;""'!$D$4:$D$66"")=DB$2),$G$3:$BQ$3,$G205:$BQ205)))"),-0.072080673)</f>
        <v>-0.072080673</v>
      </c>
      <c r="DC205" s="207" t="str">
        <f>IFERROR(__xludf.DUMMYFUNCTION("IF(OR(DB205&gt;$BS205+$BT205*$BT$2,DB205&lt;$BS205-$BT205*$BT$2),AVEDEV(ARRAYFORMULA(XLOOKUP(FILTER(INDIRECT(""'""&amp;DB$1&amp;""'!$C$4:$C$66""),INDIRECT(""'""&amp;DB$1&amp;""'!$D$4:$D$66"")=DB$2),$G$3:$BQ$3,$G205:$BQ205))),"""")"),"")</f>
        <v/>
      </c>
      <c r="DD205" s="251">
        <f>IFERROR(__xludf.DUMMYFUNCTION("AVERAGE(ARRAYFORMULA(XLOOKUP(FILTER(INDIRECT(""'""&amp;DD$1&amp;""'!$C$4:$C$66""),INDIRECT(""'""&amp;DD$1&amp;""'!$D$4:$D$66"")=DD$2),$G$3:$BQ$3,$G205:$BQ205)))"),0.6269430044444445)</f>
        <v>0.6269430044</v>
      </c>
      <c r="DE205" s="207" t="str">
        <f>IFERROR(__xludf.DUMMYFUNCTION("IF(OR(DD205&gt;$BS205+$BT205*$BT$2,DD205&lt;$BS205-$BT205*$BT$2),AVEDEV(ARRAYFORMULA(XLOOKUP(FILTER(INDIRECT(""'""&amp;DD$1&amp;""'!$C$4:$C$66""),INDIRECT(""'""&amp;DD$1&amp;""'!$D$4:$D$66"")=DD$2),$G$3:$BQ$3,$G205:$BQ205))),"""")"),"")</f>
        <v/>
      </c>
      <c r="DF205" s="251">
        <f>IFERROR(__xludf.DUMMYFUNCTION("AVERAGE(ARRAYFORMULA(XLOOKUP(FILTER(INDIRECT(""'""&amp;DF$1&amp;""'!$C$4:$C$66""),INDIRECT(""'""&amp;DF$1&amp;""'!$D$4:$D$66"")=DF$2),$G$3:$BQ$3,$G205:$BQ205)))"),0.81061414125)</f>
        <v>0.8106141413</v>
      </c>
      <c r="DG205" s="207" t="str">
        <f>IFERROR(__xludf.DUMMYFUNCTION("IF(OR(DF205&gt;$BS205+$BT205*$BT$2,DF205&lt;$BS205-$BT205*$BT$2),AVEDEV(ARRAYFORMULA(XLOOKUP(FILTER(INDIRECT(""'""&amp;DF$1&amp;""'!$C$4:$C$66""),INDIRECT(""'""&amp;DF$1&amp;""'!$D$4:$D$66"")=DF$2),$G$3:$BQ$3,$G205:$BQ205))),"""")"),"")</f>
        <v/>
      </c>
      <c r="DH205" s="251">
        <f>IFERROR(__xludf.DUMMYFUNCTION("AVERAGE(ARRAYFORMULA(XLOOKUP(FILTER(INDIRECT(""'""&amp;DH$1&amp;""'!$C$4:$C$66""),INDIRECT(""'""&amp;DH$1&amp;""'!$D$4:$D$66"")=DH$2),$G$3:$BQ$3,$G205:$BQ205)))"),0.38152325)</f>
        <v>0.38152325</v>
      </c>
      <c r="DI205" s="207" t="str">
        <f>IFERROR(__xludf.DUMMYFUNCTION("IF(OR(DH205&gt;$BS205+$BT205*$BT$2,DH205&lt;$BS205-$BT205*$BT$2),AVEDEV(ARRAYFORMULA(XLOOKUP(FILTER(INDIRECT(""'""&amp;DH$1&amp;""'!$C$4:$C$66""),INDIRECT(""'""&amp;DH$1&amp;""'!$D$4:$D$66"")=DH$2),$G$3:$BQ$3,$G205:$BQ205))),"""")"),"")</f>
        <v/>
      </c>
      <c r="DJ205" s="243"/>
    </row>
    <row r="206">
      <c r="A206" s="2"/>
      <c r="B206" s="204">
        <v>202.0</v>
      </c>
      <c r="C206" s="204" t="s">
        <v>646</v>
      </c>
      <c r="D206" s="204" t="s">
        <v>651</v>
      </c>
      <c r="E206" s="205" t="b">
        <f>VLOOKUP(D206,'Feature Set List'!A203:C246,2,0)</f>
        <v>1</v>
      </c>
      <c r="F206" s="205" t="b">
        <f>VLOOKUP(D206,'Feature Set List'!A203:C246,3,0)</f>
        <v>1</v>
      </c>
      <c r="G206" s="205">
        <v>0.09439266</v>
      </c>
      <c r="H206" s="205">
        <v>0.25477142</v>
      </c>
      <c r="I206" s="205">
        <v>-1.4863145</v>
      </c>
      <c r="J206" s="205">
        <v>-0.7601716</v>
      </c>
      <c r="K206" s="205">
        <v>0.1843468</v>
      </c>
      <c r="L206" s="205">
        <v>0.79567983</v>
      </c>
      <c r="M206" s="205">
        <v>-0.5731617</v>
      </c>
      <c r="N206" s="205">
        <v>0.10534103</v>
      </c>
      <c r="O206" s="205">
        <v>-0.2666075</v>
      </c>
      <c r="P206" s="205">
        <v>0.17221482</v>
      </c>
      <c r="Q206" s="205">
        <v>-0.0281107</v>
      </c>
      <c r="R206" s="205">
        <v>-0.1985501</v>
      </c>
      <c r="S206" s="205">
        <v>0.91433644</v>
      </c>
      <c r="T206" s="205">
        <v>1.0918775</v>
      </c>
      <c r="U206" s="205">
        <v>-0.8746856</v>
      </c>
      <c r="V206" s="205">
        <v>-0.3216452</v>
      </c>
      <c r="W206" s="205">
        <v>0.0</v>
      </c>
      <c r="X206" s="205">
        <v>1.009025</v>
      </c>
      <c r="Y206" s="205">
        <v>0.14380826</v>
      </c>
      <c r="Z206" s="205">
        <v>-0.0864033</v>
      </c>
      <c r="AA206" s="205">
        <v>-0.0062139</v>
      </c>
      <c r="AB206" s="205">
        <v>-1.1001627</v>
      </c>
      <c r="AC206" s="205">
        <v>0.37106081</v>
      </c>
      <c r="AD206" s="205">
        <v>0.91433644</v>
      </c>
      <c r="AE206" s="205">
        <v>0.90545939</v>
      </c>
      <c r="AF206" s="205">
        <v>0.33170587</v>
      </c>
      <c r="AG206" s="205">
        <v>0.554224</v>
      </c>
      <c r="AH206" s="205">
        <v>-0.418701</v>
      </c>
      <c r="AI206" s="205">
        <v>-0.7977511</v>
      </c>
      <c r="AJ206" s="205">
        <v>-0.5548158</v>
      </c>
      <c r="AK206" s="205">
        <v>-0.2796272</v>
      </c>
      <c r="AL206" s="205">
        <v>0.20328451</v>
      </c>
      <c r="AM206" s="205">
        <v>0.19411155</v>
      </c>
      <c r="AN206" s="205">
        <v>-0.3467969</v>
      </c>
      <c r="AO206" s="205">
        <v>-0.0659861</v>
      </c>
      <c r="AP206" s="205">
        <v>-1.3419145</v>
      </c>
      <c r="AQ206" s="205">
        <v>-0.0606599</v>
      </c>
      <c r="AR206" s="205">
        <v>1.69255807</v>
      </c>
      <c r="AS206" s="205">
        <v>-0.3642551</v>
      </c>
      <c r="AT206" s="205">
        <v>-0.5971298</v>
      </c>
      <c r="AU206" s="205">
        <v>-2.0565172</v>
      </c>
      <c r="AV206" s="205">
        <v>0.43586329</v>
      </c>
      <c r="AW206" s="205">
        <v>0.8912561</v>
      </c>
      <c r="AX206" s="205">
        <v>-0.469892</v>
      </c>
      <c r="AY206" s="205">
        <v>0.80781181</v>
      </c>
      <c r="AZ206" s="205">
        <v>-0.6122207</v>
      </c>
      <c r="BA206" s="205">
        <v>0.77970114</v>
      </c>
      <c r="BB206" s="205">
        <v>0.99422992</v>
      </c>
      <c r="BC206" s="205">
        <v>0.40775263</v>
      </c>
      <c r="BD206" s="205">
        <v>-0.3278592</v>
      </c>
      <c r="BE206" s="205">
        <v>-0.2932386</v>
      </c>
      <c r="BF206" s="205">
        <v>0.55718302</v>
      </c>
      <c r="BG206" s="205">
        <v>0.8406569</v>
      </c>
      <c r="BH206" s="205">
        <v>0.74034621</v>
      </c>
      <c r="BI206" s="205">
        <v>0.01301968</v>
      </c>
      <c r="BJ206" s="205">
        <v>-0.5193076</v>
      </c>
      <c r="BK206" s="205">
        <v>-0.6060068</v>
      </c>
      <c r="BL206" s="205">
        <v>-1.5821867</v>
      </c>
      <c r="BM206" s="205">
        <v>-0.1269419</v>
      </c>
      <c r="BN206" s="205">
        <v>0.76697736</v>
      </c>
      <c r="BO206" s="205">
        <v>0.87113478</v>
      </c>
      <c r="BP206" s="205">
        <v>-0.7607634</v>
      </c>
      <c r="BQ206" s="205">
        <v>0.04142625</v>
      </c>
      <c r="BR206" s="206"/>
      <c r="BS206" s="250">
        <f t="shared" si="1"/>
        <v>0.003099923651</v>
      </c>
      <c r="BT206" s="250">
        <f t="shared" si="2"/>
        <v>0.5709141542</v>
      </c>
      <c r="BU206" s="206"/>
      <c r="BV206" s="207">
        <f>IFERROR(__xludf.DUMMYFUNCTION("AVERAGE(ARRAYFORMULA(XLOOKUP(FILTER(INDIRECT(""'""&amp;BV$1&amp;""'!$C$4:$C$66""),INDIRECT(""'""&amp;BV$1&amp;""'!$D$4:$D$66"")=BV$2),$G$3:$BQ$3,$G206:$BQ206)))"),-7.186100000000005E-4)</f>
        <v>-0.00071861</v>
      </c>
      <c r="BW206" s="207" t="str">
        <f>IFERROR(__xludf.DUMMYFUNCTION("IF(OR(BV206&gt;$BS206+$BT206*$BT$2,BV206&lt;$BS206-$BT206*$BT$2),AVEDEV(ARRAYFORMULA(XLOOKUP(FILTER(INDIRECT(""'""&amp;BV$1&amp;""'!$C$4:$C$66""),INDIRECT(""'""&amp;BV$1&amp;""'!$D$4:$D$66"")=BV$2),$G$3:$BQ$3,$G206:$BQ206))),"""")"),"")</f>
        <v/>
      </c>
      <c r="BX206" s="207">
        <f>IFERROR(__xludf.DUMMYFUNCTION("AVERAGE(ARRAYFORMULA(XLOOKUP(FILTER(INDIRECT(""'""&amp;BX$1&amp;""'!$C$4:$C$66""),INDIRECT(""'""&amp;BX$1&amp;""'!$D$4:$D$66"")=BX$2),$G$3:$BQ$3,$G206:$BQ206)))"),0.04699906142857143)</f>
        <v>0.04699906143</v>
      </c>
      <c r="BY206" s="207" t="str">
        <f>IFERROR(__xludf.DUMMYFUNCTION("IF(OR(BX206&gt;$BS206+$BT206*$BT$2,BX206&lt;$BS206-$BT206*$BT$2),AVEDEV(ARRAYFORMULA(XLOOKUP(FILTER(INDIRECT(""'""&amp;BX$1&amp;""'!$C$4:$C$66""),INDIRECT(""'""&amp;BX$1&amp;""'!$D$4:$D$66"")=BX$2),$G$3:$BQ$3,$G206:$BQ206))),"""")"),"")</f>
        <v/>
      </c>
      <c r="BZ206" s="207">
        <f>IFERROR(__xludf.DUMMYFUNCTION("AVERAGE(ARRAYFORMULA(XLOOKUP(FILTER(INDIRECT(""'""&amp;BZ$1&amp;""'!$C$4:$C$66""),INDIRECT(""'""&amp;BZ$1&amp;""'!$D$4:$D$66"")=BZ$2),$G$3:$BQ$3,$G206:$BQ206)))"),0.19064143454545457)</f>
        <v>0.1906414345</v>
      </c>
      <c r="CA206" s="207" t="str">
        <f>IFERROR(__xludf.DUMMYFUNCTION("IF(OR(BZ206&gt;$BS206+$BT206*$BT$2,BZ206&lt;$BS206-$BT206*$BT$2),AVEDEV(ARRAYFORMULA(XLOOKUP(FILTER(INDIRECT(""'""&amp;BZ$1&amp;""'!$C$4:$C$66""),INDIRECT(""'""&amp;BZ$1&amp;""'!$D$4:$D$66"")=BZ$2),$G$3:$BQ$3,$G206:$BQ206))),"""")"),"")</f>
        <v/>
      </c>
      <c r="CB206" s="209"/>
      <c r="CC206" s="207">
        <f>IFERROR(__xludf.DUMMYFUNCTION("AVERAGE(ARRAYFORMULA(XLOOKUP(FILTER(INDIRECT(""'""&amp;CC$1&amp;""'!$C$4:$C$66""),INDIRECT(""'""&amp;CC$1&amp;""'!$D$4:$D$66"")=CC$2),$G$3:$BQ$3,$G206:$BQ206)))"),-0.03667332624999997)</f>
        <v>-0.03667332625</v>
      </c>
      <c r="CD206" s="207" t="str">
        <f>IFERROR(__xludf.DUMMYFUNCTION("IF(OR(CC206&gt;$BS206+$BT206*$BT$2,CC206&lt;$BS206-$BT206*$BT$2),AVEDEV(ARRAYFORMULA(XLOOKUP(FILTER(INDIRECT(""'""&amp;CC$1&amp;""'!$C$4:$C$66""),INDIRECT(""'""&amp;CC$1&amp;""'!$D$4:$D$66"")=CC$2),$G$3:$BQ$3,$G206:$BQ206))),"""")"),"")</f>
        <v/>
      </c>
      <c r="CE206" s="207">
        <f>IFERROR(__xludf.DUMMYFUNCTION("AVERAGE(ARRAYFORMULA(XLOOKUP(FILTER(INDIRECT(""'""&amp;CE$1&amp;""'!$C$4:$C$66""),INDIRECT(""'""&amp;CE$1&amp;""'!$D$4:$D$66"")=CE$2),$G$3:$BQ$3,$G206:$BQ206)))"),0.02291807225806452)</f>
        <v>0.02291807226</v>
      </c>
      <c r="CF206" s="207" t="str">
        <f>IFERROR(__xludf.DUMMYFUNCTION("IF(OR(CE206&gt;$BS206+$BT206*$BT$2,CE206&lt;$BS206-$BT206*$BT$2),AVEDEV(ARRAYFORMULA(XLOOKUP(FILTER(INDIRECT(""'""&amp;CE$1&amp;""'!$C$4:$C$66""),INDIRECT(""'""&amp;CE$1&amp;""'!$D$4:$D$66"")=CE$2),$G$3:$BQ$3,$G206:$BQ206))),"""")"),"")</f>
        <v/>
      </c>
      <c r="CG206" s="207">
        <f>IFERROR(__xludf.DUMMYFUNCTION("AVERAGE(ARRAYFORMULA(XLOOKUP(FILTER(INDIRECT(""'""&amp;CG$1&amp;""'!$C$4:$C$66""),INDIRECT(""'""&amp;CG$1&amp;""'!$D$4:$D$66"")=CG$2),$G$3:$BQ$3,$G206:$BQ206)))"),0.504039052)</f>
        <v>0.504039052</v>
      </c>
      <c r="CH206" s="207" t="str">
        <f>IFERROR(__xludf.DUMMYFUNCTION("IF(OR(CG206&gt;$BS206+$BT206*$BT$2,CG206&lt;$BS206-$BT206*$BT$2),AVEDEV(ARRAYFORMULA(XLOOKUP(FILTER(INDIRECT(""'""&amp;CG$1&amp;""'!$C$4:$C$66""),INDIRECT(""'""&amp;CG$1&amp;""'!$D$4:$D$66"")=CG$2),$G$3:$BQ$3,$G206:$BQ206))),"""")"),"")</f>
        <v/>
      </c>
      <c r="CI206" s="206"/>
      <c r="CJ206" s="251">
        <f>IFERROR(__xludf.DUMMYFUNCTION("AVERAGE(ARRAYFORMULA(XLOOKUP(FILTER(INDIRECT(""'""&amp;CJ$1&amp;""'!$C$4:$C$66""),INDIRECT(""'""&amp;CJ$1&amp;""'!$D$4:$D$66"")=CJ$2),$G$3:$BQ$3,$G206:$BQ206)))"),0.07182522333333334)</f>
        <v>0.07182522333</v>
      </c>
      <c r="CK206" s="207" t="str">
        <f>IFERROR(__xludf.DUMMYFUNCTION("IF(OR(CJ206&gt;$BS206+$BT206*$BT$2,CJ206&lt;$BS206-$BT206*$BT$2),AVEDEV(ARRAYFORMULA(XLOOKUP(FILTER(INDIRECT(""'""&amp;CJ$1&amp;""'!$C$4:$C$66""),INDIRECT(""'""&amp;CJ$1&amp;""'!$D$4:$D$66"")=CJ$2),$G$3:$BQ$3,$G206:$BQ206))),"""")"),"")</f>
        <v/>
      </c>
      <c r="CL206" s="251">
        <f>IFERROR(__xludf.DUMMYFUNCTION("AVERAGE(ARRAYFORMULA(XLOOKUP(FILTER(INDIRECT(""'""&amp;CL$1&amp;""'!$C$4:$C$66""),INDIRECT(""'""&amp;CL$1&amp;""'!$D$4:$D$66"")=CL$2),$G$3:$BQ$3,$G206:$BQ206)))"),0.05257946615384617)</f>
        <v>0.05257946615</v>
      </c>
      <c r="CM206" s="207" t="str">
        <f>IFERROR(__xludf.DUMMYFUNCTION("IF(OR(CL206&gt;$BS206+$BT206*$BT$2,CL206&lt;$BS206-$BT206*$BT$2),AVEDEV(ARRAYFORMULA(XLOOKUP(FILTER(INDIRECT(""'""&amp;CL$1&amp;""'!$C$4:$C$66""),INDIRECT(""'""&amp;CL$1&amp;""'!$D$4:$D$66"")=CL$2),$G$3:$BQ$3,$G206:$BQ206))),"""")"),"")</f>
        <v/>
      </c>
      <c r="CN206" s="251">
        <f>IFERROR(__xludf.DUMMYFUNCTION("AVERAGE(ARRAYFORMULA(XLOOKUP(FILTER(INDIRECT(""'""&amp;CN$1&amp;""'!$C$4:$C$66""),INDIRECT(""'""&amp;CN$1&amp;""'!$D$4:$D$66"")=CN$2),$G$3:$BQ$3,$G206:$BQ206)))"),0.504039052)</f>
        <v>0.504039052</v>
      </c>
      <c r="CO206" s="207" t="str">
        <f>IFERROR(__xludf.DUMMYFUNCTION("IF(OR(CN206&gt;$BS206+$BT206*$BT$2,CN206&lt;$BS206-$BT206*$BT$2),AVEDEV(ARRAYFORMULA(XLOOKUP(FILTER(INDIRECT(""'""&amp;CN$1&amp;""'!$C$4:$C$66""),INDIRECT(""'""&amp;CN$1&amp;""'!$D$4:$D$66"")=CN$2),$G$3:$BQ$3,$G206:$BQ206))),"""")"),"")</f>
        <v/>
      </c>
      <c r="CP206" s="252"/>
      <c r="CQ206" s="251">
        <f>IFERROR(__xludf.DUMMYFUNCTION("AVERAGE(ARRAYFORMULA(XLOOKUP(FILTER(INDIRECT(""'""&amp;CQ$1&amp;""'!$C$4:$C$66""),INDIRECT(""'""&amp;CQ$1&amp;""'!$D$4:$D$66"")=CQ$2),$G$3:$BQ$3,$G206:$BQ206)))"),-0.0497326307142857)</f>
        <v>-0.04973263071</v>
      </c>
      <c r="CR206" s="207" t="str">
        <f>IFERROR(__xludf.DUMMYFUNCTION("IF(OR(CQ206&gt;$BS206+$BT206*$BT$2,CQ206&lt;$BS206-$BT206*$BT$2),AVEDEV(ARRAYFORMULA(XLOOKUP(FILTER(INDIRECT(""'""&amp;CQ$1&amp;""'!$C$4:$C$66""),INDIRECT(""'""&amp;CQ$1&amp;""'!$D$4:$D$66"")=CQ$2),$G$3:$BQ$3,$G206:$BQ206))),"""")"),"")</f>
        <v/>
      </c>
      <c r="CS206" s="251">
        <f>IFERROR(__xludf.DUMMYFUNCTION("AVERAGE(ARRAYFORMULA(XLOOKUP(FILTER(INDIRECT(""'""&amp;CS$1&amp;""'!$C$4:$C$66""),INDIRECT(""'""&amp;CS$1&amp;""'!$D$4:$D$66"")=CS$2),$G$3:$BQ$3,$G206:$BQ206)))"),0.31513537555555554)</f>
        <v>0.3151353756</v>
      </c>
      <c r="CT206" s="207" t="str">
        <f>IFERROR(__xludf.DUMMYFUNCTION("IF(OR(CS206&gt;$BS206+$BT206*$BT$2,CS206&lt;$BS206-$BT206*$BT$2),AVEDEV(ARRAYFORMULA(XLOOKUP(FILTER(INDIRECT(""'""&amp;CS$1&amp;""'!$C$4:$C$66""),INDIRECT(""'""&amp;CS$1&amp;""'!$D$4:$D$66"")=CS$2),$G$3:$BQ$3,$G206:$BQ206))),"""")"),"")</f>
        <v/>
      </c>
      <c r="CU206" s="251">
        <f>IFERROR(__xludf.DUMMYFUNCTION("AVERAGE(ARRAYFORMULA(XLOOKUP(FILTER(INDIRECT(""'""&amp;CU$1&amp;""'!$C$4:$C$66""),INDIRECT(""'""&amp;CU$1&amp;""'!$D$4:$D$66"")=CU$2),$G$3:$BQ$3,$G206:$BQ206)))"),0.08115778818181817)</f>
        <v>0.08115778818</v>
      </c>
      <c r="CV206" s="207" t="str">
        <f>IFERROR(__xludf.DUMMYFUNCTION("IF(OR(CU206&gt;$BS206+$BT206*$BT$2,CU206&lt;$BS206-$BT206*$BT$2),AVEDEV(ARRAYFORMULA(XLOOKUP(FILTER(INDIRECT(""'""&amp;CU$1&amp;""'!$C$4:$C$66""),INDIRECT(""'""&amp;CU$1&amp;""'!$D$4:$D$66"")=CU$2),$G$3:$BQ$3,$G206:$BQ206))),"""")"),"")</f>
        <v/>
      </c>
      <c r="CW206" s="251">
        <f>IFERROR(__xludf.DUMMYFUNCTION("AVERAGE(ARRAYFORMULA(XLOOKUP(FILTER(INDIRECT(""'""&amp;CW$1&amp;""'!$C$4:$C$66""),INDIRECT(""'""&amp;CW$1&amp;""'!$D$4:$D$66"")=CW$2),$G$3:$BQ$3,$G206:$BQ206)))"),0.827341325)</f>
        <v>0.827341325</v>
      </c>
      <c r="CX206" s="207">
        <f>IFERROR(__xludf.DUMMYFUNCTION("IF(OR(CW206&gt;$BS206+$BT206*$BT$2,CW206&lt;$BS206-$BT206*$BT$2),AVEDEV(ARRAYFORMULA(XLOOKUP(FILTER(INDIRECT(""'""&amp;CW$1&amp;""'!$C$4:$C$66""),INDIRECT(""'""&amp;CW$1&amp;""'!$D$4:$D$66"")=CW$2),$G$3:$BQ$3,$G206:$BQ206))),"""")"),0.08699511500000001)</f>
        <v>0.086995115</v>
      </c>
      <c r="CY206" s="251">
        <f>IFERROR(__xludf.DUMMYFUNCTION("AVERAGE(ARRAYFORMULA(XLOOKUP(FILTER(INDIRECT(""'""&amp;CY$1&amp;""'!$C$4:$C$66""),INDIRECT(""'""&amp;CY$1&amp;""'!$D$4:$D$66"")=CY$2),$G$3:$BQ$3,$G206:$BQ206)))"),-0.02210809357142855)</f>
        <v>-0.02210809357</v>
      </c>
      <c r="CZ206" s="207" t="str">
        <f>IFERROR(__xludf.DUMMYFUNCTION("IF(OR(CY206&gt;$BS206+$BT206*$BT$2,CY206&lt;$BS206-$BT206*$BT$2),AVEDEV(ARRAYFORMULA(XLOOKUP(FILTER(INDIRECT(""'""&amp;CY$1&amp;""'!$C$4:$C$66""),INDIRECT(""'""&amp;CY$1&amp;""'!$D$4:$D$66"")=CY$2),$G$3:$BQ$3,$G206:$BQ206))),"""")"),"")</f>
        <v/>
      </c>
      <c r="DA206" s="252"/>
      <c r="DB206" s="251">
        <f>IFERROR(__xludf.DUMMYFUNCTION("AVERAGE(ARRAYFORMULA(XLOOKUP(FILTER(INDIRECT(""'""&amp;DB$1&amp;""'!$C$4:$C$66""),INDIRECT(""'""&amp;DB$1&amp;""'!$D$4:$D$66"")=DB$2),$G$3:$BQ$3,$G206:$BQ206)))"),-0.11185086466666666)</f>
        <v>-0.1118508647</v>
      </c>
      <c r="DC206" s="207" t="str">
        <f>IFERROR(__xludf.DUMMYFUNCTION("IF(OR(DB206&gt;$BS206+$BT206*$BT$2,DB206&lt;$BS206-$BT206*$BT$2),AVEDEV(ARRAYFORMULA(XLOOKUP(FILTER(INDIRECT(""'""&amp;DB$1&amp;""'!$C$4:$C$66""),INDIRECT(""'""&amp;DB$1&amp;""'!$D$4:$D$66"")=DB$2),$G$3:$BQ$3,$G206:$BQ206))),"""")"),"")</f>
        <v/>
      </c>
      <c r="DD206" s="251">
        <f>IFERROR(__xludf.DUMMYFUNCTION("AVERAGE(ARRAYFORMULA(XLOOKUP(FILTER(INDIRECT(""'""&amp;DD$1&amp;""'!$C$4:$C$66""),INDIRECT(""'""&amp;DD$1&amp;""'!$D$4:$D$66"")=DD$2),$G$3:$BQ$3,$G206:$BQ206)))"),0.2966250711111111)</f>
        <v>0.2966250711</v>
      </c>
      <c r="DE206" s="207" t="str">
        <f>IFERROR(__xludf.DUMMYFUNCTION("IF(OR(DD206&gt;$BS206+$BT206*$BT$2,DD206&lt;$BS206-$BT206*$BT$2),AVEDEV(ARRAYFORMULA(XLOOKUP(FILTER(INDIRECT(""'""&amp;DD$1&amp;""'!$C$4:$C$66""),INDIRECT(""'""&amp;DD$1&amp;""'!$D$4:$D$66"")=DD$2),$G$3:$BQ$3,$G206:$BQ206))),"""")"),"")</f>
        <v/>
      </c>
      <c r="DF206" s="251">
        <f>IFERROR(__xludf.DUMMYFUNCTION("AVERAGE(ARRAYFORMULA(XLOOKUP(FILTER(INDIRECT(""'""&amp;DF$1&amp;""'!$C$4:$C$66""),INDIRECT(""'""&amp;DF$1&amp;""'!$D$4:$D$66"")=DF$2),$G$3:$BQ$3,$G206:$BQ206)))"),-0.09886816875)</f>
        <v>-0.09886816875</v>
      </c>
      <c r="DG206" s="207" t="str">
        <f>IFERROR(__xludf.DUMMYFUNCTION("IF(OR(DF206&gt;$BS206+$BT206*$BT$2,DF206&lt;$BS206-$BT206*$BT$2),AVEDEV(ARRAYFORMULA(XLOOKUP(FILTER(INDIRECT(""'""&amp;DF$1&amp;""'!$C$4:$C$66""),INDIRECT(""'""&amp;DF$1&amp;""'!$D$4:$D$66"")=DF$2),$G$3:$BQ$3,$G206:$BQ206))),"""")"),"")</f>
        <v/>
      </c>
      <c r="DH206" s="251">
        <f>IFERROR(__xludf.DUMMYFUNCTION("AVERAGE(ARRAYFORMULA(XLOOKUP(FILTER(INDIRECT(""'""&amp;DH$1&amp;""'!$C$4:$C$66""),INDIRECT(""'""&amp;DH$1&amp;""'!$D$4:$D$66"")=DH$2),$G$3:$BQ$3,$G206:$BQ206)))"),0.49882460777777776)</f>
        <v>0.4988246078</v>
      </c>
      <c r="DI206" s="207" t="str">
        <f>IFERROR(__xludf.DUMMYFUNCTION("IF(OR(DH206&gt;$BS206+$BT206*$BT$2,DH206&lt;$BS206-$BT206*$BT$2),AVEDEV(ARRAYFORMULA(XLOOKUP(FILTER(INDIRECT(""'""&amp;DH$1&amp;""'!$C$4:$C$66""),INDIRECT(""'""&amp;DH$1&amp;""'!$D$4:$D$66"")=DH$2),$G$3:$BQ$3,$G206:$BQ206))),"""")"),"")</f>
        <v/>
      </c>
      <c r="DJ206" s="243"/>
    </row>
    <row r="207">
      <c r="A207" s="2"/>
      <c r="B207" s="204">
        <v>203.0</v>
      </c>
      <c r="C207" s="204" t="s">
        <v>646</v>
      </c>
      <c r="D207" s="204" t="s">
        <v>652</v>
      </c>
      <c r="E207" s="205" t="b">
        <f>VLOOKUP(D207,'Feature Set List'!A204:C246,2,0)</f>
        <v>1</v>
      </c>
      <c r="F207" s="205" t="b">
        <f>VLOOKUP(D207,'Feature Set List'!A204:C246,3,0)</f>
        <v>0</v>
      </c>
      <c r="G207" s="205">
        <v>0.56490728</v>
      </c>
      <c r="H207" s="205">
        <v>-0.2667618</v>
      </c>
      <c r="I207" s="205">
        <v>-0.9141227</v>
      </c>
      <c r="J207" s="205">
        <v>0.51640514</v>
      </c>
      <c r="K207" s="205">
        <v>0.37375178</v>
      </c>
      <c r="L207" s="205">
        <v>0.12696148</v>
      </c>
      <c r="M207" s="205">
        <v>0.25677603</v>
      </c>
      <c r="N207" s="205">
        <v>0.59629101</v>
      </c>
      <c r="O207" s="205">
        <v>1.94721826</v>
      </c>
      <c r="P207" s="205">
        <v>-1.3584879</v>
      </c>
      <c r="Q207" s="205">
        <v>0.0</v>
      </c>
      <c r="R207" s="205">
        <v>0.25820257</v>
      </c>
      <c r="S207" s="205">
        <v>0.94864479</v>
      </c>
      <c r="T207" s="205">
        <v>-0.0042796</v>
      </c>
      <c r="U207" s="205">
        <v>1.83880171</v>
      </c>
      <c r="V207" s="205">
        <v>-0.8990014</v>
      </c>
      <c r="W207" s="205">
        <v>-0.1783167</v>
      </c>
      <c r="X207" s="205">
        <v>-0.8901569</v>
      </c>
      <c r="Y207" s="205">
        <v>0.52211127</v>
      </c>
      <c r="Z207" s="205">
        <v>0.30099857</v>
      </c>
      <c r="AA207" s="205">
        <v>0.08273894</v>
      </c>
      <c r="AB207" s="205">
        <v>-0.5805991</v>
      </c>
      <c r="AC207" s="205">
        <v>-0.146933</v>
      </c>
      <c r="AD207" s="205">
        <v>-0.9579173</v>
      </c>
      <c r="AE207" s="205">
        <v>-0.3509272</v>
      </c>
      <c r="AF207" s="205">
        <v>-0.2396576</v>
      </c>
      <c r="AG207" s="205">
        <v>0.69186876</v>
      </c>
      <c r="AH207" s="205">
        <v>0.7232525</v>
      </c>
      <c r="AI207" s="205">
        <v>-0.9493581</v>
      </c>
      <c r="AJ207" s="205">
        <v>-0.3338088</v>
      </c>
      <c r="AK207" s="205">
        <v>-0.8340942</v>
      </c>
      <c r="AL207" s="205">
        <v>-0.657632</v>
      </c>
      <c r="AM207" s="205">
        <v>1.52639087</v>
      </c>
      <c r="AN207" s="205">
        <v>-0.0071327</v>
      </c>
      <c r="AO207" s="205">
        <v>0.63480742</v>
      </c>
      <c r="AP207" s="205">
        <v>0.75891583</v>
      </c>
      <c r="AQ207" s="205">
        <v>-0.0128388</v>
      </c>
      <c r="AR207" s="205">
        <v>1.47075606</v>
      </c>
      <c r="AS207" s="205">
        <v>0.59201141</v>
      </c>
      <c r="AT207" s="205">
        <v>1.32667618</v>
      </c>
      <c r="AU207" s="205">
        <v>-2.1169757</v>
      </c>
      <c r="AV207" s="205">
        <v>-0.7684736</v>
      </c>
      <c r="AW207" s="205">
        <v>-0.7713267</v>
      </c>
      <c r="AX207" s="205">
        <v>0.04992867</v>
      </c>
      <c r="AY207" s="205">
        <v>-0.4236805</v>
      </c>
      <c r="AZ207" s="205">
        <v>0.08131241</v>
      </c>
      <c r="BA207" s="205">
        <v>0.17689016</v>
      </c>
      <c r="BB207" s="205">
        <v>1.65620542</v>
      </c>
      <c r="BC207" s="205">
        <v>1.56062767</v>
      </c>
      <c r="BD207" s="205">
        <v>-0.4094151</v>
      </c>
      <c r="BE207" s="205">
        <v>-0.2838802</v>
      </c>
      <c r="BF207" s="205">
        <v>-0.4664765</v>
      </c>
      <c r="BG207" s="205">
        <v>-0.4194009</v>
      </c>
      <c r="BH207" s="205">
        <v>-0.9261056</v>
      </c>
      <c r="BI207" s="205">
        <v>0.96148359</v>
      </c>
      <c r="BJ207" s="205">
        <v>1.29671897</v>
      </c>
      <c r="BK207" s="205">
        <v>0.54065621</v>
      </c>
      <c r="BL207" s="205">
        <v>0.0342368</v>
      </c>
      <c r="BM207" s="205">
        <v>-0.2082739</v>
      </c>
      <c r="BN207" s="205">
        <v>-0.1340942</v>
      </c>
      <c r="BO207" s="205">
        <v>0.12410842</v>
      </c>
      <c r="BP207" s="205">
        <v>-0.8</v>
      </c>
      <c r="BQ207" s="205">
        <v>-0.2667618</v>
      </c>
      <c r="BR207" s="206"/>
      <c r="BS207" s="250">
        <f t="shared" si="1"/>
        <v>0.07878993143</v>
      </c>
      <c r="BT207" s="250">
        <f t="shared" si="2"/>
        <v>0.6403677047</v>
      </c>
      <c r="BU207" s="206"/>
      <c r="BV207" s="207">
        <f>IFERROR(__xludf.DUMMYFUNCTION("AVERAGE(ARRAYFORMULA(XLOOKUP(FILTER(INDIRECT(""'""&amp;BV$1&amp;""'!$C$4:$C$66""),INDIRECT(""'""&amp;BV$1&amp;""'!$D$4:$D$66"")=BV$2),$G$3:$BQ$3,$G207:$BQ207)))"),0.36661910714285717)</f>
        <v>0.3666191071</v>
      </c>
      <c r="BW207" s="207" t="str">
        <f>IFERROR(__xludf.DUMMYFUNCTION("IF(OR(BV207&gt;$BS207+$BT207*$BT$2,BV207&lt;$BS207-$BT207*$BT$2),AVEDEV(ARRAYFORMULA(XLOOKUP(FILTER(INDIRECT(""'""&amp;BV$1&amp;""'!$C$4:$C$66""),INDIRECT(""'""&amp;BV$1&amp;""'!$D$4:$D$66"")=BV$2),$G$3:$BQ$3,$G207:$BQ207))),"""")"),"")</f>
        <v/>
      </c>
      <c r="BX207" s="207">
        <f>IFERROR(__xludf.DUMMYFUNCTION("AVERAGE(ARRAYFORMULA(XLOOKUP(FILTER(INDIRECT(""'""&amp;BX$1&amp;""'!$C$4:$C$66""),INDIRECT(""'""&amp;BX$1&amp;""'!$D$4:$D$66"")=BX$2),$G$3:$BQ$3,$G207:$BQ207)))"),0.14519053571428572)</f>
        <v>0.1451905357</v>
      </c>
      <c r="BY207" s="207" t="str">
        <f>IFERROR(__xludf.DUMMYFUNCTION("IF(OR(BX207&gt;$BS207+$BT207*$BT$2,BX207&lt;$BS207-$BT207*$BT$2),AVEDEV(ARRAYFORMULA(XLOOKUP(FILTER(INDIRECT(""'""&amp;BX$1&amp;""'!$C$4:$C$66""),INDIRECT(""'""&amp;BX$1&amp;""'!$D$4:$D$66"")=BX$2),$G$3:$BQ$3,$G207:$BQ207))),"""")"),"")</f>
        <v/>
      </c>
      <c r="BZ207" s="207">
        <f>IFERROR(__xludf.DUMMYFUNCTION("AVERAGE(ARRAYFORMULA(XLOOKUP(FILTER(INDIRECT(""'""&amp;BZ$1&amp;""'!$C$4:$C$66""),INDIRECT(""'""&amp;BZ$1&amp;""'!$D$4:$D$66"")=BZ$2),$G$3:$BQ$3,$G207:$BQ207)))"),-0.023641551818181818)</f>
        <v>-0.02364155182</v>
      </c>
      <c r="CA207" s="207" t="str">
        <f>IFERROR(__xludf.DUMMYFUNCTION("IF(OR(BZ207&gt;$BS207+$BT207*$BT$2,BZ207&lt;$BS207-$BT207*$BT$2),AVEDEV(ARRAYFORMULA(XLOOKUP(FILTER(INDIRECT(""'""&amp;BZ$1&amp;""'!$C$4:$C$66""),INDIRECT(""'""&amp;BZ$1&amp;""'!$D$4:$D$66"")=BZ$2),$G$3:$BQ$3,$G207:$BQ207))),"""")"),"")</f>
        <v/>
      </c>
      <c r="CB207" s="209"/>
      <c r="CC207" s="207">
        <f>IFERROR(__xludf.DUMMYFUNCTION("AVERAGE(ARRAYFORMULA(XLOOKUP(FILTER(INDIRECT(""'""&amp;CC$1&amp;""'!$C$4:$C$66""),INDIRECT(""'""&amp;CC$1&amp;""'!$D$4:$D$66"")=CC$2),$G$3:$BQ$3,$G207:$BQ207)))"),0.200508195625)</f>
        <v>0.2005081956</v>
      </c>
      <c r="CD207" s="207" t="str">
        <f>IFERROR(__xludf.DUMMYFUNCTION("IF(OR(CC207&gt;$BS207+$BT207*$BT$2,CC207&lt;$BS207-$BT207*$BT$2),AVEDEV(ARRAYFORMULA(XLOOKUP(FILTER(INDIRECT(""'""&amp;CC$1&amp;""'!$C$4:$C$66""),INDIRECT(""'""&amp;CC$1&amp;""'!$D$4:$D$66"")=CC$2),$G$3:$BQ$3,$G207:$BQ207))),"""")"),"")</f>
        <v/>
      </c>
      <c r="CE207" s="207">
        <f>IFERROR(__xludf.DUMMYFUNCTION("AVERAGE(ARRAYFORMULA(XLOOKUP(FILTER(INDIRECT(""'""&amp;CE$1&amp;""'!$C$4:$C$66""),INDIRECT(""'""&amp;CE$1&amp;""'!$D$4:$D$66"")=CE$2),$G$3:$BQ$3,$G207:$BQ207)))"),0.14287422677419354)</f>
        <v>0.1428742268</v>
      </c>
      <c r="CF207" s="207" t="str">
        <f>IFERROR(__xludf.DUMMYFUNCTION("IF(OR(CE207&gt;$BS207+$BT207*$BT$2,CE207&lt;$BS207-$BT207*$BT$2),AVEDEV(ARRAYFORMULA(XLOOKUP(FILTER(INDIRECT(""'""&amp;CE$1&amp;""'!$C$4:$C$66""),INDIRECT(""'""&amp;CE$1&amp;""'!$D$4:$D$66"")=CE$2),$G$3:$BQ$3,$G207:$BQ207))),"""")"),"")</f>
        <v/>
      </c>
      <c r="CG207" s="207">
        <f>IFERROR(__xludf.DUMMYFUNCTION("AVERAGE(ARRAYFORMULA(XLOOKUP(FILTER(INDIRECT(""'""&amp;CG$1&amp;""'!$C$4:$C$66""),INDIRECT(""'""&amp;CG$1&amp;""'!$D$4:$D$66"")=CG$2),$G$3:$BQ$3,$G207:$BQ207)))"),-0.20265336600000006)</f>
        <v>-0.202653366</v>
      </c>
      <c r="CH207" s="207" t="str">
        <f>IFERROR(__xludf.DUMMYFUNCTION("IF(OR(CG207&gt;$BS207+$BT207*$BT$2,CG207&lt;$BS207-$BT207*$BT$2),AVEDEV(ARRAYFORMULA(XLOOKUP(FILTER(INDIRECT(""'""&amp;CG$1&amp;""'!$C$4:$C$66""),INDIRECT(""'""&amp;CG$1&amp;""'!$D$4:$D$66"")=CG$2),$G$3:$BQ$3,$G207:$BQ207))),"""")"),"")</f>
        <v/>
      </c>
      <c r="CI207" s="206"/>
      <c r="CJ207" s="251">
        <f>IFERROR(__xludf.DUMMYFUNCTION("AVERAGE(ARRAYFORMULA(XLOOKUP(FILTER(INDIRECT(""'""&amp;CJ$1&amp;""'!$C$4:$C$66""),INDIRECT(""'""&amp;CJ$1&amp;""'!$D$4:$D$66"")=CJ$2),$G$3:$BQ$3,$G207:$BQ207)))"),0.3316214953333333)</f>
        <v>0.3316214953</v>
      </c>
      <c r="CK207" s="207" t="str">
        <f>IFERROR(__xludf.DUMMYFUNCTION("IF(OR(CJ207&gt;$BS207+$BT207*$BT$2,CJ207&lt;$BS207-$BT207*$BT$2),AVEDEV(ARRAYFORMULA(XLOOKUP(FILTER(INDIRECT(""'""&amp;CJ$1&amp;""'!$C$4:$C$66""),INDIRECT(""'""&amp;CJ$1&amp;""'!$D$4:$D$66"")=CJ$2),$G$3:$BQ$3,$G207:$BQ207))),"""")"),"")</f>
        <v/>
      </c>
      <c r="CL207" s="251">
        <f>IFERROR(__xludf.DUMMYFUNCTION("AVERAGE(ARRAYFORMULA(XLOOKUP(FILTER(INDIRECT(""'""&amp;CL$1&amp;""'!$C$4:$C$66""),INDIRECT(""'""&amp;CL$1&amp;""'!$D$4:$D$66"")=CL$2),$G$3:$BQ$3,$G207:$BQ207)))"),0.11305094307692307)</f>
        <v>0.1130509431</v>
      </c>
      <c r="CM207" s="207" t="str">
        <f>IFERROR(__xludf.DUMMYFUNCTION("IF(OR(CL207&gt;$BS207+$BT207*$BT$2,CL207&lt;$BS207-$BT207*$BT$2),AVEDEV(ARRAYFORMULA(XLOOKUP(FILTER(INDIRECT(""'""&amp;CL$1&amp;""'!$C$4:$C$66""),INDIRECT(""'""&amp;CL$1&amp;""'!$D$4:$D$66"")=CL$2),$G$3:$BQ$3,$G207:$BQ207))),"""")"),"")</f>
        <v/>
      </c>
      <c r="CN207" s="251">
        <f>IFERROR(__xludf.DUMMYFUNCTION("AVERAGE(ARRAYFORMULA(XLOOKUP(FILTER(INDIRECT(""'""&amp;CN$1&amp;""'!$C$4:$C$66""),INDIRECT(""'""&amp;CN$1&amp;""'!$D$4:$D$66"")=CN$2),$G$3:$BQ$3,$G207:$BQ207)))"),-0.20265336600000006)</f>
        <v>-0.202653366</v>
      </c>
      <c r="CO207" s="207" t="str">
        <f>IFERROR(__xludf.DUMMYFUNCTION("IF(OR(CN207&gt;$BS207+$BT207*$BT$2,CN207&lt;$BS207-$BT207*$BT$2),AVEDEV(ARRAYFORMULA(XLOOKUP(FILTER(INDIRECT(""'""&amp;CN$1&amp;""'!$C$4:$C$66""),INDIRECT(""'""&amp;CN$1&amp;""'!$D$4:$D$66"")=CN$2),$G$3:$BQ$3,$G207:$BQ207))),"""")"),"")</f>
        <v/>
      </c>
      <c r="CP207" s="252"/>
      <c r="CQ207" s="251">
        <f>IFERROR(__xludf.DUMMYFUNCTION("AVERAGE(ARRAYFORMULA(XLOOKUP(FILTER(INDIRECT(""'""&amp;CQ$1&amp;""'!$C$4:$C$66""),INDIRECT(""'""&amp;CQ$1&amp;""'!$D$4:$D$66"")=CQ$2),$G$3:$BQ$3,$G207:$BQ207)))"),-0.15030569642857142)</f>
        <v>-0.1503056964</v>
      </c>
      <c r="CR207" s="207" t="str">
        <f>IFERROR(__xludf.DUMMYFUNCTION("IF(OR(CQ207&gt;$BS207+$BT207*$BT$2,CQ207&lt;$BS207-$BT207*$BT$2),AVEDEV(ARRAYFORMULA(XLOOKUP(FILTER(INDIRECT(""'""&amp;CQ$1&amp;""'!$C$4:$C$66""),INDIRECT(""'""&amp;CQ$1&amp;""'!$D$4:$D$66"")=CQ$2),$G$3:$BQ$3,$G207:$BQ207))),"""")"),"")</f>
        <v/>
      </c>
      <c r="CS207" s="251">
        <f>IFERROR(__xludf.DUMMYFUNCTION("AVERAGE(ARRAYFORMULA(XLOOKUP(FILTER(INDIRECT(""'""&amp;CS$1&amp;""'!$C$4:$C$66""),INDIRECT(""'""&amp;CS$1&amp;""'!$D$4:$D$66"")=CS$2),$G$3:$BQ$3,$G207:$BQ207)))"),-0.014788397777777802)</f>
        <v>-0.01478839778</v>
      </c>
      <c r="CT207" s="207" t="str">
        <f>IFERROR(__xludf.DUMMYFUNCTION("IF(OR(CS207&gt;$BS207+$BT207*$BT$2,CS207&lt;$BS207-$BT207*$BT$2),AVEDEV(ARRAYFORMULA(XLOOKUP(FILTER(INDIRECT(""'""&amp;CS$1&amp;""'!$C$4:$C$66""),INDIRECT(""'""&amp;CS$1&amp;""'!$D$4:$D$66"")=CS$2),$G$3:$BQ$3,$G207:$BQ207))),"""")"),"")</f>
        <v/>
      </c>
      <c r="CU207" s="251">
        <f>IFERROR(__xludf.DUMMYFUNCTION("AVERAGE(ARRAYFORMULA(XLOOKUP(FILTER(INDIRECT(""'""&amp;CU$1&amp;""'!$C$4:$C$66""),INDIRECT(""'""&amp;CU$1&amp;""'!$D$4:$D$66"")=CU$2),$G$3:$BQ$3,$G207:$BQ207)))"),0.2634288645454545)</f>
        <v>0.2634288645</v>
      </c>
      <c r="CV207" s="207" t="str">
        <f>IFERROR(__xludf.DUMMYFUNCTION("IF(OR(CU207&gt;$BS207+$BT207*$BT$2,CU207&lt;$BS207-$BT207*$BT$2),AVEDEV(ARRAYFORMULA(XLOOKUP(FILTER(INDIRECT(""'""&amp;CU$1&amp;""'!$C$4:$C$66""),INDIRECT(""'""&amp;CU$1&amp;""'!$D$4:$D$66"")=CU$2),$G$3:$BQ$3,$G207:$BQ207))),"""")"),"")</f>
        <v/>
      </c>
      <c r="CW207" s="251">
        <f>IFERROR(__xludf.DUMMYFUNCTION("AVERAGE(ARRAYFORMULA(XLOOKUP(FILTER(INDIRECT(""'""&amp;CW$1&amp;""'!$C$4:$C$66""),INDIRECT(""'""&amp;CW$1&amp;""'!$D$4:$D$66"")=CW$2),$G$3:$BQ$3,$G207:$BQ207)))"),-0.94201145)</f>
        <v>-0.94201145</v>
      </c>
      <c r="CX207" s="207">
        <f>IFERROR(__xludf.DUMMYFUNCTION("IF(OR(CW207&gt;$BS207+$BT207*$BT$2,CW207&lt;$BS207-$BT207*$BT$2),AVEDEV(ARRAYFORMULA(XLOOKUP(FILTER(INDIRECT(""'""&amp;CW$1&amp;""'!$C$4:$C$66""),INDIRECT(""'""&amp;CW$1&amp;""'!$D$4:$D$66"")=CW$2),$G$3:$BQ$3,$G207:$BQ207))),"""")"),0.01590585)</f>
        <v>0.01590585</v>
      </c>
      <c r="CY207" s="251">
        <f>IFERROR(__xludf.DUMMYFUNCTION("AVERAGE(ARRAYFORMULA(XLOOKUP(FILTER(INDIRECT(""'""&amp;CY$1&amp;""'!$C$4:$C$66""),INDIRECT(""'""&amp;CY$1&amp;""'!$D$4:$D$66"")=CY$2),$G$3:$BQ$3,$G207:$BQ207)))"),0.4502954900000001)</f>
        <v>0.45029549</v>
      </c>
      <c r="CZ207" s="207" t="str">
        <f>IFERROR(__xludf.DUMMYFUNCTION("IF(OR(CY207&gt;$BS207+$BT207*$BT$2,CY207&lt;$BS207-$BT207*$BT$2),AVEDEV(ARRAYFORMULA(XLOOKUP(FILTER(INDIRECT(""'""&amp;CY$1&amp;""'!$C$4:$C$66""),INDIRECT(""'""&amp;CY$1&amp;""'!$D$4:$D$66"")=CY$2),$G$3:$BQ$3,$G207:$BQ207))),"""")"),"")</f>
        <v/>
      </c>
      <c r="DA207" s="252"/>
      <c r="DB207" s="251">
        <f>IFERROR(__xludf.DUMMYFUNCTION("AVERAGE(ARRAYFORMULA(XLOOKUP(FILTER(INDIRECT(""'""&amp;DB$1&amp;""'!$C$4:$C$66""),INDIRECT(""'""&amp;DB$1&amp;""'!$D$4:$D$66"")=DB$2),$G$3:$BQ$3,$G207:$BQ207)))"),0.14706608666666668)</f>
        <v>0.1470660867</v>
      </c>
      <c r="DC207" s="207" t="str">
        <f>IFERROR(__xludf.DUMMYFUNCTION("IF(OR(DB207&gt;$BS207+$BT207*$BT$2,DB207&lt;$BS207-$BT207*$BT$2),AVEDEV(ARRAYFORMULA(XLOOKUP(FILTER(INDIRECT(""'""&amp;DB$1&amp;""'!$C$4:$C$66""),INDIRECT(""'""&amp;DB$1&amp;""'!$D$4:$D$66"")=DB$2),$G$3:$BQ$3,$G207:$BQ207))),"""")"),"")</f>
        <v/>
      </c>
      <c r="DD207" s="251">
        <f>IFERROR(__xludf.DUMMYFUNCTION("AVERAGE(ARRAYFORMULA(XLOOKUP(FILTER(INDIRECT(""'""&amp;DD$1&amp;""'!$C$4:$C$66""),INDIRECT(""'""&amp;DD$1&amp;""'!$D$4:$D$66"")=DD$2),$G$3:$BQ$3,$G207:$BQ207)))"),-0.15469963888888894)</f>
        <v>-0.1546996389</v>
      </c>
      <c r="DE207" s="207" t="str">
        <f>IFERROR(__xludf.DUMMYFUNCTION("IF(OR(DD207&gt;$BS207+$BT207*$BT$2,DD207&lt;$BS207-$BT207*$BT$2),AVEDEV(ARRAYFORMULA(XLOOKUP(FILTER(INDIRECT(""'""&amp;DD$1&amp;""'!$C$4:$C$66""),INDIRECT(""'""&amp;DD$1&amp;""'!$D$4:$D$66"")=DD$2),$G$3:$BQ$3,$G207:$BQ207))),"""")"),"")</f>
        <v/>
      </c>
      <c r="DF207" s="251">
        <f>IFERROR(__xludf.DUMMYFUNCTION("AVERAGE(ARRAYFORMULA(XLOOKUP(FILTER(INDIRECT(""'""&amp;DF$1&amp;""'!$C$4:$C$66""),INDIRECT(""'""&amp;DF$1&amp;""'!$D$4:$D$66"")=DF$2),$G$3:$BQ$3,$G207:$BQ207)))"),0.5499286725)</f>
        <v>0.5499286725</v>
      </c>
      <c r="DG207" s="207" t="str">
        <f>IFERROR(__xludf.DUMMYFUNCTION("IF(OR(DF207&gt;$BS207+$BT207*$BT$2,DF207&lt;$BS207-$BT207*$BT$2),AVEDEV(ARRAYFORMULA(XLOOKUP(FILTER(INDIRECT(""'""&amp;DF$1&amp;""'!$C$4:$C$66""),INDIRECT(""'""&amp;DF$1&amp;""'!$D$4:$D$66"")=DF$2),$G$3:$BQ$3,$G207:$BQ207))),"""")"),"")</f>
        <v/>
      </c>
      <c r="DH207" s="251">
        <f>IFERROR(__xludf.DUMMYFUNCTION("AVERAGE(ARRAYFORMULA(XLOOKUP(FILTER(INDIRECT(""'""&amp;DH$1&amp;""'!$C$4:$C$66""),INDIRECT(""'""&amp;DH$1&amp;""'!$D$4:$D$66"")=DH$2),$G$3:$BQ$3,$G207:$BQ207)))"),-0.029386603333333355)</f>
        <v>-0.02938660333</v>
      </c>
      <c r="DI207" s="207" t="str">
        <f>IFERROR(__xludf.DUMMYFUNCTION("IF(OR(DH207&gt;$BS207+$BT207*$BT$2,DH207&lt;$BS207-$BT207*$BT$2),AVEDEV(ARRAYFORMULA(XLOOKUP(FILTER(INDIRECT(""'""&amp;DH$1&amp;""'!$C$4:$C$66""),INDIRECT(""'""&amp;DH$1&amp;""'!$D$4:$D$66"")=DH$2),$G$3:$BQ$3,$G207:$BQ207))),"""")"),"")</f>
        <v/>
      </c>
      <c r="DJ207" s="243"/>
    </row>
    <row r="208">
      <c r="A208" s="2"/>
      <c r="B208" s="204">
        <v>204.0</v>
      </c>
      <c r="C208" s="204" t="s">
        <v>646</v>
      </c>
      <c r="D208" s="204" t="s">
        <v>653</v>
      </c>
      <c r="E208" s="205" t="b">
        <f>VLOOKUP(D208,'Feature Set List'!A205:C246,2,0)</f>
        <v>1</v>
      </c>
      <c r="F208" s="205" t="b">
        <f>VLOOKUP(D208,'Feature Set List'!A205:C246,3,0)</f>
        <v>1</v>
      </c>
      <c r="G208" s="205">
        <v>0.78151261</v>
      </c>
      <c r="H208" s="205">
        <v>1.03361345</v>
      </c>
      <c r="I208" s="205">
        <v>1.46554622</v>
      </c>
      <c r="J208" s="205">
        <v>-0.6310924</v>
      </c>
      <c r="K208" s="205">
        <v>1.07394958</v>
      </c>
      <c r="L208" s="205">
        <v>-0.0495798</v>
      </c>
      <c r="M208" s="205">
        <v>-1.0806723</v>
      </c>
      <c r="N208" s="205">
        <v>0.48151261</v>
      </c>
      <c r="O208" s="205">
        <v>0.13865546</v>
      </c>
      <c r="P208" s="205">
        <v>2.15462185</v>
      </c>
      <c r="Q208" s="205">
        <v>-1.1815126</v>
      </c>
      <c r="R208" s="205">
        <v>0.26134454</v>
      </c>
      <c r="S208" s="205">
        <v>0.20588235</v>
      </c>
      <c r="T208" s="205">
        <v>0.46554622</v>
      </c>
      <c r="U208" s="205">
        <v>2.71764706</v>
      </c>
      <c r="V208" s="205">
        <v>-0.1546218</v>
      </c>
      <c r="W208" s="205">
        <v>-0.410084</v>
      </c>
      <c r="X208" s="205">
        <v>-0.9764706</v>
      </c>
      <c r="Y208" s="205">
        <v>0.12436975</v>
      </c>
      <c r="Z208" s="205">
        <v>-0.9201681</v>
      </c>
      <c r="AA208" s="205">
        <v>-1.1252101</v>
      </c>
      <c r="AB208" s="205">
        <v>0.06302521</v>
      </c>
      <c r="AC208" s="205">
        <v>-0.202521</v>
      </c>
      <c r="AD208" s="205">
        <v>-0.9243697</v>
      </c>
      <c r="AE208" s="205">
        <v>0.32773109</v>
      </c>
      <c r="AF208" s="205">
        <v>0.00672269</v>
      </c>
      <c r="AG208" s="205">
        <v>-1.2092437</v>
      </c>
      <c r="AH208" s="205">
        <v>-0.2361345</v>
      </c>
      <c r="AI208" s="205">
        <v>0.36386555</v>
      </c>
      <c r="AJ208" s="205">
        <v>0.36470588</v>
      </c>
      <c r="AK208" s="205">
        <v>-1.010084</v>
      </c>
      <c r="AL208" s="205">
        <v>1.98319328</v>
      </c>
      <c r="AM208" s="205">
        <v>0.0</v>
      </c>
      <c r="AN208" s="205">
        <v>-0.2016807</v>
      </c>
      <c r="AO208" s="205">
        <v>-0.5731092</v>
      </c>
      <c r="AP208" s="205">
        <v>-0.7151261</v>
      </c>
      <c r="AQ208" s="205">
        <v>-0.7890756</v>
      </c>
      <c r="AR208" s="205">
        <v>2.94621849</v>
      </c>
      <c r="AS208" s="205">
        <v>4.58319328</v>
      </c>
      <c r="AT208" s="205">
        <v>0.77058824</v>
      </c>
      <c r="AU208" s="205">
        <v>-2.3554622</v>
      </c>
      <c r="AV208" s="205">
        <v>-0.2756303</v>
      </c>
      <c r="AW208" s="205">
        <v>0.41428571</v>
      </c>
      <c r="AX208" s="205">
        <v>0.28571429</v>
      </c>
      <c r="AY208" s="205">
        <v>1.21008403</v>
      </c>
      <c r="AZ208" s="205">
        <v>0.25630252</v>
      </c>
      <c r="BA208" s="205">
        <v>0.05378151</v>
      </c>
      <c r="BB208" s="205">
        <v>-0.9747899</v>
      </c>
      <c r="BC208" s="205">
        <v>0.21596639</v>
      </c>
      <c r="BD208" s="205">
        <v>-1.1957983</v>
      </c>
      <c r="BE208" s="205">
        <v>0.07983193</v>
      </c>
      <c r="BF208" s="205">
        <v>-0.2403361</v>
      </c>
      <c r="BG208" s="205">
        <v>-0.3571429</v>
      </c>
      <c r="BH208" s="205">
        <v>-0.8109244</v>
      </c>
      <c r="BI208" s="205">
        <v>1.4605042</v>
      </c>
      <c r="BJ208" s="205">
        <v>3.40252101</v>
      </c>
      <c r="BK208" s="205">
        <v>-0.4798319</v>
      </c>
      <c r="BL208" s="205">
        <v>0.38151261</v>
      </c>
      <c r="BM208" s="205">
        <v>-0.9394958</v>
      </c>
      <c r="BN208" s="205">
        <v>-0.1445378</v>
      </c>
      <c r="BO208" s="205">
        <v>-0.0840336</v>
      </c>
      <c r="BP208" s="205">
        <v>-0.0579832</v>
      </c>
      <c r="BQ208" s="205">
        <v>-0.4268908</v>
      </c>
      <c r="BR208" s="206"/>
      <c r="BS208" s="250">
        <f t="shared" si="1"/>
        <v>0.1482593049</v>
      </c>
      <c r="BT208" s="250">
        <f t="shared" si="2"/>
        <v>0.8222565218</v>
      </c>
      <c r="BU208" s="206"/>
      <c r="BV208" s="207">
        <f>IFERROR(__xludf.DUMMYFUNCTION("AVERAGE(ARRAYFORMULA(XLOOKUP(FILTER(INDIRECT(""'""&amp;BV$1&amp;""'!$C$4:$C$66""),INDIRECT(""'""&amp;BV$1&amp;""'!$D$4:$D$66"")=BV$2),$G$3:$BQ$3,$G208:$BQ208)))"),0.2663865614285715)</f>
        <v>0.2663865614</v>
      </c>
      <c r="BW208" s="207" t="str">
        <f>IFERROR(__xludf.DUMMYFUNCTION("IF(OR(BV208&gt;$BS208+$BT208*$BT$2,BV208&lt;$BS208-$BT208*$BT$2),AVEDEV(ARRAYFORMULA(XLOOKUP(FILTER(INDIRECT(""'""&amp;BV$1&amp;""'!$C$4:$C$66""),INDIRECT(""'""&amp;BV$1&amp;""'!$D$4:$D$66"")=BV$2),$G$3:$BQ$3,$G208:$BQ208))),"""")"),"")</f>
        <v/>
      </c>
      <c r="BX208" s="207">
        <f>IFERROR(__xludf.DUMMYFUNCTION("AVERAGE(ARRAYFORMULA(XLOOKUP(FILTER(INDIRECT(""'""&amp;BX$1&amp;""'!$C$4:$C$66""),INDIRECT(""'""&amp;BX$1&amp;""'!$D$4:$D$66"")=BX$2),$G$3:$BQ$3,$G208:$BQ208)))"),0.19519807880952378)</f>
        <v>0.1951980788</v>
      </c>
      <c r="BY208" s="207" t="str">
        <f>IFERROR(__xludf.DUMMYFUNCTION("IF(OR(BX208&gt;$BS208+$BT208*$BT$2,BX208&lt;$BS208-$BT208*$BT$2),AVEDEV(ARRAYFORMULA(XLOOKUP(FILTER(INDIRECT(""'""&amp;BX$1&amp;""'!$C$4:$C$66""),INDIRECT(""'""&amp;BX$1&amp;""'!$D$4:$D$66"")=BX$2),$G$3:$BQ$3,$G208:$BQ208))),"""")"),"")</f>
        <v/>
      </c>
      <c r="BZ208" s="207">
        <f>IFERROR(__xludf.DUMMYFUNCTION("AVERAGE(ARRAYFORMULA(XLOOKUP(FILTER(INDIRECT(""'""&amp;BZ$1&amp;""'!$C$4:$C$66""),INDIRECT(""'""&amp;BZ$1&amp;""'!$D$4:$D$66"")=BZ$2),$G$3:$BQ$3,$G208:$BQ208)))"),0.12391138636363636)</f>
        <v>0.1239113864</v>
      </c>
      <c r="CA208" s="207" t="str">
        <f>IFERROR(__xludf.DUMMYFUNCTION("IF(OR(BZ208&gt;$BS208+$BT208*$BT$2,BZ208&lt;$BS208-$BT208*$BT$2),AVEDEV(ARRAYFORMULA(XLOOKUP(FILTER(INDIRECT(""'""&amp;BZ$1&amp;""'!$C$4:$C$66""),INDIRECT(""'""&amp;BZ$1&amp;""'!$D$4:$D$66"")=BZ$2),$G$3:$BQ$3,$G208:$BQ208))),"""")"),"")</f>
        <v/>
      </c>
      <c r="CB208" s="209"/>
      <c r="CC208" s="207">
        <f>IFERROR(__xludf.DUMMYFUNCTION("AVERAGE(ARRAYFORMULA(XLOOKUP(FILTER(INDIRECT(""'""&amp;CC$1&amp;""'!$C$4:$C$66""),INDIRECT(""'""&amp;CC$1&amp;""'!$D$4:$D$66"")=CC$2),$G$3:$BQ$3,$G208:$BQ208)))"),0.09117648062500003)</f>
        <v>0.09117648063</v>
      </c>
      <c r="CD208" s="207" t="str">
        <f>IFERROR(__xludf.DUMMYFUNCTION("IF(OR(CC208&gt;$BS208+$BT208*$BT$2,CC208&lt;$BS208-$BT208*$BT$2),AVEDEV(ARRAYFORMULA(XLOOKUP(FILTER(INDIRECT(""'""&amp;CC$1&amp;""'!$C$4:$C$66""),INDIRECT(""'""&amp;CC$1&amp;""'!$D$4:$D$66"")=CC$2),$G$3:$BQ$3,$G208:$BQ208))),"""")"),"")</f>
        <v/>
      </c>
      <c r="CE208" s="207">
        <f>IFERROR(__xludf.DUMMYFUNCTION("AVERAGE(ARRAYFORMULA(XLOOKUP(FILTER(INDIRECT(""'""&amp;CE$1&amp;""'!$C$4:$C$66""),INDIRECT(""'""&amp;CE$1&amp;""'!$D$4:$D$66"")=CE$2),$G$3:$BQ$3,$G208:$BQ208)))"),0.040173485161290316)</f>
        <v>0.04017348516</v>
      </c>
      <c r="CF208" s="207" t="str">
        <f>IFERROR(__xludf.DUMMYFUNCTION("IF(OR(CE208&gt;$BS208+$BT208*$BT$2,CE208&lt;$BS208-$BT208*$BT$2),AVEDEV(ARRAYFORMULA(XLOOKUP(FILTER(INDIRECT(""'""&amp;CE$1&amp;""'!$C$4:$C$66""),INDIRECT(""'""&amp;CE$1&amp;""'!$D$4:$D$66"")=CE$2),$G$3:$BQ$3,$G208:$BQ208))),"""")"),"")</f>
        <v/>
      </c>
      <c r="CG208" s="207">
        <f>IFERROR(__xludf.DUMMYFUNCTION("AVERAGE(ARRAYFORMULA(XLOOKUP(FILTER(INDIRECT(""'""&amp;CG$1&amp;""'!$C$4:$C$66""),INDIRECT(""'""&amp;CG$1&amp;""'!$D$4:$D$66"")=CG$2),$G$3:$BQ$3,$G208:$BQ208)))"),1.379999992)</f>
        <v>1.379999992</v>
      </c>
      <c r="CH208" s="207">
        <f>IFERROR(__xludf.DUMMYFUNCTION("IF(OR(CG208&gt;$BS208+$BT208*$BT$2,CG208&lt;$BS208-$BT208*$BT$2),AVEDEV(ARRAYFORMULA(XLOOKUP(FILTER(INDIRECT(""'""&amp;CG$1&amp;""'!$C$4:$C$66""),INDIRECT(""'""&amp;CG$1&amp;""'!$D$4:$D$66"")=CG$2),$G$3:$BQ$3,$G208:$BQ208))),"""")"),1.5911260583999998)</f>
        <v>1.591126058</v>
      </c>
      <c r="CI208" s="206"/>
      <c r="CJ208" s="251">
        <f>IFERROR(__xludf.DUMMYFUNCTION("AVERAGE(ARRAYFORMULA(XLOOKUP(FILTER(INDIRECT(""'""&amp;CJ$1&amp;""'!$C$4:$C$66""),INDIRECT(""'""&amp;CJ$1&amp;""'!$D$4:$D$66"")=CJ$2),$G$3:$BQ$3,$G208:$BQ208)))"),0.05383753333333334)</f>
        <v>0.05383753333</v>
      </c>
      <c r="CK208" s="207" t="str">
        <f>IFERROR(__xludf.DUMMYFUNCTION("IF(OR(CJ208&gt;$BS208+$BT208*$BT$2,CJ208&lt;$BS208-$BT208*$BT$2),AVEDEV(ARRAYFORMULA(XLOOKUP(FILTER(INDIRECT(""'""&amp;CJ$1&amp;""'!$C$4:$C$66""),INDIRECT(""'""&amp;CJ$1&amp;""'!$D$4:$D$66"")=CJ$2),$G$3:$BQ$3,$G208:$BQ208))),"""")"),"")</f>
        <v/>
      </c>
      <c r="CL208" s="251">
        <f>IFERROR(__xludf.DUMMYFUNCTION("AVERAGE(ARRAYFORMULA(XLOOKUP(FILTER(INDIRECT(""'""&amp;CL$1&amp;""'!$C$4:$C$66""),INDIRECT(""'""&amp;CL$1&amp;""'!$D$4:$D$66"")=CL$2),$G$3:$BQ$3,$G208:$BQ208)))"),0.0855634594871795)</f>
        <v>0.08556345949</v>
      </c>
      <c r="CM208" s="207" t="str">
        <f>IFERROR(__xludf.DUMMYFUNCTION("IF(OR(CL208&gt;$BS208+$BT208*$BT$2,CL208&lt;$BS208-$BT208*$BT$2),AVEDEV(ARRAYFORMULA(XLOOKUP(FILTER(INDIRECT(""'""&amp;CL$1&amp;""'!$C$4:$C$66""),INDIRECT(""'""&amp;CL$1&amp;""'!$D$4:$D$66"")=CL$2),$G$3:$BQ$3,$G208:$BQ208))),"""")"),"")</f>
        <v/>
      </c>
      <c r="CN208" s="251">
        <f>IFERROR(__xludf.DUMMYFUNCTION("AVERAGE(ARRAYFORMULA(XLOOKUP(FILTER(INDIRECT(""'""&amp;CN$1&amp;""'!$C$4:$C$66""),INDIRECT(""'""&amp;CN$1&amp;""'!$D$4:$D$66"")=CN$2),$G$3:$BQ$3,$G208:$BQ208)))"),1.379999992)</f>
        <v>1.379999992</v>
      </c>
      <c r="CO208" s="207">
        <f>IFERROR(__xludf.DUMMYFUNCTION("IF(OR(CN208&gt;$BS208+$BT208*$BT$2,CN208&lt;$BS208-$BT208*$BT$2),AVEDEV(ARRAYFORMULA(XLOOKUP(FILTER(INDIRECT(""'""&amp;CN$1&amp;""'!$C$4:$C$66""),INDIRECT(""'""&amp;CN$1&amp;""'!$D$4:$D$66"")=CN$2),$G$3:$BQ$3,$G208:$BQ208))),"""")"),1.5911260583999998)</f>
        <v>1.591126058</v>
      </c>
      <c r="CP208" s="252"/>
      <c r="CQ208" s="251">
        <f>IFERROR(__xludf.DUMMYFUNCTION("AVERAGE(ARRAYFORMULA(XLOOKUP(FILTER(INDIRECT(""'""&amp;CQ$1&amp;""'!$C$4:$C$66""),INDIRECT(""'""&amp;CQ$1&amp;""'!$D$4:$D$66"")=CQ$2),$G$3:$BQ$3,$G208:$BQ208)))"),-0.04465785071428569)</f>
        <v>-0.04465785071</v>
      </c>
      <c r="CR208" s="207" t="str">
        <f>IFERROR(__xludf.DUMMYFUNCTION("IF(OR(CQ208&gt;$BS208+$BT208*$BT$2,CQ208&lt;$BS208-$BT208*$BT$2),AVEDEV(ARRAYFORMULA(XLOOKUP(FILTER(INDIRECT(""'""&amp;CQ$1&amp;""'!$C$4:$C$66""),INDIRECT(""'""&amp;CQ$1&amp;""'!$D$4:$D$66"")=CQ$2),$G$3:$BQ$3,$G208:$BQ208))),"""")"),"")</f>
        <v/>
      </c>
      <c r="CS208" s="251">
        <f>IFERROR(__xludf.DUMMYFUNCTION("AVERAGE(ARRAYFORMULA(XLOOKUP(FILTER(INDIRECT(""'""&amp;CS$1&amp;""'!$C$4:$C$66""),INDIRECT(""'""&amp;CS$1&amp;""'!$D$4:$D$66"")=CS$2),$G$3:$BQ$3,$G208:$BQ208)))"),0.22735761444444438)</f>
        <v>0.2273576144</v>
      </c>
      <c r="CT208" s="207" t="str">
        <f>IFERROR(__xludf.DUMMYFUNCTION("IF(OR(CS208&gt;$BS208+$BT208*$BT$2,CS208&lt;$BS208-$BT208*$BT$2),AVEDEV(ARRAYFORMULA(XLOOKUP(FILTER(INDIRECT(""'""&amp;CS$1&amp;""'!$C$4:$C$66""),INDIRECT(""'""&amp;CS$1&amp;""'!$D$4:$D$66"")=CS$2),$G$3:$BQ$3,$G208:$BQ208))),"""")"),"")</f>
        <v/>
      </c>
      <c r="CU208" s="251">
        <f>IFERROR(__xludf.DUMMYFUNCTION("AVERAGE(ARRAYFORMULA(XLOOKUP(FILTER(INDIRECT(""'""&amp;CU$1&amp;""'!$C$4:$C$66""),INDIRECT(""'""&amp;CU$1&amp;""'!$D$4:$D$66"")=CU$2),$G$3:$BQ$3,$G208:$BQ208)))"),-0.08953400727272728)</f>
        <v>-0.08953400727</v>
      </c>
      <c r="CV208" s="207" t="str">
        <f>IFERROR(__xludf.DUMMYFUNCTION("IF(OR(CU208&gt;$BS208+$BT208*$BT$2,CU208&lt;$BS208-$BT208*$BT$2),AVEDEV(ARRAYFORMULA(XLOOKUP(FILTER(INDIRECT(""'""&amp;CU$1&amp;""'!$C$4:$C$66""),INDIRECT(""'""&amp;CU$1&amp;""'!$D$4:$D$66"")=CU$2),$G$3:$BQ$3,$G208:$BQ208))),"""")"),"")</f>
        <v/>
      </c>
      <c r="CW208" s="251">
        <f>IFERROR(__xludf.DUMMYFUNCTION("AVERAGE(ARRAYFORMULA(XLOOKUP(FILTER(INDIRECT(""'""&amp;CW$1&amp;""'!$C$4:$C$66""),INDIRECT(""'""&amp;CW$1&amp;""'!$D$4:$D$66"")=CW$2),$G$3:$BQ$3,$G208:$BQ208)))"),-0.86764705)</f>
        <v>-0.86764705</v>
      </c>
      <c r="CX208" s="207">
        <f>IFERROR(__xludf.DUMMYFUNCTION("IF(OR(CW208&gt;$BS208+$BT208*$BT$2,CW208&lt;$BS208-$BT208*$BT$2),AVEDEV(ARRAYFORMULA(XLOOKUP(FILTER(INDIRECT(""'""&amp;CW$1&amp;""'!$C$4:$C$66""),INDIRECT(""'""&amp;CW$1&amp;""'!$D$4:$D$66"")=CW$2),$G$3:$BQ$3,$G208:$BQ208))),"""")"),0.056722649999999986)</f>
        <v>0.05672265</v>
      </c>
      <c r="CY208" s="251">
        <f>IFERROR(__xludf.DUMMYFUNCTION("AVERAGE(ARRAYFORMULA(XLOOKUP(FILTER(INDIRECT(""'""&amp;CY$1&amp;""'!$C$4:$C$66""),INDIRECT(""'""&amp;CY$1&amp;""'!$D$4:$D$66"")=CY$2),$G$3:$BQ$3,$G208:$BQ208)))"),0.43877550428571427)</f>
        <v>0.4387755043</v>
      </c>
      <c r="CZ208" s="207" t="str">
        <f>IFERROR(__xludf.DUMMYFUNCTION("IF(OR(CY208&gt;$BS208+$BT208*$BT$2,CY208&lt;$BS208-$BT208*$BT$2),AVEDEV(ARRAYFORMULA(XLOOKUP(FILTER(INDIRECT(""'""&amp;CY$1&amp;""'!$C$4:$C$66""),INDIRECT(""'""&amp;CY$1&amp;""'!$D$4:$D$66"")=CY$2),$G$3:$BQ$3,$G208:$BQ208))),"""")"),"")</f>
        <v/>
      </c>
      <c r="DA208" s="252"/>
      <c r="DB208" s="251">
        <f>IFERROR(__xludf.DUMMYFUNCTION("AVERAGE(ARRAYFORMULA(XLOOKUP(FILTER(INDIRECT(""'""&amp;DB$1&amp;""'!$C$4:$C$66""),INDIRECT(""'""&amp;DB$1&amp;""'!$D$4:$D$66"")=DB$2),$G$3:$BQ$3,$G208:$BQ208)))"),0.05845938433333334)</f>
        <v>0.05845938433</v>
      </c>
      <c r="DC208" s="207" t="str">
        <f>IFERROR(__xludf.DUMMYFUNCTION("IF(OR(DB208&gt;$BS208+$BT208*$BT$2,DB208&lt;$BS208-$BT208*$BT$2),AVEDEV(ARRAYFORMULA(XLOOKUP(FILTER(INDIRECT(""'""&amp;DB$1&amp;""'!$C$4:$C$66""),INDIRECT(""'""&amp;DB$1&amp;""'!$D$4:$D$66"")=DB$2),$G$3:$BQ$3,$G208:$BQ208))),"""")"),"")</f>
        <v/>
      </c>
      <c r="DD208" s="251">
        <f>IFERROR(__xludf.DUMMYFUNCTION("AVERAGE(ARRAYFORMULA(XLOOKUP(FILTER(INDIRECT(""'""&amp;DD$1&amp;""'!$C$4:$C$66""),INDIRECT(""'""&amp;DD$1&amp;""'!$D$4:$D$66"")=DD$2),$G$3:$BQ$3,$G208:$BQ208)))"),0.07777777666666666)</f>
        <v>0.07777777667</v>
      </c>
      <c r="DE208" s="207" t="str">
        <f>IFERROR(__xludf.DUMMYFUNCTION("IF(OR(DD208&gt;$BS208+$BT208*$BT$2,DD208&lt;$BS208-$BT208*$BT$2),AVEDEV(ARRAYFORMULA(XLOOKUP(FILTER(INDIRECT(""'""&amp;DD$1&amp;""'!$C$4:$C$66""),INDIRECT(""'""&amp;DD$1&amp;""'!$D$4:$D$66"")=DD$2),$G$3:$BQ$3,$G208:$BQ208))),"""")"),"")</f>
        <v/>
      </c>
      <c r="DF208" s="251">
        <f>IFERROR(__xludf.DUMMYFUNCTION("AVERAGE(ARRAYFORMULA(XLOOKUP(FILTER(INDIRECT(""'""&amp;DF$1&amp;""'!$C$4:$C$66""),INDIRECT(""'""&amp;DF$1&amp;""'!$D$4:$D$66"")=DF$2),$G$3:$BQ$3,$G208:$BQ208)))"),0.5036764675)</f>
        <v>0.5036764675</v>
      </c>
      <c r="DG208" s="207" t="str">
        <f>IFERROR(__xludf.DUMMYFUNCTION("IF(OR(DF208&gt;$BS208+$BT208*$BT$2,DF208&lt;$BS208-$BT208*$BT$2),AVEDEV(ARRAYFORMULA(XLOOKUP(FILTER(INDIRECT(""'""&amp;DF$1&amp;""'!$C$4:$C$66""),INDIRECT(""'""&amp;DF$1&amp;""'!$D$4:$D$66"")=DF$2),$G$3:$BQ$3,$G208:$BQ208))),"""")"),"")</f>
        <v/>
      </c>
      <c r="DH208" s="251">
        <f>IFERROR(__xludf.DUMMYFUNCTION("AVERAGE(ARRAYFORMULA(XLOOKUP(FILTER(INDIRECT(""'""&amp;DH$1&amp;""'!$C$4:$C$66""),INDIRECT(""'""&amp;DH$1&amp;""'!$D$4:$D$66"")=DH$2),$G$3:$BQ$3,$G208:$BQ208)))"),0.35163399222222225)</f>
        <v>0.3516339922</v>
      </c>
      <c r="DI208" s="207" t="str">
        <f>IFERROR(__xludf.DUMMYFUNCTION("IF(OR(DH208&gt;$BS208+$BT208*$BT$2,DH208&lt;$BS208-$BT208*$BT$2),AVEDEV(ARRAYFORMULA(XLOOKUP(FILTER(INDIRECT(""'""&amp;DH$1&amp;""'!$C$4:$C$66""),INDIRECT(""'""&amp;DH$1&amp;""'!$D$4:$D$66"")=DH$2),$G$3:$BQ$3,$G208:$BQ208))),"""")"),"")</f>
        <v/>
      </c>
      <c r="DJ208" s="243"/>
    </row>
    <row r="209">
      <c r="A209" s="2"/>
      <c r="B209" s="204">
        <v>205.0</v>
      </c>
      <c r="C209" s="204" t="s">
        <v>646</v>
      </c>
      <c r="D209" s="204" t="s">
        <v>654</v>
      </c>
      <c r="E209" s="205" t="b">
        <f>VLOOKUP(D209,'Feature Set List'!A206:C246,2,0)</f>
        <v>1</v>
      </c>
      <c r="F209" s="205" t="b">
        <f>VLOOKUP(D209,'Feature Set List'!A206:C246,3,0)</f>
        <v>1</v>
      </c>
      <c r="G209" s="205">
        <v>-0.2247191</v>
      </c>
      <c r="H209" s="205">
        <v>1.99750312</v>
      </c>
      <c r="I209" s="205">
        <v>-0.9590512</v>
      </c>
      <c r="J209" s="205">
        <v>-0.2946317</v>
      </c>
      <c r="K209" s="205">
        <v>-0.0049938</v>
      </c>
      <c r="L209" s="205">
        <v>0.96629213</v>
      </c>
      <c r="M209" s="205">
        <v>-1.349563</v>
      </c>
      <c r="N209" s="205">
        <v>2.32459426</v>
      </c>
      <c r="O209" s="205">
        <v>-0.0749064</v>
      </c>
      <c r="P209" s="205">
        <v>-0.8596754</v>
      </c>
      <c r="Q209" s="205">
        <v>-1.4097378</v>
      </c>
      <c r="R209" s="205">
        <v>-1.2749064</v>
      </c>
      <c r="S209" s="205">
        <v>-0.1722846</v>
      </c>
      <c r="T209" s="205">
        <v>0.56928839</v>
      </c>
      <c r="U209" s="205">
        <v>0.03745318</v>
      </c>
      <c r="V209" s="205">
        <v>-0.3420724</v>
      </c>
      <c r="W209" s="205">
        <v>0.082397</v>
      </c>
      <c r="X209" s="205">
        <v>0.04244694</v>
      </c>
      <c r="Y209" s="205">
        <v>0.96629213</v>
      </c>
      <c r="Z209" s="205">
        <v>0.38701623</v>
      </c>
      <c r="AA209" s="205">
        <v>-0.7228464</v>
      </c>
      <c r="AB209" s="205">
        <v>-0.082397</v>
      </c>
      <c r="AC209" s="205">
        <v>2.1423221</v>
      </c>
      <c r="AD209" s="205">
        <v>-0.928839</v>
      </c>
      <c r="AE209" s="205">
        <v>1.33832709</v>
      </c>
      <c r="AF209" s="205">
        <v>0.75905119</v>
      </c>
      <c r="AG209" s="205">
        <v>-0.0923845</v>
      </c>
      <c r="AH209" s="205">
        <v>-0.1198502</v>
      </c>
      <c r="AI209" s="205">
        <v>-0.5682896</v>
      </c>
      <c r="AJ209" s="205">
        <v>-0.0174782</v>
      </c>
      <c r="AK209" s="205">
        <v>-0.3445693</v>
      </c>
      <c r="AL209" s="205">
        <v>0.49937578</v>
      </c>
      <c r="AM209" s="205">
        <v>0.20973783</v>
      </c>
      <c r="AN209" s="205">
        <v>-0.8721598</v>
      </c>
      <c r="AO209" s="205">
        <v>2.49188514</v>
      </c>
      <c r="AP209" s="205">
        <v>-0.3245943</v>
      </c>
      <c r="AQ209" s="205">
        <v>-0.6149813</v>
      </c>
      <c r="AR209" s="205">
        <v>-0.5143571</v>
      </c>
      <c r="AS209" s="205">
        <v>-0.2696629</v>
      </c>
      <c r="AT209" s="205">
        <v>0.81398252</v>
      </c>
      <c r="AU209" s="205">
        <v>-2.9812734</v>
      </c>
      <c r="AV209" s="205">
        <v>0.24219725</v>
      </c>
      <c r="AW209" s="205">
        <v>1.64044944</v>
      </c>
      <c r="AX209" s="205">
        <v>0.0</v>
      </c>
      <c r="AY209" s="205">
        <v>0.47440699</v>
      </c>
      <c r="AZ209" s="205">
        <v>-0.1523096</v>
      </c>
      <c r="BA209" s="205">
        <v>0.72659176</v>
      </c>
      <c r="BB209" s="205">
        <v>0.43445693</v>
      </c>
      <c r="BC209" s="205">
        <v>0.50686642</v>
      </c>
      <c r="BD209" s="205">
        <v>1.40074906</v>
      </c>
      <c r="BE209" s="205">
        <v>0.98876404</v>
      </c>
      <c r="BF209" s="205">
        <v>0.31710362</v>
      </c>
      <c r="BG209" s="205">
        <v>2.04993758</v>
      </c>
      <c r="BH209" s="205">
        <v>0.08739076</v>
      </c>
      <c r="BI209" s="205">
        <v>1.65293383</v>
      </c>
      <c r="BJ209" s="205">
        <v>0.16229713</v>
      </c>
      <c r="BK209" s="205">
        <v>-0.9530587</v>
      </c>
      <c r="BL209" s="205">
        <v>-0.8756554</v>
      </c>
      <c r="BM209" s="205">
        <v>0.76154806</v>
      </c>
      <c r="BN209" s="205">
        <v>0.1772784</v>
      </c>
      <c r="BO209" s="205">
        <v>-0.3345818</v>
      </c>
      <c r="BP209" s="205">
        <v>-1.0287141</v>
      </c>
      <c r="BQ209" s="205">
        <v>-0.3595506</v>
      </c>
      <c r="BR209" s="206"/>
      <c r="BS209" s="250">
        <f t="shared" si="1"/>
        <v>0.128997481</v>
      </c>
      <c r="BT209" s="250">
        <f t="shared" si="2"/>
        <v>0.7466132201</v>
      </c>
      <c r="BU209" s="206"/>
      <c r="BV209" s="207">
        <f>IFERROR(__xludf.DUMMYFUNCTION("AVERAGE(ARRAYFORMULA(XLOOKUP(FILTER(INDIRECT(""'""&amp;BV$1&amp;""'!$C$4:$C$66""),INDIRECT(""'""&amp;BV$1&amp;""'!$D$4:$D$66"")=BV$2),$G$3:$BQ$3,$G209:$BQ209)))"),0.5133939742857143)</f>
        <v>0.5133939743</v>
      </c>
      <c r="BW209" s="207" t="str">
        <f>IFERROR(__xludf.DUMMYFUNCTION("IF(OR(BV209&gt;$BS209+$BT209*$BT$2,BV209&lt;$BS209-$BT209*$BT$2),AVEDEV(ARRAYFORMULA(XLOOKUP(FILTER(INDIRECT(""'""&amp;BV$1&amp;""'!$C$4:$C$66""),INDIRECT(""'""&amp;BV$1&amp;""'!$D$4:$D$66"")=BV$2),$G$3:$BQ$3,$G209:$BQ209))),"""")"),"")</f>
        <v/>
      </c>
      <c r="BX209" s="207">
        <f>IFERROR(__xludf.DUMMYFUNCTION("AVERAGE(ARRAYFORMULA(XLOOKUP(FILTER(INDIRECT(""'""&amp;BX$1&amp;""'!$C$4:$C$66""),INDIRECT(""'""&amp;BX$1&amp;""'!$D$4:$D$66"")=BX$2),$G$3:$BQ$3,$G209:$BQ209)))"),0.11493965380952377)</f>
        <v>0.1149396538</v>
      </c>
      <c r="BY209" s="207" t="str">
        <f>IFERROR(__xludf.DUMMYFUNCTION("IF(OR(BX209&gt;$BS209+$BT209*$BT$2,BX209&lt;$BS209-$BT209*$BT$2),AVEDEV(ARRAYFORMULA(XLOOKUP(FILTER(INDIRECT(""'""&amp;BX$1&amp;""'!$C$4:$C$66""),INDIRECT(""'""&amp;BX$1&amp;""'!$D$4:$D$66"")=BX$2),$G$3:$BQ$3,$G209:$BQ209))),"""")"),"")</f>
        <v/>
      </c>
      <c r="BZ209" s="207">
        <f>IFERROR(__xludf.DUMMYFUNCTION("AVERAGE(ARRAYFORMULA(XLOOKUP(FILTER(INDIRECT(""'""&amp;BZ$1&amp;""'!$C$4:$C$66""),INDIRECT(""'""&amp;BZ$1&amp;""'!$D$4:$D$66"")=BZ$2),$G$3:$BQ$3,$G209:$BQ209)))"),0.2041085054545455)</f>
        <v>0.2041085055</v>
      </c>
      <c r="CA209" s="207" t="str">
        <f>IFERROR(__xludf.DUMMYFUNCTION("IF(OR(BZ209&gt;$BS209+$BT209*$BT$2,BZ209&lt;$BS209-$BT209*$BT$2),AVEDEV(ARRAYFORMULA(XLOOKUP(FILTER(INDIRECT(""'""&amp;BZ$1&amp;""'!$C$4:$C$66""),INDIRECT(""'""&amp;BZ$1&amp;""'!$D$4:$D$66"")=BZ$2),$G$3:$BQ$3,$G209:$BQ209))),"""")"),"")</f>
        <v/>
      </c>
      <c r="CB209" s="209"/>
      <c r="CC209" s="207">
        <f>IFERROR(__xludf.DUMMYFUNCTION("AVERAGE(ARRAYFORMULA(XLOOKUP(FILTER(INDIRECT(""'""&amp;CC$1&amp;""'!$C$4:$C$66""),INDIRECT(""'""&amp;CC$1&amp;""'!$D$4:$D$66"")=CC$2),$G$3:$BQ$3,$G209:$BQ209)))"),0.39483457875000005)</f>
        <v>0.3948345788</v>
      </c>
      <c r="CD209" s="207" t="str">
        <f>IFERROR(__xludf.DUMMYFUNCTION("IF(OR(CC209&gt;$BS209+$BT209*$BT$2,CC209&lt;$BS209-$BT209*$BT$2),AVEDEV(ARRAYFORMULA(XLOOKUP(FILTER(INDIRECT(""'""&amp;CC$1&amp;""'!$C$4:$C$66""),INDIRECT(""'""&amp;CC$1&amp;""'!$D$4:$D$66"")=CC$2),$G$3:$BQ$3,$G209:$BQ209))),"""")"),"")</f>
        <v/>
      </c>
      <c r="CE209" s="207">
        <f>IFERROR(__xludf.DUMMYFUNCTION("AVERAGE(ARRAYFORMULA(XLOOKUP(FILTER(INDIRECT(""'""&amp;CE$1&amp;""'!$C$4:$C$66""),INDIRECT(""'""&amp;CE$1&amp;""'!$D$4:$D$66"")=CE$2),$G$3:$BQ$3,$G209:$BQ209)))"),0.02535540032258062)</f>
        <v>0.02535540032</v>
      </c>
      <c r="CF209" s="207" t="str">
        <f>IFERROR(__xludf.DUMMYFUNCTION("IF(OR(CE209&gt;$BS209+$BT209*$BT$2,CE209&lt;$BS209-$BT209*$BT$2),AVEDEV(ARRAYFORMULA(XLOOKUP(FILTER(INDIRECT(""'""&amp;CE$1&amp;""'!$C$4:$C$66""),INDIRECT(""'""&amp;CE$1&amp;""'!$D$4:$D$66"")=CE$2),$G$3:$BQ$3,$G209:$BQ209))),"""")"),"")</f>
        <v/>
      </c>
      <c r="CG209" s="207">
        <f>IFERROR(__xludf.DUMMYFUNCTION("AVERAGE(ARRAYFORMULA(XLOOKUP(FILTER(INDIRECT(""'""&amp;CG$1&amp;""'!$C$4:$C$66""),INDIRECT(""'""&amp;CG$1&amp;""'!$D$4:$D$66"")=CG$2),$G$3:$BQ$3,$G209:$BQ209)))"),0.44329588600000003)</f>
        <v>0.443295886</v>
      </c>
      <c r="CH209" s="207" t="str">
        <f>IFERROR(__xludf.DUMMYFUNCTION("IF(OR(CG209&gt;$BS209+$BT209*$BT$2,CG209&lt;$BS209-$BT209*$BT$2),AVEDEV(ARRAYFORMULA(XLOOKUP(FILTER(INDIRECT(""'""&amp;CG$1&amp;""'!$C$4:$C$66""),INDIRECT(""'""&amp;CG$1&amp;""'!$D$4:$D$66"")=CG$2),$G$3:$BQ$3,$G209:$BQ209))),"""")"),"")</f>
        <v/>
      </c>
      <c r="CI209" s="206"/>
      <c r="CJ209" s="251">
        <f>IFERROR(__xludf.DUMMYFUNCTION("AVERAGE(ARRAYFORMULA(XLOOKUP(FILTER(INDIRECT(""'""&amp;CJ$1&amp;""'!$C$4:$C$66""),INDIRECT(""'""&amp;CJ$1&amp;""'!$D$4:$D$66"")=CJ$2),$G$3:$BQ$3,$G209:$BQ209)))"),0.5577195166666666)</f>
        <v>0.5577195167</v>
      </c>
      <c r="CK209" s="207" t="str">
        <f>IFERROR(__xludf.DUMMYFUNCTION("IF(OR(CJ209&gt;$BS209+$BT209*$BT$2,CJ209&lt;$BS209-$BT209*$BT$2),AVEDEV(ARRAYFORMULA(XLOOKUP(FILTER(INDIRECT(""'""&amp;CJ$1&amp;""'!$C$4:$C$66""),INDIRECT(""'""&amp;CJ$1&amp;""'!$D$4:$D$66"")=CJ$2),$G$3:$BQ$3,$G209:$BQ209))),"""")"),"")</f>
        <v/>
      </c>
      <c r="CL209" s="251">
        <f>IFERROR(__xludf.DUMMYFUNCTION("AVERAGE(ARRAYFORMULA(XLOOKUP(FILTER(INDIRECT(""'""&amp;CL$1&amp;""'!$C$4:$C$66""),INDIRECT(""'""&amp;CL$1&amp;""'!$D$4:$D$66"")=CL$2),$G$3:$BQ$3,$G209:$BQ209)))"),0.024610257948717924)</f>
        <v>0.02461025795</v>
      </c>
      <c r="CM209" s="207" t="str">
        <f>IFERROR(__xludf.DUMMYFUNCTION("IF(OR(CL209&gt;$BS209+$BT209*$BT$2,CL209&lt;$BS209-$BT209*$BT$2),AVEDEV(ARRAYFORMULA(XLOOKUP(FILTER(INDIRECT(""'""&amp;CL$1&amp;""'!$C$4:$C$66""),INDIRECT(""'""&amp;CL$1&amp;""'!$D$4:$D$66"")=CL$2),$G$3:$BQ$3,$G209:$BQ209))),"""")"),"")</f>
        <v/>
      </c>
      <c r="CN209" s="251">
        <f>IFERROR(__xludf.DUMMYFUNCTION("AVERAGE(ARRAYFORMULA(XLOOKUP(FILTER(INDIRECT(""'""&amp;CN$1&amp;""'!$C$4:$C$66""),INDIRECT(""'""&amp;CN$1&amp;""'!$D$4:$D$66"")=CN$2),$G$3:$BQ$3,$G209:$BQ209)))"),0.44329588600000003)</f>
        <v>0.443295886</v>
      </c>
      <c r="CO209" s="207" t="str">
        <f>IFERROR(__xludf.DUMMYFUNCTION("IF(OR(CN209&gt;$BS209+$BT209*$BT$2,CN209&lt;$BS209-$BT209*$BT$2),AVEDEV(ARRAYFORMULA(XLOOKUP(FILTER(INDIRECT(""'""&amp;CN$1&amp;""'!$C$4:$C$66""),INDIRECT(""'""&amp;CN$1&amp;""'!$D$4:$D$66"")=CN$2),$G$3:$BQ$3,$G209:$BQ209))),"""")"),"")</f>
        <v/>
      </c>
      <c r="CP209" s="252"/>
      <c r="CQ209" s="251">
        <f>IFERROR(__xludf.DUMMYFUNCTION("AVERAGE(ARRAYFORMULA(XLOOKUP(FILTER(INDIRECT(""'""&amp;CQ$1&amp;""'!$C$4:$C$66""),INDIRECT(""'""&amp;CQ$1&amp;""'!$D$4:$D$66"")=CQ$2),$G$3:$BQ$3,$G209:$BQ209)))"),0.3273408221428572)</f>
        <v>0.3273408221</v>
      </c>
      <c r="CR209" s="207" t="str">
        <f>IFERROR(__xludf.DUMMYFUNCTION("IF(OR(CQ209&gt;$BS209+$BT209*$BT$2,CQ209&lt;$BS209-$BT209*$BT$2),AVEDEV(ARRAYFORMULA(XLOOKUP(FILTER(INDIRECT(""'""&amp;CQ$1&amp;""'!$C$4:$C$66""),INDIRECT(""'""&amp;CQ$1&amp;""'!$D$4:$D$66"")=CQ$2),$G$3:$BQ$3,$G209:$BQ209))),"""")"),"")</f>
        <v/>
      </c>
      <c r="CS209" s="251">
        <f>IFERROR(__xludf.DUMMYFUNCTION("AVERAGE(ARRAYFORMULA(XLOOKUP(FILTER(INDIRECT(""'""&amp;CS$1&amp;""'!$C$4:$C$66""),INDIRECT(""'""&amp;CS$1&amp;""'!$D$4:$D$66"")=CS$2),$G$3:$BQ$3,$G209:$BQ209)))"),0.18177278888888887)</f>
        <v>0.1817727889</v>
      </c>
      <c r="CT209" s="207" t="str">
        <f>IFERROR(__xludf.DUMMYFUNCTION("IF(OR(CS209&gt;$BS209+$BT209*$BT$2,CS209&lt;$BS209-$BT209*$BT$2),AVEDEV(ARRAYFORMULA(XLOOKUP(FILTER(INDIRECT(""'""&amp;CS$1&amp;""'!$C$4:$C$66""),INDIRECT(""'""&amp;CS$1&amp;""'!$D$4:$D$66"")=CS$2),$G$3:$BQ$3,$G209:$BQ209))),"""")"),"")</f>
        <v/>
      </c>
      <c r="CU209" s="251">
        <f>IFERROR(__xludf.DUMMYFUNCTION("AVERAGE(ARRAYFORMULA(XLOOKUP(FILTER(INDIRECT(""'""&amp;CU$1&amp;""'!$C$4:$C$66""),INDIRECT(""'""&amp;CU$1&amp;""'!$D$4:$D$66"")=CU$2),$G$3:$BQ$3,$G209:$BQ209)))"),0.35217342545454544)</f>
        <v>0.3521734255</v>
      </c>
      <c r="CV209" s="207" t="str">
        <f>IFERROR(__xludf.DUMMYFUNCTION("IF(OR(CU209&gt;$BS209+$BT209*$BT$2,CU209&lt;$BS209-$BT209*$BT$2),AVEDEV(ARRAYFORMULA(XLOOKUP(FILTER(INDIRECT(""'""&amp;CU$1&amp;""'!$C$4:$C$66""),INDIRECT(""'""&amp;CU$1&amp;""'!$D$4:$D$66"")=CU$2),$G$3:$BQ$3,$G209:$BQ209))),"""")"),"")</f>
        <v/>
      </c>
      <c r="CW209" s="251">
        <f>IFERROR(__xludf.DUMMYFUNCTION("AVERAGE(ARRAYFORMULA(XLOOKUP(FILTER(INDIRECT(""'""&amp;CW$1&amp;""'!$C$4:$C$66""),INDIRECT(""'""&amp;CW$1&amp;""'!$D$4:$D$66"")=CW$2),$G$3:$BQ$3,$G209:$BQ209)))"),-0.42072412)</f>
        <v>-0.42072412</v>
      </c>
      <c r="CX209" s="207" t="str">
        <f>IFERROR(__xludf.DUMMYFUNCTION("IF(OR(CW209&gt;$BS209+$BT209*$BT$2,CW209&lt;$BS209-$BT209*$BT$2),AVEDEV(ARRAYFORMULA(XLOOKUP(FILTER(INDIRECT(""'""&amp;CW$1&amp;""'!$C$4:$C$66""),INDIRECT(""'""&amp;CW$1&amp;""'!$D$4:$D$66"")=CW$2),$G$3:$BQ$3,$G209:$BQ209))),"""")"),"")</f>
        <v/>
      </c>
      <c r="CY209" s="251">
        <f>IFERROR(__xludf.DUMMYFUNCTION("AVERAGE(ARRAYFORMULA(XLOOKUP(FILTER(INDIRECT(""'""&amp;CY$1&amp;""'!$C$4:$C$66""),INDIRECT(""'""&amp;CY$1&amp;""'!$D$4:$D$66"")=CY$2),$G$3:$BQ$3,$G209:$BQ209)))"),-0.19038702785714282)</f>
        <v>-0.1903870279</v>
      </c>
      <c r="CZ209" s="207" t="str">
        <f>IFERROR(__xludf.DUMMYFUNCTION("IF(OR(CY209&gt;$BS209+$BT209*$BT$2,CY209&lt;$BS209-$BT209*$BT$2),AVEDEV(ARRAYFORMULA(XLOOKUP(FILTER(INDIRECT(""'""&amp;CY$1&amp;""'!$C$4:$C$66""),INDIRECT(""'""&amp;CY$1&amp;""'!$D$4:$D$66"")=CY$2),$G$3:$BQ$3,$G209:$BQ209))),"""")"),"")</f>
        <v/>
      </c>
      <c r="DA209" s="252"/>
      <c r="DB209" s="251">
        <f>IFERROR(__xludf.DUMMYFUNCTION("AVERAGE(ARRAYFORMULA(XLOOKUP(FILTER(INDIRECT(""'""&amp;DB$1&amp;""'!$C$4:$C$66""),INDIRECT(""'""&amp;DB$1&amp;""'!$D$4:$D$66"")=DB$2),$G$3:$BQ$3,$G209:$BQ209)))"),0.2734498516666666)</f>
        <v>0.2734498517</v>
      </c>
      <c r="DC209" s="207" t="str">
        <f>IFERROR(__xludf.DUMMYFUNCTION("IF(OR(DB209&gt;$BS209+$BT209*$BT$2,DB209&lt;$BS209-$BT209*$BT$2),AVEDEV(ARRAYFORMULA(XLOOKUP(FILTER(INDIRECT(""'""&amp;DB$1&amp;""'!$C$4:$C$66""),INDIRECT(""'""&amp;DB$1&amp;""'!$D$4:$D$66"")=DB$2),$G$3:$BQ$3,$G209:$BQ209))),"""")"),"")</f>
        <v/>
      </c>
      <c r="DD209" s="251">
        <f>IFERROR(__xludf.DUMMYFUNCTION("AVERAGE(ARRAYFORMULA(XLOOKUP(FILTER(INDIRECT(""'""&amp;DD$1&amp;""'!$C$4:$C$66""),INDIRECT(""'""&amp;DD$1&amp;""'!$D$4:$D$66"")=DD$2),$G$3:$BQ$3,$G209:$BQ209)))"),0.10159523222222222)</f>
        <v>0.1015952322</v>
      </c>
      <c r="DE209" s="207" t="str">
        <f>IFERROR(__xludf.DUMMYFUNCTION("IF(OR(DD209&gt;$BS209+$BT209*$BT$2,DD209&lt;$BS209-$BT209*$BT$2),AVEDEV(ARRAYFORMULA(XLOOKUP(FILTER(INDIRECT(""'""&amp;DD$1&amp;""'!$C$4:$C$66""),INDIRECT(""'""&amp;DD$1&amp;""'!$D$4:$D$66"")=DD$2),$G$3:$BQ$3,$G209:$BQ209))),"""")"),"")</f>
        <v/>
      </c>
      <c r="DF209" s="251">
        <f>IFERROR(__xludf.DUMMYFUNCTION("AVERAGE(ARRAYFORMULA(XLOOKUP(FILTER(INDIRECT(""'""&amp;DF$1&amp;""'!$C$4:$C$66""),INDIRECT(""'""&amp;DF$1&amp;""'!$D$4:$D$66"")=DF$2),$G$3:$BQ$3,$G209:$BQ209)))"),-0.23785892875)</f>
        <v>-0.2378589288</v>
      </c>
      <c r="DG209" s="207" t="str">
        <f>IFERROR(__xludf.DUMMYFUNCTION("IF(OR(DF209&gt;$BS209+$BT209*$BT$2,DF209&lt;$BS209-$BT209*$BT$2),AVEDEV(ARRAYFORMULA(XLOOKUP(FILTER(INDIRECT(""'""&amp;DF$1&amp;""'!$C$4:$C$66""),INDIRECT(""'""&amp;DF$1&amp;""'!$D$4:$D$66"")=DF$2),$G$3:$BQ$3,$G209:$BQ209))),"""")"),"")</f>
        <v/>
      </c>
      <c r="DH209" s="251">
        <f>IFERROR(__xludf.DUMMYFUNCTION("AVERAGE(ARRAYFORMULA(XLOOKUP(FILTER(INDIRECT(""'""&amp;DH$1&amp;""'!$C$4:$C$66""),INDIRECT(""'""&amp;DH$1&amp;""'!$D$4:$D$66"")=DH$2),$G$3:$BQ$3,$G209:$BQ209)))"),0.25634622777777777)</f>
        <v>0.2563462278</v>
      </c>
      <c r="DI209" s="207" t="str">
        <f>IFERROR(__xludf.DUMMYFUNCTION("IF(OR(DH209&gt;$BS209+$BT209*$BT$2,DH209&lt;$BS209-$BT209*$BT$2),AVEDEV(ARRAYFORMULA(XLOOKUP(FILTER(INDIRECT(""'""&amp;DH$1&amp;""'!$C$4:$C$66""),INDIRECT(""'""&amp;DH$1&amp;""'!$D$4:$D$66"")=DH$2),$G$3:$BQ$3,$G209:$BQ209))),"""")"),"")</f>
        <v/>
      </c>
      <c r="DJ209" s="243"/>
    </row>
    <row r="210">
      <c r="A210" s="2"/>
      <c r="B210" s="204">
        <v>206.0</v>
      </c>
      <c r="C210" s="204" t="s">
        <v>646</v>
      </c>
      <c r="D210" s="204" t="s">
        <v>655</v>
      </c>
      <c r="E210" s="205" t="b">
        <f>VLOOKUP(D210,'Feature Set List'!A207:C246,2,0)</f>
        <v>1</v>
      </c>
      <c r="F210" s="205" t="b">
        <f>VLOOKUP(D210,'Feature Set List'!A207:C246,3,0)</f>
        <v>0</v>
      </c>
      <c r="G210" s="205">
        <v>0.0</v>
      </c>
      <c r="H210" s="205">
        <v>-0.5064146</v>
      </c>
      <c r="I210" s="205">
        <v>-0.9993248</v>
      </c>
      <c r="J210" s="205">
        <v>1.20661715</v>
      </c>
      <c r="K210" s="205">
        <v>0.09182984</v>
      </c>
      <c r="L210" s="205">
        <v>0.25523295</v>
      </c>
      <c r="M210" s="205">
        <v>0.1215395</v>
      </c>
      <c r="N210" s="205">
        <v>0.66509115</v>
      </c>
      <c r="O210" s="205">
        <v>0.93990547</v>
      </c>
      <c r="P210" s="205">
        <v>-1.0668467</v>
      </c>
      <c r="Q210" s="205">
        <v>0.14449696</v>
      </c>
      <c r="R210" s="205">
        <v>0.18906144</v>
      </c>
      <c r="S210" s="205">
        <v>0.81634031</v>
      </c>
      <c r="T210" s="205">
        <v>0.10465901</v>
      </c>
      <c r="U210" s="205">
        <v>1.18568535</v>
      </c>
      <c r="V210" s="205">
        <v>-0.9453072</v>
      </c>
      <c r="W210" s="205">
        <v>0.0</v>
      </c>
      <c r="X210" s="205">
        <v>-0.6826469</v>
      </c>
      <c r="Y210" s="205">
        <v>-0.4773801</v>
      </c>
      <c r="Z210" s="205">
        <v>0.52329507</v>
      </c>
      <c r="AA210" s="205">
        <v>-0.1829845</v>
      </c>
      <c r="AB210" s="205">
        <v>-0.4868332</v>
      </c>
      <c r="AC210" s="205">
        <v>-0.2336259</v>
      </c>
      <c r="AD210" s="205">
        <v>-0.6887238</v>
      </c>
      <c r="AE210" s="205">
        <v>-0.0054018</v>
      </c>
      <c r="AF210" s="205">
        <v>0.1181634</v>
      </c>
      <c r="AG210" s="205">
        <v>-0.2248481</v>
      </c>
      <c r="AH210" s="205">
        <v>0.03646185</v>
      </c>
      <c r="AI210" s="205">
        <v>-0.9696151</v>
      </c>
      <c r="AJ210" s="205">
        <v>-0.6076975</v>
      </c>
      <c r="AK210" s="205">
        <v>-0.8041864</v>
      </c>
      <c r="AL210" s="205">
        <v>-0.2457799</v>
      </c>
      <c r="AM210" s="205">
        <v>1.56853477</v>
      </c>
      <c r="AN210" s="205">
        <v>0.27819041</v>
      </c>
      <c r="AO210" s="205">
        <v>-0.4051317</v>
      </c>
      <c r="AP210" s="205">
        <v>0.13504389</v>
      </c>
      <c r="AQ210" s="205">
        <v>-0.8392978</v>
      </c>
      <c r="AR210" s="205">
        <v>0.06752194</v>
      </c>
      <c r="AS210" s="205">
        <v>0.06076975</v>
      </c>
      <c r="AT210" s="205">
        <v>2.23295071</v>
      </c>
      <c r="AU210" s="205">
        <v>-1.8230925</v>
      </c>
      <c r="AV210" s="205">
        <v>-0.6752194</v>
      </c>
      <c r="AW210" s="205">
        <v>-0.6900743</v>
      </c>
      <c r="AX210" s="205">
        <v>0.43889264</v>
      </c>
      <c r="AY210" s="205">
        <v>-1.0634706</v>
      </c>
      <c r="AZ210" s="205">
        <v>0.73126266</v>
      </c>
      <c r="BA210" s="205">
        <v>-0.2518569</v>
      </c>
      <c r="BB210" s="205">
        <v>-0.1755571</v>
      </c>
      <c r="BC210" s="205">
        <v>1.71843349</v>
      </c>
      <c r="BD210" s="205">
        <v>-0.9648886</v>
      </c>
      <c r="BE210" s="205">
        <v>-0.3497637</v>
      </c>
      <c r="BF210" s="205">
        <v>-0.2748143</v>
      </c>
      <c r="BG210" s="205">
        <v>-0.1417961</v>
      </c>
      <c r="BH210" s="205">
        <v>0.02700878</v>
      </c>
      <c r="BI210" s="205">
        <v>0.52532073</v>
      </c>
      <c r="BJ210" s="205">
        <v>1.32140446</v>
      </c>
      <c r="BK210" s="205">
        <v>1.3923025</v>
      </c>
      <c r="BL210" s="205">
        <v>-0.9453072</v>
      </c>
      <c r="BM210" s="205">
        <v>-1.1731938</v>
      </c>
      <c r="BN210" s="205">
        <v>0.52464551</v>
      </c>
      <c r="BO210" s="205">
        <v>1.24105334</v>
      </c>
      <c r="BP210" s="205">
        <v>-0.8494261</v>
      </c>
      <c r="BQ210" s="205">
        <v>0.11951384</v>
      </c>
      <c r="BR210" s="206"/>
      <c r="BS210" s="250">
        <f t="shared" si="1"/>
        <v>-0.01538536079</v>
      </c>
      <c r="BT210" s="250">
        <f t="shared" si="2"/>
        <v>0.6121759992</v>
      </c>
      <c r="BU210" s="206"/>
      <c r="BV210" s="207">
        <f>IFERROR(__xludf.DUMMYFUNCTION("AVERAGE(ARRAYFORMULA(XLOOKUP(FILTER(INDIRECT(""'""&amp;BV$1&amp;""'!$C$4:$C$66""),INDIRECT(""'""&amp;BV$1&amp;""'!$D$4:$D$66"")=BV$2),$G$3:$BQ$3,$G210:$BQ210)))"),-0.3480274071428572)</f>
        <v>-0.3480274071</v>
      </c>
      <c r="BW210" s="207" t="str">
        <f>IFERROR(__xludf.DUMMYFUNCTION("IF(OR(BV210&gt;$BS210+$BT210*$BT$2,BV210&lt;$BS210-$BT210*$BT$2),AVEDEV(ARRAYFORMULA(XLOOKUP(FILTER(INDIRECT(""'""&amp;BV$1&amp;""'!$C$4:$C$66""),INDIRECT(""'""&amp;BV$1&amp;""'!$D$4:$D$66"")=BV$2),$G$3:$BQ$3,$G210:$BQ210))),"""")"),"")</f>
        <v/>
      </c>
      <c r="BX210" s="207">
        <f>IFERROR(__xludf.DUMMYFUNCTION("AVERAGE(ARRAYFORMULA(XLOOKUP(FILTER(INDIRECT(""'""&amp;BX$1&amp;""'!$C$4:$C$66""),INDIRECT(""'""&amp;BX$1&amp;""'!$D$4:$D$66"")=BX$2),$G$3:$BQ$3,$G210:$BQ210)))"),0.16411047619047614)</f>
        <v>0.1641104762</v>
      </c>
      <c r="BY210" s="207" t="str">
        <f>IFERROR(__xludf.DUMMYFUNCTION("IF(OR(BX210&gt;$BS210+$BT210*$BT$2,BX210&lt;$BS210-$BT210*$BT$2),AVEDEV(ARRAYFORMULA(XLOOKUP(FILTER(INDIRECT(""'""&amp;BX$1&amp;""'!$C$4:$C$66""),INDIRECT(""'""&amp;BX$1&amp;""'!$D$4:$D$66"")=BX$2),$G$3:$BQ$3,$G210:$BQ210))),"""")"),"")</f>
        <v/>
      </c>
      <c r="BZ210" s="207">
        <f>IFERROR(__xludf.DUMMYFUNCTION("AVERAGE(ARRAYFORMULA(XLOOKUP(FILTER(INDIRECT(""'""&amp;BZ$1&amp;""'!$C$4:$C$66""),INDIRECT(""'""&amp;BZ$1&amp;""'!$D$4:$D$66"")=BZ$2),$G$3:$BQ$3,$G210:$BQ210)))"),-0.1489472709090909)</f>
        <v>-0.1489472709</v>
      </c>
      <c r="CA210" s="207" t="str">
        <f>IFERROR(__xludf.DUMMYFUNCTION("IF(OR(BZ210&gt;$BS210+$BT210*$BT$2,BZ210&lt;$BS210-$BT210*$BT$2),AVEDEV(ARRAYFORMULA(XLOOKUP(FILTER(INDIRECT(""'""&amp;BZ$1&amp;""'!$C$4:$C$66""),INDIRECT(""'""&amp;BZ$1&amp;""'!$D$4:$D$66"")=BZ$2),$G$3:$BQ$3,$G210:$BQ210))),"""")"),"")</f>
        <v/>
      </c>
      <c r="CB210" s="209"/>
      <c r="CC210" s="207">
        <f>IFERROR(__xludf.DUMMYFUNCTION("AVERAGE(ARRAYFORMULA(XLOOKUP(FILTER(INDIRECT(""'""&amp;CC$1&amp;""'!$C$4:$C$66""),INDIRECT(""'""&amp;CC$1&amp;""'!$D$4:$D$66"")=CC$2),$G$3:$BQ$3,$G210:$BQ210)))"),0.005106336874999968)</f>
        <v>0.005106336875</v>
      </c>
      <c r="CD210" s="207" t="str">
        <f>IFERROR(__xludf.DUMMYFUNCTION("IF(OR(CC210&gt;$BS210+$BT210*$BT$2,CC210&lt;$BS210-$BT210*$BT$2),AVEDEV(ARRAYFORMULA(XLOOKUP(FILTER(INDIRECT(""'""&amp;CC$1&amp;""'!$C$4:$C$66""),INDIRECT(""'""&amp;CC$1&amp;""'!$D$4:$D$66"")=CC$2),$G$3:$BQ$3,$G210:$BQ210))),"""")"),"")</f>
        <v/>
      </c>
      <c r="CE210" s="207">
        <f>IFERROR(__xludf.DUMMYFUNCTION("AVERAGE(ARRAYFORMULA(XLOOKUP(FILTER(INDIRECT(""'""&amp;CE$1&amp;""'!$C$4:$C$66""),INDIRECT(""'""&amp;CE$1&amp;""'!$D$4:$D$66"")=CE$2),$G$3:$BQ$3,$G210:$BQ210)))"),0.1771035290322581)</f>
        <v>0.177103529</v>
      </c>
      <c r="CF210" s="207" t="str">
        <f>IFERROR(__xludf.DUMMYFUNCTION("IF(OR(CE210&gt;$BS210+$BT210*$BT$2,CE210&lt;$BS210-$BT210*$BT$2),AVEDEV(ARRAYFORMULA(XLOOKUP(FILTER(INDIRECT(""'""&amp;CE$1&amp;""'!$C$4:$C$66""),INDIRECT(""'""&amp;CE$1&amp;""'!$D$4:$D$66"")=CE$2),$G$3:$BQ$3,$G210:$BQ210))),"""")"),"")</f>
        <v/>
      </c>
      <c r="CG210" s="207">
        <f>IFERROR(__xludf.DUMMYFUNCTION("AVERAGE(ARRAYFORMULA(XLOOKUP(FILTER(INDIRECT(""'""&amp;CG$1&amp;""'!$C$4:$C$66""),INDIRECT(""'""&amp;CG$1&amp;""'!$D$4:$D$66"")=CG$2),$G$3:$BQ$3,$G210:$BQ210)))"),-0.259014188)</f>
        <v>-0.259014188</v>
      </c>
      <c r="CH210" s="207" t="str">
        <f>IFERROR(__xludf.DUMMYFUNCTION("IF(OR(CG210&gt;$BS210+$BT210*$BT$2,CG210&lt;$BS210-$BT210*$BT$2),AVEDEV(ARRAYFORMULA(XLOOKUP(FILTER(INDIRECT(""'""&amp;CG$1&amp;""'!$C$4:$C$66""),INDIRECT(""'""&amp;CG$1&amp;""'!$D$4:$D$66"")=CG$2),$G$3:$BQ$3,$G210:$BQ210))),"""")"),"")</f>
        <v/>
      </c>
      <c r="CI210" s="206"/>
      <c r="CJ210" s="251">
        <f>IFERROR(__xludf.DUMMYFUNCTION("AVERAGE(ARRAYFORMULA(XLOOKUP(FILTER(INDIRECT(""'""&amp;CJ$1&amp;""'!$C$4:$C$66""),INDIRECT(""'""&amp;CJ$1&amp;""'!$D$4:$D$66"")=CJ$2),$G$3:$BQ$3,$G210:$BQ210)))"),0.10625702666666666)</f>
        <v>0.1062570267</v>
      </c>
      <c r="CK210" s="207" t="str">
        <f>IFERROR(__xludf.DUMMYFUNCTION("IF(OR(CJ210&gt;$BS210+$BT210*$BT$2,CJ210&lt;$BS210-$BT210*$BT$2),AVEDEV(ARRAYFORMULA(XLOOKUP(FILTER(INDIRECT(""'""&amp;CJ$1&amp;""'!$C$4:$C$66""),INDIRECT(""'""&amp;CJ$1&amp;""'!$D$4:$D$66"")=CJ$2),$G$3:$BQ$3,$G210:$BQ210))),"""")"),"")</f>
        <v/>
      </c>
      <c r="CL210" s="251">
        <f>IFERROR(__xludf.DUMMYFUNCTION("AVERAGE(ARRAYFORMULA(XLOOKUP(FILTER(INDIRECT(""'""&amp;CL$1&amp;""'!$C$4:$C$66""),INDIRECT(""'""&amp;CL$1&amp;""'!$D$4:$D$66"")=CL$2),$G$3:$BQ$3,$G210:$BQ210)))"),0.08883463871794875)</f>
        <v>0.08883463872</v>
      </c>
      <c r="CM210" s="207" t="str">
        <f>IFERROR(__xludf.DUMMYFUNCTION("IF(OR(CL210&gt;$BS210+$BT210*$BT$2,CL210&lt;$BS210-$BT210*$BT$2),AVEDEV(ARRAYFORMULA(XLOOKUP(FILTER(INDIRECT(""'""&amp;CL$1&amp;""'!$C$4:$C$66""),INDIRECT(""'""&amp;CL$1&amp;""'!$D$4:$D$66"")=CL$2),$G$3:$BQ$3,$G210:$BQ210))),"""")"),"")</f>
        <v/>
      </c>
      <c r="CN210" s="251">
        <f>IFERROR(__xludf.DUMMYFUNCTION("AVERAGE(ARRAYFORMULA(XLOOKUP(FILTER(INDIRECT(""'""&amp;CN$1&amp;""'!$C$4:$C$66""),INDIRECT(""'""&amp;CN$1&amp;""'!$D$4:$D$66"")=CN$2),$G$3:$BQ$3,$G210:$BQ210)))"),-0.259014188)</f>
        <v>-0.259014188</v>
      </c>
      <c r="CO210" s="207" t="str">
        <f>IFERROR(__xludf.DUMMYFUNCTION("IF(OR(CN210&gt;$BS210+$BT210*$BT$2,CN210&lt;$BS210-$BT210*$BT$2),AVEDEV(ARRAYFORMULA(XLOOKUP(FILTER(INDIRECT(""'""&amp;CN$1&amp;""'!$C$4:$C$66""),INDIRECT(""'""&amp;CN$1&amp;""'!$D$4:$D$66"")=CN$2),$G$3:$BQ$3,$G210:$BQ210))),"""")"),"")</f>
        <v/>
      </c>
      <c r="CP210" s="252"/>
      <c r="CQ210" s="251">
        <f>IFERROR(__xludf.DUMMYFUNCTION("AVERAGE(ARRAYFORMULA(XLOOKUP(FILTER(INDIRECT(""'""&amp;CQ$1&amp;""'!$C$4:$C$66""),INDIRECT(""'""&amp;CQ$1&amp;""'!$D$4:$D$66"")=CQ$2),$G$3:$BQ$3,$G210:$BQ210)))"),-0.1504774864285714)</f>
        <v>-0.1504774864</v>
      </c>
      <c r="CR210" s="207" t="str">
        <f>IFERROR(__xludf.DUMMYFUNCTION("IF(OR(CQ210&gt;$BS210+$BT210*$BT$2,CQ210&lt;$BS210-$BT210*$BT$2),AVEDEV(ARRAYFORMULA(XLOOKUP(FILTER(INDIRECT(""'""&amp;CQ$1&amp;""'!$C$4:$C$66""),INDIRECT(""'""&amp;CQ$1&amp;""'!$D$4:$D$66"")=CQ$2),$G$3:$BQ$3,$G210:$BQ210))),"""")"),"")</f>
        <v/>
      </c>
      <c r="CS210" s="251">
        <f>IFERROR(__xludf.DUMMYFUNCTION("AVERAGE(ARRAYFORMULA(XLOOKUP(FILTER(INDIRECT(""'""&amp;CS$1&amp;""'!$C$4:$C$66""),INDIRECT(""'""&amp;CS$1&amp;""'!$D$4:$D$66"")=CS$2),$G$3:$BQ$3,$G210:$BQ210)))"),-0.1329432044444444)</f>
        <v>-0.1329432044</v>
      </c>
      <c r="CT210" s="207" t="str">
        <f>IFERROR(__xludf.DUMMYFUNCTION("IF(OR(CS210&gt;$BS210+$BT210*$BT$2,CS210&lt;$BS210-$BT210*$BT$2),AVEDEV(ARRAYFORMULA(XLOOKUP(FILTER(INDIRECT(""'""&amp;CS$1&amp;""'!$C$4:$C$66""),INDIRECT(""'""&amp;CS$1&amp;""'!$D$4:$D$66"")=CS$2),$G$3:$BQ$3,$G210:$BQ210))),"""")"),"")</f>
        <v/>
      </c>
      <c r="CU210" s="251">
        <f>IFERROR(__xludf.DUMMYFUNCTION("AVERAGE(ARRAYFORMULA(XLOOKUP(FILTER(INDIRECT(""'""&amp;CU$1&amp;""'!$C$4:$C$66""),INDIRECT(""'""&amp;CU$1&amp;""'!$D$4:$D$66"")=CU$2),$G$3:$BQ$3,$G210:$BQ210)))"),0.44601314)</f>
        <v>0.44601314</v>
      </c>
      <c r="CV210" s="207" t="str">
        <f>IFERROR(__xludf.DUMMYFUNCTION("IF(OR(CU210&gt;$BS210+$BT210*$BT$2,CU210&lt;$BS210-$BT210*$BT$2),AVEDEV(ARRAYFORMULA(XLOOKUP(FILTER(INDIRECT(""'""&amp;CU$1&amp;""'!$C$4:$C$66""),INDIRECT(""'""&amp;CU$1&amp;""'!$D$4:$D$66"")=CU$2),$G$3:$BQ$3,$G210:$BQ210))),"""")"),"")</f>
        <v/>
      </c>
      <c r="CW210" s="251">
        <f>IFERROR(__xludf.DUMMYFUNCTION("AVERAGE(ARRAYFORMULA(XLOOKUP(FILTER(INDIRECT(""'""&amp;CW$1&amp;""'!$C$4:$C$66""),INDIRECT(""'""&amp;CW$1&amp;""'!$D$4:$D$66"")=CW$2),$G$3:$BQ$3,$G210:$BQ210)))"),-0.33085751)</f>
        <v>-0.33085751</v>
      </c>
      <c r="CX210" s="207" t="str">
        <f>IFERROR(__xludf.DUMMYFUNCTION("IF(OR(CW210&gt;$BS210+$BT210*$BT$2,CW210&lt;$BS210-$BT210*$BT$2),AVEDEV(ARRAYFORMULA(XLOOKUP(FILTER(INDIRECT(""'""&amp;CW$1&amp;""'!$C$4:$C$66""),INDIRECT(""'""&amp;CW$1&amp;""'!$D$4:$D$66"")=CW$2),$G$3:$BQ$3,$G210:$BQ210))),"""")"),"")</f>
        <v/>
      </c>
      <c r="CY210" s="251">
        <f>IFERROR(__xludf.DUMMYFUNCTION("AVERAGE(ARRAYFORMULA(XLOOKUP(FILTER(INDIRECT(""'""&amp;CY$1&amp;""'!$C$4:$C$66""),INDIRECT(""'""&amp;CY$1&amp;""'!$D$4:$D$66"")=CY$2),$G$3:$BQ$3,$G210:$BQ210)))"),0.38096845428571424)</f>
        <v>0.3809684543</v>
      </c>
      <c r="CZ210" s="207" t="str">
        <f>IFERROR(__xludf.DUMMYFUNCTION("IF(OR(CY210&gt;$BS210+$BT210*$BT$2,CY210&lt;$BS210-$BT210*$BT$2),AVEDEV(ARRAYFORMULA(XLOOKUP(FILTER(INDIRECT(""'""&amp;CY$1&amp;""'!$C$4:$C$66""),INDIRECT(""'""&amp;CY$1&amp;""'!$D$4:$D$66"")=CY$2),$G$3:$BQ$3,$G210:$BQ210))),"""")"),"")</f>
        <v/>
      </c>
      <c r="DA210" s="252"/>
      <c r="DB210" s="251">
        <f>IFERROR(__xludf.DUMMYFUNCTION("AVERAGE(ARRAYFORMULA(XLOOKUP(FILTER(INDIRECT(""'""&amp;DB$1&amp;""'!$C$4:$C$66""),INDIRECT(""'""&amp;DB$1&amp;""'!$D$4:$D$66"")=DB$2),$G$3:$BQ$3,$G210:$BQ210)))"),0.12590591299999998)</f>
        <v>0.125905913</v>
      </c>
      <c r="DC210" s="207" t="str">
        <f>IFERROR(__xludf.DUMMYFUNCTION("IF(OR(DB210&gt;$BS210+$BT210*$BT$2,DB210&lt;$BS210-$BT210*$BT$2),AVEDEV(ARRAYFORMULA(XLOOKUP(FILTER(INDIRECT(""'""&amp;DB$1&amp;""'!$C$4:$C$66""),INDIRECT(""'""&amp;DB$1&amp;""'!$D$4:$D$66"")=DB$2),$G$3:$BQ$3,$G210:$BQ210))),"""")"),"")</f>
        <v/>
      </c>
      <c r="DD210" s="251">
        <f>IFERROR(__xludf.DUMMYFUNCTION("AVERAGE(ARRAYFORMULA(XLOOKUP(FILTER(INDIRECT(""'""&amp;DD$1&amp;""'!$C$4:$C$66""),INDIRECT(""'""&amp;DD$1&amp;""'!$D$4:$D$66"")=DD$2),$G$3:$BQ$3,$G210:$BQ210)))"),-0.29840948222222224)</f>
        <v>-0.2984094822</v>
      </c>
      <c r="DE210" s="207" t="str">
        <f>IFERROR(__xludf.DUMMYFUNCTION("IF(OR(DD210&gt;$BS210+$BT210*$BT$2,DD210&lt;$BS210-$BT210*$BT$2),AVEDEV(ARRAYFORMULA(XLOOKUP(FILTER(INDIRECT(""'""&amp;DD$1&amp;""'!$C$4:$C$66""),INDIRECT(""'""&amp;DD$1&amp;""'!$D$4:$D$66"")=DD$2),$G$3:$BQ$3,$G210:$BQ210))),"""")"),"")</f>
        <v/>
      </c>
      <c r="DF210" s="251">
        <f>IFERROR(__xludf.DUMMYFUNCTION("AVERAGE(ARRAYFORMULA(XLOOKUP(FILTER(INDIRECT(""'""&amp;DF$1&amp;""'!$C$4:$C$66""),INDIRECT(""'""&amp;DF$1&amp;""'!$D$4:$D$66"")=DF$2),$G$3:$BQ$3,$G210:$BQ210)))"),0.25101282875)</f>
        <v>0.2510128288</v>
      </c>
      <c r="DG210" s="207" t="str">
        <f>IFERROR(__xludf.DUMMYFUNCTION("IF(OR(DF210&gt;$BS210+$BT210*$BT$2,DF210&lt;$BS210-$BT210*$BT$2),AVEDEV(ARRAYFORMULA(XLOOKUP(FILTER(INDIRECT(""'""&amp;DF$1&amp;""'!$C$4:$C$66""),INDIRECT(""'""&amp;DF$1&amp;""'!$D$4:$D$66"")=DF$2),$G$3:$BQ$3,$G210:$BQ210))),"""")"),"")</f>
        <v/>
      </c>
      <c r="DH210" s="251">
        <f>IFERROR(__xludf.DUMMYFUNCTION("AVERAGE(ARRAYFORMULA(XLOOKUP(FILTER(INDIRECT(""'""&amp;DH$1&amp;""'!$C$4:$C$66""),INDIRECT(""'""&amp;DH$1&amp;""'!$D$4:$D$66"")=DH$2),$G$3:$BQ$3,$G210:$BQ210)))"),0.18711081666666665)</f>
        <v>0.1871108167</v>
      </c>
      <c r="DI210" s="207" t="str">
        <f>IFERROR(__xludf.DUMMYFUNCTION("IF(OR(DH210&gt;$BS210+$BT210*$BT$2,DH210&lt;$BS210-$BT210*$BT$2),AVEDEV(ARRAYFORMULA(XLOOKUP(FILTER(INDIRECT(""'""&amp;DH$1&amp;""'!$C$4:$C$66""),INDIRECT(""'""&amp;DH$1&amp;""'!$D$4:$D$66"")=DH$2),$G$3:$BQ$3,$G210:$BQ210))),"""")"),"")</f>
        <v/>
      </c>
      <c r="DJ210" s="243"/>
    </row>
    <row r="211">
      <c r="A211" s="2"/>
      <c r="B211" s="204">
        <v>207.0</v>
      </c>
      <c r="C211" s="204" t="s">
        <v>646</v>
      </c>
      <c r="D211" s="204" t="s">
        <v>656</v>
      </c>
      <c r="E211" s="205" t="b">
        <f>VLOOKUP(D211,'Feature Set List'!A208:C246,2,0)</f>
        <v>1</v>
      </c>
      <c r="F211" s="205" t="b">
        <f>VLOOKUP(D211,'Feature Set List'!A208:C246,3,0)</f>
        <v>0</v>
      </c>
      <c r="G211" s="205">
        <v>-0.6865801</v>
      </c>
      <c r="H211" s="205">
        <v>2.6978355</v>
      </c>
      <c r="I211" s="205">
        <v>-1.0541126</v>
      </c>
      <c r="J211" s="205">
        <v>-0.8155844</v>
      </c>
      <c r="K211" s="205">
        <v>-0.869697</v>
      </c>
      <c r="L211" s="205">
        <v>-0.1121212</v>
      </c>
      <c r="M211" s="205">
        <v>0.66580087</v>
      </c>
      <c r="N211" s="205">
        <v>-0.8441558</v>
      </c>
      <c r="O211" s="205">
        <v>1.40692641</v>
      </c>
      <c r="P211" s="205">
        <v>0.25800866</v>
      </c>
      <c r="Q211" s="205">
        <v>0.98268398</v>
      </c>
      <c r="R211" s="205">
        <v>-0.4229437</v>
      </c>
      <c r="S211" s="205">
        <v>0.34761905</v>
      </c>
      <c r="T211" s="205">
        <v>-0.1658009</v>
      </c>
      <c r="U211" s="205">
        <v>-0.3683983</v>
      </c>
      <c r="V211" s="205">
        <v>-0.1160173</v>
      </c>
      <c r="W211" s="205">
        <v>0.5030303</v>
      </c>
      <c r="X211" s="205">
        <v>1.8987013</v>
      </c>
      <c r="Y211" s="205">
        <v>0.0</v>
      </c>
      <c r="Z211" s="205">
        <v>0.19177489</v>
      </c>
      <c r="AA211" s="205">
        <v>0.6008658</v>
      </c>
      <c r="AB211" s="205">
        <v>-0.4047619</v>
      </c>
      <c r="AC211" s="205">
        <v>-0.6692641</v>
      </c>
      <c r="AD211" s="205">
        <v>1.2021645</v>
      </c>
      <c r="AE211" s="205">
        <v>-0.5645022</v>
      </c>
      <c r="AF211" s="205">
        <v>-0.0437229</v>
      </c>
      <c r="AG211" s="205">
        <v>0.01818182</v>
      </c>
      <c r="AH211" s="205">
        <v>-0.4632035</v>
      </c>
      <c r="AI211" s="205">
        <v>0.0025974</v>
      </c>
      <c r="AJ211" s="205">
        <v>0.1004329</v>
      </c>
      <c r="AK211" s="205">
        <v>-0.3402597</v>
      </c>
      <c r="AL211" s="205">
        <v>1.58051948</v>
      </c>
      <c r="AM211" s="205">
        <v>-1.6311688</v>
      </c>
      <c r="AN211" s="205">
        <v>-0.1883117</v>
      </c>
      <c r="AO211" s="205">
        <v>0.01082251</v>
      </c>
      <c r="AP211" s="205">
        <v>-0.3718615</v>
      </c>
      <c r="AQ211" s="205">
        <v>0.04458874</v>
      </c>
      <c r="AR211" s="205">
        <v>-0.1385281</v>
      </c>
      <c r="AS211" s="205">
        <v>1.11731602</v>
      </c>
      <c r="AT211" s="205">
        <v>-1.6311688</v>
      </c>
      <c r="AU211" s="205">
        <v>2.6978355</v>
      </c>
      <c r="AV211" s="205">
        <v>-0.3458874</v>
      </c>
      <c r="AW211" s="205">
        <v>-1.0233766</v>
      </c>
      <c r="AX211" s="205">
        <v>1.92251082</v>
      </c>
      <c r="AY211" s="205">
        <v>1.25497835</v>
      </c>
      <c r="AZ211" s="205">
        <v>0.27662338</v>
      </c>
      <c r="BA211" s="205">
        <v>0.73766234</v>
      </c>
      <c r="BB211" s="205">
        <v>0.0</v>
      </c>
      <c r="BC211" s="205">
        <v>-1.6311688</v>
      </c>
      <c r="BD211" s="205">
        <v>0.11255411</v>
      </c>
      <c r="BE211" s="205">
        <v>-0.6242424</v>
      </c>
      <c r="BF211" s="205">
        <v>1.06580087</v>
      </c>
      <c r="BG211" s="205">
        <v>-0.1714286</v>
      </c>
      <c r="BH211" s="205">
        <v>-1.6311688</v>
      </c>
      <c r="BI211" s="205">
        <v>1.85454545</v>
      </c>
      <c r="BJ211" s="205">
        <v>-0.5489177</v>
      </c>
      <c r="BK211" s="205">
        <v>0.65151515</v>
      </c>
      <c r="BL211" s="205">
        <v>-0.4428571</v>
      </c>
      <c r="BM211" s="205">
        <v>0.19177489</v>
      </c>
      <c r="BN211" s="205">
        <v>0.53333333</v>
      </c>
      <c r="BO211" s="205">
        <v>0.19177489</v>
      </c>
      <c r="BP211" s="205">
        <v>0.43333333</v>
      </c>
      <c r="BQ211" s="205">
        <v>-0.0493506</v>
      </c>
      <c r="BR211" s="206"/>
      <c r="BS211" s="250">
        <f t="shared" si="1"/>
        <v>0.1140246038</v>
      </c>
      <c r="BT211" s="250">
        <f t="shared" si="2"/>
        <v>0.7115657132</v>
      </c>
      <c r="BU211" s="206"/>
      <c r="BV211" s="207">
        <f>IFERROR(__xludf.DUMMYFUNCTION("AVERAGE(ARRAYFORMULA(XLOOKUP(FILTER(INDIRECT(""'""&amp;BV$1&amp;""'!$C$4:$C$66""),INDIRECT(""'""&amp;BV$1&amp;""'!$D$4:$D$66"")=BV$2),$G$3:$BQ$3,$G211:$BQ211)))"),0.24700062285714286)</f>
        <v>0.2470006229</v>
      </c>
      <c r="BW211" s="207" t="str">
        <f>IFERROR(__xludf.DUMMYFUNCTION("IF(OR(BV211&gt;$BS211+$BT211*$BT$2,BV211&lt;$BS211-$BT211*$BT$2),AVEDEV(ARRAYFORMULA(XLOOKUP(FILTER(INDIRECT(""'""&amp;BV$1&amp;""'!$C$4:$C$66""),INDIRECT(""'""&amp;BV$1&amp;""'!$D$4:$D$66"")=BV$2),$G$3:$BQ$3,$G211:$BQ211))),"""")"),"")</f>
        <v/>
      </c>
      <c r="BX211" s="207">
        <f>IFERROR(__xludf.DUMMYFUNCTION("AVERAGE(ARRAYFORMULA(XLOOKUP(FILTER(INDIRECT(""'""&amp;BX$1&amp;""'!$C$4:$C$66""),INDIRECT(""'""&amp;BX$1&amp;""'!$D$4:$D$66"")=BX$2),$G$3:$BQ$3,$G211:$BQ211)))"),0.049371269761904785)</f>
        <v>0.04937126976</v>
      </c>
      <c r="BY211" s="207" t="str">
        <f>IFERROR(__xludf.DUMMYFUNCTION("IF(OR(BX211&gt;$BS211+$BT211*$BT$2,BX211&lt;$BS211-$BT211*$BT$2),AVEDEV(ARRAYFORMULA(XLOOKUP(FILTER(INDIRECT(""'""&amp;BX$1&amp;""'!$C$4:$C$66""),INDIRECT(""'""&amp;BX$1&amp;""'!$D$4:$D$66"")=BX$2),$G$3:$BQ$3,$G211:$BQ211))),"""")"),"")</f>
        <v/>
      </c>
      <c r="BZ211" s="207">
        <f>IFERROR(__xludf.DUMMYFUNCTION("AVERAGE(ARRAYFORMULA(XLOOKUP(FILTER(INDIRECT(""'""&amp;BZ$1&amp;""'!$C$4:$C$66""),INDIRECT(""'""&amp;BZ$1&amp;""'!$D$4:$D$66"")=BZ$2),$G$3:$BQ$3,$G211:$BQ211)))"),0.14769775818181813)</f>
        <v>0.1476977582</v>
      </c>
      <c r="CA211" s="207" t="str">
        <f>IFERROR(__xludf.DUMMYFUNCTION("IF(OR(BZ211&gt;$BS211+$BT211*$BT$2,BZ211&lt;$BS211-$BT211*$BT$2),AVEDEV(ARRAYFORMULA(XLOOKUP(FILTER(INDIRECT(""'""&amp;BZ$1&amp;""'!$C$4:$C$66""),INDIRECT(""'""&amp;BZ$1&amp;""'!$D$4:$D$66"")=BZ$2),$G$3:$BQ$3,$G211:$BQ211))),"""")"),"")</f>
        <v/>
      </c>
      <c r="CB211" s="209"/>
      <c r="CC211" s="207">
        <f>IFERROR(__xludf.DUMMYFUNCTION("AVERAGE(ARRAYFORMULA(XLOOKUP(FILTER(INDIRECT(""'""&amp;CC$1&amp;""'!$C$4:$C$66""),INDIRECT(""'""&amp;CC$1&amp;""'!$D$4:$D$66"")=CC$2),$G$3:$BQ$3,$G211:$BQ211)))"),-0.19475107937499994)</f>
        <v>-0.1947510794</v>
      </c>
      <c r="CD211" s="207" t="str">
        <f>IFERROR(__xludf.DUMMYFUNCTION("IF(OR(CC211&gt;$BS211+$BT211*$BT$2,CC211&lt;$BS211-$BT211*$BT$2),AVEDEV(ARRAYFORMULA(XLOOKUP(FILTER(INDIRECT(""'""&amp;CC$1&amp;""'!$C$4:$C$66""),INDIRECT(""'""&amp;CC$1&amp;""'!$D$4:$D$66"")=CC$2),$G$3:$BQ$3,$G211:$BQ211))),"""")"),"")</f>
        <v/>
      </c>
      <c r="CE211" s="207">
        <f>IFERROR(__xludf.DUMMYFUNCTION("AVERAGE(ARRAYFORMULA(XLOOKUP(FILTER(INDIRECT(""'""&amp;CE$1&amp;""'!$C$4:$C$66""),INDIRECT(""'""&amp;CE$1&amp;""'!$D$4:$D$66"")=CE$2),$G$3:$BQ$3,$G211:$BQ211)))"),0.12322302161290322)</f>
        <v>0.1232230216</v>
      </c>
      <c r="CF211" s="207" t="str">
        <f>IFERROR(__xludf.DUMMYFUNCTION("IF(OR(CE211&gt;$BS211+$BT211*$BT$2,CE211&lt;$BS211-$BT211*$BT$2),AVEDEV(ARRAYFORMULA(XLOOKUP(FILTER(INDIRECT(""'""&amp;CE$1&amp;""'!$C$4:$C$66""),INDIRECT(""'""&amp;CE$1&amp;""'!$D$4:$D$66"")=CE$2),$G$3:$BQ$3,$G211:$BQ211))),"""")"),"")</f>
        <v/>
      </c>
      <c r="CG211" s="207">
        <f>IFERROR(__xludf.DUMMYFUNCTION("AVERAGE(ARRAYFORMULA(XLOOKUP(FILTER(INDIRECT(""'""&amp;CG$1&amp;""'!$C$4:$C$66""),INDIRECT(""'""&amp;CG$1&amp;""'!$D$4:$D$66"")=CG$2),$G$3:$BQ$3,$G211:$BQ211)))"),0.35515150400000006)</f>
        <v>0.355151504</v>
      </c>
      <c r="CH211" s="207" t="str">
        <f>IFERROR(__xludf.DUMMYFUNCTION("IF(OR(CG211&gt;$BS211+$BT211*$BT$2,CG211&lt;$BS211-$BT211*$BT$2),AVEDEV(ARRAYFORMULA(XLOOKUP(FILTER(INDIRECT(""'""&amp;CG$1&amp;""'!$C$4:$C$66""),INDIRECT(""'""&amp;CG$1&amp;""'!$D$4:$D$66"")=CG$2),$G$3:$BQ$3,$G211:$BQ211))),"""")"),"")</f>
        <v/>
      </c>
      <c r="CI211" s="206"/>
      <c r="CJ211" s="251">
        <f>IFERROR(__xludf.DUMMYFUNCTION("AVERAGE(ARRAYFORMULA(XLOOKUP(FILTER(INDIRECT(""'""&amp;CJ$1&amp;""'!$C$4:$C$66""),INDIRECT(""'""&amp;CJ$1&amp;""'!$D$4:$D$66"")=CJ$2),$G$3:$BQ$3,$G211:$BQ211)))"),-0.22487734799999995)</f>
        <v>-0.224877348</v>
      </c>
      <c r="CK211" s="207" t="str">
        <f>IFERROR(__xludf.DUMMYFUNCTION("IF(OR(CJ211&gt;$BS211+$BT211*$BT$2,CJ211&lt;$BS211-$BT211*$BT$2),AVEDEV(ARRAYFORMULA(XLOOKUP(FILTER(INDIRECT(""'""&amp;CJ$1&amp;""'!$C$4:$C$66""),INDIRECT(""'""&amp;CJ$1&amp;""'!$D$4:$D$66"")=CJ$2),$G$3:$BQ$3,$G211:$BQ211))),"""")"),"")</f>
        <v/>
      </c>
      <c r="CL211" s="251">
        <f>IFERROR(__xludf.DUMMYFUNCTION("AVERAGE(ARRAYFORMULA(XLOOKUP(FILTER(INDIRECT(""'""&amp;CL$1&amp;""'!$C$4:$C$66""),INDIRECT(""'""&amp;CL$1&amp;""'!$D$4:$D$66"")=CL$2),$G$3:$BQ$3,$G211:$BQ211)))"),0.19147520076923077)</f>
        <v>0.1914752008</v>
      </c>
      <c r="CM211" s="207" t="str">
        <f>IFERROR(__xludf.DUMMYFUNCTION("IF(OR(CL211&gt;$BS211+$BT211*$BT$2,CL211&lt;$BS211-$BT211*$BT$2),AVEDEV(ARRAYFORMULA(XLOOKUP(FILTER(INDIRECT(""'""&amp;CL$1&amp;""'!$C$4:$C$66""),INDIRECT(""'""&amp;CL$1&amp;""'!$D$4:$D$66"")=CL$2),$G$3:$BQ$3,$G211:$BQ211))),"""")"),"")</f>
        <v/>
      </c>
      <c r="CN211" s="251">
        <f>IFERROR(__xludf.DUMMYFUNCTION("AVERAGE(ARRAYFORMULA(XLOOKUP(FILTER(INDIRECT(""'""&amp;CN$1&amp;""'!$C$4:$C$66""),INDIRECT(""'""&amp;CN$1&amp;""'!$D$4:$D$66"")=CN$2),$G$3:$BQ$3,$G211:$BQ211)))"),0.35515150400000006)</f>
        <v>0.355151504</v>
      </c>
      <c r="CO211" s="207" t="str">
        <f>IFERROR(__xludf.DUMMYFUNCTION("IF(OR(CN211&gt;$BS211+$BT211*$BT$2,CN211&lt;$BS211-$BT211*$BT$2),AVEDEV(ARRAYFORMULA(XLOOKUP(FILTER(INDIRECT(""'""&amp;CN$1&amp;""'!$C$4:$C$66""),INDIRECT(""'""&amp;CN$1&amp;""'!$D$4:$D$66"")=CN$2),$G$3:$BQ$3,$G211:$BQ211))),"""")"),"")</f>
        <v/>
      </c>
      <c r="CP211" s="252"/>
      <c r="CQ211" s="251">
        <f>IFERROR(__xludf.DUMMYFUNCTION("AVERAGE(ARRAYFORMULA(XLOOKUP(FILTER(INDIRECT(""'""&amp;CQ$1&amp;""'!$C$4:$C$66""),INDIRECT(""'""&amp;CQ$1&amp;""'!$D$4:$D$66"")=CQ$2),$G$3:$BQ$3,$G211:$BQ211)))"),0.1418058185714286)</f>
        <v>0.1418058186</v>
      </c>
      <c r="CR211" s="207" t="str">
        <f>IFERROR(__xludf.DUMMYFUNCTION("IF(OR(CQ211&gt;$BS211+$BT211*$BT$2,CQ211&lt;$BS211-$BT211*$BT$2),AVEDEV(ARRAYFORMULA(XLOOKUP(FILTER(INDIRECT(""'""&amp;CQ$1&amp;""'!$C$4:$C$66""),INDIRECT(""'""&amp;CQ$1&amp;""'!$D$4:$D$66"")=CQ$2),$G$3:$BQ$3,$G211:$BQ211))),"""")"),"")</f>
        <v/>
      </c>
      <c r="CS211" s="251">
        <f>IFERROR(__xludf.DUMMYFUNCTION("AVERAGE(ARRAYFORMULA(XLOOKUP(FILTER(INDIRECT(""'""&amp;CS$1&amp;""'!$C$4:$C$66""),INDIRECT(""'""&amp;CS$1&amp;""'!$D$4:$D$66"")=CS$2),$G$3:$BQ$3,$G211:$BQ211)))"),0.12847522999999994)</f>
        <v>0.12847523</v>
      </c>
      <c r="CT211" s="207" t="str">
        <f>IFERROR(__xludf.DUMMYFUNCTION("IF(OR(CS211&gt;$BS211+$BT211*$BT$2,CS211&lt;$BS211-$BT211*$BT$2),AVEDEV(ARRAYFORMULA(XLOOKUP(FILTER(INDIRECT(""'""&amp;CS$1&amp;""'!$C$4:$C$66""),INDIRECT(""'""&amp;CS$1&amp;""'!$D$4:$D$66"")=CS$2),$G$3:$BQ$3,$G211:$BQ211))),"""")"),"")</f>
        <v/>
      </c>
      <c r="CU211" s="251">
        <f>IFERROR(__xludf.DUMMYFUNCTION("AVERAGE(ARRAYFORMULA(XLOOKUP(FILTER(INDIRECT(""'""&amp;CU$1&amp;""'!$C$4:$C$66""),INDIRECT(""'""&amp;CU$1&amp;""'!$D$4:$D$66"")=CU$2),$G$3:$BQ$3,$G211:$BQ211)))"),-0.3545454527272727)</f>
        <v>-0.3545454527</v>
      </c>
      <c r="CV211" s="207" t="str">
        <f>IFERROR(__xludf.DUMMYFUNCTION("IF(OR(CU211&gt;$BS211+$BT211*$BT$2,CU211&lt;$BS211-$BT211*$BT$2),AVEDEV(ARRAYFORMULA(XLOOKUP(FILTER(INDIRECT(""'""&amp;CU$1&amp;""'!$C$4:$C$66""),INDIRECT(""'""&amp;CU$1&amp;""'!$D$4:$D$66"")=CU$2),$G$3:$BQ$3,$G211:$BQ211))),"""")"),"")</f>
        <v/>
      </c>
      <c r="CW211" s="251">
        <f>IFERROR(__xludf.DUMMYFUNCTION("AVERAGE(ARRAYFORMULA(XLOOKUP(FILTER(INDIRECT(""'""&amp;CW$1&amp;""'!$C$4:$C$66""),INDIRECT(""'""&amp;CW$1&amp;""'!$D$4:$D$66"")=CW$2),$G$3:$BQ$3,$G211:$BQ211)))"),-0.21450214999999995)</f>
        <v>-0.21450215</v>
      </c>
      <c r="CX211" s="207" t="str">
        <f>IFERROR(__xludf.DUMMYFUNCTION("IF(OR(CW211&gt;$BS211+$BT211*$BT$2,CW211&lt;$BS211-$BT211*$BT$2),AVEDEV(ARRAYFORMULA(XLOOKUP(FILTER(INDIRECT(""'""&amp;CW$1&amp;""'!$C$4:$C$66""),INDIRECT(""'""&amp;CW$1&amp;""'!$D$4:$D$66"")=CW$2),$G$3:$BQ$3,$G211:$BQ211))),"""")"),"")</f>
        <v/>
      </c>
      <c r="CY211" s="251">
        <f>IFERROR(__xludf.DUMMYFUNCTION("AVERAGE(ARRAYFORMULA(XLOOKUP(FILTER(INDIRECT(""'""&amp;CY$1&amp;""'!$C$4:$C$66""),INDIRECT(""'""&amp;CY$1&amp;""'!$D$4:$D$66"")=CY$2),$G$3:$BQ$3,$G211:$BQ211)))"),0.31759432214285727)</f>
        <v>0.3175943221</v>
      </c>
      <c r="CZ211" s="207" t="str">
        <f>IFERROR(__xludf.DUMMYFUNCTION("IF(OR(CY211&gt;$BS211+$BT211*$BT$2,CY211&lt;$BS211-$BT211*$BT$2),AVEDEV(ARRAYFORMULA(XLOOKUP(FILTER(INDIRECT(""'""&amp;CY$1&amp;""'!$C$4:$C$66""),INDIRECT(""'""&amp;CY$1&amp;""'!$D$4:$D$66"")=CY$2),$G$3:$BQ$3,$G211:$BQ211))),"""")"),"")</f>
        <v/>
      </c>
      <c r="DA211" s="252"/>
      <c r="DB211" s="251">
        <f>IFERROR(__xludf.DUMMYFUNCTION("AVERAGE(ARRAYFORMULA(XLOOKUP(FILTER(INDIRECT(""'""&amp;DB$1&amp;""'!$C$4:$C$66""),INDIRECT(""'""&amp;DB$1&amp;""'!$D$4:$D$66"")=DB$2),$G$3:$BQ$3,$G211:$BQ211)))"),0.038066381)</f>
        <v>0.038066381</v>
      </c>
      <c r="DC211" s="207" t="str">
        <f>IFERROR(__xludf.DUMMYFUNCTION("IF(OR(DB211&gt;$BS211+$BT211*$BT$2,DB211&lt;$BS211-$BT211*$BT$2),AVEDEV(ARRAYFORMULA(XLOOKUP(FILTER(INDIRECT(""'""&amp;DB$1&amp;""'!$C$4:$C$66""),INDIRECT(""'""&amp;DB$1&amp;""'!$D$4:$D$66"")=DB$2),$G$3:$BQ$3,$G211:$BQ211))),"""")"),"")</f>
        <v/>
      </c>
      <c r="DD211" s="251">
        <f>IFERROR(__xludf.DUMMYFUNCTION("AVERAGE(ARRAYFORMULA(XLOOKUP(FILTER(INDIRECT(""'""&amp;DD$1&amp;""'!$C$4:$C$66""),INDIRECT(""'""&amp;DD$1&amp;""'!$D$4:$D$66"")=DD$2),$G$3:$BQ$3,$G211:$BQ211)))"),0.11620971777777779)</f>
        <v>0.1162097178</v>
      </c>
      <c r="DE211" s="207" t="str">
        <f>IFERROR(__xludf.DUMMYFUNCTION("IF(OR(DD211&gt;$BS211+$BT211*$BT$2,DD211&lt;$BS211-$BT211*$BT$2),AVEDEV(ARRAYFORMULA(XLOOKUP(FILTER(INDIRECT(""'""&amp;DD$1&amp;""'!$C$4:$C$66""),INDIRECT(""'""&amp;DD$1&amp;""'!$D$4:$D$66"")=DD$2),$G$3:$BQ$3,$G211:$BQ211))),"""")"),"")</f>
        <v/>
      </c>
      <c r="DF211" s="251">
        <f>IFERROR(__xludf.DUMMYFUNCTION("AVERAGE(ARRAYFORMULA(XLOOKUP(FILTER(INDIRECT(""'""&amp;DF$1&amp;""'!$C$4:$C$66""),INDIRECT(""'""&amp;DF$1&amp;""'!$D$4:$D$66"")=DF$2),$G$3:$BQ$3,$G211:$BQ211)))"),0.39951298625)</f>
        <v>0.3995129863</v>
      </c>
      <c r="DG211" s="207" t="str">
        <f>IFERROR(__xludf.DUMMYFUNCTION("IF(OR(DF211&gt;$BS211+$BT211*$BT$2,DF211&lt;$BS211-$BT211*$BT$2),AVEDEV(ARRAYFORMULA(XLOOKUP(FILTER(INDIRECT(""'""&amp;DF$1&amp;""'!$C$4:$C$66""),INDIRECT(""'""&amp;DF$1&amp;""'!$D$4:$D$66"")=DF$2),$G$3:$BQ$3,$G211:$BQ211))),"""")"),"")</f>
        <v/>
      </c>
      <c r="DH211" s="251">
        <f>IFERROR(__xludf.DUMMYFUNCTION("AVERAGE(ARRAYFORMULA(XLOOKUP(FILTER(INDIRECT(""'""&amp;DH$1&amp;""'!$C$4:$C$66""),INDIRECT(""'""&amp;DH$1&amp;""'!$D$4:$D$66"")=DH$2),$G$3:$BQ$3,$G211:$BQ211)))"),-0.1427609288888889)</f>
        <v>-0.1427609289</v>
      </c>
      <c r="DI211" s="207" t="str">
        <f>IFERROR(__xludf.DUMMYFUNCTION("IF(OR(DH211&gt;$BS211+$BT211*$BT$2,DH211&lt;$BS211-$BT211*$BT$2),AVEDEV(ARRAYFORMULA(XLOOKUP(FILTER(INDIRECT(""'""&amp;DH$1&amp;""'!$C$4:$C$66""),INDIRECT(""'""&amp;DH$1&amp;""'!$D$4:$D$66"")=DH$2),$G$3:$BQ$3,$G211:$BQ211))),"""")"),"")</f>
        <v/>
      </c>
      <c r="DJ211" s="243"/>
    </row>
    <row r="212">
      <c r="A212" s="2"/>
      <c r="B212" s="204">
        <v>208.0</v>
      </c>
      <c r="C212" s="204" t="s">
        <v>646</v>
      </c>
      <c r="D212" s="204" t="s">
        <v>657</v>
      </c>
      <c r="E212" s="205" t="b">
        <f>VLOOKUP(D212,'Feature Set List'!A209:C246,2,0)</f>
        <v>1</v>
      </c>
      <c r="F212" s="205" t="b">
        <f>VLOOKUP(D212,'Feature Set List'!A209:C246,3,0)</f>
        <v>0</v>
      </c>
      <c r="G212" s="205">
        <v>0.0</v>
      </c>
      <c r="H212" s="205">
        <v>0.02284</v>
      </c>
      <c r="I212" s="205">
        <v>0.0</v>
      </c>
      <c r="J212" s="205">
        <v>0.0</v>
      </c>
      <c r="K212" s="205">
        <v>0.0</v>
      </c>
      <c r="L212" s="205">
        <v>0.0</v>
      </c>
      <c r="M212" s="205">
        <v>0.0</v>
      </c>
      <c r="N212" s="205">
        <v>0.0</v>
      </c>
      <c r="O212" s="205">
        <v>0.008163</v>
      </c>
      <c r="P212" s="205">
        <v>0.0</v>
      </c>
      <c r="Q212" s="205">
        <v>0.1693</v>
      </c>
      <c r="R212" s="205">
        <v>0.02206</v>
      </c>
      <c r="S212" s="205">
        <v>0.2965</v>
      </c>
      <c r="T212" s="205">
        <v>0.0</v>
      </c>
      <c r="U212" s="205">
        <v>0.0</v>
      </c>
      <c r="V212" s="205">
        <v>0.0</v>
      </c>
      <c r="W212" s="205">
        <v>0.0</v>
      </c>
      <c r="X212" s="205">
        <v>0.01105</v>
      </c>
      <c r="Y212" s="205">
        <v>0.0</v>
      </c>
      <c r="Z212" s="205">
        <v>0.0</v>
      </c>
      <c r="AA212" s="205">
        <v>0.0</v>
      </c>
      <c r="AB212" s="205">
        <v>0.0</v>
      </c>
      <c r="AC212" s="205">
        <v>0.0</v>
      </c>
      <c r="AD212" s="205">
        <v>0.0</v>
      </c>
      <c r="AE212" s="205">
        <v>0.0</v>
      </c>
      <c r="AF212" s="205">
        <v>0.0</v>
      </c>
      <c r="AG212" s="205">
        <v>0.0</v>
      </c>
      <c r="AH212" s="205">
        <v>0.0</v>
      </c>
      <c r="AI212" s="205">
        <v>0.0</v>
      </c>
      <c r="AJ212" s="205">
        <v>0.4396</v>
      </c>
      <c r="AK212" s="205">
        <v>0.0</v>
      </c>
      <c r="AL212" s="205">
        <v>0.0</v>
      </c>
      <c r="AM212" s="205">
        <v>0.0</v>
      </c>
      <c r="AN212" s="205">
        <v>0.0</v>
      </c>
      <c r="AO212" s="205">
        <v>0.4495</v>
      </c>
      <c r="AP212" s="205">
        <v>0.44</v>
      </c>
      <c r="AQ212" s="205">
        <v>0.0</v>
      </c>
      <c r="AR212" s="205">
        <v>0.0</v>
      </c>
      <c r="AS212" s="205">
        <v>0.5556</v>
      </c>
      <c r="AT212" s="205">
        <v>0.0</v>
      </c>
      <c r="AU212" s="205">
        <v>0.0</v>
      </c>
      <c r="AV212" s="205">
        <v>0.0</v>
      </c>
      <c r="AW212" s="205">
        <v>0.0</v>
      </c>
      <c r="AX212" s="205">
        <v>0.1474</v>
      </c>
      <c r="AY212" s="205">
        <v>0.0</v>
      </c>
      <c r="AZ212" s="205">
        <v>0.0</v>
      </c>
      <c r="BA212" s="205">
        <v>0.0</v>
      </c>
      <c r="BB212" s="205">
        <v>0.01536</v>
      </c>
      <c r="BC212" s="205">
        <v>0.0</v>
      </c>
      <c r="BD212" s="205">
        <v>0.0</v>
      </c>
      <c r="BE212" s="205">
        <v>0.0</v>
      </c>
      <c r="BF212" s="205">
        <v>0.3196</v>
      </c>
      <c r="BG212" s="205">
        <v>0.0</v>
      </c>
      <c r="BH212" s="205">
        <v>0.0</v>
      </c>
      <c r="BI212" s="205">
        <v>0.0</v>
      </c>
      <c r="BJ212" s="205">
        <v>0.0</v>
      </c>
      <c r="BK212" s="205">
        <v>0.0</v>
      </c>
      <c r="BL212" s="205">
        <v>0.0</v>
      </c>
      <c r="BM212" s="205">
        <v>0.0</v>
      </c>
      <c r="BN212" s="205">
        <v>0.0202</v>
      </c>
      <c r="BO212" s="205">
        <v>0.0</v>
      </c>
      <c r="BP212" s="205">
        <v>0.0</v>
      </c>
      <c r="BQ212" s="205">
        <v>0.6162</v>
      </c>
      <c r="BR212" s="206"/>
      <c r="BS212" s="250">
        <f t="shared" si="1"/>
        <v>0.05608528571</v>
      </c>
      <c r="BT212" s="250">
        <f t="shared" si="2"/>
        <v>0.09298198186</v>
      </c>
      <c r="BU212" s="206"/>
      <c r="BV212" s="207">
        <f>IFERROR(__xludf.DUMMYFUNCTION("AVERAGE(ARRAYFORMULA(XLOOKUP(FILTER(INDIRECT(""'""&amp;BV$1&amp;""'!$C$4:$C$66""),INDIRECT(""'""&amp;BV$1&amp;""'!$D$4:$D$66"")=BV$2),$G$3:$BQ$3,$G212:$BQ212)))"),0.06798714285714286)</f>
        <v>0.06798714286</v>
      </c>
      <c r="BW212" s="207" t="str">
        <f>IFERROR(__xludf.DUMMYFUNCTION("IF(OR(BV212&gt;$BS212+$BT212*$BT$2,BV212&lt;$BS212-$BT212*$BT$2),AVEDEV(ARRAYFORMULA(XLOOKUP(FILTER(INDIRECT(""'""&amp;BV$1&amp;""'!$C$4:$C$66""),INDIRECT(""'""&amp;BV$1&amp;""'!$D$4:$D$66"")=BV$2),$G$3:$BQ$3,$G212:$BQ212))),"""")"),"")</f>
        <v/>
      </c>
      <c r="BX212" s="207">
        <f>IFERROR(__xludf.DUMMYFUNCTION("AVERAGE(ARRAYFORMULA(XLOOKUP(FILTER(INDIRECT(""'""&amp;BX$1&amp;""'!$C$4:$C$66""),INDIRECT(""'""&amp;BX$1&amp;""'!$D$4:$D$66"")=BX$2),$G$3:$BQ$3,$G212:$BQ212)))"),0.0727967380952381)</f>
        <v>0.0727967381</v>
      </c>
      <c r="BY212" s="207" t="str">
        <f>IFERROR(__xludf.DUMMYFUNCTION("IF(OR(BX212&gt;$BS212+$BT212*$BT$2,BX212&lt;$BS212-$BT212*$BT$2),AVEDEV(ARRAYFORMULA(XLOOKUP(FILTER(INDIRECT(""'""&amp;BX$1&amp;""'!$C$4:$C$66""),INDIRECT(""'""&amp;BX$1&amp;""'!$D$4:$D$66"")=BX$2),$G$3:$BQ$3,$G212:$BQ212))),"""")"),"")</f>
        <v/>
      </c>
      <c r="BZ212" s="207">
        <f>IFERROR(__xludf.DUMMYFUNCTION("AVERAGE(ARRAYFORMULA(XLOOKUP(FILTER(INDIRECT(""'""&amp;BZ$1&amp;""'!$C$4:$C$66""),INDIRECT(""'""&amp;BZ$1&amp;""'!$D$4:$D$66"")=BZ$2),$G$3:$BQ$3,$G212:$BQ212)))"),0.0)</f>
        <v>0</v>
      </c>
      <c r="CA212" s="207" t="str">
        <f>IFERROR(__xludf.DUMMYFUNCTION("IF(OR(BZ212&gt;$BS212+$BT212*$BT$2,BZ212&lt;$BS212-$BT212*$BT$2),AVEDEV(ARRAYFORMULA(XLOOKUP(FILTER(INDIRECT(""'""&amp;BZ$1&amp;""'!$C$4:$C$66""),INDIRECT(""'""&amp;BZ$1&amp;""'!$D$4:$D$66"")=BZ$2),$G$3:$BQ$3,$G212:$BQ212))),"""")"),"")</f>
        <v/>
      </c>
      <c r="CB212" s="209"/>
      <c r="CC212" s="207">
        <f>IFERROR(__xludf.DUMMYFUNCTION("AVERAGE(ARRAYFORMULA(XLOOKUP(FILTER(INDIRECT(""'""&amp;CC$1&amp;""'!$C$4:$C$66""),INDIRECT(""'""&amp;CC$1&amp;""'!$D$4:$D$66"")=CC$2),$G$3:$BQ$3,$G212:$BQ212)))"),0.0498625)</f>
        <v>0.0498625</v>
      </c>
      <c r="CD212" s="207" t="str">
        <f>IFERROR(__xludf.DUMMYFUNCTION("IF(OR(CC212&gt;$BS212+$BT212*$BT$2,CC212&lt;$BS212-$BT212*$BT$2),AVEDEV(ARRAYFORMULA(XLOOKUP(FILTER(INDIRECT(""'""&amp;CC$1&amp;""'!$C$4:$C$66""),INDIRECT(""'""&amp;CC$1&amp;""'!$D$4:$D$66"")=CC$2),$G$3:$BQ$3,$G212:$BQ212))),"""")"),"")</f>
        <v/>
      </c>
      <c r="CE212" s="207">
        <f>IFERROR(__xludf.DUMMYFUNCTION("AVERAGE(ARRAYFORMULA(XLOOKUP(FILTER(INDIRECT(""'""&amp;CE$1&amp;""'!$C$4:$C$66""),INDIRECT(""'""&amp;CE$1&amp;""'!$D$4:$D$66"")=CE$2),$G$3:$BQ$3,$G212:$BQ212)))"),0.05071041935483871)</f>
        <v>0.05071041935</v>
      </c>
      <c r="CF212" s="207" t="str">
        <f>IFERROR(__xludf.DUMMYFUNCTION("IF(OR(CE212&gt;$BS212+$BT212*$BT$2,CE212&lt;$BS212-$BT212*$BT$2),AVEDEV(ARRAYFORMULA(XLOOKUP(FILTER(INDIRECT(""'""&amp;CE$1&amp;""'!$C$4:$C$66""),INDIRECT(""'""&amp;CE$1&amp;""'!$D$4:$D$66"")=CE$2),$G$3:$BQ$3,$G212:$BQ212))),"""")"),"")</f>
        <v/>
      </c>
      <c r="CG212" s="207">
        <f>IFERROR(__xludf.DUMMYFUNCTION("AVERAGE(ARRAYFORMULA(XLOOKUP(FILTER(INDIRECT(""'""&amp;CG$1&amp;""'!$C$4:$C$66""),INDIRECT(""'""&amp;CG$1&amp;""'!$D$4:$D$66"")=CG$2),$G$3:$BQ$3,$G212:$BQ212)))"),0.11112)</f>
        <v>0.11112</v>
      </c>
      <c r="CH212" s="207" t="str">
        <f>IFERROR(__xludf.DUMMYFUNCTION("IF(OR(CG212&gt;$BS212+$BT212*$BT$2,CG212&lt;$BS212-$BT212*$BT$2),AVEDEV(ARRAYFORMULA(XLOOKUP(FILTER(INDIRECT(""'""&amp;CG$1&amp;""'!$C$4:$C$66""),INDIRECT(""'""&amp;CG$1&amp;""'!$D$4:$D$66"")=CG$2),$G$3:$BQ$3,$G212:$BQ212))),"""")"),"")</f>
        <v/>
      </c>
      <c r="CI212" s="206"/>
      <c r="CJ212" s="251">
        <f>IFERROR(__xludf.DUMMYFUNCTION("AVERAGE(ARRAYFORMULA(XLOOKUP(FILTER(INDIRECT(""'""&amp;CJ$1&amp;""'!$C$4:$C$66""),INDIRECT(""'""&amp;CJ$1&amp;""'!$D$4:$D$66"")=CJ$2),$G$3:$BQ$3,$G212:$BQ212)))"),0.0017606666666666669)</f>
        <v>0.001760666667</v>
      </c>
      <c r="CK212" s="207" t="str">
        <f>IFERROR(__xludf.DUMMYFUNCTION("IF(OR(CJ212&gt;$BS212+$BT212*$BT$2,CJ212&lt;$BS212-$BT212*$BT$2),AVEDEV(ARRAYFORMULA(XLOOKUP(FILTER(INDIRECT(""'""&amp;CJ$1&amp;""'!$C$4:$C$66""),INDIRECT(""'""&amp;CJ$1&amp;""'!$D$4:$D$66"")=CJ$2),$G$3:$BQ$3,$G212:$BQ212))),"""")"),"")</f>
        <v/>
      </c>
      <c r="CL212" s="251">
        <f>IFERROR(__xludf.DUMMYFUNCTION("AVERAGE(ARRAYFORMULA(XLOOKUP(FILTER(INDIRECT(""'""&amp;CL$1&amp;""'!$C$4:$C$66""),INDIRECT(""'""&amp;CL$1&amp;""'!$D$4:$D$66"")=CL$2),$G$3:$BQ$3,$G212:$BQ212)))"),0.07567597435897436)</f>
        <v>0.07567597436</v>
      </c>
      <c r="CM212" s="207" t="str">
        <f>IFERROR(__xludf.DUMMYFUNCTION("IF(OR(CL212&gt;$BS212+$BT212*$BT$2,CL212&lt;$BS212-$BT212*$BT$2),AVEDEV(ARRAYFORMULA(XLOOKUP(FILTER(INDIRECT(""'""&amp;CL$1&amp;""'!$C$4:$C$66""),INDIRECT(""'""&amp;CL$1&amp;""'!$D$4:$D$66"")=CL$2),$G$3:$BQ$3,$G212:$BQ212))),"""")"),"")</f>
        <v/>
      </c>
      <c r="CN212" s="251">
        <f>IFERROR(__xludf.DUMMYFUNCTION("AVERAGE(ARRAYFORMULA(XLOOKUP(FILTER(INDIRECT(""'""&amp;CN$1&amp;""'!$C$4:$C$66""),INDIRECT(""'""&amp;CN$1&amp;""'!$D$4:$D$66"")=CN$2),$G$3:$BQ$3,$G212:$BQ212)))"),0.11112)</f>
        <v>0.11112</v>
      </c>
      <c r="CO212" s="207" t="str">
        <f>IFERROR(__xludf.DUMMYFUNCTION("IF(OR(CN212&gt;$BS212+$BT212*$BT$2,CN212&lt;$BS212-$BT212*$BT$2),AVEDEV(ARRAYFORMULA(XLOOKUP(FILTER(INDIRECT(""'""&amp;CN$1&amp;""'!$C$4:$C$66""),INDIRECT(""'""&amp;CN$1&amp;""'!$D$4:$D$66"")=CN$2),$G$3:$BQ$3,$G212:$BQ212))),"""")"),"")</f>
        <v/>
      </c>
      <c r="CP212" s="252"/>
      <c r="CQ212" s="251">
        <f>IFERROR(__xludf.DUMMYFUNCTION("AVERAGE(ARRAYFORMULA(XLOOKUP(FILTER(INDIRECT(""'""&amp;CQ$1&amp;""'!$C$4:$C$66""),INDIRECT(""'""&amp;CQ$1&amp;""'!$D$4:$D$66"")=CQ$2),$G$3:$BQ$3,$G212:$BQ212)))"),0.05588857142857143)</f>
        <v>0.05588857143</v>
      </c>
      <c r="CR212" s="207" t="str">
        <f>IFERROR(__xludf.DUMMYFUNCTION("IF(OR(CQ212&gt;$BS212+$BT212*$BT$2,CQ212&lt;$BS212-$BT212*$BT$2),AVEDEV(ARRAYFORMULA(XLOOKUP(FILTER(INDIRECT(""'""&amp;CQ$1&amp;""'!$C$4:$C$66""),INDIRECT(""'""&amp;CQ$1&amp;""'!$D$4:$D$66"")=CQ$2),$G$3:$BQ$3,$G212:$BQ212))),"""")"),"")</f>
        <v/>
      </c>
      <c r="CS212" s="251">
        <f>IFERROR(__xludf.DUMMYFUNCTION("AVERAGE(ARRAYFORMULA(XLOOKUP(FILTER(INDIRECT(""'""&amp;CS$1&amp;""'!$C$4:$C$66""),INDIRECT(""'""&amp;CS$1&amp;""'!$D$4:$D$66"")=CS$2),$G$3:$BQ$3,$G212:$BQ212)))"),0.0)</f>
        <v>0</v>
      </c>
      <c r="CT212" s="207" t="str">
        <f>IFERROR(__xludf.DUMMYFUNCTION("IF(OR(CS212&gt;$BS212+$BT212*$BT$2,CS212&lt;$BS212-$BT212*$BT$2),AVEDEV(ARRAYFORMULA(XLOOKUP(FILTER(INDIRECT(""'""&amp;CS$1&amp;""'!$C$4:$C$66""),INDIRECT(""'""&amp;CS$1&amp;""'!$D$4:$D$66"")=CS$2),$G$3:$BQ$3,$G212:$BQ212))),"""")"),"")</f>
        <v/>
      </c>
      <c r="CU212" s="251">
        <f>IFERROR(__xludf.DUMMYFUNCTION("AVERAGE(ARRAYFORMULA(XLOOKUP(FILTER(INDIRECT(""'""&amp;CU$1&amp;""'!$C$4:$C$66""),INDIRECT(""'""&amp;CU$1&amp;""'!$D$4:$D$66"")=CU$2),$G$3:$BQ$3,$G212:$BQ212)))"),0.026954545454545453)</f>
        <v>0.02695454545</v>
      </c>
      <c r="CV212" s="207" t="str">
        <f>IFERROR(__xludf.DUMMYFUNCTION("IF(OR(CU212&gt;$BS212+$BT212*$BT$2,CU212&lt;$BS212-$BT212*$BT$2),AVEDEV(ARRAYFORMULA(XLOOKUP(FILTER(INDIRECT(""'""&amp;CU$1&amp;""'!$C$4:$C$66""),INDIRECT(""'""&amp;CU$1&amp;""'!$D$4:$D$66"")=CU$2),$G$3:$BQ$3,$G212:$BQ212))),"""")"),"")</f>
        <v/>
      </c>
      <c r="CW212" s="251">
        <f>IFERROR(__xludf.DUMMYFUNCTION("AVERAGE(ARRAYFORMULA(XLOOKUP(FILTER(INDIRECT(""'""&amp;CW$1&amp;""'!$C$4:$C$66""),INDIRECT(""'""&amp;CW$1&amp;""'!$D$4:$D$66"")=CW$2),$G$3:$BQ$3,$G212:$BQ212)))"),0.0)</f>
        <v>0</v>
      </c>
      <c r="CX212" s="207" t="str">
        <f>IFERROR(__xludf.DUMMYFUNCTION("IF(OR(CW212&gt;$BS212+$BT212*$BT$2,CW212&lt;$BS212-$BT212*$BT$2),AVEDEV(ARRAYFORMULA(XLOOKUP(FILTER(INDIRECT(""'""&amp;CW$1&amp;""'!$C$4:$C$66""),INDIRECT(""'""&amp;CW$1&amp;""'!$D$4:$D$66"")=CW$2),$G$3:$BQ$3,$G212:$BQ212))),"""")"),"")</f>
        <v/>
      </c>
      <c r="CY212" s="251">
        <f>IFERROR(__xludf.DUMMYFUNCTION("AVERAGE(ARRAYFORMULA(XLOOKUP(FILTER(INDIRECT(""'""&amp;CY$1&amp;""'!$C$4:$C$66""),INDIRECT(""'""&amp;CY$1&amp;""'!$D$4:$D$66"")=CY$2),$G$3:$BQ$3,$G212:$BQ212)))"),0.10163735714285714)</f>
        <v>0.1016373571</v>
      </c>
      <c r="CZ212" s="207" t="str">
        <f>IFERROR(__xludf.DUMMYFUNCTION("IF(OR(CY212&gt;$BS212+$BT212*$BT$2,CY212&lt;$BS212-$BT212*$BT$2),AVEDEV(ARRAYFORMULA(XLOOKUP(FILTER(INDIRECT(""'""&amp;CY$1&amp;""'!$C$4:$C$66""),INDIRECT(""'""&amp;CY$1&amp;""'!$D$4:$D$66"")=CY$2),$G$3:$BQ$3,$G212:$BQ212))),"""")"),"")</f>
        <v/>
      </c>
      <c r="DA212" s="252"/>
      <c r="DB212" s="251">
        <f>IFERROR(__xludf.DUMMYFUNCTION("AVERAGE(ARRAYFORMULA(XLOOKUP(FILTER(INDIRECT(""'""&amp;DB$1&amp;""'!$C$4:$C$66""),INDIRECT(""'""&amp;DB$1&amp;""'!$D$4:$D$66"")=DB$2),$G$3:$BQ$3,$G212:$BQ212)))"),0.05769)</f>
        <v>0.05769</v>
      </c>
      <c r="DC212" s="207" t="str">
        <f>IFERROR(__xludf.DUMMYFUNCTION("IF(OR(DB212&gt;$BS212+$BT212*$BT$2,DB212&lt;$BS212-$BT212*$BT$2),AVEDEV(ARRAYFORMULA(XLOOKUP(FILTER(INDIRECT(""'""&amp;DB$1&amp;""'!$C$4:$C$66""),INDIRECT(""'""&amp;DB$1&amp;""'!$D$4:$D$66"")=DB$2),$G$3:$BQ$3,$G212:$BQ212))),"""")"),"")</f>
        <v/>
      </c>
      <c r="DD212" s="251">
        <f>IFERROR(__xludf.DUMMYFUNCTION("AVERAGE(ARRAYFORMULA(XLOOKUP(FILTER(INDIRECT(""'""&amp;DD$1&amp;""'!$C$4:$C$66""),INDIRECT(""'""&amp;DD$1&amp;""'!$D$4:$D$66"")=DD$2),$G$3:$BQ$3,$G212:$BQ212)))"),0.0)</f>
        <v>0</v>
      </c>
      <c r="DE212" s="207" t="str">
        <f>IFERROR(__xludf.DUMMYFUNCTION("IF(OR(DD212&gt;$BS212+$BT212*$BT$2,DD212&lt;$BS212-$BT212*$BT$2),AVEDEV(ARRAYFORMULA(XLOOKUP(FILTER(INDIRECT(""'""&amp;DD$1&amp;""'!$C$4:$C$66""),INDIRECT(""'""&amp;DD$1&amp;""'!$D$4:$D$66"")=DD$2),$G$3:$BQ$3,$G212:$BQ212))),"""")"),"")</f>
        <v/>
      </c>
      <c r="DF212" s="251">
        <f>IFERROR(__xludf.DUMMYFUNCTION("AVERAGE(ARRAYFORMULA(XLOOKUP(FILTER(INDIRECT(""'""&amp;DF$1&amp;""'!$C$4:$C$66""),INDIRECT(""'""&amp;DF$1&amp;""'!$D$4:$D$66"")=DF$2),$G$3:$BQ$3,$G212:$BQ212)))"),0.095790375)</f>
        <v>0.095790375</v>
      </c>
      <c r="DG212" s="207" t="str">
        <f>IFERROR(__xludf.DUMMYFUNCTION("IF(OR(DF212&gt;$BS212+$BT212*$BT$2,DF212&lt;$BS212-$BT212*$BT$2),AVEDEV(ARRAYFORMULA(XLOOKUP(FILTER(INDIRECT(""'""&amp;DF$1&amp;""'!$C$4:$C$66""),INDIRECT(""'""&amp;DF$1&amp;""'!$D$4:$D$66"")=DF$2),$G$3:$BQ$3,$G212:$BQ212))),"""")"),"")</f>
        <v/>
      </c>
      <c r="DH212" s="251">
        <f>IFERROR(__xludf.DUMMYFUNCTION("AVERAGE(ARRAYFORMULA(XLOOKUP(FILTER(INDIRECT(""'""&amp;DH$1&amp;""'!$C$4:$C$66""),INDIRECT(""'""&amp;DH$1&amp;""'!$D$4:$D$66"")=DH$2),$G$3:$BQ$3,$G212:$BQ212)))"),0.06397777777777777)</f>
        <v>0.06397777778</v>
      </c>
      <c r="DI212" s="207" t="str">
        <f>IFERROR(__xludf.DUMMYFUNCTION("IF(OR(DH212&gt;$BS212+$BT212*$BT$2,DH212&lt;$BS212-$BT212*$BT$2),AVEDEV(ARRAYFORMULA(XLOOKUP(FILTER(INDIRECT(""'""&amp;DH$1&amp;""'!$C$4:$C$66""),INDIRECT(""'""&amp;DH$1&amp;""'!$D$4:$D$66"")=DH$2),$G$3:$BQ$3,$G212:$BQ212))),"""")"),"")</f>
        <v/>
      </c>
      <c r="DJ212" s="243"/>
    </row>
    <row r="213">
      <c r="A213" s="2"/>
      <c r="B213" s="204">
        <v>209.0</v>
      </c>
      <c r="C213" s="204" t="s">
        <v>646</v>
      </c>
      <c r="D213" s="204" t="s">
        <v>658</v>
      </c>
      <c r="E213" s="205" t="b">
        <f>VLOOKUP(D213,'Feature Set List'!A210:C246,2,0)</f>
        <v>1</v>
      </c>
      <c r="F213" s="205" t="b">
        <f>VLOOKUP(D213,'Feature Set List'!A210:C246,3,0)</f>
        <v>1</v>
      </c>
      <c r="G213" s="205">
        <v>-1.7284556</v>
      </c>
      <c r="H213" s="205">
        <v>-0.8621535</v>
      </c>
      <c r="I213" s="205">
        <v>-0.1697153</v>
      </c>
      <c r="J213" s="205">
        <v>-1.1819725</v>
      </c>
      <c r="K213" s="205">
        <v>-1.2046012</v>
      </c>
      <c r="L213" s="205">
        <v>-0.2726758</v>
      </c>
      <c r="M213" s="205">
        <v>1.27324156</v>
      </c>
      <c r="N213" s="205">
        <v>1.28116161</v>
      </c>
      <c r="O213" s="205">
        <v>0.32283613</v>
      </c>
      <c r="P213" s="205">
        <v>0.60305487</v>
      </c>
      <c r="Q213" s="205">
        <v>-0.4476711</v>
      </c>
      <c r="R213" s="205">
        <v>-0.6758439</v>
      </c>
      <c r="S213" s="205">
        <v>0.96549123</v>
      </c>
      <c r="T213" s="205">
        <v>0.36017349</v>
      </c>
      <c r="U213" s="205">
        <v>-0.1568923</v>
      </c>
      <c r="V213" s="205">
        <v>-0.2198755</v>
      </c>
      <c r="W213" s="205">
        <v>-1.0910805</v>
      </c>
      <c r="X213" s="205">
        <v>1.34678484</v>
      </c>
      <c r="Y213" s="205">
        <v>0.5672261</v>
      </c>
      <c r="Z213" s="205">
        <v>-0.3390534</v>
      </c>
      <c r="AA213" s="205">
        <v>0.21610409</v>
      </c>
      <c r="AB213" s="205">
        <v>1.28870451</v>
      </c>
      <c r="AC213" s="205">
        <v>0.83235904</v>
      </c>
      <c r="AD213" s="205">
        <v>-0.4254196</v>
      </c>
      <c r="AE213" s="205">
        <v>0.73128418</v>
      </c>
      <c r="AF213" s="205">
        <v>-0.3454648</v>
      </c>
      <c r="AG213" s="205">
        <v>0.56119178</v>
      </c>
      <c r="AH213" s="205">
        <v>0.24702998</v>
      </c>
      <c r="AI213" s="205">
        <v>0.33528192</v>
      </c>
      <c r="AJ213" s="205">
        <v>0.41825382</v>
      </c>
      <c r="AK213" s="205">
        <v>0.38883651</v>
      </c>
      <c r="AL213" s="205">
        <v>-0.5117858</v>
      </c>
      <c r="AM213" s="205">
        <v>-0.1372808</v>
      </c>
      <c r="AN213" s="205">
        <v>0.04638884</v>
      </c>
      <c r="AO213" s="205">
        <v>1.71789553</v>
      </c>
      <c r="AP213" s="205">
        <v>0.05430888</v>
      </c>
      <c r="AQ213" s="205">
        <v>0.15726947</v>
      </c>
      <c r="AR213" s="205">
        <v>0.87271356</v>
      </c>
      <c r="AS213" s="205">
        <v>-0.4114652</v>
      </c>
      <c r="AT213" s="205">
        <v>0.48991137</v>
      </c>
      <c r="AU213" s="205">
        <v>2.04299453</v>
      </c>
      <c r="AV213" s="205">
        <v>-1.3158589</v>
      </c>
      <c r="AW213" s="205">
        <v>-0.9345653</v>
      </c>
      <c r="AX213" s="205">
        <v>-0.096172</v>
      </c>
      <c r="AY213" s="205">
        <v>-1.397624</v>
      </c>
      <c r="AZ213" s="205">
        <v>-0.1942297</v>
      </c>
      <c r="BA213" s="205">
        <v>-1.7284556</v>
      </c>
      <c r="BB213" s="205">
        <v>0.89534226</v>
      </c>
      <c r="BC213" s="205">
        <v>-1.7284556</v>
      </c>
      <c r="BD213" s="205">
        <v>0.26211578</v>
      </c>
      <c r="BE213" s="205">
        <v>0.46426551</v>
      </c>
      <c r="BF213" s="205">
        <v>1.11559495</v>
      </c>
      <c r="BG213" s="205">
        <v>-0.4567226</v>
      </c>
      <c r="BH213" s="205">
        <v>-0.4254196</v>
      </c>
      <c r="BI213" s="205">
        <v>1.30831605</v>
      </c>
      <c r="BJ213" s="205">
        <v>0.53441448</v>
      </c>
      <c r="BK213" s="205">
        <v>0.26023006</v>
      </c>
      <c r="BL213" s="205">
        <v>-1.7284556</v>
      </c>
      <c r="BM213" s="205">
        <v>-1.1329436</v>
      </c>
      <c r="BN213" s="205">
        <v>0.0</v>
      </c>
      <c r="BO213" s="205">
        <v>-0.4050537</v>
      </c>
      <c r="BP213" s="205">
        <v>-0.3360362</v>
      </c>
      <c r="BQ213" s="205">
        <v>-1.3658307</v>
      </c>
      <c r="BR213" s="206"/>
      <c r="BS213" s="250">
        <f t="shared" si="1"/>
        <v>-0.02327703127</v>
      </c>
      <c r="BT213" s="250">
        <f t="shared" si="2"/>
        <v>0.7208140295</v>
      </c>
      <c r="BU213" s="206"/>
      <c r="BV213" s="207">
        <f>IFERROR(__xludf.DUMMYFUNCTION("AVERAGE(ARRAYFORMULA(XLOOKUP(FILTER(INDIRECT(""'""&amp;BV$1&amp;""'!$C$4:$C$66""),INDIRECT(""'""&amp;BV$1&amp;""'!$D$4:$D$66"")=BV$2),$G$3:$BQ$3,$G213:$BQ213)))"),0.16304517714285713)</f>
        <v>0.1630451771</v>
      </c>
      <c r="BW213" s="207" t="str">
        <f>IFERROR(__xludf.DUMMYFUNCTION("IF(OR(BV213&gt;$BS213+$BT213*$BT$2,BV213&lt;$BS213-$BT213*$BT$2),AVEDEV(ARRAYFORMULA(XLOOKUP(FILTER(INDIRECT(""'""&amp;BV$1&amp;""'!$C$4:$C$66""),INDIRECT(""'""&amp;BV$1&amp;""'!$D$4:$D$66"")=BV$2),$G$3:$BQ$3,$G213:$BQ213))),"""")"),"")</f>
        <v/>
      </c>
      <c r="BX213" s="207">
        <f>IFERROR(__xludf.DUMMYFUNCTION("AVERAGE(ARRAYFORMULA(XLOOKUP(FILTER(INDIRECT(""'""&amp;BX$1&amp;""'!$C$4:$C$66""),INDIRECT(""'""&amp;BX$1&amp;""'!$D$4:$D$66"")=BX$2),$G$3:$BQ$3,$G213:$BQ213)))"),-0.02508463428571429)</f>
        <v>-0.02508463429</v>
      </c>
      <c r="BY213" s="207" t="str">
        <f>IFERROR(__xludf.DUMMYFUNCTION("IF(OR(BX213&gt;$BS213+$BT213*$BT$2,BX213&lt;$BS213-$BT213*$BT$2),AVEDEV(ARRAYFORMULA(XLOOKUP(FILTER(INDIRECT(""'""&amp;BX$1&amp;""'!$C$4:$C$66""),INDIRECT(""'""&amp;BX$1&amp;""'!$D$4:$D$66"")=BX$2),$G$3:$BQ$3,$G213:$BQ213))),"""")"),"")</f>
        <v/>
      </c>
      <c r="BZ213" s="207">
        <f>IFERROR(__xludf.DUMMYFUNCTION("AVERAGE(ARRAYFORMULA(XLOOKUP(FILTER(INDIRECT(""'""&amp;BZ$1&amp;""'!$C$4:$C$66""),INDIRECT(""'""&amp;BZ$1&amp;""'!$D$4:$D$66"")=BZ$2),$G$3:$BQ$3,$G213:$BQ213)))"),-0.33541905272727274)</f>
        <v>-0.3354190527</v>
      </c>
      <c r="CA213" s="207" t="str">
        <f>IFERROR(__xludf.DUMMYFUNCTION("IF(OR(BZ213&gt;$BS213+$BT213*$BT$2,BZ213&lt;$BS213-$BT213*$BT$2),AVEDEV(ARRAYFORMULA(XLOOKUP(FILTER(INDIRECT(""'""&amp;BZ$1&amp;""'!$C$4:$C$66""),INDIRECT(""'""&amp;BZ$1&amp;""'!$D$4:$D$66"")=BZ$2),$G$3:$BQ$3,$G213:$BQ213))),"""")"),"")</f>
        <v/>
      </c>
      <c r="CB213" s="209"/>
      <c r="CC213" s="207">
        <f>IFERROR(__xludf.DUMMYFUNCTION("AVERAGE(ARRAYFORMULA(XLOOKUP(FILTER(INDIRECT(""'""&amp;CC$1&amp;""'!$C$4:$C$66""),INDIRECT(""'""&amp;CC$1&amp;""'!$D$4:$D$66"")=CC$2),$G$3:$BQ$3,$G213:$BQ213)))"),0.09063266437499999)</f>
        <v>0.09063266438</v>
      </c>
      <c r="CD213" s="207" t="str">
        <f>IFERROR(__xludf.DUMMYFUNCTION("IF(OR(CC213&gt;$BS213+$BT213*$BT$2,CC213&lt;$BS213-$BT213*$BT$2),AVEDEV(ARRAYFORMULA(XLOOKUP(FILTER(INDIRECT(""'""&amp;CC$1&amp;""'!$C$4:$C$66""),INDIRECT(""'""&amp;CC$1&amp;""'!$D$4:$D$66"")=CC$2),$G$3:$BQ$3,$G213:$BQ213))),"""")"),"")</f>
        <v/>
      </c>
      <c r="CE213" s="207">
        <f>IFERROR(__xludf.DUMMYFUNCTION("AVERAGE(ARRAYFORMULA(XLOOKUP(FILTER(INDIRECT(""'""&amp;CE$1&amp;""'!$C$4:$C$66""),INDIRECT(""'""&amp;CE$1&amp;""'!$D$4:$D$66"")=CE$2),$G$3:$BQ$3,$G213:$BQ213)))"),-0.07306029032258063)</f>
        <v>-0.07306029032</v>
      </c>
      <c r="CF213" s="207" t="str">
        <f>IFERROR(__xludf.DUMMYFUNCTION("IF(OR(CE213&gt;$BS213+$BT213*$BT$2,CE213&lt;$BS213-$BT213*$BT$2),AVEDEV(ARRAYFORMULA(XLOOKUP(FILTER(INDIRECT(""'""&amp;CE$1&amp;""'!$C$4:$C$66""),INDIRECT(""'""&amp;CE$1&amp;""'!$D$4:$D$66"")=CE$2),$G$3:$BQ$3,$G213:$BQ213))),"""")"),"")</f>
        <v/>
      </c>
      <c r="CG213" s="207">
        <f>IFERROR(__xludf.DUMMYFUNCTION("AVERAGE(ARRAYFORMULA(XLOOKUP(FILTER(INDIRECT(""'""&amp;CG$1&amp;""'!$C$4:$C$66""),INDIRECT(""'""&amp;CG$1&amp;""'!$D$4:$D$66"")=CG$2),$G$3:$BQ$3,$G213:$BQ213)))"),-0.32668300799999994)</f>
        <v>-0.326683008</v>
      </c>
      <c r="CH213" s="207" t="str">
        <f>IFERROR(__xludf.DUMMYFUNCTION("IF(OR(CG213&gt;$BS213+$BT213*$BT$2,CG213&lt;$BS213-$BT213*$BT$2),AVEDEV(ARRAYFORMULA(XLOOKUP(FILTER(INDIRECT(""'""&amp;CG$1&amp;""'!$C$4:$C$66""),INDIRECT(""'""&amp;CG$1&amp;""'!$D$4:$D$66"")=CG$2),$G$3:$BQ$3,$G213:$BQ213))),"""")"),"")</f>
        <v/>
      </c>
      <c r="CI213" s="206"/>
      <c r="CJ213" s="251">
        <f>IFERROR(__xludf.DUMMYFUNCTION("AVERAGE(ARRAYFORMULA(XLOOKUP(FILTER(INDIRECT(""'""&amp;CJ$1&amp;""'!$C$4:$C$66""),INDIRECT(""'""&amp;CJ$1&amp;""'!$D$4:$D$66"")=CJ$2),$G$3:$BQ$3,$G213:$BQ213)))"),0.32912188600000003)</f>
        <v>0.329121886</v>
      </c>
      <c r="CK213" s="207" t="str">
        <f>IFERROR(__xludf.DUMMYFUNCTION("IF(OR(CJ213&gt;$BS213+$BT213*$BT$2,CJ213&lt;$BS213-$BT213*$BT$2),AVEDEV(ARRAYFORMULA(XLOOKUP(FILTER(INDIRECT(""'""&amp;CJ$1&amp;""'!$C$4:$C$66""),INDIRECT(""'""&amp;CJ$1&amp;""'!$D$4:$D$66"")=CJ$2),$G$3:$BQ$3,$G213:$BQ213))),"""")"),"")</f>
        <v/>
      </c>
      <c r="CL213" s="251">
        <f>IFERROR(__xludf.DUMMYFUNCTION("AVERAGE(ARRAYFORMULA(XLOOKUP(FILTER(INDIRECT(""'""&amp;CL$1&amp;""'!$C$4:$C$66""),INDIRECT(""'""&amp;CL$1&amp;""'!$D$4:$D$66"")=CL$2),$G$3:$BQ$3,$G213:$BQ213)))"),-0.13273860589743589)</f>
        <v>-0.1327386059</v>
      </c>
      <c r="CM213" s="207" t="str">
        <f>IFERROR(__xludf.DUMMYFUNCTION("IF(OR(CL213&gt;$BS213+$BT213*$BT$2,CL213&lt;$BS213-$BT213*$BT$2),AVEDEV(ARRAYFORMULA(XLOOKUP(FILTER(INDIRECT(""'""&amp;CL$1&amp;""'!$C$4:$C$66""),INDIRECT(""'""&amp;CL$1&amp;""'!$D$4:$D$66"")=CL$2),$G$3:$BQ$3,$G213:$BQ213))),"""")"),"")</f>
        <v/>
      </c>
      <c r="CN213" s="251">
        <f>IFERROR(__xludf.DUMMYFUNCTION("AVERAGE(ARRAYFORMULA(XLOOKUP(FILTER(INDIRECT(""'""&amp;CN$1&amp;""'!$C$4:$C$66""),INDIRECT(""'""&amp;CN$1&amp;""'!$D$4:$D$66"")=CN$2),$G$3:$BQ$3,$G213:$BQ213)))"),-0.32668300799999994)</f>
        <v>-0.326683008</v>
      </c>
      <c r="CO213" s="207" t="str">
        <f>IFERROR(__xludf.DUMMYFUNCTION("IF(OR(CN213&gt;$BS213+$BT213*$BT$2,CN213&lt;$BS213-$BT213*$BT$2),AVEDEV(ARRAYFORMULA(XLOOKUP(FILTER(INDIRECT(""'""&amp;CN$1&amp;""'!$C$4:$C$66""),INDIRECT(""'""&amp;CN$1&amp;""'!$D$4:$D$66"")=CN$2),$G$3:$BQ$3,$G213:$BQ213))),"""")"),"")</f>
        <v/>
      </c>
      <c r="CP213" s="252"/>
      <c r="CQ213" s="251">
        <f>IFERROR(__xludf.DUMMYFUNCTION("AVERAGE(ARRAYFORMULA(XLOOKUP(FILTER(INDIRECT(""'""&amp;CQ$1&amp;""'!$C$4:$C$66""),INDIRECT(""'""&amp;CQ$1&amp;""'!$D$4:$D$66"")=CQ$2),$G$3:$BQ$3,$G213:$BQ213)))"),0.08391476857142856)</f>
        <v>0.08391476857</v>
      </c>
      <c r="CR213" s="207" t="str">
        <f>IFERROR(__xludf.DUMMYFUNCTION("IF(OR(CQ213&gt;$BS213+$BT213*$BT$2,CQ213&lt;$BS213-$BT213*$BT$2),AVEDEV(ARRAYFORMULA(XLOOKUP(FILTER(INDIRECT(""'""&amp;CQ$1&amp;""'!$C$4:$C$66""),INDIRECT(""'""&amp;CQ$1&amp;""'!$D$4:$D$66"")=CQ$2),$G$3:$BQ$3,$G213:$BQ213))),"""")"),"")</f>
        <v/>
      </c>
      <c r="CS213" s="251">
        <f>IFERROR(__xludf.DUMMYFUNCTION("AVERAGE(ARRAYFORMULA(XLOOKUP(FILTER(INDIRECT(""'""&amp;CS$1&amp;""'!$C$4:$C$66""),INDIRECT(""'""&amp;CS$1&amp;""'!$D$4:$D$66"")=CS$2),$G$3:$BQ$3,$G213:$BQ213)))"),-0.26249291999999996)</f>
        <v>-0.26249292</v>
      </c>
      <c r="CT213" s="207" t="str">
        <f>IFERROR(__xludf.DUMMYFUNCTION("IF(OR(CS213&gt;$BS213+$BT213*$BT$2,CS213&lt;$BS213-$BT213*$BT$2),AVEDEV(ARRAYFORMULA(XLOOKUP(FILTER(INDIRECT(""'""&amp;CS$1&amp;""'!$C$4:$C$66""),INDIRECT(""'""&amp;CS$1&amp;""'!$D$4:$D$66"")=CS$2),$G$3:$BQ$3,$G213:$BQ213))),"""")"),"")</f>
        <v/>
      </c>
      <c r="CU213" s="251">
        <f>IFERROR(__xludf.DUMMYFUNCTION("AVERAGE(ARRAYFORMULA(XLOOKUP(FILTER(INDIRECT(""'""&amp;CU$1&amp;""'!$C$4:$C$66""),INDIRECT(""'""&amp;CU$1&amp;""'!$D$4:$D$66"")=CU$2),$G$3:$BQ$3,$G213:$BQ213)))"),0.13913222909090908)</f>
        <v>0.1391322291</v>
      </c>
      <c r="CV213" s="207" t="str">
        <f>IFERROR(__xludf.DUMMYFUNCTION("IF(OR(CU213&gt;$BS213+$BT213*$BT$2,CU213&lt;$BS213-$BT213*$BT$2),AVEDEV(ARRAYFORMULA(XLOOKUP(FILTER(INDIRECT(""'""&amp;CU$1&amp;""'!$C$4:$C$66""),INDIRECT(""'""&amp;CU$1&amp;""'!$D$4:$D$66"")=CU$2),$G$3:$BQ$3,$G213:$BQ213))),"""")"),"")</f>
        <v/>
      </c>
      <c r="CW213" s="251">
        <f>IFERROR(__xludf.DUMMYFUNCTION("AVERAGE(ARRAYFORMULA(XLOOKUP(FILTER(INDIRECT(""'""&amp;CW$1&amp;""'!$C$4:$C$66""),INDIRECT(""'""&amp;CW$1&amp;""'!$D$4:$D$66"")=CW$2),$G$3:$BQ$3,$G213:$BQ213)))"),-0.4254196)</f>
        <v>-0.4254196</v>
      </c>
      <c r="CX213" s="207" t="str">
        <f>IFERROR(__xludf.DUMMYFUNCTION("IF(OR(CW213&gt;$BS213+$BT213*$BT$2,CW213&lt;$BS213-$BT213*$BT$2),AVEDEV(ARRAYFORMULA(XLOOKUP(FILTER(INDIRECT(""'""&amp;CW$1&amp;""'!$C$4:$C$66""),INDIRECT(""'""&amp;CW$1&amp;""'!$D$4:$D$66"")=CW$2),$G$3:$BQ$3,$G213:$BQ213))),"""")"),"")</f>
        <v/>
      </c>
      <c r="CY213" s="251">
        <f>IFERROR(__xludf.DUMMYFUNCTION("AVERAGE(ARRAYFORMULA(XLOOKUP(FILTER(INDIRECT(""'""&amp;CY$1&amp;""'!$C$4:$C$66""),INDIRECT(""'""&amp;CY$1&amp;""'!$D$4:$D$66"")=CY$2),$G$3:$BQ$3,$G213:$BQ213)))"),-0.10615285857142862)</f>
        <v>-0.1061528586</v>
      </c>
      <c r="CZ213" s="207" t="str">
        <f>IFERROR(__xludf.DUMMYFUNCTION("IF(OR(CY213&gt;$BS213+$BT213*$BT$2,CY213&lt;$BS213-$BT213*$BT$2),AVEDEV(ARRAYFORMULA(XLOOKUP(FILTER(INDIRECT(""'""&amp;CY$1&amp;""'!$C$4:$C$66""),INDIRECT(""'""&amp;CY$1&amp;""'!$D$4:$D$66"")=CY$2),$G$3:$BQ$3,$G213:$BQ213))),"""")"),"")</f>
        <v/>
      </c>
      <c r="DA213" s="252"/>
      <c r="DB213" s="251">
        <f>IFERROR(__xludf.DUMMYFUNCTION("AVERAGE(ARRAYFORMULA(XLOOKUP(FILTER(INDIRECT(""'""&amp;DB$1&amp;""'!$C$4:$C$66""),INDIRECT(""'""&amp;DB$1&amp;""'!$D$4:$D$66"")=DB$2),$G$3:$BQ$3,$G213:$BQ213)))"),0.07471871)</f>
        <v>0.07471871</v>
      </c>
      <c r="DC213" s="207" t="str">
        <f>IFERROR(__xludf.DUMMYFUNCTION("IF(OR(DB213&gt;$BS213+$BT213*$BT$2,DB213&lt;$BS213-$BT213*$BT$2),AVEDEV(ARRAYFORMULA(XLOOKUP(FILTER(INDIRECT(""'""&amp;DB$1&amp;""'!$C$4:$C$66""),INDIRECT(""'""&amp;DB$1&amp;""'!$D$4:$D$66"")=DB$2),$G$3:$BQ$3,$G213:$BQ213))),"""")"),"")</f>
        <v/>
      </c>
      <c r="DD213" s="251">
        <f>IFERROR(__xludf.DUMMYFUNCTION("AVERAGE(ARRAYFORMULA(XLOOKUP(FILTER(INDIRECT(""'""&amp;DD$1&amp;""'!$C$4:$C$66""),INDIRECT(""'""&amp;DD$1&amp;""'!$D$4:$D$66"")=DD$2),$G$3:$BQ$3,$G213:$BQ213)))"),-0.5592222311111111)</f>
        <v>-0.5592222311</v>
      </c>
      <c r="DE213" s="207" t="str">
        <f>IFERROR(__xludf.DUMMYFUNCTION("IF(OR(DD213&gt;$BS213+$BT213*$BT$2,DD213&lt;$BS213-$BT213*$BT$2),AVEDEV(ARRAYFORMULA(XLOOKUP(FILTER(INDIRECT(""'""&amp;DD$1&amp;""'!$C$4:$C$66""),INDIRECT(""'""&amp;DD$1&amp;""'!$D$4:$D$66"")=DD$2),$G$3:$BQ$3,$G213:$BQ213))),"""")"),"")</f>
        <v/>
      </c>
      <c r="DF213" s="251">
        <f>IFERROR(__xludf.DUMMYFUNCTION("AVERAGE(ARRAYFORMULA(XLOOKUP(FILTER(INDIRECT(""'""&amp;DF$1&amp;""'!$C$4:$C$66""),INDIRECT(""'""&amp;DF$1&amp;""'!$D$4:$D$66"")=DF$2),$G$3:$BQ$3,$G213:$BQ213)))"),-0.06273807875)</f>
        <v>-0.06273807875</v>
      </c>
      <c r="DG213" s="207" t="str">
        <f>IFERROR(__xludf.DUMMYFUNCTION("IF(OR(DF213&gt;$BS213+$BT213*$BT$2,DF213&lt;$BS213-$BT213*$BT$2),AVEDEV(ARRAYFORMULA(XLOOKUP(FILTER(INDIRECT(""'""&amp;DF$1&amp;""'!$C$4:$C$66""),INDIRECT(""'""&amp;DF$1&amp;""'!$D$4:$D$66"")=DF$2),$G$3:$BQ$3,$G213:$BQ213))),"""")"),"")</f>
        <v/>
      </c>
      <c r="DH213" s="251">
        <f>IFERROR(__xludf.DUMMYFUNCTION("AVERAGE(ARRAYFORMULA(XLOOKUP(FILTER(INDIRECT(""'""&amp;DH$1&amp;""'!$C$4:$C$66""),INDIRECT(""'""&amp;DH$1&amp;""'!$D$4:$D$66"")=DH$2),$G$3:$BQ$3,$G213:$BQ213)))"),-0.2797158777777778)</f>
        <v>-0.2797158778</v>
      </c>
      <c r="DI213" s="207" t="str">
        <f>IFERROR(__xludf.DUMMYFUNCTION("IF(OR(DH213&gt;$BS213+$BT213*$BT$2,DH213&lt;$BS213-$BT213*$BT$2),AVEDEV(ARRAYFORMULA(XLOOKUP(FILTER(INDIRECT(""'""&amp;DH$1&amp;""'!$C$4:$C$66""),INDIRECT(""'""&amp;DH$1&amp;""'!$D$4:$D$66"")=DH$2),$G$3:$BQ$3,$G213:$BQ213))),"""")"),"")</f>
        <v/>
      </c>
      <c r="DJ213" s="243"/>
    </row>
    <row r="214">
      <c r="A214" s="2"/>
      <c r="B214" s="204">
        <v>210.0</v>
      </c>
      <c r="C214" s="204" t="s">
        <v>646</v>
      </c>
      <c r="D214" s="204" t="s">
        <v>659</v>
      </c>
      <c r="E214" s="205" t="b">
        <f>VLOOKUP(D214,'Feature Set List'!A211:C246,2,0)</f>
        <v>1</v>
      </c>
      <c r="F214" s="205" t="b">
        <f>VLOOKUP(D214,'Feature Set List'!A211:C246,3,0)</f>
        <v>1</v>
      </c>
      <c r="G214" s="205">
        <v>1.21292135</v>
      </c>
      <c r="H214" s="205">
        <v>1.29550562</v>
      </c>
      <c r="I214" s="205">
        <v>1.26853933</v>
      </c>
      <c r="J214" s="205">
        <v>0.96741573</v>
      </c>
      <c r="K214" s="205">
        <v>5.7741573</v>
      </c>
      <c r="L214" s="205">
        <v>-0.6162921</v>
      </c>
      <c r="M214" s="205">
        <v>-0.8994944</v>
      </c>
      <c r="N214" s="205">
        <v>1.03314607</v>
      </c>
      <c r="O214" s="205">
        <v>-0.7050562</v>
      </c>
      <c r="P214" s="205">
        <v>-0.9014607</v>
      </c>
      <c r="Q214" s="205">
        <v>1.36123596</v>
      </c>
      <c r="R214" s="205">
        <v>-1.0117416</v>
      </c>
      <c r="S214" s="205">
        <v>-0.7792135</v>
      </c>
      <c r="T214" s="205">
        <v>0.05898876</v>
      </c>
      <c r="U214" s="205">
        <v>-0.4146067</v>
      </c>
      <c r="V214" s="205">
        <v>0.08370787</v>
      </c>
      <c r="W214" s="205">
        <v>-0.7516854</v>
      </c>
      <c r="X214" s="205">
        <v>-0.8348315</v>
      </c>
      <c r="Y214" s="205">
        <v>0.18033708</v>
      </c>
      <c r="Z214" s="205">
        <v>-0.8775281</v>
      </c>
      <c r="AA214" s="205">
        <v>-0.6544944</v>
      </c>
      <c r="AB214" s="205">
        <v>0.21067416</v>
      </c>
      <c r="AC214" s="205">
        <v>-0.0926966</v>
      </c>
      <c r="AD214" s="205">
        <v>0.83258427</v>
      </c>
      <c r="AE214" s="205">
        <v>-0.2432584</v>
      </c>
      <c r="AF214" s="205">
        <v>0.06179775</v>
      </c>
      <c r="AG214" s="205">
        <v>0.24662921</v>
      </c>
      <c r="AH214" s="205">
        <v>-0.2825843</v>
      </c>
      <c r="AI214" s="205">
        <v>0.0</v>
      </c>
      <c r="AJ214" s="205">
        <v>-0.5337079</v>
      </c>
      <c r="AK214" s="205">
        <v>1.26011236</v>
      </c>
      <c r="AL214" s="205">
        <v>-0.0691011</v>
      </c>
      <c r="AM214" s="205">
        <v>0.39044944</v>
      </c>
      <c r="AN214" s="205">
        <v>-0.1853933</v>
      </c>
      <c r="AO214" s="205">
        <v>-0.7983146</v>
      </c>
      <c r="AP214" s="205">
        <v>1.77696629</v>
      </c>
      <c r="AQ214" s="205">
        <v>-0.8348315</v>
      </c>
      <c r="AR214" s="205">
        <v>-0.0735955</v>
      </c>
      <c r="AS214" s="205">
        <v>0.22247191</v>
      </c>
      <c r="AT214" s="205">
        <v>0.86404494</v>
      </c>
      <c r="AU214" s="205">
        <v>-0.7325843</v>
      </c>
      <c r="AV214" s="205">
        <v>-0.5292135</v>
      </c>
      <c r="AW214" s="205">
        <v>-0.3202247</v>
      </c>
      <c r="AX214" s="205">
        <v>0.08539326</v>
      </c>
      <c r="AY214" s="205">
        <v>-0.9583146</v>
      </c>
      <c r="AZ214" s="205">
        <v>0.06797753</v>
      </c>
      <c r="BA214" s="205">
        <v>-0.4634831</v>
      </c>
      <c r="BB214" s="205">
        <v>-0.2308989</v>
      </c>
      <c r="BC214" s="205">
        <v>-0.2938202</v>
      </c>
      <c r="BD214" s="205">
        <v>0.26404494</v>
      </c>
      <c r="BE214" s="205">
        <v>0.16573034</v>
      </c>
      <c r="BF214" s="205">
        <v>0.61685393</v>
      </c>
      <c r="BG214" s="205">
        <v>-0.3078652</v>
      </c>
      <c r="BH214" s="205">
        <v>1.54494382</v>
      </c>
      <c r="BI214" s="205">
        <v>0.15505618</v>
      </c>
      <c r="BJ214" s="205">
        <v>-0.2561798</v>
      </c>
      <c r="BK214" s="205">
        <v>0.31629213</v>
      </c>
      <c r="BL214" s="205">
        <v>3.53932584</v>
      </c>
      <c r="BM214" s="205">
        <v>0.16629213</v>
      </c>
      <c r="BN214" s="205">
        <v>1.68033708</v>
      </c>
      <c r="BO214" s="205">
        <v>-0.0696629</v>
      </c>
      <c r="BP214" s="205">
        <v>1.31235955</v>
      </c>
      <c r="BQ214" s="205">
        <v>-0.4269663</v>
      </c>
      <c r="BR214" s="206"/>
      <c r="BS214" s="250">
        <f t="shared" si="1"/>
        <v>0.2042411243</v>
      </c>
      <c r="BT214" s="250">
        <f t="shared" si="2"/>
        <v>0.7459589364</v>
      </c>
      <c r="BU214" s="206"/>
      <c r="BV214" s="207">
        <f>IFERROR(__xludf.DUMMYFUNCTION("AVERAGE(ARRAYFORMULA(XLOOKUP(FILTER(INDIRECT(""'""&amp;BV$1&amp;""'!$C$4:$C$66""),INDIRECT(""'""&amp;BV$1&amp;""'!$D$4:$D$66"")=BV$2),$G$3:$BQ$3,$G214:$BQ214)))"),0.06686998285714285)</f>
        <v>0.06686998286</v>
      </c>
      <c r="BW214" s="207" t="str">
        <f>IFERROR(__xludf.DUMMYFUNCTION("IF(OR(BV214&gt;$BS214+$BT214*$BT$2,BV214&lt;$BS214-$BT214*$BT$2),AVEDEV(ARRAYFORMULA(XLOOKUP(FILTER(INDIRECT(""'""&amp;BV$1&amp;""'!$C$4:$C$66""),INDIRECT(""'""&amp;BV$1&amp;""'!$D$4:$D$66"")=BV$2),$G$3:$BQ$3,$G214:$BQ214))),"""")"),"")</f>
        <v/>
      </c>
      <c r="BX214" s="207">
        <f>IFERROR(__xludf.DUMMYFUNCTION("AVERAGE(ARRAYFORMULA(XLOOKUP(FILTER(INDIRECT(""'""&amp;BX$1&amp;""'!$C$4:$C$66""),INDIRECT(""'""&amp;BX$1&amp;""'!$D$4:$D$66"")=BX$2),$G$3:$BQ$3,$G214:$BQ214)))"),0.321028620952381)</f>
        <v>0.321028621</v>
      </c>
      <c r="BY214" s="207" t="str">
        <f>IFERROR(__xludf.DUMMYFUNCTION("IF(OR(BX214&gt;$BS214+$BT214*$BT$2,BX214&lt;$BS214-$BT214*$BT$2),AVEDEV(ARRAYFORMULA(XLOOKUP(FILTER(INDIRECT(""'""&amp;BX$1&amp;""'!$C$4:$C$66""),INDIRECT(""'""&amp;BX$1&amp;""'!$D$4:$D$66"")=BX$2),$G$3:$BQ$3,$G214:$BQ214))),"""")"),"")</f>
        <v/>
      </c>
      <c r="BZ214" s="207">
        <f>IFERROR(__xludf.DUMMYFUNCTION("AVERAGE(ARRAYFORMULA(XLOOKUP(FILTER(INDIRECT(""'""&amp;BZ$1&amp;""'!$C$4:$C$66""),INDIRECT(""'""&amp;BZ$1&amp;""'!$D$4:$D$66"")=BZ$2),$G$3:$BQ$3,$G214:$BQ214)))"),-0.17128191818181818)</f>
        <v>-0.1712819182</v>
      </c>
      <c r="CA214" s="207" t="str">
        <f>IFERROR(__xludf.DUMMYFUNCTION("IF(OR(BZ214&gt;$BS214+$BT214*$BT$2,BZ214&lt;$BS214-$BT214*$BT$2),AVEDEV(ARRAYFORMULA(XLOOKUP(FILTER(INDIRECT(""'""&amp;BZ$1&amp;""'!$C$4:$C$66""),INDIRECT(""'""&amp;BZ$1&amp;""'!$D$4:$D$66"")=BZ$2),$G$3:$BQ$3,$G214:$BQ214))),"""")"),"")</f>
        <v/>
      </c>
      <c r="CB214" s="209"/>
      <c r="CC214" s="207">
        <f>IFERROR(__xludf.DUMMYFUNCTION("AVERAGE(ARRAYFORMULA(XLOOKUP(FILTER(INDIRECT(""'""&amp;CC$1&amp;""'!$C$4:$C$66""),INDIRECT(""'""&amp;CC$1&amp;""'!$D$4:$D$66"")=CC$2),$G$3:$BQ$3,$G214:$BQ214)))"),0.7421699450000001)</f>
        <v>0.742169945</v>
      </c>
      <c r="CD214" s="207" t="str">
        <f>IFERROR(__xludf.DUMMYFUNCTION("IF(OR(CC214&gt;$BS214+$BT214*$BT$2,CC214&lt;$BS214-$BT214*$BT$2),AVEDEV(ARRAYFORMULA(XLOOKUP(FILTER(INDIRECT(""'""&amp;CC$1&amp;""'!$C$4:$C$66""),INDIRECT(""'""&amp;CC$1&amp;""'!$D$4:$D$66"")=CC$2),$G$3:$BQ$3,$G214:$BQ214))),"""")"),"")</f>
        <v/>
      </c>
      <c r="CE214" s="207">
        <f>IFERROR(__xludf.DUMMYFUNCTION("AVERAGE(ARRAYFORMULA(XLOOKUP(FILTER(INDIRECT(""'""&amp;CE$1&amp;""'!$C$4:$C$66""),INDIRECT(""'""&amp;CE$1&amp;""'!$D$4:$D$66"")=CE$2),$G$3:$BQ$3,$G214:$BQ214)))"),-0.05302283903225805)</f>
        <v>-0.05302283903</v>
      </c>
      <c r="CF214" s="207" t="str">
        <f>IFERROR(__xludf.DUMMYFUNCTION("IF(OR(CE214&gt;$BS214+$BT214*$BT$2,CE214&lt;$BS214-$BT214*$BT$2),AVEDEV(ARRAYFORMULA(XLOOKUP(FILTER(INDIRECT(""'""&amp;CE$1&amp;""'!$C$4:$C$66""),INDIRECT(""'""&amp;CE$1&amp;""'!$D$4:$D$66"")=CE$2),$G$3:$BQ$3,$G214:$BQ214))),"""")"),"")</f>
        <v/>
      </c>
      <c r="CG214" s="207">
        <f>IFERROR(__xludf.DUMMYFUNCTION("AVERAGE(ARRAYFORMULA(XLOOKUP(FILTER(INDIRECT(""'""&amp;CG$1&amp;""'!$C$4:$C$66""),INDIRECT(""'""&amp;CG$1&amp;""'!$D$4:$D$66"")=CG$2),$G$3:$BQ$3,$G214:$BQ214)))"),-0.27826966599999997)</f>
        <v>-0.278269666</v>
      </c>
      <c r="CH214" s="207" t="str">
        <f>IFERROR(__xludf.DUMMYFUNCTION("IF(OR(CG214&gt;$BS214+$BT214*$BT$2,CG214&lt;$BS214-$BT214*$BT$2),AVEDEV(ARRAYFORMULA(XLOOKUP(FILTER(INDIRECT(""'""&amp;CG$1&amp;""'!$C$4:$C$66""),INDIRECT(""'""&amp;CG$1&amp;""'!$D$4:$D$66"")=CG$2),$G$3:$BQ$3,$G214:$BQ214))),"""")"),"")</f>
        <v/>
      </c>
      <c r="CI214" s="206"/>
      <c r="CJ214" s="251">
        <f>IFERROR(__xludf.DUMMYFUNCTION("AVERAGE(ARRAYFORMULA(XLOOKUP(FILTER(INDIRECT(""'""&amp;CJ$1&amp;""'!$C$4:$C$66""),INDIRECT(""'""&amp;CJ$1&amp;""'!$D$4:$D$66"")=CJ$2),$G$3:$BQ$3,$G214:$BQ214)))"),0.06734082466666666)</f>
        <v>0.06734082467</v>
      </c>
      <c r="CK214" s="207" t="str">
        <f>IFERROR(__xludf.DUMMYFUNCTION("IF(OR(CJ214&gt;$BS214+$BT214*$BT$2,CJ214&lt;$BS214-$BT214*$BT$2),AVEDEV(ARRAYFORMULA(XLOOKUP(FILTER(INDIRECT(""'""&amp;CJ$1&amp;""'!$C$4:$C$66""),INDIRECT(""'""&amp;CJ$1&amp;""'!$D$4:$D$66"")=CJ$2),$G$3:$BQ$3,$G214:$BQ214))),"""")"),"")</f>
        <v/>
      </c>
      <c r="CL214" s="251">
        <f>IFERROR(__xludf.DUMMYFUNCTION("AVERAGE(ARRAYFORMULA(XLOOKUP(FILTER(INDIRECT(""'""&amp;CL$1&amp;""'!$C$4:$C$66""),INDIRECT(""'""&amp;CL$1&amp;""'!$D$4:$D$66"")=CL$2),$G$3:$BQ$3,$G214:$BQ214)))"),0.22843848666666666)</f>
        <v>0.2284384867</v>
      </c>
      <c r="CM214" s="207" t="str">
        <f>IFERROR(__xludf.DUMMYFUNCTION("IF(OR(CL214&gt;$BS214+$BT214*$BT$2,CL214&lt;$BS214-$BT214*$BT$2),AVEDEV(ARRAYFORMULA(XLOOKUP(FILTER(INDIRECT(""'""&amp;CL$1&amp;""'!$C$4:$C$66""),INDIRECT(""'""&amp;CL$1&amp;""'!$D$4:$D$66"")=CL$2),$G$3:$BQ$3,$G214:$BQ214))),"""")"),"")</f>
        <v/>
      </c>
      <c r="CN214" s="251">
        <f>IFERROR(__xludf.DUMMYFUNCTION("AVERAGE(ARRAYFORMULA(XLOOKUP(FILTER(INDIRECT(""'""&amp;CN$1&amp;""'!$C$4:$C$66""),INDIRECT(""'""&amp;CN$1&amp;""'!$D$4:$D$66"")=CN$2),$G$3:$BQ$3,$G214:$BQ214)))"),-0.27826966599999997)</f>
        <v>-0.278269666</v>
      </c>
      <c r="CO214" s="207" t="str">
        <f>IFERROR(__xludf.DUMMYFUNCTION("IF(OR(CN214&gt;$BS214+$BT214*$BT$2,CN214&lt;$BS214-$BT214*$BT$2),AVEDEV(ARRAYFORMULA(XLOOKUP(FILTER(INDIRECT(""'""&amp;CN$1&amp;""'!$C$4:$C$66""),INDIRECT(""'""&amp;CN$1&amp;""'!$D$4:$D$66"")=CN$2),$G$3:$BQ$3,$G214:$BQ214))),"""")"),"")</f>
        <v/>
      </c>
      <c r="CP214" s="252"/>
      <c r="CQ214" s="251">
        <f>IFERROR(__xludf.DUMMYFUNCTION("AVERAGE(ARRAYFORMULA(XLOOKUP(FILTER(INDIRECT(""'""&amp;CQ$1&amp;""'!$C$4:$C$66""),INDIRECT(""'""&amp;CQ$1&amp;""'!$D$4:$D$66"")=CQ$2),$G$3:$BQ$3,$G214:$BQ214)))"),0.43780096500000004)</f>
        <v>0.437800965</v>
      </c>
      <c r="CR214" s="207" t="str">
        <f>IFERROR(__xludf.DUMMYFUNCTION("IF(OR(CQ214&gt;$BS214+$BT214*$BT$2,CQ214&lt;$BS214-$BT214*$BT$2),AVEDEV(ARRAYFORMULA(XLOOKUP(FILTER(INDIRECT(""'""&amp;CQ$1&amp;""'!$C$4:$C$66""),INDIRECT(""'""&amp;CQ$1&amp;""'!$D$4:$D$66"")=CQ$2),$G$3:$BQ$3,$G214:$BQ214))),"""")"),"")</f>
        <v/>
      </c>
      <c r="CS214" s="251">
        <f>IFERROR(__xludf.DUMMYFUNCTION("AVERAGE(ARRAYFORMULA(XLOOKUP(FILTER(INDIRECT(""'""&amp;CS$1&amp;""'!$C$4:$C$66""),INDIRECT(""'""&amp;CS$1&amp;""'!$D$4:$D$66"")=CS$2),$G$3:$BQ$3,$G214:$BQ214)))"),-0.23537452888888882)</f>
        <v>-0.2353745289</v>
      </c>
      <c r="CT214" s="207" t="str">
        <f>IFERROR(__xludf.DUMMYFUNCTION("IF(OR(CS214&gt;$BS214+$BT214*$BT$2,CS214&lt;$BS214-$BT214*$BT$2),AVEDEV(ARRAYFORMULA(XLOOKUP(FILTER(INDIRECT(""'""&amp;CS$1&amp;""'!$C$4:$C$66""),INDIRECT(""'""&amp;CS$1&amp;""'!$D$4:$D$66"")=CS$2),$G$3:$BQ$3,$G214:$BQ214))),"""")"),"")</f>
        <v/>
      </c>
      <c r="CU214" s="251">
        <f>IFERROR(__xludf.DUMMYFUNCTION("AVERAGE(ARRAYFORMULA(XLOOKUP(FILTER(INDIRECT(""'""&amp;CU$1&amp;""'!$C$4:$C$66""),INDIRECT(""'""&amp;CU$1&amp;""'!$D$4:$D$66"")=CU$2),$G$3:$BQ$3,$G214:$BQ214)))"),-0.10750766636363637)</f>
        <v>-0.1075076664</v>
      </c>
      <c r="CV214" s="207" t="str">
        <f>IFERROR(__xludf.DUMMYFUNCTION("IF(OR(CU214&gt;$BS214+$BT214*$BT$2,CU214&lt;$BS214-$BT214*$BT$2),AVEDEV(ARRAYFORMULA(XLOOKUP(FILTER(INDIRECT(""'""&amp;CU$1&amp;""'!$C$4:$C$66""),INDIRECT(""'""&amp;CU$1&amp;""'!$D$4:$D$66"")=CU$2),$G$3:$BQ$3,$G214:$BQ214))),"""")"),"")</f>
        <v/>
      </c>
      <c r="CW214" s="251">
        <f>IFERROR(__xludf.DUMMYFUNCTION("AVERAGE(ARRAYFORMULA(XLOOKUP(FILTER(INDIRECT(""'""&amp;CW$1&amp;""'!$C$4:$C$66""),INDIRECT(""'""&amp;CW$1&amp;""'!$D$4:$D$66"")=CW$2),$G$3:$BQ$3,$G214:$BQ214)))"),1.188764045)</f>
        <v>1.188764045</v>
      </c>
      <c r="CX214" s="207">
        <f>IFERROR(__xludf.DUMMYFUNCTION("IF(OR(CW214&gt;$BS214+$BT214*$BT$2,CW214&lt;$BS214-$BT214*$BT$2),AVEDEV(ARRAYFORMULA(XLOOKUP(FILTER(INDIRECT(""'""&amp;CW$1&amp;""'!$C$4:$C$66""),INDIRECT(""'""&amp;CW$1&amp;""'!$D$4:$D$66"")=CW$2),$G$3:$BQ$3,$G214:$BQ214))),"""")"),0.35617977500000003)</f>
        <v>0.356179775</v>
      </c>
      <c r="CY214" s="251">
        <f>IFERROR(__xludf.DUMMYFUNCTION("AVERAGE(ARRAYFORMULA(XLOOKUP(FILTER(INDIRECT(""'""&amp;CY$1&amp;""'!$C$4:$C$66""),INDIRECT(""'""&amp;CY$1&amp;""'!$D$4:$D$66"")=CY$2),$G$3:$BQ$3,$G214:$BQ214)))"),0.01645665214285715)</f>
        <v>0.01645665214</v>
      </c>
      <c r="CZ214" s="207" t="str">
        <f>IFERROR(__xludf.DUMMYFUNCTION("IF(OR(CY214&gt;$BS214+$BT214*$BT$2,CY214&lt;$BS214-$BT214*$BT$2),AVEDEV(ARRAYFORMULA(XLOOKUP(FILTER(INDIRECT(""'""&amp;CY$1&amp;""'!$C$4:$C$66""),INDIRECT(""'""&amp;CY$1&amp;""'!$D$4:$D$66"")=CY$2),$G$3:$BQ$3,$G214:$BQ214))),"""")"),"")</f>
        <v/>
      </c>
      <c r="DA214" s="252"/>
      <c r="DB214" s="251">
        <f>IFERROR(__xludf.DUMMYFUNCTION("AVERAGE(ARRAYFORMULA(XLOOKUP(FILTER(INDIRECT(""'""&amp;DB$1&amp;""'!$C$4:$C$66""),INDIRECT(""'""&amp;DB$1&amp;""'!$D$4:$D$66"")=DB$2),$G$3:$BQ$3,$G214:$BQ214)))"),0.4474719066666667)</f>
        <v>0.4474719067</v>
      </c>
      <c r="DC214" s="207" t="str">
        <f>IFERROR(__xludf.DUMMYFUNCTION("IF(OR(DB214&gt;$BS214+$BT214*$BT$2,DB214&lt;$BS214-$BT214*$BT$2),AVEDEV(ARRAYFORMULA(XLOOKUP(FILTER(INDIRECT(""'""&amp;DB$1&amp;""'!$C$4:$C$66""),INDIRECT(""'""&amp;DB$1&amp;""'!$D$4:$D$66"")=DB$2),$G$3:$BQ$3,$G214:$BQ214))),"""")"),"")</f>
        <v/>
      </c>
      <c r="DD214" s="251">
        <f>IFERROR(__xludf.DUMMYFUNCTION("AVERAGE(ARRAYFORMULA(XLOOKUP(FILTER(INDIRECT(""'""&amp;DD$1&amp;""'!$C$4:$C$66""),INDIRECT(""'""&amp;DD$1&amp;""'!$D$4:$D$66"")=DD$2),$G$3:$BQ$3,$G214:$BQ214)))"),-0.3026029955555556)</f>
        <v>-0.3026029956</v>
      </c>
      <c r="DE214" s="207" t="str">
        <f>IFERROR(__xludf.DUMMYFUNCTION("IF(OR(DD214&gt;$BS214+$BT214*$BT$2,DD214&lt;$BS214-$BT214*$BT$2),AVEDEV(ARRAYFORMULA(XLOOKUP(FILTER(INDIRECT(""'""&amp;DD$1&amp;""'!$C$4:$C$66""),INDIRECT(""'""&amp;DD$1&amp;""'!$D$4:$D$66"")=DD$2),$G$3:$BQ$3,$G214:$BQ214))),"""")"),"")</f>
        <v/>
      </c>
      <c r="DF214" s="251">
        <f>IFERROR(__xludf.DUMMYFUNCTION("AVERAGE(ARRAYFORMULA(XLOOKUP(FILTER(INDIRECT(""'""&amp;DF$1&amp;""'!$C$4:$C$66""),INDIRECT(""'""&amp;DF$1&amp;""'!$D$4:$D$66"")=DF$2),$G$3:$BQ$3,$G214:$BQ214)))"),-0.6236446712499999)</f>
        <v>-0.6236446713</v>
      </c>
      <c r="DG214" s="207">
        <f>IFERROR(__xludf.DUMMYFUNCTION("IF(OR(DF214&gt;$BS214+$BT214*$BT$2,DF214&lt;$BS214-$BT214*$BT$2),AVEDEV(ARRAYFORMULA(XLOOKUP(FILTER(INDIRECT(""'""&amp;DF$1&amp;""'!$C$4:$C$66""),INDIRECT(""'""&amp;DF$1&amp;""'!$D$4:$D$66"")=DF$2),$G$3:$BQ$3,$G214:$BQ214))),"""")"),0.24764923593750005)</f>
        <v>0.2476492359</v>
      </c>
      <c r="DH214" s="251">
        <f>IFERROR(__xludf.DUMMYFUNCTION("AVERAGE(ARRAYFORMULA(XLOOKUP(FILTER(INDIRECT(""'""&amp;DH$1&amp;""'!$C$4:$C$66""),INDIRECT(""'""&amp;DH$1&amp;""'!$D$4:$D$66"")=DH$2),$G$3:$BQ$3,$G214:$BQ214)))"),0.5025593055555556)</f>
        <v>0.5025593056</v>
      </c>
      <c r="DI214" s="207" t="str">
        <f>IFERROR(__xludf.DUMMYFUNCTION("IF(OR(DH214&gt;$BS214+$BT214*$BT$2,DH214&lt;$BS214-$BT214*$BT$2),AVEDEV(ARRAYFORMULA(XLOOKUP(FILTER(INDIRECT(""'""&amp;DH$1&amp;""'!$C$4:$C$66""),INDIRECT(""'""&amp;DH$1&amp;""'!$D$4:$D$66"")=DH$2),$G$3:$BQ$3,$G214:$BQ214))),"""")"),"")</f>
        <v/>
      </c>
      <c r="DJ214" s="243"/>
    </row>
    <row r="215">
      <c r="A215" s="2"/>
      <c r="B215" s="204">
        <v>211.0</v>
      </c>
      <c r="C215" s="204" t="s">
        <v>646</v>
      </c>
      <c r="D215" s="204" t="s">
        <v>660</v>
      </c>
      <c r="E215" s="205" t="b">
        <f>VLOOKUP(D215,'Feature Set List'!A212:C246,2,0)</f>
        <v>1</v>
      </c>
      <c r="F215" s="205" t="b">
        <f>VLOOKUP(D215,'Feature Set List'!A212:C246,3,0)</f>
        <v>1</v>
      </c>
      <c r="G215" s="205">
        <v>-0.9858418</v>
      </c>
      <c r="H215" s="205">
        <v>-0.1142177</v>
      </c>
      <c r="I215" s="205">
        <v>0.14039262</v>
      </c>
      <c r="J215" s="205">
        <v>0.10232005</v>
      </c>
      <c r="K215" s="205">
        <v>1.72159429</v>
      </c>
      <c r="L215" s="205">
        <v>1.03271862</v>
      </c>
      <c r="M215" s="205">
        <v>1.38726948</v>
      </c>
      <c r="N215" s="205">
        <v>0.18560381</v>
      </c>
      <c r="O215" s="205">
        <v>0.93872695</v>
      </c>
      <c r="P215" s="205">
        <v>-0.3402736</v>
      </c>
      <c r="Q215" s="205">
        <v>-0.364069</v>
      </c>
      <c r="R215" s="205">
        <v>-0.3616895</v>
      </c>
      <c r="S215" s="205">
        <v>0.23319453</v>
      </c>
      <c r="T215" s="205">
        <v>0.35455086</v>
      </c>
      <c r="U215" s="205">
        <v>-0.4391434</v>
      </c>
      <c r="V215" s="205">
        <v>1.50624628</v>
      </c>
      <c r="W215" s="205">
        <v>0.21653778</v>
      </c>
      <c r="X215" s="205">
        <v>-0.7453896</v>
      </c>
      <c r="Y215" s="205">
        <v>-0.0547293</v>
      </c>
      <c r="Z215" s="205">
        <v>0.18798334</v>
      </c>
      <c r="AA215" s="205">
        <v>-0.3569304</v>
      </c>
      <c r="AB215" s="205">
        <v>-0.5777513</v>
      </c>
      <c r="AC215" s="205">
        <v>-1.1425342</v>
      </c>
      <c r="AD215" s="205">
        <v>-0.2450922</v>
      </c>
      <c r="AE215" s="205">
        <v>0.87447948</v>
      </c>
      <c r="AF215" s="205">
        <v>0.46519929</v>
      </c>
      <c r="AG215" s="205">
        <v>-0.5863177</v>
      </c>
      <c r="AH215" s="205">
        <v>-1.5856395</v>
      </c>
      <c r="AI215" s="205">
        <v>0.26888757</v>
      </c>
      <c r="AJ215" s="205">
        <v>-1.11279</v>
      </c>
      <c r="AK215" s="205">
        <v>0.82569899</v>
      </c>
      <c r="AL215" s="205">
        <v>0.50089233</v>
      </c>
      <c r="AM215" s="205">
        <v>-0.0499703</v>
      </c>
      <c r="AN215" s="205">
        <v>0.03926234</v>
      </c>
      <c r="AO215" s="205">
        <v>4.46519929</v>
      </c>
      <c r="AP215" s="205">
        <v>4.95657347</v>
      </c>
      <c r="AQ215" s="205">
        <v>0.36168947</v>
      </c>
      <c r="AR215" s="205">
        <v>2.71029149</v>
      </c>
      <c r="AS215" s="205">
        <v>0.61629982</v>
      </c>
      <c r="AT215" s="205">
        <v>0.81261154</v>
      </c>
      <c r="AU215" s="205">
        <v>-0.4366449</v>
      </c>
      <c r="AV215" s="205">
        <v>-0.0713861</v>
      </c>
      <c r="AW215" s="205">
        <v>3.75014872</v>
      </c>
      <c r="AX215" s="205">
        <v>1.40987507</v>
      </c>
      <c r="AY215" s="205">
        <v>-0.4318858</v>
      </c>
      <c r="AZ215" s="205">
        <v>0.28197501</v>
      </c>
      <c r="BA215" s="205">
        <v>-0.0380726</v>
      </c>
      <c r="BB215" s="205">
        <v>-0.3819155</v>
      </c>
      <c r="BC215" s="205">
        <v>0.0</v>
      </c>
      <c r="BD215" s="205">
        <v>0.54491374</v>
      </c>
      <c r="BE215" s="205">
        <v>-0.553837</v>
      </c>
      <c r="BF215" s="205">
        <v>-0.5377751</v>
      </c>
      <c r="BG215" s="205">
        <v>-0.1439619</v>
      </c>
      <c r="BH215" s="205">
        <v>-0.2343843</v>
      </c>
      <c r="BI215" s="205">
        <v>3.6133254</v>
      </c>
      <c r="BJ215" s="205">
        <v>-0.5343248</v>
      </c>
      <c r="BK215" s="205">
        <v>0.07852469</v>
      </c>
      <c r="BL215" s="205">
        <v>-0.8586556</v>
      </c>
      <c r="BM215" s="205">
        <v>-0.4069007</v>
      </c>
      <c r="BN215" s="205">
        <v>-1.164188</v>
      </c>
      <c r="BO215" s="205">
        <v>-0.9991672</v>
      </c>
      <c r="BP215" s="205">
        <v>-0.1570494</v>
      </c>
      <c r="BQ215" s="205">
        <v>1.00297442</v>
      </c>
      <c r="BR215" s="206"/>
      <c r="BS215" s="250">
        <f t="shared" si="1"/>
        <v>0.3106894022</v>
      </c>
      <c r="BT215" s="250">
        <f t="shared" si="2"/>
        <v>0.8675175096</v>
      </c>
      <c r="BU215" s="206"/>
      <c r="BV215" s="207">
        <f>IFERROR(__xludf.DUMMYFUNCTION("AVERAGE(ARRAYFORMULA(XLOOKUP(FILTER(INDIRECT(""'""&amp;BV$1&amp;""'!$C$4:$C$66""),INDIRECT(""'""&amp;BV$1&amp;""'!$D$4:$D$66"")=BV$2),$G$3:$BQ$3,$G215:$BQ215)))"),0.1506246271428572)</f>
        <v>0.1506246271</v>
      </c>
      <c r="BW215" s="207" t="str">
        <f>IFERROR(__xludf.DUMMYFUNCTION("IF(OR(BV215&gt;$BS215+$BT215*$BT$2,BV215&lt;$BS215-$BT215*$BT$2),AVEDEV(ARRAYFORMULA(XLOOKUP(FILTER(INDIRECT(""'""&amp;BV$1&amp;""'!$C$4:$C$66""),INDIRECT(""'""&amp;BV$1&amp;""'!$D$4:$D$66"")=BV$2),$G$3:$BQ$3,$G215:$BQ215))),"""")"),"")</f>
        <v/>
      </c>
      <c r="BX215" s="207">
        <f>IFERROR(__xludf.DUMMYFUNCTION("AVERAGE(ARRAYFORMULA(XLOOKUP(FILTER(INDIRECT(""'""&amp;BX$1&amp;""'!$C$4:$C$66""),INDIRECT(""'""&amp;BX$1&amp;""'!$D$4:$D$66"")=BX$2),$G$3:$BQ$3,$G215:$BQ215)))"),0.3894753678571429)</f>
        <v>0.3894753679</v>
      </c>
      <c r="BY215" s="207" t="str">
        <f>IFERROR(__xludf.DUMMYFUNCTION("IF(OR(BX215&gt;$BS215+$BT215*$BT$2,BX215&lt;$BS215-$BT215*$BT$2),AVEDEV(ARRAYFORMULA(XLOOKUP(FILTER(INDIRECT(""'""&amp;BX$1&amp;""'!$C$4:$C$66""),INDIRECT(""'""&amp;BX$1&amp;""'!$D$4:$D$66"")=BX$2),$G$3:$BQ$3,$G215:$BQ215))),"""")"),"")</f>
        <v/>
      </c>
      <c r="BZ215" s="207">
        <f>IFERROR(__xludf.DUMMYFUNCTION("AVERAGE(ARRAYFORMULA(XLOOKUP(FILTER(INDIRECT(""'""&amp;BZ$1&amp;""'!$C$4:$C$66""),INDIRECT(""'""&amp;BZ$1&amp;""'!$D$4:$D$66"")=BZ$2),$G$3:$BQ$3,$G215:$BQ215)))"),0.1738575490909091)</f>
        <v>0.1738575491</v>
      </c>
      <c r="CA215" s="207" t="str">
        <f>IFERROR(__xludf.DUMMYFUNCTION("IF(OR(BZ215&gt;$BS215+$BT215*$BT$2,BZ215&lt;$BS215-$BT215*$BT$2),AVEDEV(ARRAYFORMULA(XLOOKUP(FILTER(INDIRECT(""'""&amp;BZ$1&amp;""'!$C$4:$C$66""),INDIRECT(""'""&amp;BZ$1&amp;""'!$D$4:$D$66"")=BZ$2),$G$3:$BQ$3,$G215:$BQ215))),"""")"),"")</f>
        <v/>
      </c>
      <c r="CB215" s="209"/>
      <c r="CC215" s="207">
        <f>IFERROR(__xludf.DUMMYFUNCTION("AVERAGE(ARRAYFORMULA(XLOOKUP(FILTER(INDIRECT(""'""&amp;CC$1&amp;""'!$C$4:$C$66""),INDIRECT(""'""&amp;CC$1&amp;""'!$D$4:$D$66"")=CC$2),$G$3:$BQ$3,$G215:$BQ215)))"),0.8316552668750002)</f>
        <v>0.8316552669</v>
      </c>
      <c r="CD215" s="207" t="str">
        <f>IFERROR(__xludf.DUMMYFUNCTION("IF(OR(CC215&gt;$BS215+$BT215*$BT$2,CC215&lt;$BS215-$BT215*$BT$2),AVEDEV(ARRAYFORMULA(XLOOKUP(FILTER(INDIRECT(""'""&amp;CC$1&amp;""'!$C$4:$C$66""),INDIRECT(""'""&amp;CC$1&amp;""'!$D$4:$D$66"")=CC$2),$G$3:$BQ$3,$G215:$BQ215))),"""")"),"")</f>
        <v/>
      </c>
      <c r="CE215" s="207">
        <f>IFERROR(__xludf.DUMMYFUNCTION("AVERAGE(ARRAYFORMULA(XLOOKUP(FILTER(INDIRECT(""'""&amp;CE$1&amp;""'!$C$4:$C$66""),INDIRECT(""'""&amp;CE$1&amp;""'!$D$4:$D$66"")=CE$2),$G$3:$BQ$3,$G215:$BQ215)))"),0.0316236477419355)</f>
        <v>0.03162364774</v>
      </c>
      <c r="CF215" s="207" t="str">
        <f>IFERROR(__xludf.DUMMYFUNCTION("IF(OR(CE215&gt;$BS215+$BT215*$BT$2,CE215&lt;$BS215-$BT215*$BT$2),AVEDEV(ARRAYFORMULA(XLOOKUP(FILTER(INDIRECT(""'""&amp;CE$1&amp;""'!$C$4:$C$66""),INDIRECT(""'""&amp;CE$1&amp;""'!$D$4:$D$66"")=CE$2),$G$3:$BQ$3,$G215:$BQ215))),"""")"),"")</f>
        <v/>
      </c>
      <c r="CG215" s="207">
        <f>IFERROR(__xludf.DUMMYFUNCTION("AVERAGE(ARRAYFORMULA(XLOOKUP(FILTER(INDIRECT(""'""&amp;CG$1&amp;""'!$C$4:$C$66""),INDIRECT(""'""&amp;CG$1&amp;""'!$D$4:$D$66"")=CG$2),$G$3:$BQ$3,$G215:$BQ215)))"),0.08970851600000003)</f>
        <v>0.089708516</v>
      </c>
      <c r="CH215" s="207" t="str">
        <f>IFERROR(__xludf.DUMMYFUNCTION("IF(OR(CG215&gt;$BS215+$BT215*$BT$2,CG215&lt;$BS215-$BT215*$BT$2),AVEDEV(ARRAYFORMULA(XLOOKUP(FILTER(INDIRECT(""'""&amp;CG$1&amp;""'!$C$4:$C$66""),INDIRECT(""'""&amp;CG$1&amp;""'!$D$4:$D$66"")=CG$2),$G$3:$BQ$3,$G215:$BQ215))),"""")"),"")</f>
        <v/>
      </c>
      <c r="CI215" s="206"/>
      <c r="CJ215" s="251">
        <f>IFERROR(__xludf.DUMMYFUNCTION("AVERAGE(ARRAYFORMULA(XLOOKUP(FILTER(INDIRECT(""'""&amp;CJ$1&amp;""'!$C$4:$C$66""),INDIRECT(""'""&amp;CJ$1&amp;""'!$D$4:$D$66"")=CJ$2),$G$3:$BQ$3,$G215:$BQ215)))"),-0.42380567133333347)</f>
        <v>-0.4238056713</v>
      </c>
      <c r="CK215" s="207" t="str">
        <f>IFERROR(__xludf.DUMMYFUNCTION("IF(OR(CJ215&gt;$BS215+$BT215*$BT$2,CJ215&lt;$BS215-$BT215*$BT$2),AVEDEV(ARRAYFORMULA(XLOOKUP(FILTER(INDIRECT(""'""&amp;CJ$1&amp;""'!$C$4:$C$66""),INDIRECT(""'""&amp;CJ$1&amp;""'!$D$4:$D$66"")=CJ$2),$G$3:$BQ$3,$G215:$BQ215))),"""")"),"")</f>
        <v/>
      </c>
      <c r="CL215" s="251">
        <f>IFERROR(__xludf.DUMMYFUNCTION("AVERAGE(ARRAYFORMULA(XLOOKUP(FILTER(INDIRECT(""'""&amp;CL$1&amp;""'!$C$4:$C$66""),INDIRECT(""'""&amp;CL$1&amp;""'!$D$4:$D$66"")=CL$2),$G$3:$BQ$3,$G215:$BQ215)))"),0.6690248453846154)</f>
        <v>0.6690248454</v>
      </c>
      <c r="CM215" s="207" t="str">
        <f>IFERROR(__xludf.DUMMYFUNCTION("IF(OR(CL215&gt;$BS215+$BT215*$BT$2,CL215&lt;$BS215-$BT215*$BT$2),AVEDEV(ARRAYFORMULA(XLOOKUP(FILTER(INDIRECT(""'""&amp;CL$1&amp;""'!$C$4:$C$66""),INDIRECT(""'""&amp;CL$1&amp;""'!$D$4:$D$66"")=CL$2),$G$3:$BQ$3,$G215:$BQ215))),"""")"),"")</f>
        <v/>
      </c>
      <c r="CN215" s="251">
        <f>IFERROR(__xludf.DUMMYFUNCTION("AVERAGE(ARRAYFORMULA(XLOOKUP(FILTER(INDIRECT(""'""&amp;CN$1&amp;""'!$C$4:$C$66""),INDIRECT(""'""&amp;CN$1&amp;""'!$D$4:$D$66"")=CN$2),$G$3:$BQ$3,$G215:$BQ215)))"),0.08970851600000003)</f>
        <v>0.089708516</v>
      </c>
      <c r="CO215" s="207" t="str">
        <f>IFERROR(__xludf.DUMMYFUNCTION("IF(OR(CN215&gt;$BS215+$BT215*$BT$2,CN215&lt;$BS215-$BT215*$BT$2),AVEDEV(ARRAYFORMULA(XLOOKUP(FILTER(INDIRECT(""'""&amp;CN$1&amp;""'!$C$4:$C$66""),INDIRECT(""'""&amp;CN$1&amp;""'!$D$4:$D$66"")=CN$2),$G$3:$BQ$3,$G215:$BQ215))),"""")"),"")</f>
        <v/>
      </c>
      <c r="CP215" s="252"/>
      <c r="CQ215" s="251">
        <f>IFERROR(__xludf.DUMMYFUNCTION("AVERAGE(ARRAYFORMULA(XLOOKUP(FILTER(INDIRECT(""'""&amp;CQ$1&amp;""'!$C$4:$C$66""),INDIRECT(""'""&amp;CQ$1&amp;""'!$D$4:$D$66"")=CQ$2),$G$3:$BQ$3,$G215:$BQ215)))"),0.8694824542857144)</f>
        <v>0.8694824543</v>
      </c>
      <c r="CR215" s="207" t="str">
        <f>IFERROR(__xludf.DUMMYFUNCTION("IF(OR(CQ215&gt;$BS215+$BT215*$BT$2,CQ215&lt;$BS215-$BT215*$BT$2),AVEDEV(ARRAYFORMULA(XLOOKUP(FILTER(INDIRECT(""'""&amp;CQ$1&amp;""'!$C$4:$C$66""),INDIRECT(""'""&amp;CQ$1&amp;""'!$D$4:$D$66"")=CQ$2),$G$3:$BQ$3,$G215:$BQ215))),"""")"),"")</f>
        <v/>
      </c>
      <c r="CS215" s="251">
        <f>IFERROR(__xludf.DUMMYFUNCTION("AVERAGE(ARRAYFORMULA(XLOOKUP(FILTER(INDIRECT(""'""&amp;CS$1&amp;""'!$C$4:$C$66""),INDIRECT(""'""&amp;CS$1&amp;""'!$D$4:$D$66"")=CS$2),$G$3:$BQ$3,$G215:$BQ215)))"),0.22637319222222224)</f>
        <v>0.2263731922</v>
      </c>
      <c r="CT215" s="207" t="str">
        <f>IFERROR(__xludf.DUMMYFUNCTION("IF(OR(CS215&gt;$BS215+$BT215*$BT$2,CS215&lt;$BS215-$BT215*$BT$2),AVEDEV(ARRAYFORMULA(XLOOKUP(FILTER(INDIRECT(""'""&amp;CS$1&amp;""'!$C$4:$C$66""),INDIRECT(""'""&amp;CS$1&amp;""'!$D$4:$D$66"")=CS$2),$G$3:$BQ$3,$G215:$BQ215))),"""")"),"")</f>
        <v/>
      </c>
      <c r="CU215" s="251">
        <f>IFERROR(__xludf.DUMMYFUNCTION("AVERAGE(ARRAYFORMULA(XLOOKUP(FILTER(INDIRECT(""'""&amp;CU$1&amp;""'!$C$4:$C$66""),INDIRECT(""'""&amp;CU$1&amp;""'!$D$4:$D$66"")=CU$2),$G$3:$BQ$3,$G215:$BQ215)))"),-0.3272327109090909)</f>
        <v>-0.3272327109</v>
      </c>
      <c r="CV215" s="207" t="str">
        <f>IFERROR(__xludf.DUMMYFUNCTION("IF(OR(CU215&gt;$BS215+$BT215*$BT$2,CU215&lt;$BS215-$BT215*$BT$2),AVEDEV(ARRAYFORMULA(XLOOKUP(FILTER(INDIRECT(""'""&amp;CU$1&amp;""'!$C$4:$C$66""),INDIRECT(""'""&amp;CU$1&amp;""'!$D$4:$D$66"")=CU$2),$G$3:$BQ$3,$G215:$BQ215))),"""")"),"")</f>
        <v/>
      </c>
      <c r="CW215" s="251">
        <f>IFERROR(__xludf.DUMMYFUNCTION("AVERAGE(ARRAYFORMULA(XLOOKUP(FILTER(INDIRECT(""'""&amp;CW$1&amp;""'!$C$4:$C$66""),INDIRECT(""'""&amp;CW$1&amp;""'!$D$4:$D$66"")=CW$2),$G$3:$BQ$3,$G215:$BQ215)))"),-0.23973824999999999)</f>
        <v>-0.23973825</v>
      </c>
      <c r="CX215" s="207" t="str">
        <f>IFERROR(__xludf.DUMMYFUNCTION("IF(OR(CW215&gt;$BS215+$BT215*$BT$2,CW215&lt;$BS215-$BT215*$BT$2),AVEDEV(ARRAYFORMULA(XLOOKUP(FILTER(INDIRECT(""'""&amp;CW$1&amp;""'!$C$4:$C$66""),INDIRECT(""'""&amp;CW$1&amp;""'!$D$4:$D$66"")=CW$2),$G$3:$BQ$3,$G215:$BQ215))),"""")"),"")</f>
        <v/>
      </c>
      <c r="CY215" s="251">
        <f>IFERROR(__xludf.DUMMYFUNCTION("AVERAGE(ARRAYFORMULA(XLOOKUP(FILTER(INDIRECT(""'""&amp;CY$1&amp;""'!$C$4:$C$66""),INDIRECT(""'""&amp;CY$1&amp;""'!$D$4:$D$66"")=CY$2),$G$3:$BQ$3,$G215:$BQ215)))"),0.44345202214285706)</f>
        <v>0.4434520221</v>
      </c>
      <c r="CZ215" s="207" t="str">
        <f>IFERROR(__xludf.DUMMYFUNCTION("IF(OR(CY215&gt;$BS215+$BT215*$BT$2,CY215&lt;$BS215-$BT215*$BT$2),AVEDEV(ARRAYFORMULA(XLOOKUP(FILTER(INDIRECT(""'""&amp;CY$1&amp;""'!$C$4:$C$66""),INDIRECT(""'""&amp;CY$1&amp;""'!$D$4:$D$66"")=CY$2),$G$3:$BQ$3,$G215:$BQ215))),"""")"),"")</f>
        <v/>
      </c>
      <c r="DA215" s="252"/>
      <c r="DB215" s="251">
        <f>IFERROR(__xludf.DUMMYFUNCTION("AVERAGE(ARRAYFORMULA(XLOOKUP(FILTER(INDIRECT(""'""&amp;DB$1&amp;""'!$C$4:$C$66""),INDIRECT(""'""&amp;DB$1&amp;""'!$D$4:$D$66"")=DB$2),$G$3:$BQ$3,$G215:$BQ215)))"),0.3923049813333333)</f>
        <v>0.3923049813</v>
      </c>
      <c r="DC215" s="207" t="str">
        <f>IFERROR(__xludf.DUMMYFUNCTION("IF(OR(DB215&gt;$BS215+$BT215*$BT$2,DB215&lt;$BS215-$BT215*$BT$2),AVEDEV(ARRAYFORMULA(XLOOKUP(FILTER(INDIRECT(""'""&amp;DB$1&amp;""'!$C$4:$C$66""),INDIRECT(""'""&amp;DB$1&amp;""'!$D$4:$D$66"")=DB$2),$G$3:$BQ$3,$G215:$BQ215))),"""")"),"")</f>
        <v/>
      </c>
      <c r="DD215" s="251">
        <f>IFERROR(__xludf.DUMMYFUNCTION("AVERAGE(ARRAYFORMULA(XLOOKUP(FILTER(INDIRECT(""'""&amp;DD$1&amp;""'!$C$4:$C$66""),INDIRECT(""'""&amp;DD$1&amp;""'!$D$4:$D$66"")=DD$2),$G$3:$BQ$3,$G215:$BQ215)))"),0.1276224377777778)</f>
        <v>0.1276224378</v>
      </c>
      <c r="DE215" s="207" t="str">
        <f>IFERROR(__xludf.DUMMYFUNCTION("IF(OR(DD215&gt;$BS215+$BT215*$BT$2,DD215&lt;$BS215-$BT215*$BT$2),AVEDEV(ARRAYFORMULA(XLOOKUP(FILTER(INDIRECT(""'""&amp;DD$1&amp;""'!$C$4:$C$66""),INDIRECT(""'""&amp;DD$1&amp;""'!$D$4:$D$66"")=DD$2),$G$3:$BQ$3,$G215:$BQ215))),"""")"),"")</f>
        <v/>
      </c>
      <c r="DF215" s="251">
        <f>IFERROR(__xludf.DUMMYFUNCTION("AVERAGE(ARRAYFORMULA(XLOOKUP(FILTER(INDIRECT(""'""&amp;DF$1&amp;""'!$C$4:$C$66""),INDIRECT(""'""&amp;DF$1&amp;""'!$D$4:$D$66"")=DF$2),$G$3:$BQ$3,$G215:$BQ215)))"),-0.15606782624999999)</f>
        <v>-0.1560678263</v>
      </c>
      <c r="DG215" s="207" t="str">
        <f>IFERROR(__xludf.DUMMYFUNCTION("IF(OR(DF215&gt;$BS215+$BT215*$BT$2,DF215&lt;$BS215-$BT215*$BT$2),AVEDEV(ARRAYFORMULA(XLOOKUP(FILTER(INDIRECT(""'""&amp;DF$1&amp;""'!$C$4:$C$66""),INDIRECT(""'""&amp;DF$1&amp;""'!$D$4:$D$66"")=DF$2),$G$3:$BQ$3,$G215:$BQ215))),"""")"),"")</f>
        <v/>
      </c>
      <c r="DH215" s="251">
        <f>IFERROR(__xludf.DUMMYFUNCTION("AVERAGE(ARRAYFORMULA(XLOOKUP(FILTER(INDIRECT(""'""&amp;DH$1&amp;""'!$C$4:$C$66""),INDIRECT(""'""&amp;DH$1&amp;""'!$D$4:$D$66"")=DH$2),$G$3:$BQ$3,$G215:$BQ215)))"),0.23156850333333334)</f>
        <v>0.2315685033</v>
      </c>
      <c r="DI215" s="207" t="str">
        <f>IFERROR(__xludf.DUMMYFUNCTION("IF(OR(DH215&gt;$BS215+$BT215*$BT$2,DH215&lt;$BS215-$BT215*$BT$2),AVEDEV(ARRAYFORMULA(XLOOKUP(FILTER(INDIRECT(""'""&amp;DH$1&amp;""'!$C$4:$C$66""),INDIRECT(""'""&amp;DH$1&amp;""'!$D$4:$D$66"")=DH$2),$G$3:$BQ$3,$G215:$BQ215))),"""")"),"")</f>
        <v/>
      </c>
      <c r="DJ215" s="243"/>
    </row>
    <row r="216">
      <c r="A216" s="2"/>
      <c r="B216" s="204">
        <v>212.0</v>
      </c>
      <c r="C216" s="204" t="s">
        <v>646</v>
      </c>
      <c r="D216" s="204" t="s">
        <v>661</v>
      </c>
      <c r="E216" s="205" t="b">
        <f>VLOOKUP(D216,'Feature Set List'!A213:C246,2,0)</f>
        <v>1</v>
      </c>
      <c r="F216" s="205" t="b">
        <f>VLOOKUP(D216,'Feature Set List'!A213:C246,3,0)</f>
        <v>1</v>
      </c>
      <c r="G216" s="205">
        <v>0.89666395</v>
      </c>
      <c r="H216" s="205">
        <v>0.0</v>
      </c>
      <c r="I216" s="205">
        <v>1.2278275</v>
      </c>
      <c r="J216" s="205">
        <v>1.52563059</v>
      </c>
      <c r="K216" s="205">
        <v>0.0</v>
      </c>
      <c r="L216" s="205">
        <v>0.0</v>
      </c>
      <c r="M216" s="205">
        <v>0.0</v>
      </c>
      <c r="N216" s="205">
        <v>1.56061839</v>
      </c>
      <c r="O216" s="205">
        <v>1.59804719</v>
      </c>
      <c r="P216" s="205">
        <v>2.47599675</v>
      </c>
      <c r="Q216" s="205">
        <v>0.0</v>
      </c>
      <c r="R216" s="205">
        <v>0.0</v>
      </c>
      <c r="S216" s="205">
        <v>0.68852726</v>
      </c>
      <c r="T216" s="205">
        <v>0.0</v>
      </c>
      <c r="U216" s="205">
        <v>0.38543531</v>
      </c>
      <c r="V216" s="205">
        <v>0.0</v>
      </c>
      <c r="W216" s="205">
        <v>0.0</v>
      </c>
      <c r="X216" s="205">
        <v>0.0</v>
      </c>
      <c r="Y216" s="205">
        <v>0.0</v>
      </c>
      <c r="Z216" s="205">
        <v>0.0</v>
      </c>
      <c r="AA216" s="205">
        <v>0.85435313</v>
      </c>
      <c r="AB216" s="205">
        <v>0.0</v>
      </c>
      <c r="AC216" s="205">
        <v>0.0</v>
      </c>
      <c r="AD216" s="205">
        <v>0.0</v>
      </c>
      <c r="AE216" s="205">
        <v>0.0</v>
      </c>
      <c r="AF216" s="205">
        <v>0.0</v>
      </c>
      <c r="AG216" s="205">
        <v>0.0</v>
      </c>
      <c r="AH216" s="205">
        <v>0.0</v>
      </c>
      <c r="AI216" s="205">
        <v>2.75427177</v>
      </c>
      <c r="AJ216" s="205">
        <v>0.58917819</v>
      </c>
      <c r="AK216" s="205">
        <v>1.36208299</v>
      </c>
      <c r="AL216" s="205">
        <v>0.0</v>
      </c>
      <c r="AM216" s="205">
        <v>0.0</v>
      </c>
      <c r="AN216" s="205">
        <v>0.0</v>
      </c>
      <c r="AO216" s="205">
        <v>1.03580146</v>
      </c>
      <c r="AP216" s="205">
        <v>1.17249797</v>
      </c>
      <c r="AQ216" s="205">
        <v>0.77664768</v>
      </c>
      <c r="AR216" s="205">
        <v>0.0</v>
      </c>
      <c r="AS216" s="205">
        <v>0.0</v>
      </c>
      <c r="AT216" s="205">
        <v>1.26769731</v>
      </c>
      <c r="AU216" s="205">
        <v>0.81366965</v>
      </c>
      <c r="AV216" s="205">
        <v>1.18388934</v>
      </c>
      <c r="AW216" s="205">
        <v>1.91049634</v>
      </c>
      <c r="AX216" s="205">
        <v>0.0</v>
      </c>
      <c r="AY216" s="205">
        <v>2.44100895</v>
      </c>
      <c r="AZ216" s="205">
        <v>0.0</v>
      </c>
      <c r="BA216" s="205">
        <v>1.24328723</v>
      </c>
      <c r="BB216" s="205">
        <v>0.58120423</v>
      </c>
      <c r="BC216" s="205">
        <v>1.35069162</v>
      </c>
      <c r="BD216" s="205">
        <v>0.49528072</v>
      </c>
      <c r="BE216" s="205">
        <v>0.0</v>
      </c>
      <c r="BF216" s="205">
        <v>0.0</v>
      </c>
      <c r="BG216" s="205">
        <v>0.0</v>
      </c>
      <c r="BH216" s="205">
        <v>0.62587469</v>
      </c>
      <c r="BI216" s="205">
        <v>0.14027665</v>
      </c>
      <c r="BJ216" s="205">
        <v>0.0</v>
      </c>
      <c r="BK216" s="205">
        <v>1.50203417</v>
      </c>
      <c r="BL216" s="205">
        <v>0.52310822</v>
      </c>
      <c r="BM216" s="205">
        <v>0.96419854</v>
      </c>
      <c r="BN216" s="205">
        <v>0.89991863</v>
      </c>
      <c r="BO216" s="205">
        <v>0.0</v>
      </c>
      <c r="BP216" s="205">
        <v>0.0</v>
      </c>
      <c r="BQ216" s="205">
        <v>0.32050448</v>
      </c>
      <c r="BR216" s="206"/>
      <c r="BS216" s="250">
        <f t="shared" si="1"/>
        <v>0.558201919</v>
      </c>
      <c r="BT216" s="250">
        <f t="shared" si="2"/>
        <v>0.5964719246</v>
      </c>
      <c r="BU216" s="206"/>
      <c r="BV216" s="207">
        <f>IFERROR(__xludf.DUMMYFUNCTION("AVERAGE(ARRAYFORMULA(XLOOKUP(FILTER(INDIRECT(""'""&amp;BV$1&amp;""'!$C$4:$C$66""),INDIRECT(""'""&amp;BV$1&amp;""'!$D$4:$D$66"")=BV$2),$G$3:$BQ$3,$G216:$BQ216)))"),0.7095083100000001)</f>
        <v>0.70950831</v>
      </c>
      <c r="BW216" s="207" t="str">
        <f>IFERROR(__xludf.DUMMYFUNCTION("IF(OR(BV216&gt;$BS216+$BT216*$BT$2,BV216&lt;$BS216-$BT216*$BT$2),AVEDEV(ARRAYFORMULA(XLOOKUP(FILTER(INDIRECT(""'""&amp;BV$1&amp;""'!$C$4:$C$66""),INDIRECT(""'""&amp;BV$1&amp;""'!$D$4:$D$66"")=BV$2),$G$3:$BQ$3,$G216:$BQ216))),"""")"),"")</f>
        <v/>
      </c>
      <c r="BX216" s="207">
        <f>IFERROR(__xludf.DUMMYFUNCTION("AVERAGE(ARRAYFORMULA(XLOOKUP(FILTER(INDIRECT(""'""&amp;BX$1&amp;""'!$C$4:$C$66""),INDIRECT(""'""&amp;BX$1&amp;""'!$D$4:$D$66"")=BX$2),$G$3:$BQ$3,$G216:$BQ216)))"),0.5257913902380952)</f>
        <v>0.5257913902</v>
      </c>
      <c r="BY216" s="207" t="str">
        <f>IFERROR(__xludf.DUMMYFUNCTION("IF(OR(BX216&gt;$BS216+$BT216*$BT$2,BX216&lt;$BS216-$BT216*$BT$2),AVEDEV(ARRAYFORMULA(XLOOKUP(FILTER(INDIRECT(""'""&amp;BX$1&amp;""'!$C$4:$C$66""),INDIRECT(""'""&amp;BX$1&amp;""'!$D$4:$D$66"")=BX$2),$G$3:$BQ$3,$G216:$BQ216))),"""")"),"")</f>
        <v/>
      </c>
      <c r="BZ216" s="207">
        <f>IFERROR(__xludf.DUMMYFUNCTION("AVERAGE(ARRAYFORMULA(XLOOKUP(FILTER(INDIRECT(""'""&amp;BZ$1&amp;""'!$C$4:$C$66""),INDIRECT(""'""&amp;BZ$1&amp;""'!$D$4:$D$66"")=BZ$2),$G$3:$BQ$3,$G216:$BQ216)))"),0.5072860427272727)</f>
        <v>0.5072860427</v>
      </c>
      <c r="CA216" s="207" t="str">
        <f>IFERROR(__xludf.DUMMYFUNCTION("IF(OR(BZ216&gt;$BS216+$BT216*$BT$2,BZ216&lt;$BS216-$BT216*$BT$2),AVEDEV(ARRAYFORMULA(XLOOKUP(FILTER(INDIRECT(""'""&amp;BZ$1&amp;""'!$C$4:$C$66""),INDIRECT(""'""&amp;BZ$1&amp;""'!$D$4:$D$66"")=BZ$2),$G$3:$BQ$3,$G216:$BQ216))),"""")"),"")</f>
        <v/>
      </c>
      <c r="CB216" s="209"/>
      <c r="CC216" s="207">
        <f>IFERROR(__xludf.DUMMYFUNCTION("AVERAGE(ARRAYFORMULA(XLOOKUP(FILTER(INDIRECT(""'""&amp;CC$1&amp;""'!$C$4:$C$66""),INDIRECT(""'""&amp;CC$1&amp;""'!$D$4:$D$66"")=CC$2),$G$3:$BQ$3,$G216:$BQ216)))"),0.83103641125)</f>
        <v>0.8310364113</v>
      </c>
      <c r="CD216" s="207" t="str">
        <f>IFERROR(__xludf.DUMMYFUNCTION("IF(OR(CC216&gt;$BS216+$BT216*$BT$2,CC216&lt;$BS216-$BT216*$BT$2),AVEDEV(ARRAYFORMULA(XLOOKUP(FILTER(INDIRECT(""'""&amp;CC$1&amp;""'!$C$4:$C$66""),INDIRECT(""'""&amp;CC$1&amp;""'!$D$4:$D$66"")=CC$2),$G$3:$BQ$3,$G216:$BQ216))),"""")"),"")</f>
        <v/>
      </c>
      <c r="CE216" s="207">
        <f>IFERROR(__xludf.DUMMYFUNCTION("AVERAGE(ARRAYFORMULA(XLOOKUP(FILTER(INDIRECT(""'""&amp;CE$1&amp;""'!$C$4:$C$66""),INDIRECT(""'""&amp;CE$1&amp;""'!$D$4:$D$66"")=CE$2),$G$3:$BQ$3,$G216:$BQ216)))"),0.3933646548387097)</f>
        <v>0.3933646548</v>
      </c>
      <c r="CF216" s="207" t="str">
        <f>IFERROR(__xludf.DUMMYFUNCTION("IF(OR(CE216&gt;$BS216+$BT216*$BT$2,CE216&lt;$BS216-$BT216*$BT$2),AVEDEV(ARRAYFORMULA(XLOOKUP(FILTER(INDIRECT(""'""&amp;CE$1&amp;""'!$C$4:$C$66""),INDIRECT(""'""&amp;CE$1&amp;""'!$D$4:$D$66"")=CE$2),$G$3:$BQ$3,$G216:$BQ216))),"""")"),"")</f>
        <v/>
      </c>
      <c r="CG216" s="207">
        <f>IFERROR(__xludf.DUMMYFUNCTION("AVERAGE(ARRAYFORMULA(XLOOKUP(FILTER(INDIRECT(""'""&amp;CG$1&amp;""'!$C$4:$C$66""),INDIRECT(""'""&amp;CG$1&amp;""'!$D$4:$D$66"")=CG$2),$G$3:$BQ$3,$G216:$BQ216)))"),0.743856796)</f>
        <v>0.743856796</v>
      </c>
      <c r="CH216" s="207" t="str">
        <f>IFERROR(__xludf.DUMMYFUNCTION("IF(OR(CG216&gt;$BS216+$BT216*$BT$2,CG216&lt;$BS216-$BT216*$BT$2),AVEDEV(ARRAYFORMULA(XLOOKUP(FILTER(INDIRECT(""'""&amp;CG$1&amp;""'!$C$4:$C$66""),INDIRECT(""'""&amp;CG$1&amp;""'!$D$4:$D$66"")=CG$2),$G$3:$BQ$3,$G216:$BQ216))),"""")"),"")</f>
        <v/>
      </c>
      <c r="CI216" s="206"/>
      <c r="CJ216" s="251">
        <f>IFERROR(__xludf.DUMMYFUNCTION("AVERAGE(ARRAYFORMULA(XLOOKUP(FILTER(INDIRECT(""'""&amp;CJ$1&amp;""'!$C$4:$C$66""),INDIRECT(""'""&amp;CJ$1&amp;""'!$D$4:$D$66"")=CJ$2),$G$3:$BQ$3,$G216:$BQ216)))"),0.43401139066666666)</f>
        <v>0.4340113907</v>
      </c>
      <c r="CK216" s="207" t="str">
        <f>IFERROR(__xludf.DUMMYFUNCTION("IF(OR(CJ216&gt;$BS216+$BT216*$BT$2,CJ216&lt;$BS216-$BT216*$BT$2),AVEDEV(ARRAYFORMULA(XLOOKUP(FILTER(INDIRECT(""'""&amp;CJ$1&amp;""'!$C$4:$C$66""),INDIRECT(""'""&amp;CJ$1&amp;""'!$D$4:$D$66"")=CJ$2),$G$3:$BQ$3,$G216:$BQ216))),"""")"),"")</f>
        <v/>
      </c>
      <c r="CL216" s="251">
        <f>IFERROR(__xludf.DUMMYFUNCTION("AVERAGE(ARRAYFORMULA(XLOOKUP(FILTER(INDIRECT(""'""&amp;CL$1&amp;""'!$C$4:$C$66""),INDIRECT(""'""&amp;CL$1&amp;""'!$D$4:$D$66"")=CL$2),$G$3:$BQ$3,$G216:$BQ216)))"),0.5609584607692307)</f>
        <v>0.5609584608</v>
      </c>
      <c r="CM216" s="207" t="str">
        <f>IFERROR(__xludf.DUMMYFUNCTION("IF(OR(CL216&gt;$BS216+$BT216*$BT$2,CL216&lt;$BS216-$BT216*$BT$2),AVEDEV(ARRAYFORMULA(XLOOKUP(FILTER(INDIRECT(""'""&amp;CL$1&amp;""'!$C$4:$C$66""),INDIRECT(""'""&amp;CL$1&amp;""'!$D$4:$D$66"")=CL$2),$G$3:$BQ$3,$G216:$BQ216))),"""")"),"")</f>
        <v/>
      </c>
      <c r="CN216" s="251">
        <f>IFERROR(__xludf.DUMMYFUNCTION("AVERAGE(ARRAYFORMULA(XLOOKUP(FILTER(INDIRECT(""'""&amp;CN$1&amp;""'!$C$4:$C$66""),INDIRECT(""'""&amp;CN$1&amp;""'!$D$4:$D$66"")=CN$2),$G$3:$BQ$3,$G216:$BQ216)))"),0.743856796)</f>
        <v>0.743856796</v>
      </c>
      <c r="CO216" s="207" t="str">
        <f>IFERROR(__xludf.DUMMYFUNCTION("IF(OR(CN216&gt;$BS216+$BT216*$BT$2,CN216&lt;$BS216-$BT216*$BT$2),AVEDEV(ARRAYFORMULA(XLOOKUP(FILTER(INDIRECT(""'""&amp;CN$1&amp;""'!$C$4:$C$66""),INDIRECT(""'""&amp;CN$1&amp;""'!$D$4:$D$66"")=CN$2),$G$3:$BQ$3,$G216:$BQ216))),"""")"),"")</f>
        <v/>
      </c>
      <c r="CP216" s="252"/>
      <c r="CQ216" s="251">
        <f>IFERROR(__xludf.DUMMYFUNCTION("AVERAGE(ARRAYFORMULA(XLOOKUP(FILTER(INDIRECT(""'""&amp;CQ$1&amp;""'!$C$4:$C$66""),INDIRECT(""'""&amp;CQ$1&amp;""'!$D$4:$D$66"")=CQ$2),$G$3:$BQ$3,$G216:$BQ216)))"),0.8974485642857143)</f>
        <v>0.8974485643</v>
      </c>
      <c r="CR216" s="207" t="str">
        <f>IFERROR(__xludf.DUMMYFUNCTION("IF(OR(CQ216&gt;$BS216+$BT216*$BT$2,CQ216&lt;$BS216-$BT216*$BT$2),AVEDEV(ARRAYFORMULA(XLOOKUP(FILTER(INDIRECT(""'""&amp;CQ$1&amp;""'!$C$4:$C$66""),INDIRECT(""'""&amp;CQ$1&amp;""'!$D$4:$D$66"")=CQ$2),$G$3:$BQ$3,$G216:$BQ216))),"""")"),"")</f>
        <v/>
      </c>
      <c r="CS216" s="251">
        <f>IFERROR(__xludf.DUMMYFUNCTION("AVERAGE(ARRAYFORMULA(XLOOKUP(FILTER(INDIRECT(""'""&amp;CS$1&amp;""'!$C$4:$C$66""),INDIRECT(""'""&amp;CS$1&amp;""'!$D$4:$D$66"")=CS$2),$G$3:$BQ$3,$G216:$BQ216)))"),0.5128831033333333)</f>
        <v>0.5128831033</v>
      </c>
      <c r="CT216" s="207" t="str">
        <f>IFERROR(__xludf.DUMMYFUNCTION("IF(OR(CS216&gt;$BS216+$BT216*$BT$2,CS216&lt;$BS216-$BT216*$BT$2),AVEDEV(ARRAYFORMULA(XLOOKUP(FILTER(INDIRECT(""'""&amp;CS$1&amp;""'!$C$4:$C$66""),INDIRECT(""'""&amp;CS$1&amp;""'!$D$4:$D$66"")=CS$2),$G$3:$BQ$3,$G216:$BQ216))),"""")"),"")</f>
        <v/>
      </c>
      <c r="CU216" s="251">
        <f>IFERROR(__xludf.DUMMYFUNCTION("AVERAGE(ARRAYFORMULA(XLOOKUP(FILTER(INDIRECT(""'""&amp;CU$1&amp;""'!$C$4:$C$66""),INDIRECT(""'""&amp;CU$1&amp;""'!$D$4:$D$66"")=CU$2),$G$3:$BQ$3,$G216:$BQ216)))"),0.36313336727272727)</f>
        <v>0.3631333673</v>
      </c>
      <c r="CV216" s="207" t="str">
        <f>IFERROR(__xludf.DUMMYFUNCTION("IF(OR(CU216&gt;$BS216+$BT216*$BT$2,CU216&lt;$BS216-$BT216*$BT$2),AVEDEV(ARRAYFORMULA(XLOOKUP(FILTER(INDIRECT(""'""&amp;CU$1&amp;""'!$C$4:$C$66""),INDIRECT(""'""&amp;CU$1&amp;""'!$D$4:$D$66"")=CU$2),$G$3:$BQ$3,$G216:$BQ216))),"""")"),"")</f>
        <v/>
      </c>
      <c r="CW216" s="251">
        <f>IFERROR(__xludf.DUMMYFUNCTION("AVERAGE(ARRAYFORMULA(XLOOKUP(FILTER(INDIRECT(""'""&amp;CW$1&amp;""'!$C$4:$C$66""),INDIRECT(""'""&amp;CW$1&amp;""'!$D$4:$D$66"")=CW$2),$G$3:$BQ$3,$G216:$BQ216)))"),0.312937345)</f>
        <v>0.312937345</v>
      </c>
      <c r="CX216" s="207" t="str">
        <f>IFERROR(__xludf.DUMMYFUNCTION("IF(OR(CW216&gt;$BS216+$BT216*$BT$2,CW216&lt;$BS216-$BT216*$BT$2),AVEDEV(ARRAYFORMULA(XLOOKUP(FILTER(INDIRECT(""'""&amp;CW$1&amp;""'!$C$4:$C$66""),INDIRECT(""'""&amp;CW$1&amp;""'!$D$4:$D$66"")=CW$2),$G$3:$BQ$3,$G216:$BQ216))),"""")"),"")</f>
        <v/>
      </c>
      <c r="CY216" s="251">
        <f>IFERROR(__xludf.DUMMYFUNCTION("AVERAGE(ARRAYFORMULA(XLOOKUP(FILTER(INDIRECT(""'""&amp;CY$1&amp;""'!$C$4:$C$66""),INDIRECT(""'""&amp;CY$1&amp;""'!$D$4:$D$66"")=CY$2),$G$3:$BQ$3,$G216:$BQ216)))"),0.3499011971428571)</f>
        <v>0.3499011971</v>
      </c>
      <c r="CZ216" s="207" t="str">
        <f>IFERROR(__xludf.DUMMYFUNCTION("IF(OR(CY216&gt;$BS216+$BT216*$BT$2,CY216&lt;$BS216-$BT216*$BT$2),AVEDEV(ARRAYFORMULA(XLOOKUP(FILTER(INDIRECT(""'""&amp;CY$1&amp;""'!$C$4:$C$66""),INDIRECT(""'""&amp;CY$1&amp;""'!$D$4:$D$66"")=CY$2),$G$3:$BQ$3,$G216:$BQ216))),"""")"),"")</f>
        <v/>
      </c>
      <c r="DA216" s="252"/>
      <c r="DB216" s="251">
        <f>IFERROR(__xludf.DUMMYFUNCTION("AVERAGE(ARRAYFORMULA(XLOOKUP(FILTER(INDIRECT(""'""&amp;DB$1&amp;""'!$C$4:$C$66""),INDIRECT(""'""&amp;DB$1&amp;""'!$D$4:$D$66"")=DB$2),$G$3:$BQ$3,$G216:$BQ216)))"),0.47713859500000005)</f>
        <v>0.477138595</v>
      </c>
      <c r="DC216" s="207" t="str">
        <f>IFERROR(__xludf.DUMMYFUNCTION("IF(OR(DB216&gt;$BS216+$BT216*$BT$2,DB216&lt;$BS216-$BT216*$BT$2),AVEDEV(ARRAYFORMULA(XLOOKUP(FILTER(INDIRECT(""'""&amp;DB$1&amp;""'!$C$4:$C$66""),INDIRECT(""'""&amp;DB$1&amp;""'!$D$4:$D$66"")=DB$2),$G$3:$BQ$3,$G216:$BQ216))),"""")"),"")</f>
        <v/>
      </c>
      <c r="DD216" s="251">
        <f>IFERROR(__xludf.DUMMYFUNCTION("AVERAGE(ARRAYFORMULA(XLOOKUP(FILTER(INDIRECT(""'""&amp;DD$1&amp;""'!$C$4:$C$66""),INDIRECT(""'""&amp;DD$1&amp;""'!$D$4:$D$66"")=DD$2),$G$3:$BQ$3,$G216:$BQ216)))"),0.7515595344444445)</f>
        <v>0.7515595344</v>
      </c>
      <c r="DE216" s="207" t="str">
        <f>IFERROR(__xludf.DUMMYFUNCTION("IF(OR(DD216&gt;$BS216+$BT216*$BT$2,DD216&lt;$BS216-$BT216*$BT$2),AVEDEV(ARRAYFORMULA(XLOOKUP(FILTER(INDIRECT(""'""&amp;DD$1&amp;""'!$C$4:$C$66""),INDIRECT(""'""&amp;DD$1&amp;""'!$D$4:$D$66"")=DD$2),$G$3:$BQ$3,$G216:$BQ216))),"""")"),"")</f>
        <v/>
      </c>
      <c r="DF216" s="251">
        <f>IFERROR(__xludf.DUMMYFUNCTION("AVERAGE(ARRAYFORMULA(XLOOKUP(FILTER(INDIRECT(""'""&amp;DF$1&amp;""'!$C$4:$C$66""),INDIRECT(""'""&amp;DF$1&amp;""'!$D$4:$D$66"")=DF$2),$G$3:$BQ$3,$G216:$BQ216)))"),0.81956875375)</f>
        <v>0.8195687538</v>
      </c>
      <c r="DG216" s="207" t="str">
        <f>IFERROR(__xludf.DUMMYFUNCTION("IF(OR(DF216&gt;$BS216+$BT216*$BT$2,DF216&lt;$BS216-$BT216*$BT$2),AVEDEV(ARRAYFORMULA(XLOOKUP(FILTER(INDIRECT(""'""&amp;DF$1&amp;""'!$C$4:$C$66""),INDIRECT(""'""&amp;DF$1&amp;""'!$D$4:$D$66"")=DF$2),$G$3:$BQ$3,$G216:$BQ216))),"""")"),"")</f>
        <v/>
      </c>
      <c r="DH216" s="251">
        <f>IFERROR(__xludf.DUMMYFUNCTION("AVERAGE(ARRAYFORMULA(XLOOKUP(FILTER(INDIRECT(""'""&amp;DH$1&amp;""'!$C$4:$C$66""),INDIRECT(""'""&amp;DH$1&amp;""'!$D$4:$D$66"")=DH$2),$G$3:$BQ$3,$G216:$BQ216)))"),0.3818099622222222)</f>
        <v>0.3818099622</v>
      </c>
      <c r="DI216" s="207" t="str">
        <f>IFERROR(__xludf.DUMMYFUNCTION("IF(OR(DH216&gt;$BS216+$BT216*$BT$2,DH216&lt;$BS216-$BT216*$BT$2),AVEDEV(ARRAYFORMULA(XLOOKUP(FILTER(INDIRECT(""'""&amp;DH$1&amp;""'!$C$4:$C$66""),INDIRECT(""'""&amp;DH$1&amp;""'!$D$4:$D$66"")=DH$2),$G$3:$BQ$3,$G216:$BQ216))),"""")"),"")</f>
        <v/>
      </c>
      <c r="DJ216" s="243"/>
    </row>
    <row r="217">
      <c r="A217" s="2"/>
      <c r="B217" s="204">
        <v>213.0</v>
      </c>
      <c r="C217" s="204" t="s">
        <v>646</v>
      </c>
      <c r="D217" s="204" t="s">
        <v>662</v>
      </c>
      <c r="E217" s="205" t="b">
        <f>VLOOKUP(D217,'Feature Set List'!A214:C246,2,0)</f>
        <v>1</v>
      </c>
      <c r="F217" s="205" t="b">
        <f>VLOOKUP(D217,'Feature Set List'!A214:C246,3,0)</f>
        <v>1</v>
      </c>
      <c r="G217" s="205">
        <v>-1.0144928</v>
      </c>
      <c r="H217" s="205">
        <v>0.22397892</v>
      </c>
      <c r="I217" s="205">
        <v>0.06324111</v>
      </c>
      <c r="J217" s="205">
        <v>-0.2714097</v>
      </c>
      <c r="K217" s="205">
        <v>-0.7694335</v>
      </c>
      <c r="L217" s="205">
        <v>-0.0237154</v>
      </c>
      <c r="M217" s="205">
        <v>0.00263505</v>
      </c>
      <c r="N217" s="205">
        <v>-0.5349144</v>
      </c>
      <c r="O217" s="205">
        <v>0.16600791</v>
      </c>
      <c r="P217" s="205">
        <v>0.28458498</v>
      </c>
      <c r="Q217" s="205">
        <v>-0.3188406</v>
      </c>
      <c r="R217" s="205">
        <v>-1.9868248</v>
      </c>
      <c r="S217" s="205">
        <v>-0.8115942</v>
      </c>
      <c r="T217" s="205">
        <v>0.25823452</v>
      </c>
      <c r="U217" s="205">
        <v>-1.5625823</v>
      </c>
      <c r="V217" s="205">
        <v>0.25296443</v>
      </c>
      <c r="W217" s="205">
        <v>-2.0342556</v>
      </c>
      <c r="X217" s="205">
        <v>0.26086957</v>
      </c>
      <c r="Y217" s="205">
        <v>-0.2555995</v>
      </c>
      <c r="Z217" s="205">
        <v>0.22924901</v>
      </c>
      <c r="AA217" s="205">
        <v>-2.6798419</v>
      </c>
      <c r="AB217" s="205">
        <v>0.26086957</v>
      </c>
      <c r="AC217" s="205">
        <v>0.2345191</v>
      </c>
      <c r="AD217" s="205">
        <v>-0.4110672</v>
      </c>
      <c r="AE217" s="205">
        <v>0.27140975</v>
      </c>
      <c r="AF217" s="205">
        <v>0.27140975</v>
      </c>
      <c r="AG217" s="205">
        <v>-0.0131752</v>
      </c>
      <c r="AH217" s="205">
        <v>-0.2529644</v>
      </c>
      <c r="AI217" s="205">
        <v>-1.2964427</v>
      </c>
      <c r="AJ217" s="205">
        <v>-0.5955204</v>
      </c>
      <c r="AK217" s="205">
        <v>0.2740448</v>
      </c>
      <c r="AL217" s="205">
        <v>0.23188406</v>
      </c>
      <c r="AM217" s="205">
        <v>-1.140975</v>
      </c>
      <c r="AN217" s="205">
        <v>-0.7720685</v>
      </c>
      <c r="AO217" s="205">
        <v>-11.046113</v>
      </c>
      <c r="AP217" s="205">
        <v>0.16337286</v>
      </c>
      <c r="AQ217" s="205">
        <v>0.06324111</v>
      </c>
      <c r="AR217" s="205">
        <v>0.19235837</v>
      </c>
      <c r="AS217" s="205">
        <v>0.22924901</v>
      </c>
      <c r="AT217" s="205">
        <v>0.27667984</v>
      </c>
      <c r="AU217" s="205">
        <v>-26.060606</v>
      </c>
      <c r="AV217" s="205">
        <v>0.0</v>
      </c>
      <c r="AW217" s="205">
        <v>-3.088274</v>
      </c>
      <c r="AX217" s="205">
        <v>0.13438735</v>
      </c>
      <c r="AY217" s="205">
        <v>-7.0144928</v>
      </c>
      <c r="AZ217" s="205">
        <v>-0.5032938</v>
      </c>
      <c r="BA217" s="205">
        <v>0.28985507</v>
      </c>
      <c r="BB217" s="205">
        <v>0.07905138</v>
      </c>
      <c r="BC217" s="205">
        <v>-0.1844532</v>
      </c>
      <c r="BD217" s="205">
        <v>0.27931489</v>
      </c>
      <c r="BE217" s="205">
        <v>-2.3056653</v>
      </c>
      <c r="BF217" s="205">
        <v>0.25296443</v>
      </c>
      <c r="BG217" s="205">
        <v>0.28458498</v>
      </c>
      <c r="BH217" s="205">
        <v>-0.5032938</v>
      </c>
      <c r="BI217" s="205">
        <v>0.08168643</v>
      </c>
      <c r="BJ217" s="205">
        <v>0.21870883</v>
      </c>
      <c r="BK217" s="205">
        <v>-0.4110672</v>
      </c>
      <c r="BL217" s="205">
        <v>-6.7826087</v>
      </c>
      <c r="BM217" s="205">
        <v>0.22661397</v>
      </c>
      <c r="BN217" s="205">
        <v>0.19235837</v>
      </c>
      <c r="BO217" s="205">
        <v>-1.5098814</v>
      </c>
      <c r="BP217" s="205">
        <v>-0.0816864</v>
      </c>
      <c r="BQ217" s="205">
        <v>0.15810277</v>
      </c>
      <c r="BR217" s="206"/>
      <c r="BS217" s="250">
        <f t="shared" si="1"/>
        <v>-1.108392405</v>
      </c>
      <c r="BT217" s="250">
        <f t="shared" si="2"/>
        <v>1.717443246</v>
      </c>
      <c r="BU217" s="206"/>
      <c r="BV217" s="207">
        <f>IFERROR(__xludf.DUMMYFUNCTION("AVERAGE(ARRAYFORMULA(XLOOKUP(FILTER(INDIRECT(""'""&amp;BV$1&amp;""'!$C$4:$C$66""),INDIRECT(""'""&amp;BV$1&amp;""'!$D$4:$D$66"")=BV$2),$G$3:$BQ$3,$G217:$BQ217)))"),-4.053077307142857)</f>
        <v>-4.053077307</v>
      </c>
      <c r="BW217" s="207">
        <f>IFERROR(__xludf.DUMMYFUNCTION("IF(OR(BV217&gt;$BS217+$BT217*$BT$2,BV217&lt;$BS217-$BT217*$BT$2),AVEDEV(ARRAYFORMULA(XLOOKUP(FILTER(INDIRECT(""'""&amp;BV$1&amp;""'!$C$4:$C$66""),INDIRECT(""'""&amp;BV$1&amp;""'!$D$4:$D$66"")=BV$2),$G$3:$BQ$3,$G217:$BQ217))),"""")"),3.62399502244898)</f>
        <v>3.623995022</v>
      </c>
      <c r="BX217" s="207">
        <f>IFERROR(__xludf.DUMMYFUNCTION("AVERAGE(ARRAYFORMULA(XLOOKUP(FILTER(INDIRECT(""'""&amp;BX$1&amp;""'!$C$4:$C$66""),INDIRECT(""'""&amp;BX$1&amp;""'!$D$4:$D$66"")=BX$2),$G$3:$BQ$3,$G217:$BQ217)))"),-0.3152644428571428)</f>
        <v>-0.3152644429</v>
      </c>
      <c r="BY217" s="207" t="str">
        <f>IFERROR(__xludf.DUMMYFUNCTION("IF(OR(BX217&gt;$BS217+$BT217*$BT$2,BX217&lt;$BS217-$BT217*$BT$2),AVEDEV(ARRAYFORMULA(XLOOKUP(FILTER(INDIRECT(""'""&amp;BX$1&amp;""'!$C$4:$C$66""),INDIRECT(""'""&amp;BX$1&amp;""'!$D$4:$D$66"")=BX$2),$G$3:$BQ$3,$G217:$BQ217))),"""")"),"")</f>
        <v/>
      </c>
      <c r="BZ217" s="207">
        <f>IFERROR(__xludf.DUMMYFUNCTION("AVERAGE(ARRAYFORMULA(XLOOKUP(FILTER(INDIRECT(""'""&amp;BZ$1&amp;""'!$C$4:$C$66""),INDIRECT(""'""&amp;BZ$1&amp;""'!$D$4:$D$66"")=BZ$2),$G$3:$BQ$3,$G217:$BQ217)))"),-0.22709306909090907)</f>
        <v>-0.2270930691</v>
      </c>
      <c r="CA217" s="207" t="str">
        <f>IFERROR(__xludf.DUMMYFUNCTION("IF(OR(BZ217&gt;$BS217+$BT217*$BT$2,BZ217&lt;$BS217-$BT217*$BT$2),AVEDEV(ARRAYFORMULA(XLOOKUP(FILTER(INDIRECT(""'""&amp;BZ$1&amp;""'!$C$4:$C$66""),INDIRECT(""'""&amp;BZ$1&amp;""'!$D$4:$D$66"")=BZ$2),$G$3:$BQ$3,$G217:$BQ217))),"""")"),"")</f>
        <v/>
      </c>
      <c r="CB217" s="209"/>
      <c r="CC217" s="207">
        <f>IFERROR(__xludf.DUMMYFUNCTION("AVERAGE(ARRAYFORMULA(XLOOKUP(FILTER(INDIRECT(""'""&amp;CC$1&amp;""'!$C$4:$C$66""),INDIRECT(""'""&amp;CC$1&amp;""'!$D$4:$D$66"")=CC$2),$G$3:$BQ$3,$G217:$BQ217)))"),-0.3549077675)</f>
        <v>-0.3549077675</v>
      </c>
      <c r="CD217" s="207" t="str">
        <f>IFERROR(__xludf.DUMMYFUNCTION("IF(OR(CC217&gt;$BS217+$BT217*$BT$2,CC217&lt;$BS217-$BT217*$BT$2),AVEDEV(ARRAYFORMULA(XLOOKUP(FILTER(INDIRECT(""'""&amp;CC$1&amp;""'!$C$4:$C$66""),INDIRECT(""'""&amp;CC$1&amp;""'!$D$4:$D$66"")=CC$2),$G$3:$BQ$3,$G217:$BQ217))),"""")"),"")</f>
        <v/>
      </c>
      <c r="CE217" s="207">
        <f>IFERROR(__xludf.DUMMYFUNCTION("AVERAGE(ARRAYFORMULA(XLOOKUP(FILTER(INDIRECT(""'""&amp;CE$1&amp;""'!$C$4:$C$66""),INDIRECT(""'""&amp;CE$1&amp;""'!$D$4:$D$66"")=CE$2),$G$3:$BQ$3,$G217:$BQ217)))"),-0.6528964241935485)</f>
        <v>-0.6528964242</v>
      </c>
      <c r="CF217" s="207" t="str">
        <f>IFERROR(__xludf.DUMMYFUNCTION("IF(OR(CE217&gt;$BS217+$BT217*$BT$2,CE217&lt;$BS217-$BT217*$BT$2),AVEDEV(ARRAYFORMULA(XLOOKUP(FILTER(INDIRECT(""'""&amp;CE$1&amp;""'!$C$4:$C$66""),INDIRECT(""'""&amp;CE$1&amp;""'!$D$4:$D$66"")=CE$2),$G$3:$BQ$3,$G217:$BQ217))),"""")"),"")</f>
        <v/>
      </c>
      <c r="CG217" s="207">
        <f>IFERROR(__xludf.DUMMYFUNCTION("AVERAGE(ARRAYFORMULA(XLOOKUP(FILTER(INDIRECT(""'""&amp;CG$1&amp;""'!$C$4:$C$66""),INDIRECT(""'""&amp;CG$1&amp;""'!$D$4:$D$66"")=CG$2),$G$3:$BQ$3,$G217:$BQ217)))"),0.26930171199999997)</f>
        <v>0.269301712</v>
      </c>
      <c r="CH217" s="207" t="str">
        <f>IFERROR(__xludf.DUMMYFUNCTION("IF(OR(CG217&gt;$BS217+$BT217*$BT$2,CG217&lt;$BS217-$BT217*$BT$2),AVEDEV(ARRAYFORMULA(XLOOKUP(FILTER(INDIRECT(""'""&amp;CG$1&amp;""'!$C$4:$C$66""),INDIRECT(""'""&amp;CG$1&amp;""'!$D$4:$D$66"")=CG$2),$G$3:$BQ$3,$G217:$BQ217))),"""")"),"")</f>
        <v/>
      </c>
      <c r="CI217" s="206"/>
      <c r="CJ217" s="251">
        <f>IFERROR(__xludf.DUMMYFUNCTION("AVERAGE(ARRAYFORMULA(XLOOKUP(FILTER(INDIRECT(""'""&amp;CJ$1&amp;""'!$C$4:$C$66""),INDIRECT(""'""&amp;CJ$1&amp;""'!$D$4:$D$66"")=CJ$2),$G$3:$BQ$3,$G217:$BQ217)))"),-0.5670619213333333)</f>
        <v>-0.5670619213</v>
      </c>
      <c r="CK217" s="207" t="str">
        <f>IFERROR(__xludf.DUMMYFUNCTION("IF(OR(CJ217&gt;$BS217+$BT217*$BT$2,CJ217&lt;$BS217-$BT217*$BT$2),AVEDEV(ARRAYFORMULA(XLOOKUP(FILTER(INDIRECT(""'""&amp;CJ$1&amp;""'!$C$4:$C$66""),INDIRECT(""'""&amp;CJ$1&amp;""'!$D$4:$D$66"")=CJ$2),$G$3:$BQ$3,$G217:$BQ217))),"""")"),"")</f>
        <v/>
      </c>
      <c r="CL217" s="251">
        <f>IFERROR(__xludf.DUMMYFUNCTION("AVERAGE(ARRAYFORMULA(XLOOKUP(FILTER(INDIRECT(""'""&amp;CL$1&amp;""'!$C$4:$C$66""),INDIRECT(""'""&amp;CL$1&amp;""'!$D$4:$D$66"")=CL$2),$G$3:$BQ$3,$G217:$BQ217)))"),-0.7735549371794872)</f>
        <v>-0.7735549372</v>
      </c>
      <c r="CM217" s="207" t="str">
        <f>IFERROR(__xludf.DUMMYFUNCTION("IF(OR(CL217&gt;$BS217+$BT217*$BT$2,CL217&lt;$BS217-$BT217*$BT$2),AVEDEV(ARRAYFORMULA(XLOOKUP(FILTER(INDIRECT(""'""&amp;CL$1&amp;""'!$C$4:$C$66""),INDIRECT(""'""&amp;CL$1&amp;""'!$D$4:$D$66"")=CL$2),$G$3:$BQ$3,$G217:$BQ217))),"""")"),"")</f>
        <v/>
      </c>
      <c r="CN217" s="251">
        <f>IFERROR(__xludf.DUMMYFUNCTION("AVERAGE(ARRAYFORMULA(XLOOKUP(FILTER(INDIRECT(""'""&amp;CN$1&amp;""'!$C$4:$C$66""),INDIRECT(""'""&amp;CN$1&amp;""'!$D$4:$D$66"")=CN$2),$G$3:$BQ$3,$G217:$BQ217)))"),0.26930171199999997)</f>
        <v>0.269301712</v>
      </c>
      <c r="CO217" s="207" t="str">
        <f>IFERROR(__xludf.DUMMYFUNCTION("IF(OR(CN217&gt;$BS217+$BT217*$BT$2,CN217&lt;$BS217-$BT217*$BT$2),AVEDEV(ARRAYFORMULA(XLOOKUP(FILTER(INDIRECT(""'""&amp;CN$1&amp;""'!$C$4:$C$66""),INDIRECT(""'""&amp;CN$1&amp;""'!$D$4:$D$66"")=CN$2),$G$3:$BQ$3,$G217:$BQ217))),"""")"),"")</f>
        <v/>
      </c>
      <c r="CP217" s="252"/>
      <c r="CQ217" s="251">
        <f>IFERROR(__xludf.DUMMYFUNCTION("AVERAGE(ARRAYFORMULA(XLOOKUP(FILTER(INDIRECT(""'""&amp;CQ$1&amp;""'!$C$4:$C$66""),INDIRECT(""'""&amp;CQ$1&amp;""'!$D$4:$D$66"")=CQ$2),$G$3:$BQ$3,$G217:$BQ217)))"),-0.2772444885714286)</f>
        <v>-0.2772444886</v>
      </c>
      <c r="CR217" s="207" t="str">
        <f>IFERROR(__xludf.DUMMYFUNCTION("IF(OR(CQ217&gt;$BS217+$BT217*$BT$2,CQ217&lt;$BS217-$BT217*$BT$2),AVEDEV(ARRAYFORMULA(XLOOKUP(FILTER(INDIRECT(""'""&amp;CQ$1&amp;""'!$C$4:$C$66""),INDIRECT(""'""&amp;CQ$1&amp;""'!$D$4:$D$66"")=CQ$2),$G$3:$BQ$3,$G217:$BQ217))),"""")"),"")</f>
        <v/>
      </c>
      <c r="CS217" s="251">
        <f>IFERROR(__xludf.DUMMYFUNCTION("AVERAGE(ARRAYFORMULA(XLOOKUP(FILTER(INDIRECT(""'""&amp;CS$1&amp;""'!$C$4:$C$66""),INDIRECT(""'""&amp;CS$1&amp;""'!$D$4:$D$66"")=CS$2),$G$3:$BQ$3,$G217:$BQ217)))"),-0.24681599222222214)</f>
        <v>-0.2468159922</v>
      </c>
      <c r="CT217" s="207" t="str">
        <f>IFERROR(__xludf.DUMMYFUNCTION("IF(OR(CS217&gt;$BS217+$BT217*$BT$2,CS217&lt;$BS217-$BT217*$BT$2),AVEDEV(ARRAYFORMULA(XLOOKUP(FILTER(INDIRECT(""'""&amp;CS$1&amp;""'!$C$4:$C$66""),INDIRECT(""'""&amp;CS$1&amp;""'!$D$4:$D$66"")=CS$2),$G$3:$BQ$3,$G217:$BQ217))),"""")"),"")</f>
        <v/>
      </c>
      <c r="CU217" s="251">
        <f>IFERROR(__xludf.DUMMYFUNCTION("AVERAGE(ARRAYFORMULA(XLOOKUP(FILTER(INDIRECT(""'""&amp;CU$1&amp;""'!$C$4:$C$66""),INDIRECT(""'""&amp;CU$1&amp;""'!$D$4:$D$66"")=CU$2),$G$3:$BQ$3,$G217:$BQ217)))"),-0.5310815645454545)</f>
        <v>-0.5310815645</v>
      </c>
      <c r="CV217" s="207" t="str">
        <f>IFERROR(__xludf.DUMMYFUNCTION("IF(OR(CU217&gt;$BS217+$BT217*$BT$2,CU217&lt;$BS217-$BT217*$BT$2),AVEDEV(ARRAYFORMULA(XLOOKUP(FILTER(INDIRECT(""'""&amp;CU$1&amp;""'!$C$4:$C$66""),INDIRECT(""'""&amp;CU$1&amp;""'!$D$4:$D$66"")=CU$2),$G$3:$BQ$3,$G217:$BQ217))),"""")"),"")</f>
        <v/>
      </c>
      <c r="CW217" s="251">
        <f>IFERROR(__xludf.DUMMYFUNCTION("AVERAGE(ARRAYFORMULA(XLOOKUP(FILTER(INDIRECT(""'""&amp;CW$1&amp;""'!$C$4:$C$66""),INDIRECT(""'""&amp;CW$1&amp;""'!$D$4:$D$66"")=CW$2),$G$3:$BQ$3,$G217:$BQ217)))"),-0.4571805)</f>
        <v>-0.4571805</v>
      </c>
      <c r="CX217" s="207" t="str">
        <f>IFERROR(__xludf.DUMMYFUNCTION("IF(OR(CW217&gt;$BS217+$BT217*$BT$2,CW217&lt;$BS217-$BT217*$BT$2),AVEDEV(ARRAYFORMULA(XLOOKUP(FILTER(INDIRECT(""'""&amp;CW$1&amp;""'!$C$4:$C$66""),INDIRECT(""'""&amp;CW$1&amp;""'!$D$4:$D$66"")=CW$2),$G$3:$BQ$3,$G217:$BQ217))),"""")"),"")</f>
        <v/>
      </c>
      <c r="CY217" s="251">
        <f>IFERROR(__xludf.DUMMYFUNCTION("AVERAGE(ARRAYFORMULA(XLOOKUP(FILTER(INDIRECT(""'""&amp;CY$1&amp;""'!$C$4:$C$66""),INDIRECT(""'""&amp;CY$1&amp;""'!$D$4:$D$66"")=CY$2),$G$3:$BQ$3,$G217:$BQ217)))"),-0.18332391857142857)</f>
        <v>-0.1833239186</v>
      </c>
      <c r="CZ217" s="207" t="str">
        <f>IFERROR(__xludf.DUMMYFUNCTION("IF(OR(CY217&gt;$BS217+$BT217*$BT$2,CY217&lt;$BS217-$BT217*$BT$2),AVEDEV(ARRAYFORMULA(XLOOKUP(FILTER(INDIRECT(""'""&amp;CY$1&amp;""'!$C$4:$C$66""),INDIRECT(""'""&amp;CY$1&amp;""'!$D$4:$D$66"")=CY$2),$G$3:$BQ$3,$G217:$BQ217))),"""")"),"")</f>
        <v/>
      </c>
      <c r="DA217" s="252"/>
      <c r="DB217" s="251">
        <f>IFERROR(__xludf.DUMMYFUNCTION("AVERAGE(ARRAYFORMULA(XLOOKUP(FILTER(INDIRECT(""'""&amp;DB$1&amp;""'!$C$4:$C$66""),INDIRECT(""'""&amp;DB$1&amp;""'!$D$4:$D$66"")=DB$2),$G$3:$BQ$3,$G217:$BQ217)))"),-0.11734738266666664)</f>
        <v>-0.1173473827</v>
      </c>
      <c r="DC217" s="207" t="str">
        <f>IFERROR(__xludf.DUMMYFUNCTION("IF(OR(DB217&gt;$BS217+$BT217*$BT$2,DB217&lt;$BS217-$BT217*$BT$2),AVEDEV(ARRAYFORMULA(XLOOKUP(FILTER(INDIRECT(""'""&amp;DB$1&amp;""'!$C$4:$C$66""),INDIRECT(""'""&amp;DB$1&amp;""'!$D$4:$D$66"")=DB$2),$G$3:$BQ$3,$G217:$BQ217))),"""")"),"")</f>
        <v/>
      </c>
      <c r="DD217" s="251">
        <f>IFERROR(__xludf.DUMMYFUNCTION("AVERAGE(ARRAYFORMULA(XLOOKUP(FILTER(INDIRECT(""'""&amp;DD$1&amp;""'!$C$4:$C$66""),INDIRECT(""'""&amp;DD$1&amp;""'!$D$4:$D$66"")=DD$2),$G$3:$BQ$3,$G217:$BQ217)))"),-0.2233933566666666)</f>
        <v>-0.2233933567</v>
      </c>
      <c r="DE217" s="207" t="str">
        <f>IFERROR(__xludf.DUMMYFUNCTION("IF(OR(DD217&gt;$BS217+$BT217*$BT$2,DD217&lt;$BS217-$BT217*$BT$2),AVEDEV(ARRAYFORMULA(XLOOKUP(FILTER(INDIRECT(""'""&amp;DD$1&amp;""'!$C$4:$C$66""),INDIRECT(""'""&amp;DD$1&amp;""'!$D$4:$D$66"")=DD$2),$G$3:$BQ$3,$G217:$BQ217))),"""")"),"")</f>
        <v/>
      </c>
      <c r="DF217" s="251">
        <f>IFERROR(__xludf.DUMMYFUNCTION("AVERAGE(ARRAYFORMULA(XLOOKUP(FILTER(INDIRECT(""'""&amp;DF$1&amp;""'!$C$4:$C$66""),INDIRECT(""'""&amp;DF$1&amp;""'!$D$4:$D$66"")=DF$2),$G$3:$BQ$3,$G217:$BQ217)))"),-1.87351778625)</f>
        <v>-1.873517786</v>
      </c>
      <c r="DG217" s="207" t="str">
        <f>IFERROR(__xludf.DUMMYFUNCTION("IF(OR(DF217&gt;$BS217+$BT217*$BT$2,DF217&lt;$BS217-$BT217*$BT$2),AVEDEV(ARRAYFORMULA(XLOOKUP(FILTER(INDIRECT(""'""&amp;DF$1&amp;""'!$C$4:$C$66""),INDIRECT(""'""&amp;DF$1&amp;""'!$D$4:$D$66"")=DF$2),$G$3:$BQ$3,$G217:$BQ217))),"""")"),"")</f>
        <v/>
      </c>
      <c r="DH217" s="251">
        <f>IFERROR(__xludf.DUMMYFUNCTION("AVERAGE(ARRAYFORMULA(XLOOKUP(FILTER(INDIRECT(""'""&amp;DH$1&amp;""'!$C$4:$C$66""),INDIRECT(""'""&amp;DH$1&amp;""'!$D$4:$D$66"")=DH$2),$G$3:$BQ$3,$G217:$BQ217)))"),-0.6906748633333334)</f>
        <v>-0.6906748633</v>
      </c>
      <c r="DI217" s="207" t="str">
        <f>IFERROR(__xludf.DUMMYFUNCTION("IF(OR(DH217&gt;$BS217+$BT217*$BT$2,DH217&lt;$BS217-$BT217*$BT$2),AVEDEV(ARRAYFORMULA(XLOOKUP(FILTER(INDIRECT(""'""&amp;DH$1&amp;""'!$C$4:$C$66""),INDIRECT(""'""&amp;DH$1&amp;""'!$D$4:$D$66"")=DH$2),$G$3:$BQ$3,$G217:$BQ217))),"""")"),"")</f>
        <v/>
      </c>
      <c r="DJ217" s="243"/>
    </row>
    <row r="218">
      <c r="A218" s="2"/>
      <c r="B218" s="204">
        <v>214.0</v>
      </c>
      <c r="C218" s="204" t="s">
        <v>646</v>
      </c>
      <c r="D218" s="204" t="s">
        <v>663</v>
      </c>
      <c r="E218" s="205" t="b">
        <f>VLOOKUP(D218,'Feature Set List'!A215:C246,2,0)</f>
        <v>1</v>
      </c>
      <c r="F218" s="205" t="b">
        <f>VLOOKUP(D218,'Feature Set List'!A215:C246,3,0)</f>
        <v>1</v>
      </c>
      <c r="G218" s="205">
        <v>-0.0400479</v>
      </c>
      <c r="H218" s="205">
        <v>0.02498716</v>
      </c>
      <c r="I218" s="205">
        <v>0.7301044</v>
      </c>
      <c r="J218" s="205">
        <v>-0.1663529</v>
      </c>
      <c r="K218" s="205">
        <v>1.30070169</v>
      </c>
      <c r="L218" s="205">
        <v>-0.1112442</v>
      </c>
      <c r="M218" s="205">
        <v>0.78726681</v>
      </c>
      <c r="N218" s="205">
        <v>0.90124936</v>
      </c>
      <c r="O218" s="205">
        <v>-0.6284443</v>
      </c>
      <c r="P218" s="205">
        <v>1.04398425</v>
      </c>
      <c r="Q218" s="205">
        <v>0.04552456</v>
      </c>
      <c r="R218" s="205">
        <v>1.21512921</v>
      </c>
      <c r="S218" s="205">
        <v>0.30806093</v>
      </c>
      <c r="T218" s="205">
        <v>-0.3080609</v>
      </c>
      <c r="U218" s="205">
        <v>-0.1968167</v>
      </c>
      <c r="V218" s="205">
        <v>-0.2396029</v>
      </c>
      <c r="W218" s="205">
        <v>1.15385932</v>
      </c>
      <c r="X218" s="205">
        <v>0.05990074</v>
      </c>
      <c r="Y218" s="205">
        <v>-0.6212562</v>
      </c>
      <c r="Z218" s="205">
        <v>3.24148554</v>
      </c>
      <c r="AA218" s="205">
        <v>0.95841177</v>
      </c>
      <c r="AB218" s="205">
        <v>-0.6739689</v>
      </c>
      <c r="AC218" s="205">
        <v>-0.0400479</v>
      </c>
      <c r="AD218" s="205">
        <v>-0.2204347</v>
      </c>
      <c r="AE218" s="205">
        <v>-0.3823378</v>
      </c>
      <c r="AF218" s="205">
        <v>-0.3484511</v>
      </c>
      <c r="AG218" s="205">
        <v>1.12955673</v>
      </c>
      <c r="AH218" s="205">
        <v>-0.3251754</v>
      </c>
      <c r="AI218" s="205">
        <v>-0.2738319</v>
      </c>
      <c r="AJ218" s="205">
        <v>0.33099435</v>
      </c>
      <c r="AK218" s="205">
        <v>-0.7530378</v>
      </c>
      <c r="AL218" s="205">
        <v>-0.3080609</v>
      </c>
      <c r="AM218" s="205">
        <v>-0.1256204</v>
      </c>
      <c r="AN218" s="205">
        <v>0.22488448</v>
      </c>
      <c r="AO218" s="205">
        <v>6.43505049</v>
      </c>
      <c r="AP218" s="205">
        <v>0.10268698</v>
      </c>
      <c r="AQ218" s="205">
        <v>0.7301044</v>
      </c>
      <c r="AR218" s="205">
        <v>0.38781448</v>
      </c>
      <c r="AS218" s="205">
        <v>-0.068458</v>
      </c>
      <c r="AT218" s="205">
        <v>-0.4107479</v>
      </c>
      <c r="AU218" s="205">
        <v>-1.4376177</v>
      </c>
      <c r="AV218" s="205">
        <v>0.66506931</v>
      </c>
      <c r="AW218" s="205">
        <v>0.14547322</v>
      </c>
      <c r="AX218" s="205">
        <v>-0.1444463</v>
      </c>
      <c r="AY218" s="205">
        <v>4.2683553</v>
      </c>
      <c r="AZ218" s="205">
        <v>-0.2241999</v>
      </c>
      <c r="BA218" s="205">
        <v>0.0</v>
      </c>
      <c r="BB218" s="205">
        <v>2.58428889</v>
      </c>
      <c r="BC218" s="205">
        <v>-0.3080609</v>
      </c>
      <c r="BD218" s="205">
        <v>1.07239432</v>
      </c>
      <c r="BE218" s="205">
        <v>0.8557248</v>
      </c>
      <c r="BF218" s="205">
        <v>-0.4371042</v>
      </c>
      <c r="BG218" s="205">
        <v>0.00753038</v>
      </c>
      <c r="BH218" s="205">
        <v>-0.2204347</v>
      </c>
      <c r="BI218" s="205">
        <v>0.19784357</v>
      </c>
      <c r="BJ218" s="205">
        <v>-0.4107479</v>
      </c>
      <c r="BK218" s="205">
        <v>0.02943693</v>
      </c>
      <c r="BL218" s="205">
        <v>0.61612186</v>
      </c>
      <c r="BM218" s="205">
        <v>0.02943693</v>
      </c>
      <c r="BN218" s="205">
        <v>-0.3823378</v>
      </c>
      <c r="BO218" s="205">
        <v>-0.2967654</v>
      </c>
      <c r="BP218" s="205">
        <v>-0.3173028</v>
      </c>
      <c r="BQ218" s="205">
        <v>-0.2967654</v>
      </c>
      <c r="BR218" s="206"/>
      <c r="BS218" s="250">
        <f t="shared" si="1"/>
        <v>0.3312008168</v>
      </c>
      <c r="BT218" s="250">
        <f t="shared" si="2"/>
        <v>0.7550430924</v>
      </c>
      <c r="BU218" s="206"/>
      <c r="BV218" s="207">
        <f>IFERROR(__xludf.DUMMYFUNCTION("AVERAGE(ARRAYFORMULA(XLOOKUP(FILTER(INDIRECT(""'""&amp;BV$1&amp;""'!$C$4:$C$66""),INDIRECT(""'""&amp;BV$1&amp;""'!$D$4:$D$66"")=BV$2),$G$3:$BQ$3,$G218:$BQ218)))"),2.0889464828571427)</f>
        <v>2.088946483</v>
      </c>
      <c r="BW218" s="207">
        <f>IFERROR(__xludf.DUMMYFUNCTION("IF(OR(BV218&gt;$BS218+$BT218*$BT$2,BV218&lt;$BS218-$BT218*$BT$2),AVEDEV(ARRAYFORMULA(XLOOKUP(FILTER(INDIRECT(""'""&amp;BV$1&amp;""'!$C$4:$C$66""),INDIRECT(""'""&amp;BV$1&amp;""'!$D$4:$D$66"")=BV$2),$G$3:$BQ$3,$G218:$BQ218))),"""")"),2.0059586375510206)</f>
        <v>2.005958638</v>
      </c>
      <c r="BX218" s="207">
        <f>IFERROR(__xludf.DUMMYFUNCTION("AVERAGE(ARRAYFORMULA(XLOOKUP(FILTER(INDIRECT(""'""&amp;BX$1&amp;""'!$C$4:$C$66""),INDIRECT(""'""&amp;BX$1&amp;""'!$D$4:$D$66"")=BX$2),$G$3:$BQ$3,$G218:$BQ218)))"),0.10754423690476192)</f>
        <v>0.1075442369</v>
      </c>
      <c r="BY218" s="207" t="str">
        <f>IFERROR(__xludf.DUMMYFUNCTION("IF(OR(BX218&gt;$BS218+$BT218*$BT$2,BX218&lt;$BS218-$BT218*$BT$2),AVEDEV(ARRAYFORMULA(XLOOKUP(FILTER(INDIRECT(""'""&amp;BX$1&amp;""'!$C$4:$C$66""),INDIRECT(""'""&amp;BX$1&amp;""'!$D$4:$D$66"")=BX$2),$G$3:$BQ$3,$G218:$BQ218))),"""")"),"")</f>
        <v/>
      </c>
      <c r="BZ218" s="207">
        <f>IFERROR(__xludf.DUMMYFUNCTION("AVERAGE(ARRAYFORMULA(XLOOKUP(FILTER(INDIRECT(""'""&amp;BZ$1&amp;""'!$C$4:$C$66""),INDIRECT(""'""&amp;BZ$1&amp;""'!$D$4:$D$66"")=BZ$2),$G$3:$BQ$3,$G218:$BQ218)))"),0.12375337363636364)</f>
        <v>0.1237533736</v>
      </c>
      <c r="CA218" s="207" t="str">
        <f>IFERROR(__xludf.DUMMYFUNCTION("IF(OR(BZ218&gt;$BS218+$BT218*$BT$2,BZ218&lt;$BS218-$BT218*$BT$2),AVEDEV(ARRAYFORMULA(XLOOKUP(FILTER(INDIRECT(""'""&amp;BZ$1&amp;""'!$C$4:$C$66""),INDIRECT(""'""&amp;BZ$1&amp;""'!$D$4:$D$66"")=BZ$2),$G$3:$BQ$3,$G218:$BQ218))),"""")"),"")</f>
        <v/>
      </c>
      <c r="CB218" s="209"/>
      <c r="CC218" s="207">
        <f>IFERROR(__xludf.DUMMYFUNCTION("AVERAGE(ARRAYFORMULA(XLOOKUP(FILTER(INDIRECT(""'""&amp;CC$1&amp;""'!$C$4:$C$66""),INDIRECT(""'""&amp;CC$1&amp;""'!$D$4:$D$66"")=CC$2),$G$3:$BQ$3,$G218:$BQ218)))"),0.253701020625)</f>
        <v>0.2537010206</v>
      </c>
      <c r="CD218" s="207" t="str">
        <f>IFERROR(__xludf.DUMMYFUNCTION("IF(OR(CC218&gt;$BS218+$BT218*$BT$2,CC218&lt;$BS218-$BT218*$BT$2),AVEDEV(ARRAYFORMULA(XLOOKUP(FILTER(INDIRECT(""'""&amp;CC$1&amp;""'!$C$4:$C$66""),INDIRECT(""'""&amp;CC$1&amp;""'!$D$4:$D$66"")=CC$2),$G$3:$BQ$3,$G218:$BQ218))),"""")"),"")</f>
        <v/>
      </c>
      <c r="CE218" s="207">
        <f>IFERROR(__xludf.DUMMYFUNCTION("AVERAGE(ARRAYFORMULA(XLOOKUP(FILTER(INDIRECT(""'""&amp;CE$1&amp;""'!$C$4:$C$66""),INDIRECT(""'""&amp;CE$1&amp;""'!$D$4:$D$66"")=CE$2),$G$3:$BQ$3,$G218:$BQ218)))"),0.2812739832258065)</f>
        <v>0.2812739832</v>
      </c>
      <c r="CF218" s="207" t="str">
        <f>IFERROR(__xludf.DUMMYFUNCTION("IF(OR(CE218&gt;$BS218+$BT218*$BT$2,CE218&lt;$BS218-$BT218*$BT$2),AVEDEV(ARRAYFORMULA(XLOOKUP(FILTER(INDIRECT(""'""&amp;CE$1&amp;""'!$C$4:$C$66""),INDIRECT(""'""&amp;CE$1&amp;""'!$D$4:$D$66"")=CE$2),$G$3:$BQ$3,$G218:$BQ218))),"""")"),"")</f>
        <v/>
      </c>
      <c r="CG218" s="207">
        <f>IFERROR(__xludf.DUMMYFUNCTION("AVERAGE(ARRAYFORMULA(XLOOKUP(FILTER(INDIRECT(""'""&amp;CG$1&amp;""'!$C$4:$C$66""),INDIRECT(""'""&amp;CG$1&amp;""'!$D$4:$D$66"")=CG$2),$G$3:$BQ$3,$G218:$BQ218)))"),0.13499914600000001)</f>
        <v>0.134999146</v>
      </c>
      <c r="CH218" s="207" t="str">
        <f>IFERROR(__xludf.DUMMYFUNCTION("IF(OR(CG218&gt;$BS218+$BT218*$BT$2,CG218&lt;$BS218-$BT218*$BT$2),AVEDEV(ARRAYFORMULA(XLOOKUP(FILTER(INDIRECT(""'""&amp;CG$1&amp;""'!$C$4:$C$66""),INDIRECT(""'""&amp;CG$1&amp;""'!$D$4:$D$66"")=CG$2),$G$3:$BQ$3,$G218:$BQ218))),"""")"),"")</f>
        <v/>
      </c>
      <c r="CI218" s="206"/>
      <c r="CJ218" s="251">
        <f>IFERROR(__xludf.DUMMYFUNCTION("AVERAGE(ARRAYFORMULA(XLOOKUP(FILTER(INDIRECT(""'""&amp;CJ$1&amp;""'!$C$4:$C$66""),INDIRECT(""'""&amp;CJ$1&amp;""'!$D$4:$D$66"")=CJ$2),$G$3:$BQ$3,$G218:$BQ218)))"),0.160123226)</f>
        <v>0.160123226</v>
      </c>
      <c r="CK218" s="207" t="str">
        <f>IFERROR(__xludf.DUMMYFUNCTION("IF(OR(CJ218&gt;$BS218+$BT218*$BT$2,CJ218&lt;$BS218-$BT218*$BT$2),AVEDEV(ARRAYFORMULA(XLOOKUP(FILTER(INDIRECT(""'""&amp;CJ$1&amp;""'!$C$4:$C$66""),INDIRECT(""'""&amp;CJ$1&amp;""'!$D$4:$D$66"")=CJ$2),$G$3:$BQ$3,$G218:$BQ218))),"""")"),"")</f>
        <v/>
      </c>
      <c r="CL218" s="251">
        <f>IFERROR(__xludf.DUMMYFUNCTION("AVERAGE(ARRAYFORMULA(XLOOKUP(FILTER(INDIRECT(""'""&amp;CL$1&amp;""'!$C$4:$C$66""),INDIRECT(""'""&amp;CL$1&amp;""'!$D$4:$D$66"")=CL$2),$G$3:$BQ$3,$G218:$BQ218)))"),0.43096934512820523)</f>
        <v>0.4309693451</v>
      </c>
      <c r="CM218" s="207" t="str">
        <f>IFERROR(__xludf.DUMMYFUNCTION("IF(OR(CL218&gt;$BS218+$BT218*$BT$2,CL218&lt;$BS218-$BT218*$BT$2),AVEDEV(ARRAYFORMULA(XLOOKUP(FILTER(INDIRECT(""'""&amp;CL$1&amp;""'!$C$4:$C$66""),INDIRECT(""'""&amp;CL$1&amp;""'!$D$4:$D$66"")=CL$2),$G$3:$BQ$3,$G218:$BQ218))),"""")"),"")</f>
        <v/>
      </c>
      <c r="CN218" s="251">
        <f>IFERROR(__xludf.DUMMYFUNCTION("AVERAGE(ARRAYFORMULA(XLOOKUP(FILTER(INDIRECT(""'""&amp;CN$1&amp;""'!$C$4:$C$66""),INDIRECT(""'""&amp;CN$1&amp;""'!$D$4:$D$66"")=CN$2),$G$3:$BQ$3,$G218:$BQ218)))"),0.13499914600000001)</f>
        <v>0.134999146</v>
      </c>
      <c r="CO218" s="207" t="str">
        <f>IFERROR(__xludf.DUMMYFUNCTION("IF(OR(CN218&gt;$BS218+$BT218*$BT$2,CN218&lt;$BS218-$BT218*$BT$2),AVEDEV(ARRAYFORMULA(XLOOKUP(FILTER(INDIRECT(""'""&amp;CN$1&amp;""'!$C$4:$C$66""),INDIRECT(""'""&amp;CN$1&amp;""'!$D$4:$D$66"")=CN$2),$G$3:$BQ$3,$G218:$BQ218))),"""")"),"")</f>
        <v/>
      </c>
      <c r="CP218" s="252"/>
      <c r="CQ218" s="251">
        <f>IFERROR(__xludf.DUMMYFUNCTION("AVERAGE(ARRAYFORMULA(XLOOKUP(FILTER(INDIRECT(""'""&amp;CQ$1&amp;""'!$C$4:$C$66""),INDIRECT(""'""&amp;CQ$1&amp;""'!$D$4:$D$66"")=CQ$2),$G$3:$BQ$3,$G218:$BQ218)))"),0.03594045571428571)</f>
        <v>0.03594045571</v>
      </c>
      <c r="CR218" s="207" t="str">
        <f>IFERROR(__xludf.DUMMYFUNCTION("IF(OR(CQ218&gt;$BS218+$BT218*$BT$2,CQ218&lt;$BS218-$BT218*$BT$2),AVEDEV(ARRAYFORMULA(XLOOKUP(FILTER(INDIRECT(""'""&amp;CQ$1&amp;""'!$C$4:$C$66""),INDIRECT(""'""&amp;CQ$1&amp;""'!$D$4:$D$66"")=CQ$2),$G$3:$BQ$3,$G218:$BQ218))),"""")"),"")</f>
        <v/>
      </c>
      <c r="CS218" s="251">
        <f>IFERROR(__xludf.DUMMYFUNCTION("AVERAGE(ARRAYFORMULA(XLOOKUP(FILTER(INDIRECT(""'""&amp;CS$1&amp;""'!$C$4:$C$66""),INDIRECT(""'""&amp;CS$1&amp;""'!$D$4:$D$66"")=CS$2),$G$3:$BQ$3,$G218:$BQ218)))"),0.17289445333333336)</f>
        <v>0.1728944533</v>
      </c>
      <c r="CT218" s="207" t="str">
        <f>IFERROR(__xludf.DUMMYFUNCTION("IF(OR(CS218&gt;$BS218+$BT218*$BT$2,CS218&lt;$BS218-$BT218*$BT$2),AVEDEV(ARRAYFORMULA(XLOOKUP(FILTER(INDIRECT(""'""&amp;CS$1&amp;""'!$C$4:$C$66""),INDIRECT(""'""&amp;CS$1&amp;""'!$D$4:$D$66"")=CS$2),$G$3:$BQ$3,$G218:$BQ218))),"""")"),"")</f>
        <v/>
      </c>
      <c r="CU218" s="251">
        <f>IFERROR(__xludf.DUMMYFUNCTION("AVERAGE(ARRAYFORMULA(XLOOKUP(FILTER(INDIRECT(""'""&amp;CU$1&amp;""'!$C$4:$C$66""),INDIRECT(""'""&amp;CU$1&amp;""'!$D$4:$D$66"")=CU$2),$G$3:$BQ$3,$G218:$BQ218)))"),-0.014313946363636363)</f>
        <v>-0.01431394636</v>
      </c>
      <c r="CV218" s="207" t="str">
        <f>IFERROR(__xludf.DUMMYFUNCTION("IF(OR(CU218&gt;$BS218+$BT218*$BT$2,CU218&lt;$BS218-$BT218*$BT$2),AVEDEV(ARRAYFORMULA(XLOOKUP(FILTER(INDIRECT(""'""&amp;CU$1&amp;""'!$C$4:$C$66""),INDIRECT(""'""&amp;CU$1&amp;""'!$D$4:$D$66"")=CU$2),$G$3:$BQ$3,$G218:$BQ218))),"""")"),"")</f>
        <v/>
      </c>
      <c r="CW218" s="251">
        <f>IFERROR(__xludf.DUMMYFUNCTION("AVERAGE(ARRAYFORMULA(XLOOKUP(FILTER(INDIRECT(""'""&amp;CW$1&amp;""'!$C$4:$C$66""),INDIRECT(""'""&amp;CW$1&amp;""'!$D$4:$D$66"")=CW$2),$G$3:$BQ$3,$G218:$BQ218)))"),-0.2204347)</f>
        <v>-0.2204347</v>
      </c>
      <c r="CX218" s="207" t="str">
        <f>IFERROR(__xludf.DUMMYFUNCTION("IF(OR(CW218&gt;$BS218+$BT218*$BT$2,CW218&lt;$BS218-$BT218*$BT$2),AVEDEV(ARRAYFORMULA(XLOOKUP(FILTER(INDIRECT(""'""&amp;CW$1&amp;""'!$C$4:$C$66""),INDIRECT(""'""&amp;CW$1&amp;""'!$D$4:$D$66"")=CW$2),$G$3:$BQ$3,$G218:$BQ218))),"""")"),"")</f>
        <v/>
      </c>
      <c r="CY218" s="251">
        <f>IFERROR(__xludf.DUMMYFUNCTION("AVERAGE(ARRAYFORMULA(XLOOKUP(FILTER(INDIRECT(""'""&amp;CY$1&amp;""'!$C$4:$C$66""),INDIRECT(""'""&amp;CY$1&amp;""'!$D$4:$D$66"")=CY$2),$G$3:$BQ$3,$G218:$BQ218)))"),0.2253979135714286)</f>
        <v>0.2253979136</v>
      </c>
      <c r="CZ218" s="207" t="str">
        <f>IFERROR(__xludf.DUMMYFUNCTION("IF(OR(CY218&gt;$BS218+$BT218*$BT$2,CY218&lt;$BS218-$BT218*$BT$2),AVEDEV(ARRAYFORMULA(XLOOKUP(FILTER(INDIRECT(""'""&amp;CY$1&amp;""'!$C$4:$C$66""),INDIRECT(""'""&amp;CY$1&amp;""'!$D$4:$D$66"")=CY$2),$G$3:$BQ$3,$G218:$BQ218))),"""")"),"")</f>
        <v/>
      </c>
      <c r="DA218" s="252"/>
      <c r="DB218" s="251">
        <f>IFERROR(__xludf.DUMMYFUNCTION("AVERAGE(ARRAYFORMULA(XLOOKUP(FILTER(INDIRECT(""'""&amp;DB$1&amp;""'!$C$4:$C$66""),INDIRECT(""'""&amp;DB$1&amp;""'!$D$4:$D$66"")=DB$2),$G$3:$BQ$3,$G218:$BQ218)))"),0.19628045566666666)</f>
        <v>0.1962804557</v>
      </c>
      <c r="DC218" s="207" t="str">
        <f>IFERROR(__xludf.DUMMYFUNCTION("IF(OR(DB218&gt;$BS218+$BT218*$BT$2,DB218&lt;$BS218-$BT218*$BT$2),AVEDEV(ARRAYFORMULA(XLOOKUP(FILTER(INDIRECT(""'""&amp;DB$1&amp;""'!$C$4:$C$66""),INDIRECT(""'""&amp;DB$1&amp;""'!$D$4:$D$66"")=DB$2),$G$3:$BQ$3,$G218:$BQ218))),"""")"),"")</f>
        <v/>
      </c>
      <c r="DD218" s="251">
        <f>IFERROR(__xludf.DUMMYFUNCTION("AVERAGE(ARRAYFORMULA(XLOOKUP(FILTER(INDIRECT(""'""&amp;DD$1&amp;""'!$C$4:$C$66""),INDIRECT(""'""&amp;DD$1&amp;""'!$D$4:$D$66"")=DD$2),$G$3:$BQ$3,$G218:$BQ218)))"),0.3578070688888889)</f>
        <v>0.3578070689</v>
      </c>
      <c r="DE218" s="207" t="str">
        <f>IFERROR(__xludf.DUMMYFUNCTION("IF(OR(DD218&gt;$BS218+$BT218*$BT$2,DD218&lt;$BS218-$BT218*$BT$2),AVEDEV(ARRAYFORMULA(XLOOKUP(FILTER(INDIRECT(""'""&amp;DD$1&amp;""'!$C$4:$C$66""),INDIRECT(""'""&amp;DD$1&amp;""'!$D$4:$D$66"")=DD$2),$G$3:$BQ$3,$G218:$BQ218))),"""")"),"")</f>
        <v/>
      </c>
      <c r="DF218" s="251">
        <f>IFERROR(__xludf.DUMMYFUNCTION("AVERAGE(ARRAYFORMULA(XLOOKUP(FILTER(INDIRECT(""'""&amp;DF$1&amp;""'!$C$4:$C$66""),INDIRECT(""'""&amp;DF$1&amp;""'!$D$4:$D$66"")=DF$2),$G$3:$BQ$3,$G218:$BQ218)))"),0.7539363325)</f>
        <v>0.7539363325</v>
      </c>
      <c r="DG218" s="207" t="str">
        <f>IFERROR(__xludf.DUMMYFUNCTION("IF(OR(DF218&gt;$BS218+$BT218*$BT$2,DF218&lt;$BS218-$BT218*$BT$2),AVEDEV(ARRAYFORMULA(XLOOKUP(FILTER(INDIRECT(""'""&amp;DF$1&amp;""'!$C$4:$C$66""),INDIRECT(""'""&amp;DF$1&amp;""'!$D$4:$D$66"")=DF$2),$G$3:$BQ$3,$G218:$BQ218))),"""")"),"")</f>
        <v/>
      </c>
      <c r="DH218" s="251">
        <f>IFERROR(__xludf.DUMMYFUNCTION("AVERAGE(ARRAYFORMULA(XLOOKUP(FILTER(INDIRECT(""'""&amp;DH$1&amp;""'!$C$4:$C$66""),INDIRECT(""'""&amp;DH$1&amp;""'!$D$4:$D$66"")=DH$2),$G$3:$BQ$3,$G218:$BQ218)))"),-0.23758723111111113)</f>
        <v>-0.2375872311</v>
      </c>
      <c r="DI218" s="207" t="str">
        <f>IFERROR(__xludf.DUMMYFUNCTION("IF(OR(DH218&gt;$BS218+$BT218*$BT$2,DH218&lt;$BS218-$BT218*$BT$2),AVEDEV(ARRAYFORMULA(XLOOKUP(FILTER(INDIRECT(""'""&amp;DH$1&amp;""'!$C$4:$C$66""),INDIRECT(""'""&amp;DH$1&amp;""'!$D$4:$D$66"")=DH$2),$G$3:$BQ$3,$G218:$BQ218))),"""")"),"")</f>
        <v/>
      </c>
      <c r="DJ218" s="243"/>
    </row>
    <row r="219">
      <c r="A219" s="2"/>
      <c r="B219" s="204">
        <v>215.0</v>
      </c>
      <c r="C219" s="204" t="s">
        <v>646</v>
      </c>
      <c r="D219" s="204" t="s">
        <v>664</v>
      </c>
      <c r="E219" s="205" t="b">
        <f>VLOOKUP(D219,'Feature Set List'!A216:C246,2,0)</f>
        <v>1</v>
      </c>
      <c r="F219" s="205" t="b">
        <f>VLOOKUP(D219,'Feature Set List'!A216:C246,3,0)</f>
        <v>1</v>
      </c>
      <c r="G219" s="205">
        <v>0.2006555</v>
      </c>
      <c r="H219" s="205">
        <v>-0.3863802</v>
      </c>
      <c r="I219" s="205">
        <v>-0.02185</v>
      </c>
      <c r="J219" s="205">
        <v>0.98252003</v>
      </c>
      <c r="K219" s="205">
        <v>2.90349599</v>
      </c>
      <c r="L219" s="205">
        <v>0.0782957</v>
      </c>
      <c r="M219" s="205">
        <v>0.52439913</v>
      </c>
      <c r="N219" s="205">
        <v>2.64493809</v>
      </c>
      <c r="O219" s="205">
        <v>-0.1125273</v>
      </c>
      <c r="P219" s="205">
        <v>0.88820102</v>
      </c>
      <c r="Q219" s="205">
        <v>-0.3739985</v>
      </c>
      <c r="R219" s="205">
        <v>2.05498908</v>
      </c>
      <c r="S219" s="205">
        <v>0.96795339</v>
      </c>
      <c r="T219" s="205">
        <v>0.01529497</v>
      </c>
      <c r="U219" s="205">
        <v>-0.0593591</v>
      </c>
      <c r="V219" s="205">
        <v>0.30298616</v>
      </c>
      <c r="W219" s="205">
        <v>1.51857247</v>
      </c>
      <c r="X219" s="205">
        <v>0.02986162</v>
      </c>
      <c r="Y219" s="205">
        <v>-0.6329206</v>
      </c>
      <c r="Z219" s="205">
        <v>1.1179898</v>
      </c>
      <c r="AA219" s="205">
        <v>0.59286235</v>
      </c>
      <c r="AB219" s="205">
        <v>-0.7002913</v>
      </c>
      <c r="AC219" s="205">
        <v>-0.370721</v>
      </c>
      <c r="AD219" s="205">
        <v>-0.1536781</v>
      </c>
      <c r="AE219" s="205">
        <v>-0.5859432</v>
      </c>
      <c r="AF219" s="205">
        <v>-0.0997815</v>
      </c>
      <c r="AG219" s="205">
        <v>0.80517116</v>
      </c>
      <c r="AH219" s="205">
        <v>-0.5473416</v>
      </c>
      <c r="AI219" s="205">
        <v>0.05025492</v>
      </c>
      <c r="AJ219" s="205">
        <v>0.00400583</v>
      </c>
      <c r="AK219" s="205">
        <v>-0.9821559</v>
      </c>
      <c r="AL219" s="205">
        <v>-0.1744355</v>
      </c>
      <c r="AM219" s="205">
        <v>-0.3404953</v>
      </c>
      <c r="AN219" s="205">
        <v>0.04151493</v>
      </c>
      <c r="AO219" s="205">
        <v>-1.710488</v>
      </c>
      <c r="AP219" s="205">
        <v>1.46212673</v>
      </c>
      <c r="AQ219" s="205">
        <v>1.802622</v>
      </c>
      <c r="AR219" s="205">
        <v>0.50655499</v>
      </c>
      <c r="AS219" s="205">
        <v>-0.5305899</v>
      </c>
      <c r="AT219" s="205">
        <v>-0.3783685</v>
      </c>
      <c r="AU219" s="205">
        <v>-1.710488</v>
      </c>
      <c r="AV219" s="205">
        <v>-0.0491624</v>
      </c>
      <c r="AW219" s="205">
        <v>-0.5273125</v>
      </c>
      <c r="AX219" s="205">
        <v>-0.3506919</v>
      </c>
      <c r="AY219" s="205">
        <v>1.23306628</v>
      </c>
      <c r="AZ219" s="205">
        <v>0.0611799</v>
      </c>
      <c r="BA219" s="205">
        <v>-0.0214858</v>
      </c>
      <c r="BB219" s="205">
        <v>1.45557174</v>
      </c>
      <c r="BC219" s="205">
        <v>-0.2232338</v>
      </c>
      <c r="BD219" s="205">
        <v>0.87144938</v>
      </c>
      <c r="BE219" s="205">
        <v>0.66241806</v>
      </c>
      <c r="BF219" s="205">
        <v>-1.0717407</v>
      </c>
      <c r="BG219" s="205">
        <v>0.18863802</v>
      </c>
      <c r="BH219" s="205">
        <v>-0.3587036</v>
      </c>
      <c r="BI219" s="205">
        <v>0.79133285</v>
      </c>
      <c r="BJ219" s="205">
        <v>-0.4060452</v>
      </c>
      <c r="BK219" s="205">
        <v>-0.1412964</v>
      </c>
      <c r="BL219" s="205">
        <v>0.41296431</v>
      </c>
      <c r="BM219" s="205">
        <v>-0.4024035</v>
      </c>
      <c r="BN219" s="205">
        <v>-0.3350328</v>
      </c>
      <c r="BO219" s="205">
        <v>0.0</v>
      </c>
      <c r="BP219" s="205">
        <v>-0.6412964</v>
      </c>
      <c r="BQ219" s="205">
        <v>0.05535324</v>
      </c>
      <c r="BR219" s="206"/>
      <c r="BS219" s="250">
        <f t="shared" si="1"/>
        <v>0.1718574784</v>
      </c>
      <c r="BT219" s="250">
        <f t="shared" si="2"/>
        <v>0.6647224294</v>
      </c>
      <c r="BU219" s="206"/>
      <c r="BV219" s="207">
        <f>IFERROR(__xludf.DUMMYFUNCTION("AVERAGE(ARRAYFORMULA(XLOOKUP(FILTER(INDIRECT(""'""&amp;BV$1&amp;""'!$C$4:$C$66""),INDIRECT(""'""&amp;BV$1&amp;""'!$D$4:$D$66"")=BV$2),$G$3:$BQ$3,$G219:$BQ219)))"),0.28914784428571433)</f>
        <v>0.2891478443</v>
      </c>
      <c r="BW219" s="207" t="str">
        <f>IFERROR(__xludf.DUMMYFUNCTION("IF(OR(BV219&gt;$BS219+$BT219*$BT$2,BV219&lt;$BS219-$BT219*$BT$2),AVEDEV(ARRAYFORMULA(XLOOKUP(FILTER(INDIRECT(""'""&amp;BV$1&amp;""'!$C$4:$C$66""),INDIRECT(""'""&amp;BV$1&amp;""'!$D$4:$D$66"")=BV$2),$G$3:$BQ$3,$G219:$BQ219))),"""")"),"")</f>
        <v/>
      </c>
      <c r="BX219" s="207">
        <f>IFERROR(__xludf.DUMMYFUNCTION("AVERAGE(ARRAYFORMULA(XLOOKUP(FILTER(INDIRECT(""'""&amp;BX$1&amp;""'!$C$4:$C$66""),INDIRECT(""'""&amp;BX$1&amp;""'!$D$4:$D$66"")=BX$2),$G$3:$BQ$3,$G219:$BQ219)))"),0.17937779904761902)</f>
        <v>0.179377799</v>
      </c>
      <c r="BY219" s="207" t="str">
        <f>IFERROR(__xludf.DUMMYFUNCTION("IF(OR(BX219&gt;$BS219+$BT219*$BT$2,BX219&lt;$BS219-$BT219*$BT$2),AVEDEV(ARRAYFORMULA(XLOOKUP(FILTER(INDIRECT(""'""&amp;BX$1&amp;""'!$C$4:$C$66""),INDIRECT(""'""&amp;BX$1&amp;""'!$D$4:$D$66"")=BX$2),$G$3:$BQ$3,$G219:$BQ219))),"""")"),"")</f>
        <v/>
      </c>
      <c r="BZ219" s="207">
        <f>IFERROR(__xludf.DUMMYFUNCTION("AVERAGE(ARRAYFORMULA(XLOOKUP(FILTER(INDIRECT(""'""&amp;BZ$1&amp;""'!$C$4:$C$66""),INDIRECT(""'""&amp;BZ$1&amp;""'!$D$4:$D$66"")=BZ$2),$G$3:$BQ$3,$G219:$BQ219)))"),0.19363702636363628)</f>
        <v>0.1936370264</v>
      </c>
      <c r="CA219" s="207" t="str">
        <f>IFERROR(__xludf.DUMMYFUNCTION("IF(OR(BZ219&gt;$BS219+$BT219*$BT$2,BZ219&lt;$BS219-$BT219*$BT$2),AVEDEV(ARRAYFORMULA(XLOOKUP(FILTER(INDIRECT(""'""&amp;BZ$1&amp;""'!$C$4:$C$66""),INDIRECT(""'""&amp;BZ$1&amp;""'!$D$4:$D$66"")=BZ$2),$G$3:$BQ$3,$G219:$BQ219))),"""")"),"")</f>
        <v/>
      </c>
      <c r="CB219" s="209"/>
      <c r="CC219" s="207">
        <f>IFERROR(__xludf.DUMMYFUNCTION("AVERAGE(ARRAYFORMULA(XLOOKUP(FILTER(INDIRECT(""'""&amp;CC$1&amp;""'!$C$4:$C$66""),INDIRECT(""'""&amp;CC$1&amp;""'!$D$4:$D$66"")=CC$2),$G$3:$BQ$3,$G219:$BQ219)))"),0.52615167)</f>
        <v>0.52615167</v>
      </c>
      <c r="CD219" s="207" t="str">
        <f>IFERROR(__xludf.DUMMYFUNCTION("IF(OR(CC219&gt;$BS219+$BT219*$BT$2,CC219&lt;$BS219-$BT219*$BT$2),AVEDEV(ARRAYFORMULA(XLOOKUP(FILTER(INDIRECT(""'""&amp;CC$1&amp;""'!$C$4:$C$66""),INDIRECT(""'""&amp;CC$1&amp;""'!$D$4:$D$66"")=CC$2),$G$3:$BQ$3,$G219:$BQ219))),"""")"),"")</f>
        <v/>
      </c>
      <c r="CE219" s="207">
        <f>IFERROR(__xludf.DUMMYFUNCTION("AVERAGE(ARRAYFORMULA(XLOOKUP(FILTER(INDIRECT(""'""&amp;CE$1&amp;""'!$C$4:$C$66""),INDIRECT(""'""&amp;CE$1&amp;""'!$D$4:$D$66"")=CE$2),$G$3:$BQ$3,$G219:$BQ219)))"),0.13041844225806448)</f>
        <v>0.1304184423</v>
      </c>
      <c r="CF219" s="207" t="str">
        <f>IFERROR(__xludf.DUMMYFUNCTION("IF(OR(CE219&gt;$BS219+$BT219*$BT$2,CE219&lt;$BS219-$BT219*$BT$2),AVEDEV(ARRAYFORMULA(XLOOKUP(FILTER(INDIRECT(""'""&amp;CE$1&amp;""'!$C$4:$C$66""),INDIRECT(""'""&amp;CE$1&amp;""'!$D$4:$D$66"")=CE$2),$G$3:$BQ$3,$G219:$BQ219))),"""")"),"")</f>
        <v/>
      </c>
      <c r="CG219" s="207">
        <f>IFERROR(__xludf.DUMMYFUNCTION("AVERAGE(ARRAYFORMULA(XLOOKUP(FILTER(INDIRECT(""'""&amp;CG$1&amp;""'!$C$4:$C$66""),INDIRECT(""'""&amp;CG$1&amp;""'!$D$4:$D$66"")=CG$2),$G$3:$BQ$3,$G219:$BQ219)))"),0.10801166200000001)</f>
        <v>0.108011662</v>
      </c>
      <c r="CH219" s="207" t="str">
        <f>IFERROR(__xludf.DUMMYFUNCTION("IF(OR(CG219&gt;$BS219+$BT219*$BT$2,CG219&lt;$BS219-$BT219*$BT$2),AVEDEV(ARRAYFORMULA(XLOOKUP(FILTER(INDIRECT(""'""&amp;CG$1&amp;""'!$C$4:$C$66""),INDIRECT(""'""&amp;CG$1&amp;""'!$D$4:$D$66"")=CG$2),$G$3:$BQ$3,$G219:$BQ219))),"""")"),"")</f>
        <v/>
      </c>
      <c r="CI219" s="206"/>
      <c r="CJ219" s="251">
        <f>IFERROR(__xludf.DUMMYFUNCTION("AVERAGE(ARRAYFORMULA(XLOOKUP(FILTER(INDIRECT(""'""&amp;CJ$1&amp;""'!$C$4:$C$66""),INDIRECT(""'""&amp;CJ$1&amp;""'!$D$4:$D$66"")=CJ$2),$G$3:$BQ$3,$G219:$BQ219)))"),0.12726390399999993)</f>
        <v>0.127263904</v>
      </c>
      <c r="CK219" s="207" t="str">
        <f>IFERROR(__xludf.DUMMYFUNCTION("IF(OR(CJ219&gt;$BS219+$BT219*$BT$2,CJ219&lt;$BS219-$BT219*$BT$2),AVEDEV(ARRAYFORMULA(XLOOKUP(FILTER(INDIRECT(""'""&amp;CJ$1&amp;""'!$C$4:$C$66""),INDIRECT(""'""&amp;CJ$1&amp;""'!$D$4:$D$66"")=CJ$2),$G$3:$BQ$3,$G219:$BQ219))),"""")"),"")</f>
        <v/>
      </c>
      <c r="CL219" s="251">
        <f>IFERROR(__xludf.DUMMYFUNCTION("AVERAGE(ARRAYFORMULA(XLOOKUP(FILTER(INDIRECT(""'""&amp;CL$1&amp;""'!$C$4:$C$66""),INDIRECT(""'""&amp;CL$1&amp;""'!$D$4:$D$66"")=CL$2),$G$3:$BQ$3,$G219:$BQ219)))"),0.2263058610256411)</f>
        <v>0.226305861</v>
      </c>
      <c r="CM219" s="207" t="str">
        <f>IFERROR(__xludf.DUMMYFUNCTION("IF(OR(CL219&gt;$BS219+$BT219*$BT$2,CL219&lt;$BS219-$BT219*$BT$2),AVEDEV(ARRAYFORMULA(XLOOKUP(FILTER(INDIRECT(""'""&amp;CL$1&amp;""'!$C$4:$C$66""),INDIRECT(""'""&amp;CL$1&amp;""'!$D$4:$D$66"")=CL$2),$G$3:$BQ$3,$G219:$BQ219))),"""")"),"")</f>
        <v/>
      </c>
      <c r="CN219" s="251">
        <f>IFERROR(__xludf.DUMMYFUNCTION("AVERAGE(ARRAYFORMULA(XLOOKUP(FILTER(INDIRECT(""'""&amp;CN$1&amp;""'!$C$4:$C$66""),INDIRECT(""'""&amp;CN$1&amp;""'!$D$4:$D$66"")=CN$2),$G$3:$BQ$3,$G219:$BQ219)))"),0.10801166200000001)</f>
        <v>0.108011662</v>
      </c>
      <c r="CO219" s="207" t="str">
        <f>IFERROR(__xludf.DUMMYFUNCTION("IF(OR(CN219&gt;$BS219+$BT219*$BT$2,CN219&lt;$BS219-$BT219*$BT$2),AVEDEV(ARRAYFORMULA(XLOOKUP(FILTER(INDIRECT(""'""&amp;CN$1&amp;""'!$C$4:$C$66""),INDIRECT(""'""&amp;CN$1&amp;""'!$D$4:$D$66"")=CN$2),$G$3:$BQ$3,$G219:$BQ219))),"""")"),"")</f>
        <v/>
      </c>
      <c r="CP219" s="252"/>
      <c r="CQ219" s="251">
        <f>IFERROR(__xludf.DUMMYFUNCTION("AVERAGE(ARRAYFORMULA(XLOOKUP(FILTER(INDIRECT(""'""&amp;CQ$1&amp;""'!$C$4:$C$66""),INDIRECT(""'""&amp;CQ$1&amp;""'!$D$4:$D$66"")=CQ$2),$G$3:$BQ$3,$G219:$BQ219)))"),0.298668192142857)</f>
        <v>0.2986681921</v>
      </c>
      <c r="CR219" s="207" t="str">
        <f>IFERROR(__xludf.DUMMYFUNCTION("IF(OR(CQ219&gt;$BS219+$BT219*$BT$2,CQ219&lt;$BS219-$BT219*$BT$2),AVEDEV(ARRAYFORMULA(XLOOKUP(FILTER(INDIRECT(""'""&amp;CQ$1&amp;""'!$C$4:$C$66""),INDIRECT(""'""&amp;CQ$1&amp;""'!$D$4:$D$66"")=CQ$2),$G$3:$BQ$3,$G219:$BQ219))),"""")"),"")</f>
        <v/>
      </c>
      <c r="CS219" s="251">
        <f>IFERROR(__xludf.DUMMYFUNCTION("AVERAGE(ARRAYFORMULA(XLOOKUP(FILTER(INDIRECT(""'""&amp;CS$1&amp;""'!$C$4:$C$66""),INDIRECT(""'""&amp;CS$1&amp;""'!$D$4:$D$66"")=CS$2),$G$3:$BQ$3,$G219:$BQ219)))"),0.2745812099999999)</f>
        <v>0.27458121</v>
      </c>
      <c r="CT219" s="207" t="str">
        <f>IFERROR(__xludf.DUMMYFUNCTION("IF(OR(CS219&gt;$BS219+$BT219*$BT$2,CS219&lt;$BS219-$BT219*$BT$2),AVEDEV(ARRAYFORMULA(XLOOKUP(FILTER(INDIRECT(""'""&amp;CS$1&amp;""'!$C$4:$C$66""),INDIRECT(""'""&amp;CS$1&amp;""'!$D$4:$D$66"")=CS$2),$G$3:$BQ$3,$G219:$BQ219))),"""")"),"")</f>
        <v/>
      </c>
      <c r="CU219" s="251">
        <f>IFERROR(__xludf.DUMMYFUNCTION("AVERAGE(ARRAYFORMULA(XLOOKUP(FILTER(INDIRECT(""'""&amp;CU$1&amp;""'!$C$4:$C$66""),INDIRECT(""'""&amp;CU$1&amp;""'!$D$4:$D$66"")=CU$2),$G$3:$BQ$3,$G219:$BQ219)))"),-0.05234058545454545)</f>
        <v>-0.05234058545</v>
      </c>
      <c r="CV219" s="207" t="str">
        <f>IFERROR(__xludf.DUMMYFUNCTION("IF(OR(CU219&gt;$BS219+$BT219*$BT$2,CU219&lt;$BS219-$BT219*$BT$2),AVEDEV(ARRAYFORMULA(XLOOKUP(FILTER(INDIRECT(""'""&amp;CU$1&amp;""'!$C$4:$C$66""),INDIRECT(""'""&amp;CU$1&amp;""'!$D$4:$D$66"")=CU$2),$G$3:$BQ$3,$G219:$BQ219))),"""")"),"")</f>
        <v/>
      </c>
      <c r="CW219" s="251">
        <f>IFERROR(__xludf.DUMMYFUNCTION("AVERAGE(ARRAYFORMULA(XLOOKUP(FILTER(INDIRECT(""'""&amp;CW$1&amp;""'!$C$4:$C$66""),INDIRECT(""'""&amp;CW$1&amp;""'!$D$4:$D$66"")=CW$2),$G$3:$BQ$3,$G219:$BQ219)))"),-0.25619085)</f>
        <v>-0.25619085</v>
      </c>
      <c r="CX219" s="207" t="str">
        <f>IFERROR(__xludf.DUMMYFUNCTION("IF(OR(CW219&gt;$BS219+$BT219*$BT$2,CW219&lt;$BS219-$BT219*$BT$2),AVEDEV(ARRAYFORMULA(XLOOKUP(FILTER(INDIRECT(""'""&amp;CW$1&amp;""'!$C$4:$C$66""),INDIRECT(""'""&amp;CW$1&amp;""'!$D$4:$D$66"")=CW$2),$G$3:$BQ$3,$G219:$BQ219))),"""")"),"")</f>
        <v/>
      </c>
      <c r="CY219" s="251">
        <f>IFERROR(__xludf.DUMMYFUNCTION("AVERAGE(ARRAYFORMULA(XLOOKUP(FILTER(INDIRECT(""'""&amp;CY$1&amp;""'!$C$4:$C$66""),INDIRECT(""'""&amp;CY$1&amp;""'!$D$4:$D$66"")=CY$2),$G$3:$BQ$3,$G219:$BQ219)))"),0.15206534428571428)</f>
        <v>0.1520653443</v>
      </c>
      <c r="CZ219" s="207" t="str">
        <f>IFERROR(__xludf.DUMMYFUNCTION("IF(OR(CY219&gt;$BS219+$BT219*$BT$2,CY219&lt;$BS219-$BT219*$BT$2),AVEDEV(ARRAYFORMULA(XLOOKUP(FILTER(INDIRECT(""'""&amp;CY$1&amp;""'!$C$4:$C$66""),INDIRECT(""'""&amp;CY$1&amp;""'!$D$4:$D$66"")=CY$2),$G$3:$BQ$3,$G219:$BQ219))),"""")"),"")</f>
        <v/>
      </c>
      <c r="DA219" s="252"/>
      <c r="DB219" s="251">
        <f>IFERROR(__xludf.DUMMYFUNCTION("AVERAGE(ARRAYFORMULA(XLOOKUP(FILTER(INDIRECT(""'""&amp;DB$1&amp;""'!$C$4:$C$66""),INDIRECT(""'""&amp;DB$1&amp;""'!$D$4:$D$66"")=DB$2),$G$3:$BQ$3,$G219:$BQ219)))"),0.26443312066666663)</f>
        <v>0.2644331207</v>
      </c>
      <c r="DC219" s="207" t="str">
        <f>IFERROR(__xludf.DUMMYFUNCTION("IF(OR(DB219&gt;$BS219+$BT219*$BT$2,DB219&lt;$BS219-$BT219*$BT$2),AVEDEV(ARRAYFORMULA(XLOOKUP(FILTER(INDIRECT(""'""&amp;DB$1&amp;""'!$C$4:$C$66""),INDIRECT(""'""&amp;DB$1&amp;""'!$D$4:$D$66"")=DB$2),$G$3:$BQ$3,$G219:$BQ219))),"""")"),"")</f>
        <v/>
      </c>
      <c r="DD219" s="251">
        <f>IFERROR(__xludf.DUMMYFUNCTION("AVERAGE(ARRAYFORMULA(XLOOKUP(FILTER(INDIRECT(""'""&amp;DD$1&amp;""'!$C$4:$C$66""),INDIRECT(""'""&amp;DD$1&amp;""'!$D$4:$D$66"")=DD$2),$G$3:$BQ$3,$G219:$BQ219)))"),0.3058185655555555)</f>
        <v>0.3058185656</v>
      </c>
      <c r="DE219" s="207" t="str">
        <f>IFERROR(__xludf.DUMMYFUNCTION("IF(OR(DD219&gt;$BS219+$BT219*$BT$2,DD219&lt;$BS219-$BT219*$BT$2),AVEDEV(ARRAYFORMULA(XLOOKUP(FILTER(INDIRECT(""'""&amp;DD$1&amp;""'!$C$4:$C$66""),INDIRECT(""'""&amp;DD$1&amp;""'!$D$4:$D$66"")=DD$2),$G$3:$BQ$3,$G219:$BQ219))),"""")"),"")</f>
        <v/>
      </c>
      <c r="DF219" s="251">
        <f>IFERROR(__xludf.DUMMYFUNCTION("AVERAGE(ARRAYFORMULA(XLOOKUP(FILTER(INDIRECT(""'""&amp;DF$1&amp;""'!$C$4:$C$66""),INDIRECT(""'""&amp;DF$1&amp;""'!$D$4:$D$66"")=DF$2),$G$3:$BQ$3,$G219:$BQ219)))"),0.5927713037499999)</f>
        <v>0.5927713038</v>
      </c>
      <c r="DG219" s="207" t="str">
        <f>IFERROR(__xludf.DUMMYFUNCTION("IF(OR(DF219&gt;$BS219+$BT219*$BT$2,DF219&lt;$BS219-$BT219*$BT$2),AVEDEV(ARRAYFORMULA(XLOOKUP(FILTER(INDIRECT(""'""&amp;DF$1&amp;""'!$C$4:$C$66""),INDIRECT(""'""&amp;DF$1&amp;""'!$D$4:$D$66"")=DF$2),$G$3:$BQ$3,$G219:$BQ219))),"""")"),"")</f>
        <v/>
      </c>
      <c r="DH219" s="251">
        <f>IFERROR(__xludf.DUMMYFUNCTION("AVERAGE(ARRAYFORMULA(XLOOKUP(FILTER(INDIRECT(""'""&amp;DH$1&amp;""'!$C$4:$C$66""),INDIRECT(""'""&amp;DH$1&amp;""'!$D$4:$D$66"")=DH$2),$G$3:$BQ$3,$G219:$BQ219)))"),-0.33094603333333333)</f>
        <v>-0.3309460333</v>
      </c>
      <c r="DI219" s="207" t="str">
        <f>IFERROR(__xludf.DUMMYFUNCTION("IF(OR(DH219&gt;$BS219+$BT219*$BT$2,DH219&lt;$BS219-$BT219*$BT$2),AVEDEV(ARRAYFORMULA(XLOOKUP(FILTER(INDIRECT(""'""&amp;DH$1&amp;""'!$C$4:$C$66""),INDIRECT(""'""&amp;DH$1&amp;""'!$D$4:$D$66"")=DH$2),$G$3:$BQ$3,$G219:$BQ219))),"""")"),"")</f>
        <v/>
      </c>
      <c r="DJ219" s="243"/>
    </row>
    <row r="220">
      <c r="A220" s="2"/>
      <c r="B220" s="204">
        <v>216.0</v>
      </c>
      <c r="C220" s="204" t="s">
        <v>646</v>
      </c>
      <c r="D220" s="204" t="s">
        <v>665</v>
      </c>
      <c r="E220" s="205" t="b">
        <f>VLOOKUP(D220,'Feature Set List'!A217:C246,2,0)</f>
        <v>1</v>
      </c>
      <c r="F220" s="205" t="b">
        <f>VLOOKUP(D220,'Feature Set List'!A217:C246,3,0)</f>
        <v>1</v>
      </c>
      <c r="G220" s="205">
        <v>-0.8553494</v>
      </c>
      <c r="H220" s="205">
        <v>0.11077264</v>
      </c>
      <c r="I220" s="205">
        <v>-0.164682</v>
      </c>
      <c r="J220" s="205">
        <v>0.27637773</v>
      </c>
      <c r="K220" s="205">
        <v>0.3505954</v>
      </c>
      <c r="L220" s="205">
        <v>0.09009508</v>
      </c>
      <c r="M220" s="205">
        <v>-0.7043294</v>
      </c>
      <c r="N220" s="205">
        <v>1.9307671</v>
      </c>
      <c r="O220" s="205">
        <v>-0.0238161</v>
      </c>
      <c r="P220" s="205">
        <v>-0.4669067</v>
      </c>
      <c r="Q220" s="205">
        <v>0.31274808</v>
      </c>
      <c r="R220" s="205">
        <v>-0.2041909</v>
      </c>
      <c r="S220" s="205">
        <v>0.52580079</v>
      </c>
      <c r="T220" s="205">
        <v>-0.4417982</v>
      </c>
      <c r="U220" s="205">
        <v>3.2655774</v>
      </c>
      <c r="V220" s="205">
        <v>1.7406074</v>
      </c>
      <c r="W220" s="205">
        <v>-0.5462937</v>
      </c>
      <c r="X220" s="205">
        <v>4.65946645</v>
      </c>
      <c r="Y220" s="205">
        <v>-0.3816117</v>
      </c>
      <c r="Z220" s="205">
        <v>2.61386504</v>
      </c>
      <c r="AA220" s="205">
        <v>0.91350503</v>
      </c>
      <c r="AB220" s="205">
        <v>0.39711991</v>
      </c>
      <c r="AC220" s="205">
        <v>-0.3376719</v>
      </c>
      <c r="AD220" s="205">
        <v>0.1691129</v>
      </c>
      <c r="AE220" s="205">
        <v>2.37755008</v>
      </c>
      <c r="AF220" s="205">
        <v>-0.404874</v>
      </c>
      <c r="AG220" s="205">
        <v>0.99104588</v>
      </c>
      <c r="AH220" s="205">
        <v>0.20917567</v>
      </c>
      <c r="AI220" s="205">
        <v>-0.4502908</v>
      </c>
      <c r="AJ220" s="205">
        <v>-1.2071633</v>
      </c>
      <c r="AK220" s="205">
        <v>-0.0612942</v>
      </c>
      <c r="AL220" s="205">
        <v>-0.0976645</v>
      </c>
      <c r="AM220" s="205">
        <v>-0.7962707</v>
      </c>
      <c r="AN220" s="205">
        <v>-0.2677005</v>
      </c>
      <c r="AO220" s="205">
        <v>2.47724545</v>
      </c>
      <c r="AP220" s="205">
        <v>-0.2893012</v>
      </c>
      <c r="AQ220" s="205">
        <v>0.4469676</v>
      </c>
      <c r="AR220" s="205">
        <v>2.45509093</v>
      </c>
      <c r="AS220" s="205">
        <v>-0.3081326</v>
      </c>
      <c r="AT220" s="205">
        <v>0.78427029</v>
      </c>
      <c r="AU220" s="205">
        <v>0.0</v>
      </c>
      <c r="AV220" s="205">
        <v>-0.2677005</v>
      </c>
      <c r="AW220" s="205">
        <v>0.33785655</v>
      </c>
      <c r="AX220" s="205">
        <v>1.10551094</v>
      </c>
      <c r="AY220" s="205">
        <v>3.27480846</v>
      </c>
      <c r="AZ220" s="205">
        <v>-0.07551</v>
      </c>
      <c r="BA220" s="205">
        <v>-0.4916459</v>
      </c>
      <c r="BB220" s="205">
        <v>4.40099695</v>
      </c>
      <c r="BC220" s="205">
        <v>-0.0775408</v>
      </c>
      <c r="BD220" s="205">
        <v>-0.3609342</v>
      </c>
      <c r="BE220" s="205">
        <v>1.14981999</v>
      </c>
      <c r="BF220" s="205">
        <v>0.39601218</v>
      </c>
      <c r="BG220" s="205">
        <v>-0.6186652</v>
      </c>
      <c r="BH220" s="205">
        <v>0.05040155</v>
      </c>
      <c r="BI220" s="205">
        <v>-0.2708391</v>
      </c>
      <c r="BJ220" s="205">
        <v>-0.264562</v>
      </c>
      <c r="BK220" s="205">
        <v>-0.1746515</v>
      </c>
      <c r="BL220" s="205">
        <v>2.07661774</v>
      </c>
      <c r="BM220" s="205">
        <v>0.59411059</v>
      </c>
      <c r="BN220" s="205">
        <v>-0.7111603</v>
      </c>
      <c r="BO220" s="205">
        <v>-0.3134866</v>
      </c>
      <c r="BP220" s="205">
        <v>-0.252377</v>
      </c>
      <c r="BQ220" s="205">
        <v>0.12997323</v>
      </c>
      <c r="BR220" s="206"/>
      <c r="BS220" s="250">
        <f t="shared" si="1"/>
        <v>0.4559595259</v>
      </c>
      <c r="BT220" s="250">
        <f t="shared" si="2"/>
        <v>0.9247423824</v>
      </c>
      <c r="BU220" s="206"/>
      <c r="BV220" s="207">
        <f>IFERROR(__xludf.DUMMYFUNCTION("AVERAGE(ARRAYFORMULA(XLOOKUP(FILTER(INDIRECT(""'""&amp;BV$1&amp;""'!$C$4:$C$66""),INDIRECT(""'""&amp;BV$1&amp;""'!$D$4:$D$66"")=BV$2),$G$3:$BQ$3,$G220:$BQ220)))"),3.043504634285714)</f>
        <v>3.043504634</v>
      </c>
      <c r="BW220" s="207">
        <f>IFERROR(__xludf.DUMMYFUNCTION("IF(OR(BV220&gt;$BS220+$BT220*$BT$2,BV220&lt;$BS220-$BT220*$BT$2),AVEDEV(ARRAYFORMULA(XLOOKUP(FILTER(INDIRECT(""'""&amp;BV$1&amp;""'!$C$4:$C$66""),INDIRECT(""'""&amp;BV$1&amp;""'!$D$4:$D$66"")=BV$2),$G$3:$BQ$3,$G220:$BQ220))),"""")"),0.979094492244898)</f>
        <v>0.9790944922</v>
      </c>
      <c r="BX220" s="207">
        <f>IFERROR(__xludf.DUMMYFUNCTION("AVERAGE(ARRAYFORMULA(XLOOKUP(FILTER(INDIRECT(""'""&amp;BX$1&amp;""'!$C$4:$C$66""),INDIRECT(""'""&amp;BX$1&amp;""'!$D$4:$D$66"")=BX$2),$G$3:$BQ$3,$G220:$BQ220)))"),0.2769201719047619)</f>
        <v>0.2769201719</v>
      </c>
      <c r="BY220" s="207" t="str">
        <f>IFERROR(__xludf.DUMMYFUNCTION("IF(OR(BX220&gt;$BS220+$BT220*$BT$2,BX220&lt;$BS220-$BT220*$BT$2),AVEDEV(ARRAYFORMULA(XLOOKUP(FILTER(INDIRECT(""'""&amp;BX$1&amp;""'!$C$4:$C$66""),INDIRECT(""'""&amp;BX$1&amp;""'!$D$4:$D$66"")=BX$2),$G$3:$BQ$3,$G220:$BQ220))),"""")"),"")</f>
        <v/>
      </c>
      <c r="BZ220" s="207">
        <f>IFERROR(__xludf.DUMMYFUNCTION("AVERAGE(ARRAYFORMULA(XLOOKUP(FILTER(INDIRECT(""'""&amp;BZ$1&amp;""'!$C$4:$C$66""),INDIRECT(""'""&amp;BZ$1&amp;""'!$D$4:$D$66"")=BZ$2),$G$3:$BQ$3,$G220:$BQ220)))"),-0.33491939363636364)</f>
        <v>-0.3349193936</v>
      </c>
      <c r="CA220" s="207" t="str">
        <f>IFERROR(__xludf.DUMMYFUNCTION("IF(OR(BZ220&gt;$BS220+$BT220*$BT$2,BZ220&lt;$BS220-$BT220*$BT$2),AVEDEV(ARRAYFORMULA(XLOOKUP(FILTER(INDIRECT(""'""&amp;BZ$1&amp;""'!$C$4:$C$66""),INDIRECT(""'""&amp;BZ$1&amp;""'!$D$4:$D$66"")=BZ$2),$G$3:$BQ$3,$G220:$BQ220))),"""")"),"")</f>
        <v/>
      </c>
      <c r="CB220" s="209"/>
      <c r="CC220" s="207">
        <f>IFERROR(__xludf.DUMMYFUNCTION("AVERAGE(ARRAYFORMULA(XLOOKUP(FILTER(INDIRECT(""'""&amp;CC$1&amp;""'!$C$4:$C$66""),INDIRECT(""'""&amp;CC$1&amp;""'!$D$4:$D$66"")=CC$2),$G$3:$BQ$3,$G220:$BQ220)))"),1.0380319375)</f>
        <v>1.038031938</v>
      </c>
      <c r="CD220" s="207" t="str">
        <f>IFERROR(__xludf.DUMMYFUNCTION("IF(OR(CC220&gt;$BS220+$BT220*$BT$2,CC220&lt;$BS220-$BT220*$BT$2),AVEDEV(ARRAYFORMULA(XLOOKUP(FILTER(INDIRECT(""'""&amp;CC$1&amp;""'!$C$4:$C$66""),INDIRECT(""'""&amp;CC$1&amp;""'!$D$4:$D$66"")=CC$2),$G$3:$BQ$3,$G220:$BQ220))),"""")"),"")</f>
        <v/>
      </c>
      <c r="CE220" s="207">
        <f>IFERROR(__xludf.DUMMYFUNCTION("AVERAGE(ARRAYFORMULA(XLOOKUP(FILTER(INDIRECT(""'""&amp;CE$1&amp;""'!$C$4:$C$66""),INDIRECT(""'""&amp;CE$1&amp;""'!$D$4:$D$66"")=CE$2),$G$3:$BQ$3,$G220:$BQ220)))"),0.0893708977419355)</f>
        <v>0.08937089774</v>
      </c>
      <c r="CF220" s="207" t="str">
        <f>IFERROR(__xludf.DUMMYFUNCTION("IF(OR(CE220&gt;$BS220+$BT220*$BT$2,CE220&lt;$BS220-$BT220*$BT$2),AVEDEV(ARRAYFORMULA(XLOOKUP(FILTER(INDIRECT(""'""&amp;CE$1&amp;""'!$C$4:$C$66""),INDIRECT(""'""&amp;CE$1&amp;""'!$D$4:$D$66"")=CE$2),$G$3:$BQ$3,$G220:$BQ220))),"""")"),"")</f>
        <v/>
      </c>
      <c r="CG220" s="207">
        <f>IFERROR(__xludf.DUMMYFUNCTION("AVERAGE(ARRAYFORMULA(XLOOKUP(FILTER(INDIRECT(""'""&amp;CG$1&amp;""'!$C$4:$C$66""),INDIRECT(""'""&amp;CG$1&amp;""'!$D$4:$D$66"")=CG$2),$G$3:$BQ$3,$G220:$BQ220)))"),-0.46542972000000005)</f>
        <v>-0.46542972</v>
      </c>
      <c r="CH220" s="207" t="str">
        <f>IFERROR(__xludf.DUMMYFUNCTION("IF(OR(CG220&gt;$BS220+$BT220*$BT$2,CG220&lt;$BS220-$BT220*$BT$2),AVEDEV(ARRAYFORMULA(XLOOKUP(FILTER(INDIRECT(""'""&amp;CG$1&amp;""'!$C$4:$C$66""),INDIRECT(""'""&amp;CG$1&amp;""'!$D$4:$D$66"")=CG$2),$G$3:$BQ$3,$G220:$BQ220))),"""")"),"")</f>
        <v/>
      </c>
      <c r="CI220" s="206"/>
      <c r="CJ220" s="251">
        <f>IFERROR(__xludf.DUMMYFUNCTION("AVERAGE(ARRAYFORMULA(XLOOKUP(FILTER(INDIRECT(""'""&amp;CJ$1&amp;""'!$C$4:$C$66""),INDIRECT(""'""&amp;CJ$1&amp;""'!$D$4:$D$66"")=CJ$2),$G$3:$BQ$3,$G220:$BQ220)))"),1.2529493239999998)</f>
        <v>1.252949324</v>
      </c>
      <c r="CK220" s="207" t="str">
        <f>IFERROR(__xludf.DUMMYFUNCTION("IF(OR(CJ220&gt;$BS220+$BT220*$BT$2,CJ220&lt;$BS220-$BT220*$BT$2),AVEDEV(ARRAYFORMULA(XLOOKUP(FILTER(INDIRECT(""'""&amp;CJ$1&amp;""'!$C$4:$C$66""),INDIRECT(""'""&amp;CJ$1&amp;""'!$D$4:$D$66"")=CJ$2),$G$3:$BQ$3,$G220:$BQ220))),"""")"),"")</f>
        <v/>
      </c>
      <c r="CL220" s="251">
        <f>IFERROR(__xludf.DUMMYFUNCTION("AVERAGE(ARRAYFORMULA(XLOOKUP(FILTER(INDIRECT(""'""&amp;CL$1&amp;""'!$C$4:$C$66""),INDIRECT(""'""&amp;CL$1&amp;""'!$D$4:$D$66"")=CL$2),$G$3:$BQ$3,$G220:$BQ220)))"),0.27454762384615383)</f>
        <v>0.2745476238</v>
      </c>
      <c r="CM220" s="207" t="str">
        <f>IFERROR(__xludf.DUMMYFUNCTION("IF(OR(CL220&gt;$BS220+$BT220*$BT$2,CL220&lt;$BS220-$BT220*$BT$2),AVEDEV(ARRAYFORMULA(XLOOKUP(FILTER(INDIRECT(""'""&amp;CL$1&amp;""'!$C$4:$C$66""),INDIRECT(""'""&amp;CL$1&amp;""'!$D$4:$D$66"")=CL$2),$G$3:$BQ$3,$G220:$BQ220))),"""")"),"")</f>
        <v/>
      </c>
      <c r="CN220" s="251">
        <f>IFERROR(__xludf.DUMMYFUNCTION("AVERAGE(ARRAYFORMULA(XLOOKUP(FILTER(INDIRECT(""'""&amp;CN$1&amp;""'!$C$4:$C$66""),INDIRECT(""'""&amp;CN$1&amp;""'!$D$4:$D$66"")=CN$2),$G$3:$BQ$3,$G220:$BQ220)))"),-0.46542972000000005)</f>
        <v>-0.46542972</v>
      </c>
      <c r="CO220" s="207" t="str">
        <f>IFERROR(__xludf.DUMMYFUNCTION("IF(OR(CN220&gt;$BS220+$BT220*$BT$2,CN220&lt;$BS220-$BT220*$BT$2),AVEDEV(ARRAYFORMULA(XLOOKUP(FILTER(INDIRECT(""'""&amp;CN$1&amp;""'!$C$4:$C$66""),INDIRECT(""'""&amp;CN$1&amp;""'!$D$4:$D$66"")=CN$2),$G$3:$BQ$3,$G220:$BQ220))),"""")"),"")</f>
        <v/>
      </c>
      <c r="CP220" s="252"/>
      <c r="CQ220" s="251">
        <f>IFERROR(__xludf.DUMMYFUNCTION("AVERAGE(ARRAYFORMULA(XLOOKUP(FILTER(INDIRECT(""'""&amp;CQ$1&amp;""'!$C$4:$C$66""),INDIRECT(""'""&amp;CQ$1&amp;""'!$D$4:$D$66"")=CQ$2),$G$3:$BQ$3,$G220:$BQ220)))"),0.5381967828571429)</f>
        <v>0.5381967829</v>
      </c>
      <c r="CR220" s="207" t="str">
        <f>IFERROR(__xludf.DUMMYFUNCTION("IF(OR(CQ220&gt;$BS220+$BT220*$BT$2,CQ220&lt;$BS220-$BT220*$BT$2),AVEDEV(ARRAYFORMULA(XLOOKUP(FILTER(INDIRECT(""'""&amp;CQ$1&amp;""'!$C$4:$C$66""),INDIRECT(""'""&amp;CQ$1&amp;""'!$D$4:$D$66"")=CQ$2),$G$3:$BQ$3,$G220:$BQ220))),"""")"),"")</f>
        <v/>
      </c>
      <c r="CS220" s="251">
        <f>IFERROR(__xludf.DUMMYFUNCTION("AVERAGE(ARRAYFORMULA(XLOOKUP(FILTER(INDIRECT(""'""&amp;CS$1&amp;""'!$C$4:$C$66""),INDIRECT(""'""&amp;CS$1&amp;""'!$D$4:$D$66"")=CS$2),$G$3:$BQ$3,$G220:$BQ220)))"),-0.4669682133333333)</f>
        <v>-0.4669682133</v>
      </c>
      <c r="CT220" s="207" t="str">
        <f>IFERROR(__xludf.DUMMYFUNCTION("IF(OR(CS220&gt;$BS220+$BT220*$BT$2,CS220&lt;$BS220-$BT220*$BT$2),AVEDEV(ARRAYFORMULA(XLOOKUP(FILTER(INDIRECT(""'""&amp;CS$1&amp;""'!$C$4:$C$66""),INDIRECT(""'""&amp;CS$1&amp;""'!$D$4:$D$66"")=CS$2),$G$3:$BQ$3,$G220:$BQ220))),"""")"),"")</f>
        <v/>
      </c>
      <c r="CU220" s="251">
        <f>IFERROR(__xludf.DUMMYFUNCTION("AVERAGE(ARRAYFORMULA(XLOOKUP(FILTER(INDIRECT(""'""&amp;CU$1&amp;""'!$C$4:$C$66""),INDIRECT(""'""&amp;CU$1&amp;""'!$D$4:$D$66"")=CU$2),$G$3:$BQ$3,$G220:$BQ220)))"),0.03823334454545452)</f>
        <v>0.03823334455</v>
      </c>
      <c r="CV220" s="207" t="str">
        <f>IFERROR(__xludf.DUMMYFUNCTION("IF(OR(CU220&gt;$BS220+$BT220*$BT$2,CU220&lt;$BS220-$BT220*$BT$2),AVEDEV(ARRAYFORMULA(XLOOKUP(FILTER(INDIRECT(""'""&amp;CU$1&amp;""'!$C$4:$C$66""),INDIRECT(""'""&amp;CU$1&amp;""'!$D$4:$D$66"")=CU$2),$G$3:$BQ$3,$G220:$BQ220))),"""")"),"")</f>
        <v/>
      </c>
      <c r="CW220" s="251">
        <f>IFERROR(__xludf.DUMMYFUNCTION("AVERAGE(ARRAYFORMULA(XLOOKUP(FILTER(INDIRECT(""'""&amp;CW$1&amp;""'!$C$4:$C$66""),INDIRECT(""'""&amp;CW$1&amp;""'!$D$4:$D$66"")=CW$2),$G$3:$BQ$3,$G220:$BQ220)))"),0.10975722500000001)</f>
        <v>0.109757225</v>
      </c>
      <c r="CX220" s="207" t="str">
        <f>IFERROR(__xludf.DUMMYFUNCTION("IF(OR(CW220&gt;$BS220+$BT220*$BT$2,CW220&lt;$BS220-$BT220*$BT$2),AVEDEV(ARRAYFORMULA(XLOOKUP(FILTER(INDIRECT(""'""&amp;CW$1&amp;""'!$C$4:$C$66""),INDIRECT(""'""&amp;CW$1&amp;""'!$D$4:$D$66"")=CW$2),$G$3:$BQ$3,$G220:$BQ220))),"""")"),"")</f>
        <v/>
      </c>
      <c r="CY220" s="251">
        <f>IFERROR(__xludf.DUMMYFUNCTION("AVERAGE(ARRAYFORMULA(XLOOKUP(FILTER(INDIRECT(""'""&amp;CY$1&amp;""'!$C$4:$C$66""),INDIRECT(""'""&amp;CY$1&amp;""'!$D$4:$D$66"")=CY$2),$G$3:$BQ$3,$G220:$BQ220)))"),0.2384170157142857)</f>
        <v>0.2384170157</v>
      </c>
      <c r="CZ220" s="207" t="str">
        <f>IFERROR(__xludf.DUMMYFUNCTION("IF(OR(CY220&gt;$BS220+$BT220*$BT$2,CY220&lt;$BS220-$BT220*$BT$2),AVEDEV(ARRAYFORMULA(XLOOKUP(FILTER(INDIRECT(""'""&amp;CY$1&amp;""'!$C$4:$C$66""),INDIRECT(""'""&amp;CY$1&amp;""'!$D$4:$D$66"")=CY$2),$G$3:$BQ$3,$G220:$BQ220))),"""")"),"")</f>
        <v/>
      </c>
      <c r="DA220" s="252"/>
      <c r="DB220" s="251">
        <f>IFERROR(__xludf.DUMMYFUNCTION("AVERAGE(ARRAYFORMULA(XLOOKUP(FILTER(INDIRECT(""'""&amp;DB$1&amp;""'!$C$4:$C$66""),INDIRECT(""'""&amp;DB$1&amp;""'!$D$4:$D$66"")=DB$2),$G$3:$BQ$3,$G220:$BQ220)))"),0.5520539136666667)</f>
        <v>0.5520539137</v>
      </c>
      <c r="DC220" s="207" t="str">
        <f>IFERROR(__xludf.DUMMYFUNCTION("IF(OR(DB220&gt;$BS220+$BT220*$BT$2,DB220&lt;$BS220-$BT220*$BT$2),AVEDEV(ARRAYFORMULA(XLOOKUP(FILTER(INDIRECT(""'""&amp;DB$1&amp;""'!$C$4:$C$66""),INDIRECT(""'""&amp;DB$1&amp;""'!$D$4:$D$66"")=DB$2),$G$3:$BQ$3,$G220:$BQ220))),"""")"),"")</f>
        <v/>
      </c>
      <c r="DD220" s="251">
        <f>IFERROR(__xludf.DUMMYFUNCTION("AVERAGE(ARRAYFORMULA(XLOOKUP(FILTER(INDIRECT(""'""&amp;DD$1&amp;""'!$C$4:$C$66""),INDIRECT(""'""&amp;DD$1&amp;""'!$D$4:$D$66"")=DD$2),$G$3:$BQ$3,$G220:$BQ220)))"),-0.3433131255555556)</f>
        <v>-0.3433131256</v>
      </c>
      <c r="DE220" s="207" t="str">
        <f>IFERROR(__xludf.DUMMYFUNCTION("IF(OR(DD220&gt;$BS220+$BT220*$BT$2,DD220&lt;$BS220-$BT220*$BT$2),AVEDEV(ARRAYFORMULA(XLOOKUP(FILTER(INDIRECT(""'""&amp;DD$1&amp;""'!$C$4:$C$66""),INDIRECT(""'""&amp;DD$1&amp;""'!$D$4:$D$66"")=DD$2),$G$3:$BQ$3,$G220:$BQ220))),"""")"),"")</f>
        <v/>
      </c>
      <c r="DF220" s="251">
        <f>IFERROR(__xludf.DUMMYFUNCTION("AVERAGE(ARRAYFORMULA(XLOOKUP(FILTER(INDIRECT(""'""&amp;DF$1&amp;""'!$C$4:$C$66""),INDIRECT(""'""&amp;DF$1&amp;""'!$D$4:$D$66"")=DF$2),$G$3:$BQ$3,$G220:$BQ220)))"),0.8086264224999999)</f>
        <v>0.8086264225</v>
      </c>
      <c r="DG220" s="207" t="str">
        <f>IFERROR(__xludf.DUMMYFUNCTION("IF(OR(DF220&gt;$BS220+$BT220*$BT$2,DF220&lt;$BS220-$BT220*$BT$2),AVEDEV(ARRAYFORMULA(XLOOKUP(FILTER(INDIRECT(""'""&amp;DF$1&amp;""'!$C$4:$C$66""),INDIRECT(""'""&amp;DF$1&amp;""'!$D$4:$D$66"")=DF$2),$G$3:$BQ$3,$G220:$BQ220))),"""")"),"")</f>
        <v/>
      </c>
      <c r="DH220" s="251">
        <f>IFERROR(__xludf.DUMMYFUNCTION("AVERAGE(ARRAYFORMULA(XLOOKUP(FILTER(INDIRECT(""'""&amp;DH$1&amp;""'!$C$4:$C$66""),INDIRECT(""'""&amp;DH$1&amp;""'!$D$4:$D$66"")=DH$2),$G$3:$BQ$3,$G220:$BQ220)))"),-0.26201832222222227)</f>
        <v>-0.2620183222</v>
      </c>
      <c r="DI220" s="207" t="str">
        <f>IFERROR(__xludf.DUMMYFUNCTION("IF(OR(DH220&gt;$BS220+$BT220*$BT$2,DH220&lt;$BS220-$BT220*$BT$2),AVEDEV(ARRAYFORMULA(XLOOKUP(FILTER(INDIRECT(""'""&amp;DH$1&amp;""'!$C$4:$C$66""),INDIRECT(""'""&amp;DH$1&amp;""'!$D$4:$D$66"")=DH$2),$G$3:$BQ$3,$G220:$BQ220))),"""")"),"")</f>
        <v/>
      </c>
      <c r="DJ220" s="243"/>
    </row>
    <row r="221">
      <c r="A221" s="2"/>
      <c r="B221" s="204">
        <v>217.0</v>
      </c>
      <c r="C221" s="204" t="s">
        <v>646</v>
      </c>
      <c r="D221" s="204" t="s">
        <v>666</v>
      </c>
      <c r="E221" s="205" t="b">
        <f>VLOOKUP(D221,'Feature Set List'!A218:C246,2,0)</f>
        <v>1</v>
      </c>
      <c r="F221" s="205" t="b">
        <f>VLOOKUP(D221,'Feature Set List'!A218:C246,3,0)</f>
        <v>1</v>
      </c>
      <c r="G221" s="205">
        <v>-0.005403</v>
      </c>
      <c r="H221" s="205">
        <v>-0.3214768</v>
      </c>
      <c r="I221" s="205">
        <v>0.0</v>
      </c>
      <c r="J221" s="205">
        <v>-0.0198109</v>
      </c>
      <c r="K221" s="205">
        <v>-0.6888789</v>
      </c>
      <c r="L221" s="205">
        <v>0.64655561</v>
      </c>
      <c r="M221" s="205">
        <v>0.55650608</v>
      </c>
      <c r="N221" s="205">
        <v>-1.0715894</v>
      </c>
      <c r="O221" s="205">
        <v>0.1143629</v>
      </c>
      <c r="P221" s="205">
        <v>0.12426835</v>
      </c>
      <c r="Q221" s="205">
        <v>-0.7447096</v>
      </c>
      <c r="R221" s="205">
        <v>0.10895993</v>
      </c>
      <c r="S221" s="205">
        <v>0.04142278</v>
      </c>
      <c r="T221" s="205">
        <v>0.09365151</v>
      </c>
      <c r="U221" s="205">
        <v>-0.2899595</v>
      </c>
      <c r="V221" s="205">
        <v>-0.099955</v>
      </c>
      <c r="W221" s="205">
        <v>0.81224674</v>
      </c>
      <c r="X221" s="205">
        <v>-1.3228276</v>
      </c>
      <c r="Y221" s="205">
        <v>0.35029266</v>
      </c>
      <c r="Z221" s="205">
        <v>-1.32733</v>
      </c>
      <c r="AA221" s="205">
        <v>-0.849167</v>
      </c>
      <c r="AB221" s="205">
        <v>0.28905898</v>
      </c>
      <c r="AC221" s="205">
        <v>0.83565961</v>
      </c>
      <c r="AD221" s="205">
        <v>-0.5898244</v>
      </c>
      <c r="AE221" s="205">
        <v>-0.9383161</v>
      </c>
      <c r="AF221" s="205">
        <v>0.16028816</v>
      </c>
      <c r="AG221" s="205">
        <v>-0.3493922</v>
      </c>
      <c r="AH221" s="205">
        <v>0.54479964</v>
      </c>
      <c r="AI221" s="205">
        <v>0.29085997</v>
      </c>
      <c r="AJ221" s="205">
        <v>4.0189104</v>
      </c>
      <c r="AK221" s="205">
        <v>0.53939667</v>
      </c>
      <c r="AL221" s="205">
        <v>0.46105358</v>
      </c>
      <c r="AM221" s="205">
        <v>-0.5366952</v>
      </c>
      <c r="AN221" s="205">
        <v>0.95722647</v>
      </c>
      <c r="AO221" s="205">
        <v>-0.9797389</v>
      </c>
      <c r="AP221" s="205">
        <v>-0.0603332</v>
      </c>
      <c r="AQ221" s="205">
        <v>-1.2850068</v>
      </c>
      <c r="AR221" s="205">
        <v>1.10220621</v>
      </c>
      <c r="AS221" s="205">
        <v>-0.003602</v>
      </c>
      <c r="AT221" s="205">
        <v>0.68437641</v>
      </c>
      <c r="AU221" s="205">
        <v>-0.5718145</v>
      </c>
      <c r="AV221" s="205">
        <v>0.41242683</v>
      </c>
      <c r="AW221" s="205">
        <v>-0.7492121</v>
      </c>
      <c r="AX221" s="205">
        <v>-0.376407</v>
      </c>
      <c r="AY221" s="205">
        <v>-0.4538496</v>
      </c>
      <c r="AZ221" s="205">
        <v>-0.8014408</v>
      </c>
      <c r="BA221" s="205">
        <v>0.52588924</v>
      </c>
      <c r="BB221" s="205">
        <v>-1.4146781</v>
      </c>
      <c r="BC221" s="205">
        <v>0.56100855</v>
      </c>
      <c r="BD221" s="205">
        <v>0.21071589</v>
      </c>
      <c r="BE221" s="205">
        <v>-1.134624</v>
      </c>
      <c r="BF221" s="205">
        <v>-0.0432238</v>
      </c>
      <c r="BG221" s="205">
        <v>0.75461504</v>
      </c>
      <c r="BH221" s="205">
        <v>-0.3953174</v>
      </c>
      <c r="BI221" s="205">
        <v>0.47996398</v>
      </c>
      <c r="BJ221" s="205">
        <v>0.18550203</v>
      </c>
      <c r="BK221" s="205">
        <v>0.28185502</v>
      </c>
      <c r="BL221" s="205">
        <v>-0.0423233</v>
      </c>
      <c r="BM221" s="205">
        <v>-0.009005</v>
      </c>
      <c r="BN221" s="205">
        <v>-0.5511031</v>
      </c>
      <c r="BO221" s="205">
        <v>0.19540747</v>
      </c>
      <c r="BP221" s="205">
        <v>0.81314723</v>
      </c>
      <c r="BQ221" s="205">
        <v>0.45114813</v>
      </c>
      <c r="BR221" s="206"/>
      <c r="BS221" s="250">
        <f t="shared" si="1"/>
        <v>-0.00671798619</v>
      </c>
      <c r="BT221" s="250">
        <f t="shared" si="2"/>
        <v>0.5658155111</v>
      </c>
      <c r="BU221" s="206"/>
      <c r="BV221" s="207">
        <f>IFERROR(__xludf.DUMMYFUNCTION("AVERAGE(ARRAYFORMULA(XLOOKUP(FILTER(INDIRECT(""'""&amp;BV$1&amp;""'!$C$4:$C$66""),INDIRECT(""'""&amp;BV$1&amp;""'!$D$4:$D$66"")=BV$2),$G$3:$BQ$3,$G221:$BQ221)))"),-0.8054287142857143)</f>
        <v>-0.8054287143</v>
      </c>
      <c r="BW221" s="207">
        <f>IFERROR(__xludf.DUMMYFUNCTION("IF(OR(BV221&gt;$BS221+$BT221*$BT$2,BV221&lt;$BS221-$BT221*$BT$2),AVEDEV(ARRAYFORMULA(XLOOKUP(FILTER(INDIRECT(""'""&amp;BV$1&amp;""'!$C$4:$C$66""),INDIRECT(""'""&amp;BV$1&amp;""'!$D$4:$D$66"")=BV$2),$G$3:$BQ$3,$G221:$BQ221))),"""")"),0.46575821224489805)</f>
        <v>0.4657582122</v>
      </c>
      <c r="BX221" s="207">
        <f>IFERROR(__xludf.DUMMYFUNCTION("AVERAGE(ARRAYFORMULA(XLOOKUP(FILTER(INDIRECT(""'""&amp;BX$1&amp;""'!$C$4:$C$66""),INDIRECT(""'""&amp;BX$1&amp;""'!$D$4:$D$66"")=BX$2),$G$3:$BQ$3,$G221:$BQ221)))"),0.07433373642857143)</f>
        <v>0.07433373643</v>
      </c>
      <c r="BY221" s="207" t="str">
        <f>IFERROR(__xludf.DUMMYFUNCTION("IF(OR(BX221&gt;$BS221+$BT221*$BT$2,BX221&lt;$BS221-$BT221*$BT$2),AVEDEV(ARRAYFORMULA(XLOOKUP(FILTER(INDIRECT(""'""&amp;BX$1&amp;""'!$C$4:$C$66""),INDIRECT(""'""&amp;BX$1&amp;""'!$D$4:$D$66"")=BX$2),$G$3:$BQ$3,$G221:$BQ221))),"""")"),"")</f>
        <v/>
      </c>
      <c r="BZ221" s="207">
        <f>IFERROR(__xludf.DUMMYFUNCTION("AVERAGE(ARRAYFORMULA(XLOOKUP(FILTER(INDIRECT(""'""&amp;BZ$1&amp;""'!$C$4:$C$66""),INDIRECT(""'""&amp;BZ$1&amp;""'!$D$4:$D$66"")=BZ$2),$G$3:$BQ$3,$G221:$BQ221)))"),0.22307723181818184)</f>
        <v>0.2230772318</v>
      </c>
      <c r="CA221" s="207" t="str">
        <f>IFERROR(__xludf.DUMMYFUNCTION("IF(OR(BZ221&gt;$BS221+$BT221*$BT$2,BZ221&lt;$BS221-$BT221*$BT$2),AVEDEV(ARRAYFORMULA(XLOOKUP(FILTER(INDIRECT(""'""&amp;BZ$1&amp;""'!$C$4:$C$66""),INDIRECT(""'""&amp;BZ$1&amp;""'!$D$4:$D$66"")=BZ$2),$G$3:$BQ$3,$G221:$BQ221))),"""")"),"")</f>
        <v/>
      </c>
      <c r="CB221" s="209"/>
      <c r="CC221" s="207">
        <f>IFERROR(__xludf.DUMMYFUNCTION("AVERAGE(ARRAYFORMULA(XLOOKUP(FILTER(INDIRECT(""'""&amp;CC$1&amp;""'!$C$4:$C$66""),INDIRECT(""'""&amp;CC$1&amp;""'!$D$4:$D$66"")=CC$2),$G$3:$BQ$3,$G221:$BQ221)))"),-0.36357498437499997)</f>
        <v>-0.3635749844</v>
      </c>
      <c r="CD221" s="207" t="str">
        <f>IFERROR(__xludf.DUMMYFUNCTION("IF(OR(CC221&gt;$BS221+$BT221*$BT$2,CC221&lt;$BS221-$BT221*$BT$2),AVEDEV(ARRAYFORMULA(XLOOKUP(FILTER(INDIRECT(""'""&amp;CC$1&amp;""'!$C$4:$C$66""),INDIRECT(""'""&amp;CC$1&amp;""'!$D$4:$D$66"")=CC$2),$G$3:$BQ$3,$G221:$BQ221))),"""")"),"")</f>
        <v/>
      </c>
      <c r="CE221" s="207">
        <f>IFERROR(__xludf.DUMMYFUNCTION("AVERAGE(ARRAYFORMULA(XLOOKUP(FILTER(INDIRECT(""'""&amp;CE$1&amp;""'!$C$4:$C$66""),INDIRECT(""'""&amp;CE$1&amp;""'!$D$4:$D$66"")=CE$2),$G$3:$BQ$3,$G221:$BQ221)))"),0.1838172325806452)</f>
        <v>0.1838172326</v>
      </c>
      <c r="CF221" s="207" t="str">
        <f>IFERROR(__xludf.DUMMYFUNCTION("IF(OR(CE221&gt;$BS221+$BT221*$BT$2,CE221&lt;$BS221-$BT221*$BT$2),AVEDEV(ARRAYFORMULA(XLOOKUP(FILTER(INDIRECT(""'""&amp;CE$1&amp;""'!$C$4:$C$66""),INDIRECT(""'""&amp;CE$1&amp;""'!$D$4:$D$66"")=CE$2),$G$3:$BQ$3,$G221:$BQ221))),"""")"),"")</f>
        <v/>
      </c>
      <c r="CG221" s="207">
        <f>IFERROR(__xludf.DUMMYFUNCTION("AVERAGE(ARRAYFORMULA(XLOOKUP(FILTER(INDIRECT(""'""&amp;CG$1&amp;""'!$C$4:$C$66""),INDIRECT(""'""&amp;CG$1&amp;""'!$D$4:$D$66"")=CG$2),$G$3:$BQ$3,$G221:$BQ221)))"),0.298964428)</f>
        <v>0.298964428</v>
      </c>
      <c r="CH221" s="207" t="str">
        <f>IFERROR(__xludf.DUMMYFUNCTION("IF(OR(CG221&gt;$BS221+$BT221*$BT$2,CG221&lt;$BS221-$BT221*$BT$2),AVEDEV(ARRAYFORMULA(XLOOKUP(FILTER(INDIRECT(""'""&amp;CG$1&amp;""'!$C$4:$C$66""),INDIRECT(""'""&amp;CG$1&amp;""'!$D$4:$D$66"")=CG$2),$G$3:$BQ$3,$G221:$BQ221))),"""")"),"")</f>
        <v/>
      </c>
      <c r="CI221" s="206"/>
      <c r="CJ221" s="251">
        <f>IFERROR(__xludf.DUMMYFUNCTION("AVERAGE(ARRAYFORMULA(XLOOKUP(FILTER(INDIRECT(""'""&amp;CJ$1&amp;""'!$C$4:$C$66""),INDIRECT(""'""&amp;CJ$1&amp;""'!$D$4:$D$66"")=CJ$2),$G$3:$BQ$3,$G221:$BQ221)))"),-0.27573166200000004)</f>
        <v>-0.275731662</v>
      </c>
      <c r="CK221" s="207" t="str">
        <f>IFERROR(__xludf.DUMMYFUNCTION("IF(OR(CJ221&gt;$BS221+$BT221*$BT$2,CJ221&lt;$BS221-$BT221*$BT$2),AVEDEV(ARRAYFORMULA(XLOOKUP(FILTER(INDIRECT(""'""&amp;CJ$1&amp;""'!$C$4:$C$66""),INDIRECT(""'""&amp;CJ$1&amp;""'!$D$4:$D$66"")=CJ$2),$G$3:$BQ$3,$G221:$BQ221))),"""")"),"")</f>
        <v/>
      </c>
      <c r="CL221" s="251">
        <f>IFERROR(__xludf.DUMMYFUNCTION("AVERAGE(ARRAYFORMULA(XLOOKUP(FILTER(INDIRECT(""'""&amp;CL$1&amp;""'!$C$4:$C$66""),INDIRECT(""'""&amp;CL$1&amp;""'!$D$4:$D$66"")=CL$2),$G$3:$BQ$3,$G221:$BQ221)))"),0.06721388641025641)</f>
        <v>0.06721388641</v>
      </c>
      <c r="CM221" s="207" t="str">
        <f>IFERROR(__xludf.DUMMYFUNCTION("IF(OR(CL221&gt;$BS221+$BT221*$BT$2,CL221&lt;$BS221-$BT221*$BT$2),AVEDEV(ARRAYFORMULA(XLOOKUP(FILTER(INDIRECT(""'""&amp;CL$1&amp;""'!$C$4:$C$66""),INDIRECT(""'""&amp;CL$1&amp;""'!$D$4:$D$66"")=CL$2),$G$3:$BQ$3,$G221:$BQ221))),"""")"),"")</f>
        <v/>
      </c>
      <c r="CN221" s="251">
        <f>IFERROR(__xludf.DUMMYFUNCTION("AVERAGE(ARRAYFORMULA(XLOOKUP(FILTER(INDIRECT(""'""&amp;CN$1&amp;""'!$C$4:$C$66""),INDIRECT(""'""&amp;CN$1&amp;""'!$D$4:$D$66"")=CN$2),$G$3:$BQ$3,$G221:$BQ221)))"),0.298964428)</f>
        <v>0.298964428</v>
      </c>
      <c r="CO221" s="207" t="str">
        <f>IFERROR(__xludf.DUMMYFUNCTION("IF(OR(CN221&gt;$BS221+$BT221*$BT$2,CN221&lt;$BS221-$BT221*$BT$2),AVEDEV(ARRAYFORMULA(XLOOKUP(FILTER(INDIRECT(""'""&amp;CN$1&amp;""'!$C$4:$C$66""),INDIRECT(""'""&amp;CN$1&amp;""'!$D$4:$D$66"")=CN$2),$G$3:$BQ$3,$G221:$BQ221))),"""")"),"")</f>
        <v/>
      </c>
      <c r="CP221" s="252"/>
      <c r="CQ221" s="251">
        <f>IFERROR(__xludf.DUMMYFUNCTION("AVERAGE(ARRAYFORMULA(XLOOKUP(FILTER(INDIRECT(""'""&amp;CQ$1&amp;""'!$C$4:$C$66""),INDIRECT(""'""&amp;CQ$1&amp;""'!$D$4:$D$66"")=CQ$2),$G$3:$BQ$3,$G221:$BQ221)))"),-0.24036793285714284)</f>
        <v>-0.2403679329</v>
      </c>
      <c r="CR221" s="207" t="str">
        <f>IFERROR(__xludf.DUMMYFUNCTION("IF(OR(CQ221&gt;$BS221+$BT221*$BT$2,CQ221&lt;$BS221-$BT221*$BT$2),AVEDEV(ARRAYFORMULA(XLOOKUP(FILTER(INDIRECT(""'""&amp;CQ$1&amp;""'!$C$4:$C$66""),INDIRECT(""'""&amp;CQ$1&amp;""'!$D$4:$D$66"")=CQ$2),$G$3:$BQ$3,$G221:$BQ221))),"""")"),"")</f>
        <v/>
      </c>
      <c r="CS221" s="251">
        <f>IFERROR(__xludf.DUMMYFUNCTION("AVERAGE(ARRAYFORMULA(XLOOKUP(FILTER(INDIRECT(""'""&amp;CS$1&amp;""'!$C$4:$C$66""),INDIRECT(""'""&amp;CS$1&amp;""'!$D$4:$D$66"")=CS$2),$G$3:$BQ$3,$G221:$BQ221)))"),0.3626994833333333)</f>
        <v>0.3626994833</v>
      </c>
      <c r="CT221" s="207" t="str">
        <f>IFERROR(__xludf.DUMMYFUNCTION("IF(OR(CS221&gt;$BS221+$BT221*$BT$2,CS221&lt;$BS221-$BT221*$BT$2),AVEDEV(ARRAYFORMULA(XLOOKUP(FILTER(INDIRECT(""'""&amp;CS$1&amp;""'!$C$4:$C$66""),INDIRECT(""'""&amp;CS$1&amp;""'!$D$4:$D$66"")=CS$2),$G$3:$BQ$3,$G221:$BQ221))),"""")"),"")</f>
        <v/>
      </c>
      <c r="CU221" s="251">
        <f>IFERROR(__xludf.DUMMYFUNCTION("AVERAGE(ARRAYFORMULA(XLOOKUP(FILTER(INDIRECT(""'""&amp;CU$1&amp;""'!$C$4:$C$66""),INDIRECT(""'""&amp;CU$1&amp;""'!$D$4:$D$66"")=CU$2),$G$3:$BQ$3,$G221:$BQ221)))"),0.14276943272727272)</f>
        <v>0.1427694327</v>
      </c>
      <c r="CV221" s="207" t="str">
        <f>IFERROR(__xludf.DUMMYFUNCTION("IF(OR(CU221&gt;$BS221+$BT221*$BT$2,CU221&lt;$BS221-$BT221*$BT$2),AVEDEV(ARRAYFORMULA(XLOOKUP(FILTER(INDIRECT(""'""&amp;CU$1&amp;""'!$C$4:$C$66""),INDIRECT(""'""&amp;CU$1&amp;""'!$D$4:$D$66"")=CU$2),$G$3:$BQ$3,$G221:$BQ221))),"""")"),"")</f>
        <v/>
      </c>
      <c r="CW221" s="251">
        <f>IFERROR(__xludf.DUMMYFUNCTION("AVERAGE(ARRAYFORMULA(XLOOKUP(FILTER(INDIRECT(""'""&amp;CW$1&amp;""'!$C$4:$C$66""),INDIRECT(""'""&amp;CW$1&amp;""'!$D$4:$D$66"")=CW$2),$G$3:$BQ$3,$G221:$BQ221)))"),-0.49257090000000003)</f>
        <v>-0.4925709</v>
      </c>
      <c r="CX221" s="207" t="str">
        <f>IFERROR(__xludf.DUMMYFUNCTION("IF(OR(CW221&gt;$BS221+$BT221*$BT$2,CW221&lt;$BS221-$BT221*$BT$2),AVEDEV(ARRAYFORMULA(XLOOKUP(FILTER(INDIRECT(""'""&amp;CW$1&amp;""'!$C$4:$C$66""),INDIRECT(""'""&amp;CW$1&amp;""'!$D$4:$D$66"")=CW$2),$G$3:$BQ$3,$G221:$BQ221))),"""")"),"")</f>
        <v/>
      </c>
      <c r="CY221" s="251">
        <f>IFERROR(__xludf.DUMMYFUNCTION("AVERAGE(ARRAYFORMULA(XLOOKUP(FILTER(INDIRECT(""'""&amp;CY$1&amp;""'!$C$4:$C$66""),INDIRECT(""'""&amp;CY$1&amp;""'!$D$4:$D$66"")=CY$2),$G$3:$BQ$3,$G221:$BQ221)))"),0.4137775807142857)</f>
        <v>0.4137775807</v>
      </c>
      <c r="CZ221" s="207" t="str">
        <f>IFERROR(__xludf.DUMMYFUNCTION("IF(OR(CY221&gt;$BS221+$BT221*$BT$2,CY221&lt;$BS221-$BT221*$BT$2),AVEDEV(ARRAYFORMULA(XLOOKUP(FILTER(INDIRECT(""'""&amp;CY$1&amp;""'!$C$4:$C$66""),INDIRECT(""'""&amp;CY$1&amp;""'!$D$4:$D$66"")=CY$2),$G$3:$BQ$3,$G221:$BQ221))),"""")"),"")</f>
        <v/>
      </c>
      <c r="DA221" s="252"/>
      <c r="DB221" s="251">
        <f>IFERROR(__xludf.DUMMYFUNCTION("AVERAGE(ARRAYFORMULA(XLOOKUP(FILTER(INDIRECT(""'""&amp;DB$1&amp;""'!$C$4:$C$66""),INDIRECT(""'""&amp;DB$1&amp;""'!$D$4:$D$66"")=DB$2),$G$3:$BQ$3,$G221:$BQ221)))"),-0.058202016333333294)</f>
        <v>-0.05820201633</v>
      </c>
      <c r="DC221" s="207" t="str">
        <f>IFERROR(__xludf.DUMMYFUNCTION("IF(OR(DB221&gt;$BS221+$BT221*$BT$2,DB221&lt;$BS221-$BT221*$BT$2),AVEDEV(ARRAYFORMULA(XLOOKUP(FILTER(INDIRECT(""'""&amp;DB$1&amp;""'!$C$4:$C$66""),INDIRECT(""'""&amp;DB$1&amp;""'!$D$4:$D$66"")=DB$2),$G$3:$BQ$3,$G221:$BQ221))),"""")"),"")</f>
        <v/>
      </c>
      <c r="DD221" s="251">
        <f>IFERROR(__xludf.DUMMYFUNCTION("AVERAGE(ARRAYFORMULA(XLOOKUP(FILTER(INDIRECT(""'""&amp;DD$1&amp;""'!$C$4:$C$66""),INDIRECT(""'""&amp;DD$1&amp;""'!$D$4:$D$66"")=DD$2),$G$3:$BQ$3,$G221:$BQ221)))"),0.3507929288888889)</f>
        <v>0.3507929289</v>
      </c>
      <c r="DE221" s="207" t="str">
        <f>IFERROR(__xludf.DUMMYFUNCTION("IF(OR(DD221&gt;$BS221+$BT221*$BT$2,DD221&lt;$BS221-$BT221*$BT$2),AVEDEV(ARRAYFORMULA(XLOOKUP(FILTER(INDIRECT(""'""&amp;DD$1&amp;""'!$C$4:$C$66""),INDIRECT(""'""&amp;DD$1&amp;""'!$D$4:$D$66"")=DD$2),$G$3:$BQ$3,$G221:$BQ221))),"""")"),"")</f>
        <v/>
      </c>
      <c r="DF221" s="251">
        <f>IFERROR(__xludf.DUMMYFUNCTION("AVERAGE(ARRAYFORMULA(XLOOKUP(FILTER(INDIRECT(""'""&amp;DF$1&amp;""'!$C$4:$C$66""),INDIRECT(""'""&amp;DF$1&amp;""'!$D$4:$D$66"")=DF$2),$G$3:$BQ$3,$G221:$BQ221)))"),0.23615488875000007)</f>
        <v>0.2361548888</v>
      </c>
      <c r="DG221" s="207" t="str">
        <f>IFERROR(__xludf.DUMMYFUNCTION("IF(OR(DF221&gt;$BS221+$BT221*$BT$2,DF221&lt;$BS221-$BT221*$BT$2),AVEDEV(ARRAYFORMULA(XLOOKUP(FILTER(INDIRECT(""'""&amp;DF$1&amp;""'!$C$4:$C$66""),INDIRECT(""'""&amp;DF$1&amp;""'!$D$4:$D$66"")=DF$2),$G$3:$BQ$3,$G221:$BQ221))),"""")"),"")</f>
        <v/>
      </c>
      <c r="DH221" s="251">
        <f>IFERROR(__xludf.DUMMYFUNCTION("AVERAGE(ARRAYFORMULA(XLOOKUP(FILTER(INDIRECT(""'""&amp;DH$1&amp;""'!$C$4:$C$66""),INDIRECT(""'""&amp;DH$1&amp;""'!$D$4:$D$66"")=DH$2),$G$3:$BQ$3,$G221:$BQ221)))"),-0.23552954555555555)</f>
        <v>-0.2355295456</v>
      </c>
      <c r="DI221" s="207" t="str">
        <f>IFERROR(__xludf.DUMMYFUNCTION("IF(OR(DH221&gt;$BS221+$BT221*$BT$2,DH221&lt;$BS221-$BT221*$BT$2),AVEDEV(ARRAYFORMULA(XLOOKUP(FILTER(INDIRECT(""'""&amp;DH$1&amp;""'!$C$4:$C$66""),INDIRECT(""'""&amp;DH$1&amp;""'!$D$4:$D$66"")=DH$2),$G$3:$BQ$3,$G221:$BQ221))),"""")"),"")</f>
        <v/>
      </c>
      <c r="DJ221" s="243"/>
    </row>
    <row r="222">
      <c r="A222" s="2"/>
      <c r="B222" s="204">
        <v>218.0</v>
      </c>
      <c r="C222" s="204" t="s">
        <v>646</v>
      </c>
      <c r="D222" s="204" t="s">
        <v>667</v>
      </c>
      <c r="E222" s="205" t="b">
        <f>VLOOKUP(D222,'Feature Set List'!A219:C246,2,0)</f>
        <v>1</v>
      </c>
      <c r="F222" s="205" t="b">
        <f>VLOOKUP(D222,'Feature Set List'!A219:C246,3,0)</f>
        <v>1</v>
      </c>
      <c r="G222" s="205">
        <v>-1.6746907</v>
      </c>
      <c r="H222" s="205">
        <v>0.85669291</v>
      </c>
      <c r="I222" s="205">
        <v>-0.2726659</v>
      </c>
      <c r="J222" s="205">
        <v>1.92935883</v>
      </c>
      <c r="K222" s="205">
        <v>-0.040045</v>
      </c>
      <c r="L222" s="205">
        <v>0.22542182</v>
      </c>
      <c r="M222" s="205">
        <v>0.66906637</v>
      </c>
      <c r="N222" s="205">
        <v>-0.2200225</v>
      </c>
      <c r="O222" s="205">
        <v>0.09403825</v>
      </c>
      <c r="P222" s="205">
        <v>-0.6069741</v>
      </c>
      <c r="Q222" s="205">
        <v>0.42024747</v>
      </c>
      <c r="R222" s="205">
        <v>-0.4440945</v>
      </c>
      <c r="S222" s="205">
        <v>0.9264342</v>
      </c>
      <c r="T222" s="205">
        <v>0.19977503</v>
      </c>
      <c r="U222" s="205">
        <v>3.00652418</v>
      </c>
      <c r="V222" s="205">
        <v>3.35298088</v>
      </c>
      <c r="W222" s="205">
        <v>-0.2870641</v>
      </c>
      <c r="X222" s="205">
        <v>-0.3253093</v>
      </c>
      <c r="Y222" s="205">
        <v>-1.1185602</v>
      </c>
      <c r="Z222" s="205">
        <v>0.57637795</v>
      </c>
      <c r="AA222" s="205">
        <v>0.55253093</v>
      </c>
      <c r="AB222" s="205">
        <v>-0.151631</v>
      </c>
      <c r="AC222" s="205">
        <v>0.02924634</v>
      </c>
      <c r="AD222" s="205">
        <v>-0.2375703</v>
      </c>
      <c r="AE222" s="205">
        <v>-0.6915636</v>
      </c>
      <c r="AF222" s="205">
        <v>-0.2542182</v>
      </c>
      <c r="AG222" s="205">
        <v>-0.9115861</v>
      </c>
      <c r="AH222" s="205">
        <v>-0.1948256</v>
      </c>
      <c r="AI222" s="205">
        <v>0.64701912</v>
      </c>
      <c r="AJ222" s="205">
        <v>-1.616198</v>
      </c>
      <c r="AK222" s="205">
        <v>1.35613048</v>
      </c>
      <c r="AL222" s="205">
        <v>-0.4832396</v>
      </c>
      <c r="AM222" s="205">
        <v>-0.2767154</v>
      </c>
      <c r="AN222" s="205">
        <v>-0.431946</v>
      </c>
      <c r="AO222" s="205">
        <v>1.58515186</v>
      </c>
      <c r="AP222" s="205">
        <v>-0.0670416</v>
      </c>
      <c r="AQ222" s="205">
        <v>0.95568054</v>
      </c>
      <c r="AR222" s="205">
        <v>0.83914511</v>
      </c>
      <c r="AS222" s="205">
        <v>-0.0184477</v>
      </c>
      <c r="AT222" s="205">
        <v>0.6519685</v>
      </c>
      <c r="AU222" s="205">
        <v>2.46659168</v>
      </c>
      <c r="AV222" s="205">
        <v>-0.8890889</v>
      </c>
      <c r="AW222" s="205">
        <v>-0.3725534</v>
      </c>
      <c r="AX222" s="205">
        <v>1.83847019</v>
      </c>
      <c r="AY222" s="205">
        <v>-0.2726659</v>
      </c>
      <c r="AZ222" s="205">
        <v>-0.4589426</v>
      </c>
      <c r="BA222" s="205">
        <v>-0.167829</v>
      </c>
      <c r="BB222" s="205">
        <v>0.80944882</v>
      </c>
      <c r="BC222" s="205">
        <v>-0.3959505</v>
      </c>
      <c r="BD222" s="205">
        <v>0.53768279</v>
      </c>
      <c r="BE222" s="205">
        <v>1.10281215</v>
      </c>
      <c r="BF222" s="205">
        <v>0.45354331</v>
      </c>
      <c r="BG222" s="205">
        <v>-0.7500562</v>
      </c>
      <c r="BH222" s="205">
        <v>-0.3239595</v>
      </c>
      <c r="BI222" s="205">
        <v>0.26771654</v>
      </c>
      <c r="BJ222" s="205">
        <v>0.68166479</v>
      </c>
      <c r="BK222" s="205">
        <v>0.82474691</v>
      </c>
      <c r="BL222" s="205">
        <v>-0.6929134</v>
      </c>
      <c r="BM222" s="205">
        <v>2.59707537</v>
      </c>
      <c r="BN222" s="205">
        <v>0.06209224</v>
      </c>
      <c r="BO222" s="205">
        <v>-0.0260967</v>
      </c>
      <c r="BP222" s="205">
        <v>0.55658043</v>
      </c>
      <c r="BQ222" s="205">
        <v>0.0</v>
      </c>
      <c r="BR222" s="206"/>
      <c r="BS222" s="250">
        <f t="shared" si="1"/>
        <v>0.2602817538</v>
      </c>
      <c r="BT222" s="250">
        <f t="shared" si="2"/>
        <v>0.7522005305</v>
      </c>
      <c r="BU222" s="206"/>
      <c r="BV222" s="207">
        <f>IFERROR(__xludf.DUMMYFUNCTION("AVERAGE(ARRAYFORMULA(XLOOKUP(FILTER(INDIRECT(""'""&amp;BV$1&amp;""'!$C$4:$C$66""),INDIRECT(""'""&amp;BV$1&amp;""'!$D$4:$D$66"")=BV$2),$G$3:$BQ$3,$G222:$BQ222)))"),0.7447212014285715)</f>
        <v>0.7447212014</v>
      </c>
      <c r="BW222" s="207" t="str">
        <f>IFERROR(__xludf.DUMMYFUNCTION("IF(OR(BV222&gt;$BS222+$BT222*$BT$2,BV222&lt;$BS222-$BT222*$BT$2),AVEDEV(ARRAYFORMULA(XLOOKUP(FILTER(INDIRECT(""'""&amp;BV$1&amp;""'!$C$4:$C$66""),INDIRECT(""'""&amp;BV$1&amp;""'!$D$4:$D$66"")=BV$2),$G$3:$BQ$3,$G222:$BQ222))),"""")"),"")</f>
        <v/>
      </c>
      <c r="BX222" s="207">
        <f>IFERROR(__xludf.DUMMYFUNCTION("AVERAGE(ARRAYFORMULA(XLOOKUP(FILTER(INDIRECT(""'""&amp;BX$1&amp;""'!$C$4:$C$66""),INDIRECT(""'""&amp;BX$1&amp;""'!$D$4:$D$66"")=BX$2),$G$3:$BQ$3,$G222:$BQ222)))"),0.22214366238095248)</f>
        <v>0.2221436624</v>
      </c>
      <c r="BY222" s="207" t="str">
        <f>IFERROR(__xludf.DUMMYFUNCTION("IF(OR(BX222&gt;$BS222+$BT222*$BT$2,BX222&lt;$BS222-$BT222*$BT$2),AVEDEV(ARRAYFORMULA(XLOOKUP(FILTER(INDIRECT(""'""&amp;BX$1&amp;""'!$C$4:$C$66""),INDIRECT(""'""&amp;BX$1&amp;""'!$D$4:$D$66"")=BX$2),$G$3:$BQ$3,$G222:$BQ222))),"""")"),"")</f>
        <v/>
      </c>
      <c r="BZ222" s="207">
        <f>IFERROR(__xludf.DUMMYFUNCTION("AVERAGE(ARRAYFORMULA(XLOOKUP(FILTER(INDIRECT(""'""&amp;BZ$1&amp;""'!$C$4:$C$66""),INDIRECT(""'""&amp;BZ$1&amp;""'!$D$4:$D$66"")=BZ$2),$G$3:$BQ$3,$G222:$BQ222)))"),-0.07972184636363633)</f>
        <v>-0.07972184636</v>
      </c>
      <c r="CA222" s="207" t="str">
        <f>IFERROR(__xludf.DUMMYFUNCTION("IF(OR(BZ222&gt;$BS222+$BT222*$BT$2,BZ222&lt;$BS222-$BT222*$BT$2),AVEDEV(ARRAYFORMULA(XLOOKUP(FILTER(INDIRECT(""'""&amp;BZ$1&amp;""'!$C$4:$C$66""),INDIRECT(""'""&amp;BZ$1&amp;""'!$D$4:$D$66"")=BZ$2),$G$3:$BQ$3,$G222:$BQ222))),"""")"),"")</f>
        <v/>
      </c>
      <c r="CB222" s="209"/>
      <c r="CC222" s="207">
        <f>IFERROR(__xludf.DUMMYFUNCTION("AVERAGE(ARRAYFORMULA(XLOOKUP(FILTER(INDIRECT(""'""&amp;CC$1&amp;""'!$C$4:$C$66""),INDIRECT(""'""&amp;CC$1&amp;""'!$D$4:$D$66"")=CC$2),$G$3:$BQ$3,$G222:$BQ222)))"),0.7322834606250002)</f>
        <v>0.7322834606</v>
      </c>
      <c r="CD222" s="207" t="str">
        <f>IFERROR(__xludf.DUMMYFUNCTION("IF(OR(CC222&gt;$BS222+$BT222*$BT$2,CC222&lt;$BS222-$BT222*$BT$2),AVEDEV(ARRAYFORMULA(XLOOKUP(FILTER(INDIRECT(""'""&amp;CC$1&amp;""'!$C$4:$C$66""),INDIRECT(""'""&amp;CC$1&amp;""'!$D$4:$D$66"")=CC$2),$G$3:$BQ$3,$G222:$BQ222))),"""")"),"")</f>
        <v/>
      </c>
      <c r="CE222" s="207">
        <f>IFERROR(__xludf.DUMMYFUNCTION("AVERAGE(ARRAYFORMULA(XLOOKUP(FILTER(INDIRECT(""'""&amp;CE$1&amp;""'!$C$4:$C$66""),INDIRECT(""'""&amp;CE$1&amp;""'!$D$4:$D$66"")=CE$2),$G$3:$BQ$3,$G222:$BQ222)))"),-0.02734496483870966)</f>
        <v>-0.02734496484</v>
      </c>
      <c r="CF222" s="207" t="str">
        <f>IFERROR(__xludf.DUMMYFUNCTION("IF(OR(CE222&gt;$BS222+$BT222*$BT$2,CE222&lt;$BS222-$BT222*$BT$2),AVEDEV(ARRAYFORMULA(XLOOKUP(FILTER(INDIRECT(""'""&amp;CE$1&amp;""'!$C$4:$C$66""),INDIRECT(""'""&amp;CE$1&amp;""'!$D$4:$D$66"")=CE$2),$G$3:$BQ$3,$G222:$BQ222))),"""")"),"")</f>
        <v/>
      </c>
      <c r="CG222" s="207">
        <f>IFERROR(__xludf.DUMMYFUNCTION("AVERAGE(ARRAYFORMULA(XLOOKUP(FILTER(INDIRECT(""'""&amp;CG$1&amp;""'!$C$4:$C$66""),INDIRECT(""'""&amp;CG$1&amp;""'!$D$4:$D$66"")=CG$2),$G$3:$BQ$3,$G222:$BQ222)))"),-0.26870639399999996)</f>
        <v>-0.268706394</v>
      </c>
      <c r="CH222" s="207" t="str">
        <f>IFERROR(__xludf.DUMMYFUNCTION("IF(OR(CG222&gt;$BS222+$BT222*$BT$2,CG222&lt;$BS222-$BT222*$BT$2),AVEDEV(ARRAYFORMULA(XLOOKUP(FILTER(INDIRECT(""'""&amp;CG$1&amp;""'!$C$4:$C$66""),INDIRECT(""'""&amp;CG$1&amp;""'!$D$4:$D$66"")=CG$2),$G$3:$BQ$3,$G222:$BQ222))),"""")"),"")</f>
        <v/>
      </c>
      <c r="CI222" s="206"/>
      <c r="CJ222" s="251">
        <f>IFERROR(__xludf.DUMMYFUNCTION("AVERAGE(ARRAYFORMULA(XLOOKUP(FILTER(INDIRECT(""'""&amp;CJ$1&amp;""'!$C$4:$C$66""),INDIRECT(""'""&amp;CJ$1&amp;""'!$D$4:$D$66"")=CJ$2),$G$3:$BQ$3,$G222:$BQ222)))"),0.2897937793333333)</f>
        <v>0.2897937793</v>
      </c>
      <c r="CK222" s="207" t="str">
        <f>IFERROR(__xludf.DUMMYFUNCTION("IF(OR(CJ222&gt;$BS222+$BT222*$BT$2,CJ222&lt;$BS222-$BT222*$BT$2),AVEDEV(ARRAYFORMULA(XLOOKUP(FILTER(INDIRECT(""'""&amp;CJ$1&amp;""'!$C$4:$C$66""),INDIRECT(""'""&amp;CJ$1&amp;""'!$D$4:$D$66"")=CJ$2),$G$3:$BQ$3,$G222:$BQ222))),"""")"),"")</f>
        <v/>
      </c>
      <c r="CL222" s="251">
        <f>IFERROR(__xludf.DUMMYFUNCTION("AVERAGE(ARRAYFORMULA(XLOOKUP(FILTER(INDIRECT(""'""&amp;CL$1&amp;""'!$C$4:$C$66""),INDIRECT(""'""&amp;CL$1&amp;""'!$D$4:$D$66"")=CL$2),$G$3:$BQ$3,$G222:$BQ222)))"),0.2911712974358974)</f>
        <v>0.2911712974</v>
      </c>
      <c r="CM222" s="207" t="str">
        <f>IFERROR(__xludf.DUMMYFUNCTION("IF(OR(CL222&gt;$BS222+$BT222*$BT$2,CL222&lt;$BS222-$BT222*$BT$2),AVEDEV(ARRAYFORMULA(XLOOKUP(FILTER(INDIRECT(""'""&amp;CL$1&amp;""'!$C$4:$C$66""),INDIRECT(""'""&amp;CL$1&amp;""'!$D$4:$D$66"")=CL$2),$G$3:$BQ$3,$G222:$BQ222))),"""")"),"")</f>
        <v/>
      </c>
      <c r="CN222" s="251">
        <f>IFERROR(__xludf.DUMMYFUNCTION("AVERAGE(ARRAYFORMULA(XLOOKUP(FILTER(INDIRECT(""'""&amp;CN$1&amp;""'!$C$4:$C$66""),INDIRECT(""'""&amp;CN$1&amp;""'!$D$4:$D$66"")=CN$2),$G$3:$BQ$3,$G222:$BQ222)))"),-0.26870639399999996)</f>
        <v>-0.268706394</v>
      </c>
      <c r="CO222" s="207" t="str">
        <f>IFERROR(__xludf.DUMMYFUNCTION("IF(OR(CN222&gt;$BS222+$BT222*$BT$2,CN222&lt;$BS222-$BT222*$BT$2),AVEDEV(ARRAYFORMULA(XLOOKUP(FILTER(INDIRECT(""'""&amp;CN$1&amp;""'!$C$4:$C$66""),INDIRECT(""'""&amp;CN$1&amp;""'!$D$4:$D$66"")=CN$2),$G$3:$BQ$3,$G222:$BQ222))),"""")"),"")</f>
        <v/>
      </c>
      <c r="CP222" s="252"/>
      <c r="CQ222" s="251">
        <f>IFERROR(__xludf.DUMMYFUNCTION("AVERAGE(ARRAYFORMULA(XLOOKUP(FILTER(INDIRECT(""'""&amp;CQ$1&amp;""'!$C$4:$C$66""),INDIRECT(""'""&amp;CQ$1&amp;""'!$D$4:$D$66"")=CQ$2),$G$3:$BQ$3,$G222:$BQ222)))"),0.5450104414285716)</f>
        <v>0.5450104414</v>
      </c>
      <c r="CR222" s="207" t="str">
        <f>IFERROR(__xludf.DUMMYFUNCTION("IF(OR(CQ222&gt;$BS222+$BT222*$BT$2,CQ222&lt;$BS222-$BT222*$BT$2),AVEDEV(ARRAYFORMULA(XLOOKUP(FILTER(INDIRECT(""'""&amp;CQ$1&amp;""'!$C$4:$C$66""),INDIRECT(""'""&amp;CQ$1&amp;""'!$D$4:$D$66"")=CQ$2),$G$3:$BQ$3,$G222:$BQ222))),"""")"),"")</f>
        <v/>
      </c>
      <c r="CS222" s="251">
        <f>IFERROR(__xludf.DUMMYFUNCTION("AVERAGE(ARRAYFORMULA(XLOOKUP(FILTER(INDIRECT(""'""&amp;CS$1&amp;""'!$C$4:$C$66""),INDIRECT(""'""&amp;CS$1&amp;""'!$D$4:$D$66"")=CS$2),$G$3:$BQ$3,$G222:$BQ222)))"),-0.33500811999999996)</f>
        <v>-0.33500812</v>
      </c>
      <c r="CT222" s="207" t="str">
        <f>IFERROR(__xludf.DUMMYFUNCTION("IF(OR(CS222&gt;$BS222+$BT222*$BT$2,CS222&lt;$BS222-$BT222*$BT$2),AVEDEV(ARRAYFORMULA(XLOOKUP(FILTER(INDIRECT(""'""&amp;CS$1&amp;""'!$C$4:$C$66""),INDIRECT(""'""&amp;CS$1&amp;""'!$D$4:$D$66"")=CS$2),$G$3:$BQ$3,$G222:$BQ222))),"""")"),"")</f>
        <v/>
      </c>
      <c r="CU222" s="251">
        <f>IFERROR(__xludf.DUMMYFUNCTION("AVERAGE(ARRAYFORMULA(XLOOKUP(FILTER(INDIRECT(""'""&amp;CU$1&amp;""'!$C$4:$C$66""),INDIRECT(""'""&amp;CU$1&amp;""'!$D$4:$D$66"")=CU$2),$G$3:$BQ$3,$G222:$BQ222)))"),-0.05337967545454545)</f>
        <v>-0.05337967545</v>
      </c>
      <c r="CV222" s="207" t="str">
        <f>IFERROR(__xludf.DUMMYFUNCTION("IF(OR(CU222&gt;$BS222+$BT222*$BT$2,CU222&lt;$BS222-$BT222*$BT$2),AVEDEV(ARRAYFORMULA(XLOOKUP(FILTER(INDIRECT(""'""&amp;CU$1&amp;""'!$C$4:$C$66""),INDIRECT(""'""&amp;CU$1&amp;""'!$D$4:$D$66"")=CU$2),$G$3:$BQ$3,$G222:$BQ222))),"""")"),"")</f>
        <v/>
      </c>
      <c r="CW222" s="251">
        <f>IFERROR(__xludf.DUMMYFUNCTION("AVERAGE(ARRAYFORMULA(XLOOKUP(FILTER(INDIRECT(""'""&amp;CW$1&amp;""'!$C$4:$C$66""),INDIRECT(""'""&amp;CW$1&amp;""'!$D$4:$D$66"")=CW$2),$G$3:$BQ$3,$G222:$BQ222)))"),-0.2807649)</f>
        <v>-0.2807649</v>
      </c>
      <c r="CX222" s="207" t="str">
        <f>IFERROR(__xludf.DUMMYFUNCTION("IF(OR(CW222&gt;$BS222+$BT222*$BT$2,CW222&lt;$BS222-$BT222*$BT$2),AVEDEV(ARRAYFORMULA(XLOOKUP(FILTER(INDIRECT(""'""&amp;CW$1&amp;""'!$C$4:$C$66""),INDIRECT(""'""&amp;CW$1&amp;""'!$D$4:$D$66"")=CW$2),$G$3:$BQ$3,$G222:$BQ222))),"""")"),"")</f>
        <v/>
      </c>
      <c r="CY222" s="251">
        <f>IFERROR(__xludf.DUMMYFUNCTION("AVERAGE(ARRAYFORMULA(XLOOKUP(FILTER(INDIRECT(""'""&amp;CY$1&amp;""'!$C$4:$C$66""),INDIRECT(""'""&amp;CY$1&amp;""'!$D$4:$D$66"")=CY$2),$G$3:$BQ$3,$G222:$BQ222)))"),0.1748674264285715)</f>
        <v>0.1748674264</v>
      </c>
      <c r="CZ222" s="207" t="str">
        <f>IFERROR(__xludf.DUMMYFUNCTION("IF(OR(CY222&gt;$BS222+$BT222*$BT$2,CY222&lt;$BS222-$BT222*$BT$2),AVEDEV(ARRAYFORMULA(XLOOKUP(FILTER(INDIRECT(""'""&amp;CY$1&amp;""'!$C$4:$C$66""),INDIRECT(""'""&amp;CY$1&amp;""'!$D$4:$D$66"")=CY$2),$G$3:$BQ$3,$G222:$BQ222))),"""")"),"")</f>
        <v/>
      </c>
      <c r="DA222" s="252"/>
      <c r="DB222" s="251">
        <f>IFERROR(__xludf.DUMMYFUNCTION("AVERAGE(ARRAYFORMULA(XLOOKUP(FILTER(INDIRECT(""'""&amp;DB$1&amp;""'!$C$4:$C$66""),INDIRECT(""'""&amp;DB$1&amp;""'!$D$4:$D$66"")=DB$2),$G$3:$BQ$3,$G222:$BQ222)))"),0.4324259486666667)</f>
        <v>0.4324259487</v>
      </c>
      <c r="DC222" s="207" t="str">
        <f>IFERROR(__xludf.DUMMYFUNCTION("IF(OR(DB222&gt;$BS222+$BT222*$BT$2,DB222&lt;$BS222-$BT222*$BT$2),AVEDEV(ARRAYFORMULA(XLOOKUP(FILTER(INDIRECT(""'""&amp;DB$1&amp;""'!$C$4:$C$66""),INDIRECT(""'""&amp;DB$1&amp;""'!$D$4:$D$66"")=DB$2),$G$3:$BQ$3,$G222:$BQ222))),"""")"),"")</f>
        <v/>
      </c>
      <c r="DD222" s="251">
        <f>IFERROR(__xludf.DUMMYFUNCTION("AVERAGE(ARRAYFORMULA(XLOOKUP(FILTER(INDIRECT(""'""&amp;DD$1&amp;""'!$C$4:$C$66""),INDIRECT(""'""&amp;DD$1&amp;""'!$D$4:$D$66"")=DD$2),$G$3:$BQ$3,$G222:$BQ222)))"),0.0072990877777778206)</f>
        <v>0.007299087778</v>
      </c>
      <c r="DE222" s="207" t="str">
        <f>IFERROR(__xludf.DUMMYFUNCTION("IF(OR(DD222&gt;$BS222+$BT222*$BT$2,DD222&lt;$BS222-$BT222*$BT$2),AVEDEV(ARRAYFORMULA(XLOOKUP(FILTER(INDIRECT(""'""&amp;DD$1&amp;""'!$C$4:$C$66""),INDIRECT(""'""&amp;DD$1&amp;""'!$D$4:$D$66"")=DD$2),$G$3:$BQ$3,$G222:$BQ222))),"""")"),"")</f>
        <v/>
      </c>
      <c r="DF222" s="251">
        <f>IFERROR(__xludf.DUMMYFUNCTION("AVERAGE(ARRAYFORMULA(XLOOKUP(FILTER(INDIRECT(""'""&amp;DF$1&amp;""'!$C$4:$C$66""),INDIRECT(""'""&amp;DF$1&amp;""'!$D$4:$D$66"")=DF$2),$G$3:$BQ$3,$G222:$BQ222)))"),0.22345332000000004)</f>
        <v>0.22345332</v>
      </c>
      <c r="DG222" s="207" t="str">
        <f>IFERROR(__xludf.DUMMYFUNCTION("IF(OR(DF222&gt;$BS222+$BT222*$BT$2,DF222&lt;$BS222-$BT222*$BT$2),AVEDEV(ARRAYFORMULA(XLOOKUP(FILTER(INDIRECT(""'""&amp;DF$1&amp;""'!$C$4:$C$66""),INDIRECT(""'""&amp;DF$1&amp;""'!$D$4:$D$66"")=DF$2),$G$3:$BQ$3,$G222:$BQ222))),"""")"),"")</f>
        <v/>
      </c>
      <c r="DH222" s="251">
        <f>IFERROR(__xludf.DUMMYFUNCTION("AVERAGE(ARRAYFORMULA(XLOOKUP(FILTER(INDIRECT(""'""&amp;DH$1&amp;""'!$C$4:$C$66""),INDIRECT(""'""&amp;DH$1&amp;""'!$D$4:$D$66"")=DH$2),$G$3:$BQ$3,$G222:$BQ222)))"),-0.2851143511111111)</f>
        <v>-0.2851143511</v>
      </c>
      <c r="DI222" s="207" t="str">
        <f>IFERROR(__xludf.DUMMYFUNCTION("IF(OR(DH222&gt;$BS222+$BT222*$BT$2,DH222&lt;$BS222-$BT222*$BT$2),AVEDEV(ARRAYFORMULA(XLOOKUP(FILTER(INDIRECT(""'""&amp;DH$1&amp;""'!$C$4:$C$66""),INDIRECT(""'""&amp;DH$1&amp;""'!$D$4:$D$66"")=DH$2),$G$3:$BQ$3,$G222:$BQ222))),"""")"),"")</f>
        <v/>
      </c>
      <c r="DJ222" s="243"/>
    </row>
    <row r="223">
      <c r="A223" s="2"/>
      <c r="B223" s="204">
        <v>219.0</v>
      </c>
      <c r="C223" s="204" t="s">
        <v>646</v>
      </c>
      <c r="D223" s="204" t="s">
        <v>668</v>
      </c>
      <c r="E223" s="205" t="b">
        <f>VLOOKUP(D223,'Feature Set List'!A220:C246,2,0)</f>
        <v>1</v>
      </c>
      <c r="F223" s="205" t="b">
        <f>VLOOKUP(D223,'Feature Set List'!A220:C246,3,0)</f>
        <v>1</v>
      </c>
      <c r="G223" s="205">
        <v>1.32545115</v>
      </c>
      <c r="H223" s="205">
        <v>0.40945862</v>
      </c>
      <c r="I223" s="205">
        <v>0.46421904</v>
      </c>
      <c r="J223" s="205">
        <v>-0.4144368</v>
      </c>
      <c r="K223" s="205">
        <v>1.00435594</v>
      </c>
      <c r="L223" s="205">
        <v>-0.7392657</v>
      </c>
      <c r="M223" s="205">
        <v>-0.2016179</v>
      </c>
      <c r="N223" s="205">
        <v>0.51649035</v>
      </c>
      <c r="O223" s="205">
        <v>0.10952085</v>
      </c>
      <c r="P223" s="205">
        <v>0.58867455</v>
      </c>
      <c r="Q223" s="205">
        <v>0.97946484</v>
      </c>
      <c r="R223" s="205">
        <v>0.38705663</v>
      </c>
      <c r="S223" s="205">
        <v>-0.3895457</v>
      </c>
      <c r="T223" s="205">
        <v>0.38954574</v>
      </c>
      <c r="U223" s="205">
        <v>-2.3534536</v>
      </c>
      <c r="V223" s="205">
        <v>-1.6851276</v>
      </c>
      <c r="W223" s="205">
        <v>-0.3982576</v>
      </c>
      <c r="X223" s="205">
        <v>-0.9458619</v>
      </c>
      <c r="Y223" s="205">
        <v>0.35967642</v>
      </c>
      <c r="Z223" s="205">
        <v>0.19041693</v>
      </c>
      <c r="AA223" s="205">
        <v>0.68201618</v>
      </c>
      <c r="AB223" s="205">
        <v>-0.3484754</v>
      </c>
      <c r="AC223" s="205">
        <v>-0.6571251</v>
      </c>
      <c r="AD223" s="205">
        <v>1.04418171</v>
      </c>
      <c r="AE223" s="205">
        <v>0.16303671</v>
      </c>
      <c r="AF223" s="205">
        <v>0.39950218</v>
      </c>
      <c r="AG223" s="205">
        <v>0.34474175</v>
      </c>
      <c r="AH223" s="205">
        <v>-0.5625389</v>
      </c>
      <c r="AI223" s="205">
        <v>0.0</v>
      </c>
      <c r="AJ223" s="205">
        <v>-4.0149347</v>
      </c>
      <c r="AK223" s="205">
        <v>-0.8014935</v>
      </c>
      <c r="AL223" s="205">
        <v>-0.159303</v>
      </c>
      <c r="AM223" s="205">
        <v>1.63285625</v>
      </c>
      <c r="AN223" s="205">
        <v>-0.7454885</v>
      </c>
      <c r="AO223" s="205">
        <v>-0.4779091</v>
      </c>
      <c r="AP223" s="205">
        <v>0.57373989</v>
      </c>
      <c r="AQ223" s="205">
        <v>1.48724331</v>
      </c>
      <c r="AR223" s="205">
        <v>-3.1325451</v>
      </c>
      <c r="AS223" s="205">
        <v>0.49533292</v>
      </c>
      <c r="AT223" s="205">
        <v>-1.3777225</v>
      </c>
      <c r="AU223" s="205">
        <v>0.38456752</v>
      </c>
      <c r="AV223" s="205">
        <v>0.13441195</v>
      </c>
      <c r="AW223" s="205">
        <v>1.18855009</v>
      </c>
      <c r="AX223" s="205">
        <v>-0.4555072</v>
      </c>
      <c r="AY223" s="205">
        <v>-1.2271313</v>
      </c>
      <c r="AZ223" s="205">
        <v>1.56191661</v>
      </c>
      <c r="BA223" s="205">
        <v>-0.0709396</v>
      </c>
      <c r="BB223" s="205">
        <v>-0.9583074</v>
      </c>
      <c r="BC223" s="205">
        <v>-0.3360299</v>
      </c>
      <c r="BD223" s="205">
        <v>0.08089608</v>
      </c>
      <c r="BE223" s="205">
        <v>0.76540137</v>
      </c>
      <c r="BF223" s="205">
        <v>-0.056005</v>
      </c>
      <c r="BG223" s="205">
        <v>-0.1406347</v>
      </c>
      <c r="BH223" s="205">
        <v>0.87990044</v>
      </c>
      <c r="BI223" s="205">
        <v>-0.2775358</v>
      </c>
      <c r="BJ223" s="205">
        <v>0.00995644</v>
      </c>
      <c r="BK223" s="205">
        <v>-0.2215308</v>
      </c>
      <c r="BL223" s="205">
        <v>-0.8724331</v>
      </c>
      <c r="BM223" s="205">
        <v>-0.8276291</v>
      </c>
      <c r="BN223" s="205">
        <v>1.50093342</v>
      </c>
      <c r="BO223" s="205">
        <v>0.22650902</v>
      </c>
      <c r="BP223" s="205">
        <v>-0.8301182</v>
      </c>
      <c r="BQ223" s="205">
        <v>-0.4343497</v>
      </c>
      <c r="BR223" s="206"/>
      <c r="BS223" s="250">
        <f t="shared" si="1"/>
        <v>-0.09259094444</v>
      </c>
      <c r="BT223" s="250">
        <f t="shared" si="2"/>
        <v>0.7397197591</v>
      </c>
      <c r="BU223" s="206"/>
      <c r="BV223" s="207">
        <f>IFERROR(__xludf.DUMMYFUNCTION("AVERAGE(ARRAYFORMULA(XLOOKUP(FILTER(INDIRECT(""'""&amp;BV$1&amp;""'!$C$4:$C$66""),INDIRECT(""'""&amp;BV$1&amp;""'!$D$4:$D$66"")=BV$2),$G$3:$BQ$3,$G223:$BQ223)))"),-0.8670992899999999)</f>
        <v>-0.86709929</v>
      </c>
      <c r="BW223" s="207">
        <f>IFERROR(__xludf.DUMMYFUNCTION("IF(OR(BV223&gt;$BS223+$BT223*$BT$2,BV223&lt;$BS223-$BT223*$BT$2),AVEDEV(ARRAYFORMULA(XLOOKUP(FILTER(INDIRECT(""'""&amp;BV$1&amp;""'!$C$4:$C$66""),INDIRECT(""'""&amp;BV$1&amp;""'!$D$4:$D$66"")=BV$2),$G$3:$BQ$3,$G223:$BQ223))),"""")"),0.5776259571428571)</f>
        <v>0.5776259571</v>
      </c>
      <c r="BX223" s="207">
        <f>IFERROR(__xludf.DUMMYFUNCTION("AVERAGE(ARRAYFORMULA(XLOOKUP(FILTER(INDIRECT(""'""&amp;BX$1&amp;""'!$C$4:$C$66""),INDIRECT(""'""&amp;BX$1&amp;""'!$D$4:$D$66"")=BX$2),$G$3:$BQ$3,$G223:$BQ223)))"),-0.07333985380952382)</f>
        <v>-0.07333985381</v>
      </c>
      <c r="BY223" s="207" t="str">
        <f>IFERROR(__xludf.DUMMYFUNCTION("IF(OR(BX223&gt;$BS223+$BT223*$BT$2,BX223&lt;$BS223-$BT223*$BT$2),AVEDEV(ARRAYFORMULA(XLOOKUP(FILTER(INDIRECT(""'""&amp;BX$1&amp;""'!$C$4:$C$66""),INDIRECT(""'""&amp;BX$1&amp;""'!$D$4:$D$66"")=BX$2),$G$3:$BQ$3,$G223:$BQ223))),"""")"),"")</f>
        <v/>
      </c>
      <c r="BZ223" s="207">
        <f>IFERROR(__xludf.DUMMYFUNCTION("AVERAGE(ARRAYFORMULA(XLOOKUP(FILTER(INDIRECT(""'""&amp;BZ$1&amp;""'!$C$4:$C$66""),INDIRECT(""'""&amp;BZ$1&amp;""'!$D$4:$D$66"")=BZ$2),$G$3:$BQ$3,$G223:$BQ223)))"),0.21700515909090906)</f>
        <v>0.2170051591</v>
      </c>
      <c r="CA223" s="207" t="str">
        <f>IFERROR(__xludf.DUMMYFUNCTION("IF(OR(BZ223&gt;$BS223+$BT223*$BT$2,BZ223&lt;$BS223-$BT223*$BT$2),AVEDEV(ARRAYFORMULA(XLOOKUP(FILTER(INDIRECT(""'""&amp;BZ$1&amp;""'!$C$4:$C$66""),INDIRECT(""'""&amp;BZ$1&amp;""'!$D$4:$D$66"")=BZ$2),$G$3:$BQ$3,$G223:$BQ223))),"""")"),"")</f>
        <v/>
      </c>
      <c r="CB223" s="209"/>
      <c r="CC223" s="207">
        <f>IFERROR(__xludf.DUMMYFUNCTION("AVERAGE(ARRAYFORMULA(XLOOKUP(FILTER(INDIRECT(""'""&amp;CC$1&amp;""'!$C$4:$C$66""),INDIRECT(""'""&amp;CC$1&amp;""'!$D$4:$D$66"")=CC$2),$G$3:$BQ$3,$G223:$BQ223)))"),-0.12243310874999998)</f>
        <v>-0.1224331088</v>
      </c>
      <c r="CD223" s="207" t="str">
        <f>IFERROR(__xludf.DUMMYFUNCTION("IF(OR(CC223&gt;$BS223+$BT223*$BT$2,CC223&lt;$BS223-$BT223*$BT$2),AVEDEV(ARRAYFORMULA(XLOOKUP(FILTER(INDIRECT(""'""&amp;CC$1&amp;""'!$C$4:$C$66""),INDIRECT(""'""&amp;CC$1&amp;""'!$D$4:$D$66"")=CC$2),$G$3:$BQ$3,$G223:$BQ223))),"""")"),"")</f>
        <v/>
      </c>
      <c r="CE223" s="207">
        <f>IFERROR(__xludf.DUMMYFUNCTION("AVERAGE(ARRAYFORMULA(XLOOKUP(FILTER(INDIRECT(""'""&amp;CE$1&amp;""'!$C$4:$C$66""),INDIRECT(""'""&amp;CE$1&amp;""'!$D$4:$D$66"")=CE$2),$G$3:$BQ$3,$G223:$BQ223)))"),-0.029226967096774192)</f>
        <v>-0.0292269671</v>
      </c>
      <c r="CF223" s="207" t="str">
        <f>IFERROR(__xludf.DUMMYFUNCTION("IF(OR(CE223&gt;$BS223+$BT223*$BT$2,CE223&lt;$BS223-$BT223*$BT$2),AVEDEV(ARRAYFORMULA(XLOOKUP(FILTER(INDIRECT(""'""&amp;CE$1&amp;""'!$C$4:$C$66""),INDIRECT(""'""&amp;CE$1&amp;""'!$D$4:$D$66"")=CE$2),$G$3:$BQ$3,$G223:$BQ223))),"""")"),"")</f>
        <v/>
      </c>
      <c r="CG223" s="207">
        <f>IFERROR(__xludf.DUMMYFUNCTION("AVERAGE(ARRAYFORMULA(XLOOKUP(FILTER(INDIRECT(""'""&amp;CG$1&amp;""'!$C$4:$C$66""),INDIRECT(""'""&amp;CG$1&amp;""'!$D$4:$D$66"")=CG$2),$G$3:$BQ$3,$G223:$BQ223)))"),0.25239578199999996)</f>
        <v>0.252395782</v>
      </c>
      <c r="CH223" s="207" t="str">
        <f>IFERROR(__xludf.DUMMYFUNCTION("IF(OR(CG223&gt;$BS223+$BT223*$BT$2,CG223&lt;$BS223-$BT223*$BT$2),AVEDEV(ARRAYFORMULA(XLOOKUP(FILTER(INDIRECT(""'""&amp;CG$1&amp;""'!$C$4:$C$66""),INDIRECT(""'""&amp;CG$1&amp;""'!$D$4:$D$66"")=CG$2),$G$3:$BQ$3,$G223:$BQ223))),"""")"),"")</f>
        <v/>
      </c>
      <c r="CI223" s="206"/>
      <c r="CJ223" s="251">
        <f>IFERROR(__xludf.DUMMYFUNCTION("AVERAGE(ARRAYFORMULA(XLOOKUP(FILTER(INDIRECT(""'""&amp;CJ$1&amp;""'!$C$4:$C$66""),INDIRECT(""'""&amp;CJ$1&amp;""'!$D$4:$D$66"")=CJ$2),$G$3:$BQ$3,$G223:$BQ223)))"),-0.2661688466666667)</f>
        <v>-0.2661688467</v>
      </c>
      <c r="CK223" s="207" t="str">
        <f>IFERROR(__xludf.DUMMYFUNCTION("IF(OR(CJ223&gt;$BS223+$BT223*$BT$2,CJ223&lt;$BS223-$BT223*$BT$2),AVEDEV(ARRAYFORMULA(XLOOKUP(FILTER(INDIRECT(""'""&amp;CJ$1&amp;""'!$C$4:$C$66""),INDIRECT(""'""&amp;CJ$1&amp;""'!$D$4:$D$66"")=CJ$2),$G$3:$BQ$3,$G223:$BQ223))),"""")"),"")</f>
        <v/>
      </c>
      <c r="CL223" s="251">
        <f>IFERROR(__xludf.DUMMYFUNCTION("AVERAGE(ARRAYFORMULA(XLOOKUP(FILTER(INDIRECT(""'""&amp;CL$1&amp;""'!$C$4:$C$66""),INDIRECT(""'""&amp;CL$1&amp;""'!$D$4:$D$66"")=CL$2),$G$3:$BQ$3,$G223:$BQ223)))"),-0.08102372435897438)</f>
        <v>-0.08102372436</v>
      </c>
      <c r="CM223" s="207" t="str">
        <f>IFERROR(__xludf.DUMMYFUNCTION("IF(OR(CL223&gt;$BS223+$BT223*$BT$2,CL223&lt;$BS223-$BT223*$BT$2),AVEDEV(ARRAYFORMULA(XLOOKUP(FILTER(INDIRECT(""'""&amp;CL$1&amp;""'!$C$4:$C$66""),INDIRECT(""'""&amp;CL$1&amp;""'!$D$4:$D$66"")=CL$2),$G$3:$BQ$3,$G223:$BQ223))),"""")"),"")</f>
        <v/>
      </c>
      <c r="CN223" s="251">
        <f>IFERROR(__xludf.DUMMYFUNCTION("AVERAGE(ARRAYFORMULA(XLOOKUP(FILTER(INDIRECT(""'""&amp;CN$1&amp;""'!$C$4:$C$66""),INDIRECT(""'""&amp;CN$1&amp;""'!$D$4:$D$66"")=CN$2),$G$3:$BQ$3,$G223:$BQ223)))"),0.25239578199999996)</f>
        <v>0.252395782</v>
      </c>
      <c r="CO223" s="207" t="str">
        <f>IFERROR(__xludf.DUMMYFUNCTION("IF(OR(CN223&gt;$BS223+$BT223*$BT$2,CN223&lt;$BS223-$BT223*$BT$2),AVEDEV(ARRAYFORMULA(XLOOKUP(FILTER(INDIRECT(""'""&amp;CN$1&amp;""'!$C$4:$C$66""),INDIRECT(""'""&amp;CN$1&amp;""'!$D$4:$D$66"")=CN$2),$G$3:$BQ$3,$G223:$BQ223))),"""")"),"")</f>
        <v/>
      </c>
      <c r="CP223" s="252"/>
      <c r="CQ223" s="251">
        <f>IFERROR(__xludf.DUMMYFUNCTION("AVERAGE(ARRAYFORMULA(XLOOKUP(FILTER(INDIRECT(""'""&amp;CQ$1&amp;""'!$C$4:$C$66""),INDIRECT(""'""&amp;CQ$1&amp;""'!$D$4:$D$66"")=CQ$2),$G$3:$BQ$3,$G223:$BQ223)))"),0.09609743)</f>
        <v>0.09609743</v>
      </c>
      <c r="CR223" s="207" t="str">
        <f>IFERROR(__xludf.DUMMYFUNCTION("IF(OR(CQ223&gt;$BS223+$BT223*$BT$2,CQ223&lt;$BS223-$BT223*$BT$2),AVEDEV(ARRAYFORMULA(XLOOKUP(FILTER(INDIRECT(""'""&amp;CQ$1&amp;""'!$C$4:$C$66""),INDIRECT(""'""&amp;CQ$1&amp;""'!$D$4:$D$66"")=CQ$2),$G$3:$BQ$3,$G223:$BQ223))),"""")"),"")</f>
        <v/>
      </c>
      <c r="CS223" s="251">
        <f>IFERROR(__xludf.DUMMYFUNCTION("AVERAGE(ARRAYFORMULA(XLOOKUP(FILTER(INDIRECT(""'""&amp;CS$1&amp;""'!$C$4:$C$66""),INDIRECT(""'""&amp;CS$1&amp;""'!$D$4:$D$66"")=CS$2),$G$3:$BQ$3,$G223:$BQ223)))"),0.18364102666666665)</f>
        <v>0.1836410267</v>
      </c>
      <c r="CT223" s="207" t="str">
        <f>IFERROR(__xludf.DUMMYFUNCTION("IF(OR(CS223&gt;$BS223+$BT223*$BT$2,CS223&lt;$BS223-$BT223*$BT$2),AVEDEV(ARRAYFORMULA(XLOOKUP(FILTER(INDIRECT(""'""&amp;CS$1&amp;""'!$C$4:$C$66""),INDIRECT(""'""&amp;CS$1&amp;""'!$D$4:$D$66"")=CS$2),$G$3:$BQ$3,$G223:$BQ223))),"""")"),"")</f>
        <v/>
      </c>
      <c r="CU223" s="251">
        <f>IFERROR(__xludf.DUMMYFUNCTION("AVERAGE(ARRAYFORMULA(XLOOKUP(FILTER(INDIRECT(""'""&amp;CU$1&amp;""'!$C$4:$C$66""),INDIRECT(""'""&amp;CU$1&amp;""'!$D$4:$D$66"")=CU$2),$G$3:$BQ$3,$G223:$BQ223)))"),0.06924251909090909)</f>
        <v>0.06924251909</v>
      </c>
      <c r="CV223" s="207" t="str">
        <f>IFERROR(__xludf.DUMMYFUNCTION("IF(OR(CU223&gt;$BS223+$BT223*$BT$2,CU223&lt;$BS223-$BT223*$BT$2),AVEDEV(ARRAYFORMULA(XLOOKUP(FILTER(INDIRECT(""'""&amp;CU$1&amp;""'!$C$4:$C$66""),INDIRECT(""'""&amp;CU$1&amp;""'!$D$4:$D$66"")=CU$2),$G$3:$BQ$3,$G223:$BQ223))),"""")"),"")</f>
        <v/>
      </c>
      <c r="CW223" s="251">
        <f>IFERROR(__xludf.DUMMYFUNCTION("AVERAGE(ARRAYFORMULA(XLOOKUP(FILTER(INDIRECT(""'""&amp;CW$1&amp;""'!$C$4:$C$66""),INDIRECT(""'""&amp;CW$1&amp;""'!$D$4:$D$66"")=CW$2),$G$3:$BQ$3,$G223:$BQ223)))"),0.9620410749999999)</f>
        <v>0.962041075</v>
      </c>
      <c r="CX223" s="207">
        <f>IFERROR(__xludf.DUMMYFUNCTION("IF(OR(CW223&gt;$BS223+$BT223*$BT$2,CW223&lt;$BS223-$BT223*$BT$2),AVEDEV(ARRAYFORMULA(XLOOKUP(FILTER(INDIRECT(""'""&amp;CW$1&amp;""'!$C$4:$C$66""),INDIRECT(""'""&amp;CW$1&amp;""'!$D$4:$D$66"")=CW$2),$G$3:$BQ$3,$G223:$BQ223))),"""")"),0.08214063499999996)</f>
        <v>0.082140635</v>
      </c>
      <c r="CY223" s="251">
        <f>IFERROR(__xludf.DUMMYFUNCTION("AVERAGE(ARRAYFORMULA(XLOOKUP(FILTER(INDIRECT(""'""&amp;CY$1&amp;""'!$C$4:$C$66""),INDIRECT(""'""&amp;CY$1&amp;""'!$D$4:$D$66"")=CY$2),$G$3:$BQ$3,$G223:$BQ223)))"),-0.5035114278571429)</f>
        <v>-0.5035114279</v>
      </c>
      <c r="CZ223" s="207" t="str">
        <f>IFERROR(__xludf.DUMMYFUNCTION("IF(OR(CY223&gt;$BS223+$BT223*$BT$2,CY223&lt;$BS223-$BT223*$BT$2),AVEDEV(ARRAYFORMULA(XLOOKUP(FILTER(INDIRECT(""'""&amp;CY$1&amp;""'!$C$4:$C$66""),INDIRECT(""'""&amp;CY$1&amp;""'!$D$4:$D$66"")=CY$2),$G$3:$BQ$3,$G223:$BQ223))),"""")"),"")</f>
        <v/>
      </c>
      <c r="DA223" s="252"/>
      <c r="DB223" s="251">
        <f>IFERROR(__xludf.DUMMYFUNCTION("AVERAGE(ARRAYFORMULA(XLOOKUP(FILTER(INDIRECT(""'""&amp;DB$1&amp;""'!$C$4:$C$66""),INDIRECT(""'""&amp;DB$1&amp;""'!$D$4:$D$66"")=DB$2),$G$3:$BQ$3,$G223:$BQ223)))"),-0.13391412833333335)</f>
        <v>-0.1339141283</v>
      </c>
      <c r="DC223" s="207" t="str">
        <f>IFERROR(__xludf.DUMMYFUNCTION("IF(OR(DB223&gt;$BS223+$BT223*$BT$2,DB223&lt;$BS223-$BT223*$BT$2),AVEDEV(ARRAYFORMULA(XLOOKUP(FILTER(INDIRECT(""'""&amp;DB$1&amp;""'!$C$4:$C$66""),INDIRECT(""'""&amp;DB$1&amp;""'!$D$4:$D$66"")=DB$2),$G$3:$BQ$3,$G223:$BQ223))),"""")"),"")</f>
        <v/>
      </c>
      <c r="DD223" s="251">
        <f>IFERROR(__xludf.DUMMYFUNCTION("AVERAGE(ARRAYFORMULA(XLOOKUP(FILTER(INDIRECT(""'""&amp;DD$1&amp;""'!$C$4:$C$66""),INDIRECT(""'""&amp;DD$1&amp;""'!$D$4:$D$66"")=DD$2),$G$3:$BQ$3,$G223:$BQ223)))"),0.022263721111111093)</f>
        <v>0.02226372111</v>
      </c>
      <c r="DE223" s="207" t="str">
        <f>IFERROR(__xludf.DUMMYFUNCTION("IF(OR(DD223&gt;$BS223+$BT223*$BT$2,DD223&lt;$BS223-$BT223*$BT$2),AVEDEV(ARRAYFORMULA(XLOOKUP(FILTER(INDIRECT(""'""&amp;DD$1&amp;""'!$C$4:$C$66""),INDIRECT(""'""&amp;DD$1&amp;""'!$D$4:$D$66"")=DD$2),$G$3:$BQ$3,$G223:$BQ223))),"""")"),"")</f>
        <v/>
      </c>
      <c r="DF223" s="251">
        <f>IFERROR(__xludf.DUMMYFUNCTION("AVERAGE(ARRAYFORMULA(XLOOKUP(FILTER(INDIRECT(""'""&amp;DF$1&amp;""'!$C$4:$C$66""),INDIRECT(""'""&amp;DF$1&amp;""'!$D$4:$D$66"")=DF$2),$G$3:$BQ$3,$G223:$BQ223)))"),-0.6555693787500001)</f>
        <v>-0.6555693788</v>
      </c>
      <c r="DG223" s="207" t="str">
        <f>IFERROR(__xludf.DUMMYFUNCTION("IF(OR(DF223&gt;$BS223+$BT223*$BT$2,DF223&lt;$BS223-$BT223*$BT$2),AVEDEV(ARRAYFORMULA(XLOOKUP(FILTER(INDIRECT(""'""&amp;DF$1&amp;""'!$C$4:$C$66""),INDIRECT(""'""&amp;DF$1&amp;""'!$D$4:$D$66"")=DF$2),$G$3:$BQ$3,$G223:$BQ223))),"""")"),"")</f>
        <v/>
      </c>
      <c r="DH223" s="251">
        <f>IFERROR(__xludf.DUMMYFUNCTION("AVERAGE(ARRAYFORMULA(XLOOKUP(FILTER(INDIRECT(""'""&amp;DH$1&amp;""'!$C$4:$C$66""),INDIRECT(""'""&amp;DH$1&amp;""'!$D$4:$D$66"")=DH$2),$G$3:$BQ$3,$G223:$BQ223)))"),0.8586047166666666)</f>
        <v>0.8586047167</v>
      </c>
      <c r="DI223" s="207">
        <f>IFERROR(__xludf.DUMMYFUNCTION("IF(OR(DH223&gt;$BS223+$BT223*$BT$2,DH223&lt;$BS223-$BT223*$BT$2),AVEDEV(ARRAYFORMULA(XLOOKUP(FILTER(INDIRECT(""'""&amp;DH$1&amp;""'!$C$4:$C$66""),INDIRECT(""'""&amp;DH$1&amp;""'!$D$4:$D$66"")=DH$2),$G$3:$BQ$3,$G223:$BQ223))),"""")"),0.434088517037037)</f>
        <v>0.434088517</v>
      </c>
      <c r="DJ223" s="243"/>
    </row>
    <row r="224">
      <c r="A224" s="2"/>
      <c r="B224" s="204">
        <v>220.0</v>
      </c>
      <c r="C224" s="204" t="s">
        <v>646</v>
      </c>
      <c r="D224" s="204" t="s">
        <v>669</v>
      </c>
      <c r="E224" s="205" t="b">
        <f>VLOOKUP(D224,'Feature Set List'!A221:C246,2,0)</f>
        <v>1</v>
      </c>
      <c r="F224" s="205" t="b">
        <f>VLOOKUP(D224,'Feature Set List'!A221:C246,3,0)</f>
        <v>1</v>
      </c>
      <c r="G224" s="205">
        <v>0.0</v>
      </c>
      <c r="H224" s="205">
        <v>-0.4662522</v>
      </c>
      <c r="I224" s="205">
        <v>-0.9410302</v>
      </c>
      <c r="J224" s="205">
        <v>-0.0563055</v>
      </c>
      <c r="K224" s="205">
        <v>-0.0904085</v>
      </c>
      <c r="L224" s="205">
        <v>0.2642984</v>
      </c>
      <c r="M224" s="205">
        <v>-0.5390764</v>
      </c>
      <c r="N224" s="205">
        <v>-0.3307282</v>
      </c>
      <c r="O224" s="205">
        <v>0.44635879</v>
      </c>
      <c r="P224" s="205">
        <v>-0.0714032</v>
      </c>
      <c r="Q224" s="205">
        <v>0.66731794</v>
      </c>
      <c r="R224" s="205">
        <v>-0.357016</v>
      </c>
      <c r="S224" s="205">
        <v>0.84333925</v>
      </c>
      <c r="T224" s="205">
        <v>-0.1902309</v>
      </c>
      <c r="U224" s="205">
        <v>0.81669627</v>
      </c>
      <c r="V224" s="205">
        <v>1.21989343</v>
      </c>
      <c r="W224" s="205">
        <v>-0.3474245</v>
      </c>
      <c r="X224" s="205">
        <v>13.3690941</v>
      </c>
      <c r="Y224" s="205">
        <v>-0.1024867</v>
      </c>
      <c r="Z224" s="205">
        <v>3.07424512</v>
      </c>
      <c r="AA224" s="205">
        <v>2.82380107</v>
      </c>
      <c r="AB224" s="205">
        <v>1.22166963</v>
      </c>
      <c r="AC224" s="205">
        <v>0.25293073</v>
      </c>
      <c r="AD224" s="205">
        <v>-0.1431616</v>
      </c>
      <c r="AE224" s="205">
        <v>1.24120782</v>
      </c>
      <c r="AF224" s="205">
        <v>-0.2259325</v>
      </c>
      <c r="AG224" s="205">
        <v>0.0259325</v>
      </c>
      <c r="AH224" s="205">
        <v>1.17548845</v>
      </c>
      <c r="AI224" s="205">
        <v>-0.3809947</v>
      </c>
      <c r="AJ224" s="205">
        <v>-0.7596803</v>
      </c>
      <c r="AK224" s="205">
        <v>-0.0953819</v>
      </c>
      <c r="AL224" s="205">
        <v>-0.3994671</v>
      </c>
      <c r="AM224" s="205">
        <v>-0.685968</v>
      </c>
      <c r="AN224" s="205">
        <v>-0.168206</v>
      </c>
      <c r="AO224" s="205">
        <v>1.96589698</v>
      </c>
      <c r="AP224" s="205">
        <v>-0.0154529</v>
      </c>
      <c r="AQ224" s="205">
        <v>1.20923623</v>
      </c>
      <c r="AR224" s="205">
        <v>1.9410302</v>
      </c>
      <c r="AS224" s="205">
        <v>0.43854352</v>
      </c>
      <c r="AT224" s="205">
        <v>1.83978686</v>
      </c>
      <c r="AU224" s="205">
        <v>-0.4571936</v>
      </c>
      <c r="AV224" s="205">
        <v>-0.0273535</v>
      </c>
      <c r="AW224" s="205">
        <v>-0.6618117</v>
      </c>
      <c r="AX224" s="205">
        <v>0.48827709</v>
      </c>
      <c r="AY224" s="205">
        <v>0.71190053</v>
      </c>
      <c r="AZ224" s="205">
        <v>0.35257549</v>
      </c>
      <c r="BA224" s="205">
        <v>-0.3932504</v>
      </c>
      <c r="BB224" s="205">
        <v>3.52007105</v>
      </c>
      <c r="BC224" s="205">
        <v>0.05079929</v>
      </c>
      <c r="BD224" s="205">
        <v>-0.5412078</v>
      </c>
      <c r="BE224" s="205">
        <v>0.0259325</v>
      </c>
      <c r="BF224" s="205">
        <v>0.60852575</v>
      </c>
      <c r="BG224" s="205">
        <v>-0.2900533</v>
      </c>
      <c r="BH224" s="205">
        <v>-0.2694494</v>
      </c>
      <c r="BI224" s="205">
        <v>-0.1850799</v>
      </c>
      <c r="BJ224" s="205">
        <v>0.1964476</v>
      </c>
      <c r="BK224" s="205">
        <v>0.18419183</v>
      </c>
      <c r="BL224" s="205">
        <v>-1.0571936</v>
      </c>
      <c r="BM224" s="205">
        <v>3.29271758</v>
      </c>
      <c r="BN224" s="205">
        <v>-0.6813499</v>
      </c>
      <c r="BO224" s="205">
        <v>0.07726465</v>
      </c>
      <c r="BP224" s="205">
        <v>-0.1003552</v>
      </c>
      <c r="BQ224" s="205">
        <v>0.12397869</v>
      </c>
      <c r="BR224" s="206"/>
      <c r="BS224" s="250">
        <f t="shared" si="1"/>
        <v>0.5307705356</v>
      </c>
      <c r="BT224" s="250">
        <f t="shared" si="2"/>
        <v>1.015493607</v>
      </c>
      <c r="BU224" s="206"/>
      <c r="BV224" s="207">
        <f>IFERROR(__xludf.DUMMYFUNCTION("AVERAGE(ARRAYFORMULA(XLOOKUP(FILTER(INDIRECT(""'""&amp;BV$1&amp;""'!$C$4:$C$66""),INDIRECT(""'""&amp;BV$1&amp;""'!$D$4:$D$66"")=BV$2),$G$3:$BQ$3,$G224:$BQ224)))"),2.7646282614285718)</f>
        <v>2.764628261</v>
      </c>
      <c r="BW224" s="207">
        <f>IFERROR(__xludf.DUMMYFUNCTION("IF(OR(BV224&gt;$BS224+$BT224*$BT$2,BV224&lt;$BS224-$BT224*$BT$2),AVEDEV(ARRAYFORMULA(XLOOKUP(FILTER(INDIRECT(""'""&amp;BV$1&amp;""'!$C$4:$C$66""),INDIRECT(""'""&amp;BV$1&amp;""'!$D$4:$D$66"")=BV$2),$G$3:$BQ$3,$G224:$BQ224))),"""")"),3.2456881791836736)</f>
        <v>3.245688179</v>
      </c>
      <c r="BX224" s="207">
        <f>IFERROR(__xludf.DUMMYFUNCTION("AVERAGE(ARRAYFORMULA(XLOOKUP(FILTER(INDIRECT(""'""&amp;BX$1&amp;""'!$C$4:$C$66""),INDIRECT(""'""&amp;BX$1&amp;""'!$D$4:$D$66"")=BX$2),$G$3:$BQ$3,$G224:$BQ224)))"),0.33299501523809516)</f>
        <v>0.3329950152</v>
      </c>
      <c r="BY224" s="207" t="str">
        <f>IFERROR(__xludf.DUMMYFUNCTION("IF(OR(BX224&gt;$BS224+$BT224*$BT$2,BX224&lt;$BS224-$BT224*$BT$2),AVEDEV(ARRAYFORMULA(XLOOKUP(FILTER(INDIRECT(""'""&amp;BX$1&amp;""'!$C$4:$C$66""),INDIRECT(""'""&amp;BX$1&amp;""'!$D$4:$D$66"")=BX$2),$G$3:$BQ$3,$G224:$BQ224))),"""")"),"")</f>
        <v/>
      </c>
      <c r="BZ224" s="207">
        <f>IFERROR(__xludf.DUMMYFUNCTION("AVERAGE(ARRAYFORMULA(XLOOKUP(FILTER(INDIRECT(""'""&amp;BZ$1&amp;""'!$C$4:$C$66""),INDIRECT(""'""&amp;BZ$1&amp;""'!$D$4:$D$66"")=BZ$2),$G$3:$BQ$3,$G224:$BQ224)))"),0.18543517000000007)</f>
        <v>0.18543517</v>
      </c>
      <c r="CA224" s="207" t="str">
        <f>IFERROR(__xludf.DUMMYFUNCTION("IF(OR(BZ224&gt;$BS224+$BT224*$BT$2,BZ224&lt;$BS224-$BT224*$BT$2),AVEDEV(ARRAYFORMULA(XLOOKUP(FILTER(INDIRECT(""'""&amp;BZ$1&amp;""'!$C$4:$C$66""),INDIRECT(""'""&amp;BZ$1&amp;""'!$D$4:$D$66"")=BZ$2),$G$3:$BQ$3,$G224:$BQ224))),"""")"),"")</f>
        <v/>
      </c>
      <c r="CB224" s="209"/>
      <c r="CC224" s="207">
        <f>IFERROR(__xludf.DUMMYFUNCTION("AVERAGE(ARRAYFORMULA(XLOOKUP(FILTER(INDIRECT(""'""&amp;CC$1&amp;""'!$C$4:$C$66""),INDIRECT(""'""&amp;CC$1&amp;""'!$D$4:$D$66"")=CC$2),$G$3:$BQ$3,$G224:$BQ224)))"),0.524000894375)</f>
        <v>0.5240008944</v>
      </c>
      <c r="CD224" s="207" t="str">
        <f>IFERROR(__xludf.DUMMYFUNCTION("IF(OR(CC224&gt;$BS224+$BT224*$BT$2,CC224&lt;$BS224-$BT224*$BT$2),AVEDEV(ARRAYFORMULA(XLOOKUP(FILTER(INDIRECT(""'""&amp;CC$1&amp;""'!$C$4:$C$66""),INDIRECT(""'""&amp;CC$1&amp;""'!$D$4:$D$66"")=CC$2),$G$3:$BQ$3,$G224:$BQ224))),"""")"),"")</f>
        <v/>
      </c>
      <c r="CE224" s="207">
        <f>IFERROR(__xludf.DUMMYFUNCTION("AVERAGE(ARRAYFORMULA(XLOOKUP(FILTER(INDIRECT(""'""&amp;CE$1&amp;""'!$C$4:$C$66""),INDIRECT(""'""&amp;CE$1&amp;""'!$D$4:$D$66"")=CE$2),$G$3:$BQ$3,$G224:$BQ224)))"),0.23946026806451612)</f>
        <v>0.2394602681</v>
      </c>
      <c r="CF224" s="207" t="str">
        <f>IFERROR(__xludf.DUMMYFUNCTION("IF(OR(CE224&gt;$BS224+$BT224*$BT$2,CE224&lt;$BS224-$BT224*$BT$2),AVEDEV(ARRAYFORMULA(XLOOKUP(FILTER(INDIRECT(""'""&amp;CE$1&amp;""'!$C$4:$C$66""),INDIRECT(""'""&amp;CE$1&amp;""'!$D$4:$D$66"")=CE$2),$G$3:$BQ$3,$G224:$BQ224))),"""")"),"")</f>
        <v/>
      </c>
      <c r="CG224" s="207">
        <f>IFERROR(__xludf.DUMMYFUNCTION("AVERAGE(ARRAYFORMULA(XLOOKUP(FILTER(INDIRECT(""'""&amp;CG$1&amp;""'!$C$4:$C$66""),INDIRECT(""'""&amp;CG$1&amp;""'!$D$4:$D$66"")=CG$2),$G$3:$BQ$3,$G224:$BQ224)))"),-0.101278856)</f>
        <v>-0.101278856</v>
      </c>
      <c r="CH224" s="207" t="str">
        <f>IFERROR(__xludf.DUMMYFUNCTION("IF(OR(CG224&gt;$BS224+$BT224*$BT$2,CG224&lt;$BS224-$BT224*$BT$2),AVEDEV(ARRAYFORMULA(XLOOKUP(FILTER(INDIRECT(""'""&amp;CG$1&amp;""'!$C$4:$C$66""),INDIRECT(""'""&amp;CG$1&amp;""'!$D$4:$D$66"")=CG$2),$G$3:$BQ$3,$G224:$BQ224))),"""")"),"")</f>
        <v/>
      </c>
      <c r="CI224" s="206"/>
      <c r="CJ224" s="251">
        <f>IFERROR(__xludf.DUMMYFUNCTION("AVERAGE(ARRAYFORMULA(XLOOKUP(FILTER(INDIRECT(""'""&amp;CJ$1&amp;""'!$C$4:$C$66""),INDIRECT(""'""&amp;CJ$1&amp;""'!$D$4:$D$66"")=CJ$2),$G$3:$BQ$3,$G224:$BQ224)))"),1.9482297206666666)</f>
        <v>1.948229721</v>
      </c>
      <c r="CK224" s="207">
        <f>IFERROR(__xludf.DUMMYFUNCTION("IF(OR(CJ224&gt;$BS224+$BT224*$BT$2,CJ224&lt;$BS224-$BT224*$BT$2),AVEDEV(ARRAYFORMULA(XLOOKUP(FILTER(INDIRECT(""'""&amp;CJ$1&amp;""'!$C$4:$C$66""),INDIRECT(""'""&amp;CJ$1&amp;""'!$D$4:$D$66"")=CJ$2),$G$3:$BQ$3,$G224:$BQ224))),"""")"),2.0283686556444445)</f>
        <v>2.028368656</v>
      </c>
      <c r="CL224" s="251">
        <f>IFERROR(__xludf.DUMMYFUNCTION("AVERAGE(ARRAYFORMULA(XLOOKUP(FILTER(INDIRECT(""'""&amp;CL$1&amp;""'!$C$4:$C$66""),INDIRECT(""'""&amp;CL$1&amp;""'!$D$4:$D$66"")=CL$2),$G$3:$BQ$3,$G224:$BQ224)))"),0.19790044641025636)</f>
        <v>0.1979004464</v>
      </c>
      <c r="CM224" s="207" t="str">
        <f>IFERROR(__xludf.DUMMYFUNCTION("IF(OR(CL224&gt;$BS224+$BT224*$BT$2,CL224&lt;$BS224-$BT224*$BT$2),AVEDEV(ARRAYFORMULA(XLOOKUP(FILTER(INDIRECT(""'""&amp;CL$1&amp;""'!$C$4:$C$66""),INDIRECT(""'""&amp;CL$1&amp;""'!$D$4:$D$66"")=CL$2),$G$3:$BQ$3,$G224:$BQ224))),"""")"),"")</f>
        <v/>
      </c>
      <c r="CN224" s="251">
        <f>IFERROR(__xludf.DUMMYFUNCTION("AVERAGE(ARRAYFORMULA(XLOOKUP(FILTER(INDIRECT(""'""&amp;CN$1&amp;""'!$C$4:$C$66""),INDIRECT(""'""&amp;CN$1&amp;""'!$D$4:$D$66"")=CN$2),$G$3:$BQ$3,$G224:$BQ224)))"),-0.101278856)</f>
        <v>-0.101278856</v>
      </c>
      <c r="CO224" s="207" t="str">
        <f>IFERROR(__xludf.DUMMYFUNCTION("IF(OR(CN224&gt;$BS224+$BT224*$BT$2,CN224&lt;$BS224-$BT224*$BT$2),AVEDEV(ARRAYFORMULA(XLOOKUP(FILTER(INDIRECT(""'""&amp;CN$1&amp;""'!$C$4:$C$66""),INDIRECT(""'""&amp;CN$1&amp;""'!$D$4:$D$66"")=CN$2),$G$3:$BQ$3,$G224:$BQ224))),"""")"),"")</f>
        <v/>
      </c>
      <c r="CP224" s="252"/>
      <c r="CQ224" s="251">
        <f>IFERROR(__xludf.DUMMYFUNCTION("AVERAGE(ARRAYFORMULA(XLOOKUP(FILTER(INDIRECT(""'""&amp;CQ$1&amp;""'!$C$4:$C$66""),INDIRECT(""'""&amp;CQ$1&amp;""'!$D$4:$D$66"")=CQ$2),$G$3:$BQ$3,$G224:$BQ224)))"),0.14875666857142858)</f>
        <v>0.1487566686</v>
      </c>
      <c r="CR224" s="207" t="str">
        <f>IFERROR(__xludf.DUMMYFUNCTION("IF(OR(CQ224&gt;$BS224+$BT224*$BT$2,CQ224&lt;$BS224-$BT224*$BT$2),AVEDEV(ARRAYFORMULA(XLOOKUP(FILTER(INDIRECT(""'""&amp;CQ$1&amp;""'!$C$4:$C$66""),INDIRECT(""'""&amp;CQ$1&amp;""'!$D$4:$D$66"")=CQ$2),$G$3:$BQ$3,$G224:$BQ224))),"""")"),"")</f>
        <v/>
      </c>
      <c r="CS224" s="251">
        <f>IFERROR(__xludf.DUMMYFUNCTION("AVERAGE(ARRAYFORMULA(XLOOKUP(FILTER(INDIRECT(""'""&amp;CS$1&amp;""'!$C$4:$C$66""),INDIRECT(""'""&amp;CS$1&amp;""'!$D$4:$D$66"")=CS$2),$G$3:$BQ$3,$G224:$BQ224)))"),-0.1783895777777778)</f>
        <v>-0.1783895778</v>
      </c>
      <c r="CT224" s="207" t="str">
        <f>IFERROR(__xludf.DUMMYFUNCTION("IF(OR(CS224&gt;$BS224+$BT224*$BT$2,CS224&lt;$BS224-$BT224*$BT$2),AVEDEV(ARRAYFORMULA(XLOOKUP(FILTER(INDIRECT(""'""&amp;CS$1&amp;""'!$C$4:$C$66""),INDIRECT(""'""&amp;CS$1&amp;""'!$D$4:$D$66"")=CS$2),$G$3:$BQ$3,$G224:$BQ224))),"""")"),"")</f>
        <v/>
      </c>
      <c r="CU224" s="251">
        <f>IFERROR(__xludf.DUMMYFUNCTION("AVERAGE(ARRAYFORMULA(XLOOKUP(FILTER(INDIRECT(""'""&amp;CU$1&amp;""'!$C$4:$C$66""),INDIRECT(""'""&amp;CU$1&amp;""'!$D$4:$D$66"")=CU$2),$G$3:$BQ$3,$G224:$BQ224)))"),0.6894073936363637)</f>
        <v>0.6894073936</v>
      </c>
      <c r="CV224" s="207" t="str">
        <f>IFERROR(__xludf.DUMMYFUNCTION("IF(OR(CU224&gt;$BS224+$BT224*$BT$2,CU224&lt;$BS224-$BT224*$BT$2),AVEDEV(ARRAYFORMULA(XLOOKUP(FILTER(INDIRECT(""'""&amp;CU$1&amp;""'!$C$4:$C$66""),INDIRECT(""'""&amp;CU$1&amp;""'!$D$4:$D$66"")=CU$2),$G$3:$BQ$3,$G224:$BQ224))),"""")"),"")</f>
        <v/>
      </c>
      <c r="CW224" s="251">
        <f>IFERROR(__xludf.DUMMYFUNCTION("AVERAGE(ARRAYFORMULA(XLOOKUP(FILTER(INDIRECT(""'""&amp;CW$1&amp;""'!$C$4:$C$66""),INDIRECT(""'""&amp;CW$1&amp;""'!$D$4:$D$66"")=CW$2),$G$3:$BQ$3,$G224:$BQ224)))"),-0.2063055)</f>
        <v>-0.2063055</v>
      </c>
      <c r="CX224" s="207" t="str">
        <f>IFERROR(__xludf.DUMMYFUNCTION("IF(OR(CW224&gt;$BS224+$BT224*$BT$2,CW224&lt;$BS224-$BT224*$BT$2),AVEDEV(ARRAYFORMULA(XLOOKUP(FILTER(INDIRECT(""'""&amp;CW$1&amp;""'!$C$4:$C$66""),INDIRECT(""'""&amp;CW$1&amp;""'!$D$4:$D$66"")=CW$2),$G$3:$BQ$3,$G224:$BQ224))),"""")"),"")</f>
        <v/>
      </c>
      <c r="CY224" s="251">
        <f>IFERROR(__xludf.DUMMYFUNCTION("AVERAGE(ARRAYFORMULA(XLOOKUP(FILTER(INDIRECT(""'""&amp;CY$1&amp;""'!$C$4:$C$66""),INDIRECT(""'""&amp;CY$1&amp;""'!$D$4:$D$66"")=CY$2),$G$3:$BQ$3,$G224:$BQ224)))"),0.33834053000000003)</f>
        <v>0.33834053</v>
      </c>
      <c r="CZ224" s="207" t="str">
        <f>IFERROR(__xludf.DUMMYFUNCTION("IF(OR(CY224&gt;$BS224+$BT224*$BT$2,CY224&lt;$BS224-$BT224*$BT$2),AVEDEV(ARRAYFORMULA(XLOOKUP(FILTER(INDIRECT(""'""&amp;CY$1&amp;""'!$C$4:$C$66""),INDIRECT(""'""&amp;CY$1&amp;""'!$D$4:$D$66"")=CY$2),$G$3:$BQ$3,$G224:$BQ224))),"""")"),"")</f>
        <v/>
      </c>
      <c r="DA224" s="252"/>
      <c r="DB224" s="251">
        <f>IFERROR(__xludf.DUMMYFUNCTION("AVERAGE(ARRAYFORMULA(XLOOKUP(FILTER(INDIRECT(""'""&amp;DB$1&amp;""'!$C$4:$C$66""),INDIRECT(""'""&amp;DB$1&amp;""'!$D$4:$D$66"")=DB$2),$G$3:$BQ$3,$G224:$BQ224)))"),0.48490823699999996)</f>
        <v>0.484908237</v>
      </c>
      <c r="DC224" s="207" t="str">
        <f>IFERROR(__xludf.DUMMYFUNCTION("IF(OR(DB224&gt;$BS224+$BT224*$BT$2,DB224&lt;$BS224-$BT224*$BT$2),AVEDEV(ARRAYFORMULA(XLOOKUP(FILTER(INDIRECT(""'""&amp;DB$1&amp;""'!$C$4:$C$66""),INDIRECT(""'""&amp;DB$1&amp;""'!$D$4:$D$66"")=DB$2),$G$3:$BQ$3,$G224:$BQ224))),"""")"),"")</f>
        <v/>
      </c>
      <c r="DD224" s="251">
        <f>IFERROR(__xludf.DUMMYFUNCTION("AVERAGE(ARRAYFORMULA(XLOOKUP(FILTER(INDIRECT(""'""&amp;DD$1&amp;""'!$C$4:$C$66""),INDIRECT(""'""&amp;DD$1&amp;""'!$D$4:$D$66"")=DD$2),$G$3:$BQ$3,$G224:$BQ224)))"),0.2209196755555556)</f>
        <v>0.2209196756</v>
      </c>
      <c r="DE224" s="207" t="str">
        <f>IFERROR(__xludf.DUMMYFUNCTION("IF(OR(DD224&gt;$BS224+$BT224*$BT$2,DD224&lt;$BS224-$BT224*$BT$2),AVEDEV(ARRAYFORMULA(XLOOKUP(FILTER(INDIRECT(""'""&amp;DD$1&amp;""'!$C$4:$C$66""),INDIRECT(""'""&amp;DD$1&amp;""'!$D$4:$D$66"")=DD$2),$G$3:$BQ$3,$G224:$BQ224))),"""")"),"")</f>
        <v/>
      </c>
      <c r="DF224" s="251">
        <f>IFERROR(__xludf.DUMMYFUNCTION("AVERAGE(ARRAYFORMULA(XLOOKUP(FILTER(INDIRECT(""'""&amp;DF$1&amp;""'!$C$4:$C$66""),INDIRECT(""'""&amp;DF$1&amp;""'!$D$4:$D$66"")=DF$2),$G$3:$BQ$3,$G224:$BQ224)))"),0.6097468875000001)</f>
        <v>0.6097468875</v>
      </c>
      <c r="DG224" s="207" t="str">
        <f>IFERROR(__xludf.DUMMYFUNCTION("IF(OR(DF224&gt;$BS224+$BT224*$BT$2,DF224&lt;$BS224-$BT224*$BT$2),AVEDEV(ARRAYFORMULA(XLOOKUP(FILTER(INDIRECT(""'""&amp;DF$1&amp;""'!$C$4:$C$66""),INDIRECT(""'""&amp;DF$1&amp;""'!$D$4:$D$66"")=DF$2),$G$3:$BQ$3,$G224:$BQ224))),"""")"),"")</f>
        <v/>
      </c>
      <c r="DH224" s="251">
        <f>IFERROR(__xludf.DUMMYFUNCTION("AVERAGE(ARRAYFORMULA(XLOOKUP(FILTER(INDIRECT(""'""&amp;DH$1&amp;""'!$C$4:$C$66""),INDIRECT(""'""&amp;DH$1&amp;""'!$D$4:$D$66"")=DH$2),$G$3:$BQ$3,$G224:$BQ224)))"),-0.25048351444444444)</f>
        <v>-0.2504835144</v>
      </c>
      <c r="DI224" s="207" t="str">
        <f>IFERROR(__xludf.DUMMYFUNCTION("IF(OR(DH224&gt;$BS224+$BT224*$BT$2,DH224&lt;$BS224-$BT224*$BT$2),AVEDEV(ARRAYFORMULA(XLOOKUP(FILTER(INDIRECT(""'""&amp;DH$1&amp;""'!$C$4:$C$66""),INDIRECT(""'""&amp;DH$1&amp;""'!$D$4:$D$66"")=DH$2),$G$3:$BQ$3,$G224:$BQ224))),"""")"),"")</f>
        <v/>
      </c>
      <c r="DJ224" s="243"/>
    </row>
    <row r="225">
      <c r="A225" s="2"/>
      <c r="B225" s="204">
        <v>221.0</v>
      </c>
      <c r="C225" s="204" t="s">
        <v>646</v>
      </c>
      <c r="D225" s="204" t="s">
        <v>670</v>
      </c>
      <c r="E225" s="205" t="b">
        <f>VLOOKUP(D225,'Feature Set List'!A222:C246,2,0)</f>
        <v>1</v>
      </c>
      <c r="F225" s="205" t="b">
        <f>VLOOKUP(D225,'Feature Set List'!A222:C246,3,0)</f>
        <v>1</v>
      </c>
      <c r="G225" s="205">
        <v>-0.6776476</v>
      </c>
      <c r="H225" s="205">
        <v>0.04873477</v>
      </c>
      <c r="I225" s="205">
        <v>0.38378632</v>
      </c>
      <c r="J225" s="205">
        <v>0.72071228</v>
      </c>
      <c r="K225" s="205">
        <v>0.00609185</v>
      </c>
      <c r="L225" s="205">
        <v>0.26897844</v>
      </c>
      <c r="M225" s="205">
        <v>-0.5862231</v>
      </c>
      <c r="N225" s="205">
        <v>4.56888472</v>
      </c>
      <c r="O225" s="205">
        <v>0.01077788</v>
      </c>
      <c r="P225" s="205">
        <v>-0.1190253</v>
      </c>
      <c r="Q225" s="205">
        <v>0.05014058</v>
      </c>
      <c r="R225" s="205">
        <v>0.52905342</v>
      </c>
      <c r="S225" s="205">
        <v>0.62277413</v>
      </c>
      <c r="T225" s="205">
        <v>-0.2314902</v>
      </c>
      <c r="U225" s="205">
        <v>7.50234302</v>
      </c>
      <c r="V225" s="205">
        <v>1.67619494</v>
      </c>
      <c r="W225" s="205">
        <v>-0.5684161</v>
      </c>
      <c r="X225" s="205">
        <v>3.78163074</v>
      </c>
      <c r="Y225" s="205">
        <v>-0.3317713</v>
      </c>
      <c r="Z225" s="205">
        <v>2.13495783</v>
      </c>
      <c r="AA225" s="205">
        <v>0.76522962</v>
      </c>
      <c r="AB225" s="205">
        <v>-0.0913777</v>
      </c>
      <c r="AC225" s="205">
        <v>-0.2052484</v>
      </c>
      <c r="AD225" s="205">
        <v>-0.8460169</v>
      </c>
      <c r="AE225" s="205">
        <v>1.37535145</v>
      </c>
      <c r="AF225" s="205">
        <v>-0.2239925</v>
      </c>
      <c r="AG225" s="205">
        <v>-0.1073102</v>
      </c>
      <c r="AH225" s="205">
        <v>-0.0534208</v>
      </c>
      <c r="AI225" s="205">
        <v>-0.4784442</v>
      </c>
      <c r="AJ225" s="205">
        <v>-1.0871603</v>
      </c>
      <c r="AK225" s="205">
        <v>-0.0721649</v>
      </c>
      <c r="AL225" s="205">
        <v>0.13964386</v>
      </c>
      <c r="AM225" s="205">
        <v>-0.5276476</v>
      </c>
      <c r="AN225" s="205">
        <v>-0.0149953</v>
      </c>
      <c r="AO225" s="205">
        <v>1.50515464</v>
      </c>
      <c r="AP225" s="205">
        <v>-0.262418</v>
      </c>
      <c r="AQ225" s="205">
        <v>-0.5782568</v>
      </c>
      <c r="AR225" s="205">
        <v>3.0262418</v>
      </c>
      <c r="AS225" s="205">
        <v>-0.1869728</v>
      </c>
      <c r="AT225" s="205">
        <v>0.5656045</v>
      </c>
      <c r="AU225" s="205">
        <v>-1.0871603</v>
      </c>
      <c r="AV225" s="205">
        <v>-0.3580131</v>
      </c>
      <c r="AW225" s="205">
        <v>2.59512652</v>
      </c>
      <c r="AX225" s="205">
        <v>1.21368322</v>
      </c>
      <c r="AY225" s="205">
        <v>1.868791</v>
      </c>
      <c r="AZ225" s="205">
        <v>0.50187441</v>
      </c>
      <c r="BA225" s="205">
        <v>-0.5735708</v>
      </c>
      <c r="BB225" s="205">
        <v>2.49578257</v>
      </c>
      <c r="BC225" s="205">
        <v>-0.1799438</v>
      </c>
      <c r="BD225" s="205">
        <v>-0.5426429</v>
      </c>
      <c r="BE225" s="205">
        <v>2.6846298</v>
      </c>
      <c r="BF225" s="205">
        <v>0.19119025</v>
      </c>
      <c r="BG225" s="205">
        <v>-0.549672</v>
      </c>
      <c r="BH225" s="205">
        <v>-0.8793346</v>
      </c>
      <c r="BI225" s="205">
        <v>-0.0388941</v>
      </c>
      <c r="BJ225" s="205">
        <v>-0.3233365</v>
      </c>
      <c r="BK225" s="205">
        <v>0.0</v>
      </c>
      <c r="BL225" s="205">
        <v>5.10777882</v>
      </c>
      <c r="BM225" s="205">
        <v>0.6846298</v>
      </c>
      <c r="BN225" s="205">
        <v>-0.2713215</v>
      </c>
      <c r="BO225" s="205">
        <v>0.47656982</v>
      </c>
      <c r="BP225" s="205">
        <v>-0.0398313</v>
      </c>
      <c r="BQ225" s="205">
        <v>0.0660731</v>
      </c>
      <c r="BR225" s="206"/>
      <c r="BS225" s="250">
        <f t="shared" si="1"/>
        <v>0.5630904</v>
      </c>
      <c r="BT225" s="250">
        <f t="shared" si="2"/>
        <v>1.085612184</v>
      </c>
      <c r="BU225" s="206"/>
      <c r="BV225" s="207">
        <f>IFERROR(__xludf.DUMMYFUNCTION("AVERAGE(ARRAYFORMULA(XLOOKUP(FILTER(INDIRECT(""'""&amp;BV$1&amp;""'!$C$4:$C$66""),INDIRECT(""'""&amp;BV$1&amp;""'!$D$4:$D$66"")=BV$2),$G$3:$BQ$3,$G225:$BQ225)))"),3.563730084285715)</f>
        <v>3.563730084</v>
      </c>
      <c r="BW225" s="207">
        <f>IFERROR(__xludf.DUMMYFUNCTION("IF(OR(BV225&gt;$BS225+$BT225*$BT$2,BV225&lt;$BS225-$BT225*$BT$2),AVEDEV(ARRAYFORMULA(XLOOKUP(FILTER(INDIRECT(""'""&amp;BV$1&amp;""'!$C$4:$C$66""),INDIRECT(""'""&amp;BV$1&amp;""'!$D$4:$D$66"")=BV$2),$G$3:$BQ$3,$G225:$BQ225))),"""")"),1.6287320934693879)</f>
        <v>1.628732093</v>
      </c>
      <c r="BX225" s="207">
        <f>IFERROR(__xludf.DUMMYFUNCTION("AVERAGE(ARRAYFORMULA(XLOOKUP(FILTER(INDIRECT(""'""&amp;BX$1&amp;""'!$C$4:$C$66""),INDIRECT(""'""&amp;BX$1&amp;""'!$D$4:$D$66"")=BX$2),$G$3:$BQ$3,$G225:$BQ225)))"),0.32455370809523804)</f>
        <v>0.3245537081</v>
      </c>
      <c r="BY225" s="207" t="str">
        <f>IFERROR(__xludf.DUMMYFUNCTION("IF(OR(BX225&gt;$BS225+$BT225*$BT$2,BX225&lt;$BS225-$BT225*$BT$2),AVEDEV(ARRAYFORMULA(XLOOKUP(FILTER(INDIRECT(""'""&amp;BX$1&amp;""'!$C$4:$C$66""),INDIRECT(""'""&amp;BX$1&amp;""'!$D$4:$D$66"")=BX$2),$G$3:$BQ$3,$G225:$BQ225))),"""")"),"")</f>
        <v/>
      </c>
      <c r="BZ225" s="207">
        <f>IFERROR(__xludf.DUMMYFUNCTION("AVERAGE(ARRAYFORMULA(XLOOKUP(FILTER(INDIRECT(""'""&amp;BZ$1&amp;""'!$C$4:$C$66""),INDIRECT(""'""&amp;BZ$1&amp;""'!$D$4:$D$66"")=BZ$2),$G$3:$BQ$3,$G225:$BQ225)))"),-0.16878675)</f>
        <v>-0.16878675</v>
      </c>
      <c r="CA225" s="207" t="str">
        <f>IFERROR(__xludf.DUMMYFUNCTION("IF(OR(BZ225&gt;$BS225+$BT225*$BT$2,BZ225&lt;$BS225-$BT225*$BT$2),AVEDEV(ARRAYFORMULA(XLOOKUP(FILTER(INDIRECT(""'""&amp;BZ$1&amp;""'!$C$4:$C$66""),INDIRECT(""'""&amp;BZ$1&amp;""'!$D$4:$D$66"")=BZ$2),$G$3:$BQ$3,$G225:$BQ225))),"""")"),"")</f>
        <v/>
      </c>
      <c r="CB225" s="209"/>
      <c r="CC225" s="207">
        <f>IFERROR(__xludf.DUMMYFUNCTION("AVERAGE(ARRAYFORMULA(XLOOKUP(FILTER(INDIRECT(""'""&amp;CC$1&amp;""'!$C$4:$C$66""),INDIRECT(""'""&amp;CC$1&amp;""'!$D$4:$D$66"")=CC$2),$G$3:$BQ$3,$G225:$BQ225)))"),1.2654639231250002)</f>
        <v>1.265463923</v>
      </c>
      <c r="CD225" s="207" t="str">
        <f>IFERROR(__xludf.DUMMYFUNCTION("IF(OR(CC225&gt;$BS225+$BT225*$BT$2,CC225&lt;$BS225-$BT225*$BT$2),AVEDEV(ARRAYFORMULA(XLOOKUP(FILTER(INDIRECT(""'""&amp;CC$1&amp;""'!$C$4:$C$66""),INDIRECT(""'""&amp;CC$1&amp;""'!$D$4:$D$66"")=CC$2),$G$3:$BQ$3,$G225:$BQ225))),"""")"),"")</f>
        <v/>
      </c>
      <c r="CE225" s="207">
        <f>IFERROR(__xludf.DUMMYFUNCTION("AVERAGE(ARRAYFORMULA(XLOOKUP(FILTER(INDIRECT(""'""&amp;CE$1&amp;""'!$C$4:$C$66""),INDIRECT(""'""&amp;CE$1&amp;""'!$D$4:$D$66"")=CE$2),$G$3:$BQ$3,$G225:$BQ225)))"),0.09728965064516128)</f>
        <v>0.09728965065</v>
      </c>
      <c r="CF225" s="207" t="str">
        <f>IFERROR(__xludf.DUMMYFUNCTION("IF(OR(CE225&gt;$BS225+$BT225*$BT$2,CE225&lt;$BS225-$BT225*$BT$2),AVEDEV(ARRAYFORMULA(XLOOKUP(FILTER(INDIRECT(""'""&amp;CE$1&amp;""'!$C$4:$C$66""),INDIRECT(""'""&amp;CE$1&amp;""'!$D$4:$D$66"")=CE$2),$G$3:$BQ$3,$G225:$BQ225))),"""")"),"")</f>
        <v/>
      </c>
      <c r="CG225" s="207">
        <f>IFERROR(__xludf.DUMMYFUNCTION("AVERAGE(ARRAYFORMULA(XLOOKUP(FILTER(INDIRECT(""'""&amp;CG$1&amp;""'!$C$4:$C$66""),INDIRECT(""'""&amp;CG$1&amp;""'!$D$4:$D$66"")=CG$2),$G$3:$BQ$3,$G225:$BQ225)))"),-0.33214622)</f>
        <v>-0.33214622</v>
      </c>
      <c r="CH225" s="207" t="str">
        <f>IFERROR(__xludf.DUMMYFUNCTION("IF(OR(CG225&gt;$BS225+$BT225*$BT$2,CG225&lt;$BS225-$BT225*$BT$2),AVEDEV(ARRAYFORMULA(XLOOKUP(FILTER(INDIRECT(""'""&amp;CG$1&amp;""'!$C$4:$C$66""),INDIRECT(""'""&amp;CG$1&amp;""'!$D$4:$D$66"")=CG$2),$G$3:$BQ$3,$G225:$BQ225))),"""")"),"")</f>
        <v/>
      </c>
      <c r="CI225" s="206"/>
      <c r="CJ225" s="251">
        <f>IFERROR(__xludf.DUMMYFUNCTION("AVERAGE(ARRAYFORMULA(XLOOKUP(FILTER(INDIRECT(""'""&amp;CJ$1&amp;""'!$C$4:$C$66""),INDIRECT(""'""&amp;CJ$1&amp;""'!$D$4:$D$66"")=CJ$2),$G$3:$BQ$3,$G225:$BQ225)))"),1.5694126826666668)</f>
        <v>1.569412683</v>
      </c>
      <c r="CK225" s="207" t="str">
        <f>IFERROR(__xludf.DUMMYFUNCTION("IF(OR(CJ225&gt;$BS225+$BT225*$BT$2,CJ225&lt;$BS225-$BT225*$BT$2),AVEDEV(ARRAYFORMULA(XLOOKUP(FILTER(INDIRECT(""'""&amp;CJ$1&amp;""'!$C$4:$C$66""),INDIRECT(""'""&amp;CJ$1&amp;""'!$D$4:$D$66"")=CJ$2),$G$3:$BQ$3,$G225:$BQ225))),"""")"),"")</f>
        <v/>
      </c>
      <c r="CL225" s="251">
        <f>IFERROR(__xludf.DUMMYFUNCTION("AVERAGE(ARRAYFORMULA(XLOOKUP(FILTER(INDIRECT(""'""&amp;CL$1&amp;""'!$C$4:$C$66""),INDIRECT(""'""&amp;CL$1&amp;""'!$D$4:$D$66"")=CL$2),$G$3:$BQ$3,$G225:$BQ225)))"),0.24955061846153845)</f>
        <v>0.2495506185</v>
      </c>
      <c r="CM225" s="207" t="str">
        <f>IFERROR(__xludf.DUMMYFUNCTION("IF(OR(CL225&gt;$BS225+$BT225*$BT$2,CL225&lt;$BS225-$BT225*$BT$2),AVEDEV(ARRAYFORMULA(XLOOKUP(FILTER(INDIRECT(""'""&amp;CL$1&amp;""'!$C$4:$C$66""),INDIRECT(""'""&amp;CL$1&amp;""'!$D$4:$D$66"")=CL$2),$G$3:$BQ$3,$G225:$BQ225))),"""")"),"")</f>
        <v/>
      </c>
      <c r="CN225" s="251">
        <f>IFERROR(__xludf.DUMMYFUNCTION("AVERAGE(ARRAYFORMULA(XLOOKUP(FILTER(INDIRECT(""'""&amp;CN$1&amp;""'!$C$4:$C$66""),INDIRECT(""'""&amp;CN$1&amp;""'!$D$4:$D$66"")=CN$2),$G$3:$BQ$3,$G225:$BQ225)))"),-0.33214622)</f>
        <v>-0.33214622</v>
      </c>
      <c r="CO225" s="207" t="str">
        <f>IFERROR(__xludf.DUMMYFUNCTION("IF(OR(CN225&gt;$BS225+$BT225*$BT$2,CN225&lt;$BS225-$BT225*$BT$2),AVEDEV(ARRAYFORMULA(XLOOKUP(FILTER(INDIRECT(""'""&amp;CN$1&amp;""'!$C$4:$C$66""),INDIRECT(""'""&amp;CN$1&amp;""'!$D$4:$D$66"")=CN$2),$G$3:$BQ$3,$G225:$BQ225))),"""")"),"")</f>
        <v/>
      </c>
      <c r="CP225" s="252"/>
      <c r="CQ225" s="251">
        <f>IFERROR(__xludf.DUMMYFUNCTION("AVERAGE(ARRAYFORMULA(XLOOKUP(FILTER(INDIRECT(""'""&amp;CQ$1&amp;""'!$C$4:$C$66""),INDIRECT(""'""&amp;CQ$1&amp;""'!$D$4:$D$66"")=CQ$2),$G$3:$BQ$3,$G225:$BQ225)))"),0.7012317635714284)</f>
        <v>0.7012317636</v>
      </c>
      <c r="CR225" s="207" t="str">
        <f>IFERROR(__xludf.DUMMYFUNCTION("IF(OR(CQ225&gt;$BS225+$BT225*$BT$2,CQ225&lt;$BS225-$BT225*$BT$2),AVEDEV(ARRAYFORMULA(XLOOKUP(FILTER(INDIRECT(""'""&amp;CQ$1&amp;""'!$C$4:$C$66""),INDIRECT(""'""&amp;CQ$1&amp;""'!$D$4:$D$66"")=CQ$2),$G$3:$BQ$3,$G225:$BQ225))),"""")"),"")</f>
        <v/>
      </c>
      <c r="CS225" s="251">
        <f>IFERROR(__xludf.DUMMYFUNCTION("AVERAGE(ARRAYFORMULA(XLOOKUP(FILTER(INDIRECT(""'""&amp;CS$1&amp;""'!$C$4:$C$66""),INDIRECT(""'""&amp;CS$1&amp;""'!$D$4:$D$66"")=CS$2),$G$3:$BQ$3,$G225:$BQ225)))"),-0.33812871777777787)</f>
        <v>-0.3381287178</v>
      </c>
      <c r="CT225" s="207" t="str">
        <f>IFERROR(__xludf.DUMMYFUNCTION("IF(OR(CS225&gt;$BS225+$BT225*$BT$2,CS225&lt;$BS225-$BT225*$BT$2),AVEDEV(ARRAYFORMULA(XLOOKUP(FILTER(INDIRECT(""'""&amp;CS$1&amp;""'!$C$4:$C$66""),INDIRECT(""'""&amp;CS$1&amp;""'!$D$4:$D$66"")=CS$2),$G$3:$BQ$3,$G225:$BQ225))),"""")"),"")</f>
        <v/>
      </c>
      <c r="CU225" s="251">
        <f>IFERROR(__xludf.DUMMYFUNCTION("AVERAGE(ARRAYFORMULA(XLOOKUP(FILTER(INDIRECT(""'""&amp;CU$1&amp;""'!$C$4:$C$66""),INDIRECT(""'""&amp;CU$1&amp;""'!$D$4:$D$66"")=CU$2),$G$3:$BQ$3,$G225:$BQ225)))"),0.10424298909090911)</f>
        <v>0.1042429891</v>
      </c>
      <c r="CV225" s="207" t="str">
        <f>IFERROR(__xludf.DUMMYFUNCTION("IF(OR(CU225&gt;$BS225+$BT225*$BT$2,CU225&lt;$BS225-$BT225*$BT$2),AVEDEV(ARRAYFORMULA(XLOOKUP(FILTER(INDIRECT(""'""&amp;CU$1&amp;""'!$C$4:$C$66""),INDIRECT(""'""&amp;CU$1&amp;""'!$D$4:$D$66"")=CU$2),$G$3:$BQ$3,$G225:$BQ225))),"""")"),"")</f>
        <v/>
      </c>
      <c r="CW225" s="251">
        <f>IFERROR(__xludf.DUMMYFUNCTION("AVERAGE(ARRAYFORMULA(XLOOKUP(FILTER(INDIRECT(""'""&amp;CW$1&amp;""'!$C$4:$C$66""),INDIRECT(""'""&amp;CW$1&amp;""'!$D$4:$D$66"")=CW$2),$G$3:$BQ$3,$G225:$BQ225)))"),-0.86267575)</f>
        <v>-0.86267575</v>
      </c>
      <c r="CX225" s="207">
        <f>IFERROR(__xludf.DUMMYFUNCTION("IF(OR(CW225&gt;$BS225+$BT225*$BT$2,CW225&lt;$BS225-$BT225*$BT$2),AVEDEV(ARRAYFORMULA(XLOOKUP(FILTER(INDIRECT(""'""&amp;CW$1&amp;""'!$C$4:$C$66""),INDIRECT(""'""&amp;CW$1&amp;""'!$D$4:$D$66"")=CW$2),$G$3:$BQ$3,$G225:$BQ225))),"""")"),0.016658850000000003)</f>
        <v>0.01665885</v>
      </c>
      <c r="CY225" s="251">
        <f>IFERROR(__xludf.DUMMYFUNCTION("AVERAGE(ARRAYFORMULA(XLOOKUP(FILTER(INDIRECT(""'""&amp;CY$1&amp;""'!$C$4:$C$66""),INDIRECT(""'""&amp;CY$1&amp;""'!$D$4:$D$66"")=CY$2),$G$3:$BQ$3,$G225:$BQ225)))"),0.3625317878571428)</f>
        <v>0.3625317879</v>
      </c>
      <c r="CZ225" s="207" t="str">
        <f>IFERROR(__xludf.DUMMYFUNCTION("IF(OR(CY225&gt;$BS225+$BT225*$BT$2,CY225&lt;$BS225-$BT225*$BT$2),AVEDEV(ARRAYFORMULA(XLOOKUP(FILTER(INDIRECT(""'""&amp;CY$1&amp;""'!$C$4:$C$66""),INDIRECT(""'""&amp;CY$1&amp;""'!$D$4:$D$66"")=CY$2),$G$3:$BQ$3,$G225:$BQ225))),"""")"),"")</f>
        <v/>
      </c>
      <c r="DA225" s="252"/>
      <c r="DB225" s="251">
        <f>IFERROR(__xludf.DUMMYFUNCTION("AVERAGE(ARRAYFORMULA(XLOOKUP(FILTER(INDIRECT(""'""&amp;DB$1&amp;""'!$C$4:$C$66""),INDIRECT(""'""&amp;DB$1&amp;""'!$D$4:$D$66"")=DB$2),$G$3:$BQ$3,$G225:$BQ225)))"),0.4980787239999999)</f>
        <v>0.498078724</v>
      </c>
      <c r="DC225" s="207" t="str">
        <f>IFERROR(__xludf.DUMMYFUNCTION("IF(OR(DB225&gt;$BS225+$BT225*$BT$2,DB225&lt;$BS225-$BT225*$BT$2),AVEDEV(ARRAYFORMULA(XLOOKUP(FILTER(INDIRECT(""'""&amp;DB$1&amp;""'!$C$4:$C$66""),INDIRECT(""'""&amp;DB$1&amp;""'!$D$4:$D$66"")=DB$2),$G$3:$BQ$3,$G225:$BQ225))),"""")"),"")</f>
        <v/>
      </c>
      <c r="DD225" s="251">
        <f>IFERROR(__xludf.DUMMYFUNCTION("AVERAGE(ARRAYFORMULA(XLOOKUP(FILTER(INDIRECT(""'""&amp;DD$1&amp;""'!$C$4:$C$66""),INDIRECT(""'""&amp;DD$1&amp;""'!$D$4:$D$66"")=DD$2),$G$3:$BQ$3,$G225:$BQ225)))"),-0.24008643999999998)</f>
        <v>-0.24008644</v>
      </c>
      <c r="DE225" s="207" t="str">
        <f>IFERROR(__xludf.DUMMYFUNCTION("IF(OR(DD225&gt;$BS225+$BT225*$BT$2,DD225&lt;$BS225-$BT225*$BT$2),AVEDEV(ARRAYFORMULA(XLOOKUP(FILTER(INDIRECT(""'""&amp;DD$1&amp;""'!$C$4:$C$66""),INDIRECT(""'""&amp;DD$1&amp;""'!$D$4:$D$66"")=DD$2),$G$3:$BQ$3,$G225:$BQ225))),"""")"),"")</f>
        <v/>
      </c>
      <c r="DF225" s="251">
        <f>IFERROR(__xludf.DUMMYFUNCTION("AVERAGE(ARRAYFORMULA(XLOOKUP(FILTER(INDIRECT(""'""&amp;DF$1&amp;""'!$C$4:$C$66""),INDIRECT(""'""&amp;DF$1&amp;""'!$D$4:$D$66"")=DF$2),$G$3:$BQ$3,$G225:$BQ225)))"),1.3392103974999998)</f>
        <v>1.339210398</v>
      </c>
      <c r="DG225" s="207" t="str">
        <f>IFERROR(__xludf.DUMMYFUNCTION("IF(OR(DF225&gt;$BS225+$BT225*$BT$2,DF225&lt;$BS225-$BT225*$BT$2),AVEDEV(ARRAYFORMULA(XLOOKUP(FILTER(INDIRECT(""'""&amp;DF$1&amp;""'!$C$4:$C$66""),INDIRECT(""'""&amp;DF$1&amp;""'!$D$4:$D$66"")=DF$2),$G$3:$BQ$3,$G225:$BQ225))),"""")"),"")</f>
        <v/>
      </c>
      <c r="DH225" s="251">
        <f>IFERROR(__xludf.DUMMYFUNCTION("AVERAGE(ARRAYFORMULA(XLOOKUP(FILTER(INDIRECT(""'""&amp;DH$1&amp;""'!$C$4:$C$66""),INDIRECT(""'""&amp;DH$1&amp;""'!$D$4:$D$66"")=DH$2),$G$3:$BQ$3,$G225:$BQ225)))"),-0.021706762222222214)</f>
        <v>-0.02170676222</v>
      </c>
      <c r="DI225" s="207" t="str">
        <f>IFERROR(__xludf.DUMMYFUNCTION("IF(OR(DH225&gt;$BS225+$BT225*$BT$2,DH225&lt;$BS225-$BT225*$BT$2),AVEDEV(ARRAYFORMULA(XLOOKUP(FILTER(INDIRECT(""'""&amp;DH$1&amp;""'!$C$4:$C$66""),INDIRECT(""'""&amp;DH$1&amp;""'!$D$4:$D$66"")=DH$2),$G$3:$BQ$3,$G225:$BQ225))),"""")"),"")</f>
        <v/>
      </c>
      <c r="DJ225" s="243"/>
    </row>
    <row r="226">
      <c r="A226" s="2"/>
      <c r="B226" s="204">
        <v>222.0</v>
      </c>
      <c r="C226" s="204" t="s">
        <v>671</v>
      </c>
      <c r="D226" s="204" t="s">
        <v>672</v>
      </c>
      <c r="E226" s="205" t="b">
        <f>VLOOKUP(D226,'Feature Set List'!A223:C246,2,0)</f>
        <v>1</v>
      </c>
      <c r="F226" s="205" t="b">
        <f>VLOOKUP(D226,'Feature Set List'!A223:C246,3,0)</f>
        <v>0</v>
      </c>
      <c r="G226" s="205">
        <v>0.0</v>
      </c>
      <c r="H226" s="205">
        <v>-0.2857143</v>
      </c>
      <c r="I226" s="205">
        <v>0.08163265</v>
      </c>
      <c r="J226" s="205">
        <v>-0.6122449</v>
      </c>
      <c r="K226" s="205">
        <v>-0.7755102</v>
      </c>
      <c r="L226" s="205">
        <v>-0.1632653</v>
      </c>
      <c r="M226" s="205">
        <v>0.65306122</v>
      </c>
      <c r="N226" s="205">
        <v>0.20408163</v>
      </c>
      <c r="O226" s="205">
        <v>-0.1632653</v>
      </c>
      <c r="P226" s="205">
        <v>-0.6122449</v>
      </c>
      <c r="Q226" s="205">
        <v>-1.1020408</v>
      </c>
      <c r="R226" s="205">
        <v>0.0</v>
      </c>
      <c r="S226" s="205">
        <v>-0.2040816</v>
      </c>
      <c r="T226" s="205">
        <v>0.16326531</v>
      </c>
      <c r="U226" s="205">
        <v>0.93877551</v>
      </c>
      <c r="V226" s="205">
        <v>-2.5306122</v>
      </c>
      <c r="W226" s="205">
        <v>-0.2040816</v>
      </c>
      <c r="X226" s="205">
        <v>-1.6326531</v>
      </c>
      <c r="Y226" s="205">
        <v>0.6122449</v>
      </c>
      <c r="Z226" s="205">
        <v>0.85714286</v>
      </c>
      <c r="AA226" s="205">
        <v>0.44897959</v>
      </c>
      <c r="AB226" s="205">
        <v>0.89795918</v>
      </c>
      <c r="AC226" s="205">
        <v>0.28571429</v>
      </c>
      <c r="AD226" s="205">
        <v>-0.4897959</v>
      </c>
      <c r="AE226" s="205">
        <v>0.12244898</v>
      </c>
      <c r="AF226" s="205">
        <v>0.16326531</v>
      </c>
      <c r="AG226" s="205">
        <v>-1.0204082</v>
      </c>
      <c r="AH226" s="205">
        <v>-0.6530612</v>
      </c>
      <c r="AI226" s="205">
        <v>-0.8163265</v>
      </c>
      <c r="AJ226" s="205">
        <v>-0.2040816</v>
      </c>
      <c r="AK226" s="205">
        <v>-1.3877551</v>
      </c>
      <c r="AL226" s="205">
        <v>0.04081633</v>
      </c>
      <c r="AM226" s="205">
        <v>0.69387755</v>
      </c>
      <c r="AN226" s="205">
        <v>-0.2040816</v>
      </c>
      <c r="AO226" s="205">
        <v>-0.8163265</v>
      </c>
      <c r="AP226" s="205">
        <v>-1.0204082</v>
      </c>
      <c r="AQ226" s="205">
        <v>0.85714286</v>
      </c>
      <c r="AR226" s="205">
        <v>0.65306122</v>
      </c>
      <c r="AS226" s="205">
        <v>0.24489796</v>
      </c>
      <c r="AT226" s="205">
        <v>0.40816327</v>
      </c>
      <c r="AU226" s="205">
        <v>-4.244898</v>
      </c>
      <c r="AV226" s="205">
        <v>0.6122449</v>
      </c>
      <c r="AW226" s="205">
        <v>-1.3469388</v>
      </c>
      <c r="AX226" s="205">
        <v>-1.5102041</v>
      </c>
      <c r="AY226" s="205">
        <v>-1.2244898</v>
      </c>
      <c r="AZ226" s="205">
        <v>0.40816327</v>
      </c>
      <c r="BA226" s="205">
        <v>-0.2040816</v>
      </c>
      <c r="BB226" s="205">
        <v>-0.4489796</v>
      </c>
      <c r="BC226" s="205">
        <v>-0.1632653</v>
      </c>
      <c r="BD226" s="205">
        <v>-0.3265306</v>
      </c>
      <c r="BE226" s="205">
        <v>0.48979592</v>
      </c>
      <c r="BF226" s="205">
        <v>0.0</v>
      </c>
      <c r="BG226" s="205">
        <v>0.85714286</v>
      </c>
      <c r="BH226" s="205">
        <v>0.93877551</v>
      </c>
      <c r="BI226" s="205">
        <v>0.44897959</v>
      </c>
      <c r="BJ226" s="205">
        <v>0.44897959</v>
      </c>
      <c r="BK226" s="205">
        <v>0.04081633</v>
      </c>
      <c r="BL226" s="205">
        <v>0.73469388</v>
      </c>
      <c r="BM226" s="205">
        <v>0.28571429</v>
      </c>
      <c r="BN226" s="205">
        <v>0.16326531</v>
      </c>
      <c r="BO226" s="205">
        <v>0.36734694</v>
      </c>
      <c r="BP226" s="205">
        <v>-0.3265306</v>
      </c>
      <c r="BQ226" s="205">
        <v>0.44897959</v>
      </c>
      <c r="BR226" s="206"/>
      <c r="BS226" s="250">
        <f t="shared" si="1"/>
        <v>-0.1606737905</v>
      </c>
      <c r="BT226" s="250">
        <f t="shared" si="2"/>
        <v>0.6360107135</v>
      </c>
      <c r="BU226" s="206"/>
      <c r="BV226" s="207">
        <f>IFERROR(__xludf.DUMMYFUNCTION("AVERAGE(ARRAYFORMULA(XLOOKUP(FILTER(INDIRECT(""'""&amp;BV$1&amp;""'!$C$4:$C$66""),INDIRECT(""'""&amp;BV$1&amp;""'!$D$4:$D$66"")=BV$2),$G$3:$BQ$3,$G226:$BQ226)))"),-0.27988338428571424)</f>
        <v>-0.2798833843</v>
      </c>
      <c r="BW226" s="207" t="str">
        <f>IFERROR(__xludf.DUMMYFUNCTION("IF(OR(BV226&gt;$BS226+$BT226*$BT$2,BV226&lt;$BS226-$BT226*$BT$2),AVEDEV(ARRAYFORMULA(XLOOKUP(FILTER(INDIRECT(""'""&amp;BV$1&amp;""'!$C$4:$C$66""),INDIRECT(""'""&amp;BV$1&amp;""'!$D$4:$D$66"")=BV$2),$G$3:$BQ$3,$G226:$BQ226))),"""")"),"")</f>
        <v/>
      </c>
      <c r="BX226" s="207">
        <f>IFERROR(__xludf.DUMMYFUNCTION("AVERAGE(ARRAYFORMULA(XLOOKUP(FILTER(INDIRECT(""'""&amp;BX$1&amp;""'!$C$4:$C$66""),INDIRECT(""'""&amp;BX$1&amp;""'!$D$4:$D$66"")=BX$2),$G$3:$BQ$3,$G226:$BQ226)))"),-0.11370262047619055)</f>
        <v>-0.1137026205</v>
      </c>
      <c r="BY226" s="207" t="str">
        <f>IFERROR(__xludf.DUMMYFUNCTION("IF(OR(BX226&gt;$BS226+$BT226*$BT$2,BX226&lt;$BS226-$BT226*$BT$2),AVEDEV(ARRAYFORMULA(XLOOKUP(FILTER(INDIRECT(""'""&amp;BX$1&amp;""'!$C$4:$C$66""),INDIRECT(""'""&amp;BX$1&amp;""'!$D$4:$D$66"")=BX$2),$G$3:$BQ$3,$G226:$BQ226))),"""")"),"")</f>
        <v/>
      </c>
      <c r="BZ226" s="207">
        <f>IFERROR(__xludf.DUMMYFUNCTION("AVERAGE(ARRAYFORMULA(XLOOKUP(FILTER(INDIRECT(""'""&amp;BZ$1&amp;""'!$C$4:$C$66""),INDIRECT(""'""&amp;BZ$1&amp;""'!$D$4:$D$66"")=BZ$2),$G$3:$BQ$3,$G226:$BQ226)))"),0.10018553636363636)</f>
        <v>0.1001855364</v>
      </c>
      <c r="CA226" s="207" t="str">
        <f>IFERROR(__xludf.DUMMYFUNCTION("IF(OR(BZ226&gt;$BS226+$BT226*$BT$2,BZ226&lt;$BS226-$BT226*$BT$2),AVEDEV(ARRAYFORMULA(XLOOKUP(FILTER(INDIRECT(""'""&amp;BZ$1&amp;""'!$C$4:$C$66""),INDIRECT(""'""&amp;BZ$1&amp;""'!$D$4:$D$66"")=BZ$2),$G$3:$BQ$3,$G226:$BQ226))),"""")"),"")</f>
        <v/>
      </c>
      <c r="CB226" s="209"/>
      <c r="CC226" s="207">
        <f>IFERROR(__xludf.DUMMYFUNCTION("AVERAGE(ARRAYFORMULA(XLOOKUP(FILTER(INDIRECT(""'""&amp;CC$1&amp;""'!$C$4:$C$66""),INDIRECT(""'""&amp;CC$1&amp;""'!$D$4:$D$66"")=CC$2),$G$3:$BQ$3,$G226:$BQ226)))"),-0.48214285937500007)</f>
        <v>-0.4821428594</v>
      </c>
      <c r="CD226" s="207" t="str">
        <f>IFERROR(__xludf.DUMMYFUNCTION("IF(OR(CC226&gt;$BS226+$BT226*$BT$2,CC226&lt;$BS226-$BT226*$BT$2),AVEDEV(ARRAYFORMULA(XLOOKUP(FILTER(INDIRECT(""'""&amp;CC$1&amp;""'!$C$4:$C$66""),INDIRECT(""'""&amp;CC$1&amp;""'!$D$4:$D$66"")=CC$2),$G$3:$BQ$3,$G226:$BQ226))),"""")"),"")</f>
        <v/>
      </c>
      <c r="CE226" s="207">
        <f>IFERROR(__xludf.DUMMYFUNCTION("AVERAGE(ARRAYFORMULA(XLOOKUP(FILTER(INDIRECT(""'""&amp;CE$1&amp;""'!$C$4:$C$66""),INDIRECT(""'""&amp;CE$1&amp;""'!$D$4:$D$66"")=CE$2),$G$3:$BQ$3,$G226:$BQ226)))"),0.1145490529032258)</f>
        <v>0.1145490529</v>
      </c>
      <c r="CF226" s="207" t="str">
        <f>IFERROR(__xludf.DUMMYFUNCTION("IF(OR(CE226&gt;$BS226+$BT226*$BT$2,CE226&lt;$BS226-$BT226*$BT$2),AVEDEV(ARRAYFORMULA(XLOOKUP(FILTER(INDIRECT(""'""&amp;CE$1&amp;""'!$C$4:$C$66""),INDIRECT(""'""&amp;CE$1&amp;""'!$D$4:$D$66"")=CE$2),$G$3:$BQ$3,$G226:$BQ226))),"""")"),"")</f>
        <v/>
      </c>
      <c r="CG226" s="207">
        <f>IFERROR(__xludf.DUMMYFUNCTION("AVERAGE(ARRAYFORMULA(XLOOKUP(FILTER(INDIRECT(""'""&amp;CG$1&amp;""'!$C$4:$C$66""),INDIRECT(""'""&amp;CG$1&amp;""'!$D$4:$D$66"")=CG$2),$G$3:$BQ$3,$G226:$BQ226)))"),0.089795926)</f>
        <v>0.089795926</v>
      </c>
      <c r="CH226" s="207" t="str">
        <f>IFERROR(__xludf.DUMMYFUNCTION("IF(OR(CG226&gt;$BS226+$BT226*$BT$2,CG226&lt;$BS226-$BT226*$BT$2),AVEDEV(ARRAYFORMULA(XLOOKUP(FILTER(INDIRECT(""'""&amp;CG$1&amp;""'!$C$4:$C$66""),INDIRECT(""'""&amp;CG$1&amp;""'!$D$4:$D$66"")=CG$2),$G$3:$BQ$3,$G226:$BQ226))),"""")"),"")</f>
        <v/>
      </c>
      <c r="CI226" s="206"/>
      <c r="CJ226" s="251">
        <f>IFERROR(__xludf.DUMMYFUNCTION("AVERAGE(ARRAYFORMULA(XLOOKUP(FILTER(INDIRECT(""'""&amp;CJ$1&amp;""'!$C$4:$C$66""),INDIRECT(""'""&amp;CJ$1&amp;""'!$D$4:$D$66"")=CJ$2),$G$3:$BQ$3,$G226:$BQ226)))"),0.15510204000000002)</f>
        <v>0.15510204</v>
      </c>
      <c r="CK226" s="207" t="str">
        <f>IFERROR(__xludf.DUMMYFUNCTION("IF(OR(CJ226&gt;$BS226+$BT226*$BT$2,CJ226&lt;$BS226-$BT226*$BT$2),AVEDEV(ARRAYFORMULA(XLOOKUP(FILTER(INDIRECT(""'""&amp;CJ$1&amp;""'!$C$4:$C$66""),INDIRECT(""'""&amp;CJ$1&amp;""'!$D$4:$D$66"")=CJ$2),$G$3:$BQ$3,$G226:$BQ226))),"""")"),"")</f>
        <v/>
      </c>
      <c r="CL226" s="251">
        <f>IFERROR(__xludf.DUMMYFUNCTION("AVERAGE(ARRAYFORMULA(XLOOKUP(FILTER(INDIRECT(""'""&amp;CL$1&amp;""'!$C$4:$C$66""),INDIRECT(""'""&amp;CL$1&amp;""'!$D$4:$D$66"")=CL$2),$G$3:$BQ$3,$G226:$BQ226)))"),-0.23443222974358977)</f>
        <v>-0.2344322297</v>
      </c>
      <c r="CM226" s="207" t="str">
        <f>IFERROR(__xludf.DUMMYFUNCTION("IF(OR(CL226&gt;$BS226+$BT226*$BT$2,CL226&lt;$BS226-$BT226*$BT$2),AVEDEV(ARRAYFORMULA(XLOOKUP(FILTER(INDIRECT(""'""&amp;CL$1&amp;""'!$C$4:$C$66""),INDIRECT(""'""&amp;CL$1&amp;""'!$D$4:$D$66"")=CL$2),$G$3:$BQ$3,$G226:$BQ226))),"""")"),"")</f>
        <v/>
      </c>
      <c r="CN226" s="251">
        <f>IFERROR(__xludf.DUMMYFUNCTION("AVERAGE(ARRAYFORMULA(XLOOKUP(FILTER(INDIRECT(""'""&amp;CN$1&amp;""'!$C$4:$C$66""),INDIRECT(""'""&amp;CN$1&amp;""'!$D$4:$D$66"")=CN$2),$G$3:$BQ$3,$G226:$BQ226)))"),0.089795926)</f>
        <v>0.089795926</v>
      </c>
      <c r="CO226" s="207" t="str">
        <f>IFERROR(__xludf.DUMMYFUNCTION("IF(OR(CN226&gt;$BS226+$BT226*$BT$2,CN226&lt;$BS226-$BT226*$BT$2),AVEDEV(ARRAYFORMULA(XLOOKUP(FILTER(INDIRECT(""'""&amp;CN$1&amp;""'!$C$4:$C$66""),INDIRECT(""'""&amp;CN$1&amp;""'!$D$4:$D$66"")=CN$2),$G$3:$BQ$3,$G226:$BQ226))),"""")"),"")</f>
        <v/>
      </c>
      <c r="CP226" s="252"/>
      <c r="CQ226" s="251">
        <f>IFERROR(__xludf.DUMMYFUNCTION("AVERAGE(ARRAYFORMULA(XLOOKUP(FILTER(INDIRECT(""'""&amp;CQ$1&amp;""'!$C$4:$C$66""),INDIRECT(""'""&amp;CQ$1&amp;""'!$D$4:$D$66"")=CQ$2),$G$3:$BQ$3,$G226:$BQ226)))"),-0.5539358621428573)</f>
        <v>-0.5539358621</v>
      </c>
      <c r="CR226" s="207" t="str">
        <f>IFERROR(__xludf.DUMMYFUNCTION("IF(OR(CQ226&gt;$BS226+$BT226*$BT$2,CQ226&lt;$BS226-$BT226*$BT$2),AVEDEV(ARRAYFORMULA(XLOOKUP(FILTER(INDIRECT(""'""&amp;CQ$1&amp;""'!$C$4:$C$66""),INDIRECT(""'""&amp;CQ$1&amp;""'!$D$4:$D$66"")=CQ$2),$G$3:$BQ$3,$G226:$BQ226))),"""")"),"")</f>
        <v/>
      </c>
      <c r="CS226" s="251">
        <f>IFERROR(__xludf.DUMMYFUNCTION("AVERAGE(ARRAYFORMULA(XLOOKUP(FILTER(INDIRECT(""'""&amp;CS$1&amp;""'!$C$4:$C$66""),INDIRECT(""'""&amp;CS$1&amp;""'!$D$4:$D$66"")=CS$2),$G$3:$BQ$3,$G226:$BQ226)))"),0.04535148222222222)</f>
        <v>0.04535148222</v>
      </c>
      <c r="CT226" s="207" t="str">
        <f>IFERROR(__xludf.DUMMYFUNCTION("IF(OR(CS226&gt;$BS226+$BT226*$BT$2,CS226&lt;$BS226-$BT226*$BT$2),AVEDEV(ARRAYFORMULA(XLOOKUP(FILTER(INDIRECT(""'""&amp;CS$1&amp;""'!$C$4:$C$66""),INDIRECT(""'""&amp;CS$1&amp;""'!$D$4:$D$66"")=CS$2),$G$3:$BQ$3,$G226:$BQ226))),"""")"),"")</f>
        <v/>
      </c>
      <c r="CU226" s="251">
        <f>IFERROR(__xludf.DUMMYFUNCTION("AVERAGE(ARRAYFORMULA(XLOOKUP(FILTER(INDIRECT(""'""&amp;CU$1&amp;""'!$C$4:$C$66""),INDIRECT(""'""&amp;CU$1&amp;""'!$D$4:$D$66"")=CU$2),$G$3:$BQ$3,$G226:$BQ226)))"),0.3747680954545455)</f>
        <v>0.3747680955</v>
      </c>
      <c r="CV226" s="207" t="str">
        <f>IFERROR(__xludf.DUMMYFUNCTION("IF(OR(CU226&gt;$BS226+$BT226*$BT$2,CU226&lt;$BS226-$BT226*$BT$2),AVEDEV(ARRAYFORMULA(XLOOKUP(FILTER(INDIRECT(""'""&amp;CU$1&amp;""'!$C$4:$C$66""),INDIRECT(""'""&amp;CU$1&amp;""'!$D$4:$D$66"")=CU$2),$G$3:$BQ$3,$G226:$BQ226))),"""")"),"")</f>
        <v/>
      </c>
      <c r="CW226" s="251">
        <f>IFERROR(__xludf.DUMMYFUNCTION("AVERAGE(ARRAYFORMULA(XLOOKUP(FILTER(INDIRECT(""'""&amp;CW$1&amp;""'!$C$4:$C$66""),INDIRECT(""'""&amp;CW$1&amp;""'!$D$4:$D$66"")=CW$2),$G$3:$BQ$3,$G226:$BQ226)))"),0.22448980500000001)</f>
        <v>0.224489805</v>
      </c>
      <c r="CX226" s="207" t="str">
        <f>IFERROR(__xludf.DUMMYFUNCTION("IF(OR(CW226&gt;$BS226+$BT226*$BT$2,CW226&lt;$BS226-$BT226*$BT$2),AVEDEV(ARRAYFORMULA(XLOOKUP(FILTER(INDIRECT(""'""&amp;CW$1&amp;""'!$C$4:$C$66""),INDIRECT(""'""&amp;CW$1&amp;""'!$D$4:$D$66"")=CW$2),$G$3:$BQ$3,$G226:$BQ226))),"""")"),"")</f>
        <v/>
      </c>
      <c r="CY226" s="251">
        <f>IFERROR(__xludf.DUMMYFUNCTION("AVERAGE(ARRAYFORMULA(XLOOKUP(FILTER(INDIRECT(""'""&amp;CY$1&amp;""'!$C$4:$C$66""),INDIRECT(""'""&amp;CY$1&amp;""'!$D$4:$D$66"")=CY$2),$G$3:$BQ$3,$G226:$BQ226)))"),-0.04664722428571428)</f>
        <v>-0.04664722429</v>
      </c>
      <c r="CZ226" s="207" t="str">
        <f>IFERROR(__xludf.DUMMYFUNCTION("IF(OR(CY226&gt;$BS226+$BT226*$BT$2,CY226&lt;$BS226-$BT226*$BT$2),AVEDEV(ARRAYFORMULA(XLOOKUP(FILTER(INDIRECT(""'""&amp;CY$1&amp;""'!$C$4:$C$66""),INDIRECT(""'""&amp;CY$1&amp;""'!$D$4:$D$66"")=CY$2),$G$3:$BQ$3,$G226:$BQ226))),"""")"),"")</f>
        <v/>
      </c>
      <c r="DA226" s="252"/>
      <c r="DB226" s="251">
        <f>IFERROR(__xludf.DUMMYFUNCTION("AVERAGE(ARRAYFORMULA(XLOOKUP(FILTER(INDIRECT(""'""&amp;DB$1&amp;""'!$C$4:$C$66""),INDIRECT(""'""&amp;DB$1&amp;""'!$D$4:$D$66"")=DB$2),$G$3:$BQ$3,$G226:$BQ226)))"),-0.21496598400000005)</f>
        <v>-0.214965984</v>
      </c>
      <c r="DC226" s="207" t="str">
        <f>IFERROR(__xludf.DUMMYFUNCTION("IF(OR(DB226&gt;$BS226+$BT226*$BT$2,DB226&lt;$BS226-$BT226*$BT$2),AVEDEV(ARRAYFORMULA(XLOOKUP(FILTER(INDIRECT(""'""&amp;DB$1&amp;""'!$C$4:$C$66""),INDIRECT(""'""&amp;DB$1&amp;""'!$D$4:$D$66"")=DB$2),$G$3:$BQ$3,$G226:$BQ226))),"""")"),"")</f>
        <v/>
      </c>
      <c r="DD226" s="251">
        <f>IFERROR(__xludf.DUMMYFUNCTION("AVERAGE(ARRAYFORMULA(XLOOKUP(FILTER(INDIRECT(""'""&amp;DD$1&amp;""'!$C$4:$C$66""),INDIRECT(""'""&amp;DD$1&amp;""'!$D$4:$D$66"")=DD$2),$G$3:$BQ$3,$G226:$BQ226)))"),0.058956924444444433)</f>
        <v>0.05895692444</v>
      </c>
      <c r="DE226" s="207" t="str">
        <f>IFERROR(__xludf.DUMMYFUNCTION("IF(OR(DD226&gt;$BS226+$BT226*$BT$2,DD226&lt;$BS226-$BT226*$BT$2),AVEDEV(ARRAYFORMULA(XLOOKUP(FILTER(INDIRECT(""'""&amp;DD$1&amp;""'!$C$4:$C$66""),INDIRECT(""'""&amp;DD$1&amp;""'!$D$4:$D$66"")=DD$2),$G$3:$BQ$3,$G226:$BQ226))),"""")"),"")</f>
        <v/>
      </c>
      <c r="DF226" s="251">
        <f>IFERROR(__xludf.DUMMYFUNCTION("AVERAGE(ARRAYFORMULA(XLOOKUP(FILTER(INDIRECT(""'""&amp;DF$1&amp;""'!$C$4:$C$66""),INDIRECT(""'""&amp;DF$1&amp;""'!$D$4:$D$66"")=DF$2),$G$3:$BQ$3,$G226:$BQ226)))"),8.750000012741621E-9)</f>
        <v>0.000000008750000013</v>
      </c>
      <c r="DG226" s="207" t="str">
        <f>IFERROR(__xludf.DUMMYFUNCTION("IF(OR(DF226&gt;$BS226+$BT226*$BT$2,DF226&lt;$BS226-$BT226*$BT$2),AVEDEV(ARRAYFORMULA(XLOOKUP(FILTER(INDIRECT(""'""&amp;DF$1&amp;""'!$C$4:$C$66""),INDIRECT(""'""&amp;DF$1&amp;""'!$D$4:$D$66"")=DF$2),$G$3:$BQ$3,$G226:$BQ226))),"""")"),"")</f>
        <v/>
      </c>
      <c r="DH226" s="251">
        <f>IFERROR(__xludf.DUMMYFUNCTION("AVERAGE(ARRAYFORMULA(XLOOKUP(FILTER(INDIRECT(""'""&amp;DH$1&amp;""'!$C$4:$C$66""),INDIRECT(""'""&amp;DH$1&amp;""'!$D$4:$D$66"")=DH$2),$G$3:$BQ$3,$G226:$BQ226)))"),0.14965986444444443)</f>
        <v>0.1496598644</v>
      </c>
      <c r="DI226" s="207" t="str">
        <f>IFERROR(__xludf.DUMMYFUNCTION("IF(OR(DH226&gt;$BS226+$BT226*$BT$2,DH226&lt;$BS226-$BT226*$BT$2),AVEDEV(ARRAYFORMULA(XLOOKUP(FILTER(INDIRECT(""'""&amp;DH$1&amp;""'!$C$4:$C$66""),INDIRECT(""'""&amp;DH$1&amp;""'!$D$4:$D$66"")=DH$2),$G$3:$BQ$3,$G226:$BQ226))),"""")"),"")</f>
        <v/>
      </c>
      <c r="DJ226" s="243"/>
    </row>
    <row r="227">
      <c r="A227" s="2"/>
      <c r="B227" s="204">
        <v>223.0</v>
      </c>
      <c r="C227" s="204" t="s">
        <v>671</v>
      </c>
      <c r="D227" s="204" t="s">
        <v>673</v>
      </c>
      <c r="E227" s="205" t="b">
        <f>VLOOKUP(D227,'Feature Set List'!A224:C246,2,0)</f>
        <v>1</v>
      </c>
      <c r="F227" s="205" t="b">
        <f>VLOOKUP(D227,'Feature Set List'!A224:C246,3,0)</f>
        <v>0</v>
      </c>
      <c r="G227" s="205">
        <v>0.84339315</v>
      </c>
      <c r="H227" s="205">
        <v>0.03425775</v>
      </c>
      <c r="I227" s="205">
        <v>-0.2088091</v>
      </c>
      <c r="J227" s="205">
        <v>-0.2936378</v>
      </c>
      <c r="K227" s="205">
        <v>-0.4812398</v>
      </c>
      <c r="L227" s="205">
        <v>-0.2936378</v>
      </c>
      <c r="M227" s="205">
        <v>0.98205546</v>
      </c>
      <c r="N227" s="205">
        <v>-0.5040783</v>
      </c>
      <c r="O227" s="205">
        <v>0.96084829</v>
      </c>
      <c r="P227" s="205">
        <v>-1.0880914</v>
      </c>
      <c r="Q227" s="205">
        <v>-0.1631321</v>
      </c>
      <c r="R227" s="205">
        <v>0.55301794</v>
      </c>
      <c r="S227" s="205">
        <v>1.21207178</v>
      </c>
      <c r="T227" s="205">
        <v>0.0</v>
      </c>
      <c r="U227" s="205">
        <v>0.908646</v>
      </c>
      <c r="V227" s="205">
        <v>-1.5986949</v>
      </c>
      <c r="W227" s="205">
        <v>-0.1305057</v>
      </c>
      <c r="X227" s="205">
        <v>-1.5900489</v>
      </c>
      <c r="Y227" s="205">
        <v>1.42414356</v>
      </c>
      <c r="Z227" s="205">
        <v>0.07993475</v>
      </c>
      <c r="AA227" s="205">
        <v>0.04730832</v>
      </c>
      <c r="AB227" s="205">
        <v>-1.045677</v>
      </c>
      <c r="AC227" s="205">
        <v>0.16313214</v>
      </c>
      <c r="AD227" s="205">
        <v>-0.4453507</v>
      </c>
      <c r="AE227" s="205">
        <v>-0.725938</v>
      </c>
      <c r="AF227" s="205">
        <v>0.13376835</v>
      </c>
      <c r="AG227" s="205">
        <v>0.91517129</v>
      </c>
      <c r="AH227" s="205">
        <v>0.57096248</v>
      </c>
      <c r="AI227" s="205">
        <v>-1.137031</v>
      </c>
      <c r="AJ227" s="205">
        <v>-0.0032626</v>
      </c>
      <c r="AK227" s="205">
        <v>-1.71354</v>
      </c>
      <c r="AL227" s="205">
        <v>-0.3458401</v>
      </c>
      <c r="AM227" s="205">
        <v>1.64274062</v>
      </c>
      <c r="AN227" s="205">
        <v>-0.0309951</v>
      </c>
      <c r="AO227" s="205">
        <v>0.31158238</v>
      </c>
      <c r="AP227" s="205">
        <v>-0.9526917</v>
      </c>
      <c r="AQ227" s="205">
        <v>0.33931485</v>
      </c>
      <c r="AR227" s="205">
        <v>-0.2022838</v>
      </c>
      <c r="AS227" s="205">
        <v>-0.4420881</v>
      </c>
      <c r="AT227" s="205">
        <v>0.05709625</v>
      </c>
      <c r="AU227" s="205">
        <v>-2.9314845</v>
      </c>
      <c r="AV227" s="205">
        <v>0.70146819</v>
      </c>
      <c r="AW227" s="205">
        <v>-1.7549755</v>
      </c>
      <c r="AX227" s="205">
        <v>-0.3898858</v>
      </c>
      <c r="AY227" s="205">
        <v>-0.2251223</v>
      </c>
      <c r="AZ227" s="205">
        <v>0.20391517</v>
      </c>
      <c r="BA227" s="205">
        <v>0.18433931</v>
      </c>
      <c r="BB227" s="205">
        <v>0.11908646</v>
      </c>
      <c r="BC227" s="205">
        <v>0.57748777</v>
      </c>
      <c r="BD227" s="205">
        <v>-0.0424144</v>
      </c>
      <c r="BE227" s="205">
        <v>-0.1044046</v>
      </c>
      <c r="BF227" s="205">
        <v>0.26916803</v>
      </c>
      <c r="BG227" s="205">
        <v>-0.091354</v>
      </c>
      <c r="BH227" s="205">
        <v>-0.8287113</v>
      </c>
      <c r="BI227" s="205">
        <v>0.72920065</v>
      </c>
      <c r="BJ227" s="205">
        <v>0.94453507</v>
      </c>
      <c r="BK227" s="205">
        <v>0.27406199</v>
      </c>
      <c r="BL227" s="205">
        <v>1.73409462</v>
      </c>
      <c r="BM227" s="205">
        <v>0.28874388</v>
      </c>
      <c r="BN227" s="205">
        <v>0.55954323</v>
      </c>
      <c r="BO227" s="205">
        <v>0.6949429</v>
      </c>
      <c r="BP227" s="205">
        <v>-0.766721</v>
      </c>
      <c r="BQ227" s="205">
        <v>-0.5791191</v>
      </c>
      <c r="BR227" s="206"/>
      <c r="BS227" s="250">
        <f t="shared" si="1"/>
        <v>-0.04207513921</v>
      </c>
      <c r="BT227" s="250">
        <f t="shared" si="2"/>
        <v>0.6303596718</v>
      </c>
      <c r="BU227" s="206"/>
      <c r="BV227" s="207">
        <f>IFERROR(__xludf.DUMMYFUNCTION("AVERAGE(ARRAYFORMULA(XLOOKUP(FILTER(INDIRECT(""'""&amp;BV$1&amp;""'!$C$4:$C$66""),INDIRECT(""'""&amp;BV$1&amp;""'!$D$4:$D$66"")=BV$2),$G$3:$BQ$3,$G227:$BQ227)))"),0.16483337999999997)</f>
        <v>0.16483338</v>
      </c>
      <c r="BW227" s="207" t="str">
        <f>IFERROR(__xludf.DUMMYFUNCTION("IF(OR(BV227&gt;$BS227+$BT227*$BT$2,BV227&lt;$BS227-$BT227*$BT$2),AVEDEV(ARRAYFORMULA(XLOOKUP(FILTER(INDIRECT(""'""&amp;BV$1&amp;""'!$C$4:$C$66""),INDIRECT(""'""&amp;BV$1&amp;""'!$D$4:$D$66"")=BV$2),$G$3:$BQ$3,$G227:$BQ227))),"""")"),"")</f>
        <v/>
      </c>
      <c r="BX227" s="207">
        <f>IFERROR(__xludf.DUMMYFUNCTION("AVERAGE(ARRAYFORMULA(XLOOKUP(FILTER(INDIRECT(""'""&amp;BX$1&amp;""'!$C$4:$C$66""),INDIRECT(""'""&amp;BX$1&amp;""'!$D$4:$D$66"")=BX$2),$G$3:$BQ$3,$G227:$BQ227)))"),-0.0754757954761905)</f>
        <v>-0.07547579548</v>
      </c>
      <c r="BY227" s="207" t="str">
        <f>IFERROR(__xludf.DUMMYFUNCTION("IF(OR(BX227&gt;$BS227+$BT227*$BT$2,BX227&lt;$BS227-$BT227*$BT$2),AVEDEV(ARRAYFORMULA(XLOOKUP(FILTER(INDIRECT(""'""&amp;BX$1&amp;""'!$C$4:$C$66""),INDIRECT(""'""&amp;BX$1&amp;""'!$D$4:$D$66"")=BX$2),$G$3:$BQ$3,$G227:$BQ227))),"""")"),"")</f>
        <v/>
      </c>
      <c r="BZ227" s="207">
        <f>IFERROR(__xludf.DUMMYFUNCTION("AVERAGE(ARRAYFORMULA(XLOOKUP(FILTER(INDIRECT(""'""&amp;BZ$1&amp;""'!$C$4:$C$66""),INDIRECT(""'""&amp;BZ$1&amp;""'!$D$4:$D$66"")=BZ$2),$G$3:$BQ$3,$G227:$BQ227)))"),0.23164763454545456)</f>
        <v>0.2316476345</v>
      </c>
      <c r="CA227" s="207" t="str">
        <f>IFERROR(__xludf.DUMMYFUNCTION("IF(OR(BZ227&gt;$BS227+$BT227*$BT$2,BZ227&lt;$BS227-$BT227*$BT$2),AVEDEV(ARRAYFORMULA(XLOOKUP(FILTER(INDIRECT(""'""&amp;BZ$1&amp;""'!$C$4:$C$66""),INDIRECT(""'""&amp;BZ$1&amp;""'!$D$4:$D$66"")=BZ$2),$G$3:$BQ$3,$G227:$BQ227))),"""")"),"")</f>
        <v/>
      </c>
      <c r="CB227" s="209"/>
      <c r="CC227" s="207">
        <f>IFERROR(__xludf.DUMMYFUNCTION("AVERAGE(ARRAYFORMULA(XLOOKUP(FILTER(INDIRECT(""'""&amp;CC$1&amp;""'!$C$4:$C$66""),INDIRECT(""'""&amp;CC$1&amp;""'!$D$4:$D$66"")=CC$2),$G$3:$BQ$3,$G227:$BQ227)))"),-0.40744289812499995)</f>
        <v>-0.4074428981</v>
      </c>
      <c r="CD227" s="207" t="str">
        <f>IFERROR(__xludf.DUMMYFUNCTION("IF(OR(CC227&gt;$BS227+$BT227*$BT$2,CC227&lt;$BS227-$BT227*$BT$2),AVEDEV(ARRAYFORMULA(XLOOKUP(FILTER(INDIRECT(""'""&amp;CC$1&amp;""'!$C$4:$C$66""),INDIRECT(""'""&amp;CC$1&amp;""'!$D$4:$D$66"")=CC$2),$G$3:$BQ$3,$G227:$BQ227))),"""")"),"")</f>
        <v/>
      </c>
      <c r="CE227" s="207">
        <f>IFERROR(__xludf.DUMMYFUNCTION("AVERAGE(ARRAYFORMULA(XLOOKUP(FILTER(INDIRECT(""'""&amp;CE$1&amp;""'!$C$4:$C$66""),INDIRECT(""'""&amp;CE$1&amp;""'!$D$4:$D$66"")=CE$2),$G$3:$BQ$3,$G227:$BQ227)))"),0.21928117290322582)</f>
        <v>0.2192811729</v>
      </c>
      <c r="CF227" s="207" t="str">
        <f>IFERROR(__xludf.DUMMYFUNCTION("IF(OR(CE227&gt;$BS227+$BT227*$BT$2,CE227&lt;$BS227-$BT227*$BT$2),AVEDEV(ARRAYFORMULA(XLOOKUP(FILTER(INDIRECT(""'""&amp;CE$1&amp;""'!$C$4:$C$66""),INDIRECT(""'""&amp;CE$1&amp;""'!$D$4:$D$66"")=CE$2),$G$3:$BQ$3,$G227:$BQ227))),"""")"),"")</f>
        <v/>
      </c>
      <c r="CG227" s="207">
        <f>IFERROR(__xludf.DUMMYFUNCTION("AVERAGE(ARRAYFORMULA(XLOOKUP(FILTER(INDIRECT(""'""&amp;CG$1&amp;""'!$C$4:$C$66""),INDIRECT(""'""&amp;CG$1&amp;""'!$D$4:$D$66"")=CG$2),$G$3:$BQ$3,$G227:$BQ227)))"),-0.287438838)</f>
        <v>-0.287438838</v>
      </c>
      <c r="CH227" s="207" t="str">
        <f>IFERROR(__xludf.DUMMYFUNCTION("IF(OR(CG227&gt;$BS227+$BT227*$BT$2,CG227&lt;$BS227-$BT227*$BT$2),AVEDEV(ARRAYFORMULA(XLOOKUP(FILTER(INDIRECT(""'""&amp;CG$1&amp;""'!$C$4:$C$66""),INDIRECT(""'""&amp;CG$1&amp;""'!$D$4:$D$66"")=CG$2),$G$3:$BQ$3,$G227:$BQ227))),"""")"),"")</f>
        <v/>
      </c>
      <c r="CI227" s="206"/>
      <c r="CJ227" s="251">
        <f>IFERROR(__xludf.DUMMYFUNCTION("AVERAGE(ARRAYFORMULA(XLOOKUP(FILTER(INDIRECT(""'""&amp;CJ$1&amp;""'!$C$4:$C$66""),INDIRECT(""'""&amp;CJ$1&amp;""'!$D$4:$D$66"")=CJ$2),$G$3:$BQ$3,$G227:$BQ227)))"),0.07648722266666669)</f>
        <v>0.07648722267</v>
      </c>
      <c r="CK227" s="207" t="str">
        <f>IFERROR(__xludf.DUMMYFUNCTION("IF(OR(CJ227&gt;$BS227+$BT227*$BT$2,CJ227&lt;$BS227-$BT227*$BT$2),AVEDEV(ARRAYFORMULA(XLOOKUP(FILTER(INDIRECT(""'""&amp;CJ$1&amp;""'!$C$4:$C$66""),INDIRECT(""'""&amp;CJ$1&amp;""'!$D$4:$D$66"")=CJ$2),$G$3:$BQ$3,$G227:$BQ227))),"""")"),"")</f>
        <v/>
      </c>
      <c r="CL227" s="251">
        <f>IFERROR(__xludf.DUMMYFUNCTION("AVERAGE(ARRAYFORMULA(XLOOKUP(FILTER(INDIRECT(""'""&amp;CL$1&amp;""'!$C$4:$C$66""),INDIRECT(""'""&amp;CL$1&amp;""'!$D$4:$D$66"")=CL$2),$G$3:$BQ$3,$G227:$BQ227)))"),-0.023390629230769212)</f>
        <v>-0.02339062923</v>
      </c>
      <c r="CM227" s="207" t="str">
        <f>IFERROR(__xludf.DUMMYFUNCTION("IF(OR(CL227&gt;$BS227+$BT227*$BT$2,CL227&lt;$BS227-$BT227*$BT$2),AVEDEV(ARRAYFORMULA(XLOOKUP(FILTER(INDIRECT(""'""&amp;CL$1&amp;""'!$C$4:$C$66""),INDIRECT(""'""&amp;CL$1&amp;""'!$D$4:$D$66"")=CL$2),$G$3:$BQ$3,$G227:$BQ227))),"""")"),"")</f>
        <v/>
      </c>
      <c r="CN227" s="251">
        <f>IFERROR(__xludf.DUMMYFUNCTION("AVERAGE(ARRAYFORMULA(XLOOKUP(FILTER(INDIRECT(""'""&amp;CN$1&amp;""'!$C$4:$C$66""),INDIRECT(""'""&amp;CN$1&amp;""'!$D$4:$D$66"")=CN$2),$G$3:$BQ$3,$G227:$BQ227)))"),-0.287438838)</f>
        <v>-0.287438838</v>
      </c>
      <c r="CO227" s="207" t="str">
        <f>IFERROR(__xludf.DUMMYFUNCTION("IF(OR(CN227&gt;$BS227+$BT227*$BT$2,CN227&lt;$BS227-$BT227*$BT$2),AVEDEV(ARRAYFORMULA(XLOOKUP(FILTER(INDIRECT(""'""&amp;CN$1&amp;""'!$C$4:$C$66""),INDIRECT(""'""&amp;CN$1&amp;""'!$D$4:$D$66"")=CN$2),$G$3:$BQ$3,$G227:$BQ227))),"""")"),"")</f>
        <v/>
      </c>
      <c r="CP227" s="252"/>
      <c r="CQ227" s="251">
        <f>IFERROR(__xludf.DUMMYFUNCTION("AVERAGE(ARRAYFORMULA(XLOOKUP(FILTER(INDIRECT(""'""&amp;CQ$1&amp;""'!$C$4:$C$66""),INDIRECT(""'""&amp;CQ$1&amp;""'!$D$4:$D$66"")=CQ$2),$G$3:$BQ$3,$G227:$BQ227)))"),-0.5138895278571428)</f>
        <v>-0.5138895279</v>
      </c>
      <c r="CR227" s="207" t="str">
        <f>IFERROR(__xludf.DUMMYFUNCTION("IF(OR(CQ227&gt;$BS227+$BT227*$BT$2,CQ227&lt;$BS227-$BT227*$BT$2),AVEDEV(ARRAYFORMULA(XLOOKUP(FILTER(INDIRECT(""'""&amp;CQ$1&amp;""'!$C$4:$C$66""),INDIRECT(""'""&amp;CQ$1&amp;""'!$D$4:$D$66"")=CQ$2),$G$3:$BQ$3,$G227:$BQ227))),"""")"),"")</f>
        <v/>
      </c>
      <c r="CS227" s="251">
        <f>IFERROR(__xludf.DUMMYFUNCTION("AVERAGE(ARRAYFORMULA(XLOOKUP(FILTER(INDIRECT(""'""&amp;CS$1&amp;""'!$C$4:$C$66""),INDIRECT(""'""&amp;CS$1&amp;""'!$D$4:$D$66"")=CS$2),$G$3:$BQ$3,$G227:$BQ227)))"),0.22838499222222225)</f>
        <v>0.2283849922</v>
      </c>
      <c r="CT227" s="207" t="str">
        <f>IFERROR(__xludf.DUMMYFUNCTION("IF(OR(CS227&gt;$BS227+$BT227*$BT$2,CS227&lt;$BS227-$BT227*$BT$2),AVEDEV(ARRAYFORMULA(XLOOKUP(FILTER(INDIRECT(""'""&amp;CS$1&amp;""'!$C$4:$C$66""),INDIRECT(""'""&amp;CS$1&amp;""'!$D$4:$D$66"")=CS$2),$G$3:$BQ$3,$G227:$BQ227))),"""")"),"")</f>
        <v/>
      </c>
      <c r="CU227" s="251">
        <f>IFERROR(__xludf.DUMMYFUNCTION("AVERAGE(ARRAYFORMULA(XLOOKUP(FILTER(INDIRECT(""'""&amp;CU$1&amp;""'!$C$4:$C$66""),INDIRECT(""'""&amp;CU$1&amp;""'!$D$4:$D$66"")=CU$2),$G$3:$BQ$3,$G227:$BQ227)))"),0.37787335)</f>
        <v>0.37787335</v>
      </c>
      <c r="CV227" s="207" t="str">
        <f>IFERROR(__xludf.DUMMYFUNCTION("IF(OR(CU227&gt;$BS227+$BT227*$BT$2,CU227&lt;$BS227-$BT227*$BT$2),AVEDEV(ARRAYFORMULA(XLOOKUP(FILTER(INDIRECT(""'""&amp;CU$1&amp;""'!$C$4:$C$66""),INDIRECT(""'""&amp;CU$1&amp;""'!$D$4:$D$66"")=CU$2),$G$3:$BQ$3,$G227:$BQ227))),"""")"),"")</f>
        <v/>
      </c>
      <c r="CW227" s="251">
        <f>IFERROR(__xludf.DUMMYFUNCTION("AVERAGE(ARRAYFORMULA(XLOOKUP(FILTER(INDIRECT(""'""&amp;CW$1&amp;""'!$C$4:$C$66""),INDIRECT(""'""&amp;CW$1&amp;""'!$D$4:$D$66"")=CW$2),$G$3:$BQ$3,$G227:$BQ227)))"),-0.637031)</f>
        <v>-0.637031</v>
      </c>
      <c r="CX227" s="207" t="str">
        <f>IFERROR(__xludf.DUMMYFUNCTION("IF(OR(CW227&gt;$BS227+$BT227*$BT$2,CW227&lt;$BS227-$BT227*$BT$2),AVEDEV(ARRAYFORMULA(XLOOKUP(FILTER(INDIRECT(""'""&amp;CW$1&amp;""'!$C$4:$C$66""),INDIRECT(""'""&amp;CW$1&amp;""'!$D$4:$D$66"")=CW$2),$G$3:$BQ$3,$G227:$BQ227))),"""")"),"")</f>
        <v/>
      </c>
      <c r="CY227" s="251">
        <f>IFERROR(__xludf.DUMMYFUNCTION("AVERAGE(ARRAYFORMULA(XLOOKUP(FILTER(INDIRECT(""'""&amp;CY$1&amp;""'!$C$4:$C$66""),INDIRECT(""'""&amp;CY$1&amp;""'!$D$4:$D$66"")=CY$2),$G$3:$BQ$3,$G227:$BQ227)))"),0.16208344285714288)</f>
        <v>0.1620834429</v>
      </c>
      <c r="CZ227" s="207" t="str">
        <f>IFERROR(__xludf.DUMMYFUNCTION("IF(OR(CY227&gt;$BS227+$BT227*$BT$2,CY227&lt;$BS227-$BT227*$BT$2),AVEDEV(ARRAYFORMULA(XLOOKUP(FILTER(INDIRECT(""'""&amp;CY$1&amp;""'!$C$4:$C$66""),INDIRECT(""'""&amp;CY$1&amp;""'!$D$4:$D$66"")=CY$2),$G$3:$BQ$3,$G227:$BQ227))),"""")"),"")</f>
        <v/>
      </c>
      <c r="DA227" s="252"/>
      <c r="DB227" s="251">
        <f>IFERROR(__xludf.DUMMYFUNCTION("AVERAGE(ARRAYFORMULA(XLOOKUP(FILTER(INDIRECT(""'""&amp;DB$1&amp;""'!$C$4:$C$66""),INDIRECT(""'""&amp;DB$1&amp;""'!$D$4:$D$66"")=DB$2),$G$3:$BQ$3,$G227:$BQ227)))"),-0.19501902733333334)</f>
        <v>-0.1950190273</v>
      </c>
      <c r="DC227" s="207" t="str">
        <f>IFERROR(__xludf.DUMMYFUNCTION("IF(OR(DB227&gt;$BS227+$BT227*$BT$2,DB227&lt;$BS227-$BT227*$BT$2),AVEDEV(ARRAYFORMULA(XLOOKUP(FILTER(INDIRECT(""'""&amp;DB$1&amp;""'!$C$4:$C$66""),INDIRECT(""'""&amp;DB$1&amp;""'!$D$4:$D$66"")=DB$2),$G$3:$BQ$3,$G227:$BQ227))),"""")"),"")</f>
        <v/>
      </c>
      <c r="DD227" s="251">
        <f>IFERROR(__xludf.DUMMYFUNCTION("AVERAGE(ARRAYFORMULA(XLOOKUP(FILTER(INDIRECT(""'""&amp;DD$1&amp;""'!$C$4:$C$66""),INDIRECT(""'""&amp;DD$1&amp;""'!$D$4:$D$66"")=DD$2),$G$3:$BQ$3,$G227:$BQ227)))"),0.16530723222222224)</f>
        <v>0.1653072322</v>
      </c>
      <c r="DE227" s="207" t="str">
        <f>IFERROR(__xludf.DUMMYFUNCTION("IF(OR(DD227&gt;$BS227+$BT227*$BT$2,DD227&lt;$BS227-$BT227*$BT$2),AVEDEV(ARRAYFORMULA(XLOOKUP(FILTER(INDIRECT(""'""&amp;DD$1&amp;""'!$C$4:$C$66""),INDIRECT(""'""&amp;DD$1&amp;""'!$D$4:$D$66"")=DD$2),$G$3:$BQ$3,$G227:$BQ227))),"""")"),"")</f>
        <v/>
      </c>
      <c r="DF227" s="251">
        <f>IFERROR(__xludf.DUMMYFUNCTION("AVERAGE(ARRAYFORMULA(XLOOKUP(FILTER(INDIRECT(""'""&amp;DF$1&amp;""'!$C$4:$C$66""),INDIRECT(""'""&amp;DF$1&amp;""'!$D$4:$D$66"")=DF$2),$G$3:$BQ$3,$G227:$BQ227)))"),0.4571778250000001)</f>
        <v>0.457177825</v>
      </c>
      <c r="DG227" s="207" t="str">
        <f>IFERROR(__xludf.DUMMYFUNCTION("IF(OR(DF227&gt;$BS227+$BT227*$BT$2,DF227&lt;$BS227-$BT227*$BT$2),AVEDEV(ARRAYFORMULA(XLOOKUP(FILTER(INDIRECT(""'""&amp;DF$1&amp;""'!$C$4:$C$66""),INDIRECT(""'""&amp;DF$1&amp;""'!$D$4:$D$66"")=DF$2),$G$3:$BQ$3,$G227:$BQ227))),"""")"),"")</f>
        <v/>
      </c>
      <c r="DH227" s="251">
        <f>IFERROR(__xludf.DUMMYFUNCTION("AVERAGE(ARRAYFORMULA(XLOOKUP(FILTER(INDIRECT(""'""&amp;DH$1&amp;""'!$C$4:$C$66""),INDIRECT(""'""&amp;DH$1&amp;""'!$D$4:$D$66"")=DH$2),$G$3:$BQ$3,$G227:$BQ227)))"),0.10933478444444446)</f>
        <v>0.1093347844</v>
      </c>
      <c r="DI227" s="207" t="str">
        <f>IFERROR(__xludf.DUMMYFUNCTION("IF(OR(DH227&gt;$BS227+$BT227*$BT$2,DH227&lt;$BS227-$BT227*$BT$2),AVEDEV(ARRAYFORMULA(XLOOKUP(FILTER(INDIRECT(""'""&amp;DH$1&amp;""'!$C$4:$C$66""),INDIRECT(""'""&amp;DH$1&amp;""'!$D$4:$D$66"")=DH$2),$G$3:$BQ$3,$G227:$BQ227))),"""")"),"")</f>
        <v/>
      </c>
      <c r="DJ227" s="243"/>
    </row>
    <row r="228">
      <c r="A228" s="2"/>
      <c r="B228" s="204">
        <v>224.0</v>
      </c>
      <c r="C228" s="204" t="s">
        <v>671</v>
      </c>
      <c r="D228" s="204" t="s">
        <v>674</v>
      </c>
      <c r="E228" s="205" t="b">
        <f>VLOOKUP(D228,'Feature Set List'!A225:C246,2,0)</f>
        <v>1</v>
      </c>
      <c r="F228" s="205" t="b">
        <f>VLOOKUP(D228,'Feature Set List'!A225:C246,3,0)</f>
        <v>0</v>
      </c>
      <c r="G228" s="205">
        <v>0.35800236</v>
      </c>
      <c r="H228" s="205">
        <v>-0.7451042</v>
      </c>
      <c r="I228" s="205">
        <v>0.10460087</v>
      </c>
      <c r="J228" s="205">
        <v>-0.3652379</v>
      </c>
      <c r="K228" s="205">
        <v>-0.6441211</v>
      </c>
      <c r="L228" s="205">
        <v>0.47597326</v>
      </c>
      <c r="M228" s="205">
        <v>1.37097916</v>
      </c>
      <c r="N228" s="205">
        <v>-0.1118364</v>
      </c>
      <c r="O228" s="205">
        <v>-0.0075501</v>
      </c>
      <c r="P228" s="205">
        <v>0.15996854</v>
      </c>
      <c r="Q228" s="205">
        <v>-0.3595753</v>
      </c>
      <c r="R228" s="205">
        <v>0.78584349</v>
      </c>
      <c r="S228" s="205">
        <v>0.13841919</v>
      </c>
      <c r="T228" s="205">
        <v>0.19127015</v>
      </c>
      <c r="U228" s="205">
        <v>0.0</v>
      </c>
      <c r="V228" s="205">
        <v>-0.5832481</v>
      </c>
      <c r="W228" s="205">
        <v>0.52473457</v>
      </c>
      <c r="X228" s="205">
        <v>-1.1535981</v>
      </c>
      <c r="Y228" s="205">
        <v>1.21368462</v>
      </c>
      <c r="Z228" s="205">
        <v>0.9525757</v>
      </c>
      <c r="AA228" s="205">
        <v>-0.0907589</v>
      </c>
      <c r="AB228" s="205">
        <v>-0.0353913</v>
      </c>
      <c r="AC228" s="205">
        <v>0.30766811</v>
      </c>
      <c r="AD228" s="205">
        <v>0.01808887</v>
      </c>
      <c r="AE228" s="205">
        <v>-0.7328352</v>
      </c>
      <c r="AF228" s="205">
        <v>0.61124656</v>
      </c>
      <c r="AG228" s="205">
        <v>-0.7130161</v>
      </c>
      <c r="AH228" s="205">
        <v>0.11466772</v>
      </c>
      <c r="AI228" s="205">
        <v>-0.237672</v>
      </c>
      <c r="AJ228" s="205">
        <v>-0.7042076</v>
      </c>
      <c r="AK228" s="205">
        <v>-0.539363</v>
      </c>
      <c r="AL228" s="205">
        <v>0.30766811</v>
      </c>
      <c r="AM228" s="205">
        <v>0.56248525</v>
      </c>
      <c r="AN228" s="205">
        <v>-0.0371215</v>
      </c>
      <c r="AO228" s="205">
        <v>0.8173024</v>
      </c>
      <c r="AP228" s="205">
        <v>-0.8279984</v>
      </c>
      <c r="AQ228" s="205">
        <v>0.86449076</v>
      </c>
      <c r="AR228" s="205">
        <v>-0.3325206</v>
      </c>
      <c r="AS228" s="205">
        <v>0.77955171</v>
      </c>
      <c r="AT228" s="205">
        <v>-0.7032639</v>
      </c>
      <c r="AU228" s="205">
        <v>-1.3407786</v>
      </c>
      <c r="AV228" s="205">
        <v>-0.6710185</v>
      </c>
      <c r="AW228" s="205">
        <v>-0.5763272</v>
      </c>
      <c r="AX228" s="205">
        <v>-0.5272513</v>
      </c>
      <c r="AY228" s="205">
        <v>-0.7194652</v>
      </c>
      <c r="AZ228" s="205">
        <v>-0.0514353</v>
      </c>
      <c r="BA228" s="205">
        <v>0.19142745</v>
      </c>
      <c r="BB228" s="205">
        <v>-0.9421943</v>
      </c>
      <c r="BC228" s="205">
        <v>-0.0805348</v>
      </c>
      <c r="BD228" s="205">
        <v>0.40833661</v>
      </c>
      <c r="BE228" s="205">
        <v>-0.1115218</v>
      </c>
      <c r="BF228" s="205">
        <v>0.68517499</v>
      </c>
      <c r="BG228" s="205">
        <v>0.92898152</v>
      </c>
      <c r="BH228" s="205">
        <v>-1.115061</v>
      </c>
      <c r="BI228" s="205">
        <v>1.10829729</v>
      </c>
      <c r="BJ228" s="205">
        <v>-0.7076681</v>
      </c>
      <c r="BK228" s="205">
        <v>0.07723162</v>
      </c>
      <c r="BL228" s="205">
        <v>0.03602045</v>
      </c>
      <c r="BM228" s="205">
        <v>1.38198978</v>
      </c>
      <c r="BN228" s="205">
        <v>0.39889894</v>
      </c>
      <c r="BO228" s="205">
        <v>0.35485647</v>
      </c>
      <c r="BP228" s="205">
        <v>0.57192293</v>
      </c>
      <c r="BQ228" s="205">
        <v>-0.1640582</v>
      </c>
      <c r="BR228" s="206"/>
      <c r="BS228" s="250">
        <f t="shared" si="1"/>
        <v>0.01381945159</v>
      </c>
      <c r="BT228" s="250">
        <f t="shared" si="2"/>
        <v>0.5198081413</v>
      </c>
      <c r="BU228" s="206"/>
      <c r="BV228" s="207">
        <f>IFERROR(__xludf.DUMMYFUNCTION("AVERAGE(ARRAYFORMULA(XLOOKUP(FILTER(INDIRECT(""'""&amp;BV$1&amp;""'!$C$4:$C$66""),INDIRECT(""'""&amp;BV$1&amp;""'!$D$4:$D$66"")=BV$2),$G$3:$BQ$3,$G228:$BQ228)))"),-0.29620807857142856)</f>
        <v>-0.2962080786</v>
      </c>
      <c r="BW228" s="207" t="str">
        <f>IFERROR(__xludf.DUMMYFUNCTION("IF(OR(BV228&gt;$BS228+$BT228*$BT$2,BV228&lt;$BS228-$BT228*$BT$2),AVEDEV(ARRAYFORMULA(XLOOKUP(FILTER(INDIRECT(""'""&amp;BV$1&amp;""'!$C$4:$C$66""),INDIRECT(""'""&amp;BV$1&amp;""'!$D$4:$D$66"")=BV$2),$G$3:$BQ$3,$G228:$BQ228))),"""")"),"")</f>
        <v/>
      </c>
      <c r="BX228" s="207">
        <f>IFERROR(__xludf.DUMMYFUNCTION("AVERAGE(ARRAYFORMULA(XLOOKUP(FILTER(INDIRECT(""'""&amp;BX$1&amp;""'!$C$4:$C$66""),INDIRECT(""'""&amp;BX$1&amp;""'!$D$4:$D$66"")=BX$2),$G$3:$BQ$3,$G228:$BQ228)))"),-0.0632361435714286)</f>
        <v>-0.06323614357</v>
      </c>
      <c r="BY228" s="207" t="str">
        <f>IFERROR(__xludf.DUMMYFUNCTION("IF(OR(BX228&gt;$BS228+$BT228*$BT$2,BX228&lt;$BS228-$BT228*$BT$2),AVEDEV(ARRAYFORMULA(XLOOKUP(FILTER(INDIRECT(""'""&amp;BX$1&amp;""'!$C$4:$C$66""),INDIRECT(""'""&amp;BX$1&amp;""'!$D$4:$D$66"")=BX$2),$G$3:$BQ$3,$G228:$BQ228))),"""")"),"")</f>
        <v/>
      </c>
      <c r="BZ228" s="207">
        <f>IFERROR(__xludf.DUMMYFUNCTION("AVERAGE(ARRAYFORMULA(XLOOKUP(FILTER(INDIRECT(""'""&amp;BZ$1&amp;""'!$C$4:$C$66""),INDIRECT(""'""&amp;BZ$1&amp;""'!$D$4:$D$66"")=BZ$2),$G$3:$BQ$3,$G228:$BQ228)))"),0.5843491954545456)</f>
        <v>0.5843491955</v>
      </c>
      <c r="CA228" s="207">
        <f>IFERROR(__xludf.DUMMYFUNCTION("IF(OR(BZ228&gt;$BS228+$BT228*$BT$2,BZ228&lt;$BS228-$BT228*$BT$2),AVEDEV(ARRAYFORMULA(XLOOKUP(FILTER(INDIRECT(""'""&amp;BZ$1&amp;""'!$C$4:$C$66""),INDIRECT(""'""&amp;BZ$1&amp;""'!$D$4:$D$66"")=BZ$2),$G$3:$BQ$3,$G228:$BQ228))),"""")"),0.4073642433057851)</f>
        <v>0.4073642433</v>
      </c>
      <c r="CB228" s="209"/>
      <c r="CC228" s="207">
        <f>IFERROR(__xludf.DUMMYFUNCTION("AVERAGE(ARRAYFORMULA(XLOOKUP(FILTER(INDIRECT(""'""&amp;CC$1&amp;""'!$C$4:$C$66""),INDIRECT(""'""&amp;CC$1&amp;""'!$D$4:$D$66"")=CC$2),$G$3:$BQ$3,$G228:$BQ228)))"),-0.38578450312499996)</f>
        <v>-0.3857845031</v>
      </c>
      <c r="CD228" s="207" t="str">
        <f>IFERROR(__xludf.DUMMYFUNCTION("IF(OR(CC228&gt;$BS228+$BT228*$BT$2,CC228&lt;$BS228-$BT228*$BT$2),AVEDEV(ARRAYFORMULA(XLOOKUP(FILTER(INDIRECT(""'""&amp;CC$1&amp;""'!$C$4:$C$66""),INDIRECT(""'""&amp;CC$1&amp;""'!$D$4:$D$66"")=CC$2),$G$3:$BQ$3,$G228:$BQ228))),"""")"),"")</f>
        <v/>
      </c>
      <c r="CE228" s="207">
        <f>IFERROR(__xludf.DUMMYFUNCTION("AVERAGE(ARRAYFORMULA(XLOOKUP(FILTER(INDIRECT(""'""&amp;CE$1&amp;""'!$C$4:$C$66""),INDIRECT(""'""&amp;CE$1&amp;""'!$D$4:$D$66"")=CE$2),$G$3:$BQ$3,$G228:$BQ228)))"),0.15112960612903226)</f>
        <v>0.1511296061</v>
      </c>
      <c r="CF228" s="207" t="str">
        <f>IFERROR(__xludf.DUMMYFUNCTION("IF(OR(CE228&gt;$BS228+$BT228*$BT$2,CE228&lt;$BS228-$BT228*$BT$2),AVEDEV(ARRAYFORMULA(XLOOKUP(FILTER(INDIRECT(""'""&amp;CE$1&amp;""'!$C$4:$C$66""),INDIRECT(""'""&amp;CE$1&amp;""'!$D$4:$D$66"")=CE$2),$G$3:$BQ$3,$G228:$BQ228))),"""")"),"")</f>
        <v/>
      </c>
      <c r="CG228" s="207">
        <f>IFERROR(__xludf.DUMMYFUNCTION("AVERAGE(ARRAYFORMULA(XLOOKUP(FILTER(INDIRECT(""'""&amp;CG$1&amp;""'!$C$4:$C$66""),INDIRECT(""'""&amp;CG$1&amp;""'!$D$4:$D$66"")=CG$2),$G$3:$BQ$3,$G228:$BQ228)))"),0.45023987400000004)</f>
        <v>0.450239874</v>
      </c>
      <c r="CH228" s="207" t="str">
        <f>IFERROR(__xludf.DUMMYFUNCTION("IF(OR(CG228&gt;$BS228+$BT228*$BT$2,CG228&lt;$BS228-$BT228*$BT$2),AVEDEV(ARRAYFORMULA(XLOOKUP(FILTER(INDIRECT(""'""&amp;CG$1&amp;""'!$C$4:$C$66""),INDIRECT(""'""&amp;CG$1&amp;""'!$D$4:$D$66"")=CG$2),$G$3:$BQ$3,$G228:$BQ228))),"""")"),"")</f>
        <v/>
      </c>
      <c r="CI228" s="206"/>
      <c r="CJ228" s="251">
        <f>IFERROR(__xludf.DUMMYFUNCTION("AVERAGE(ARRAYFORMULA(XLOOKUP(FILTER(INDIRECT(""'""&amp;CJ$1&amp;""'!$C$4:$C$66""),INDIRECT(""'""&amp;CJ$1&amp;""'!$D$4:$D$66"")=CJ$2),$G$3:$BQ$3,$G228:$BQ228)))"),-0.01003538933333333)</f>
        <v>-0.01003538933</v>
      </c>
      <c r="CK228" s="207" t="str">
        <f>IFERROR(__xludf.DUMMYFUNCTION("IF(OR(CJ228&gt;$BS228+$BT228*$BT$2,CJ228&lt;$BS228-$BT228*$BT$2),AVEDEV(ARRAYFORMULA(XLOOKUP(FILTER(INDIRECT(""'""&amp;CJ$1&amp;""'!$C$4:$C$66""),INDIRECT(""'""&amp;CJ$1&amp;""'!$D$4:$D$66"")=CJ$2),$G$3:$BQ$3,$G228:$BQ228))),"""")"),"")</f>
        <v/>
      </c>
      <c r="CL228" s="251">
        <f>IFERROR(__xludf.DUMMYFUNCTION("AVERAGE(ARRAYFORMULA(XLOOKUP(FILTER(INDIRECT(""'""&amp;CL$1&amp;""'!$C$4:$C$66""),INDIRECT(""'""&amp;CL$1&amp;""'!$D$4:$D$66"")=CL$2),$G$3:$BQ$3,$G228:$BQ228)))"),-0.011236472051282052)</f>
        <v>-0.01123647205</v>
      </c>
      <c r="CM228" s="207" t="str">
        <f>IFERROR(__xludf.DUMMYFUNCTION("IF(OR(CL228&gt;$BS228+$BT228*$BT$2,CL228&lt;$BS228-$BT228*$BT$2),AVEDEV(ARRAYFORMULA(XLOOKUP(FILTER(INDIRECT(""'""&amp;CL$1&amp;""'!$C$4:$C$66""),INDIRECT(""'""&amp;CL$1&amp;""'!$D$4:$D$66"")=CL$2),$G$3:$BQ$3,$G228:$BQ228))),"""")"),"")</f>
        <v/>
      </c>
      <c r="CN228" s="251">
        <f>IFERROR(__xludf.DUMMYFUNCTION("AVERAGE(ARRAYFORMULA(XLOOKUP(FILTER(INDIRECT(""'""&amp;CN$1&amp;""'!$C$4:$C$66""),INDIRECT(""'""&amp;CN$1&amp;""'!$D$4:$D$66"")=CN$2),$G$3:$BQ$3,$G228:$BQ228)))"),0.45023987400000004)</f>
        <v>0.450239874</v>
      </c>
      <c r="CO228" s="207" t="str">
        <f>IFERROR(__xludf.DUMMYFUNCTION("IF(OR(CN228&gt;$BS228+$BT228*$BT$2,CN228&lt;$BS228-$BT228*$BT$2),AVEDEV(ARRAYFORMULA(XLOOKUP(FILTER(INDIRECT(""'""&amp;CN$1&amp;""'!$C$4:$C$66""),INDIRECT(""'""&amp;CN$1&amp;""'!$D$4:$D$66"")=CN$2),$G$3:$BQ$3,$G228:$BQ228))),"""")"),"")</f>
        <v/>
      </c>
      <c r="CP228" s="252"/>
      <c r="CQ228" s="251">
        <f>IFERROR(__xludf.DUMMYFUNCTION("AVERAGE(ARRAYFORMULA(XLOOKUP(FILTER(INDIRECT(""'""&amp;CQ$1&amp;""'!$C$4:$C$66""),INDIRECT(""'""&amp;CQ$1&amp;""'!$D$4:$D$66"")=CQ$2),$G$3:$BQ$3,$G228:$BQ228)))"),-0.2498623585714286)</f>
        <v>-0.2498623586</v>
      </c>
      <c r="CR228" s="207" t="str">
        <f>IFERROR(__xludf.DUMMYFUNCTION("IF(OR(CQ228&gt;$BS228+$BT228*$BT$2,CQ228&lt;$BS228-$BT228*$BT$2),AVEDEV(ARRAYFORMULA(XLOOKUP(FILTER(INDIRECT(""'""&amp;CQ$1&amp;""'!$C$4:$C$66""),INDIRECT(""'""&amp;CQ$1&amp;""'!$D$4:$D$66"")=CQ$2),$G$3:$BQ$3,$G228:$BQ228))),"""")"),"")</f>
        <v/>
      </c>
      <c r="CS228" s="251">
        <f>IFERROR(__xludf.DUMMYFUNCTION("AVERAGE(ARRAYFORMULA(XLOOKUP(FILTER(INDIRECT(""'""&amp;CS$1&amp;""'!$C$4:$C$66""),INDIRECT(""'""&amp;CS$1&amp;""'!$D$4:$D$66"")=CS$2),$G$3:$BQ$3,$G228:$BQ228)))"),0.5663651855555556)</f>
        <v>0.5663651856</v>
      </c>
      <c r="CT228" s="207">
        <f>IFERROR(__xludf.DUMMYFUNCTION("IF(OR(CS228&gt;$BS228+$BT228*$BT$2,CS228&lt;$BS228-$BT228*$BT$2),AVEDEV(ARRAYFORMULA(XLOOKUP(FILTER(INDIRECT(""'""&amp;CS$1&amp;""'!$C$4:$C$66""),INDIRECT(""'""&amp;CS$1&amp;""'!$D$4:$D$66"")=CS$2),$G$3:$BQ$3,$G228:$BQ228))),"""")"),0.33262550740740743)</f>
        <v>0.3326255074</v>
      </c>
      <c r="CU228" s="251">
        <f>IFERROR(__xludf.DUMMYFUNCTION("AVERAGE(ARRAYFORMULA(XLOOKUP(FILTER(INDIRECT(""'""&amp;CU$1&amp;""'!$C$4:$C$66""),INDIRECT(""'""&amp;CU$1&amp;""'!$D$4:$D$66"")=CU$2),$G$3:$BQ$3,$G228:$BQ228)))"),0.07774639636363635)</f>
        <v>0.07774639636</v>
      </c>
      <c r="CV228" s="207" t="str">
        <f>IFERROR(__xludf.DUMMYFUNCTION("IF(OR(CU228&gt;$BS228+$BT228*$BT$2,CU228&lt;$BS228-$BT228*$BT$2),AVEDEV(ARRAYFORMULA(XLOOKUP(FILTER(INDIRECT(""'""&amp;CU$1&amp;""'!$C$4:$C$66""),INDIRECT(""'""&amp;CU$1&amp;""'!$D$4:$D$66"")=CU$2),$G$3:$BQ$3,$G228:$BQ228))),"""")"),"")</f>
        <v/>
      </c>
      <c r="CW228" s="251">
        <f>IFERROR(__xludf.DUMMYFUNCTION("AVERAGE(ARRAYFORMULA(XLOOKUP(FILTER(INDIRECT(""'""&amp;CW$1&amp;""'!$C$4:$C$66""),INDIRECT(""'""&amp;CW$1&amp;""'!$D$4:$D$66"")=CW$2),$G$3:$BQ$3,$G228:$BQ228)))"),-0.5484860650000001)</f>
        <v>-0.548486065</v>
      </c>
      <c r="CX228" s="207">
        <f>IFERROR(__xludf.DUMMYFUNCTION("IF(OR(CW228&gt;$BS228+$BT228*$BT$2,CW228&lt;$BS228-$BT228*$BT$2),AVEDEV(ARRAYFORMULA(XLOOKUP(FILTER(INDIRECT(""'""&amp;CW$1&amp;""'!$C$4:$C$66""),INDIRECT(""'""&amp;CW$1&amp;""'!$D$4:$D$66"")=CW$2),$G$3:$BQ$3,$G228:$BQ228))),"""")"),0.566574935)</f>
        <v>0.566574935</v>
      </c>
      <c r="CY228" s="251">
        <f>IFERROR(__xludf.DUMMYFUNCTION("AVERAGE(ARRAYFORMULA(XLOOKUP(FILTER(INDIRECT(""'""&amp;CY$1&amp;""'!$C$4:$C$66""),INDIRECT(""'""&amp;CY$1&amp;""'!$D$4:$D$66"")=CY$2),$G$3:$BQ$3,$G228:$BQ228)))"),0.06407506071428573)</f>
        <v>0.06407506071</v>
      </c>
      <c r="CZ228" s="207" t="str">
        <f>IFERROR(__xludf.DUMMYFUNCTION("IF(OR(CY228&gt;$BS228+$BT228*$BT$2,CY228&lt;$BS228-$BT228*$BT$2),AVEDEV(ARRAYFORMULA(XLOOKUP(FILTER(INDIRECT(""'""&amp;CY$1&amp;""'!$C$4:$C$66""),INDIRECT(""'""&amp;CY$1&amp;""'!$D$4:$D$66"")=CY$2),$G$3:$BQ$3,$G228:$BQ228))),"""")"),"")</f>
        <v/>
      </c>
      <c r="DA228" s="252"/>
      <c r="DB228" s="251">
        <f>IFERROR(__xludf.DUMMYFUNCTION("AVERAGE(ARRAYFORMULA(XLOOKUP(FILTER(INDIRECT(""'""&amp;DB$1&amp;""'!$C$4:$C$66""),INDIRECT(""'""&amp;DB$1&amp;""'!$D$4:$D$66"")=DB$2),$G$3:$BQ$3,$G228:$BQ228)))"),-0.1083444716666667)</f>
        <v>-0.1083444717</v>
      </c>
      <c r="DC228" s="207" t="str">
        <f>IFERROR(__xludf.DUMMYFUNCTION("IF(OR(DB228&gt;$BS228+$BT228*$BT$2,DB228&lt;$BS228-$BT228*$BT$2),AVEDEV(ARRAYFORMULA(XLOOKUP(FILTER(INDIRECT(""'""&amp;DB$1&amp;""'!$C$4:$C$66""),INDIRECT(""'""&amp;DB$1&amp;""'!$D$4:$D$66"")=DB$2),$G$3:$BQ$3,$G228:$BQ228))),"""")"),"")</f>
        <v/>
      </c>
      <c r="DD228" s="251">
        <f>IFERROR(__xludf.DUMMYFUNCTION("AVERAGE(ARRAYFORMULA(XLOOKUP(FILTER(INDIRECT(""'""&amp;DD$1&amp;""'!$C$4:$C$66""),INDIRECT(""'""&amp;DD$1&amp;""'!$D$4:$D$66"")=DD$2),$G$3:$BQ$3,$G228:$BQ228)))"),0.4425918633333333)</f>
        <v>0.4425918633</v>
      </c>
      <c r="DE228" s="207" t="str">
        <f>IFERROR(__xludf.DUMMYFUNCTION("IF(OR(DD228&gt;$BS228+$BT228*$BT$2,DD228&lt;$BS228-$BT228*$BT$2),AVEDEV(ARRAYFORMULA(XLOOKUP(FILTER(INDIRECT(""'""&amp;DD$1&amp;""'!$C$4:$C$66""),INDIRECT(""'""&amp;DD$1&amp;""'!$D$4:$D$66"")=DD$2),$G$3:$BQ$3,$G228:$BQ228))),"""")"),"")</f>
        <v/>
      </c>
      <c r="DF228" s="251">
        <f>IFERROR(__xludf.DUMMYFUNCTION("AVERAGE(ARRAYFORMULA(XLOOKUP(FILTER(INDIRECT(""'""&amp;DF$1&amp;""'!$C$4:$C$66""),INDIRECT(""'""&amp;DF$1&amp;""'!$D$4:$D$66"")=DF$2),$G$3:$BQ$3,$G228:$BQ228)))"),-0.08114430250000002)</f>
        <v>-0.0811443025</v>
      </c>
      <c r="DG228" s="207" t="str">
        <f>IFERROR(__xludf.DUMMYFUNCTION("IF(OR(DF228&gt;$BS228+$BT228*$BT$2,DF228&lt;$BS228-$BT228*$BT$2),AVEDEV(ARRAYFORMULA(XLOOKUP(FILTER(INDIRECT(""'""&amp;DF$1&amp;""'!$C$4:$C$66""),INDIRECT(""'""&amp;DF$1&amp;""'!$D$4:$D$66"")=DF$2),$G$3:$BQ$3,$G228:$BQ228))),"""")"),"")</f>
        <v/>
      </c>
      <c r="DH228" s="251">
        <f>IFERROR(__xludf.DUMMYFUNCTION("AVERAGE(ARRAYFORMULA(XLOOKUP(FILTER(INDIRECT(""'""&amp;DH$1&amp;""'!$C$4:$C$66""),INDIRECT(""'""&amp;DH$1&amp;""'!$D$4:$D$66"")=DH$2),$G$3:$BQ$3,$G228:$BQ228)))"),0.24971380222222223)</f>
        <v>0.2497138022</v>
      </c>
      <c r="DI228" s="207" t="str">
        <f>IFERROR(__xludf.DUMMYFUNCTION("IF(OR(DH228&gt;$BS228+$BT228*$BT$2,DH228&lt;$BS228-$BT228*$BT$2),AVEDEV(ARRAYFORMULA(XLOOKUP(FILTER(INDIRECT(""'""&amp;DH$1&amp;""'!$C$4:$C$66""),INDIRECT(""'""&amp;DH$1&amp;""'!$D$4:$D$66"")=DH$2),$G$3:$BQ$3,$G228:$BQ228))),"""")"),"")</f>
        <v/>
      </c>
      <c r="DJ228" s="243"/>
    </row>
    <row r="229">
      <c r="A229" s="2"/>
      <c r="B229" s="204">
        <v>225.0</v>
      </c>
      <c r="C229" s="204" t="s">
        <v>671</v>
      </c>
      <c r="D229" s="204" t="s">
        <v>675</v>
      </c>
      <c r="E229" s="205" t="b">
        <f>VLOOKUP(D229,'Feature Set List'!A226:C246,2,0)</f>
        <v>1</v>
      </c>
      <c r="F229" s="205" t="b">
        <f>VLOOKUP(D229,'Feature Set List'!A226:C246,3,0)</f>
        <v>0</v>
      </c>
      <c r="G229" s="205">
        <v>1.40891411</v>
      </c>
      <c r="H229" s="205">
        <v>-0.4754192</v>
      </c>
      <c r="I229" s="205">
        <v>0.57361474</v>
      </c>
      <c r="J229" s="205">
        <v>-0.6120003</v>
      </c>
      <c r="K229" s="205">
        <v>-0.7322579</v>
      </c>
      <c r="L229" s="205">
        <v>0.24268316</v>
      </c>
      <c r="M229" s="205">
        <v>0.0</v>
      </c>
      <c r="N229" s="205">
        <v>-0.7897724</v>
      </c>
      <c r="O229" s="205">
        <v>-0.5669834</v>
      </c>
      <c r="P229" s="205">
        <v>0.4014538</v>
      </c>
      <c r="Q229" s="205">
        <v>-0.6660715</v>
      </c>
      <c r="R229" s="205">
        <v>0.19460562</v>
      </c>
      <c r="S229" s="205">
        <v>-0.3786265</v>
      </c>
      <c r="T229" s="205">
        <v>0.44863865</v>
      </c>
      <c r="U229" s="205">
        <v>0.65650705</v>
      </c>
      <c r="V229" s="205">
        <v>-0.8867564</v>
      </c>
      <c r="W229" s="205">
        <v>0.44481285</v>
      </c>
      <c r="X229" s="205">
        <v>-0.6800995</v>
      </c>
      <c r="Y229" s="205">
        <v>0.1437225</v>
      </c>
      <c r="Z229" s="205">
        <v>-0.0715424</v>
      </c>
      <c r="AA229" s="205">
        <v>-0.7586559</v>
      </c>
      <c r="AB229" s="205">
        <v>-0.028821</v>
      </c>
      <c r="AC229" s="205">
        <v>0.43971179</v>
      </c>
      <c r="AD229" s="205">
        <v>0.29688197</v>
      </c>
      <c r="AE229" s="205">
        <v>-0.6390359</v>
      </c>
      <c r="AF229" s="205">
        <v>0.49837404</v>
      </c>
      <c r="AG229" s="205">
        <v>0.98425046</v>
      </c>
      <c r="AH229" s="205">
        <v>0.50475037</v>
      </c>
      <c r="AI229" s="205">
        <v>-0.1103105</v>
      </c>
      <c r="AJ229" s="205">
        <v>0.91666135</v>
      </c>
      <c r="AK229" s="205">
        <v>-0.7891347</v>
      </c>
      <c r="AL229" s="205">
        <v>0.31346043</v>
      </c>
      <c r="AM229" s="205">
        <v>0.78020787</v>
      </c>
      <c r="AN229" s="205">
        <v>0.62845119</v>
      </c>
      <c r="AO229" s="205">
        <v>0.54683415</v>
      </c>
      <c r="AP229" s="205">
        <v>-0.3702098</v>
      </c>
      <c r="AQ229" s="205">
        <v>-0.9713065</v>
      </c>
      <c r="AR229" s="205">
        <v>-0.785564</v>
      </c>
      <c r="AS229" s="205">
        <v>0.58764267</v>
      </c>
      <c r="AT229" s="205">
        <v>-0.5370146</v>
      </c>
      <c r="AU229" s="205">
        <v>-0.9860358</v>
      </c>
      <c r="AV229" s="205">
        <v>1.22527578</v>
      </c>
      <c r="AW229" s="205">
        <v>-0.2104189</v>
      </c>
      <c r="AX229" s="205">
        <v>-0.6074093</v>
      </c>
      <c r="AY229" s="205">
        <v>0.17968501</v>
      </c>
      <c r="AZ229" s="205">
        <v>-0.033412</v>
      </c>
      <c r="BA229" s="205">
        <v>0.5978448</v>
      </c>
      <c r="BB229" s="205">
        <v>-0.9684627</v>
      </c>
      <c r="BC229" s="205">
        <v>-0.4346107</v>
      </c>
      <c r="BD229" s="205">
        <v>-0.3369253</v>
      </c>
      <c r="BE229" s="205">
        <v>0.1006185</v>
      </c>
      <c r="BF229" s="205">
        <v>-0.1388765</v>
      </c>
      <c r="BG229" s="205">
        <v>0.27316202</v>
      </c>
      <c r="BH229" s="205">
        <v>-0.9371549</v>
      </c>
      <c r="BI229" s="205">
        <v>-0.2873175</v>
      </c>
      <c r="BJ229" s="205">
        <v>0.12829178</v>
      </c>
      <c r="BK229" s="205">
        <v>0.29178091</v>
      </c>
      <c r="BL229" s="205">
        <v>3.92884015</v>
      </c>
      <c r="BM229" s="205">
        <v>0.44736339</v>
      </c>
      <c r="BN229" s="205">
        <v>-0.0286935</v>
      </c>
      <c r="BO229" s="205">
        <v>0.8886055</v>
      </c>
      <c r="BP229" s="205">
        <v>0.4014538</v>
      </c>
      <c r="BQ229" s="205">
        <v>-0.2021297</v>
      </c>
      <c r="BR229" s="206"/>
      <c r="BS229" s="250">
        <f t="shared" si="1"/>
        <v>0.05482652714</v>
      </c>
      <c r="BT229" s="250">
        <f t="shared" si="2"/>
        <v>0.5643008911</v>
      </c>
      <c r="BU229" s="206"/>
      <c r="BV229" s="207">
        <f>IFERROR(__xludf.DUMMYFUNCTION("AVERAGE(ARRAYFORMULA(XLOOKUP(FILTER(INDIRECT(""'""&amp;BV$1&amp;""'!$C$4:$C$66""),INDIRECT(""'""&amp;BV$1&amp;""'!$D$4:$D$66"")=BV$2),$G$3:$BQ$3,$G229:$BQ229)))"),0.5377032371428572)</f>
        <v>0.5377032371</v>
      </c>
      <c r="BW229" s="207" t="str">
        <f>IFERROR(__xludf.DUMMYFUNCTION("IF(OR(BV229&gt;$BS229+$BT229*$BT$2,BV229&lt;$BS229-$BT229*$BT$2),AVEDEV(ARRAYFORMULA(XLOOKUP(FILTER(INDIRECT(""'""&amp;BV$1&amp;""'!$C$4:$C$66""),INDIRECT(""'""&amp;BV$1&amp;""'!$D$4:$D$66"")=BV$2),$G$3:$BQ$3,$G229:$BQ229))),"""")"),"")</f>
        <v/>
      </c>
      <c r="BX229" s="207">
        <f>IFERROR(__xludf.DUMMYFUNCTION("AVERAGE(ARRAYFORMULA(XLOOKUP(FILTER(INDIRECT(""'""&amp;BX$1&amp;""'!$C$4:$C$66""),INDIRECT(""'""&amp;BX$1&amp;""'!$D$4:$D$66"")=BX$2),$G$3:$BQ$3,$G229:$BQ229)))"),-0.09906905690476198)</f>
        <v>-0.0990690569</v>
      </c>
      <c r="BY229" s="207" t="str">
        <f>IFERROR(__xludf.DUMMYFUNCTION("IF(OR(BX229&gt;$BS229+$BT229*$BT$2,BX229&lt;$BS229-$BT229*$BT$2),AVEDEV(ARRAYFORMULA(XLOOKUP(FILTER(INDIRECT(""'""&amp;BX$1&amp;""'!$C$4:$C$66""),INDIRECT(""'""&amp;BX$1&amp;""'!$D$4:$D$66"")=BX$2),$G$3:$BQ$3,$G229:$BQ229))),"""")"),"")</f>
        <v/>
      </c>
      <c r="BZ229" s="207">
        <f>IFERROR(__xludf.DUMMYFUNCTION("AVERAGE(ARRAYFORMULA(XLOOKUP(FILTER(INDIRECT(""'""&amp;BZ$1&amp;""'!$C$4:$C$66""),INDIRECT(""'""&amp;BZ$1&amp;""'!$D$4:$D$66"")=BZ$2),$G$3:$BQ$3,$G229:$BQ229)))"),0.4182177545454546)</f>
        <v>0.4182177545</v>
      </c>
      <c r="CA229" s="207" t="str">
        <f>IFERROR(__xludf.DUMMYFUNCTION("IF(OR(BZ229&gt;$BS229+$BT229*$BT$2,BZ229&lt;$BS229-$BT229*$BT$2),AVEDEV(ARRAYFORMULA(XLOOKUP(FILTER(INDIRECT(""'""&amp;BZ$1&amp;""'!$C$4:$C$66""),INDIRECT(""'""&amp;BZ$1&amp;""'!$D$4:$D$66"")=BZ$2),$G$3:$BQ$3,$G229:$BQ229))),"""")"),"")</f>
        <v/>
      </c>
      <c r="CB229" s="209"/>
      <c r="CC229" s="207">
        <f>IFERROR(__xludf.DUMMYFUNCTION("AVERAGE(ARRAYFORMULA(XLOOKUP(FILTER(INDIRECT(""'""&amp;CC$1&amp;""'!$C$4:$C$66""),INDIRECT(""'""&amp;CC$1&amp;""'!$D$4:$D$66"")=CC$2),$G$3:$BQ$3,$G229:$BQ229)))"),-0.411888674375)</f>
        <v>-0.4118886744</v>
      </c>
      <c r="CD229" s="207" t="str">
        <f>IFERROR(__xludf.DUMMYFUNCTION("IF(OR(CC229&gt;$BS229+$BT229*$BT$2,CC229&lt;$BS229-$BT229*$BT$2),AVEDEV(ARRAYFORMULA(XLOOKUP(FILTER(INDIRECT(""'""&amp;CC$1&amp;""'!$C$4:$C$66""),INDIRECT(""'""&amp;CC$1&amp;""'!$D$4:$D$66"")=CC$2),$G$3:$BQ$3,$G229:$BQ229))),"""")"),"")</f>
        <v/>
      </c>
      <c r="CE229" s="207">
        <f>IFERROR(__xludf.DUMMYFUNCTION("AVERAGE(ARRAYFORMULA(XLOOKUP(FILTER(INDIRECT(""'""&amp;CE$1&amp;""'!$C$4:$C$66""),INDIRECT(""'""&amp;CE$1&amp;""'!$D$4:$D$66"")=CE$2),$G$3:$BQ$3,$G229:$BQ229)))"),0.10765838451612904)</f>
        <v>0.1076583845</v>
      </c>
      <c r="CF229" s="207" t="str">
        <f>IFERROR(__xludf.DUMMYFUNCTION("IF(OR(CE229&gt;$BS229+$BT229*$BT$2,CE229&lt;$BS229-$BT229*$BT$2),AVEDEV(ARRAYFORMULA(XLOOKUP(FILTER(INDIRECT(""'""&amp;CE$1&amp;""'!$C$4:$C$66""),INDIRECT(""'""&amp;CE$1&amp;""'!$D$4:$D$66"")=CE$2),$G$3:$BQ$3,$G229:$BQ229))),"""")"),"")</f>
        <v/>
      </c>
      <c r="CG229" s="207">
        <f>IFERROR(__xludf.DUMMYFUNCTION("AVERAGE(ARRAYFORMULA(XLOOKUP(FILTER(INDIRECT(""'""&amp;CG$1&amp;""'!$C$4:$C$66""),INDIRECT(""'""&amp;CG$1&amp;""'!$D$4:$D$66"")=CG$2),$G$3:$BQ$3,$G229:$BQ229)))"),0.461748388)</f>
        <v>0.461748388</v>
      </c>
      <c r="CH229" s="207" t="str">
        <f>IFERROR(__xludf.DUMMYFUNCTION("IF(OR(CG229&gt;$BS229+$BT229*$BT$2,CG229&lt;$BS229-$BT229*$BT$2),AVEDEV(ARRAYFORMULA(XLOOKUP(FILTER(INDIRECT(""'""&amp;CG$1&amp;""'!$C$4:$C$66""),INDIRECT(""'""&amp;CG$1&amp;""'!$D$4:$D$66"")=CG$2),$G$3:$BQ$3,$G229:$BQ229))),"""")"),"")</f>
        <v/>
      </c>
      <c r="CI229" s="206"/>
      <c r="CJ229" s="251">
        <f>IFERROR(__xludf.DUMMYFUNCTION("AVERAGE(ARRAYFORMULA(XLOOKUP(FILTER(INDIRECT(""'""&amp;CJ$1&amp;""'!$C$4:$C$66""),INDIRECT(""'""&amp;CJ$1&amp;""'!$D$4:$D$66"")=CJ$2),$G$3:$BQ$3,$G229:$BQ229)))"),0.012555414000000013)</f>
        <v>0.012555414</v>
      </c>
      <c r="CK229" s="207" t="str">
        <f>IFERROR(__xludf.DUMMYFUNCTION("IF(OR(CJ229&gt;$BS229+$BT229*$BT$2,CJ229&lt;$BS229-$BT229*$BT$2),AVEDEV(ARRAYFORMULA(XLOOKUP(FILTER(INDIRECT(""'""&amp;CJ$1&amp;""'!$C$4:$C$66""),INDIRECT(""'""&amp;CJ$1&amp;""'!$D$4:$D$66"")=CJ$2),$G$3:$BQ$3,$G229:$BQ229))),"""")"),"")</f>
        <v/>
      </c>
      <c r="CL229" s="251">
        <f>IFERROR(__xludf.DUMMYFUNCTION("AVERAGE(ARRAYFORMULA(XLOOKUP(FILTER(INDIRECT(""'""&amp;CL$1&amp;""'!$C$4:$C$66""),INDIRECT(""'""&amp;CL$1&amp;""'!$D$4:$D$66"")=CL$2),$G$3:$BQ$3,$G229:$BQ229)))"),-0.05698707000000002)</f>
        <v>-0.05698707</v>
      </c>
      <c r="CM229" s="207" t="str">
        <f>IFERROR(__xludf.DUMMYFUNCTION("IF(OR(CL229&gt;$BS229+$BT229*$BT$2,CL229&lt;$BS229-$BT229*$BT$2),AVEDEV(ARRAYFORMULA(XLOOKUP(FILTER(INDIRECT(""'""&amp;CL$1&amp;""'!$C$4:$C$66""),INDIRECT(""'""&amp;CL$1&amp;""'!$D$4:$D$66"")=CL$2),$G$3:$BQ$3,$G229:$BQ229))),"""")"),"")</f>
        <v/>
      </c>
      <c r="CN229" s="251">
        <f>IFERROR(__xludf.DUMMYFUNCTION("AVERAGE(ARRAYFORMULA(XLOOKUP(FILTER(INDIRECT(""'""&amp;CN$1&amp;""'!$C$4:$C$66""),INDIRECT(""'""&amp;CN$1&amp;""'!$D$4:$D$66"")=CN$2),$G$3:$BQ$3,$G229:$BQ229)))"),0.461748388)</f>
        <v>0.461748388</v>
      </c>
      <c r="CO229" s="207" t="str">
        <f>IFERROR(__xludf.DUMMYFUNCTION("IF(OR(CN229&gt;$BS229+$BT229*$BT$2,CN229&lt;$BS229-$BT229*$BT$2),AVEDEV(ARRAYFORMULA(XLOOKUP(FILTER(INDIRECT(""'""&amp;CN$1&amp;""'!$C$4:$C$66""),INDIRECT(""'""&amp;CN$1&amp;""'!$D$4:$D$66"")=CN$2),$G$3:$BQ$3,$G229:$BQ229))),"""")"),"")</f>
        <v/>
      </c>
      <c r="CP229" s="252"/>
      <c r="CQ229" s="251">
        <f>IFERROR(__xludf.DUMMYFUNCTION("AVERAGE(ARRAYFORMULA(XLOOKUP(FILTER(INDIRECT(""'""&amp;CQ$1&amp;""'!$C$4:$C$66""),INDIRECT(""'""&amp;CQ$1&amp;""'!$D$4:$D$66"")=CQ$2),$G$3:$BQ$3,$G229:$BQ229)))"),-0.3145535214285714)</f>
        <v>-0.3145535214</v>
      </c>
      <c r="CR229" s="207" t="str">
        <f>IFERROR(__xludf.DUMMYFUNCTION("IF(OR(CQ229&gt;$BS229+$BT229*$BT$2,CQ229&lt;$BS229-$BT229*$BT$2),AVEDEV(ARRAYFORMULA(XLOOKUP(FILTER(INDIRECT(""'""&amp;CQ$1&amp;""'!$C$4:$C$66""),INDIRECT(""'""&amp;CQ$1&amp;""'!$D$4:$D$66"")=CQ$2),$G$3:$BQ$3,$G229:$BQ229))),"""")"),"")</f>
        <v/>
      </c>
      <c r="CS229" s="251">
        <f>IFERROR(__xludf.DUMMYFUNCTION("AVERAGE(ARRAYFORMULA(XLOOKUP(FILTER(INDIRECT(""'""&amp;CS$1&amp;""'!$C$4:$C$66""),INDIRECT(""'""&amp;CS$1&amp;""'!$D$4:$D$66"")=CS$2),$G$3:$BQ$3,$G229:$BQ229)))"),0.4651604344444445)</f>
        <v>0.4651604344</v>
      </c>
      <c r="CT229" s="207" t="str">
        <f>IFERROR(__xludf.DUMMYFUNCTION("IF(OR(CS229&gt;$BS229+$BT229*$BT$2,CS229&lt;$BS229-$BT229*$BT$2),AVEDEV(ARRAYFORMULA(XLOOKUP(FILTER(INDIRECT(""'""&amp;CS$1&amp;""'!$C$4:$C$66""),INDIRECT(""'""&amp;CS$1&amp;""'!$D$4:$D$66"")=CS$2),$G$3:$BQ$3,$G229:$BQ229))),"""")"),"")</f>
        <v/>
      </c>
      <c r="CU229" s="251">
        <f>IFERROR(__xludf.DUMMYFUNCTION("AVERAGE(ARRAYFORMULA(XLOOKUP(FILTER(INDIRECT(""'""&amp;CU$1&amp;""'!$C$4:$C$66""),INDIRECT(""'""&amp;CU$1&amp;""'!$D$4:$D$66"")=CU$2),$G$3:$BQ$3,$G229:$BQ229)))"),0.21592575727272728)</f>
        <v>0.2159257573</v>
      </c>
      <c r="CV229" s="207" t="str">
        <f>IFERROR(__xludf.DUMMYFUNCTION("IF(OR(CU229&gt;$BS229+$BT229*$BT$2,CU229&lt;$BS229-$BT229*$BT$2),AVEDEV(ARRAYFORMULA(XLOOKUP(FILTER(INDIRECT(""'""&amp;CU$1&amp;""'!$C$4:$C$66""),INDIRECT(""'""&amp;CU$1&amp;""'!$D$4:$D$66"")=CU$2),$G$3:$BQ$3,$G229:$BQ229))),"""")"),"")</f>
        <v/>
      </c>
      <c r="CW229" s="251">
        <f>IFERROR(__xludf.DUMMYFUNCTION("AVERAGE(ARRAYFORMULA(XLOOKUP(FILTER(INDIRECT(""'""&amp;CW$1&amp;""'!$C$4:$C$66""),INDIRECT(""'""&amp;CW$1&amp;""'!$D$4:$D$66"")=CW$2),$G$3:$BQ$3,$G229:$BQ229)))"),-0.32013646500000004)</f>
        <v>-0.320136465</v>
      </c>
      <c r="CX229" s="207" t="str">
        <f>IFERROR(__xludf.DUMMYFUNCTION("IF(OR(CW229&gt;$BS229+$BT229*$BT$2,CW229&lt;$BS229-$BT229*$BT$2),AVEDEV(ARRAYFORMULA(XLOOKUP(FILTER(INDIRECT(""'""&amp;CW$1&amp;""'!$C$4:$C$66""),INDIRECT(""'""&amp;CW$1&amp;""'!$D$4:$D$66"")=CW$2),$G$3:$BQ$3,$G229:$BQ229))),"""")"),"")</f>
        <v/>
      </c>
      <c r="CY229" s="251">
        <f>IFERROR(__xludf.DUMMYFUNCTION("AVERAGE(ARRAYFORMULA(XLOOKUP(FILTER(INDIRECT(""'""&amp;CY$1&amp;""'!$C$4:$C$66""),INDIRECT(""'""&amp;CY$1&amp;""'!$D$4:$D$66"")=CY$2),$G$3:$BQ$3,$G229:$BQ229)))"),-0.09863273285714283)</f>
        <v>-0.09863273286</v>
      </c>
      <c r="CZ229" s="207" t="str">
        <f>IFERROR(__xludf.DUMMYFUNCTION("IF(OR(CY229&gt;$BS229+$BT229*$BT$2,CY229&lt;$BS229-$BT229*$BT$2),AVEDEV(ARRAYFORMULA(XLOOKUP(FILTER(INDIRECT(""'""&amp;CY$1&amp;""'!$C$4:$C$66""),INDIRECT(""'""&amp;CY$1&amp;""'!$D$4:$D$66"")=CY$2),$G$3:$BQ$3,$G229:$BQ229))),"""")"),"")</f>
        <v/>
      </c>
      <c r="DA229" s="252"/>
      <c r="DB229" s="251">
        <f>IFERROR(__xludf.DUMMYFUNCTION("AVERAGE(ARRAYFORMULA(XLOOKUP(FILTER(INDIRECT(""'""&amp;DB$1&amp;""'!$C$4:$C$66""),INDIRECT(""'""&amp;DB$1&amp;""'!$D$4:$D$66"")=DB$2),$G$3:$BQ$3,$G229:$BQ229)))"),-0.2084176083333334)</f>
        <v>-0.2084176083</v>
      </c>
      <c r="DC229" s="207" t="str">
        <f>IFERROR(__xludf.DUMMYFUNCTION("IF(OR(DB229&gt;$BS229+$BT229*$BT$2,DB229&lt;$BS229-$BT229*$BT$2),AVEDEV(ARRAYFORMULA(XLOOKUP(FILTER(INDIRECT(""'""&amp;DB$1&amp;""'!$C$4:$C$66""),INDIRECT(""'""&amp;DB$1&amp;""'!$D$4:$D$66"")=DB$2),$G$3:$BQ$3,$G229:$BQ229))),"""")"),"")</f>
        <v/>
      </c>
      <c r="DD229" s="251">
        <f>IFERROR(__xludf.DUMMYFUNCTION("AVERAGE(ARRAYFORMULA(XLOOKUP(FILTER(INDIRECT(""'""&amp;DD$1&amp;""'!$C$4:$C$66""),INDIRECT(""'""&amp;DD$1&amp;""'!$D$4:$D$66"")=DD$2),$G$3:$BQ$3,$G229:$BQ229)))"),0.5796651711111112)</f>
        <v>0.5796651711</v>
      </c>
      <c r="DE229" s="207" t="str">
        <f>IFERROR(__xludf.DUMMYFUNCTION("IF(OR(DD229&gt;$BS229+$BT229*$BT$2,DD229&lt;$BS229-$BT229*$BT$2),AVEDEV(ARRAYFORMULA(XLOOKUP(FILTER(INDIRECT(""'""&amp;DD$1&amp;""'!$C$4:$C$66""),INDIRECT(""'""&amp;DD$1&amp;""'!$D$4:$D$66"")=DD$2),$G$3:$BQ$3,$G229:$BQ229))),"""")"),"")</f>
        <v/>
      </c>
      <c r="DF229" s="251">
        <f>IFERROR(__xludf.DUMMYFUNCTION("AVERAGE(ARRAYFORMULA(XLOOKUP(FILTER(INDIRECT(""'""&amp;DF$1&amp;""'!$C$4:$C$66""),INDIRECT(""'""&amp;DF$1&amp;""'!$D$4:$D$66"")=DF$2),$G$3:$BQ$3,$G229:$BQ229)))"),0.026222653750000005)</f>
        <v>0.02622265375</v>
      </c>
      <c r="DG229" s="207" t="str">
        <f>IFERROR(__xludf.DUMMYFUNCTION("IF(OR(DF229&gt;$BS229+$BT229*$BT$2,DF229&lt;$BS229-$BT229*$BT$2),AVEDEV(ARRAYFORMULA(XLOOKUP(FILTER(INDIRECT(""'""&amp;DF$1&amp;""'!$C$4:$C$66""),INDIRECT(""'""&amp;DF$1&amp;""'!$D$4:$D$66"")=DF$2),$G$3:$BQ$3,$G229:$BQ229))),"""")"),"")</f>
        <v/>
      </c>
      <c r="DH229" s="251">
        <f>IFERROR(__xludf.DUMMYFUNCTION("AVERAGE(ARRAYFORMULA(XLOOKUP(FILTER(INDIRECT(""'""&amp;DH$1&amp;""'!$C$4:$C$66""),INDIRECT(""'""&amp;DH$1&amp;""'!$D$4:$D$66"")=DH$2),$G$3:$BQ$3,$G229:$BQ229)))"),0.22435191666666668)</f>
        <v>0.2243519167</v>
      </c>
      <c r="DI229" s="207" t="str">
        <f>IFERROR(__xludf.DUMMYFUNCTION("IF(OR(DH229&gt;$BS229+$BT229*$BT$2,DH229&lt;$BS229-$BT229*$BT$2),AVEDEV(ARRAYFORMULA(XLOOKUP(FILTER(INDIRECT(""'""&amp;DH$1&amp;""'!$C$4:$C$66""),INDIRECT(""'""&amp;DH$1&amp;""'!$D$4:$D$66"")=DH$2),$G$3:$BQ$3,$G229:$BQ229))),"""")"),"")</f>
        <v/>
      </c>
      <c r="DJ229" s="243"/>
    </row>
    <row r="230">
      <c r="A230" s="2"/>
      <c r="B230" s="192"/>
      <c r="C230" s="192"/>
      <c r="D230" s="192"/>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187"/>
      <c r="BI230" s="187"/>
      <c r="BJ230" s="187"/>
      <c r="BK230" s="187"/>
      <c r="BL230" s="187"/>
      <c r="BM230" s="187"/>
      <c r="BN230" s="187"/>
      <c r="BO230" s="187"/>
      <c r="BP230" s="187"/>
      <c r="BQ230" s="187"/>
      <c r="BR230" s="187"/>
      <c r="BS230" s="187"/>
      <c r="BT230" s="216"/>
      <c r="BU230" s="191"/>
      <c r="BV230" s="257"/>
      <c r="BW230" s="257"/>
      <c r="BX230" s="257"/>
      <c r="BY230" s="257"/>
      <c r="BZ230" s="257"/>
      <c r="CA230" s="257"/>
      <c r="CB230" s="257"/>
      <c r="CC230" s="257"/>
      <c r="CD230" s="257"/>
      <c r="CE230" s="257"/>
      <c r="CF230" s="257"/>
      <c r="CG230" s="257"/>
      <c r="CH230" s="257"/>
      <c r="CI230" s="257"/>
      <c r="CJ230" s="257"/>
      <c r="CK230" s="257"/>
      <c r="CL230" s="257"/>
      <c r="CM230" s="257"/>
      <c r="CN230" s="257"/>
      <c r="CO230" s="257"/>
      <c r="CP230" s="257"/>
      <c r="CQ230" s="257"/>
      <c r="CR230" s="257"/>
      <c r="CS230" s="257"/>
      <c r="CT230" s="257"/>
      <c r="CU230" s="257"/>
      <c r="CV230" s="257"/>
      <c r="CW230" s="257"/>
      <c r="CX230" s="257"/>
      <c r="CY230" s="257"/>
      <c r="CZ230" s="257"/>
      <c r="DA230" s="257"/>
      <c r="DB230" s="257"/>
      <c r="DC230" s="257"/>
      <c r="DD230" s="257"/>
      <c r="DE230" s="257"/>
      <c r="DF230" s="257"/>
      <c r="DG230" s="257"/>
      <c r="DH230" s="257"/>
      <c r="DI230" s="257"/>
      <c r="DJ230" s="257"/>
    </row>
    <row r="231">
      <c r="A231" s="2"/>
      <c r="B231" s="225"/>
      <c r="C231" s="225" t="s">
        <v>789</v>
      </c>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187"/>
      <c r="BI231" s="187"/>
      <c r="BJ231" s="187"/>
      <c r="BK231" s="187"/>
      <c r="BL231" s="187"/>
      <c r="BM231" s="187"/>
      <c r="BN231" s="187"/>
      <c r="BO231" s="187"/>
      <c r="BP231" s="187"/>
      <c r="BQ231" s="187"/>
      <c r="BR231" s="187"/>
      <c r="BS231" s="187"/>
      <c r="BT231" s="216"/>
      <c r="BU231" s="191"/>
      <c r="BV231" s="258" t="s">
        <v>691</v>
      </c>
      <c r="BW231" s="258" t="s">
        <v>690</v>
      </c>
      <c r="BX231" s="258" t="s">
        <v>691</v>
      </c>
      <c r="BY231" s="258" t="s">
        <v>690</v>
      </c>
      <c r="BZ231" s="258" t="s">
        <v>691</v>
      </c>
      <c r="CA231" s="258" t="s">
        <v>690</v>
      </c>
      <c r="CB231" s="257"/>
      <c r="CC231" s="258" t="s">
        <v>691</v>
      </c>
      <c r="CD231" s="258" t="s">
        <v>690</v>
      </c>
      <c r="CE231" s="258" t="s">
        <v>691</v>
      </c>
      <c r="CF231" s="258" t="s">
        <v>690</v>
      </c>
      <c r="CG231" s="258" t="s">
        <v>691</v>
      </c>
      <c r="CH231" s="258" t="s">
        <v>690</v>
      </c>
      <c r="CI231" s="257"/>
      <c r="CJ231" s="258" t="s">
        <v>691</v>
      </c>
      <c r="CK231" s="258" t="s">
        <v>690</v>
      </c>
      <c r="CL231" s="258" t="s">
        <v>691</v>
      </c>
      <c r="CM231" s="258" t="s">
        <v>690</v>
      </c>
      <c r="CN231" s="258" t="s">
        <v>691</v>
      </c>
      <c r="CO231" s="258" t="s">
        <v>690</v>
      </c>
      <c r="CP231" s="257"/>
      <c r="CQ231" s="258" t="s">
        <v>691</v>
      </c>
      <c r="CR231" s="258" t="s">
        <v>690</v>
      </c>
      <c r="CS231" s="258" t="s">
        <v>691</v>
      </c>
      <c r="CT231" s="258" t="s">
        <v>690</v>
      </c>
      <c r="CU231" s="258" t="s">
        <v>691</v>
      </c>
      <c r="CV231" s="258" t="s">
        <v>690</v>
      </c>
      <c r="CW231" s="258" t="s">
        <v>691</v>
      </c>
      <c r="CX231" s="258" t="s">
        <v>690</v>
      </c>
      <c r="CY231" s="258" t="s">
        <v>691</v>
      </c>
      <c r="CZ231" s="258" t="s">
        <v>690</v>
      </c>
      <c r="DA231" s="257"/>
      <c r="DB231" s="258" t="s">
        <v>691</v>
      </c>
      <c r="DC231" s="258" t="s">
        <v>690</v>
      </c>
      <c r="DD231" s="258" t="s">
        <v>691</v>
      </c>
      <c r="DE231" s="258" t="s">
        <v>690</v>
      </c>
      <c r="DF231" s="258" t="s">
        <v>691</v>
      </c>
      <c r="DG231" s="258" t="s">
        <v>690</v>
      </c>
      <c r="DH231" s="258" t="s">
        <v>691</v>
      </c>
      <c r="DI231" s="258" t="s">
        <v>690</v>
      </c>
      <c r="DJ231" s="257"/>
    </row>
    <row r="232">
      <c r="A232" s="2"/>
      <c r="B232" s="225"/>
      <c r="C232" s="225" t="s">
        <v>442</v>
      </c>
      <c r="D232" s="197" t="s">
        <v>790</v>
      </c>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187"/>
      <c r="BI232" s="187"/>
      <c r="BJ232" s="187"/>
      <c r="BK232" s="187"/>
      <c r="BL232" s="187"/>
      <c r="BM232" s="187"/>
      <c r="BN232" s="187"/>
      <c r="BO232" s="187"/>
      <c r="BP232" s="187"/>
      <c r="BQ232" s="187"/>
      <c r="BR232" s="187"/>
      <c r="BS232" s="187"/>
      <c r="BT232" s="216"/>
      <c r="BU232" s="191"/>
      <c r="BV232" s="259" t="str">
        <f>IFERROR(__xludf.DUMMYFUNCTION("CONCATENATE(""("",
COUNT(ARRAYFORMULA(FILTER(BV$5:BV$229,BW$5:BW$229&lt;1,$C$5:$C$229=$C232,BV$5:BV$229&gt;$BS$5:$BS$229+$BT$5:$BT$229*$BT$2,$E$5:$E$229))),
"", "",
COUNT(ARRAYFORMULA(FILTER(BV$5:BV$229,BW$5:BW$229&lt;1,$C$5:$C$229=$C232,BV$5:BV$229&gt;$BS$5:$BS$229+"&amp;"$BT$5:$BT$229*$BT$2,$F$5:$F$229))),
"")"")"),"(2, 2)")</f>
        <v>(2, 2)</v>
      </c>
      <c r="BW232" s="259" t="str">
        <f>IFERROR(__xludf.DUMMYFUNCTION("CONCATENATE(""("",
COUNT(ARRAYFORMULA(FILTER(BV$5:BV$229,BW$5:BW$229&lt;1,$C$5:$C$229=$C232,BV$5:BV$229&lt;$BS$5:$BS$229-$BT$5:$BT$229*$BT$2,$E$5:$E$229))),
"", "",
COUNT(ARRAYFORMULA(FILTER(BV$5:BV$229,BW$5:BW$229&lt;1,$C$5:$C$229=$C232,BV$5:BV$229&lt;$BS$5:$BS$229-"&amp;"$BT$5:$BT$229*$BT$2,$F$5:$F$229))),
"")"")"),"(5, 3)")</f>
        <v>(5, 3)</v>
      </c>
      <c r="BX232" s="259" t="str">
        <f>IFERROR(__xludf.DUMMYFUNCTION("CONCATENATE(""("",
COUNT(ARRAYFORMULA(FILTER(BX$5:BX$229,BY$5:BY$229&lt;1,$C$5:$C$229=$C232,BX$5:BX$229&gt;$BS$5:$BS$229+$BT$5:$BT$229*$BT$2,$E$5:$E$229))),
"", "",
COUNT(ARRAYFORMULA(FILTER(BX$5:BX$229,BY$5:BY$229&lt;1,$C$5:$C$229=$C232,BX$5:BX$229&gt;$BS$5:$BS$229+"&amp;"$BT$5:$BT$229*$BT$2,$F$5:$F$229))),
"")"")"),"(0, 0)")</f>
        <v>(0, 0)</v>
      </c>
      <c r="BY232" s="259" t="str">
        <f>IFERROR(__xludf.DUMMYFUNCTION("CONCATENATE(""("",
COUNT(ARRAYFORMULA(FILTER(BX$5:BX$229,BY$5:BY$229&lt;1,$C$5:$C$229=$C232,BX$5:BX$229&lt;$BS$5:$BS$229-$BT$5:$BT$229*$BT$2,$E$5:$E$229))),
"", "",
COUNT(ARRAYFORMULA(FILTER(BX$5:BX$229,BY$5:BY$229&lt;1,$C$5:$C$229=$C232,BX$5:BX$229&lt;$BS$5:$BS$229-"&amp;"$BT$5:$BT$229*$BT$2,$F$5:$F$229))),
"")"")"),"(0, 0)")</f>
        <v>(0, 0)</v>
      </c>
      <c r="BZ232" s="259" t="str">
        <f>IFERROR(__xludf.DUMMYFUNCTION("CONCATENATE(""("",
COUNT(ARRAYFORMULA(FILTER(BZ$5:BZ$229,CA$5:CA$229&lt;1,$C$5:$C$229=$C232,BZ$5:BZ$229&gt;$BS$5:$BS$229+$BT$5:$BT$229*$BT$2,$E$5:$E$229))),
"", "",
COUNT(ARRAYFORMULA(FILTER(BZ$5:BZ$229,CA$5:CA$229&lt;1,$C$5:$C$229=$C232,BZ$5:BZ$229&gt;$BS$5:$BS$229+"&amp;"$BT$5:$BT$229*$BT$2,$F$5:$F$229))),
"")"")"),"(0, 0)")</f>
        <v>(0, 0)</v>
      </c>
      <c r="CA232" s="259" t="str">
        <f>IFERROR(__xludf.DUMMYFUNCTION("CONCATENATE(""("",
COUNT(ARRAYFORMULA(FILTER(BZ$5:BZ$229,CA$5:CA$229&lt;1,$C$5:$C$229=$C232,BZ$5:BZ$229&lt;$BS$5:$BS$229-$BT$5:$BT$229*$BT$2,$E$5:$E$229))),
"", "",
COUNT(ARRAYFORMULA(FILTER(BZ$5:BZ$229,CA$5:CA$229&lt;1,$C$5:$C$229=$C232,BZ$5:BZ$229&lt;$BS$5:$BS$229-"&amp;"$BT$5:$BT$229*$BT$2,$F$5:$F$229))),
"")"")"),"(0, 0)")</f>
        <v>(0, 0)</v>
      </c>
      <c r="CB232" s="191"/>
      <c r="CC232" s="259" t="str">
        <f>IFERROR(__xludf.DUMMYFUNCTION("CONCATENATE(""("",
COUNT(ARRAYFORMULA(FILTER(CC$5:CC$229,CD$5:CD$229&lt;1,$C$5:$C$229=$C232,CC$5:CC$229&gt;$BS$5:$BS$229+$BT$5:$BT$229*$BT$2,$E$5:$E$229))),
"", "",
COUNT(ARRAYFORMULA(FILTER(CC$5:CC$229,CD$5:CD$229&lt;1,$C$5:$C$229=$C232,CC$5:CC$229&gt;$BS$5:$BS$229+"&amp;"$BT$5:$BT$229*$BT$2,$F$5:$F$229))),
"")"")"),"(0, 0)")</f>
        <v>(0, 0)</v>
      </c>
      <c r="CD232" s="259" t="str">
        <f>IFERROR(__xludf.DUMMYFUNCTION("CONCATENATE(""("",
COUNT(ARRAYFORMULA(FILTER(CC$5:CC$229,CD$5:CD$229&lt;1,$C$5:$C$229=$C232,CC$5:CC$229&lt;$BS$5:$BS$229-$BT$5:$BT$229*$BT$2,$E$5:$E$229))),
"", "",
COUNT(ARRAYFORMULA(FILTER(CC$5:CC$229,CD$5:CD$229&lt;1,$C$5:$C$229=$C232,CC$5:CC$229&lt;$BS$5:$BS$229-"&amp;"$BT$5:$BT$229*$BT$2,$F$5:$F$229))),
"")"")"),"(0, 0)")</f>
        <v>(0, 0)</v>
      </c>
      <c r="CE232" s="259" t="str">
        <f>IFERROR(__xludf.DUMMYFUNCTION("CONCATENATE(""("",
COUNT(ARRAYFORMULA(FILTER(CE$5:CE$229,CF$5:CF$229&lt;1,$C$5:$C$229=$C232,CE$5:CE$229&gt;$BS$5:$BS$229+$BT$5:$BT$229*$BT$2,$E$5:$E$229))),
"", "",
COUNT(ARRAYFORMULA(FILTER(CE$5:CE$229,CF$5:CF$229&lt;1,$C$5:$C$229=$C232,CE$5:CE$229&gt;$BS$5:$BS$229+"&amp;"$BT$5:$BT$229*$BT$2,$F$5:$F$229))),
"")"")"),"(0, 0)")</f>
        <v>(0, 0)</v>
      </c>
      <c r="CF232" s="259" t="str">
        <f>IFERROR(__xludf.DUMMYFUNCTION("CONCATENATE(""("",
COUNT(ARRAYFORMULA(FILTER(CE$5:CE$229,CF$5:CF$229&lt;1,$C$5:$C$229=$C232,CE$5:CE$229&lt;$BS$5:$BS$229-$BT$5:$BT$229*$BT$2,$E$5:$E$229))),
"", "",
COUNT(ARRAYFORMULA(FILTER(CE$5:CE$229,CF$5:CF$229&lt;1,$C$5:$C$229=$C232,CE$5:CE$229&lt;$BS$5:$BS$229-"&amp;"$BT$5:$BT$229*$BT$2,$F$5:$F$229))),
"")"")"),"(0, 0)")</f>
        <v>(0, 0)</v>
      </c>
      <c r="CG232" s="259" t="str">
        <f>IFERROR(__xludf.DUMMYFUNCTION("CONCATENATE(""("",
COUNT(ARRAYFORMULA(FILTER(CG$5:CG$229,CH$5:CH$229&lt;1,$C$5:$C$229=$C232,CG$5:CG$229&gt;$BS$5:$BS$229+$BT$5:$BT$229*$BT$2,$E$5:$E$229))),
"", "",
COUNT(ARRAYFORMULA(FILTER(CG$5:CG$229,CH$5:CH$229&lt;1,$C$5:$C$229=$C232,CG$5:CG$229&gt;$BS$5:$BS$229+"&amp;"$BT$5:$BT$229*$BT$2,$F$5:$F$229))),
"")"")"),"(2, 0)")</f>
        <v>(2, 0)</v>
      </c>
      <c r="CH232" s="259" t="str">
        <f>IFERROR(__xludf.DUMMYFUNCTION("CONCATENATE(""("",
COUNT(ARRAYFORMULA(FILTER(CG$5:CG$229,CH$5:CH$229&lt;1,$C$5:$C$229=$C232,CG$5:CG$229&lt;$BS$5:$BS$229-$BT$5:$BT$229*$BT$2,$E$5:$E$229))),
"", "",
COUNT(ARRAYFORMULA(FILTER(CG$5:CG$229,CH$5:CH$229&lt;1,$C$5:$C$229=$C232,CG$5:CG$229&lt;$BS$5:$BS$229-"&amp;"$BT$5:$BT$229*$BT$2,$F$5:$F$229))),
"")"")"),"(0, 0)")</f>
        <v>(0, 0)</v>
      </c>
      <c r="CI232" s="191"/>
      <c r="CJ232" s="259" t="str">
        <f>IFERROR(__xludf.DUMMYFUNCTION("CONCATENATE(""("",
COUNT(ARRAYFORMULA(FILTER(CJ$5:CJ$229,CK$5:CK$229&lt;1,$C$5:$C$229=$C232,CJ$5:CJ$229&gt;$BS$5:$BS$229+$BT$5:$BT$229*$BT$2,$E$5:$E$229))),
"", "",
COUNT(ARRAYFORMULA(FILTER(CJ$5:CJ$229,CK$5:CK$229&lt;1,$C$5:$C$229=$C232,CJ$5:CJ$229&gt;$BS$5:$BS$229+"&amp;"$BT$5:$BT$229*$BT$2,$F$5:$F$229))),
"")"")"),"(2, 2)")</f>
        <v>(2, 2)</v>
      </c>
      <c r="CK232" s="259" t="str">
        <f>IFERROR(__xludf.DUMMYFUNCTION("CONCATENATE(""("",
COUNT(ARRAYFORMULA(FILTER(CJ$5:CJ$229,CK$5:CK$229&lt;1,$C$5:$C$229=$C232,CJ$5:CJ$229&lt;$BS$5:$BS$229-$BT$5:$BT$229*$BT$2,$E$5:$E$229))),
"", "",
COUNT(ARRAYFORMULA(FILTER(CJ$5:CJ$229,CK$5:CK$229&lt;1,$C$5:$C$229=$C232,CJ$5:CJ$229&lt;$BS$5:$BS$229-"&amp;"$BT$5:$BT$229*$BT$2,$F$5:$F$229))),
"")"")"),"(2, 1)")</f>
        <v>(2, 1)</v>
      </c>
      <c r="CL232" s="259" t="str">
        <f>IFERROR(__xludf.DUMMYFUNCTION("CONCATENATE(""("",
COUNT(ARRAYFORMULA(FILTER(CL$5:CL$229,CM$5:CM$229&lt;1,$C$5:$C$229=$C232,CL$5:CL$229&gt;$BS$5:$BS$229+$BT$5:$BT$229*$BT$2,$E$5:$E$229))),
"", "",
COUNT(ARRAYFORMULA(FILTER(CL$5:CL$229,CM$5:CM$229&lt;1,$C$5:$C$229=$C232,CL$5:CL$229&gt;$BS$5:$BS$229+"&amp;"$BT$5:$BT$229*$BT$2,$F$5:$F$229))),
"")"")"),"(0, 0)")</f>
        <v>(0, 0)</v>
      </c>
      <c r="CM232" s="259" t="str">
        <f>IFERROR(__xludf.DUMMYFUNCTION("CONCATENATE(""("",
COUNT(ARRAYFORMULA(FILTER(CL$5:CL$229,CM$5:CM$229&lt;1,$C$5:$C$229=$C232,CL$5:CL$229&lt;$BS$5:$BS$229-$BT$5:$BT$229*$BT$2,$E$5:$E$229))),
"", "",
COUNT(ARRAYFORMULA(FILTER(CL$5:CL$229,CM$5:CM$229&lt;1,$C$5:$C$229=$C232,CL$5:CL$229&lt;$BS$5:$BS$229-"&amp;"$BT$5:$BT$229*$BT$2,$F$5:$F$229))),
"")"")"),"(0, 0)")</f>
        <v>(0, 0)</v>
      </c>
      <c r="CN232" s="259" t="str">
        <f>IFERROR(__xludf.DUMMYFUNCTION("CONCATENATE(""("",
COUNT(ARRAYFORMULA(FILTER(CN$5:CN$229,CO$5:CO$229&lt;1,$C$5:$C$229=$C232,CN$5:CN$229&gt;$BS$5:$BS$229+$BT$5:$BT$229*$BT$2,$E$5:$E$229))),
"", "",
COUNT(ARRAYFORMULA(FILTER(CN$5:CN$229,CO$5:CO$229&lt;1,$C$5:$C$229=$C232,CN$5:CN$229&gt;$BS$5:$BS$229+"&amp;"$BT$5:$BT$229*$BT$2,$F$5:$F$229))),
"")"")"),"(2, 0)")</f>
        <v>(2, 0)</v>
      </c>
      <c r="CO232" s="259" t="str">
        <f>IFERROR(__xludf.DUMMYFUNCTION("CONCATENATE(""("",
COUNT(ARRAYFORMULA(FILTER(CN$5:CN$229,CO$5:CO$229&lt;1,$C$5:$C$229=$C232,CN$5:CN$229&lt;$BS$5:$BS$229-$BT$5:$BT$229*$BT$2,$E$5:$E$229))),
"", "",
COUNT(ARRAYFORMULA(FILTER(CN$5:CN$229,CO$5:CO$229&lt;1,$C$5:$C$229=$C232,CN$5:CN$229&lt;$BS$5:$BS$229-"&amp;"$BT$5:$BT$229*$BT$2,$F$5:$F$229))),
"")"")"),"(0, 0)")</f>
        <v>(0, 0)</v>
      </c>
      <c r="CP232" s="191"/>
      <c r="CQ232" s="259" t="str">
        <f>IFERROR(__xludf.DUMMYFUNCTION("CONCATENATE(""("",
COUNT(ARRAYFORMULA(FILTER(CQ$5:CQ$229,CR$5:CR$229&lt;1,$C$5:$C$229=$C232,CQ$5:CQ$229&gt;$BS$5:$BS$229+$BT$5:$BT$229*$BT$2,$E$5:$E$229))),
"", "",
COUNT(ARRAYFORMULA(FILTER(CQ$5:CQ$229,CR$5:CR$229&lt;1,$C$5:$C$229=$C232,CQ$5:CQ$229&gt;$BS$5:$BS$229+"&amp;"$BT$5:$BT$229*$BT$2,$F$5:$F$229))),
"")"")"),"(0, 0)")</f>
        <v>(0, 0)</v>
      </c>
      <c r="CR232" s="259" t="str">
        <f>IFERROR(__xludf.DUMMYFUNCTION("CONCATENATE(""("",
COUNT(ARRAYFORMULA(FILTER(CQ$5:CQ$229,CR$5:CR$229&lt;1,$C$5:$C$229=$C232,CQ$5:CQ$229&lt;$BS$5:$BS$229-$BT$5:$BT$229*$BT$2,$E$5:$E$229))),
"", "",
COUNT(ARRAYFORMULA(FILTER(CQ$5:CQ$229,CR$5:CR$229&lt;1,$C$5:$C$229=$C232,CQ$5:CQ$229&lt;$BS$5:$BS$229-"&amp;"$BT$5:$BT$229*$BT$2,$F$5:$F$229))),
"")"")"),"(1, 1)")</f>
        <v>(1, 1)</v>
      </c>
      <c r="CS232" s="259" t="str">
        <f>IFERROR(__xludf.DUMMYFUNCTION("CONCATENATE(""("",
COUNT(ARRAYFORMULA(FILTER(CS$5:CS$229,CT$5:CT$229&lt;1,$C$5:$C$229=$C232,CS$5:CS$229&gt;$BS$5:$BS$229+$BT$5:$BT$229*$BT$2,$E$5:$E$229))),
"", "",
COUNT(ARRAYFORMULA(FILTER(CS$5:CS$229,CT$5:CT$229&lt;1,$C$5:$C$229=$C232,CS$5:CS$229&gt;$BS$5:$BS$229+"&amp;"$BT$5:$BT$229*$BT$2,$F$5:$F$229))),
"")"")"),"(0, 0)")</f>
        <v>(0, 0)</v>
      </c>
      <c r="CT232" s="259" t="str">
        <f>IFERROR(__xludf.DUMMYFUNCTION("CONCATENATE(""("",
COUNT(ARRAYFORMULA(FILTER(CS$5:CS$229,CT$5:CT$229&lt;1,$C$5:$C$229=$C232,CS$5:CS$229&lt;$BS$5:$BS$229-$BT$5:$BT$229*$BT$2,$E$5:$E$229))),
"", "",
COUNT(ARRAYFORMULA(FILTER(CS$5:CS$229,CT$5:CT$229&lt;1,$C$5:$C$229=$C232,CS$5:CS$229&lt;$BS$5:$BS$229-"&amp;"$BT$5:$BT$229*$BT$2,$F$5:$F$229))),
"")"")"),"(0, 0)")</f>
        <v>(0, 0)</v>
      </c>
      <c r="CU232" s="259" t="str">
        <f>IFERROR(__xludf.DUMMYFUNCTION("CONCATENATE(""("",
COUNT(ARRAYFORMULA(FILTER(CU$5:CU$229,CV$5:CV$229&lt;1,$C$5:$C$229=$C232,CU$5:CU$229&gt;$BS$5:$BS$229+$BT$5:$BT$229*$BT$2,$E$5:$E$229))),
"", "",
COUNT(ARRAYFORMULA(FILTER(CU$5:CU$229,CV$5:CV$229&lt;1,$C$5:$C$229=$C232,CU$5:CU$229&gt;$BS$5:$BS$229+"&amp;"$BT$5:$BT$229*$BT$2,$F$5:$F$229))),
"")"")"),"(2, 1)")</f>
        <v>(2, 1)</v>
      </c>
      <c r="CV232" s="259" t="str">
        <f>IFERROR(__xludf.DUMMYFUNCTION("CONCATENATE(""("",
COUNT(ARRAYFORMULA(FILTER(CU$5:CU$229,CV$5:CV$229&lt;1,$C$5:$C$229=$C232,CU$5:CU$229&lt;$BS$5:$BS$229-$BT$5:$BT$229*$BT$2,$E$5:$E$229))),
"", "",
COUNT(ARRAYFORMULA(FILTER(CU$5:CU$229,CV$5:CV$229&lt;1,$C$5:$C$229=$C232,CU$5:CU$229&lt;$BS$5:$BS$229-"&amp;"$BT$5:$BT$229*$BT$2,$F$5:$F$229))),
"")"")"),"(1, 0)")</f>
        <v>(1, 0)</v>
      </c>
      <c r="CW232" s="259" t="str">
        <f>IFERROR(__xludf.DUMMYFUNCTION("CONCATENATE(""("",
COUNT(ARRAYFORMULA(FILTER(CW$5:CW$229,CX$5:CX$229&lt;1,$C$5:$C$229=$C232,CW$5:CW$229&gt;$BS$5:$BS$229+$BT$5:$BT$229*$BT$2,$E$5:$E$229))),
"", "",
COUNT(ARRAYFORMULA(FILTER(CW$5:CW$229,CX$5:CX$229&lt;1,$C$5:$C$229=$C232,CW$5:CW$229&gt;$BS$5:$BS$229+"&amp;"$BT$5:$BT$229*$BT$2,$F$5:$F$229))),
"")"")"),"(5, 4)")</f>
        <v>(5, 4)</v>
      </c>
      <c r="CX232" s="259" t="str">
        <f>IFERROR(__xludf.DUMMYFUNCTION("CONCATENATE(""("",
COUNT(ARRAYFORMULA(FILTER(CW$5:CW$229,CX$5:CX$229&lt;1,$C$5:$C$229=$C232,CW$5:CW$229&lt;$BS$5:$BS$229-$BT$5:$BT$229*$BT$2,$E$5:$E$229))),
"", "",
COUNT(ARRAYFORMULA(FILTER(CW$5:CW$229,CX$5:CX$229&lt;1,$C$5:$C$229=$C232,CW$5:CW$229&lt;$BS$5:$BS$229-"&amp;"$BT$5:$BT$229*$BT$2,$F$5:$F$229))),
"")"")"),"(7, 3)")</f>
        <v>(7, 3)</v>
      </c>
      <c r="CY232" s="259" t="str">
        <f>IFERROR(__xludf.DUMMYFUNCTION("CONCATENATE(""("",
COUNT(ARRAYFORMULA(FILTER(CY$5:CY$229,CZ$5:CZ$229&lt;1,$C$5:$C$229=$C232,CY$5:CY$229&gt;$BS$5:$BS$229+$BT$5:$BT$229*$BT$2,$E$5:$E$229))),
"", "",
COUNT(ARRAYFORMULA(FILTER(CY$5:CY$229,CZ$5:CZ$229&lt;1,$C$5:$C$229=$C232,CY$5:CY$229&gt;$BS$5:$BS$229+"&amp;"$BT$5:$BT$229*$BT$2,$F$5:$F$229))),
"")"")"),"(0, 0)")</f>
        <v>(0, 0)</v>
      </c>
      <c r="CZ232" s="259" t="str">
        <f>IFERROR(__xludf.DUMMYFUNCTION("CONCATENATE(""("",
COUNT(ARRAYFORMULA(FILTER(CY$5:CY$229,CZ$5:CZ$229&lt;1,$C$5:$C$229=$C232,CY$5:CY$229&lt;$BS$5:$BS$229-$BT$5:$BT$229*$BT$2,$E$5:$E$229))),
"", "",
COUNT(ARRAYFORMULA(FILTER(CY$5:CY$229,CZ$5:CZ$229&lt;1,$C$5:$C$229=$C232,CY$5:CY$229&lt;$BS$5:$BS$229-"&amp;"$BT$5:$BT$229*$BT$2,$F$5:$F$229))),
"")"")"),"(0, 0)")</f>
        <v>(0, 0)</v>
      </c>
      <c r="DA232" s="191"/>
      <c r="DB232" s="259" t="str">
        <f>IFERROR(__xludf.DUMMYFUNCTION("CONCATENATE(""("",
COUNT(ARRAYFORMULA(FILTER(DB$5:DB$229,DC$5:DC$229&lt;1,$C$5:$C$229=$C232,DB$5:DB$229&gt;$BS$5:$BS$229+$BT$5:$BT$229*$BT$2,$E$5:$E$229))),
"", "",
COUNT(ARRAYFORMULA(FILTER(DB$5:DB$229,DC$5:DC$229&lt;1,$C$5:$C$229=$C232,DB$5:DB$229&gt;$BS$5:$BS$229+"&amp;"$BT$5:$BT$229*$BT$2,$F$5:$F$229))),
"")"")"),"(0, 0)")</f>
        <v>(0, 0)</v>
      </c>
      <c r="DC232" s="259" t="str">
        <f>IFERROR(__xludf.DUMMYFUNCTION("CONCATENATE(""("",
COUNT(ARRAYFORMULA(FILTER(DB$5:DB$229,DC$5:DC$229&lt;1,$C$5:$C$229=$C232,DB$5:DB$229&lt;$BS$5:$BS$229-$BT$5:$BT$229*$BT$2,$E$5:$E$229))),
"", "",
COUNT(ARRAYFORMULA(FILTER(DB$5:DB$229,DC$5:DC$229&lt;1,$C$5:$C$229=$C232,DB$5:DB$229&lt;$BS$5:$BS$229-"&amp;"$BT$5:$BT$229*$BT$2,$F$5:$F$229))),
"")"")"),"(0, 0)")</f>
        <v>(0, 0)</v>
      </c>
      <c r="DD232" s="259" t="str">
        <f>IFERROR(__xludf.DUMMYFUNCTION("CONCATENATE(""("",
COUNT(ARRAYFORMULA(FILTER(DD$5:DD$229,DE$5:DE$229&lt;1,$C$5:$C$229=$C232,DD$5:DD$229&gt;$BS$5:$BS$229+$BT$5:$BT$229*$BT$2,$E$5:$E$229))),
"", "",
COUNT(ARRAYFORMULA(FILTER(DD$5:DD$229,DE$5:DE$229&lt;1,$C$5:$C$229=$C232,DD$5:DD$229&gt;$BS$5:$BS$229+"&amp;"$BT$5:$BT$229*$BT$2,$F$5:$F$229))),
"")"")"),"(1, 0)")</f>
        <v>(1, 0)</v>
      </c>
      <c r="DE232" s="259" t="str">
        <f>IFERROR(__xludf.DUMMYFUNCTION("CONCATENATE(""("",
COUNT(ARRAYFORMULA(FILTER(DD$5:DD$229,DE$5:DE$229&lt;1,$C$5:$C$229=$C232,DD$5:DD$229&lt;$BS$5:$BS$229-$BT$5:$BT$229*$BT$2,$E$5:$E$229))),
"", "",
COUNT(ARRAYFORMULA(FILTER(DD$5:DD$229,DE$5:DE$229&lt;1,$C$5:$C$229=$C232,DD$5:DD$229&lt;$BS$5:$BS$229-"&amp;"$BT$5:$BT$229*$BT$2,$F$5:$F$229))),
"")"")"),"(0, 0)")</f>
        <v>(0, 0)</v>
      </c>
      <c r="DF232" s="259" t="str">
        <f>IFERROR(__xludf.DUMMYFUNCTION("CONCATENATE(""("",
COUNT(ARRAYFORMULA(FILTER(DF$5:DF$229,DG$5:DG$229&lt;1,$C$5:$C$229=$C232,DF$5:DF$229&gt;$BS$5:$BS$229+$BT$5:$BT$229*$BT$2,$E$5:$E$229))),
"", "",
COUNT(ARRAYFORMULA(FILTER(DF$5:DF$229,DG$5:DG$229&lt;1,$C$5:$C$229=$C232,DF$5:DF$229&gt;$BS$5:$BS$229+"&amp;"$BT$5:$BT$229*$BT$2,$F$5:$F$229))),
"")"")"),"(2, 2)")</f>
        <v>(2, 2)</v>
      </c>
      <c r="DG232" s="259" t="str">
        <f>IFERROR(__xludf.DUMMYFUNCTION("CONCATENATE(""("",
COUNT(ARRAYFORMULA(FILTER(DF$5:DF$229,DG$5:DG$229&lt;1,$C$5:$C$229=$C232,DF$5:DF$229&lt;$BS$5:$BS$229-$BT$5:$BT$229*$BT$2,$E$5:$E$229))),
"", "",
COUNT(ARRAYFORMULA(FILTER(DF$5:DF$229,DG$5:DG$229&lt;1,$C$5:$C$229=$C232,DF$5:DF$229&lt;$BS$5:$BS$229-"&amp;"$BT$5:$BT$229*$BT$2,$F$5:$F$229))),
"")"")"),"(1, 1)")</f>
        <v>(1, 1)</v>
      </c>
      <c r="DH232" s="259" t="str">
        <f>IFERROR(__xludf.DUMMYFUNCTION("CONCATENATE(""("",
COUNT(ARRAYFORMULA(FILTER(DH$5:DH$229,DI$5:DI$229&lt;1,$C$5:$C$229=$C232,DH$5:DH$229&gt;$BS$5:$BS$229+$BT$5:$BT$229*$BT$2,$E$5:$E$229))),
"", "",
COUNT(ARRAYFORMULA(FILTER(DH$5:DH$229,DI$5:DI$229&lt;1,$C$5:$C$229=$C232,DH$5:DH$229&gt;$BS$5:$BS$229+"&amp;"$BT$5:$BT$229*$BT$2,$F$5:$F$229))),
"")"")"),"(0, 0)")</f>
        <v>(0, 0)</v>
      </c>
      <c r="DI232" s="259" t="str">
        <f>IFERROR(__xludf.DUMMYFUNCTION("CONCATENATE(""("",
COUNT(ARRAYFORMULA(FILTER(DH$5:DH$229,DI$5:DI$229&lt;1,$C$5:$C$229=$C232,DH$5:DH$229&lt;$BS$5:$BS$229-$BT$5:$BT$229*$BT$2,$E$5:$E$229))),
"", "",
COUNT(ARRAYFORMULA(FILTER(DH$5:DH$229,DI$5:DI$229&lt;1,$C$5:$C$229=$C232,DH$5:DH$229&lt;$BS$5:$BS$229-"&amp;"$BT$5:$BT$229*$BT$2,$F$5:$F$229))),
"")"")"),"(0, 0)")</f>
        <v>(0, 0)</v>
      </c>
      <c r="DJ232" s="191"/>
    </row>
    <row r="233">
      <c r="A233" s="2"/>
      <c r="B233" s="225"/>
      <c r="C233" s="225" t="s">
        <v>482</v>
      </c>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187"/>
      <c r="BI233" s="187"/>
      <c r="BJ233" s="187"/>
      <c r="BK233" s="187"/>
      <c r="BL233" s="187"/>
      <c r="BM233" s="187"/>
      <c r="BN233" s="187"/>
      <c r="BO233" s="187"/>
      <c r="BP233" s="187"/>
      <c r="BQ233" s="187"/>
      <c r="BR233" s="187"/>
      <c r="BS233" s="187"/>
      <c r="BT233" s="216"/>
      <c r="BU233" s="191"/>
      <c r="BV233" s="259" t="str">
        <f>IFERROR(__xludf.DUMMYFUNCTION("CONCATENATE(""("",
COUNT(ARRAYFORMULA(FILTER(BV$5:BV$229,BW$5:BW$229&lt;1,$C$5:$C$229=$C233,BV$5:BV$229&gt;$BS$5:$BS$229+$BT$5:$BT$229*$BT$2,$E$5:$E$229))),
"", "",
COUNT(ARRAYFORMULA(FILTER(BV$5:BV$229,BW$5:BW$229&lt;1,$C$5:$C$229=$C233,BV$5:BV$229&gt;$BS$5:$BS$229+"&amp;"$BT$5:$BT$229*$BT$2,$F$5:$F$229))),
"")"")"),"(1, 1)")</f>
        <v>(1, 1)</v>
      </c>
      <c r="BW233" s="259" t="str">
        <f>IFERROR(__xludf.DUMMYFUNCTION("CONCATENATE(""("",
COUNT(ARRAYFORMULA(FILTER(BV$5:BV$229,BW$5:BW$229&lt;1,$C$5:$C$229=$C233,BV$5:BV$229&lt;$BS$5:$BS$229-$BT$5:$BT$229*$BT$2,$E$5:$E$229))),
"", "",
COUNT(ARRAYFORMULA(FILTER(BV$5:BV$229,BW$5:BW$229&lt;1,$C$5:$C$229=$C233,BV$5:BV$229&lt;$BS$5:$BS$229-"&amp;"$BT$5:$BT$229*$BT$2,$F$5:$F$229))),
"")"")"),"(5, 5)")</f>
        <v>(5, 5)</v>
      </c>
      <c r="BX233" s="259" t="str">
        <f>IFERROR(__xludf.DUMMYFUNCTION("CONCATENATE(""("",
COUNT(ARRAYFORMULA(FILTER(BX$5:BX$229,BY$5:BY$229&lt;1,$C$5:$C$229=$C233,BX$5:BX$229&gt;$BS$5:$BS$229+$BT$5:$BT$229*$BT$2,$E$5:$E$229))),
"", "",
COUNT(ARRAYFORMULA(FILTER(BX$5:BX$229,BY$5:BY$229&lt;1,$C$5:$C$229=$C233,BX$5:BX$229&gt;$BS$5:$BS$229+"&amp;"$BT$5:$BT$229*$BT$2,$F$5:$F$229))),
"")"")"),"(0, 0)")</f>
        <v>(0, 0)</v>
      </c>
      <c r="BY233" s="259" t="str">
        <f>IFERROR(__xludf.DUMMYFUNCTION("CONCATENATE(""("",
COUNT(ARRAYFORMULA(FILTER(BX$5:BX$229,BY$5:BY$229&lt;1,$C$5:$C$229=$C233,BX$5:BX$229&lt;$BS$5:$BS$229-$BT$5:$BT$229*$BT$2,$E$5:$E$229))),
"", "",
COUNT(ARRAYFORMULA(FILTER(BX$5:BX$229,BY$5:BY$229&lt;1,$C$5:$C$229=$C233,BX$5:BX$229&lt;$BS$5:$BS$229-"&amp;"$BT$5:$BT$229*$BT$2,$F$5:$F$229))),
"")"")"),"(0, 0)")</f>
        <v>(0, 0)</v>
      </c>
      <c r="BZ233" s="259" t="str">
        <f>IFERROR(__xludf.DUMMYFUNCTION("CONCATENATE(""("",
COUNT(ARRAYFORMULA(FILTER(BZ$5:BZ$229,CA$5:CA$229&lt;1,$C$5:$C$229=$C233,BZ$5:BZ$229&gt;$BS$5:$BS$229+$BT$5:$BT$229*$BT$2,$E$5:$E$229))),
"", "",
COUNT(ARRAYFORMULA(FILTER(BZ$5:BZ$229,CA$5:CA$229&lt;1,$C$5:$C$229=$C233,BZ$5:BZ$229&gt;$BS$5:$BS$229+"&amp;"$BT$5:$BT$229*$BT$2,$F$5:$F$229))),
"")"")"),"(1, 1)")</f>
        <v>(1, 1)</v>
      </c>
      <c r="CA233" s="259" t="str">
        <f>IFERROR(__xludf.DUMMYFUNCTION("CONCATENATE(""("",
COUNT(ARRAYFORMULA(FILTER(BZ$5:BZ$229,CA$5:CA$229&lt;1,$C$5:$C$229=$C233,BZ$5:BZ$229&lt;$BS$5:$BS$229-$BT$5:$BT$229*$BT$2,$E$5:$E$229))),
"", "",
COUNT(ARRAYFORMULA(FILTER(BZ$5:BZ$229,CA$5:CA$229&lt;1,$C$5:$C$229=$C233,BZ$5:BZ$229&lt;$BS$5:$BS$229-"&amp;"$BT$5:$BT$229*$BT$2,$F$5:$F$229))),
"")"")"),"(0, 0)")</f>
        <v>(0, 0)</v>
      </c>
      <c r="CB233" s="191"/>
      <c r="CC233" s="259" t="str">
        <f>IFERROR(__xludf.DUMMYFUNCTION("CONCATENATE(""("",
COUNT(ARRAYFORMULA(FILTER(CC$5:CC$229,CD$5:CD$229&lt;1,$C$5:$C$229=$C233,CC$5:CC$229&gt;$BS$5:$BS$229+$BT$5:$BT$229*$BT$2,$E$5:$E$229))),
"", "",
COUNT(ARRAYFORMULA(FILTER(CC$5:CC$229,CD$5:CD$229&lt;1,$C$5:$C$229=$C233,CC$5:CC$229&gt;$BS$5:$BS$229+"&amp;"$BT$5:$BT$229*$BT$2,$F$5:$F$229))),
"")"")"),"(0, 0)")</f>
        <v>(0, 0)</v>
      </c>
      <c r="CD233" s="259" t="str">
        <f>IFERROR(__xludf.DUMMYFUNCTION("CONCATENATE(""("",
COUNT(ARRAYFORMULA(FILTER(CC$5:CC$229,CD$5:CD$229&lt;1,$C$5:$C$229=$C233,CC$5:CC$229&lt;$BS$5:$BS$229-$BT$5:$BT$229*$BT$2,$E$5:$E$229))),
"", "",
COUNT(ARRAYFORMULA(FILTER(CC$5:CC$229,CD$5:CD$229&lt;1,$C$5:$C$229=$C233,CC$5:CC$229&lt;$BS$5:$BS$229-"&amp;"$BT$5:$BT$229*$BT$2,$F$5:$F$229))),
"")"")"),"(0, 0)")</f>
        <v>(0, 0)</v>
      </c>
      <c r="CE233" s="259" t="str">
        <f>IFERROR(__xludf.DUMMYFUNCTION("CONCATENATE(""("",
COUNT(ARRAYFORMULA(FILTER(CE$5:CE$229,CF$5:CF$229&lt;1,$C$5:$C$229=$C233,CE$5:CE$229&gt;$BS$5:$BS$229+$BT$5:$BT$229*$BT$2,$E$5:$E$229))),
"", "",
COUNT(ARRAYFORMULA(FILTER(CE$5:CE$229,CF$5:CF$229&lt;1,$C$5:$C$229=$C233,CE$5:CE$229&gt;$BS$5:$BS$229+"&amp;"$BT$5:$BT$229*$BT$2,$F$5:$F$229))),
"")"")"),"(0, 0)")</f>
        <v>(0, 0)</v>
      </c>
      <c r="CF233" s="259" t="str">
        <f>IFERROR(__xludf.DUMMYFUNCTION("CONCATENATE(""("",
COUNT(ARRAYFORMULA(FILTER(CE$5:CE$229,CF$5:CF$229&lt;1,$C$5:$C$229=$C233,CE$5:CE$229&lt;$BS$5:$BS$229-$BT$5:$BT$229*$BT$2,$E$5:$E$229))),
"", "",
COUNT(ARRAYFORMULA(FILTER(CE$5:CE$229,CF$5:CF$229&lt;1,$C$5:$C$229=$C233,CE$5:CE$229&lt;$BS$5:$BS$229-"&amp;"$BT$5:$BT$229*$BT$2,$F$5:$F$229))),
"")"")"),"(0, 0)")</f>
        <v>(0, 0)</v>
      </c>
      <c r="CG233" s="259" t="str">
        <f>IFERROR(__xludf.DUMMYFUNCTION("CONCATENATE(""("",
COUNT(ARRAYFORMULA(FILTER(CG$5:CG$229,CH$5:CH$229&lt;1,$C$5:$C$229=$C233,CG$5:CG$229&gt;$BS$5:$BS$229+$BT$5:$BT$229*$BT$2,$E$5:$E$229))),
"", "",
COUNT(ARRAYFORMULA(FILTER(CG$5:CG$229,CH$5:CH$229&lt;1,$C$5:$C$229=$C233,CG$5:CG$229&gt;$BS$5:$BS$229+"&amp;"$BT$5:$BT$229*$BT$2,$F$5:$F$229))),
"")"")"),"(2, 2)")</f>
        <v>(2, 2)</v>
      </c>
      <c r="CH233" s="259" t="str">
        <f>IFERROR(__xludf.DUMMYFUNCTION("CONCATENATE(""("",
COUNT(ARRAYFORMULA(FILTER(CG$5:CG$229,CH$5:CH$229&lt;1,$C$5:$C$229=$C233,CG$5:CG$229&lt;$BS$5:$BS$229-$BT$5:$BT$229*$BT$2,$E$5:$E$229))),
"", "",
COUNT(ARRAYFORMULA(FILTER(CG$5:CG$229,CH$5:CH$229&lt;1,$C$5:$C$229=$C233,CG$5:CG$229&lt;$BS$5:$BS$229-"&amp;"$BT$5:$BT$229*$BT$2,$F$5:$F$229))),
"")"")"),"(0, 0)")</f>
        <v>(0, 0)</v>
      </c>
      <c r="CI233" s="191"/>
      <c r="CJ233" s="259" t="str">
        <f>IFERROR(__xludf.DUMMYFUNCTION("CONCATENATE(""("",
COUNT(ARRAYFORMULA(FILTER(CJ$5:CJ$229,CK$5:CK$229&lt;1,$C$5:$C$229=$C233,CJ$5:CJ$229&gt;$BS$5:$BS$229+$BT$5:$BT$229*$BT$2,$E$5:$E$229))),
"", "",
COUNT(ARRAYFORMULA(FILTER(CJ$5:CJ$229,CK$5:CK$229&lt;1,$C$5:$C$229=$C233,CJ$5:CJ$229&gt;$BS$5:$BS$229+"&amp;"$BT$5:$BT$229*$BT$2,$F$5:$F$229))),
"")"")"),"(0, 0)")</f>
        <v>(0, 0)</v>
      </c>
      <c r="CK233" s="259" t="str">
        <f>IFERROR(__xludf.DUMMYFUNCTION("CONCATENATE(""("",
COUNT(ARRAYFORMULA(FILTER(CJ$5:CJ$229,CK$5:CK$229&lt;1,$C$5:$C$229=$C233,CJ$5:CJ$229&lt;$BS$5:$BS$229-$BT$5:$BT$229*$BT$2,$E$5:$E$229))),
"", "",
COUNT(ARRAYFORMULA(FILTER(CJ$5:CJ$229,CK$5:CK$229&lt;1,$C$5:$C$229=$C233,CJ$5:CJ$229&lt;$BS$5:$BS$229-"&amp;"$BT$5:$BT$229*$BT$2,$F$5:$F$229))),
"")"")"),"(0, 0)")</f>
        <v>(0, 0)</v>
      </c>
      <c r="CL233" s="259" t="str">
        <f>IFERROR(__xludf.DUMMYFUNCTION("CONCATENATE(""("",
COUNT(ARRAYFORMULA(FILTER(CL$5:CL$229,CM$5:CM$229&lt;1,$C$5:$C$229=$C233,CL$5:CL$229&gt;$BS$5:$BS$229+$BT$5:$BT$229*$BT$2,$E$5:$E$229))),
"", "",
COUNT(ARRAYFORMULA(FILTER(CL$5:CL$229,CM$5:CM$229&lt;1,$C$5:$C$229=$C233,CL$5:CL$229&gt;$BS$5:$BS$229+"&amp;"$BT$5:$BT$229*$BT$2,$F$5:$F$229))),
"")"")"),"(0, 0)")</f>
        <v>(0, 0)</v>
      </c>
      <c r="CM233" s="259" t="str">
        <f>IFERROR(__xludf.DUMMYFUNCTION("CONCATENATE(""("",
COUNT(ARRAYFORMULA(FILTER(CL$5:CL$229,CM$5:CM$229&lt;1,$C$5:$C$229=$C233,CL$5:CL$229&lt;$BS$5:$BS$229-$BT$5:$BT$229*$BT$2,$E$5:$E$229))),
"", "",
COUNT(ARRAYFORMULA(FILTER(CL$5:CL$229,CM$5:CM$229&lt;1,$C$5:$C$229=$C233,CL$5:CL$229&lt;$BS$5:$BS$229-"&amp;"$BT$5:$BT$229*$BT$2,$F$5:$F$229))),
"")"")"),"(0, 0)")</f>
        <v>(0, 0)</v>
      </c>
      <c r="CN233" s="259" t="str">
        <f>IFERROR(__xludf.DUMMYFUNCTION("CONCATENATE(""("",
COUNT(ARRAYFORMULA(FILTER(CN$5:CN$229,CO$5:CO$229&lt;1,$C$5:$C$229=$C233,CN$5:CN$229&gt;$BS$5:$BS$229+$BT$5:$BT$229*$BT$2,$E$5:$E$229))),
"", "",
COUNT(ARRAYFORMULA(FILTER(CN$5:CN$229,CO$5:CO$229&lt;1,$C$5:$C$229=$C233,CN$5:CN$229&gt;$BS$5:$BS$229+"&amp;"$BT$5:$BT$229*$BT$2,$F$5:$F$229))),
"")"")"),"(2, 2)")</f>
        <v>(2, 2)</v>
      </c>
      <c r="CO233" s="259" t="str">
        <f>IFERROR(__xludf.DUMMYFUNCTION("CONCATENATE(""("",
COUNT(ARRAYFORMULA(FILTER(CN$5:CN$229,CO$5:CO$229&lt;1,$C$5:$C$229=$C233,CN$5:CN$229&lt;$BS$5:$BS$229-$BT$5:$BT$229*$BT$2,$E$5:$E$229))),
"", "",
COUNT(ARRAYFORMULA(FILTER(CN$5:CN$229,CO$5:CO$229&lt;1,$C$5:$C$229=$C233,CN$5:CN$229&lt;$BS$5:$BS$229-"&amp;"$BT$5:$BT$229*$BT$2,$F$5:$F$229))),
"")"")"),"(0, 0)")</f>
        <v>(0, 0)</v>
      </c>
      <c r="CP233" s="191"/>
      <c r="CQ233" s="259" t="str">
        <f>IFERROR(__xludf.DUMMYFUNCTION("CONCATENATE(""("",
COUNT(ARRAYFORMULA(FILTER(CQ$5:CQ$229,CR$5:CR$229&lt;1,$C$5:$C$229=$C233,CQ$5:CQ$229&gt;$BS$5:$BS$229+$BT$5:$BT$229*$BT$2,$E$5:$E$229))),
"", "",
COUNT(ARRAYFORMULA(FILTER(CQ$5:CQ$229,CR$5:CR$229&lt;1,$C$5:$C$229=$C233,CQ$5:CQ$229&gt;$BS$5:$BS$229+"&amp;"$BT$5:$BT$229*$BT$2,$F$5:$F$229))),
"")"")"),"(0, 0)")</f>
        <v>(0, 0)</v>
      </c>
      <c r="CR233" s="259" t="str">
        <f>IFERROR(__xludf.DUMMYFUNCTION("CONCATENATE(""("",
COUNT(ARRAYFORMULA(FILTER(CQ$5:CQ$229,CR$5:CR$229&lt;1,$C$5:$C$229=$C233,CQ$5:CQ$229&lt;$BS$5:$BS$229-$BT$5:$BT$229*$BT$2,$E$5:$E$229))),
"", "",
COUNT(ARRAYFORMULA(FILTER(CQ$5:CQ$229,CR$5:CR$229&lt;1,$C$5:$C$229=$C233,CQ$5:CQ$229&lt;$BS$5:$BS$229-"&amp;"$BT$5:$BT$229*$BT$2,$F$5:$F$229))),
"")"")"),"(0, 0)")</f>
        <v>(0, 0)</v>
      </c>
      <c r="CS233" s="259" t="str">
        <f>IFERROR(__xludf.DUMMYFUNCTION("CONCATENATE(""("",
COUNT(ARRAYFORMULA(FILTER(CS$5:CS$229,CT$5:CT$229&lt;1,$C$5:$C$229=$C233,CS$5:CS$229&gt;$BS$5:$BS$229+$BT$5:$BT$229*$BT$2,$E$5:$E$229))),
"", "",
COUNT(ARRAYFORMULA(FILTER(CS$5:CS$229,CT$5:CT$229&lt;1,$C$5:$C$229=$C233,CS$5:CS$229&gt;$BS$5:$BS$229+"&amp;"$BT$5:$BT$229*$BT$2,$F$5:$F$229))),
"")"")"),"(1, 1)")</f>
        <v>(1, 1)</v>
      </c>
      <c r="CT233" s="259" t="str">
        <f>IFERROR(__xludf.DUMMYFUNCTION("CONCATENATE(""("",
COUNT(ARRAYFORMULA(FILTER(CS$5:CS$229,CT$5:CT$229&lt;1,$C$5:$C$229=$C233,CS$5:CS$229&lt;$BS$5:$BS$229-$BT$5:$BT$229*$BT$2,$E$5:$E$229))),
"", "",
COUNT(ARRAYFORMULA(FILTER(CS$5:CS$229,CT$5:CT$229&lt;1,$C$5:$C$229=$C233,CS$5:CS$229&lt;$BS$5:$BS$229-"&amp;"$BT$5:$BT$229*$BT$2,$F$5:$F$229))),
"")"")"),"(0, 0)")</f>
        <v>(0, 0)</v>
      </c>
      <c r="CU233" s="259" t="str">
        <f>IFERROR(__xludf.DUMMYFUNCTION("CONCATENATE(""("",
COUNT(ARRAYFORMULA(FILTER(CU$5:CU$229,CV$5:CV$229&lt;1,$C$5:$C$229=$C233,CU$5:CU$229&gt;$BS$5:$BS$229+$BT$5:$BT$229*$BT$2,$E$5:$E$229))),
"", "",
COUNT(ARRAYFORMULA(FILTER(CU$5:CU$229,CV$5:CV$229&lt;1,$C$5:$C$229=$C233,CU$5:CU$229&gt;$BS$5:$BS$229+"&amp;"$BT$5:$BT$229*$BT$2,$F$5:$F$229))),
"")"")"),"(0, 0)")</f>
        <v>(0, 0)</v>
      </c>
      <c r="CV233" s="259" t="str">
        <f>IFERROR(__xludf.DUMMYFUNCTION("CONCATENATE(""("",
COUNT(ARRAYFORMULA(FILTER(CU$5:CU$229,CV$5:CV$229&lt;1,$C$5:$C$229=$C233,CU$5:CU$229&lt;$BS$5:$BS$229-$BT$5:$BT$229*$BT$2,$E$5:$E$229))),
"", "",
COUNT(ARRAYFORMULA(FILTER(CU$5:CU$229,CV$5:CV$229&lt;1,$C$5:$C$229=$C233,CU$5:CU$229&lt;$BS$5:$BS$229-"&amp;"$BT$5:$BT$229*$BT$2,$F$5:$F$229))),
"")"")"),"(1, 1)")</f>
        <v>(1, 1)</v>
      </c>
      <c r="CW233" s="259" t="str">
        <f>IFERROR(__xludf.DUMMYFUNCTION("CONCATENATE(""("",
COUNT(ARRAYFORMULA(FILTER(CW$5:CW$229,CX$5:CX$229&lt;1,$C$5:$C$229=$C233,CW$5:CW$229&gt;$BS$5:$BS$229+$BT$5:$BT$229*$BT$2,$E$5:$E$229))),
"", "",
COUNT(ARRAYFORMULA(FILTER(CW$5:CW$229,CX$5:CX$229&lt;1,$C$5:$C$229=$C233,CW$5:CW$229&gt;$BS$5:$BS$229+"&amp;"$BT$5:$BT$229*$BT$2,$F$5:$F$229))),
"")"")"),"(1, 1)")</f>
        <v>(1, 1)</v>
      </c>
      <c r="CX233" s="259" t="str">
        <f>IFERROR(__xludf.DUMMYFUNCTION("CONCATENATE(""("",
COUNT(ARRAYFORMULA(FILTER(CW$5:CW$229,CX$5:CX$229&lt;1,$C$5:$C$229=$C233,CW$5:CW$229&lt;$BS$5:$BS$229-$BT$5:$BT$229*$BT$2,$E$5:$E$229))),
"", "",
COUNT(ARRAYFORMULA(FILTER(CW$5:CW$229,CX$5:CX$229&lt;1,$C$5:$C$229=$C233,CW$5:CW$229&lt;$BS$5:$BS$229-"&amp;"$BT$5:$BT$229*$BT$2,$F$5:$F$229))),
"")"")"),"(2, 2)")</f>
        <v>(2, 2)</v>
      </c>
      <c r="CY233" s="259" t="str">
        <f>IFERROR(__xludf.DUMMYFUNCTION("CONCATENATE(""("",
COUNT(ARRAYFORMULA(FILTER(CY$5:CY$229,CZ$5:CZ$229&lt;1,$C$5:$C$229=$C233,CY$5:CY$229&gt;$BS$5:$BS$229+$BT$5:$BT$229*$BT$2,$E$5:$E$229))),
"", "",
COUNT(ARRAYFORMULA(FILTER(CY$5:CY$229,CZ$5:CZ$229&lt;1,$C$5:$C$229=$C233,CY$5:CY$229&gt;$BS$5:$BS$229+"&amp;"$BT$5:$BT$229*$BT$2,$F$5:$F$229))),
"")"")"),"(0, 0)")</f>
        <v>(0, 0)</v>
      </c>
      <c r="CZ233" s="259" t="str">
        <f>IFERROR(__xludf.DUMMYFUNCTION("CONCATENATE(""("",
COUNT(ARRAYFORMULA(FILTER(CY$5:CY$229,CZ$5:CZ$229&lt;1,$C$5:$C$229=$C233,CY$5:CY$229&lt;$BS$5:$BS$229-$BT$5:$BT$229*$BT$2,$E$5:$E$229))),
"", "",
COUNT(ARRAYFORMULA(FILTER(CY$5:CY$229,CZ$5:CZ$229&lt;1,$C$5:$C$229=$C233,CY$5:CY$229&lt;$BS$5:$BS$229-"&amp;"$BT$5:$BT$229*$BT$2,$F$5:$F$229))),
"")"")"),"(0, 0)")</f>
        <v>(0, 0)</v>
      </c>
      <c r="DA233" s="191"/>
      <c r="DB233" s="259" t="str">
        <f>IFERROR(__xludf.DUMMYFUNCTION("CONCATENATE(""("",
COUNT(ARRAYFORMULA(FILTER(DB$5:DB$229,DC$5:DC$229&lt;1,$C$5:$C$229=$C233,DB$5:DB$229&gt;$BS$5:$BS$229+$BT$5:$BT$229*$BT$2,$E$5:$E$229))),
"", "",
COUNT(ARRAYFORMULA(FILTER(DB$5:DB$229,DC$5:DC$229&lt;1,$C$5:$C$229=$C233,DB$5:DB$229&gt;$BS$5:$BS$229+"&amp;"$BT$5:$BT$229*$BT$2,$F$5:$F$229))),
"")"")"),"(0, 0)")</f>
        <v>(0, 0)</v>
      </c>
      <c r="DC233" s="259" t="str">
        <f>IFERROR(__xludf.DUMMYFUNCTION("CONCATENATE(""("",
COUNT(ARRAYFORMULA(FILTER(DB$5:DB$229,DC$5:DC$229&lt;1,$C$5:$C$229=$C233,DB$5:DB$229&lt;$BS$5:$BS$229-$BT$5:$BT$229*$BT$2,$E$5:$E$229))),
"", "",
COUNT(ARRAYFORMULA(FILTER(DB$5:DB$229,DC$5:DC$229&lt;1,$C$5:$C$229=$C233,DB$5:DB$229&lt;$BS$5:$BS$229-"&amp;"$BT$5:$BT$229*$BT$2,$F$5:$F$229))),
"")"")"),"(0, 0)")</f>
        <v>(0, 0)</v>
      </c>
      <c r="DD233" s="259" t="str">
        <f>IFERROR(__xludf.DUMMYFUNCTION("CONCATENATE(""("",
COUNT(ARRAYFORMULA(FILTER(DD$5:DD$229,DE$5:DE$229&lt;1,$C$5:$C$229=$C233,DD$5:DD$229&gt;$BS$5:$BS$229+$BT$5:$BT$229*$BT$2,$E$5:$E$229))),
"", "",
COUNT(ARRAYFORMULA(FILTER(DD$5:DD$229,DE$5:DE$229&lt;1,$C$5:$C$229=$C233,DD$5:DD$229&gt;$BS$5:$BS$229+"&amp;"$BT$5:$BT$229*$BT$2,$F$5:$F$229))),
"")"")"),"(0, 0)")</f>
        <v>(0, 0)</v>
      </c>
      <c r="DE233" s="259" t="str">
        <f>IFERROR(__xludf.DUMMYFUNCTION("CONCATENATE(""("",
COUNT(ARRAYFORMULA(FILTER(DD$5:DD$229,DE$5:DE$229&lt;1,$C$5:$C$229=$C233,DD$5:DD$229&lt;$BS$5:$BS$229-$BT$5:$BT$229*$BT$2,$E$5:$E$229))),
"", "",
COUNT(ARRAYFORMULA(FILTER(DD$5:DD$229,DE$5:DE$229&lt;1,$C$5:$C$229=$C233,DD$5:DD$229&lt;$BS$5:$BS$229-"&amp;"$BT$5:$BT$229*$BT$2,$F$5:$F$229))),
"")"")"),"(0, 0)")</f>
        <v>(0, 0)</v>
      </c>
      <c r="DF233" s="259" t="str">
        <f>IFERROR(__xludf.DUMMYFUNCTION("CONCATENATE(""("",
COUNT(ARRAYFORMULA(FILTER(DF$5:DF$229,DG$5:DG$229&lt;1,$C$5:$C$229=$C233,DF$5:DF$229&gt;$BS$5:$BS$229+$BT$5:$BT$229*$BT$2,$E$5:$E$229))),
"", "",
COUNT(ARRAYFORMULA(FILTER(DF$5:DF$229,DG$5:DG$229&lt;1,$C$5:$C$229=$C233,DF$5:DF$229&gt;$BS$5:$BS$229+"&amp;"$BT$5:$BT$229*$BT$2,$F$5:$F$229))),
"")"")"),"(0, 0)")</f>
        <v>(0, 0)</v>
      </c>
      <c r="DG233" s="259" t="str">
        <f>IFERROR(__xludf.DUMMYFUNCTION("CONCATENATE(""("",
COUNT(ARRAYFORMULA(FILTER(DF$5:DF$229,DG$5:DG$229&lt;1,$C$5:$C$229=$C233,DF$5:DF$229&lt;$BS$5:$BS$229-$BT$5:$BT$229*$BT$2,$E$5:$E$229))),
"", "",
COUNT(ARRAYFORMULA(FILTER(DF$5:DF$229,DG$5:DG$229&lt;1,$C$5:$C$229=$C233,DF$5:DF$229&lt;$BS$5:$BS$229-"&amp;"$BT$5:$BT$229*$BT$2,$F$5:$F$229))),
"")"")"),"(0, 0)")</f>
        <v>(0, 0)</v>
      </c>
      <c r="DH233" s="259" t="str">
        <f>IFERROR(__xludf.DUMMYFUNCTION("CONCATENATE(""("",
COUNT(ARRAYFORMULA(FILTER(DH$5:DH$229,DI$5:DI$229&lt;1,$C$5:$C$229=$C233,DH$5:DH$229&gt;$BS$5:$BS$229+$BT$5:$BT$229*$BT$2,$E$5:$E$229))),
"", "",
COUNT(ARRAYFORMULA(FILTER(DH$5:DH$229,DI$5:DI$229&lt;1,$C$5:$C$229=$C233,DH$5:DH$229&gt;$BS$5:$BS$229+"&amp;"$BT$5:$BT$229*$BT$2,$F$5:$F$229))),
"")"")"),"(2, 2)")</f>
        <v>(2, 2)</v>
      </c>
      <c r="DI233" s="259" t="str">
        <f>IFERROR(__xludf.DUMMYFUNCTION("CONCATENATE(""("",
COUNT(ARRAYFORMULA(FILTER(DH$5:DH$229,DI$5:DI$229&lt;1,$C$5:$C$229=$C233,DH$5:DH$229&lt;$BS$5:$BS$229-$BT$5:$BT$229*$BT$2,$E$5:$E$229))),
"", "",
COUNT(ARRAYFORMULA(FILTER(DH$5:DH$229,DI$5:DI$229&lt;1,$C$5:$C$229=$C233,DH$5:DH$229&lt;$BS$5:$BS$229-"&amp;"$BT$5:$BT$229*$BT$2,$F$5:$F$229))),
"")"")"),"(0, 0)")</f>
        <v>(0, 0)</v>
      </c>
      <c r="DJ233" s="191"/>
    </row>
    <row r="234">
      <c r="A234" s="2"/>
      <c r="B234" s="225"/>
      <c r="C234" s="225" t="s">
        <v>507</v>
      </c>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187"/>
      <c r="BI234" s="187"/>
      <c r="BJ234" s="187"/>
      <c r="BK234" s="187"/>
      <c r="BL234" s="187"/>
      <c r="BM234" s="187"/>
      <c r="BN234" s="187"/>
      <c r="BO234" s="187"/>
      <c r="BP234" s="187"/>
      <c r="BQ234" s="187"/>
      <c r="BR234" s="187"/>
      <c r="BS234" s="187"/>
      <c r="BT234" s="216"/>
      <c r="BU234" s="191"/>
      <c r="BV234" s="259" t="str">
        <f>IFERROR(__xludf.DUMMYFUNCTION("CONCATENATE(""("",
COUNT(ARRAYFORMULA(FILTER(BV$5:BV$229,BW$5:BW$229&lt;1,$C$5:$C$229=$C234,BV$5:BV$229&gt;$BS$5:$BS$229+$BT$5:$BT$229*$BT$2,$E$5:$E$229))),
"", "",
COUNT(ARRAYFORMULA(FILTER(BV$5:BV$229,BW$5:BW$229&lt;1,$C$5:$C$229=$C234,BV$5:BV$229&gt;$BS$5:$BS$229+"&amp;"$BT$5:$BT$229*$BT$2,$F$5:$F$229))),
"")"")"),"(1, 1)")</f>
        <v>(1, 1)</v>
      </c>
      <c r="BW234" s="259" t="str">
        <f>IFERROR(__xludf.DUMMYFUNCTION("CONCATENATE(""("",
COUNT(ARRAYFORMULA(FILTER(BV$5:BV$229,BW$5:BW$229&lt;1,$C$5:$C$229=$C234,BV$5:BV$229&lt;$BS$5:$BS$229-$BT$5:$BT$229*$BT$2,$E$5:$E$229))),
"", "",
COUNT(ARRAYFORMULA(FILTER(BV$5:BV$229,BW$5:BW$229&lt;1,$C$5:$C$229=$C234,BV$5:BV$229&lt;$BS$5:$BS$229-"&amp;"$BT$5:$BT$229*$BT$2,$F$5:$F$229))),
"")"")"),"(7, 7)")</f>
        <v>(7, 7)</v>
      </c>
      <c r="BX234" s="259" t="str">
        <f>IFERROR(__xludf.DUMMYFUNCTION("CONCATENATE(""("",
COUNT(ARRAYFORMULA(FILTER(BX$5:BX$229,BY$5:BY$229&lt;1,$C$5:$C$229=$C234,BX$5:BX$229&gt;$BS$5:$BS$229+$BT$5:$BT$229*$BT$2,$E$5:$E$229))),
"", "",
COUNT(ARRAYFORMULA(FILTER(BX$5:BX$229,BY$5:BY$229&lt;1,$C$5:$C$229=$C234,BX$5:BX$229&gt;$BS$5:$BS$229+"&amp;"$BT$5:$BT$229*$BT$2,$F$5:$F$229))),
"")"")"),"(0, 0)")</f>
        <v>(0, 0)</v>
      </c>
      <c r="BY234" s="259" t="str">
        <f>IFERROR(__xludf.DUMMYFUNCTION("CONCATENATE(""("",
COUNT(ARRAYFORMULA(FILTER(BX$5:BX$229,BY$5:BY$229&lt;1,$C$5:$C$229=$C234,BX$5:BX$229&lt;$BS$5:$BS$229-$BT$5:$BT$229*$BT$2,$E$5:$E$229))),
"", "",
COUNT(ARRAYFORMULA(FILTER(BX$5:BX$229,BY$5:BY$229&lt;1,$C$5:$C$229=$C234,BX$5:BX$229&lt;$BS$5:$BS$229-"&amp;"$BT$5:$BT$229*$BT$2,$F$5:$F$229))),
"")"")"),"(0, 0)")</f>
        <v>(0, 0)</v>
      </c>
      <c r="BZ234" s="259" t="str">
        <f>IFERROR(__xludf.DUMMYFUNCTION("CONCATENATE(""("",
COUNT(ARRAYFORMULA(FILTER(BZ$5:BZ$229,CA$5:CA$229&lt;1,$C$5:$C$229=$C234,BZ$5:BZ$229&gt;$BS$5:$BS$229+$BT$5:$BT$229*$BT$2,$E$5:$E$229))),
"", "",
COUNT(ARRAYFORMULA(FILTER(BZ$5:BZ$229,CA$5:CA$229&lt;1,$C$5:$C$229=$C234,BZ$5:BZ$229&gt;$BS$5:$BS$229+"&amp;"$BT$5:$BT$229*$BT$2,$F$5:$F$229))),
"")"")"),"(0, 0)")</f>
        <v>(0, 0)</v>
      </c>
      <c r="CA234" s="259" t="str">
        <f>IFERROR(__xludf.DUMMYFUNCTION("CONCATENATE(""("",
COUNT(ARRAYFORMULA(FILTER(BZ$5:BZ$229,CA$5:CA$229&lt;1,$C$5:$C$229=$C234,BZ$5:BZ$229&lt;$BS$5:$BS$229-$BT$5:$BT$229*$BT$2,$E$5:$E$229))),
"", "",
COUNT(ARRAYFORMULA(FILTER(BZ$5:BZ$229,CA$5:CA$229&lt;1,$C$5:$C$229=$C234,BZ$5:BZ$229&lt;$BS$5:$BS$229-"&amp;"$BT$5:$BT$229*$BT$2,$F$5:$F$229))),
"")"")"),"(0, 0)")</f>
        <v>(0, 0)</v>
      </c>
      <c r="CB234" s="191"/>
      <c r="CC234" s="259" t="str">
        <f>IFERROR(__xludf.DUMMYFUNCTION("CONCATENATE(""("",
COUNT(ARRAYFORMULA(FILTER(CC$5:CC$229,CD$5:CD$229&lt;1,$C$5:$C$229=$C234,CC$5:CC$229&gt;$BS$5:$BS$229+$BT$5:$BT$229*$BT$2,$E$5:$E$229))),
"", "",
COUNT(ARRAYFORMULA(FILTER(CC$5:CC$229,CD$5:CD$229&lt;1,$C$5:$C$229=$C234,CC$5:CC$229&gt;$BS$5:$BS$229+"&amp;"$BT$5:$BT$229*$BT$2,$F$5:$F$229))),
"")"")"),"(0, 0)")</f>
        <v>(0, 0)</v>
      </c>
      <c r="CD234" s="259" t="str">
        <f>IFERROR(__xludf.DUMMYFUNCTION("CONCATENATE(""("",
COUNT(ARRAYFORMULA(FILTER(CC$5:CC$229,CD$5:CD$229&lt;1,$C$5:$C$229=$C234,CC$5:CC$229&lt;$BS$5:$BS$229-$BT$5:$BT$229*$BT$2,$E$5:$E$229))),
"", "",
COUNT(ARRAYFORMULA(FILTER(CC$5:CC$229,CD$5:CD$229&lt;1,$C$5:$C$229=$C234,CC$5:CC$229&lt;$BS$5:$BS$229-"&amp;"$BT$5:$BT$229*$BT$2,$F$5:$F$229))),
"")"")"),"(0, 0)")</f>
        <v>(0, 0)</v>
      </c>
      <c r="CE234" s="259" t="str">
        <f>IFERROR(__xludf.DUMMYFUNCTION("CONCATENATE(""("",
COUNT(ARRAYFORMULA(FILTER(CE$5:CE$229,CF$5:CF$229&lt;1,$C$5:$C$229=$C234,CE$5:CE$229&gt;$BS$5:$BS$229+$BT$5:$BT$229*$BT$2,$E$5:$E$229))),
"", "",
COUNT(ARRAYFORMULA(FILTER(CE$5:CE$229,CF$5:CF$229&lt;1,$C$5:$C$229=$C234,CE$5:CE$229&gt;$BS$5:$BS$229+"&amp;"$BT$5:$BT$229*$BT$2,$F$5:$F$229))),
"")"")"),"(0, 0)")</f>
        <v>(0, 0)</v>
      </c>
      <c r="CF234" s="259" t="str">
        <f>IFERROR(__xludf.DUMMYFUNCTION("CONCATENATE(""("",
COUNT(ARRAYFORMULA(FILTER(CE$5:CE$229,CF$5:CF$229&lt;1,$C$5:$C$229=$C234,CE$5:CE$229&lt;$BS$5:$BS$229-$BT$5:$BT$229*$BT$2,$E$5:$E$229))),
"", "",
COUNT(ARRAYFORMULA(FILTER(CE$5:CE$229,CF$5:CF$229&lt;1,$C$5:$C$229=$C234,CE$5:CE$229&lt;$BS$5:$BS$229-"&amp;"$BT$5:$BT$229*$BT$2,$F$5:$F$229))),
"")"")"),"(0, 0)")</f>
        <v>(0, 0)</v>
      </c>
      <c r="CG234" s="259" t="str">
        <f>IFERROR(__xludf.DUMMYFUNCTION("CONCATENATE(""("",
COUNT(ARRAYFORMULA(FILTER(CG$5:CG$229,CH$5:CH$229&lt;1,$C$5:$C$229=$C234,CG$5:CG$229&gt;$BS$5:$BS$229+$BT$5:$BT$229*$BT$2,$E$5:$E$229))),
"", "",
COUNT(ARRAYFORMULA(FILTER(CG$5:CG$229,CH$5:CH$229&lt;1,$C$5:$C$229=$C234,CG$5:CG$229&gt;$BS$5:$BS$229+"&amp;"$BT$5:$BT$229*$BT$2,$F$5:$F$229))),
"")"")"),"(4, 4)")</f>
        <v>(4, 4)</v>
      </c>
      <c r="CH234" s="259" t="str">
        <f>IFERROR(__xludf.DUMMYFUNCTION("CONCATENATE(""("",
COUNT(ARRAYFORMULA(FILTER(CG$5:CG$229,CH$5:CH$229&lt;1,$C$5:$C$229=$C234,CG$5:CG$229&lt;$BS$5:$BS$229-$BT$5:$BT$229*$BT$2,$E$5:$E$229))),
"", "",
COUNT(ARRAYFORMULA(FILTER(CG$5:CG$229,CH$5:CH$229&lt;1,$C$5:$C$229=$C234,CG$5:CG$229&lt;$BS$5:$BS$229-"&amp;"$BT$5:$BT$229*$BT$2,$F$5:$F$229))),
"")"")"),"(1, 1)")</f>
        <v>(1, 1)</v>
      </c>
      <c r="CI234" s="191"/>
      <c r="CJ234" s="259" t="str">
        <f>IFERROR(__xludf.DUMMYFUNCTION("CONCATENATE(""("",
COUNT(ARRAYFORMULA(FILTER(CJ$5:CJ$229,CK$5:CK$229&lt;1,$C$5:$C$229=$C234,CJ$5:CJ$229&gt;$BS$5:$BS$229+$BT$5:$BT$229*$BT$2,$E$5:$E$229))),
"", "",
COUNT(ARRAYFORMULA(FILTER(CJ$5:CJ$229,CK$5:CK$229&lt;1,$C$5:$C$229=$C234,CJ$5:CJ$229&gt;$BS$5:$BS$229+"&amp;"$BT$5:$BT$229*$BT$2,$F$5:$F$229))),
"")"")"),"(2, 2)")</f>
        <v>(2, 2)</v>
      </c>
      <c r="CK234" s="259" t="str">
        <f>IFERROR(__xludf.DUMMYFUNCTION("CONCATENATE(""("",
COUNT(ARRAYFORMULA(FILTER(CJ$5:CJ$229,CK$5:CK$229&lt;1,$C$5:$C$229=$C234,CJ$5:CJ$229&lt;$BS$5:$BS$229-$BT$5:$BT$229*$BT$2,$E$5:$E$229))),
"", "",
COUNT(ARRAYFORMULA(FILTER(CJ$5:CJ$229,CK$5:CK$229&lt;1,$C$5:$C$229=$C234,CJ$5:CJ$229&lt;$BS$5:$BS$229-"&amp;"$BT$5:$BT$229*$BT$2,$F$5:$F$229))),
"")"")"),"(1, 1)")</f>
        <v>(1, 1)</v>
      </c>
      <c r="CL234" s="259" t="str">
        <f>IFERROR(__xludf.DUMMYFUNCTION("CONCATENATE(""("",
COUNT(ARRAYFORMULA(FILTER(CL$5:CL$229,CM$5:CM$229&lt;1,$C$5:$C$229=$C234,CL$5:CL$229&gt;$BS$5:$BS$229+$BT$5:$BT$229*$BT$2,$E$5:$E$229))),
"", "",
COUNT(ARRAYFORMULA(FILTER(CL$5:CL$229,CM$5:CM$229&lt;1,$C$5:$C$229=$C234,CL$5:CL$229&gt;$BS$5:$BS$229+"&amp;"$BT$5:$BT$229*$BT$2,$F$5:$F$229))),
"")"")"),"(0, 0)")</f>
        <v>(0, 0)</v>
      </c>
      <c r="CM234" s="259" t="str">
        <f>IFERROR(__xludf.DUMMYFUNCTION("CONCATENATE(""("",
COUNT(ARRAYFORMULA(FILTER(CL$5:CL$229,CM$5:CM$229&lt;1,$C$5:$C$229=$C234,CL$5:CL$229&lt;$BS$5:$BS$229-$BT$5:$BT$229*$BT$2,$E$5:$E$229))),
"", "",
COUNT(ARRAYFORMULA(FILTER(CL$5:CL$229,CM$5:CM$229&lt;1,$C$5:$C$229=$C234,CL$5:CL$229&lt;$BS$5:$BS$229-"&amp;"$BT$5:$BT$229*$BT$2,$F$5:$F$229))),
"")"")"),"(0, 0)")</f>
        <v>(0, 0)</v>
      </c>
      <c r="CN234" s="259" t="str">
        <f>IFERROR(__xludf.DUMMYFUNCTION("CONCATENATE(""("",
COUNT(ARRAYFORMULA(FILTER(CN$5:CN$229,CO$5:CO$229&lt;1,$C$5:$C$229=$C234,CN$5:CN$229&gt;$BS$5:$BS$229+$BT$5:$BT$229*$BT$2,$E$5:$E$229))),
"", "",
COUNT(ARRAYFORMULA(FILTER(CN$5:CN$229,CO$5:CO$229&lt;1,$C$5:$C$229=$C234,CN$5:CN$229&gt;$BS$5:$BS$229+"&amp;"$BT$5:$BT$229*$BT$2,$F$5:$F$229))),
"")"")"),"(4, 4)")</f>
        <v>(4, 4)</v>
      </c>
      <c r="CO234" s="259" t="str">
        <f>IFERROR(__xludf.DUMMYFUNCTION("CONCATENATE(""("",
COUNT(ARRAYFORMULA(FILTER(CN$5:CN$229,CO$5:CO$229&lt;1,$C$5:$C$229=$C234,CN$5:CN$229&lt;$BS$5:$BS$229-$BT$5:$BT$229*$BT$2,$E$5:$E$229))),
"", "",
COUNT(ARRAYFORMULA(FILTER(CN$5:CN$229,CO$5:CO$229&lt;1,$C$5:$C$229=$C234,CN$5:CN$229&lt;$BS$5:$BS$229-"&amp;"$BT$5:$BT$229*$BT$2,$F$5:$F$229))),
"")"")"),"(1, 1)")</f>
        <v>(1, 1)</v>
      </c>
      <c r="CP234" s="191"/>
      <c r="CQ234" s="259" t="str">
        <f>IFERROR(__xludf.DUMMYFUNCTION("CONCATENATE(""("",
COUNT(ARRAYFORMULA(FILTER(CQ$5:CQ$229,CR$5:CR$229&lt;1,$C$5:$C$229=$C234,CQ$5:CQ$229&gt;$BS$5:$BS$229+$BT$5:$BT$229*$BT$2,$E$5:$E$229))),
"", "",
COUNT(ARRAYFORMULA(FILTER(CQ$5:CQ$229,CR$5:CR$229&lt;1,$C$5:$C$229=$C234,CQ$5:CQ$229&gt;$BS$5:$BS$229+"&amp;"$BT$5:$BT$229*$BT$2,$F$5:$F$229))),
"")"")"),"(1, 1)")</f>
        <v>(1, 1)</v>
      </c>
      <c r="CR234" s="259" t="str">
        <f>IFERROR(__xludf.DUMMYFUNCTION("CONCATENATE(""("",
COUNT(ARRAYFORMULA(FILTER(CQ$5:CQ$229,CR$5:CR$229&lt;1,$C$5:$C$229=$C234,CQ$5:CQ$229&lt;$BS$5:$BS$229-$BT$5:$BT$229*$BT$2,$E$5:$E$229))),
"", "",
COUNT(ARRAYFORMULA(FILTER(CQ$5:CQ$229,CR$5:CR$229&lt;1,$C$5:$C$229=$C234,CQ$5:CQ$229&lt;$BS$5:$BS$229-"&amp;"$BT$5:$BT$229*$BT$2,$F$5:$F$229))),
"")"")"),"(0, 0)")</f>
        <v>(0, 0)</v>
      </c>
      <c r="CS234" s="259" t="str">
        <f>IFERROR(__xludf.DUMMYFUNCTION("CONCATENATE(""("",
COUNT(ARRAYFORMULA(FILTER(CS$5:CS$229,CT$5:CT$229&lt;1,$C$5:$C$229=$C234,CS$5:CS$229&gt;$BS$5:$BS$229+$BT$5:$BT$229*$BT$2,$E$5:$E$229))),
"", "",
COUNT(ARRAYFORMULA(FILTER(CS$5:CS$229,CT$5:CT$229&lt;1,$C$5:$C$229=$C234,CS$5:CS$229&gt;$BS$5:$BS$229+"&amp;"$BT$5:$BT$229*$BT$2,$F$5:$F$229))),
"")"")"),"(0, 0)")</f>
        <v>(0, 0)</v>
      </c>
      <c r="CT234" s="259" t="str">
        <f>IFERROR(__xludf.DUMMYFUNCTION("CONCATENATE(""("",
COUNT(ARRAYFORMULA(FILTER(CS$5:CS$229,CT$5:CT$229&lt;1,$C$5:$C$229=$C234,CS$5:CS$229&lt;$BS$5:$BS$229-$BT$5:$BT$229*$BT$2,$E$5:$E$229))),
"", "",
COUNT(ARRAYFORMULA(FILTER(CS$5:CS$229,CT$5:CT$229&lt;1,$C$5:$C$229=$C234,CS$5:CS$229&lt;$BS$5:$BS$229-"&amp;"$BT$5:$BT$229*$BT$2,$F$5:$F$229))),
"")"")"),"(0, 0)")</f>
        <v>(0, 0)</v>
      </c>
      <c r="CU234" s="259" t="str">
        <f>IFERROR(__xludf.DUMMYFUNCTION("CONCATENATE(""("",
COUNT(ARRAYFORMULA(FILTER(CU$5:CU$229,CV$5:CV$229&lt;1,$C$5:$C$229=$C234,CU$5:CU$229&gt;$BS$5:$BS$229+$BT$5:$BT$229*$BT$2,$E$5:$E$229))),
"", "",
COUNT(ARRAYFORMULA(FILTER(CU$5:CU$229,CV$5:CV$229&lt;1,$C$5:$C$229=$C234,CU$5:CU$229&gt;$BS$5:$BS$229+"&amp;"$BT$5:$BT$229*$BT$2,$F$5:$F$229))),
"")"")"),"(0, 0)")</f>
        <v>(0, 0)</v>
      </c>
      <c r="CV234" s="259" t="str">
        <f>IFERROR(__xludf.DUMMYFUNCTION("CONCATENATE(""("",
COUNT(ARRAYFORMULA(FILTER(CU$5:CU$229,CV$5:CV$229&lt;1,$C$5:$C$229=$C234,CU$5:CU$229&lt;$BS$5:$BS$229-$BT$5:$BT$229*$BT$2,$E$5:$E$229))),
"", "",
COUNT(ARRAYFORMULA(FILTER(CU$5:CU$229,CV$5:CV$229&lt;1,$C$5:$C$229=$C234,CU$5:CU$229&lt;$BS$5:$BS$229-"&amp;"$BT$5:$BT$229*$BT$2,$F$5:$F$229))),
"")"")"),"(0, 0)")</f>
        <v>(0, 0)</v>
      </c>
      <c r="CW234" s="259" t="str">
        <f>IFERROR(__xludf.DUMMYFUNCTION("CONCATENATE(""("",
COUNT(ARRAYFORMULA(FILTER(CW$5:CW$229,CX$5:CX$229&lt;1,$C$5:$C$229=$C234,CW$5:CW$229&gt;$BS$5:$BS$229+$BT$5:$BT$229*$BT$2,$E$5:$E$229))),
"", "",
COUNT(ARRAYFORMULA(FILTER(CW$5:CW$229,CX$5:CX$229&lt;1,$C$5:$C$229=$C234,CW$5:CW$229&gt;$BS$5:$BS$229+"&amp;"$BT$5:$BT$229*$BT$2,$F$5:$F$229))),
"")"")"),"(5, 5)")</f>
        <v>(5, 5)</v>
      </c>
      <c r="CX234" s="259" t="str">
        <f>IFERROR(__xludf.DUMMYFUNCTION("CONCATENATE(""("",
COUNT(ARRAYFORMULA(FILTER(CW$5:CW$229,CX$5:CX$229&lt;1,$C$5:$C$229=$C234,CW$5:CW$229&lt;$BS$5:$BS$229-$BT$5:$BT$229*$BT$2,$E$5:$E$229))),
"", "",
COUNT(ARRAYFORMULA(FILTER(CW$5:CW$229,CX$5:CX$229&lt;1,$C$5:$C$229=$C234,CW$5:CW$229&lt;$BS$5:$BS$229-"&amp;"$BT$5:$BT$229*$BT$2,$F$5:$F$229))),
"")"")"),"(6, 6)")</f>
        <v>(6, 6)</v>
      </c>
      <c r="CY234" s="259" t="str">
        <f>IFERROR(__xludf.DUMMYFUNCTION("CONCATENATE(""("",
COUNT(ARRAYFORMULA(FILTER(CY$5:CY$229,CZ$5:CZ$229&lt;1,$C$5:$C$229=$C234,CY$5:CY$229&gt;$BS$5:$BS$229+$BT$5:$BT$229*$BT$2,$E$5:$E$229))),
"", "",
COUNT(ARRAYFORMULA(FILTER(CY$5:CY$229,CZ$5:CZ$229&lt;1,$C$5:$C$229=$C234,CY$5:CY$229&gt;$BS$5:$BS$229+"&amp;"$BT$5:$BT$229*$BT$2,$F$5:$F$229))),
"")"")"),"(1, 1)")</f>
        <v>(1, 1)</v>
      </c>
      <c r="CZ234" s="259" t="str">
        <f>IFERROR(__xludf.DUMMYFUNCTION("CONCATENATE(""("",
COUNT(ARRAYFORMULA(FILTER(CY$5:CY$229,CZ$5:CZ$229&lt;1,$C$5:$C$229=$C234,CY$5:CY$229&lt;$BS$5:$BS$229-$BT$5:$BT$229*$BT$2,$E$5:$E$229))),
"", "",
COUNT(ARRAYFORMULA(FILTER(CY$5:CY$229,CZ$5:CZ$229&lt;1,$C$5:$C$229=$C234,CY$5:CY$229&lt;$BS$5:$BS$229-"&amp;"$BT$5:$BT$229*$BT$2,$F$5:$F$229))),
"")"")"),"(0, 0)")</f>
        <v>(0, 0)</v>
      </c>
      <c r="DA234" s="191"/>
      <c r="DB234" s="259" t="str">
        <f>IFERROR(__xludf.DUMMYFUNCTION("CONCATENATE(""("",
COUNT(ARRAYFORMULA(FILTER(DB$5:DB$229,DC$5:DC$229&lt;1,$C$5:$C$229=$C234,DB$5:DB$229&gt;$BS$5:$BS$229+$BT$5:$BT$229*$BT$2,$E$5:$E$229))),
"", "",
COUNT(ARRAYFORMULA(FILTER(DB$5:DB$229,DC$5:DC$229&lt;1,$C$5:$C$229=$C234,DB$5:DB$229&gt;$BS$5:$BS$229+"&amp;"$BT$5:$BT$229*$BT$2,$F$5:$F$229))),
"")"")"),"(0, 0)")</f>
        <v>(0, 0)</v>
      </c>
      <c r="DC234" s="259" t="str">
        <f>IFERROR(__xludf.DUMMYFUNCTION("CONCATENATE(""("",
COUNT(ARRAYFORMULA(FILTER(DB$5:DB$229,DC$5:DC$229&lt;1,$C$5:$C$229=$C234,DB$5:DB$229&lt;$BS$5:$BS$229-$BT$5:$BT$229*$BT$2,$E$5:$E$229))),
"", "",
COUNT(ARRAYFORMULA(FILTER(DB$5:DB$229,DC$5:DC$229&lt;1,$C$5:$C$229=$C234,DB$5:DB$229&lt;$BS$5:$BS$229-"&amp;"$BT$5:$BT$229*$BT$2,$F$5:$F$229))),
"")"")"),"(0, 0)")</f>
        <v>(0, 0)</v>
      </c>
      <c r="DD234" s="259" t="str">
        <f>IFERROR(__xludf.DUMMYFUNCTION("CONCATENATE(""("",
COUNT(ARRAYFORMULA(FILTER(DD$5:DD$229,DE$5:DE$229&lt;1,$C$5:$C$229=$C234,DD$5:DD$229&gt;$BS$5:$BS$229+$BT$5:$BT$229*$BT$2,$E$5:$E$229))),
"", "",
COUNT(ARRAYFORMULA(FILTER(DD$5:DD$229,DE$5:DE$229&lt;1,$C$5:$C$229=$C234,DD$5:DD$229&gt;$BS$5:$BS$229+"&amp;"$BT$5:$BT$229*$BT$2,$F$5:$F$229))),
"")"")"),"(0, 0)")</f>
        <v>(0, 0)</v>
      </c>
      <c r="DE234" s="259" t="str">
        <f>IFERROR(__xludf.DUMMYFUNCTION("CONCATENATE(""("",
COUNT(ARRAYFORMULA(FILTER(DD$5:DD$229,DE$5:DE$229&lt;1,$C$5:$C$229=$C234,DD$5:DD$229&lt;$BS$5:$BS$229-$BT$5:$BT$229*$BT$2,$E$5:$E$229))),
"", "",
COUNT(ARRAYFORMULA(FILTER(DD$5:DD$229,DE$5:DE$229&lt;1,$C$5:$C$229=$C234,DD$5:DD$229&lt;$BS$5:$BS$229-"&amp;"$BT$5:$BT$229*$BT$2,$F$5:$F$229))),
"")"")"),"(0, 0)")</f>
        <v>(0, 0)</v>
      </c>
      <c r="DF234" s="259" t="str">
        <f>IFERROR(__xludf.DUMMYFUNCTION("CONCATENATE(""("",
COUNT(ARRAYFORMULA(FILTER(DF$5:DF$229,DG$5:DG$229&lt;1,$C$5:$C$229=$C234,DF$5:DF$229&gt;$BS$5:$BS$229+$BT$5:$BT$229*$BT$2,$E$5:$E$229))),
"", "",
COUNT(ARRAYFORMULA(FILTER(DF$5:DF$229,DG$5:DG$229&lt;1,$C$5:$C$229=$C234,DF$5:DF$229&gt;$BS$5:$BS$229+"&amp;"$BT$5:$BT$229*$BT$2,$F$5:$F$229))),
"")"")"),"(1, 1)")</f>
        <v>(1, 1)</v>
      </c>
      <c r="DG234" s="259" t="str">
        <f>IFERROR(__xludf.DUMMYFUNCTION("CONCATENATE(""("",
COUNT(ARRAYFORMULA(FILTER(DF$5:DF$229,DG$5:DG$229&lt;1,$C$5:$C$229=$C234,DF$5:DF$229&lt;$BS$5:$BS$229-$BT$5:$BT$229*$BT$2,$E$5:$E$229))),
"", "",
COUNT(ARRAYFORMULA(FILTER(DF$5:DF$229,DG$5:DG$229&lt;1,$C$5:$C$229=$C234,DF$5:DF$229&lt;$BS$5:$BS$229-"&amp;"$BT$5:$BT$229*$BT$2,$F$5:$F$229))),
"")"")"),"(0, 0)")</f>
        <v>(0, 0)</v>
      </c>
      <c r="DH234" s="259" t="str">
        <f>IFERROR(__xludf.DUMMYFUNCTION("CONCATENATE(""("",
COUNT(ARRAYFORMULA(FILTER(DH$5:DH$229,DI$5:DI$229&lt;1,$C$5:$C$229=$C234,DH$5:DH$229&gt;$BS$5:$BS$229+$BT$5:$BT$229*$BT$2,$E$5:$E$229))),
"", "",
COUNT(ARRAYFORMULA(FILTER(DH$5:DH$229,DI$5:DI$229&lt;1,$C$5:$C$229=$C234,DH$5:DH$229&gt;$BS$5:$BS$229+"&amp;"$BT$5:$BT$229*$BT$2,$F$5:$F$229))),
"")"")"),"(1, 1)")</f>
        <v>(1, 1)</v>
      </c>
      <c r="DI234" s="259" t="str">
        <f>IFERROR(__xludf.DUMMYFUNCTION("CONCATENATE(""("",
COUNT(ARRAYFORMULA(FILTER(DH$5:DH$229,DI$5:DI$229&lt;1,$C$5:$C$229=$C234,DH$5:DH$229&lt;$BS$5:$BS$229-$BT$5:$BT$229*$BT$2,$E$5:$E$229))),
"", "",
COUNT(ARRAYFORMULA(FILTER(DH$5:DH$229,DI$5:DI$229&lt;1,$C$5:$C$229=$C234,DH$5:DH$229&lt;$BS$5:$BS$229-"&amp;"$BT$5:$BT$229*$BT$2,$F$5:$F$229))),
"")"")"),"(0, 0)")</f>
        <v>(0, 0)</v>
      </c>
      <c r="DJ234" s="191"/>
    </row>
    <row r="235">
      <c r="A235" s="2"/>
      <c r="B235" s="225"/>
      <c r="C235" s="225" t="s">
        <v>540</v>
      </c>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187"/>
      <c r="BI235" s="187"/>
      <c r="BJ235" s="187"/>
      <c r="BK235" s="187"/>
      <c r="BL235" s="187"/>
      <c r="BM235" s="187"/>
      <c r="BN235" s="187"/>
      <c r="BO235" s="187"/>
      <c r="BP235" s="187"/>
      <c r="BQ235" s="187"/>
      <c r="BR235" s="187"/>
      <c r="BS235" s="187"/>
      <c r="BT235" s="216"/>
      <c r="BU235" s="191"/>
      <c r="BV235" s="259" t="str">
        <f>IFERROR(__xludf.DUMMYFUNCTION("CONCATENATE(""("",
COUNT(ARRAYFORMULA(FILTER(BV$5:BV$229,BW$5:BW$229&lt;1,$C$5:$C$229=$C235,BV$5:BV$229&gt;$BS$5:$BS$229+$BT$5:$BT$229*$BT$2,$E$5:$E$229))),
"", "",
COUNT(ARRAYFORMULA(FILTER(BV$5:BV$229,BW$5:BW$229&lt;1,$C$5:$C$229=$C235,BV$5:BV$229&gt;$BS$5:$BS$229+"&amp;"$BT$5:$BT$229*$BT$2,$F$5:$F$229))),
"")"")"),"(4, 4)")</f>
        <v>(4, 4)</v>
      </c>
      <c r="BW235" s="259" t="str">
        <f>IFERROR(__xludf.DUMMYFUNCTION("CONCATENATE(""("",
COUNT(ARRAYFORMULA(FILTER(BV$5:BV$229,BW$5:BW$229&lt;1,$C$5:$C$229=$C235,BV$5:BV$229&lt;$BS$5:$BS$229-$BT$5:$BT$229*$BT$2,$E$5:$E$229))),
"", "",
COUNT(ARRAYFORMULA(FILTER(BV$5:BV$229,BW$5:BW$229&lt;1,$C$5:$C$229=$C235,BV$5:BV$229&lt;$BS$5:$BS$229-"&amp;"$BT$5:$BT$229*$BT$2,$F$5:$F$229))),
"")"")"),"(5, 4)")</f>
        <v>(5, 4)</v>
      </c>
      <c r="BX235" s="259" t="str">
        <f>IFERROR(__xludf.DUMMYFUNCTION("CONCATENATE(""("",
COUNT(ARRAYFORMULA(FILTER(BX$5:BX$229,BY$5:BY$229&lt;1,$C$5:$C$229=$C235,BX$5:BX$229&gt;$BS$5:$BS$229+$BT$5:$BT$229*$BT$2,$E$5:$E$229))),
"", "",
COUNT(ARRAYFORMULA(FILTER(BX$5:BX$229,BY$5:BY$229&lt;1,$C$5:$C$229=$C235,BX$5:BX$229&gt;$BS$5:$BS$229+"&amp;"$BT$5:$BT$229*$BT$2,$F$5:$F$229))),
"")"")"),"(0, 0)")</f>
        <v>(0, 0)</v>
      </c>
      <c r="BY235" s="259" t="str">
        <f>IFERROR(__xludf.DUMMYFUNCTION("CONCATENATE(""("",
COUNT(ARRAYFORMULA(FILTER(BX$5:BX$229,BY$5:BY$229&lt;1,$C$5:$C$229=$C235,BX$5:BX$229&lt;$BS$5:$BS$229-$BT$5:$BT$229*$BT$2,$E$5:$E$229))),
"", "",
COUNT(ARRAYFORMULA(FILTER(BX$5:BX$229,BY$5:BY$229&lt;1,$C$5:$C$229=$C235,BX$5:BX$229&lt;$BS$5:$BS$229-"&amp;"$BT$5:$BT$229*$BT$2,$F$5:$F$229))),
"")"")"),"(0, 0)")</f>
        <v>(0, 0)</v>
      </c>
      <c r="BZ235" s="259" t="str">
        <f>IFERROR(__xludf.DUMMYFUNCTION("CONCATENATE(""("",
COUNT(ARRAYFORMULA(FILTER(BZ$5:BZ$229,CA$5:CA$229&lt;1,$C$5:$C$229=$C235,BZ$5:BZ$229&gt;$BS$5:$BS$229+$BT$5:$BT$229*$BT$2,$E$5:$E$229))),
"", "",
COUNT(ARRAYFORMULA(FILTER(BZ$5:BZ$229,CA$5:CA$229&lt;1,$C$5:$C$229=$C235,BZ$5:BZ$229&gt;$BS$5:$BS$229+"&amp;"$BT$5:$BT$229*$BT$2,$F$5:$F$229))),
"")"")"),"(2, 0)")</f>
        <v>(2, 0)</v>
      </c>
      <c r="CA235" s="259" t="str">
        <f>IFERROR(__xludf.DUMMYFUNCTION("CONCATENATE(""("",
COUNT(ARRAYFORMULA(FILTER(BZ$5:BZ$229,CA$5:CA$229&lt;1,$C$5:$C$229=$C235,BZ$5:BZ$229&lt;$BS$5:$BS$229-$BT$5:$BT$229*$BT$2,$E$5:$E$229))),
"", "",
COUNT(ARRAYFORMULA(FILTER(BZ$5:BZ$229,CA$5:CA$229&lt;1,$C$5:$C$229=$C235,BZ$5:BZ$229&lt;$BS$5:$BS$229-"&amp;"$BT$5:$BT$229*$BT$2,$F$5:$F$229))),
"")"")"),"(2, 0)")</f>
        <v>(2, 0)</v>
      </c>
      <c r="CB235" s="191"/>
      <c r="CC235" s="259" t="str">
        <f>IFERROR(__xludf.DUMMYFUNCTION("CONCATENATE(""("",
COUNT(ARRAYFORMULA(FILTER(CC$5:CC$229,CD$5:CD$229&lt;1,$C$5:$C$229=$C235,CC$5:CC$229&gt;$BS$5:$BS$229+$BT$5:$BT$229*$BT$2,$E$5:$E$229))),
"", "",
COUNT(ARRAYFORMULA(FILTER(CC$5:CC$229,CD$5:CD$229&lt;1,$C$5:$C$229=$C235,CC$5:CC$229&gt;$BS$5:$BS$229+"&amp;"$BT$5:$BT$229*$BT$2,$F$5:$F$229))),
"")"")"),"(2, 2)")</f>
        <v>(2, 2)</v>
      </c>
      <c r="CD235" s="259" t="str">
        <f>IFERROR(__xludf.DUMMYFUNCTION("CONCATENATE(""("",
COUNT(ARRAYFORMULA(FILTER(CC$5:CC$229,CD$5:CD$229&lt;1,$C$5:$C$229=$C235,CC$5:CC$229&lt;$BS$5:$BS$229-$BT$5:$BT$229*$BT$2,$E$5:$E$229))),
"", "",
COUNT(ARRAYFORMULA(FILTER(CC$5:CC$229,CD$5:CD$229&lt;1,$C$5:$C$229=$C235,CC$5:CC$229&lt;$BS$5:$BS$229-"&amp;"$BT$5:$BT$229*$BT$2,$F$5:$F$229))),
"")"")"),"(0, 0)")</f>
        <v>(0, 0)</v>
      </c>
      <c r="CE235" s="259" t="str">
        <f>IFERROR(__xludf.DUMMYFUNCTION("CONCATENATE(""("",
COUNT(ARRAYFORMULA(FILTER(CE$5:CE$229,CF$5:CF$229&lt;1,$C$5:$C$229=$C235,CE$5:CE$229&gt;$BS$5:$BS$229+$BT$5:$BT$229*$BT$2,$E$5:$E$229))),
"", "",
COUNT(ARRAYFORMULA(FILTER(CE$5:CE$229,CF$5:CF$229&lt;1,$C$5:$C$229=$C235,CE$5:CE$229&gt;$BS$5:$BS$229+"&amp;"$BT$5:$BT$229*$BT$2,$F$5:$F$229))),
"")"")"),"(0, 0)")</f>
        <v>(0, 0)</v>
      </c>
      <c r="CF235" s="259" t="str">
        <f>IFERROR(__xludf.DUMMYFUNCTION("CONCATENATE(""("",
COUNT(ARRAYFORMULA(FILTER(CE$5:CE$229,CF$5:CF$229&lt;1,$C$5:$C$229=$C235,CE$5:CE$229&lt;$BS$5:$BS$229-$BT$5:$BT$229*$BT$2,$E$5:$E$229))),
"", "",
COUNT(ARRAYFORMULA(FILTER(CE$5:CE$229,CF$5:CF$229&lt;1,$C$5:$C$229=$C235,CE$5:CE$229&lt;$BS$5:$BS$229-"&amp;"$BT$5:$BT$229*$BT$2,$F$5:$F$229))),
"")"")"),"(0, 0)")</f>
        <v>(0, 0)</v>
      </c>
      <c r="CG235" s="259" t="str">
        <f>IFERROR(__xludf.DUMMYFUNCTION("CONCATENATE(""("",
COUNT(ARRAYFORMULA(FILTER(CG$5:CG$229,CH$5:CH$229&lt;1,$C$5:$C$229=$C235,CG$5:CG$229&gt;$BS$5:$BS$229+$BT$5:$BT$229*$BT$2,$E$5:$E$229))),
"", "",
COUNT(ARRAYFORMULA(FILTER(CG$5:CG$229,CH$5:CH$229&lt;1,$C$5:$C$229=$C235,CG$5:CG$229&gt;$BS$5:$BS$229+"&amp;"$BT$5:$BT$229*$BT$2,$F$5:$F$229))),
"")"")"),"(3, 1)")</f>
        <v>(3, 1)</v>
      </c>
      <c r="CH235" s="259" t="str">
        <f>IFERROR(__xludf.DUMMYFUNCTION("CONCATENATE(""("",
COUNT(ARRAYFORMULA(FILTER(CG$5:CG$229,CH$5:CH$229&lt;1,$C$5:$C$229=$C235,CG$5:CG$229&lt;$BS$5:$BS$229-$BT$5:$BT$229*$BT$2,$E$5:$E$229))),
"", "",
COUNT(ARRAYFORMULA(FILTER(CG$5:CG$229,CH$5:CH$229&lt;1,$C$5:$C$229=$C235,CG$5:CG$229&lt;$BS$5:$BS$229-"&amp;"$BT$5:$BT$229*$BT$2,$F$5:$F$229))),
"")"")"),"(7, 2)")</f>
        <v>(7, 2)</v>
      </c>
      <c r="CI235" s="191"/>
      <c r="CJ235" s="259" t="str">
        <f>IFERROR(__xludf.DUMMYFUNCTION("CONCATENATE(""("",
COUNT(ARRAYFORMULA(FILTER(CJ$5:CJ$229,CK$5:CK$229&lt;1,$C$5:$C$229=$C235,CJ$5:CJ$229&gt;$BS$5:$BS$229+$BT$5:$BT$229*$BT$2,$E$5:$E$229))),
"", "",
COUNT(ARRAYFORMULA(FILTER(CJ$5:CJ$229,CK$5:CK$229&lt;1,$C$5:$C$229=$C235,CJ$5:CJ$229&gt;$BS$5:$BS$229+"&amp;"$BT$5:$BT$229*$BT$2,$F$5:$F$229))),
"")"")"),"(0, 0)")</f>
        <v>(0, 0)</v>
      </c>
      <c r="CK235" s="259" t="str">
        <f>IFERROR(__xludf.DUMMYFUNCTION("CONCATENATE(""("",
COUNT(ARRAYFORMULA(FILTER(CJ$5:CJ$229,CK$5:CK$229&lt;1,$C$5:$C$229=$C235,CJ$5:CJ$229&lt;$BS$5:$BS$229-$BT$5:$BT$229*$BT$2,$E$5:$E$229))),
"", "",
COUNT(ARRAYFORMULA(FILTER(CJ$5:CJ$229,CK$5:CK$229&lt;1,$C$5:$C$229=$C235,CJ$5:CJ$229&lt;$BS$5:$BS$229-"&amp;"$BT$5:$BT$229*$BT$2,$F$5:$F$229))),
"")"")"),"(0, 0)")</f>
        <v>(0, 0)</v>
      </c>
      <c r="CL235" s="259" t="str">
        <f>IFERROR(__xludf.DUMMYFUNCTION("CONCATENATE(""("",
COUNT(ARRAYFORMULA(FILTER(CL$5:CL$229,CM$5:CM$229&lt;1,$C$5:$C$229=$C235,CL$5:CL$229&gt;$BS$5:$BS$229+$BT$5:$BT$229*$BT$2,$E$5:$E$229))),
"", "",
COUNT(ARRAYFORMULA(FILTER(CL$5:CL$229,CM$5:CM$229&lt;1,$C$5:$C$229=$C235,CL$5:CL$229&gt;$BS$5:$BS$229+"&amp;"$BT$5:$BT$229*$BT$2,$F$5:$F$229))),
"")"")"),"(0, 0)")</f>
        <v>(0, 0)</v>
      </c>
      <c r="CM235" s="259" t="str">
        <f>IFERROR(__xludf.DUMMYFUNCTION("CONCATENATE(""("",
COUNT(ARRAYFORMULA(FILTER(CL$5:CL$229,CM$5:CM$229&lt;1,$C$5:$C$229=$C235,CL$5:CL$229&lt;$BS$5:$BS$229-$BT$5:$BT$229*$BT$2,$E$5:$E$229))),
"", "",
COUNT(ARRAYFORMULA(FILTER(CL$5:CL$229,CM$5:CM$229&lt;1,$C$5:$C$229=$C235,CL$5:CL$229&lt;$BS$5:$BS$229-"&amp;"$BT$5:$BT$229*$BT$2,$F$5:$F$229))),
"")"")"),"(0, 0)")</f>
        <v>(0, 0)</v>
      </c>
      <c r="CN235" s="259" t="str">
        <f>IFERROR(__xludf.DUMMYFUNCTION("CONCATENATE(""("",
COUNT(ARRAYFORMULA(FILTER(CN$5:CN$229,CO$5:CO$229&lt;1,$C$5:$C$229=$C235,CN$5:CN$229&gt;$BS$5:$BS$229+$BT$5:$BT$229*$BT$2,$E$5:$E$229))),
"", "",
COUNT(ARRAYFORMULA(FILTER(CN$5:CN$229,CO$5:CO$229&lt;1,$C$5:$C$229=$C235,CN$5:CN$229&gt;$BS$5:$BS$229+"&amp;"$BT$5:$BT$229*$BT$2,$F$5:$F$229))),
"")"")"),"(3, 1)")</f>
        <v>(3, 1)</v>
      </c>
      <c r="CO235" s="259" t="str">
        <f>IFERROR(__xludf.DUMMYFUNCTION("CONCATENATE(""("",
COUNT(ARRAYFORMULA(FILTER(CN$5:CN$229,CO$5:CO$229&lt;1,$C$5:$C$229=$C235,CN$5:CN$229&lt;$BS$5:$BS$229-$BT$5:$BT$229*$BT$2,$E$5:$E$229))),
"", "",
COUNT(ARRAYFORMULA(FILTER(CN$5:CN$229,CO$5:CO$229&lt;1,$C$5:$C$229=$C235,CN$5:CN$229&lt;$BS$5:$BS$229-"&amp;"$BT$5:$BT$229*$BT$2,$F$5:$F$229))),
"")"")"),"(7, 2)")</f>
        <v>(7, 2)</v>
      </c>
      <c r="CP235" s="191"/>
      <c r="CQ235" s="259" t="str">
        <f>IFERROR(__xludf.DUMMYFUNCTION("CONCATENATE(""("",
COUNT(ARRAYFORMULA(FILTER(CQ$5:CQ$229,CR$5:CR$229&lt;1,$C$5:$C$229=$C235,CQ$5:CQ$229&gt;$BS$5:$BS$229+$BT$5:$BT$229*$BT$2,$E$5:$E$229))),
"", "",
COUNT(ARRAYFORMULA(FILTER(CQ$5:CQ$229,CR$5:CR$229&lt;1,$C$5:$C$229=$C235,CQ$5:CQ$229&gt;$BS$5:$BS$229+"&amp;"$BT$5:$BT$229*$BT$2,$F$5:$F$229))),
"")"")"),"(1, 1)")</f>
        <v>(1, 1)</v>
      </c>
      <c r="CR235" s="259" t="str">
        <f>IFERROR(__xludf.DUMMYFUNCTION("CONCATENATE(""("",
COUNT(ARRAYFORMULA(FILTER(CQ$5:CQ$229,CR$5:CR$229&lt;1,$C$5:$C$229=$C235,CQ$5:CQ$229&lt;$BS$5:$BS$229-$BT$5:$BT$229*$BT$2,$E$5:$E$229))),
"", "",
COUNT(ARRAYFORMULA(FILTER(CQ$5:CQ$229,CR$5:CR$229&lt;1,$C$5:$C$229=$C235,CQ$5:CQ$229&lt;$BS$5:$BS$229-"&amp;"$BT$5:$BT$229*$BT$2,$F$5:$F$229))),
"")"")"),"(0, 0)")</f>
        <v>(0, 0)</v>
      </c>
      <c r="CS235" s="259" t="str">
        <f>IFERROR(__xludf.DUMMYFUNCTION("CONCATENATE(""("",
COUNT(ARRAYFORMULA(FILTER(CS$5:CS$229,CT$5:CT$229&lt;1,$C$5:$C$229=$C235,CS$5:CS$229&gt;$BS$5:$BS$229+$BT$5:$BT$229*$BT$2,$E$5:$E$229))),
"", "",
COUNT(ARRAYFORMULA(FILTER(CS$5:CS$229,CT$5:CT$229&lt;1,$C$5:$C$229=$C235,CS$5:CS$229&gt;$BS$5:$BS$229+"&amp;"$BT$5:$BT$229*$BT$2,$F$5:$F$229))),
"")"")"),"(3, 0)")</f>
        <v>(3, 0)</v>
      </c>
      <c r="CT235" s="259" t="str">
        <f>IFERROR(__xludf.DUMMYFUNCTION("CONCATENATE(""("",
COUNT(ARRAYFORMULA(FILTER(CS$5:CS$229,CT$5:CT$229&lt;1,$C$5:$C$229=$C235,CS$5:CS$229&lt;$BS$5:$BS$229-$BT$5:$BT$229*$BT$2,$E$5:$E$229))),
"", "",
COUNT(ARRAYFORMULA(FILTER(CS$5:CS$229,CT$5:CT$229&lt;1,$C$5:$C$229=$C235,CS$5:CS$229&lt;$BS$5:$BS$229-"&amp;"$BT$5:$BT$229*$BT$2,$F$5:$F$229))),
"")"")"),"(3, 0)")</f>
        <v>(3, 0)</v>
      </c>
      <c r="CU235" s="259" t="str">
        <f>IFERROR(__xludf.DUMMYFUNCTION("CONCATENATE(""("",
COUNT(ARRAYFORMULA(FILTER(CU$5:CU$229,CV$5:CV$229&lt;1,$C$5:$C$229=$C235,CU$5:CU$229&gt;$BS$5:$BS$229+$BT$5:$BT$229*$BT$2,$E$5:$E$229))),
"", "",
COUNT(ARRAYFORMULA(FILTER(CU$5:CU$229,CV$5:CV$229&lt;1,$C$5:$C$229=$C235,CU$5:CU$229&gt;$BS$5:$BS$229+"&amp;"$BT$5:$BT$229*$BT$2,$F$5:$F$229))),
"")"")"),"(1, 1)")</f>
        <v>(1, 1)</v>
      </c>
      <c r="CV235" s="259" t="str">
        <f>IFERROR(__xludf.DUMMYFUNCTION("CONCATENATE(""("",
COUNT(ARRAYFORMULA(FILTER(CU$5:CU$229,CV$5:CV$229&lt;1,$C$5:$C$229=$C235,CU$5:CU$229&lt;$BS$5:$BS$229-$BT$5:$BT$229*$BT$2,$E$5:$E$229))),
"", "",
COUNT(ARRAYFORMULA(FILTER(CU$5:CU$229,CV$5:CV$229&lt;1,$C$5:$C$229=$C235,CU$5:CU$229&lt;$BS$5:$BS$229-"&amp;"$BT$5:$BT$229*$BT$2,$F$5:$F$229))),
"")"")"),"(0, 0)")</f>
        <v>(0, 0)</v>
      </c>
      <c r="CW235" s="259" t="str">
        <f>IFERROR(__xludf.DUMMYFUNCTION("CONCATENATE(""("",
COUNT(ARRAYFORMULA(FILTER(CW$5:CW$229,CX$5:CX$229&lt;1,$C$5:$C$229=$C235,CW$5:CW$229&gt;$BS$5:$BS$229+$BT$5:$BT$229*$BT$2,$E$5:$E$229))),
"", "",
COUNT(ARRAYFORMULA(FILTER(CW$5:CW$229,CX$5:CX$229&lt;1,$C$5:$C$229=$C235,CW$5:CW$229&gt;$BS$5:$BS$229+"&amp;"$BT$5:$BT$229*$BT$2,$F$5:$F$229))),
"")"")"),"(14, 7)")</f>
        <v>(14, 7)</v>
      </c>
      <c r="CX235" s="259" t="str">
        <f>IFERROR(__xludf.DUMMYFUNCTION("CONCATENATE(""("",
COUNT(ARRAYFORMULA(FILTER(CW$5:CW$229,CX$5:CX$229&lt;1,$C$5:$C$229=$C235,CW$5:CW$229&lt;$BS$5:$BS$229-$BT$5:$BT$229*$BT$2,$E$5:$E$229))),
"", "",
COUNT(ARRAYFORMULA(FILTER(CW$5:CW$229,CX$5:CX$229&lt;1,$C$5:$C$229=$C235,CW$5:CW$229&lt;$BS$5:$BS$229-"&amp;"$BT$5:$BT$229*$BT$2,$F$5:$F$229))),
"")"")"),"(3, 3)")</f>
        <v>(3, 3)</v>
      </c>
      <c r="CY235" s="259" t="str">
        <f>IFERROR(__xludf.DUMMYFUNCTION("CONCATENATE(""("",
COUNT(ARRAYFORMULA(FILTER(CY$5:CY$229,CZ$5:CZ$229&lt;1,$C$5:$C$229=$C235,CY$5:CY$229&gt;$BS$5:$BS$229+$BT$5:$BT$229*$BT$2,$E$5:$E$229))),
"", "",
COUNT(ARRAYFORMULA(FILTER(CY$5:CY$229,CZ$5:CZ$229&lt;1,$C$5:$C$229=$C235,CY$5:CY$229&gt;$BS$5:$BS$229+"&amp;"$BT$5:$BT$229*$BT$2,$F$5:$F$229))),
"")"")"),"(1, 1)")</f>
        <v>(1, 1)</v>
      </c>
      <c r="CZ235" s="259" t="str">
        <f>IFERROR(__xludf.DUMMYFUNCTION("CONCATENATE(""("",
COUNT(ARRAYFORMULA(FILTER(CY$5:CY$229,CZ$5:CZ$229&lt;1,$C$5:$C$229=$C235,CY$5:CY$229&lt;$BS$5:$BS$229-$BT$5:$BT$229*$BT$2,$E$5:$E$229))),
"", "",
COUNT(ARRAYFORMULA(FILTER(CY$5:CY$229,CZ$5:CZ$229&lt;1,$C$5:$C$229=$C235,CY$5:CY$229&lt;$BS$5:$BS$229-"&amp;"$BT$5:$BT$229*$BT$2,$F$5:$F$229))),
"")"")"),"(0, 0)")</f>
        <v>(0, 0)</v>
      </c>
      <c r="DA235" s="191"/>
      <c r="DB235" s="259" t="str">
        <f>IFERROR(__xludf.DUMMYFUNCTION("CONCATENATE(""("",
COUNT(ARRAYFORMULA(FILTER(DB$5:DB$229,DC$5:DC$229&lt;1,$C$5:$C$229=$C235,DB$5:DB$229&gt;$BS$5:$BS$229+$BT$5:$BT$229*$BT$2,$E$5:$E$229))),
"", "",
COUNT(ARRAYFORMULA(FILTER(DB$5:DB$229,DC$5:DC$229&lt;1,$C$5:$C$229=$C235,DB$5:DB$229&gt;$BS$5:$BS$229+"&amp;"$BT$5:$BT$229*$BT$2,$F$5:$F$229))),
"")"")"),"(0, 0)")</f>
        <v>(0, 0)</v>
      </c>
      <c r="DC235" s="259" t="str">
        <f>IFERROR(__xludf.DUMMYFUNCTION("CONCATENATE(""("",
COUNT(ARRAYFORMULA(FILTER(DB$5:DB$229,DC$5:DC$229&lt;1,$C$5:$C$229=$C235,DB$5:DB$229&lt;$BS$5:$BS$229-$BT$5:$BT$229*$BT$2,$E$5:$E$229))),
"", "",
COUNT(ARRAYFORMULA(FILTER(DB$5:DB$229,DC$5:DC$229&lt;1,$C$5:$C$229=$C235,DB$5:DB$229&lt;$BS$5:$BS$229-"&amp;"$BT$5:$BT$229*$BT$2,$F$5:$F$229))),
"")"")"),"(0, 0)")</f>
        <v>(0, 0)</v>
      </c>
      <c r="DD235" s="259" t="str">
        <f>IFERROR(__xludf.DUMMYFUNCTION("CONCATENATE(""("",
COUNT(ARRAYFORMULA(FILTER(DD$5:DD$229,DE$5:DE$229&lt;1,$C$5:$C$229=$C235,DD$5:DD$229&gt;$BS$5:$BS$229+$BT$5:$BT$229*$BT$2,$E$5:$E$229))),
"", "",
COUNT(ARRAYFORMULA(FILTER(DD$5:DD$229,DE$5:DE$229&lt;1,$C$5:$C$229=$C235,DD$5:DD$229&gt;$BS$5:$BS$229+"&amp;"$BT$5:$BT$229*$BT$2,$F$5:$F$229))),
"")"")"),"(0, 0)")</f>
        <v>(0, 0)</v>
      </c>
      <c r="DE235" s="259" t="str">
        <f>IFERROR(__xludf.DUMMYFUNCTION("CONCATENATE(""("",
COUNT(ARRAYFORMULA(FILTER(DD$5:DD$229,DE$5:DE$229&lt;1,$C$5:$C$229=$C235,DD$5:DD$229&lt;$BS$5:$BS$229-$BT$5:$BT$229*$BT$2,$E$5:$E$229))),
"", "",
COUNT(ARRAYFORMULA(FILTER(DD$5:DD$229,DE$5:DE$229&lt;1,$C$5:$C$229=$C235,DD$5:DD$229&lt;$BS$5:$BS$229-"&amp;"$BT$5:$BT$229*$BT$2,$F$5:$F$229))),
"")"")"),"(0, 0)")</f>
        <v>(0, 0)</v>
      </c>
      <c r="DF235" s="259" t="str">
        <f>IFERROR(__xludf.DUMMYFUNCTION("CONCATENATE(""("",
COUNT(ARRAYFORMULA(FILTER(DF$5:DF$229,DG$5:DG$229&lt;1,$C$5:$C$229=$C235,DF$5:DF$229&gt;$BS$5:$BS$229+$BT$5:$BT$229*$BT$2,$E$5:$E$229))),
"", "",
COUNT(ARRAYFORMULA(FILTER(DF$5:DF$229,DG$5:DG$229&lt;1,$C$5:$C$229=$C235,DF$5:DF$229&gt;$BS$5:$BS$229+"&amp;"$BT$5:$BT$229*$BT$2,$F$5:$F$229))),
"")"")"),"(4, 3)")</f>
        <v>(4, 3)</v>
      </c>
      <c r="DG235" s="259" t="str">
        <f>IFERROR(__xludf.DUMMYFUNCTION("CONCATENATE(""("",
COUNT(ARRAYFORMULA(FILTER(DF$5:DF$229,DG$5:DG$229&lt;1,$C$5:$C$229=$C235,DF$5:DF$229&lt;$BS$5:$BS$229-$BT$5:$BT$229*$BT$2,$E$5:$E$229))),
"", "",
COUNT(ARRAYFORMULA(FILTER(DF$5:DF$229,DG$5:DG$229&lt;1,$C$5:$C$229=$C235,DF$5:DF$229&lt;$BS$5:$BS$229-"&amp;"$BT$5:$BT$229*$BT$2,$F$5:$F$229))),
"")"")"),"(4, 3)")</f>
        <v>(4, 3)</v>
      </c>
      <c r="DH235" s="259" t="str">
        <f>IFERROR(__xludf.DUMMYFUNCTION("CONCATENATE(""("",
COUNT(ARRAYFORMULA(FILTER(DH$5:DH$229,DI$5:DI$229&lt;1,$C$5:$C$229=$C235,DH$5:DH$229&gt;$BS$5:$BS$229+$BT$5:$BT$229*$BT$2,$E$5:$E$229))),
"", "",
COUNT(ARRAYFORMULA(FILTER(DH$5:DH$229,DI$5:DI$229&lt;1,$C$5:$C$229=$C235,DH$5:DH$229&gt;$BS$5:$BS$229+"&amp;"$BT$5:$BT$229*$BT$2,$F$5:$F$229))),
"")"")"),"(3, 1)")</f>
        <v>(3, 1)</v>
      </c>
      <c r="DI235" s="259" t="str">
        <f>IFERROR(__xludf.DUMMYFUNCTION("CONCATENATE(""("",
COUNT(ARRAYFORMULA(FILTER(DH$5:DH$229,DI$5:DI$229&lt;1,$C$5:$C$229=$C235,DH$5:DH$229&lt;$BS$5:$BS$229-$BT$5:$BT$229*$BT$2,$E$5:$E$229))),
"", "",
COUNT(ARRAYFORMULA(FILTER(DH$5:DH$229,DI$5:DI$229&lt;1,$C$5:$C$229=$C235,DH$5:DH$229&lt;$BS$5:$BS$229-"&amp;"$BT$5:$BT$229*$BT$2,$F$5:$F$229))),
"")"")"),"(1, 1)")</f>
        <v>(1, 1)</v>
      </c>
      <c r="DJ235" s="191"/>
    </row>
    <row r="236">
      <c r="A236" s="2"/>
      <c r="B236" s="225"/>
      <c r="C236" s="225" t="s">
        <v>601</v>
      </c>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187"/>
      <c r="BH236" s="187"/>
      <c r="BI236" s="187"/>
      <c r="BJ236" s="187"/>
      <c r="BK236" s="187"/>
      <c r="BL236" s="187"/>
      <c r="BM236" s="187"/>
      <c r="BN236" s="187"/>
      <c r="BO236" s="187"/>
      <c r="BP236" s="187"/>
      <c r="BQ236" s="187"/>
      <c r="BR236" s="187"/>
      <c r="BS236" s="187"/>
      <c r="BT236" s="216"/>
      <c r="BU236" s="191"/>
      <c r="BV236" s="259" t="str">
        <f>IFERROR(__xludf.DUMMYFUNCTION("CONCATENATE(""("",
COUNT(ARRAYFORMULA(FILTER(BV$5:BV$229,BW$5:BW$229&lt;1,$C$5:$C$229=$C236,BV$5:BV$229&gt;$BS$5:$BS$229+$BT$5:$BT$229*$BT$2,$E$5:$E$229))),
"", "",
COUNT(ARRAYFORMULA(FILTER(BV$5:BV$229,BW$5:BW$229&lt;1,$C$5:$C$229=$C236,BV$5:BV$229&gt;$BS$5:$BS$229+"&amp;"$BT$5:$BT$229*$BT$2,$F$5:$F$229))),
"")"")"),"(1, 0)")</f>
        <v>(1, 0)</v>
      </c>
      <c r="BW236" s="259" t="str">
        <f>IFERROR(__xludf.DUMMYFUNCTION("CONCATENATE(""("",
COUNT(ARRAYFORMULA(FILTER(BV$5:BV$229,BW$5:BW$229&lt;1,$C$5:$C$229=$C236,BV$5:BV$229&lt;$BS$5:$BS$229-$BT$5:$BT$229*$BT$2,$E$5:$E$229))),
"", "",
COUNT(ARRAYFORMULA(FILTER(BV$5:BV$229,BW$5:BW$229&lt;1,$C$5:$C$229=$C236,BV$5:BV$229&lt;$BS$5:$BS$229-"&amp;"$BT$5:$BT$229*$BT$2,$F$5:$F$229))),
"")"")"),"(3, 3)")</f>
        <v>(3, 3)</v>
      </c>
      <c r="BX236" s="259" t="str">
        <f>IFERROR(__xludf.DUMMYFUNCTION("CONCATENATE(""("",
COUNT(ARRAYFORMULA(FILTER(BX$5:BX$229,BY$5:BY$229&lt;1,$C$5:$C$229=$C236,BX$5:BX$229&gt;$BS$5:$BS$229+$BT$5:$BT$229*$BT$2,$E$5:$E$229))),
"", "",
COUNT(ARRAYFORMULA(FILTER(BX$5:BX$229,BY$5:BY$229&lt;1,$C$5:$C$229=$C236,BX$5:BX$229&gt;$BS$5:$BS$229+"&amp;"$BT$5:$BT$229*$BT$2,$F$5:$F$229))),
"")"")"),"(0, 0)")</f>
        <v>(0, 0)</v>
      </c>
      <c r="BY236" s="259" t="str">
        <f>IFERROR(__xludf.DUMMYFUNCTION("CONCATENATE(""("",
COUNT(ARRAYFORMULA(FILTER(BX$5:BX$229,BY$5:BY$229&lt;1,$C$5:$C$229=$C236,BX$5:BX$229&lt;$BS$5:$BS$229-$BT$5:$BT$229*$BT$2,$E$5:$E$229))),
"", "",
COUNT(ARRAYFORMULA(FILTER(BX$5:BX$229,BY$5:BY$229&lt;1,$C$5:$C$229=$C236,BX$5:BX$229&lt;$BS$5:$BS$229-"&amp;"$BT$5:$BT$229*$BT$2,$F$5:$F$229))),
"")"")"),"(0, 0)")</f>
        <v>(0, 0)</v>
      </c>
      <c r="BZ236" s="259" t="str">
        <f>IFERROR(__xludf.DUMMYFUNCTION("CONCATENATE(""("",
COUNT(ARRAYFORMULA(FILTER(BZ$5:BZ$229,CA$5:CA$229&lt;1,$C$5:$C$229=$C236,BZ$5:BZ$229&gt;$BS$5:$BS$229+$BT$5:$BT$229*$BT$2,$E$5:$E$229))),
"", "",
COUNT(ARRAYFORMULA(FILTER(BZ$5:BZ$229,CA$5:CA$229&lt;1,$C$5:$C$229=$C236,BZ$5:BZ$229&gt;$BS$5:$BS$229+"&amp;"$BT$5:$BT$229*$BT$2,$F$5:$F$229))),
"")"")"),"(0, 0)")</f>
        <v>(0, 0)</v>
      </c>
      <c r="CA236" s="259" t="str">
        <f>IFERROR(__xludf.DUMMYFUNCTION("CONCATENATE(""("",
COUNT(ARRAYFORMULA(FILTER(BZ$5:BZ$229,CA$5:CA$229&lt;1,$C$5:$C$229=$C236,BZ$5:BZ$229&lt;$BS$5:$BS$229-$BT$5:$BT$229*$BT$2,$E$5:$E$229))),
"", "",
COUNT(ARRAYFORMULA(FILTER(BZ$5:BZ$229,CA$5:CA$229&lt;1,$C$5:$C$229=$C236,BZ$5:BZ$229&lt;$BS$5:$BS$229-"&amp;"$BT$5:$BT$229*$BT$2,$F$5:$F$229))),
"")"")"),"(5, 1)")</f>
        <v>(5, 1)</v>
      </c>
      <c r="CB236" s="191"/>
      <c r="CC236" s="259" t="str">
        <f>IFERROR(__xludf.DUMMYFUNCTION("CONCATENATE(""("",
COUNT(ARRAYFORMULA(FILTER(CC$5:CC$229,CD$5:CD$229&lt;1,$C$5:$C$229=$C236,CC$5:CC$229&gt;$BS$5:$BS$229+$BT$5:$BT$229*$BT$2,$E$5:$E$229))),
"", "",
COUNT(ARRAYFORMULA(FILTER(CC$5:CC$229,CD$5:CD$229&lt;1,$C$5:$C$229=$C236,CC$5:CC$229&gt;$BS$5:$BS$229+"&amp;"$BT$5:$BT$229*$BT$2,$F$5:$F$229))),
"")"")"),"(0, 0)")</f>
        <v>(0, 0)</v>
      </c>
      <c r="CD236" s="259" t="str">
        <f>IFERROR(__xludf.DUMMYFUNCTION("CONCATENATE(""("",
COUNT(ARRAYFORMULA(FILTER(CC$5:CC$229,CD$5:CD$229&lt;1,$C$5:$C$229=$C236,CC$5:CC$229&lt;$BS$5:$BS$229-$BT$5:$BT$229*$BT$2,$E$5:$E$229))),
"", "",
COUNT(ARRAYFORMULA(FILTER(CC$5:CC$229,CD$5:CD$229&lt;1,$C$5:$C$229=$C236,CC$5:CC$229&lt;$BS$5:$BS$229-"&amp;"$BT$5:$BT$229*$BT$2,$F$5:$F$229))),
"")"")"),"(0, 0)")</f>
        <v>(0, 0)</v>
      </c>
      <c r="CE236" s="259" t="str">
        <f>IFERROR(__xludf.DUMMYFUNCTION("CONCATENATE(""("",
COUNT(ARRAYFORMULA(FILTER(CE$5:CE$229,CF$5:CF$229&lt;1,$C$5:$C$229=$C236,CE$5:CE$229&gt;$BS$5:$BS$229+$BT$5:$BT$229*$BT$2,$E$5:$E$229))),
"", "",
COUNT(ARRAYFORMULA(FILTER(CE$5:CE$229,CF$5:CF$229&lt;1,$C$5:$C$229=$C236,CE$5:CE$229&gt;$BS$5:$BS$229+"&amp;"$BT$5:$BT$229*$BT$2,$F$5:$F$229))),
"")"")"),"(0, 0)")</f>
        <v>(0, 0)</v>
      </c>
      <c r="CF236" s="259" t="str">
        <f>IFERROR(__xludf.DUMMYFUNCTION("CONCATENATE(""("",
COUNT(ARRAYFORMULA(FILTER(CE$5:CE$229,CF$5:CF$229&lt;1,$C$5:$C$229=$C236,CE$5:CE$229&lt;$BS$5:$BS$229-$BT$5:$BT$229*$BT$2,$E$5:$E$229))),
"", "",
COUNT(ARRAYFORMULA(FILTER(CE$5:CE$229,CF$5:CF$229&lt;1,$C$5:$C$229=$C236,CE$5:CE$229&lt;$BS$5:$BS$229-"&amp;"$BT$5:$BT$229*$BT$2,$F$5:$F$229))),
"")"")"),"(0, 0)")</f>
        <v>(0, 0)</v>
      </c>
      <c r="CG236" s="259" t="str">
        <f>IFERROR(__xludf.DUMMYFUNCTION("CONCATENATE(""("",
COUNT(ARRAYFORMULA(FILTER(CG$5:CG$229,CH$5:CH$229&lt;1,$C$5:$C$229=$C236,CG$5:CG$229&gt;$BS$5:$BS$229+$BT$5:$BT$229*$BT$2,$E$5:$E$229))),
"", "",
COUNT(ARRAYFORMULA(FILTER(CG$5:CG$229,CH$5:CH$229&lt;1,$C$5:$C$229=$C236,CG$5:CG$229&gt;$BS$5:$BS$229+"&amp;"$BT$5:$BT$229*$BT$2,$F$5:$F$229))),
"")"")"),"(1, 1)")</f>
        <v>(1, 1)</v>
      </c>
      <c r="CH236" s="259" t="str">
        <f>IFERROR(__xludf.DUMMYFUNCTION("CONCATENATE(""("",
COUNT(ARRAYFORMULA(FILTER(CG$5:CG$229,CH$5:CH$229&lt;1,$C$5:$C$229=$C236,CG$5:CG$229&lt;$BS$5:$BS$229-$BT$5:$BT$229*$BT$2,$E$5:$E$229))),
"", "",
COUNT(ARRAYFORMULA(FILTER(CG$5:CG$229,CH$5:CH$229&lt;1,$C$5:$C$229=$C236,CG$5:CG$229&lt;$BS$5:$BS$229-"&amp;"$BT$5:$BT$229*$BT$2,$F$5:$F$229))),
"")"")"),"(8, 2)")</f>
        <v>(8, 2)</v>
      </c>
      <c r="CI236" s="191"/>
      <c r="CJ236" s="259" t="str">
        <f>IFERROR(__xludf.DUMMYFUNCTION("CONCATENATE(""("",
COUNT(ARRAYFORMULA(FILTER(CJ$5:CJ$229,CK$5:CK$229&lt;1,$C$5:$C$229=$C236,CJ$5:CJ$229&gt;$BS$5:$BS$229+$BT$5:$BT$229*$BT$2,$E$5:$E$229))),
"", "",
COUNT(ARRAYFORMULA(FILTER(CJ$5:CJ$229,CK$5:CK$229&lt;1,$C$5:$C$229=$C236,CJ$5:CJ$229&gt;$BS$5:$BS$229+"&amp;"$BT$5:$BT$229*$BT$2,$F$5:$F$229))),
"")"")"),"(0, 0)")</f>
        <v>(0, 0)</v>
      </c>
      <c r="CK236" s="259" t="str">
        <f>IFERROR(__xludf.DUMMYFUNCTION("CONCATENATE(""("",
COUNT(ARRAYFORMULA(FILTER(CJ$5:CJ$229,CK$5:CK$229&lt;1,$C$5:$C$229=$C236,CJ$5:CJ$229&lt;$BS$5:$BS$229-$BT$5:$BT$229*$BT$2,$E$5:$E$229))),
"", "",
COUNT(ARRAYFORMULA(FILTER(CJ$5:CJ$229,CK$5:CK$229&lt;1,$C$5:$C$229=$C236,CJ$5:CJ$229&lt;$BS$5:$BS$229-"&amp;"$BT$5:$BT$229*$BT$2,$F$5:$F$229))),
"")"")"),"(0, 0)")</f>
        <v>(0, 0)</v>
      </c>
      <c r="CL236" s="259" t="str">
        <f>IFERROR(__xludf.DUMMYFUNCTION("CONCATENATE(""("",
COUNT(ARRAYFORMULA(FILTER(CL$5:CL$229,CM$5:CM$229&lt;1,$C$5:$C$229=$C236,CL$5:CL$229&gt;$BS$5:$BS$229+$BT$5:$BT$229*$BT$2,$E$5:$E$229))),
"", "",
COUNT(ARRAYFORMULA(FILTER(CL$5:CL$229,CM$5:CM$229&lt;1,$C$5:$C$229=$C236,CL$5:CL$229&gt;$BS$5:$BS$229+"&amp;"$BT$5:$BT$229*$BT$2,$F$5:$F$229))),
"")"")"),"(0, 0)")</f>
        <v>(0, 0)</v>
      </c>
      <c r="CM236" s="259" t="str">
        <f>IFERROR(__xludf.DUMMYFUNCTION("CONCATENATE(""("",
COUNT(ARRAYFORMULA(FILTER(CL$5:CL$229,CM$5:CM$229&lt;1,$C$5:$C$229=$C236,CL$5:CL$229&lt;$BS$5:$BS$229-$BT$5:$BT$229*$BT$2,$E$5:$E$229))),
"", "",
COUNT(ARRAYFORMULA(FILTER(CL$5:CL$229,CM$5:CM$229&lt;1,$C$5:$C$229=$C236,CL$5:CL$229&lt;$BS$5:$BS$229-"&amp;"$BT$5:$BT$229*$BT$2,$F$5:$F$229))),
"")"")"),"(0, 0)")</f>
        <v>(0, 0)</v>
      </c>
      <c r="CN236" s="259" t="str">
        <f>IFERROR(__xludf.DUMMYFUNCTION("CONCATENATE(""("",
COUNT(ARRAYFORMULA(FILTER(CN$5:CN$229,CO$5:CO$229&lt;1,$C$5:$C$229=$C236,CN$5:CN$229&gt;$BS$5:$BS$229+$BT$5:$BT$229*$BT$2,$E$5:$E$229))),
"", "",
COUNT(ARRAYFORMULA(FILTER(CN$5:CN$229,CO$5:CO$229&lt;1,$C$5:$C$229=$C236,CN$5:CN$229&gt;$BS$5:$BS$229+"&amp;"$BT$5:$BT$229*$BT$2,$F$5:$F$229))),
"")"")"),"(1, 1)")</f>
        <v>(1, 1)</v>
      </c>
      <c r="CO236" s="259" t="str">
        <f>IFERROR(__xludf.DUMMYFUNCTION("CONCATENATE(""("",
COUNT(ARRAYFORMULA(FILTER(CN$5:CN$229,CO$5:CO$229&lt;1,$C$5:$C$229=$C236,CN$5:CN$229&lt;$BS$5:$BS$229-$BT$5:$BT$229*$BT$2,$E$5:$E$229))),
"", "",
COUNT(ARRAYFORMULA(FILTER(CN$5:CN$229,CO$5:CO$229&lt;1,$C$5:$C$229=$C236,CN$5:CN$229&lt;$BS$5:$BS$229-"&amp;"$BT$5:$BT$229*$BT$2,$F$5:$F$229))),
"")"")"),"(8, 2)")</f>
        <v>(8, 2)</v>
      </c>
      <c r="CP236" s="191"/>
      <c r="CQ236" s="259" t="str">
        <f>IFERROR(__xludf.DUMMYFUNCTION("CONCATENATE(""("",
COUNT(ARRAYFORMULA(FILTER(CQ$5:CQ$229,CR$5:CR$229&lt;1,$C$5:$C$229=$C236,CQ$5:CQ$229&gt;$BS$5:$BS$229+$BT$5:$BT$229*$BT$2,$E$5:$E$229))),
"", "",
COUNT(ARRAYFORMULA(FILTER(CQ$5:CQ$229,CR$5:CR$229&lt;1,$C$5:$C$229=$C236,CQ$5:CQ$229&gt;$BS$5:$BS$229+"&amp;"$BT$5:$BT$229*$BT$2,$F$5:$F$229))),
"")"")"),"(0, 0)")</f>
        <v>(0, 0)</v>
      </c>
      <c r="CR236" s="259" t="str">
        <f>IFERROR(__xludf.DUMMYFUNCTION("CONCATENATE(""("",
COUNT(ARRAYFORMULA(FILTER(CQ$5:CQ$229,CR$5:CR$229&lt;1,$C$5:$C$229=$C236,CQ$5:CQ$229&lt;$BS$5:$BS$229-$BT$5:$BT$229*$BT$2,$E$5:$E$229))),
"", "",
COUNT(ARRAYFORMULA(FILTER(CQ$5:CQ$229,CR$5:CR$229&lt;1,$C$5:$C$229=$C236,CQ$5:CQ$229&lt;$BS$5:$BS$229-"&amp;"$BT$5:$BT$229*$BT$2,$F$5:$F$229))),
"")"")"),"(0, 0)")</f>
        <v>(0, 0)</v>
      </c>
      <c r="CS236" s="259" t="str">
        <f>IFERROR(__xludf.DUMMYFUNCTION("CONCATENATE(""("",
COUNT(ARRAYFORMULA(FILTER(CS$5:CS$229,CT$5:CT$229&lt;1,$C$5:$C$229=$C236,CS$5:CS$229&gt;$BS$5:$BS$229+$BT$5:$BT$229*$BT$2,$E$5:$E$229))),
"", "",
COUNT(ARRAYFORMULA(FILTER(CS$5:CS$229,CT$5:CT$229&lt;1,$C$5:$C$229=$C236,CS$5:CS$229&gt;$BS$5:$BS$229+"&amp;"$BT$5:$BT$229*$BT$2,$F$5:$F$229))),
"")"")"),"(1, 0)")</f>
        <v>(1, 0)</v>
      </c>
      <c r="CT236" s="259" t="str">
        <f>IFERROR(__xludf.DUMMYFUNCTION("CONCATENATE(""("",
COUNT(ARRAYFORMULA(FILTER(CS$5:CS$229,CT$5:CT$229&lt;1,$C$5:$C$229=$C236,CS$5:CS$229&lt;$BS$5:$BS$229-$BT$5:$BT$229*$BT$2,$E$5:$E$229))),
"", "",
COUNT(ARRAYFORMULA(FILTER(CS$5:CS$229,CT$5:CT$229&lt;1,$C$5:$C$229=$C236,CS$5:CS$229&lt;$BS$5:$BS$229-"&amp;"$BT$5:$BT$229*$BT$2,$F$5:$F$229))),
"")"")"),"(6, 1)")</f>
        <v>(6, 1)</v>
      </c>
      <c r="CU236" s="259" t="str">
        <f>IFERROR(__xludf.DUMMYFUNCTION("CONCATENATE(""("",
COUNT(ARRAYFORMULA(FILTER(CU$5:CU$229,CV$5:CV$229&lt;1,$C$5:$C$229=$C236,CU$5:CU$229&gt;$BS$5:$BS$229+$BT$5:$BT$229*$BT$2,$E$5:$E$229))),
"", "",
COUNT(ARRAYFORMULA(FILTER(CU$5:CU$229,CV$5:CV$229&lt;1,$C$5:$C$229=$C236,CU$5:CU$229&gt;$BS$5:$BS$229+"&amp;"$BT$5:$BT$229*$BT$2,$F$5:$F$229))),
"")"")"),"(0, 0)")</f>
        <v>(0, 0)</v>
      </c>
      <c r="CV236" s="259" t="str">
        <f>IFERROR(__xludf.DUMMYFUNCTION("CONCATENATE(""("",
COUNT(ARRAYFORMULA(FILTER(CU$5:CU$229,CV$5:CV$229&lt;1,$C$5:$C$229=$C236,CU$5:CU$229&lt;$BS$5:$BS$229-$BT$5:$BT$229*$BT$2,$E$5:$E$229))),
"", "",
COUNT(ARRAYFORMULA(FILTER(CU$5:CU$229,CV$5:CV$229&lt;1,$C$5:$C$229=$C236,CU$5:CU$229&lt;$BS$5:$BS$229-"&amp;"$BT$5:$BT$229*$BT$2,$F$5:$F$229))),
"")"")"),"(0, 0)")</f>
        <v>(0, 0)</v>
      </c>
      <c r="CW236" s="259" t="str">
        <f>IFERROR(__xludf.DUMMYFUNCTION("CONCATENATE(""("",
COUNT(ARRAYFORMULA(FILTER(CW$5:CW$229,CX$5:CX$229&lt;1,$C$5:$C$229=$C236,CW$5:CW$229&gt;$BS$5:$BS$229+$BT$5:$BT$229*$BT$2,$E$5:$E$229))),
"", "",
COUNT(ARRAYFORMULA(FILTER(CW$5:CW$229,CX$5:CX$229&lt;1,$C$5:$C$229=$C236,CW$5:CW$229&gt;$BS$5:$BS$229+"&amp;"$BT$5:$BT$229*$BT$2,$F$5:$F$229))),
"")"")"),"(6, 2)")</f>
        <v>(6, 2)</v>
      </c>
      <c r="CX236" s="259" t="str">
        <f>IFERROR(__xludf.DUMMYFUNCTION("CONCATENATE(""("",
COUNT(ARRAYFORMULA(FILTER(CW$5:CW$229,CX$5:CX$229&lt;1,$C$5:$C$229=$C236,CW$5:CW$229&lt;$BS$5:$BS$229-$BT$5:$BT$229*$BT$2,$E$5:$E$229))),
"", "",
COUNT(ARRAYFORMULA(FILTER(CW$5:CW$229,CX$5:CX$229&lt;1,$C$5:$C$229=$C236,CW$5:CW$229&lt;$BS$5:$BS$229-"&amp;"$BT$5:$BT$229*$BT$2,$F$5:$F$229))),
"")"")"),"(5, 3)")</f>
        <v>(5, 3)</v>
      </c>
      <c r="CY236" s="259" t="str">
        <f>IFERROR(__xludf.DUMMYFUNCTION("CONCATENATE(""("",
COUNT(ARRAYFORMULA(FILTER(CY$5:CY$229,CZ$5:CZ$229&lt;1,$C$5:$C$229=$C236,CY$5:CY$229&gt;$BS$5:$BS$229+$BT$5:$BT$229*$BT$2,$E$5:$E$229))),
"", "",
COUNT(ARRAYFORMULA(FILTER(CY$5:CY$229,CZ$5:CZ$229&lt;1,$C$5:$C$229=$C236,CY$5:CY$229&gt;$BS$5:$BS$229+"&amp;"$BT$5:$BT$229*$BT$2,$F$5:$F$229))),
"")"")"),"(0, 0)")</f>
        <v>(0, 0)</v>
      </c>
      <c r="CZ236" s="259" t="str">
        <f>IFERROR(__xludf.DUMMYFUNCTION("CONCATENATE(""("",
COUNT(ARRAYFORMULA(FILTER(CY$5:CY$229,CZ$5:CZ$229&lt;1,$C$5:$C$229=$C236,CY$5:CY$229&lt;$BS$5:$BS$229-$BT$5:$BT$229*$BT$2,$E$5:$E$229))),
"", "",
COUNT(ARRAYFORMULA(FILTER(CY$5:CY$229,CZ$5:CZ$229&lt;1,$C$5:$C$229=$C236,CY$5:CY$229&lt;$BS$5:$BS$229-"&amp;"$BT$5:$BT$229*$BT$2,$F$5:$F$229))),
"")"")"),"(0, 0)")</f>
        <v>(0, 0)</v>
      </c>
      <c r="DA236" s="191"/>
      <c r="DB236" s="259" t="str">
        <f>IFERROR(__xludf.DUMMYFUNCTION("CONCATENATE(""("",
COUNT(ARRAYFORMULA(FILTER(DB$5:DB$229,DC$5:DC$229&lt;1,$C$5:$C$229=$C236,DB$5:DB$229&gt;$BS$5:$BS$229+$BT$5:$BT$229*$BT$2,$E$5:$E$229))),
"", "",
COUNT(ARRAYFORMULA(FILTER(DB$5:DB$229,DC$5:DC$229&lt;1,$C$5:$C$229=$C236,DB$5:DB$229&gt;$BS$5:$BS$229+"&amp;"$BT$5:$BT$229*$BT$2,$F$5:$F$229))),
"")"")"),"(0, 0)")</f>
        <v>(0, 0)</v>
      </c>
      <c r="DC236" s="259" t="str">
        <f>IFERROR(__xludf.DUMMYFUNCTION("CONCATENATE(""("",
COUNT(ARRAYFORMULA(FILTER(DB$5:DB$229,DC$5:DC$229&lt;1,$C$5:$C$229=$C236,DB$5:DB$229&lt;$BS$5:$BS$229-$BT$5:$BT$229*$BT$2,$E$5:$E$229))),
"", "",
COUNT(ARRAYFORMULA(FILTER(DB$5:DB$229,DC$5:DC$229&lt;1,$C$5:$C$229=$C236,DB$5:DB$229&lt;$BS$5:$BS$229-"&amp;"$BT$5:$BT$229*$BT$2,$F$5:$F$229))),
"")"")"),"(0, 0)")</f>
        <v>(0, 0)</v>
      </c>
      <c r="DD236" s="259" t="str">
        <f>IFERROR(__xludf.DUMMYFUNCTION("CONCATENATE(""("",
COUNT(ARRAYFORMULA(FILTER(DD$5:DD$229,DE$5:DE$229&lt;1,$C$5:$C$229=$C236,DD$5:DD$229&gt;$BS$5:$BS$229+$BT$5:$BT$229*$BT$2,$E$5:$E$229))),
"", "",
COUNT(ARRAYFORMULA(FILTER(DD$5:DD$229,DE$5:DE$229&lt;1,$C$5:$C$229=$C236,DD$5:DD$229&gt;$BS$5:$BS$229+"&amp;"$BT$5:$BT$229*$BT$2,$F$5:$F$229))),
"")"")"),"(0, 0)")</f>
        <v>(0, 0)</v>
      </c>
      <c r="DE236" s="259" t="str">
        <f>IFERROR(__xludf.DUMMYFUNCTION("CONCATENATE(""("",
COUNT(ARRAYFORMULA(FILTER(DD$5:DD$229,DE$5:DE$229&lt;1,$C$5:$C$229=$C236,DD$5:DD$229&lt;$BS$5:$BS$229-$BT$5:$BT$229*$BT$2,$E$5:$E$229))),
"", "",
COUNT(ARRAYFORMULA(FILTER(DD$5:DD$229,DE$5:DE$229&lt;1,$C$5:$C$229=$C236,DD$5:DD$229&lt;$BS$5:$BS$229-"&amp;"$BT$5:$BT$229*$BT$2,$F$5:$F$229))),
"")"")"),"(4, 1)")</f>
        <v>(4, 1)</v>
      </c>
      <c r="DF236" s="259" t="str">
        <f>IFERROR(__xludf.DUMMYFUNCTION("CONCATENATE(""("",
COUNT(ARRAYFORMULA(FILTER(DF$5:DF$229,DG$5:DG$229&lt;1,$C$5:$C$229=$C236,DF$5:DF$229&gt;$BS$5:$BS$229+$BT$5:$BT$229*$BT$2,$E$5:$E$229))),
"", "",
COUNT(ARRAYFORMULA(FILTER(DF$5:DF$229,DG$5:DG$229&lt;1,$C$5:$C$229=$C236,DF$5:DF$229&gt;$BS$5:$BS$229+"&amp;"$BT$5:$BT$229*$BT$2,$F$5:$F$229))),
"")"")"),"(1, 1)")</f>
        <v>(1, 1)</v>
      </c>
      <c r="DG236" s="259" t="str">
        <f>IFERROR(__xludf.DUMMYFUNCTION("CONCATENATE(""("",
COUNT(ARRAYFORMULA(FILTER(DF$5:DF$229,DG$5:DG$229&lt;1,$C$5:$C$229=$C236,DF$5:DF$229&lt;$BS$5:$BS$229-$BT$5:$BT$229*$BT$2,$E$5:$E$229))),
"", "",
COUNT(ARRAYFORMULA(FILTER(DF$5:DF$229,DG$5:DG$229&lt;1,$C$5:$C$229=$C236,DF$5:DF$229&lt;$BS$5:$BS$229-"&amp;"$BT$5:$BT$229*$BT$2,$F$5:$F$229))),
"")"")"),"(0, 0)")</f>
        <v>(0, 0)</v>
      </c>
      <c r="DH236" s="259" t="str">
        <f>IFERROR(__xludf.DUMMYFUNCTION("CONCATENATE(""("",
COUNT(ARRAYFORMULA(FILTER(DH$5:DH$229,DI$5:DI$229&lt;1,$C$5:$C$229=$C236,DH$5:DH$229&gt;$BS$5:$BS$229+$BT$5:$BT$229*$BT$2,$E$5:$E$229))),
"", "",
COUNT(ARRAYFORMULA(FILTER(DH$5:DH$229,DI$5:DI$229&lt;1,$C$5:$C$229=$C236,DH$5:DH$229&gt;$BS$5:$BS$229+"&amp;"$BT$5:$BT$229*$BT$2,$F$5:$F$229))),
"")"")"),"(1, 1)")</f>
        <v>(1, 1)</v>
      </c>
      <c r="DI236" s="259" t="str">
        <f>IFERROR(__xludf.DUMMYFUNCTION("CONCATENATE(""("",
COUNT(ARRAYFORMULA(FILTER(DH$5:DH$229,DI$5:DI$229&lt;1,$C$5:$C$229=$C236,DH$5:DH$229&lt;$BS$5:$BS$229-$BT$5:$BT$229*$BT$2,$E$5:$E$229))),
"", "",
COUNT(ARRAYFORMULA(FILTER(DH$5:DH$229,DI$5:DI$229&lt;1,$C$5:$C$229=$C236,DH$5:DH$229&lt;$BS$5:$BS$229-"&amp;"$BT$5:$BT$229*$BT$2,$F$5:$F$229))),
"")"")"),"(0, 0)")</f>
        <v>(0, 0)</v>
      </c>
      <c r="DJ236" s="191"/>
    </row>
    <row r="237">
      <c r="A237" s="2"/>
      <c r="B237" s="225"/>
      <c r="C237" s="225" t="s">
        <v>630</v>
      </c>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187"/>
      <c r="BH237" s="187"/>
      <c r="BI237" s="187"/>
      <c r="BJ237" s="187"/>
      <c r="BK237" s="187"/>
      <c r="BL237" s="187"/>
      <c r="BM237" s="187"/>
      <c r="BN237" s="187"/>
      <c r="BO237" s="187"/>
      <c r="BP237" s="187"/>
      <c r="BQ237" s="187"/>
      <c r="BR237" s="187"/>
      <c r="BS237" s="187"/>
      <c r="BT237" s="216"/>
      <c r="BU237" s="191"/>
      <c r="BV237" s="259" t="str">
        <f>IFERROR(__xludf.DUMMYFUNCTION("CONCATENATE(""("",
COUNT(ARRAYFORMULA(FILTER(BV$5:BV$229,BW$5:BW$229&lt;1,$C$5:$C$229=$C237,BV$5:BV$229&gt;$BS$5:$BS$229+$BT$5:$BT$229*$BT$2,$E$5:$E$229))),
"", "",
COUNT(ARRAYFORMULA(FILTER(BV$5:BV$229,BW$5:BW$229&lt;1,$C$5:$C$229=$C237,BV$5:BV$229&gt;$BS$5:$BS$229+"&amp;"$BT$5:$BT$229*$BT$2,$F$5:$F$229))),
"")"")"),"(0, 0)")</f>
        <v>(0, 0)</v>
      </c>
      <c r="BW237" s="259" t="str">
        <f>IFERROR(__xludf.DUMMYFUNCTION("CONCATENATE(""("",
COUNT(ARRAYFORMULA(FILTER(BV$5:BV$229,BW$5:BW$229&lt;1,$C$5:$C$229=$C237,BV$5:BV$229&lt;$BS$5:$BS$229-$BT$5:$BT$229*$BT$2,$E$5:$E$229))),
"", "",
COUNT(ARRAYFORMULA(FILTER(BV$5:BV$229,BW$5:BW$229&lt;1,$C$5:$C$229=$C237,BV$5:BV$229&lt;$BS$5:$BS$229-"&amp;"$BT$5:$BT$229*$BT$2,$F$5:$F$229))),
"")"")"),"(1, 1)")</f>
        <v>(1, 1)</v>
      </c>
      <c r="BX237" s="259" t="str">
        <f>IFERROR(__xludf.DUMMYFUNCTION("CONCATENATE(""("",
COUNT(ARRAYFORMULA(FILTER(BX$5:BX$229,BY$5:BY$229&lt;1,$C$5:$C$229=$C237,BX$5:BX$229&gt;$BS$5:$BS$229+$BT$5:$BT$229*$BT$2,$E$5:$E$229))),
"", "",
COUNT(ARRAYFORMULA(FILTER(BX$5:BX$229,BY$5:BY$229&lt;1,$C$5:$C$229=$C237,BX$5:BX$229&gt;$BS$5:$BS$229+"&amp;"$BT$5:$BT$229*$BT$2,$F$5:$F$229))),
"")"")"),"(0, 0)")</f>
        <v>(0, 0)</v>
      </c>
      <c r="BY237" s="259" t="str">
        <f>IFERROR(__xludf.DUMMYFUNCTION("CONCATENATE(""("",
COUNT(ARRAYFORMULA(FILTER(BX$5:BX$229,BY$5:BY$229&lt;1,$C$5:$C$229=$C237,BX$5:BX$229&lt;$BS$5:$BS$229-$BT$5:$BT$229*$BT$2,$E$5:$E$229))),
"", "",
COUNT(ARRAYFORMULA(FILTER(BX$5:BX$229,BY$5:BY$229&lt;1,$C$5:$C$229=$C237,BX$5:BX$229&lt;$BS$5:$BS$229-"&amp;"$BT$5:$BT$229*$BT$2,$F$5:$F$229))),
"")"")"),"(0, 0)")</f>
        <v>(0, 0)</v>
      </c>
      <c r="BZ237" s="259" t="str">
        <f>IFERROR(__xludf.DUMMYFUNCTION("CONCATENATE(""("",
COUNT(ARRAYFORMULA(FILTER(BZ$5:BZ$229,CA$5:CA$229&lt;1,$C$5:$C$229=$C237,BZ$5:BZ$229&gt;$BS$5:$BS$229+$BT$5:$BT$229*$BT$2,$E$5:$E$229))),
"", "",
COUNT(ARRAYFORMULA(FILTER(BZ$5:BZ$229,CA$5:CA$229&lt;1,$C$5:$C$229=$C237,BZ$5:BZ$229&gt;$BS$5:$BS$229+"&amp;"$BT$5:$BT$229*$BT$2,$F$5:$F$229))),
"")"")"),"(1, 1)")</f>
        <v>(1, 1)</v>
      </c>
      <c r="CA237" s="259" t="str">
        <f>IFERROR(__xludf.DUMMYFUNCTION("CONCATENATE(""("",
COUNT(ARRAYFORMULA(FILTER(BZ$5:BZ$229,CA$5:CA$229&lt;1,$C$5:$C$229=$C237,BZ$5:BZ$229&lt;$BS$5:$BS$229-$BT$5:$BT$229*$BT$2,$E$5:$E$229))),
"", "",
COUNT(ARRAYFORMULA(FILTER(BZ$5:BZ$229,CA$5:CA$229&lt;1,$C$5:$C$229=$C237,BZ$5:BZ$229&lt;$BS$5:$BS$229-"&amp;"$BT$5:$BT$229*$BT$2,$F$5:$F$229))),
"")"")"),"(0, 0)")</f>
        <v>(0, 0)</v>
      </c>
      <c r="CB237" s="191"/>
      <c r="CC237" s="259" t="str">
        <f>IFERROR(__xludf.DUMMYFUNCTION("CONCATENATE(""("",
COUNT(ARRAYFORMULA(FILTER(CC$5:CC$229,CD$5:CD$229&lt;1,$C$5:$C$229=$C237,CC$5:CC$229&gt;$BS$5:$BS$229+$BT$5:$BT$229*$BT$2,$E$5:$E$229))),
"", "",
COUNT(ARRAYFORMULA(FILTER(CC$5:CC$229,CD$5:CD$229&lt;1,$C$5:$C$229=$C237,CC$5:CC$229&gt;$BS$5:$BS$229+"&amp;"$BT$5:$BT$229*$BT$2,$F$5:$F$229))),
"")"")"),"(0, 0)")</f>
        <v>(0, 0)</v>
      </c>
      <c r="CD237" s="259" t="str">
        <f>IFERROR(__xludf.DUMMYFUNCTION("CONCATENATE(""("",
COUNT(ARRAYFORMULA(FILTER(CC$5:CC$229,CD$5:CD$229&lt;1,$C$5:$C$229=$C237,CC$5:CC$229&lt;$BS$5:$BS$229-$BT$5:$BT$229*$BT$2,$E$5:$E$229))),
"", "",
COUNT(ARRAYFORMULA(FILTER(CC$5:CC$229,CD$5:CD$229&lt;1,$C$5:$C$229=$C237,CC$5:CC$229&lt;$BS$5:$BS$229-"&amp;"$BT$5:$BT$229*$BT$2,$F$5:$F$229))),
"")"")"),"(0, 0)")</f>
        <v>(0, 0)</v>
      </c>
      <c r="CE237" s="259" t="str">
        <f>IFERROR(__xludf.DUMMYFUNCTION("CONCATENATE(""("",
COUNT(ARRAYFORMULA(FILTER(CE$5:CE$229,CF$5:CF$229&lt;1,$C$5:$C$229=$C237,CE$5:CE$229&gt;$BS$5:$BS$229+$BT$5:$BT$229*$BT$2,$E$5:$E$229))),
"", "",
COUNT(ARRAYFORMULA(FILTER(CE$5:CE$229,CF$5:CF$229&lt;1,$C$5:$C$229=$C237,CE$5:CE$229&gt;$BS$5:$BS$229+"&amp;"$BT$5:$BT$229*$BT$2,$F$5:$F$229))),
"")"")"),"(0, 0)")</f>
        <v>(0, 0)</v>
      </c>
      <c r="CF237" s="259" t="str">
        <f>IFERROR(__xludf.DUMMYFUNCTION("CONCATENATE(""("",
COUNT(ARRAYFORMULA(FILTER(CE$5:CE$229,CF$5:CF$229&lt;1,$C$5:$C$229=$C237,CE$5:CE$229&lt;$BS$5:$BS$229-$BT$5:$BT$229*$BT$2,$E$5:$E$229))),
"", "",
COUNT(ARRAYFORMULA(FILTER(CE$5:CE$229,CF$5:CF$229&lt;1,$C$5:$C$229=$C237,CE$5:CE$229&lt;$BS$5:$BS$229-"&amp;"$BT$5:$BT$229*$BT$2,$F$5:$F$229))),
"")"")"),"(0, 0)")</f>
        <v>(0, 0)</v>
      </c>
      <c r="CG237" s="259" t="str">
        <f>IFERROR(__xludf.DUMMYFUNCTION("CONCATENATE(""("",
COUNT(ARRAYFORMULA(FILTER(CG$5:CG$229,CH$5:CH$229&lt;1,$C$5:$C$229=$C237,CG$5:CG$229&gt;$BS$5:$BS$229+$BT$5:$BT$229*$BT$2,$E$5:$E$229))),
"", "",
COUNT(ARRAYFORMULA(FILTER(CG$5:CG$229,CH$5:CH$229&lt;1,$C$5:$C$229=$C237,CG$5:CG$229&gt;$BS$5:$BS$229+"&amp;"$BT$5:$BT$229*$BT$2,$F$5:$F$229))),
"")"")"),"(0, 0)")</f>
        <v>(0, 0)</v>
      </c>
      <c r="CH237" s="259" t="str">
        <f>IFERROR(__xludf.DUMMYFUNCTION("CONCATENATE(""("",
COUNT(ARRAYFORMULA(FILTER(CG$5:CG$229,CH$5:CH$229&lt;1,$C$5:$C$229=$C237,CG$5:CG$229&lt;$BS$5:$BS$229-$BT$5:$BT$229*$BT$2,$E$5:$E$229))),
"", "",
COUNT(ARRAYFORMULA(FILTER(CG$5:CG$229,CH$5:CH$229&lt;1,$C$5:$C$229=$C237,CG$5:CG$229&lt;$BS$5:$BS$229-"&amp;"$BT$5:$BT$229*$BT$2,$F$5:$F$229))),
"")"")"),"(0, 0)")</f>
        <v>(0, 0)</v>
      </c>
      <c r="CI237" s="191"/>
      <c r="CJ237" s="259" t="str">
        <f>IFERROR(__xludf.DUMMYFUNCTION("CONCATENATE(""("",
COUNT(ARRAYFORMULA(FILTER(CJ$5:CJ$229,CK$5:CK$229&lt;1,$C$5:$C$229=$C237,CJ$5:CJ$229&gt;$BS$5:$BS$229+$BT$5:$BT$229*$BT$2,$E$5:$E$229))),
"", "",
COUNT(ARRAYFORMULA(FILTER(CJ$5:CJ$229,CK$5:CK$229&lt;1,$C$5:$C$229=$C237,CJ$5:CJ$229&gt;$BS$5:$BS$229+"&amp;"$BT$5:$BT$229*$BT$2,$F$5:$F$229))),
"")"")"),"(0, 0)")</f>
        <v>(0, 0)</v>
      </c>
      <c r="CK237" s="259" t="str">
        <f>IFERROR(__xludf.DUMMYFUNCTION("CONCATENATE(""("",
COUNT(ARRAYFORMULA(FILTER(CJ$5:CJ$229,CK$5:CK$229&lt;1,$C$5:$C$229=$C237,CJ$5:CJ$229&lt;$BS$5:$BS$229-$BT$5:$BT$229*$BT$2,$E$5:$E$229))),
"", "",
COUNT(ARRAYFORMULA(FILTER(CJ$5:CJ$229,CK$5:CK$229&lt;1,$C$5:$C$229=$C237,CJ$5:CJ$229&lt;$BS$5:$BS$229-"&amp;"$BT$5:$BT$229*$BT$2,$F$5:$F$229))),
"")"")"),"(0, 0)")</f>
        <v>(0, 0)</v>
      </c>
      <c r="CL237" s="259" t="str">
        <f>IFERROR(__xludf.DUMMYFUNCTION("CONCATENATE(""("",
COUNT(ARRAYFORMULA(FILTER(CL$5:CL$229,CM$5:CM$229&lt;1,$C$5:$C$229=$C237,CL$5:CL$229&gt;$BS$5:$BS$229+$BT$5:$BT$229*$BT$2,$E$5:$E$229))),
"", "",
COUNT(ARRAYFORMULA(FILTER(CL$5:CL$229,CM$5:CM$229&lt;1,$C$5:$C$229=$C237,CL$5:CL$229&gt;$BS$5:$BS$229+"&amp;"$BT$5:$BT$229*$BT$2,$F$5:$F$229))),
"")"")"),"(0, 0)")</f>
        <v>(0, 0)</v>
      </c>
      <c r="CM237" s="259" t="str">
        <f>IFERROR(__xludf.DUMMYFUNCTION("CONCATENATE(""("",
COUNT(ARRAYFORMULA(FILTER(CL$5:CL$229,CM$5:CM$229&lt;1,$C$5:$C$229=$C237,CL$5:CL$229&lt;$BS$5:$BS$229-$BT$5:$BT$229*$BT$2,$E$5:$E$229))),
"", "",
COUNT(ARRAYFORMULA(FILTER(CL$5:CL$229,CM$5:CM$229&lt;1,$C$5:$C$229=$C237,CL$5:CL$229&lt;$BS$5:$BS$229-"&amp;"$BT$5:$BT$229*$BT$2,$F$5:$F$229))),
"")"")"),"(0, 0)")</f>
        <v>(0, 0)</v>
      </c>
      <c r="CN237" s="259" t="str">
        <f>IFERROR(__xludf.DUMMYFUNCTION("CONCATENATE(""("",
COUNT(ARRAYFORMULA(FILTER(CN$5:CN$229,CO$5:CO$229&lt;1,$C$5:$C$229=$C237,CN$5:CN$229&gt;$BS$5:$BS$229+$BT$5:$BT$229*$BT$2,$E$5:$E$229))),
"", "",
COUNT(ARRAYFORMULA(FILTER(CN$5:CN$229,CO$5:CO$229&lt;1,$C$5:$C$229=$C237,CN$5:CN$229&gt;$BS$5:$BS$229+"&amp;"$BT$5:$BT$229*$BT$2,$F$5:$F$229))),
"")"")"),"(0, 0)")</f>
        <v>(0, 0)</v>
      </c>
      <c r="CO237" s="259" t="str">
        <f>IFERROR(__xludf.DUMMYFUNCTION("CONCATENATE(""("",
COUNT(ARRAYFORMULA(FILTER(CN$5:CN$229,CO$5:CO$229&lt;1,$C$5:$C$229=$C237,CN$5:CN$229&lt;$BS$5:$BS$229-$BT$5:$BT$229*$BT$2,$E$5:$E$229))),
"", "",
COUNT(ARRAYFORMULA(FILTER(CN$5:CN$229,CO$5:CO$229&lt;1,$C$5:$C$229=$C237,CN$5:CN$229&lt;$BS$5:$BS$229-"&amp;"$BT$5:$BT$229*$BT$2,$F$5:$F$229))),
"")"")"),"(0, 0)")</f>
        <v>(0, 0)</v>
      </c>
      <c r="CP237" s="191"/>
      <c r="CQ237" s="259" t="str">
        <f>IFERROR(__xludf.DUMMYFUNCTION("CONCATENATE(""("",
COUNT(ARRAYFORMULA(FILTER(CQ$5:CQ$229,CR$5:CR$229&lt;1,$C$5:$C$229=$C237,CQ$5:CQ$229&gt;$BS$5:$BS$229+$BT$5:$BT$229*$BT$2,$E$5:$E$229))),
"", "",
COUNT(ARRAYFORMULA(FILTER(CQ$5:CQ$229,CR$5:CR$229&lt;1,$C$5:$C$229=$C237,CQ$5:CQ$229&gt;$BS$5:$BS$229+"&amp;"$BT$5:$BT$229*$BT$2,$F$5:$F$229))),
"")"")"),"(0, 0)")</f>
        <v>(0, 0)</v>
      </c>
      <c r="CR237" s="259" t="str">
        <f>IFERROR(__xludf.DUMMYFUNCTION("CONCATENATE(""("",
COUNT(ARRAYFORMULA(FILTER(CQ$5:CQ$229,CR$5:CR$229&lt;1,$C$5:$C$229=$C237,CQ$5:CQ$229&lt;$BS$5:$BS$229-$BT$5:$BT$229*$BT$2,$E$5:$E$229))),
"", "",
COUNT(ARRAYFORMULA(FILTER(CQ$5:CQ$229,CR$5:CR$229&lt;1,$C$5:$C$229=$C237,CQ$5:CQ$229&lt;$BS$5:$BS$229-"&amp;"$BT$5:$BT$229*$BT$2,$F$5:$F$229))),
"")"")"),"(0, 0)")</f>
        <v>(0, 0)</v>
      </c>
      <c r="CS237" s="259" t="str">
        <f>IFERROR(__xludf.DUMMYFUNCTION("CONCATENATE(""("",
COUNT(ARRAYFORMULA(FILTER(CS$5:CS$229,CT$5:CT$229&lt;1,$C$5:$C$229=$C237,CS$5:CS$229&gt;$BS$5:$BS$229+$BT$5:$BT$229*$BT$2,$E$5:$E$229))),
"", "",
COUNT(ARRAYFORMULA(FILTER(CS$5:CS$229,CT$5:CT$229&lt;1,$C$5:$C$229=$C237,CS$5:CS$229&gt;$BS$5:$BS$229+"&amp;"$BT$5:$BT$229*$BT$2,$F$5:$F$229))),
"")"")"),"(1, 1)")</f>
        <v>(1, 1)</v>
      </c>
      <c r="CT237" s="259" t="str">
        <f>IFERROR(__xludf.DUMMYFUNCTION("CONCATENATE(""("",
COUNT(ARRAYFORMULA(FILTER(CS$5:CS$229,CT$5:CT$229&lt;1,$C$5:$C$229=$C237,CS$5:CS$229&lt;$BS$5:$BS$229-$BT$5:$BT$229*$BT$2,$E$5:$E$229))),
"", "",
COUNT(ARRAYFORMULA(FILTER(CS$5:CS$229,CT$5:CT$229&lt;1,$C$5:$C$229=$C237,CS$5:CS$229&lt;$BS$5:$BS$229-"&amp;"$BT$5:$BT$229*$BT$2,$F$5:$F$229))),
"")"")"),"(0, 0)")</f>
        <v>(0, 0)</v>
      </c>
      <c r="CU237" s="259" t="str">
        <f>IFERROR(__xludf.DUMMYFUNCTION("CONCATENATE(""("",
COUNT(ARRAYFORMULA(FILTER(CU$5:CU$229,CV$5:CV$229&lt;1,$C$5:$C$229=$C237,CU$5:CU$229&gt;$BS$5:$BS$229+$BT$5:$BT$229*$BT$2,$E$5:$E$229))),
"", "",
COUNT(ARRAYFORMULA(FILTER(CU$5:CU$229,CV$5:CV$229&lt;1,$C$5:$C$229=$C237,CU$5:CU$229&gt;$BS$5:$BS$229+"&amp;"$BT$5:$BT$229*$BT$2,$F$5:$F$229))),
"")"")"),"(0, 0)")</f>
        <v>(0, 0)</v>
      </c>
      <c r="CV237" s="259" t="str">
        <f>IFERROR(__xludf.DUMMYFUNCTION("CONCATENATE(""("",
COUNT(ARRAYFORMULA(FILTER(CU$5:CU$229,CV$5:CV$229&lt;1,$C$5:$C$229=$C237,CU$5:CU$229&lt;$BS$5:$BS$229-$BT$5:$BT$229*$BT$2,$E$5:$E$229))),
"", "",
COUNT(ARRAYFORMULA(FILTER(CU$5:CU$229,CV$5:CV$229&lt;1,$C$5:$C$229=$C237,CU$5:CU$229&lt;$BS$5:$BS$229-"&amp;"$BT$5:$BT$229*$BT$2,$F$5:$F$229))),
"")"")"),"(0, 0)")</f>
        <v>(0, 0)</v>
      </c>
      <c r="CW237" s="259" t="str">
        <f>IFERROR(__xludf.DUMMYFUNCTION("CONCATENATE(""("",
COUNT(ARRAYFORMULA(FILTER(CW$5:CW$229,CX$5:CX$229&lt;1,$C$5:$C$229=$C237,CW$5:CW$229&gt;$BS$5:$BS$229+$BT$5:$BT$229*$BT$2,$E$5:$E$229))),
"", "",
COUNT(ARRAYFORMULA(FILTER(CW$5:CW$229,CX$5:CX$229&lt;1,$C$5:$C$229=$C237,CW$5:CW$229&gt;$BS$5:$BS$229+"&amp;"$BT$5:$BT$229*$BT$2,$F$5:$F$229))),
"")"")"),"(1, 1)")</f>
        <v>(1, 1)</v>
      </c>
      <c r="CX237" s="259" t="str">
        <f>IFERROR(__xludf.DUMMYFUNCTION("CONCATENATE(""("",
COUNT(ARRAYFORMULA(FILTER(CW$5:CW$229,CX$5:CX$229&lt;1,$C$5:$C$229=$C237,CW$5:CW$229&lt;$BS$5:$BS$229-$BT$5:$BT$229*$BT$2,$E$5:$E$229))),
"", "",
COUNT(ARRAYFORMULA(FILTER(CW$5:CW$229,CX$5:CX$229&lt;1,$C$5:$C$229=$C237,CW$5:CW$229&lt;$BS$5:$BS$229-"&amp;"$BT$5:$BT$229*$BT$2,$F$5:$F$229))),
"")"")"),"(1, 1)")</f>
        <v>(1, 1)</v>
      </c>
      <c r="CY237" s="259" t="str">
        <f>IFERROR(__xludf.DUMMYFUNCTION("CONCATENATE(""("",
COUNT(ARRAYFORMULA(FILTER(CY$5:CY$229,CZ$5:CZ$229&lt;1,$C$5:$C$229=$C237,CY$5:CY$229&gt;$BS$5:$BS$229+$BT$5:$BT$229*$BT$2,$E$5:$E$229))),
"", "",
COUNT(ARRAYFORMULA(FILTER(CY$5:CY$229,CZ$5:CZ$229&lt;1,$C$5:$C$229=$C237,CY$5:CY$229&gt;$BS$5:$BS$229+"&amp;"$BT$5:$BT$229*$BT$2,$F$5:$F$229))),
"")"")"),"(1, 1)")</f>
        <v>(1, 1)</v>
      </c>
      <c r="CZ237" s="259" t="str">
        <f>IFERROR(__xludf.DUMMYFUNCTION("CONCATENATE(""("",
COUNT(ARRAYFORMULA(FILTER(CY$5:CY$229,CZ$5:CZ$229&lt;1,$C$5:$C$229=$C237,CY$5:CY$229&lt;$BS$5:$BS$229-$BT$5:$BT$229*$BT$2,$E$5:$E$229))),
"", "",
COUNT(ARRAYFORMULA(FILTER(CY$5:CY$229,CZ$5:CZ$229&lt;1,$C$5:$C$229=$C237,CY$5:CY$229&lt;$BS$5:$BS$229-"&amp;"$BT$5:$BT$229*$BT$2,$F$5:$F$229))),
"")"")"),"(0, 0)")</f>
        <v>(0, 0)</v>
      </c>
      <c r="DA237" s="191"/>
      <c r="DB237" s="259" t="str">
        <f>IFERROR(__xludf.DUMMYFUNCTION("CONCATENATE(""("",
COUNT(ARRAYFORMULA(FILTER(DB$5:DB$229,DC$5:DC$229&lt;1,$C$5:$C$229=$C237,DB$5:DB$229&gt;$BS$5:$BS$229+$BT$5:$BT$229*$BT$2,$E$5:$E$229))),
"", "",
COUNT(ARRAYFORMULA(FILTER(DB$5:DB$229,DC$5:DC$229&lt;1,$C$5:$C$229=$C237,DB$5:DB$229&gt;$BS$5:$BS$229+"&amp;"$BT$5:$BT$229*$BT$2,$F$5:$F$229))),
"")"")"),"(0, 0)")</f>
        <v>(0, 0)</v>
      </c>
      <c r="DC237" s="259" t="str">
        <f>IFERROR(__xludf.DUMMYFUNCTION("CONCATENATE(""("",
COUNT(ARRAYFORMULA(FILTER(DB$5:DB$229,DC$5:DC$229&lt;1,$C$5:$C$229=$C237,DB$5:DB$229&lt;$BS$5:$BS$229-$BT$5:$BT$229*$BT$2,$E$5:$E$229))),
"", "",
COUNT(ARRAYFORMULA(FILTER(DB$5:DB$229,DC$5:DC$229&lt;1,$C$5:$C$229=$C237,DB$5:DB$229&lt;$BS$5:$BS$229-"&amp;"$BT$5:$BT$229*$BT$2,$F$5:$F$229))),
"")"")"),"(0, 0)")</f>
        <v>(0, 0)</v>
      </c>
      <c r="DD237" s="259" t="str">
        <f>IFERROR(__xludf.DUMMYFUNCTION("CONCATENATE(""("",
COUNT(ARRAYFORMULA(FILTER(DD$5:DD$229,DE$5:DE$229&lt;1,$C$5:$C$229=$C237,DD$5:DD$229&gt;$BS$5:$BS$229+$BT$5:$BT$229*$BT$2,$E$5:$E$229))),
"", "",
COUNT(ARRAYFORMULA(FILTER(DD$5:DD$229,DE$5:DE$229&lt;1,$C$5:$C$229=$C237,DD$5:DD$229&gt;$BS$5:$BS$229+"&amp;"$BT$5:$BT$229*$BT$2,$F$5:$F$229))),
"")"")"),"(1, 1)")</f>
        <v>(1, 1)</v>
      </c>
      <c r="DE237" s="259" t="str">
        <f>IFERROR(__xludf.DUMMYFUNCTION("CONCATENATE(""("",
COUNT(ARRAYFORMULA(FILTER(DD$5:DD$229,DE$5:DE$229&lt;1,$C$5:$C$229=$C237,DD$5:DD$229&lt;$BS$5:$BS$229-$BT$5:$BT$229*$BT$2,$E$5:$E$229))),
"", "",
COUNT(ARRAYFORMULA(FILTER(DD$5:DD$229,DE$5:DE$229&lt;1,$C$5:$C$229=$C237,DD$5:DD$229&lt;$BS$5:$BS$229-"&amp;"$BT$5:$BT$229*$BT$2,$F$5:$F$229))),
"")"")"),"(0, 0)")</f>
        <v>(0, 0)</v>
      </c>
      <c r="DF237" s="259" t="str">
        <f>IFERROR(__xludf.DUMMYFUNCTION("CONCATENATE(""("",
COUNT(ARRAYFORMULA(FILTER(DF$5:DF$229,DG$5:DG$229&lt;1,$C$5:$C$229=$C237,DF$5:DF$229&gt;$BS$5:$BS$229+$BT$5:$BT$229*$BT$2,$E$5:$E$229))),
"", "",
COUNT(ARRAYFORMULA(FILTER(DF$5:DF$229,DG$5:DG$229&lt;1,$C$5:$C$229=$C237,DF$5:DF$229&gt;$BS$5:$BS$229+"&amp;"$BT$5:$BT$229*$BT$2,$F$5:$F$229))),
"")"")"),"(2, 2)")</f>
        <v>(2, 2)</v>
      </c>
      <c r="DG237" s="259" t="str">
        <f>IFERROR(__xludf.DUMMYFUNCTION("CONCATENATE(""("",
COUNT(ARRAYFORMULA(FILTER(DF$5:DF$229,DG$5:DG$229&lt;1,$C$5:$C$229=$C237,DF$5:DF$229&lt;$BS$5:$BS$229-$BT$5:$BT$229*$BT$2,$E$5:$E$229))),
"", "",
COUNT(ARRAYFORMULA(FILTER(DF$5:DF$229,DG$5:DG$229&lt;1,$C$5:$C$229=$C237,DF$5:DF$229&lt;$BS$5:$BS$229-"&amp;"$BT$5:$BT$229*$BT$2,$F$5:$F$229))),
"")"")"),"(0, 0)")</f>
        <v>(0, 0)</v>
      </c>
      <c r="DH237" s="259" t="str">
        <f>IFERROR(__xludf.DUMMYFUNCTION("CONCATENATE(""("",
COUNT(ARRAYFORMULA(FILTER(DH$5:DH$229,DI$5:DI$229&lt;1,$C$5:$C$229=$C237,DH$5:DH$229&gt;$BS$5:$BS$229+$BT$5:$BT$229*$BT$2,$E$5:$E$229))),
"", "",
COUNT(ARRAYFORMULA(FILTER(DH$5:DH$229,DI$5:DI$229&lt;1,$C$5:$C$229=$C237,DH$5:DH$229&gt;$BS$5:$BS$229+"&amp;"$BT$5:$BT$229*$BT$2,$F$5:$F$229))),
"")"")"),"(0, 0)")</f>
        <v>(0, 0)</v>
      </c>
      <c r="DI237" s="259" t="str">
        <f>IFERROR(__xludf.DUMMYFUNCTION("CONCATENATE(""("",
COUNT(ARRAYFORMULA(FILTER(DH$5:DH$229,DI$5:DI$229&lt;1,$C$5:$C$229=$C237,DH$5:DH$229&lt;$BS$5:$BS$229-$BT$5:$BT$229*$BT$2,$E$5:$E$229))),
"", "",
COUNT(ARRAYFORMULA(FILTER(DH$5:DH$229,DI$5:DI$229&lt;1,$C$5:$C$229=$C237,DH$5:DH$229&lt;$BS$5:$BS$229-"&amp;"$BT$5:$BT$229*$BT$2,$F$5:$F$229))),
"")"")"),"(0, 0)")</f>
        <v>(0, 0)</v>
      </c>
      <c r="DJ237" s="191"/>
    </row>
    <row r="238">
      <c r="A238" s="2"/>
      <c r="B238" s="225"/>
      <c r="C238" s="225" t="s">
        <v>646</v>
      </c>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187"/>
      <c r="BH238" s="187"/>
      <c r="BI238" s="187"/>
      <c r="BJ238" s="187"/>
      <c r="BK238" s="187"/>
      <c r="BL238" s="187"/>
      <c r="BM238" s="187"/>
      <c r="BN238" s="187"/>
      <c r="BO238" s="187"/>
      <c r="BP238" s="187"/>
      <c r="BQ238" s="187"/>
      <c r="BR238" s="187"/>
      <c r="BS238" s="187"/>
      <c r="BT238" s="216"/>
      <c r="BU238" s="191"/>
      <c r="BV238" s="259" t="str">
        <f>IFERROR(__xludf.DUMMYFUNCTION("CONCATENATE(""("",
COUNT(ARRAYFORMULA(FILTER(BV$5:BV$229,BW$5:BW$229&lt;1,$C$5:$C$229=$C238,BV$5:BV$229&gt;$BS$5:$BS$229+$BT$5:$BT$229*$BT$2,$E$5:$E$229))),
"", "",
COUNT(ARRAYFORMULA(FILTER(BV$5:BV$229,BW$5:BW$229&lt;1,$C$5:$C$229=$C238,BV$5:BV$229&gt;$BS$5:$BS$229+"&amp;"$BT$5:$BT$229*$BT$2,$F$5:$F$229))),
"")"")"),"(1, 1)")</f>
        <v>(1, 1)</v>
      </c>
      <c r="BW238" s="259" t="str">
        <f>IFERROR(__xludf.DUMMYFUNCTION("CONCATENATE(""("",
COUNT(ARRAYFORMULA(FILTER(BV$5:BV$229,BW$5:BW$229&lt;1,$C$5:$C$229=$C238,BV$5:BV$229&lt;$BS$5:$BS$229-$BT$5:$BT$229*$BT$2,$E$5:$E$229))),
"", "",
COUNT(ARRAYFORMULA(FILTER(BV$5:BV$229,BW$5:BW$229&lt;1,$C$5:$C$229=$C238,BV$5:BV$229&lt;$BS$5:$BS$229-"&amp;"$BT$5:$BT$229*$BT$2,$F$5:$F$229))),
"")"")"),"(4, 4)")</f>
        <v>(4, 4)</v>
      </c>
      <c r="BX238" s="259" t="str">
        <f>IFERROR(__xludf.DUMMYFUNCTION("CONCATENATE(""("",
COUNT(ARRAYFORMULA(FILTER(BX$5:BX$229,BY$5:BY$229&lt;1,$C$5:$C$229=$C238,BX$5:BX$229&gt;$BS$5:$BS$229+$BT$5:$BT$229*$BT$2,$E$5:$E$229))),
"", "",
COUNT(ARRAYFORMULA(FILTER(BX$5:BX$229,BY$5:BY$229&lt;1,$C$5:$C$229=$C238,BX$5:BX$229&gt;$BS$5:$BS$229+"&amp;"$BT$5:$BT$229*$BT$2,$F$5:$F$229))),
"")"")"),"(0, 0)")</f>
        <v>(0, 0)</v>
      </c>
      <c r="BY238" s="259" t="str">
        <f>IFERROR(__xludf.DUMMYFUNCTION("CONCATENATE(""("",
COUNT(ARRAYFORMULA(FILTER(BX$5:BX$229,BY$5:BY$229&lt;1,$C$5:$C$229=$C238,BX$5:BX$229&lt;$BS$5:$BS$229-$BT$5:$BT$229*$BT$2,$E$5:$E$229))),
"", "",
COUNT(ARRAYFORMULA(FILTER(BX$5:BX$229,BY$5:BY$229&lt;1,$C$5:$C$229=$C238,BX$5:BX$229&lt;$BS$5:$BS$229-"&amp;"$BT$5:$BT$229*$BT$2,$F$5:$F$229))),
"")"")"),"(0, 0)")</f>
        <v>(0, 0)</v>
      </c>
      <c r="BZ238" s="259" t="str">
        <f>IFERROR(__xludf.DUMMYFUNCTION("CONCATENATE(""("",
COUNT(ARRAYFORMULA(FILTER(BZ$5:BZ$229,CA$5:CA$229&lt;1,$C$5:$C$229=$C238,BZ$5:BZ$229&gt;$BS$5:$BS$229+$BT$5:$BT$229*$BT$2,$E$5:$E$229))),
"", "",
COUNT(ARRAYFORMULA(FILTER(BZ$5:BZ$229,CA$5:CA$229&lt;1,$C$5:$C$229=$C238,BZ$5:BZ$229&gt;$BS$5:$BS$229+"&amp;"$BT$5:$BT$229*$BT$2,$F$5:$F$229))),
"")"")"),"(0, 0)")</f>
        <v>(0, 0)</v>
      </c>
      <c r="CA238" s="259" t="str">
        <f>IFERROR(__xludf.DUMMYFUNCTION("CONCATENATE(""("",
COUNT(ARRAYFORMULA(FILTER(BZ$5:BZ$229,CA$5:CA$229&lt;1,$C$5:$C$229=$C238,BZ$5:BZ$229&lt;$BS$5:$BS$229-$BT$5:$BT$229*$BT$2,$E$5:$E$229))),
"", "",
COUNT(ARRAYFORMULA(FILTER(BZ$5:BZ$229,CA$5:CA$229&lt;1,$C$5:$C$229=$C238,BZ$5:BZ$229&lt;$BS$5:$BS$229-"&amp;"$BT$5:$BT$229*$BT$2,$F$5:$F$229))),
"")"")"),"(0, 0)")</f>
        <v>(0, 0)</v>
      </c>
      <c r="CB238" s="191"/>
      <c r="CC238" s="259" t="str">
        <f>IFERROR(__xludf.DUMMYFUNCTION("CONCATENATE(""("",
COUNT(ARRAYFORMULA(FILTER(CC$5:CC$229,CD$5:CD$229&lt;1,$C$5:$C$229=$C238,CC$5:CC$229&gt;$BS$5:$BS$229+$BT$5:$BT$229*$BT$2,$E$5:$E$229))),
"", "",
COUNT(ARRAYFORMULA(FILTER(CC$5:CC$229,CD$5:CD$229&lt;1,$C$5:$C$229=$C238,CC$5:CC$229&gt;$BS$5:$BS$229+"&amp;"$BT$5:$BT$229*$BT$2,$F$5:$F$229))),
"")"")"),"(0, 0)")</f>
        <v>(0, 0)</v>
      </c>
      <c r="CD238" s="259" t="str">
        <f>IFERROR(__xludf.DUMMYFUNCTION("CONCATENATE(""("",
COUNT(ARRAYFORMULA(FILTER(CC$5:CC$229,CD$5:CD$229&lt;1,$C$5:$C$229=$C238,CC$5:CC$229&lt;$BS$5:$BS$229-$BT$5:$BT$229*$BT$2,$E$5:$E$229))),
"", "",
COUNT(ARRAYFORMULA(FILTER(CC$5:CC$229,CD$5:CD$229&lt;1,$C$5:$C$229=$C238,CC$5:CC$229&lt;$BS$5:$BS$229-"&amp;"$BT$5:$BT$229*$BT$2,$F$5:$F$229))),
"")"")"),"(0, 0)")</f>
        <v>(0, 0)</v>
      </c>
      <c r="CE238" s="259" t="str">
        <f>IFERROR(__xludf.DUMMYFUNCTION("CONCATENATE(""("",
COUNT(ARRAYFORMULA(FILTER(CE$5:CE$229,CF$5:CF$229&lt;1,$C$5:$C$229=$C238,CE$5:CE$229&gt;$BS$5:$BS$229+$BT$5:$BT$229*$BT$2,$E$5:$E$229))),
"", "",
COUNT(ARRAYFORMULA(FILTER(CE$5:CE$229,CF$5:CF$229&lt;1,$C$5:$C$229=$C238,CE$5:CE$229&gt;$BS$5:$BS$229+"&amp;"$BT$5:$BT$229*$BT$2,$F$5:$F$229))),
"")"")"),"(0, 0)")</f>
        <v>(0, 0)</v>
      </c>
      <c r="CF238" s="259" t="str">
        <f>IFERROR(__xludf.DUMMYFUNCTION("CONCATENATE(""("",
COUNT(ARRAYFORMULA(FILTER(CE$5:CE$229,CF$5:CF$229&lt;1,$C$5:$C$229=$C238,CE$5:CE$229&lt;$BS$5:$BS$229-$BT$5:$BT$229*$BT$2,$E$5:$E$229))),
"", "",
COUNT(ARRAYFORMULA(FILTER(CE$5:CE$229,CF$5:CF$229&lt;1,$C$5:$C$229=$C238,CE$5:CE$229&lt;$BS$5:$BS$229-"&amp;"$BT$5:$BT$229*$BT$2,$F$5:$F$229))),
"")"")"),"(0, 0)")</f>
        <v>(0, 0)</v>
      </c>
      <c r="CG238" s="259" t="str">
        <f>IFERROR(__xludf.DUMMYFUNCTION("CONCATENATE(""("",
COUNT(ARRAYFORMULA(FILTER(CG$5:CG$229,CH$5:CH$229&lt;1,$C$5:$C$229=$C238,CG$5:CG$229&gt;$BS$5:$BS$229+$BT$5:$BT$229*$BT$2,$E$5:$E$229))),
"", "",
COUNT(ARRAYFORMULA(FILTER(CG$5:CG$229,CH$5:CH$229&lt;1,$C$5:$C$229=$C238,CG$5:CG$229&gt;$BS$5:$BS$229+"&amp;"$BT$5:$BT$229*$BT$2,$F$5:$F$229))),
"")"")"),"(0, 0)")</f>
        <v>(0, 0)</v>
      </c>
      <c r="CH238" s="259" t="str">
        <f>IFERROR(__xludf.DUMMYFUNCTION("CONCATENATE(""("",
COUNT(ARRAYFORMULA(FILTER(CG$5:CG$229,CH$5:CH$229&lt;1,$C$5:$C$229=$C238,CG$5:CG$229&lt;$BS$5:$BS$229-$BT$5:$BT$229*$BT$2,$E$5:$E$229))),
"", "",
COUNT(ARRAYFORMULA(FILTER(CG$5:CG$229,CH$5:CH$229&lt;1,$C$5:$C$229=$C238,CG$5:CG$229&lt;$BS$5:$BS$229-"&amp;"$BT$5:$BT$229*$BT$2,$F$5:$F$229))),
"")"")"),"(1, 1)")</f>
        <v>(1, 1)</v>
      </c>
      <c r="CI238" s="191"/>
      <c r="CJ238" s="259" t="str">
        <f>IFERROR(__xludf.DUMMYFUNCTION("CONCATENATE(""("",
COUNT(ARRAYFORMULA(FILTER(CJ$5:CJ$229,CK$5:CK$229&lt;1,$C$5:$C$229=$C238,CJ$5:CJ$229&gt;$BS$5:$BS$229+$BT$5:$BT$229*$BT$2,$E$5:$E$229))),
"", "",
COUNT(ARRAYFORMULA(FILTER(CJ$5:CJ$229,CK$5:CK$229&lt;1,$C$5:$C$229=$C238,CJ$5:CJ$229&gt;$BS$5:$BS$229+"&amp;"$BT$5:$BT$229*$BT$2,$F$5:$F$229))),
"")"")"),"(0, 0)")</f>
        <v>(0, 0)</v>
      </c>
      <c r="CK238" s="259" t="str">
        <f>IFERROR(__xludf.DUMMYFUNCTION("CONCATENATE(""("",
COUNT(ARRAYFORMULA(FILTER(CJ$5:CJ$229,CK$5:CK$229&lt;1,$C$5:$C$229=$C238,CJ$5:CJ$229&lt;$BS$5:$BS$229-$BT$5:$BT$229*$BT$2,$E$5:$E$229))),
"", "",
COUNT(ARRAYFORMULA(FILTER(CJ$5:CJ$229,CK$5:CK$229&lt;1,$C$5:$C$229=$C238,CJ$5:CJ$229&lt;$BS$5:$BS$229-"&amp;"$BT$5:$BT$229*$BT$2,$F$5:$F$229))),
"")"")"),"(0, 0)")</f>
        <v>(0, 0)</v>
      </c>
      <c r="CL238" s="259" t="str">
        <f>IFERROR(__xludf.DUMMYFUNCTION("CONCATENATE(""("",
COUNT(ARRAYFORMULA(FILTER(CL$5:CL$229,CM$5:CM$229&lt;1,$C$5:$C$229=$C238,CL$5:CL$229&gt;$BS$5:$BS$229+$BT$5:$BT$229*$BT$2,$E$5:$E$229))),
"", "",
COUNT(ARRAYFORMULA(FILTER(CL$5:CL$229,CM$5:CM$229&lt;1,$C$5:$C$229=$C238,CL$5:CL$229&gt;$BS$5:$BS$229+"&amp;"$BT$5:$BT$229*$BT$2,$F$5:$F$229))),
"")"")"),"(0, 0)")</f>
        <v>(0, 0)</v>
      </c>
      <c r="CM238" s="259" t="str">
        <f>IFERROR(__xludf.DUMMYFUNCTION("CONCATENATE(""("",
COUNT(ARRAYFORMULA(FILTER(CL$5:CL$229,CM$5:CM$229&lt;1,$C$5:$C$229=$C238,CL$5:CL$229&lt;$BS$5:$BS$229-$BT$5:$BT$229*$BT$2,$E$5:$E$229))),
"", "",
COUNT(ARRAYFORMULA(FILTER(CL$5:CL$229,CM$5:CM$229&lt;1,$C$5:$C$229=$C238,CL$5:CL$229&lt;$BS$5:$BS$229-"&amp;"$BT$5:$BT$229*$BT$2,$F$5:$F$229))),
"")"")"),"(0, 0)")</f>
        <v>(0, 0)</v>
      </c>
      <c r="CN238" s="259" t="str">
        <f>IFERROR(__xludf.DUMMYFUNCTION("CONCATENATE(""("",
COUNT(ARRAYFORMULA(FILTER(CN$5:CN$229,CO$5:CO$229&lt;1,$C$5:$C$229=$C238,CN$5:CN$229&gt;$BS$5:$BS$229+$BT$5:$BT$229*$BT$2,$E$5:$E$229))),
"", "",
COUNT(ARRAYFORMULA(FILTER(CN$5:CN$229,CO$5:CO$229&lt;1,$C$5:$C$229=$C238,CN$5:CN$229&gt;$BS$5:$BS$229+"&amp;"$BT$5:$BT$229*$BT$2,$F$5:$F$229))),
"")"")"),"(0, 0)")</f>
        <v>(0, 0)</v>
      </c>
      <c r="CO238" s="259" t="str">
        <f>IFERROR(__xludf.DUMMYFUNCTION("CONCATENATE(""("",
COUNT(ARRAYFORMULA(FILTER(CN$5:CN$229,CO$5:CO$229&lt;1,$C$5:$C$229=$C238,CN$5:CN$229&lt;$BS$5:$BS$229-$BT$5:$BT$229*$BT$2,$E$5:$E$229))),
"", "",
COUNT(ARRAYFORMULA(FILTER(CN$5:CN$229,CO$5:CO$229&lt;1,$C$5:$C$229=$C238,CN$5:CN$229&lt;$BS$5:$BS$229-"&amp;"$BT$5:$BT$229*$BT$2,$F$5:$F$229))),
"")"")"),"(1, 1)")</f>
        <v>(1, 1)</v>
      </c>
      <c r="CP238" s="191"/>
      <c r="CQ238" s="259" t="str">
        <f>IFERROR(__xludf.DUMMYFUNCTION("CONCATENATE(""("",
COUNT(ARRAYFORMULA(FILTER(CQ$5:CQ$229,CR$5:CR$229&lt;1,$C$5:$C$229=$C238,CQ$5:CQ$229&gt;$BS$5:$BS$229+$BT$5:$BT$229*$BT$2,$E$5:$E$229))),
"", "",
COUNT(ARRAYFORMULA(FILTER(CQ$5:CQ$229,CR$5:CR$229&lt;1,$C$5:$C$229=$C238,CQ$5:CQ$229&gt;$BS$5:$BS$229+"&amp;"$BT$5:$BT$229*$BT$2,$F$5:$F$229))),
"")"")"),"(0, 0)")</f>
        <v>(0, 0)</v>
      </c>
      <c r="CR238" s="259" t="str">
        <f>IFERROR(__xludf.DUMMYFUNCTION("CONCATENATE(""("",
COUNT(ARRAYFORMULA(FILTER(CQ$5:CQ$229,CR$5:CR$229&lt;1,$C$5:$C$229=$C238,CQ$5:CQ$229&lt;$BS$5:$BS$229-$BT$5:$BT$229*$BT$2,$E$5:$E$229))),
"", "",
COUNT(ARRAYFORMULA(FILTER(CQ$5:CQ$229,CR$5:CR$229&lt;1,$C$5:$C$229=$C238,CQ$5:CQ$229&lt;$BS$5:$BS$229-"&amp;"$BT$5:$BT$229*$BT$2,$F$5:$F$229))),
"")"")"),"(0, 0)")</f>
        <v>(0, 0)</v>
      </c>
      <c r="CS238" s="259" t="str">
        <f>IFERROR(__xludf.DUMMYFUNCTION("CONCATENATE(""("",
COUNT(ARRAYFORMULA(FILTER(CS$5:CS$229,CT$5:CT$229&lt;1,$C$5:$C$229=$C238,CS$5:CS$229&gt;$BS$5:$BS$229+$BT$5:$BT$229*$BT$2,$E$5:$E$229))),
"", "",
COUNT(ARRAYFORMULA(FILTER(CS$5:CS$229,CT$5:CT$229&lt;1,$C$5:$C$229=$C238,CS$5:CS$229&gt;$BS$5:$BS$229+"&amp;"$BT$5:$BT$229*$BT$2,$F$5:$F$229))),
"")"")"),"(0, 0)")</f>
        <v>(0, 0)</v>
      </c>
      <c r="CT238" s="259" t="str">
        <f>IFERROR(__xludf.DUMMYFUNCTION("CONCATENATE(""("",
COUNT(ARRAYFORMULA(FILTER(CS$5:CS$229,CT$5:CT$229&lt;1,$C$5:$C$229=$C238,CS$5:CS$229&lt;$BS$5:$BS$229-$BT$5:$BT$229*$BT$2,$E$5:$E$229))),
"", "",
COUNT(ARRAYFORMULA(FILTER(CS$5:CS$229,CT$5:CT$229&lt;1,$C$5:$C$229=$C238,CS$5:CS$229&lt;$BS$5:$BS$229-"&amp;"$BT$5:$BT$229*$BT$2,$F$5:$F$229))),
"")"")"),"(0, 0)")</f>
        <v>(0, 0)</v>
      </c>
      <c r="CU238" s="259" t="str">
        <f>IFERROR(__xludf.DUMMYFUNCTION("CONCATENATE(""("",
COUNT(ARRAYFORMULA(FILTER(CU$5:CU$229,CV$5:CV$229&lt;1,$C$5:$C$229=$C238,CU$5:CU$229&gt;$BS$5:$BS$229+$BT$5:$BT$229*$BT$2,$E$5:$E$229))),
"", "",
COUNT(ARRAYFORMULA(FILTER(CU$5:CU$229,CV$5:CV$229&lt;1,$C$5:$C$229=$C238,CU$5:CU$229&gt;$BS$5:$BS$229+"&amp;"$BT$5:$BT$229*$BT$2,$F$5:$F$229))),
"")"")"),"(0, 0)")</f>
        <v>(0, 0)</v>
      </c>
      <c r="CV238" s="259" t="str">
        <f>IFERROR(__xludf.DUMMYFUNCTION("CONCATENATE(""("",
COUNT(ARRAYFORMULA(FILTER(CU$5:CU$229,CV$5:CV$229&lt;1,$C$5:$C$229=$C238,CU$5:CU$229&lt;$BS$5:$BS$229-$BT$5:$BT$229*$BT$2,$E$5:$E$229))),
"", "",
COUNT(ARRAYFORMULA(FILTER(CU$5:CU$229,CV$5:CV$229&lt;1,$C$5:$C$229=$C238,CU$5:CU$229&lt;$BS$5:$BS$229-"&amp;"$BT$5:$BT$229*$BT$2,$F$5:$F$229))),
"")"")"),"(0, 0)")</f>
        <v>(0, 0)</v>
      </c>
      <c r="CW238" s="259" t="str">
        <f>IFERROR(__xludf.DUMMYFUNCTION("CONCATENATE(""("",
COUNT(ARRAYFORMULA(FILTER(CW$5:CW$229,CX$5:CX$229&lt;1,$C$5:$C$229=$C238,CW$5:CW$229&gt;$BS$5:$BS$229+$BT$5:$BT$229*$BT$2,$E$5:$E$229))),
"", "",
COUNT(ARRAYFORMULA(FILTER(CW$5:CW$229,CX$5:CX$229&lt;1,$C$5:$C$229=$C238,CW$5:CW$229&gt;$BS$5:$BS$229+"&amp;"$BT$5:$BT$229*$BT$2,$F$5:$F$229))),
"")"")"),"(3, 3)")</f>
        <v>(3, 3)</v>
      </c>
      <c r="CX238" s="259" t="str">
        <f>IFERROR(__xludf.DUMMYFUNCTION("CONCATENATE(""("",
COUNT(ARRAYFORMULA(FILTER(CW$5:CW$229,CX$5:CX$229&lt;1,$C$5:$C$229=$C238,CW$5:CW$229&lt;$BS$5:$BS$229-$BT$5:$BT$229*$BT$2,$E$5:$E$229))),
"", "",
COUNT(ARRAYFORMULA(FILTER(CW$5:CW$229,CX$5:CX$229&lt;1,$C$5:$C$229=$C238,CW$5:CW$229&lt;$BS$5:$BS$229-"&amp;"$BT$5:$BT$229*$BT$2,$F$5:$F$229))),
"")"")"),"(3, 2)")</f>
        <v>(3, 2)</v>
      </c>
      <c r="CY238" s="259" t="str">
        <f>IFERROR(__xludf.DUMMYFUNCTION("CONCATENATE(""("",
COUNT(ARRAYFORMULA(FILTER(CY$5:CY$229,CZ$5:CZ$229&lt;1,$C$5:$C$229=$C238,CY$5:CY$229&gt;$BS$5:$BS$229+$BT$5:$BT$229*$BT$2,$E$5:$E$229))),
"", "",
COUNT(ARRAYFORMULA(FILTER(CY$5:CY$229,CZ$5:CZ$229&lt;1,$C$5:$C$229=$C238,CY$5:CY$229&gt;$BS$5:$BS$229+"&amp;"$BT$5:$BT$229*$BT$2,$F$5:$F$229))),
"")"")"),"(0, 0)")</f>
        <v>(0, 0)</v>
      </c>
      <c r="CZ238" s="259" t="str">
        <f>IFERROR(__xludf.DUMMYFUNCTION("CONCATENATE(""("",
COUNT(ARRAYFORMULA(FILTER(CY$5:CY$229,CZ$5:CZ$229&lt;1,$C$5:$C$229=$C238,CY$5:CY$229&lt;$BS$5:$BS$229-$BT$5:$BT$229*$BT$2,$E$5:$E$229))),
"", "",
COUNT(ARRAYFORMULA(FILTER(CY$5:CY$229,CZ$5:CZ$229&lt;1,$C$5:$C$229=$C238,CY$5:CY$229&lt;$BS$5:$BS$229-"&amp;"$BT$5:$BT$229*$BT$2,$F$5:$F$229))),
"")"")"),"(0, 0)")</f>
        <v>(0, 0)</v>
      </c>
      <c r="DA238" s="191"/>
      <c r="DB238" s="259" t="str">
        <f>IFERROR(__xludf.DUMMYFUNCTION("CONCATENATE(""("",
COUNT(ARRAYFORMULA(FILTER(DB$5:DB$229,DC$5:DC$229&lt;1,$C$5:$C$229=$C238,DB$5:DB$229&gt;$BS$5:$BS$229+$BT$5:$BT$229*$BT$2,$E$5:$E$229))),
"", "",
COUNT(ARRAYFORMULA(FILTER(DB$5:DB$229,DC$5:DC$229&lt;1,$C$5:$C$229=$C238,DB$5:DB$229&gt;$BS$5:$BS$229+"&amp;"$BT$5:$BT$229*$BT$2,$F$5:$F$229))),
"")"")"),"(0, 0)")</f>
        <v>(0, 0)</v>
      </c>
      <c r="DC238" s="259" t="str">
        <f>IFERROR(__xludf.DUMMYFUNCTION("CONCATENATE(""("",
COUNT(ARRAYFORMULA(FILTER(DB$5:DB$229,DC$5:DC$229&lt;1,$C$5:$C$229=$C238,DB$5:DB$229&lt;$BS$5:$BS$229-$BT$5:$BT$229*$BT$2,$E$5:$E$229))),
"", "",
COUNT(ARRAYFORMULA(FILTER(DB$5:DB$229,DC$5:DC$229&lt;1,$C$5:$C$229=$C238,DB$5:DB$229&lt;$BS$5:$BS$229-"&amp;"$BT$5:$BT$229*$BT$2,$F$5:$F$229))),
"")"")"),"(0, 0)")</f>
        <v>(0, 0)</v>
      </c>
      <c r="DD238" s="259" t="str">
        <f>IFERROR(__xludf.DUMMYFUNCTION("CONCATENATE(""("",
COUNT(ARRAYFORMULA(FILTER(DD$5:DD$229,DE$5:DE$229&lt;1,$C$5:$C$229=$C238,DD$5:DD$229&gt;$BS$5:$BS$229+$BT$5:$BT$229*$BT$2,$E$5:$E$229))),
"", "",
COUNT(ARRAYFORMULA(FILTER(DD$5:DD$229,DE$5:DE$229&lt;1,$C$5:$C$229=$C238,DD$5:DD$229&gt;$BS$5:$BS$229+"&amp;"$BT$5:$BT$229*$BT$2,$F$5:$F$229))),
"")"")"),"(0, 0)")</f>
        <v>(0, 0)</v>
      </c>
      <c r="DE238" s="259" t="str">
        <f>IFERROR(__xludf.DUMMYFUNCTION("CONCATENATE(""("",
COUNT(ARRAYFORMULA(FILTER(DD$5:DD$229,DE$5:DE$229&lt;1,$C$5:$C$229=$C238,DD$5:DD$229&lt;$BS$5:$BS$229-$BT$5:$BT$229*$BT$2,$E$5:$E$229))),
"", "",
COUNT(ARRAYFORMULA(FILTER(DD$5:DD$229,DE$5:DE$229&lt;1,$C$5:$C$229=$C238,DD$5:DD$229&lt;$BS$5:$BS$229-"&amp;"$BT$5:$BT$229*$BT$2,$F$5:$F$229))),
"")"")"),"(0, 0)")</f>
        <v>(0, 0)</v>
      </c>
      <c r="DF238" s="259" t="str">
        <f>IFERROR(__xludf.DUMMYFUNCTION("CONCATENATE(""("",
COUNT(ARRAYFORMULA(FILTER(DF$5:DF$229,DG$5:DG$229&lt;1,$C$5:$C$229=$C238,DF$5:DF$229&gt;$BS$5:$BS$229+$BT$5:$BT$229*$BT$2,$E$5:$E$229))),
"", "",
COUNT(ARRAYFORMULA(FILTER(DF$5:DF$229,DG$5:DG$229&lt;1,$C$5:$C$229=$C238,DF$5:DF$229&gt;$BS$5:$BS$229+"&amp;"$BT$5:$BT$229*$BT$2,$F$5:$F$229))),
"")"")"),"(0, 0)")</f>
        <v>(0, 0)</v>
      </c>
      <c r="DG238" s="259" t="str">
        <f>IFERROR(__xludf.DUMMYFUNCTION("CONCATENATE(""("",
COUNT(ARRAYFORMULA(FILTER(DF$5:DF$229,DG$5:DG$229&lt;1,$C$5:$C$229=$C238,DF$5:DF$229&lt;$BS$5:$BS$229-$BT$5:$BT$229*$BT$2,$E$5:$E$229))),
"", "",
COUNT(ARRAYFORMULA(FILTER(DF$5:DF$229,DG$5:DG$229&lt;1,$C$5:$C$229=$C238,DF$5:DF$229&lt;$BS$5:$BS$229-"&amp;"$BT$5:$BT$229*$BT$2,$F$5:$F$229))),
"")"")"),"(1, 1)")</f>
        <v>(1, 1)</v>
      </c>
      <c r="DH238" s="259" t="str">
        <f>IFERROR(__xludf.DUMMYFUNCTION("CONCATENATE(""("",
COUNT(ARRAYFORMULA(FILTER(DH$5:DH$229,DI$5:DI$229&lt;1,$C$5:$C$229=$C238,DH$5:DH$229&gt;$BS$5:$BS$229+$BT$5:$BT$229*$BT$2,$E$5:$E$229))),
"", "",
COUNT(ARRAYFORMULA(FILTER(DH$5:DH$229,DI$5:DI$229&lt;1,$C$5:$C$229=$C238,DH$5:DH$229&gt;$BS$5:$BS$229+"&amp;"$BT$5:$BT$229*$BT$2,$F$5:$F$229))),
"")"")"),"(1, 1)")</f>
        <v>(1, 1)</v>
      </c>
      <c r="DI238" s="259" t="str">
        <f>IFERROR(__xludf.DUMMYFUNCTION("CONCATENATE(""("",
COUNT(ARRAYFORMULA(FILTER(DH$5:DH$229,DI$5:DI$229&lt;1,$C$5:$C$229=$C238,DH$5:DH$229&lt;$BS$5:$BS$229-$BT$5:$BT$229*$BT$2,$E$5:$E$229))),
"", "",
COUNT(ARRAYFORMULA(FILTER(DH$5:DH$229,DI$5:DI$229&lt;1,$C$5:$C$229=$C238,DH$5:DH$229&lt;$BS$5:$BS$229-"&amp;"$BT$5:$BT$229*$BT$2,$F$5:$F$229))),
"")"")"),"(0, 0)")</f>
        <v>(0, 0)</v>
      </c>
      <c r="DJ238" s="191"/>
    </row>
    <row r="239">
      <c r="A239" s="2"/>
      <c r="B239" s="225"/>
      <c r="C239" s="225" t="s">
        <v>671</v>
      </c>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c r="BD239" s="187"/>
      <c r="BE239" s="187"/>
      <c r="BF239" s="187"/>
      <c r="BG239" s="187"/>
      <c r="BH239" s="187"/>
      <c r="BI239" s="187"/>
      <c r="BJ239" s="187"/>
      <c r="BK239" s="187"/>
      <c r="BL239" s="187"/>
      <c r="BM239" s="187"/>
      <c r="BN239" s="187"/>
      <c r="BO239" s="187"/>
      <c r="BP239" s="187"/>
      <c r="BQ239" s="187"/>
      <c r="BR239" s="187"/>
      <c r="BS239" s="187"/>
      <c r="BT239" s="216"/>
      <c r="BU239" s="191"/>
      <c r="BV239" s="259" t="str">
        <f>IFERROR(__xludf.DUMMYFUNCTION("CONCATENATE(""("",
COUNT(ARRAYFORMULA(FILTER(BV$5:BV$229,BW$5:BW$229&lt;1,$C$5:$C$229=$C239,BV$5:BV$229&gt;$BS$5:$BS$229+$BT$5:$BT$229*$BT$2,$E$5:$E$229))),
"", "",
COUNT(ARRAYFORMULA(FILTER(BV$5:BV$229,BW$5:BW$229&lt;1,$C$5:$C$229=$C239,BV$5:BV$229&gt;$BS$5:$BS$229+"&amp;"$BT$5:$BT$229*$BT$2,$F$5:$F$229))),
"")"")"),"(0, 0)")</f>
        <v>(0, 0)</v>
      </c>
      <c r="BW239" s="259" t="str">
        <f>IFERROR(__xludf.DUMMYFUNCTION("CONCATENATE(""("",
COUNT(ARRAYFORMULA(FILTER(BV$5:BV$229,BW$5:BW$229&lt;1,$C$5:$C$229=$C239,BV$5:BV$229&lt;$BS$5:$BS$229-$BT$5:$BT$229*$BT$2,$E$5:$E$229))),
"", "",
COUNT(ARRAYFORMULA(FILTER(BV$5:BV$229,BW$5:BW$229&lt;1,$C$5:$C$229=$C239,BV$5:BV$229&lt;$BS$5:$BS$229-"&amp;"$BT$5:$BT$229*$BT$2,$F$5:$F$229))),
"")"")"),"(0, 0)")</f>
        <v>(0, 0)</v>
      </c>
      <c r="BX239" s="259" t="str">
        <f>IFERROR(__xludf.DUMMYFUNCTION("CONCATENATE(""("",
COUNT(ARRAYFORMULA(FILTER(BX$5:BX$229,BY$5:BY$229&lt;1,$C$5:$C$229=$C239,BX$5:BX$229&gt;$BS$5:$BS$229+$BT$5:$BT$229*$BT$2,$E$5:$E$229))),
"", "",
COUNT(ARRAYFORMULA(FILTER(BX$5:BX$229,BY$5:BY$229&lt;1,$C$5:$C$229=$C239,BX$5:BX$229&gt;$BS$5:$BS$229+"&amp;"$BT$5:$BT$229*$BT$2,$F$5:$F$229))),
"")"")"),"(0, 0)")</f>
        <v>(0, 0)</v>
      </c>
      <c r="BY239" s="259" t="str">
        <f>IFERROR(__xludf.DUMMYFUNCTION("CONCATENATE(""("",
COUNT(ARRAYFORMULA(FILTER(BX$5:BX$229,BY$5:BY$229&lt;1,$C$5:$C$229=$C239,BX$5:BX$229&lt;$BS$5:$BS$229-$BT$5:$BT$229*$BT$2,$E$5:$E$229))),
"", "",
COUNT(ARRAYFORMULA(FILTER(BX$5:BX$229,BY$5:BY$229&lt;1,$C$5:$C$229=$C239,BX$5:BX$229&lt;$BS$5:$BS$229-"&amp;"$BT$5:$BT$229*$BT$2,$F$5:$F$229))),
"")"")"),"(0, 0)")</f>
        <v>(0, 0)</v>
      </c>
      <c r="BZ239" s="259" t="str">
        <f>IFERROR(__xludf.DUMMYFUNCTION("CONCATENATE(""("",
COUNT(ARRAYFORMULA(FILTER(BZ$5:BZ$229,CA$5:CA$229&lt;1,$C$5:$C$229=$C239,BZ$5:BZ$229&gt;$BS$5:$BS$229+$BT$5:$BT$229*$BT$2,$E$5:$E$229))),
"", "",
COUNT(ARRAYFORMULA(FILTER(BZ$5:BZ$229,CA$5:CA$229&lt;1,$C$5:$C$229=$C239,BZ$5:BZ$229&gt;$BS$5:$BS$229+"&amp;"$BT$5:$BT$229*$BT$2,$F$5:$F$229))),
"")"")"),"(1, 0)")</f>
        <v>(1, 0)</v>
      </c>
      <c r="CA239" s="259" t="str">
        <f>IFERROR(__xludf.DUMMYFUNCTION("CONCATENATE(""("",
COUNT(ARRAYFORMULA(FILTER(BZ$5:BZ$229,CA$5:CA$229&lt;1,$C$5:$C$229=$C239,BZ$5:BZ$229&lt;$BS$5:$BS$229-$BT$5:$BT$229*$BT$2,$E$5:$E$229))),
"", "",
COUNT(ARRAYFORMULA(FILTER(BZ$5:BZ$229,CA$5:CA$229&lt;1,$C$5:$C$229=$C239,BZ$5:BZ$229&lt;$BS$5:$BS$229-"&amp;"$BT$5:$BT$229*$BT$2,$F$5:$F$229))),
"")"")"),"(0, 0)")</f>
        <v>(0, 0)</v>
      </c>
      <c r="CB239" s="191"/>
      <c r="CC239" s="259" t="str">
        <f>IFERROR(__xludf.DUMMYFUNCTION("CONCATENATE(""("",
COUNT(ARRAYFORMULA(FILTER(CC$5:CC$229,CD$5:CD$229&lt;1,$C$5:$C$229=$C239,CC$5:CC$229&gt;$BS$5:$BS$229+$BT$5:$BT$229*$BT$2,$E$5:$E$229))),
"", "",
COUNT(ARRAYFORMULA(FILTER(CC$5:CC$229,CD$5:CD$229&lt;1,$C$5:$C$229=$C239,CC$5:CC$229&gt;$BS$5:$BS$229+"&amp;"$BT$5:$BT$229*$BT$2,$F$5:$F$229))),
"")"")"),"(0, 0)")</f>
        <v>(0, 0)</v>
      </c>
      <c r="CD239" s="259" t="str">
        <f>IFERROR(__xludf.DUMMYFUNCTION("CONCATENATE(""("",
COUNT(ARRAYFORMULA(FILTER(CC$5:CC$229,CD$5:CD$229&lt;1,$C$5:$C$229=$C239,CC$5:CC$229&lt;$BS$5:$BS$229-$BT$5:$BT$229*$BT$2,$E$5:$E$229))),
"", "",
COUNT(ARRAYFORMULA(FILTER(CC$5:CC$229,CD$5:CD$229&lt;1,$C$5:$C$229=$C239,CC$5:CC$229&lt;$BS$5:$BS$229-"&amp;"$BT$5:$BT$229*$BT$2,$F$5:$F$229))),
"")"")"),"(0, 0)")</f>
        <v>(0, 0)</v>
      </c>
      <c r="CE239" s="259" t="str">
        <f>IFERROR(__xludf.DUMMYFUNCTION("CONCATENATE(""("",
COUNT(ARRAYFORMULA(FILTER(CE$5:CE$229,CF$5:CF$229&lt;1,$C$5:$C$229=$C239,CE$5:CE$229&gt;$BS$5:$BS$229+$BT$5:$BT$229*$BT$2,$E$5:$E$229))),
"", "",
COUNT(ARRAYFORMULA(FILTER(CE$5:CE$229,CF$5:CF$229&lt;1,$C$5:$C$229=$C239,CE$5:CE$229&gt;$BS$5:$BS$229+"&amp;"$BT$5:$BT$229*$BT$2,$F$5:$F$229))),
"")"")"),"(0, 0)")</f>
        <v>(0, 0)</v>
      </c>
      <c r="CF239" s="259" t="str">
        <f>IFERROR(__xludf.DUMMYFUNCTION("CONCATENATE(""("",
COUNT(ARRAYFORMULA(FILTER(CE$5:CE$229,CF$5:CF$229&lt;1,$C$5:$C$229=$C239,CE$5:CE$229&lt;$BS$5:$BS$229-$BT$5:$BT$229*$BT$2,$E$5:$E$229))),
"", "",
COUNT(ARRAYFORMULA(FILTER(CE$5:CE$229,CF$5:CF$229&lt;1,$C$5:$C$229=$C239,CE$5:CE$229&lt;$BS$5:$BS$229-"&amp;"$BT$5:$BT$229*$BT$2,$F$5:$F$229))),
"")"")"),"(0, 0)")</f>
        <v>(0, 0)</v>
      </c>
      <c r="CG239" s="259" t="str">
        <f>IFERROR(__xludf.DUMMYFUNCTION("CONCATENATE(""("",
COUNT(ARRAYFORMULA(FILTER(CG$5:CG$229,CH$5:CH$229&lt;1,$C$5:$C$229=$C239,CG$5:CG$229&gt;$BS$5:$BS$229+$BT$5:$BT$229*$BT$2,$E$5:$E$229))),
"", "",
COUNT(ARRAYFORMULA(FILTER(CG$5:CG$229,CH$5:CH$229&lt;1,$C$5:$C$229=$C239,CG$5:CG$229&gt;$BS$5:$BS$229+"&amp;"$BT$5:$BT$229*$BT$2,$F$5:$F$229))),
"")"")"),"(0, 0)")</f>
        <v>(0, 0)</v>
      </c>
      <c r="CH239" s="259" t="str">
        <f>IFERROR(__xludf.DUMMYFUNCTION("CONCATENATE(""("",
COUNT(ARRAYFORMULA(FILTER(CG$5:CG$229,CH$5:CH$229&lt;1,$C$5:$C$229=$C239,CG$5:CG$229&lt;$BS$5:$BS$229-$BT$5:$BT$229*$BT$2,$E$5:$E$229))),
"", "",
COUNT(ARRAYFORMULA(FILTER(CG$5:CG$229,CH$5:CH$229&lt;1,$C$5:$C$229=$C239,CG$5:CG$229&lt;$BS$5:$BS$229-"&amp;"$BT$5:$BT$229*$BT$2,$F$5:$F$229))),
"")"")"),"(0, 0)")</f>
        <v>(0, 0)</v>
      </c>
      <c r="CI239" s="191"/>
      <c r="CJ239" s="259" t="str">
        <f>IFERROR(__xludf.DUMMYFUNCTION("CONCATENATE(""("",
COUNT(ARRAYFORMULA(FILTER(CJ$5:CJ$229,CK$5:CK$229&lt;1,$C$5:$C$229=$C239,CJ$5:CJ$229&gt;$BS$5:$BS$229+$BT$5:$BT$229*$BT$2,$E$5:$E$229))),
"", "",
COUNT(ARRAYFORMULA(FILTER(CJ$5:CJ$229,CK$5:CK$229&lt;1,$C$5:$C$229=$C239,CJ$5:CJ$229&gt;$BS$5:$BS$229+"&amp;"$BT$5:$BT$229*$BT$2,$F$5:$F$229))),
"")"")"),"(0, 0)")</f>
        <v>(0, 0)</v>
      </c>
      <c r="CK239" s="259" t="str">
        <f>IFERROR(__xludf.DUMMYFUNCTION("CONCATENATE(""("",
COUNT(ARRAYFORMULA(FILTER(CJ$5:CJ$229,CK$5:CK$229&lt;1,$C$5:$C$229=$C239,CJ$5:CJ$229&lt;$BS$5:$BS$229-$BT$5:$BT$229*$BT$2,$E$5:$E$229))),
"", "",
COUNT(ARRAYFORMULA(FILTER(CJ$5:CJ$229,CK$5:CK$229&lt;1,$C$5:$C$229=$C239,CJ$5:CJ$229&lt;$BS$5:$BS$229-"&amp;"$BT$5:$BT$229*$BT$2,$F$5:$F$229))),
"")"")"),"(0, 0)")</f>
        <v>(0, 0)</v>
      </c>
      <c r="CL239" s="259" t="str">
        <f>IFERROR(__xludf.DUMMYFUNCTION("CONCATENATE(""("",
COUNT(ARRAYFORMULA(FILTER(CL$5:CL$229,CM$5:CM$229&lt;1,$C$5:$C$229=$C239,CL$5:CL$229&gt;$BS$5:$BS$229+$BT$5:$BT$229*$BT$2,$E$5:$E$229))),
"", "",
COUNT(ARRAYFORMULA(FILTER(CL$5:CL$229,CM$5:CM$229&lt;1,$C$5:$C$229=$C239,CL$5:CL$229&gt;$BS$5:$BS$229+"&amp;"$BT$5:$BT$229*$BT$2,$F$5:$F$229))),
"")"")"),"(0, 0)")</f>
        <v>(0, 0)</v>
      </c>
      <c r="CM239" s="259" t="str">
        <f>IFERROR(__xludf.DUMMYFUNCTION("CONCATENATE(""("",
COUNT(ARRAYFORMULA(FILTER(CL$5:CL$229,CM$5:CM$229&lt;1,$C$5:$C$229=$C239,CL$5:CL$229&lt;$BS$5:$BS$229-$BT$5:$BT$229*$BT$2,$E$5:$E$229))),
"", "",
COUNT(ARRAYFORMULA(FILTER(CL$5:CL$229,CM$5:CM$229&lt;1,$C$5:$C$229=$C239,CL$5:CL$229&lt;$BS$5:$BS$229-"&amp;"$BT$5:$BT$229*$BT$2,$F$5:$F$229))),
"")"")"),"(0, 0)")</f>
        <v>(0, 0)</v>
      </c>
      <c r="CN239" s="259" t="str">
        <f>IFERROR(__xludf.DUMMYFUNCTION("CONCATENATE(""("",
COUNT(ARRAYFORMULA(FILTER(CN$5:CN$229,CO$5:CO$229&lt;1,$C$5:$C$229=$C239,CN$5:CN$229&gt;$BS$5:$BS$229+$BT$5:$BT$229*$BT$2,$E$5:$E$229))),
"", "",
COUNT(ARRAYFORMULA(FILTER(CN$5:CN$229,CO$5:CO$229&lt;1,$C$5:$C$229=$C239,CN$5:CN$229&gt;$BS$5:$BS$229+"&amp;"$BT$5:$BT$229*$BT$2,$F$5:$F$229))),
"")"")"),"(0, 0)")</f>
        <v>(0, 0)</v>
      </c>
      <c r="CO239" s="259" t="str">
        <f>IFERROR(__xludf.DUMMYFUNCTION("CONCATENATE(""("",
COUNT(ARRAYFORMULA(FILTER(CN$5:CN$229,CO$5:CO$229&lt;1,$C$5:$C$229=$C239,CN$5:CN$229&lt;$BS$5:$BS$229-$BT$5:$BT$229*$BT$2,$E$5:$E$229))),
"", "",
COUNT(ARRAYFORMULA(FILTER(CN$5:CN$229,CO$5:CO$229&lt;1,$C$5:$C$229=$C239,CN$5:CN$229&lt;$BS$5:$BS$229-"&amp;"$BT$5:$BT$229*$BT$2,$F$5:$F$229))),
"")"")"),"(0, 0)")</f>
        <v>(0, 0)</v>
      </c>
      <c r="CP239" s="191"/>
      <c r="CQ239" s="259" t="str">
        <f>IFERROR(__xludf.DUMMYFUNCTION("CONCATENATE(""("",
COUNT(ARRAYFORMULA(FILTER(CQ$5:CQ$229,CR$5:CR$229&lt;1,$C$5:$C$229=$C239,CQ$5:CQ$229&gt;$BS$5:$BS$229+$BT$5:$BT$229*$BT$2,$E$5:$E$229))),
"", "",
COUNT(ARRAYFORMULA(FILTER(CQ$5:CQ$229,CR$5:CR$229&lt;1,$C$5:$C$229=$C239,CQ$5:CQ$229&gt;$BS$5:$BS$229+"&amp;"$BT$5:$BT$229*$BT$2,$F$5:$F$229))),
"")"")"),"(0, 0)")</f>
        <v>(0, 0)</v>
      </c>
      <c r="CR239" s="259" t="str">
        <f>IFERROR(__xludf.DUMMYFUNCTION("CONCATENATE(""("",
COUNT(ARRAYFORMULA(FILTER(CQ$5:CQ$229,CR$5:CR$229&lt;1,$C$5:$C$229=$C239,CQ$5:CQ$229&lt;$BS$5:$BS$229-$BT$5:$BT$229*$BT$2,$E$5:$E$229))),
"", "",
COUNT(ARRAYFORMULA(FILTER(CQ$5:CQ$229,CR$5:CR$229&lt;1,$C$5:$C$229=$C239,CQ$5:CQ$229&lt;$BS$5:$BS$229-"&amp;"$BT$5:$BT$229*$BT$2,$F$5:$F$229))),
"")"")"),"(0, 0)")</f>
        <v>(0, 0)</v>
      </c>
      <c r="CS239" s="259" t="str">
        <f>IFERROR(__xludf.DUMMYFUNCTION("CONCATENATE(""("",
COUNT(ARRAYFORMULA(FILTER(CS$5:CS$229,CT$5:CT$229&lt;1,$C$5:$C$229=$C239,CS$5:CS$229&gt;$BS$5:$BS$229+$BT$5:$BT$229*$BT$2,$E$5:$E$229))),
"", "",
COUNT(ARRAYFORMULA(FILTER(CS$5:CS$229,CT$5:CT$229&lt;1,$C$5:$C$229=$C239,CS$5:CS$229&gt;$BS$5:$BS$229+"&amp;"$BT$5:$BT$229*$BT$2,$F$5:$F$229))),
"")"")"),"(1, 0)")</f>
        <v>(1, 0)</v>
      </c>
      <c r="CT239" s="259" t="str">
        <f>IFERROR(__xludf.DUMMYFUNCTION("CONCATENATE(""("",
COUNT(ARRAYFORMULA(FILTER(CS$5:CS$229,CT$5:CT$229&lt;1,$C$5:$C$229=$C239,CS$5:CS$229&lt;$BS$5:$BS$229-$BT$5:$BT$229*$BT$2,$E$5:$E$229))),
"", "",
COUNT(ARRAYFORMULA(FILTER(CS$5:CS$229,CT$5:CT$229&lt;1,$C$5:$C$229=$C239,CS$5:CS$229&lt;$BS$5:$BS$229-"&amp;"$BT$5:$BT$229*$BT$2,$F$5:$F$229))),
"")"")"),"(0, 0)")</f>
        <v>(0, 0)</v>
      </c>
      <c r="CU239" s="259" t="str">
        <f>IFERROR(__xludf.DUMMYFUNCTION("CONCATENATE(""("",
COUNT(ARRAYFORMULA(FILTER(CU$5:CU$229,CV$5:CV$229&lt;1,$C$5:$C$229=$C239,CU$5:CU$229&gt;$BS$5:$BS$229+$BT$5:$BT$229*$BT$2,$E$5:$E$229))),
"", "",
COUNT(ARRAYFORMULA(FILTER(CU$5:CU$229,CV$5:CV$229&lt;1,$C$5:$C$229=$C239,CU$5:CU$229&gt;$BS$5:$BS$229+"&amp;"$BT$5:$BT$229*$BT$2,$F$5:$F$229))),
"")"")"),"(0, 0)")</f>
        <v>(0, 0)</v>
      </c>
      <c r="CV239" s="259" t="str">
        <f>IFERROR(__xludf.DUMMYFUNCTION("CONCATENATE(""("",
COUNT(ARRAYFORMULA(FILTER(CU$5:CU$229,CV$5:CV$229&lt;1,$C$5:$C$229=$C239,CU$5:CU$229&lt;$BS$5:$BS$229-$BT$5:$BT$229*$BT$2,$E$5:$E$229))),
"", "",
COUNT(ARRAYFORMULA(FILTER(CU$5:CU$229,CV$5:CV$229&lt;1,$C$5:$C$229=$C239,CU$5:CU$229&lt;$BS$5:$BS$229-"&amp;"$BT$5:$BT$229*$BT$2,$F$5:$F$229))),
"")"")"),"(0, 0)")</f>
        <v>(0, 0)</v>
      </c>
      <c r="CW239" s="259" t="str">
        <f>IFERROR(__xludf.DUMMYFUNCTION("CONCATENATE(""("",
COUNT(ARRAYFORMULA(FILTER(CW$5:CW$229,CX$5:CX$229&lt;1,$C$5:$C$229=$C239,CW$5:CW$229&gt;$BS$5:$BS$229+$BT$5:$BT$229*$BT$2,$E$5:$E$229))),
"", "",
COUNT(ARRAYFORMULA(FILTER(CW$5:CW$229,CX$5:CX$229&lt;1,$C$5:$C$229=$C239,CW$5:CW$229&gt;$BS$5:$BS$229+"&amp;"$BT$5:$BT$229*$BT$2,$F$5:$F$229))),
"")"")"),"(0, 0)")</f>
        <v>(0, 0)</v>
      </c>
      <c r="CX239" s="259" t="str">
        <f>IFERROR(__xludf.DUMMYFUNCTION("CONCATENATE(""("",
COUNT(ARRAYFORMULA(FILTER(CW$5:CW$229,CX$5:CX$229&lt;1,$C$5:$C$229=$C239,CW$5:CW$229&lt;$BS$5:$BS$229-$BT$5:$BT$229*$BT$2,$E$5:$E$229))),
"", "",
COUNT(ARRAYFORMULA(FILTER(CW$5:CW$229,CX$5:CX$229&lt;1,$C$5:$C$229=$C239,CW$5:CW$229&lt;$BS$5:$BS$229-"&amp;"$BT$5:$BT$229*$BT$2,$F$5:$F$229))),
"")"")"),"(1, 0)")</f>
        <v>(1, 0)</v>
      </c>
      <c r="CY239" s="259" t="str">
        <f>IFERROR(__xludf.DUMMYFUNCTION("CONCATENATE(""("",
COUNT(ARRAYFORMULA(FILTER(CY$5:CY$229,CZ$5:CZ$229&lt;1,$C$5:$C$229=$C239,CY$5:CY$229&gt;$BS$5:$BS$229+$BT$5:$BT$229*$BT$2,$E$5:$E$229))),
"", "",
COUNT(ARRAYFORMULA(FILTER(CY$5:CY$229,CZ$5:CZ$229&lt;1,$C$5:$C$229=$C239,CY$5:CY$229&gt;$BS$5:$BS$229+"&amp;"$BT$5:$BT$229*$BT$2,$F$5:$F$229))),
"")"")"),"(0, 0)")</f>
        <v>(0, 0)</v>
      </c>
      <c r="CZ239" s="259" t="str">
        <f>IFERROR(__xludf.DUMMYFUNCTION("CONCATENATE(""("",
COUNT(ARRAYFORMULA(FILTER(CY$5:CY$229,CZ$5:CZ$229&lt;1,$C$5:$C$229=$C239,CY$5:CY$229&lt;$BS$5:$BS$229-$BT$5:$BT$229*$BT$2,$E$5:$E$229))),
"", "",
COUNT(ARRAYFORMULA(FILTER(CY$5:CY$229,CZ$5:CZ$229&lt;1,$C$5:$C$229=$C239,CY$5:CY$229&lt;$BS$5:$BS$229-"&amp;"$BT$5:$BT$229*$BT$2,$F$5:$F$229))),
"")"")"),"(0, 0)")</f>
        <v>(0, 0)</v>
      </c>
      <c r="DA239" s="191"/>
      <c r="DB239" s="259" t="str">
        <f>IFERROR(__xludf.DUMMYFUNCTION("CONCATENATE(""("",
COUNT(ARRAYFORMULA(FILTER(DB$5:DB$229,DC$5:DC$229&lt;1,$C$5:$C$229=$C239,DB$5:DB$229&gt;$BS$5:$BS$229+$BT$5:$BT$229*$BT$2,$E$5:$E$229))),
"", "",
COUNT(ARRAYFORMULA(FILTER(DB$5:DB$229,DC$5:DC$229&lt;1,$C$5:$C$229=$C239,DB$5:DB$229&gt;$BS$5:$BS$229+"&amp;"$BT$5:$BT$229*$BT$2,$F$5:$F$229))),
"")"")"),"(0, 0)")</f>
        <v>(0, 0)</v>
      </c>
      <c r="DC239" s="259" t="str">
        <f>IFERROR(__xludf.DUMMYFUNCTION("CONCATENATE(""("",
COUNT(ARRAYFORMULA(FILTER(DB$5:DB$229,DC$5:DC$229&lt;1,$C$5:$C$229=$C239,DB$5:DB$229&lt;$BS$5:$BS$229-$BT$5:$BT$229*$BT$2,$E$5:$E$229))),
"", "",
COUNT(ARRAYFORMULA(FILTER(DB$5:DB$229,DC$5:DC$229&lt;1,$C$5:$C$229=$C239,DB$5:DB$229&lt;$BS$5:$BS$229-"&amp;"$BT$5:$BT$229*$BT$2,$F$5:$F$229))),
"")"")"),"(0, 0)")</f>
        <v>(0, 0)</v>
      </c>
      <c r="DD239" s="259" t="str">
        <f>IFERROR(__xludf.DUMMYFUNCTION("CONCATENATE(""("",
COUNT(ARRAYFORMULA(FILTER(DD$5:DD$229,DE$5:DE$229&lt;1,$C$5:$C$229=$C239,DD$5:DD$229&gt;$BS$5:$BS$229+$BT$5:$BT$229*$BT$2,$E$5:$E$229))),
"", "",
COUNT(ARRAYFORMULA(FILTER(DD$5:DD$229,DE$5:DE$229&lt;1,$C$5:$C$229=$C239,DD$5:DD$229&gt;$BS$5:$BS$229+"&amp;"$BT$5:$BT$229*$BT$2,$F$5:$F$229))),
"")"")"),"(0, 0)")</f>
        <v>(0, 0)</v>
      </c>
      <c r="DE239" s="259" t="str">
        <f>IFERROR(__xludf.DUMMYFUNCTION("CONCATENATE(""("",
COUNT(ARRAYFORMULA(FILTER(DD$5:DD$229,DE$5:DE$229&lt;1,$C$5:$C$229=$C239,DD$5:DD$229&lt;$BS$5:$BS$229-$BT$5:$BT$229*$BT$2,$E$5:$E$229))),
"", "",
COUNT(ARRAYFORMULA(FILTER(DD$5:DD$229,DE$5:DE$229&lt;1,$C$5:$C$229=$C239,DD$5:DD$229&lt;$BS$5:$BS$229-"&amp;"$BT$5:$BT$229*$BT$2,$F$5:$F$229))),
"")"")"),"(0, 0)")</f>
        <v>(0, 0)</v>
      </c>
      <c r="DF239" s="259" t="str">
        <f>IFERROR(__xludf.DUMMYFUNCTION("CONCATENATE(""("",
COUNT(ARRAYFORMULA(FILTER(DF$5:DF$229,DG$5:DG$229&lt;1,$C$5:$C$229=$C239,DF$5:DF$229&gt;$BS$5:$BS$229+$BT$5:$BT$229*$BT$2,$E$5:$E$229))),
"", "",
COUNT(ARRAYFORMULA(FILTER(DF$5:DF$229,DG$5:DG$229&lt;1,$C$5:$C$229=$C239,DF$5:DF$229&gt;$BS$5:$BS$229+"&amp;"$BT$5:$BT$229*$BT$2,$F$5:$F$229))),
"")"")"),"(0, 0)")</f>
        <v>(0, 0)</v>
      </c>
      <c r="DG239" s="259" t="str">
        <f>IFERROR(__xludf.DUMMYFUNCTION("CONCATENATE(""("",
COUNT(ARRAYFORMULA(FILTER(DF$5:DF$229,DG$5:DG$229&lt;1,$C$5:$C$229=$C239,DF$5:DF$229&lt;$BS$5:$BS$229-$BT$5:$BT$229*$BT$2,$E$5:$E$229))),
"", "",
COUNT(ARRAYFORMULA(FILTER(DF$5:DF$229,DG$5:DG$229&lt;1,$C$5:$C$229=$C239,DF$5:DF$229&lt;$BS$5:$BS$229-"&amp;"$BT$5:$BT$229*$BT$2,$F$5:$F$229))),
"")"")"),"(0, 0)")</f>
        <v>(0, 0)</v>
      </c>
      <c r="DH239" s="259" t="str">
        <f>IFERROR(__xludf.DUMMYFUNCTION("CONCATENATE(""("",
COUNT(ARRAYFORMULA(FILTER(DH$5:DH$229,DI$5:DI$229&lt;1,$C$5:$C$229=$C239,DH$5:DH$229&gt;$BS$5:$BS$229+$BT$5:$BT$229*$BT$2,$E$5:$E$229))),
"", "",
COUNT(ARRAYFORMULA(FILTER(DH$5:DH$229,DI$5:DI$229&lt;1,$C$5:$C$229=$C239,DH$5:DH$229&gt;$BS$5:$BS$229+"&amp;"$BT$5:$BT$229*$BT$2,$F$5:$F$229))),
"")"")"),"(0, 0)")</f>
        <v>(0, 0)</v>
      </c>
      <c r="DI239" s="259" t="str">
        <f>IFERROR(__xludf.DUMMYFUNCTION("CONCATENATE(""("",
COUNT(ARRAYFORMULA(FILTER(DH$5:DH$229,DI$5:DI$229&lt;1,$C$5:$C$229=$C239,DH$5:DH$229&lt;$BS$5:$BS$229-$BT$5:$BT$229*$BT$2,$E$5:$E$229))),
"", "",
COUNT(ARRAYFORMULA(FILTER(DH$5:DH$229,DI$5:DI$229&lt;1,$C$5:$C$229=$C239,DH$5:DH$229&lt;$BS$5:$BS$229-"&amp;"$BT$5:$BT$229*$BT$2,$F$5:$F$229))),
"")"")"),"(0, 0)")</f>
        <v>(0, 0)</v>
      </c>
      <c r="DJ239" s="191"/>
    </row>
    <row r="240">
      <c r="A240" s="2"/>
      <c r="B240" s="192"/>
      <c r="C240" s="192"/>
      <c r="D240" s="192"/>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c r="BD240" s="187"/>
      <c r="BE240" s="187"/>
      <c r="BF240" s="187"/>
      <c r="BG240" s="187"/>
      <c r="BH240" s="187"/>
      <c r="BI240" s="187"/>
      <c r="BJ240" s="187"/>
      <c r="BK240" s="187"/>
      <c r="BL240" s="187"/>
      <c r="BM240" s="187"/>
      <c r="BN240" s="187"/>
      <c r="BO240" s="187"/>
      <c r="BP240" s="187"/>
      <c r="BQ240" s="187"/>
      <c r="BR240" s="187"/>
      <c r="BS240" s="187"/>
      <c r="BT240" s="206"/>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row>
  </sheetData>
  <autoFilter ref="$B$4:$DI$229">
    <sortState ref="B4:DI229">
      <sortCondition ref="B4:B229"/>
      <sortCondition ref="C4:C229"/>
    </sortState>
  </autoFilter>
  <mergeCells count="20">
    <mergeCell ref="DB3:DC3"/>
    <mergeCell ref="DD3:DE3"/>
    <mergeCell ref="DF3:DG3"/>
    <mergeCell ref="DH3:DI3"/>
    <mergeCell ref="CL3:CM3"/>
    <mergeCell ref="CN3:CO3"/>
    <mergeCell ref="CQ3:CR3"/>
    <mergeCell ref="CS3:CT3"/>
    <mergeCell ref="CU3:CV3"/>
    <mergeCell ref="CW3:CX3"/>
    <mergeCell ref="CY3:CZ3"/>
    <mergeCell ref="C231:D231"/>
    <mergeCell ref="D232:D239"/>
    <mergeCell ref="BV3:BW3"/>
    <mergeCell ref="BX3:BY3"/>
    <mergeCell ref="BZ3:CA3"/>
    <mergeCell ref="CC3:CD3"/>
    <mergeCell ref="CE3:CF3"/>
    <mergeCell ref="CG3:CH3"/>
    <mergeCell ref="CJ3:CK3"/>
  </mergeCells>
  <conditionalFormatting sqref="BV5:BV229 BX5:BX229 BZ5:BZ229 CC5:CC229 CE5:CE229 CG5:CG229 CJ5:CJ229 CL5:CL229 CN5:CN229 CQ5:CQ229 CS5:CS229 CU5:CU229 CW5:CW229 CY5:CY229 DB5:DB229 DD5:DD229 DF5:DF229 DH5:DH229">
    <cfRule type="expression" dxfId="22" priority="1">
      <formula>BV5&gt;$BS5+$BT5*$BT$2</formula>
    </cfRule>
  </conditionalFormatting>
  <conditionalFormatting sqref="BV5:BV229 BX5:BX229 BZ5:BZ229 CC5:CC229 CE5:CE229 CG5:CG229 CJ5:CJ229 CL5:CL229 CN5:CN229 CQ5:CQ229 CS5:CS229 CU5:CU229 CW5:CW229 CY5:CY229 DB5:DB229 DD5:DD229 DF5:DF229 DH5:DH229">
    <cfRule type="expression" dxfId="23" priority="2">
      <formula>BV5&lt;$BS5-$BT5*$BT$2</formula>
    </cfRule>
  </conditionalFormatting>
  <conditionalFormatting sqref="BV5:BV229 BX5:BX229 BZ5:BZ229 CC5:CC229 CE5:CE229 CG5:CG229 CJ5:CJ229 CL5:CL229 CN5:CN229 CQ5:CQ229 CS5:CS229 CU5:CU229 CW5:CW229 CY5:CY229 DB5:DB229 DD5:DD229 DF5:DF229 DH5:DH229">
    <cfRule type="expression" dxfId="24" priority="3">
      <formula>AND(BV5&lt;=$BS5+$BT5*$BT$2,BV5&gt;=$BS5-$BT5*$BT$2)</formula>
    </cfRule>
  </conditionalFormatting>
  <conditionalFormatting sqref="BW5:BW229 BY5:BY229 CA5:CA229 CD5:CD229 CF5:CF229 CH5:CH229 CK5:CK229 CM5:CM229 CO5:CO229 CR5:CR229 CT5:CT229 CV5:CV229 CX5:CX229 CZ5:CZ229 DC5:DC229 DE5:DE229 DG5:DG229 DI5:DI229">
    <cfRule type="cellIs" dxfId="22" priority="4" operator="between">
      <formula>0</formula>
      <formula>1</formula>
    </cfRule>
  </conditionalFormatting>
  <conditionalFormatting sqref="BW5:BW229 BY5:BY229 CA5:CA229 CD5:CD229 CF5:CF229 CH5:CH229 CK5:CK229 CM5:CM229 CO5:CO229 CR5:CR229 CT5:CT229 CV5:CV229 CX5:CX229 CZ5:CZ229 DC5:DC229 DE5:DE229 DG5:DG229 DI5:DI229">
    <cfRule type="cellIs" dxfId="25" priority="5" operator="between">
      <formula>1</formula>
      <formula>2</formula>
    </cfRule>
  </conditionalFormatting>
  <conditionalFormatting sqref="BW5:BW229 BY5:BY229 CA5:CA229 CD5:CD229 CF5:CF229 CH5:CH229 CK5:CK229 CM5:CM229 CO5:CO229 CR5:CR229 CT5:CT229 CV5:CV229 CX5:CX229 CZ5:CZ229 DC5:DC229 DE5:DE229 DG5:DG229 DI5:DI229">
    <cfRule type="cellIs" dxfId="26" priority="6" operator="between">
      <formula>2</formula>
      <formula>3</formula>
    </cfRule>
  </conditionalFormatting>
  <conditionalFormatting sqref="BW5:BW229 BY5:BY229 CA5:CA229 CD5:CD229 CF5:CF229 CH5:CH229 CK5:CK229 CM5:CM229 CO5:CO229 CR5:CR229 CT5:CT229 CV5:CV229 CX5:CX229 CZ5:CZ229 DC5:DC229 DE5:DE229 DG5:DG229 DI5:DI229">
    <cfRule type="cellIs" dxfId="23" priority="7" operator="greaterThan">
      <formula>3</formula>
    </cfRule>
  </conditionalFormatting>
  <conditionalFormatting sqref="BW5:BW229 BY5:BY229 CA5:CA229 CD5:CD229 CF5:CF229 CH5:CH229 CK5:CK229 CM5:CM229 CO5:CO229 CR5:CR229 CT5:CT229 CV5:CV229 CX5:CX229 CZ5:CZ229 DC5:DC229 DE5:DE229 DG5:DG229 DI5:DI229">
    <cfRule type="containsBlanks" dxfId="24" priority="8">
      <formula>LEN(TRIM(BW5))=0</formula>
    </cfRule>
  </conditionalFormatting>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2.63" defaultRowHeight="15.0" outlineLevelCol="1" outlineLevelRow="1"/>
  <cols>
    <col customWidth="1" min="1" max="1" width="2.75"/>
    <col customWidth="1" min="2" max="2" width="13.0" outlineLevel="1"/>
    <col customWidth="1" min="3" max="3" width="49.88"/>
    <col customWidth="1" min="4" max="4" width="2.75"/>
    <col collapsed="1" customWidth="1" min="5" max="5" width="2.75"/>
    <col customWidth="1" hidden="1" min="6" max="68" width="15.13" outlineLevel="1"/>
    <col customWidth="1" min="69" max="69" width="2.75"/>
    <col customWidth="1" min="70" max="71" width="7.63"/>
    <col customWidth="1" min="72" max="72" width="2.75"/>
    <col customWidth="1" min="73" max="73" width="19.5"/>
    <col customWidth="1" min="74" max="74" width="7.38"/>
    <col customWidth="1" min="75" max="75" width="19.5"/>
    <col customWidth="1" min="76" max="76" width="7.38"/>
    <col customWidth="1" min="77" max="77" width="19.5"/>
    <col customWidth="1" min="78" max="78" width="7.38"/>
    <col customWidth="1" min="79" max="79" width="2.75"/>
    <col customWidth="1" min="80" max="80" width="19.5"/>
    <col customWidth="1" min="81" max="81" width="7.38"/>
    <col customWidth="1" min="82" max="82" width="19.5"/>
    <col customWidth="1" min="83" max="83" width="7.38"/>
    <col customWidth="1" min="84" max="84" width="19.5"/>
    <col customWidth="1" min="85" max="85" width="7.38"/>
    <col customWidth="1" min="86" max="86" width="2.75"/>
    <col customWidth="1" min="87" max="87" width="19.5"/>
    <col customWidth="1" min="88" max="88" width="7.38"/>
    <col customWidth="1" min="89" max="89" width="19.5"/>
    <col customWidth="1" min="90" max="90" width="7.38"/>
    <col customWidth="1" min="91" max="91" width="19.5"/>
    <col customWidth="1" min="92" max="92" width="7.38"/>
    <col customWidth="1" min="93" max="93" width="2.75"/>
    <col customWidth="1" min="94" max="94" width="19.5"/>
    <col customWidth="1" min="95" max="95" width="7.38"/>
    <col customWidth="1" min="96" max="96" width="19.5"/>
    <col customWidth="1" min="97" max="97" width="7.38"/>
    <col customWidth="1" min="98" max="98" width="19.5"/>
    <col customWidth="1" min="99" max="99" width="7.38"/>
    <col customWidth="1" min="100" max="100" width="19.5"/>
    <col customWidth="1" min="101" max="101" width="7.38"/>
    <col customWidth="1" min="102" max="102" width="19.5"/>
    <col customWidth="1" min="103" max="103" width="7.38"/>
    <col customWidth="1" min="104" max="104" width="2.75"/>
    <col customWidth="1" min="105" max="105" width="19.5"/>
    <col customWidth="1" min="106" max="106" width="7.38"/>
    <col customWidth="1" min="107" max="107" width="19.5"/>
    <col customWidth="1" min="108" max="108" width="7.38"/>
    <col customWidth="1" min="109" max="109" width="19.5"/>
    <col customWidth="1" min="110" max="110" width="7.38"/>
    <col customWidth="1" min="111" max="111" width="19.5"/>
    <col customWidth="1" min="112" max="112" width="7.38"/>
    <col customWidth="1" min="113" max="113" width="2.75"/>
  </cols>
  <sheetData>
    <row r="1" collapsed="1">
      <c r="A1" s="2" t="s">
        <v>0</v>
      </c>
      <c r="B1" s="19"/>
      <c r="C1" s="19"/>
      <c r="D1" s="184"/>
      <c r="E1" s="184"/>
      <c r="F1" s="184"/>
      <c r="G1" s="184"/>
      <c r="H1" s="184"/>
      <c r="I1" s="184"/>
      <c r="J1" s="260"/>
      <c r="K1" s="184"/>
      <c r="L1" s="184"/>
      <c r="M1" s="184"/>
      <c r="N1" s="184"/>
      <c r="O1" s="184"/>
      <c r="P1" s="184"/>
      <c r="Q1" s="185"/>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c r="AP1" s="184"/>
      <c r="AQ1" s="184"/>
      <c r="AR1" s="184"/>
      <c r="AS1" s="184"/>
      <c r="AT1" s="184"/>
      <c r="AU1" s="184"/>
      <c r="AV1" s="184"/>
      <c r="AW1" s="184"/>
      <c r="AX1" s="184"/>
      <c r="AY1" s="184"/>
      <c r="AZ1" s="184"/>
      <c r="BA1" s="184"/>
      <c r="BB1" s="184"/>
      <c r="BC1" s="184"/>
      <c r="BD1" s="184"/>
      <c r="BE1" s="184"/>
      <c r="BF1" s="184"/>
      <c r="BG1" s="184"/>
      <c r="BH1" s="184"/>
      <c r="BI1" s="184" t="s">
        <v>0</v>
      </c>
      <c r="BJ1" s="184"/>
      <c r="BK1" s="184"/>
      <c r="BL1" s="184"/>
      <c r="BM1" s="184"/>
      <c r="BN1" s="184"/>
      <c r="BO1" s="260"/>
      <c r="BP1" s="184"/>
      <c r="BQ1" s="186"/>
      <c r="BR1" s="187"/>
      <c r="BS1" s="186"/>
      <c r="BT1" s="186"/>
      <c r="BU1" s="186" t="s">
        <v>427</v>
      </c>
      <c r="BV1" s="187"/>
      <c r="BW1" s="186" t="str">
        <f>BU1</f>
        <v>[KMeans] FS2 Elbow</v>
      </c>
      <c r="BX1" s="187"/>
      <c r="BY1" s="186" t="str">
        <f>BU1</f>
        <v>[KMeans] FS2 Elbow</v>
      </c>
      <c r="BZ1" s="187"/>
      <c r="CA1" s="186"/>
      <c r="CB1" s="186" t="s">
        <v>428</v>
      </c>
      <c r="CC1" s="187"/>
      <c r="CD1" s="186" t="str">
        <f>CB1</f>
        <v>[AffProg] FS1 Davies</v>
      </c>
      <c r="CE1" s="187"/>
      <c r="CF1" s="186" t="str">
        <f>CB1</f>
        <v>[AffProg] FS1 Davies</v>
      </c>
      <c r="CG1" s="187"/>
      <c r="CH1" s="186"/>
      <c r="CI1" s="261" t="s">
        <v>429</v>
      </c>
      <c r="CJ1" s="187"/>
      <c r="CK1" s="262" t="str">
        <f>CI1</f>
        <v>[AffProg] FS1 Silhouette</v>
      </c>
      <c r="CL1" s="187"/>
      <c r="CM1" s="262" t="str">
        <f>CI1</f>
        <v>[AffProg] FS1 Silhouette</v>
      </c>
      <c r="CN1" s="187"/>
      <c r="CO1" s="252"/>
      <c r="CP1" s="261" t="s">
        <v>430</v>
      </c>
      <c r="CQ1" s="187"/>
      <c r="CR1" s="262" t="str">
        <f>CP1</f>
        <v>[AffProg] FS2 Davies</v>
      </c>
      <c r="CS1" s="187"/>
      <c r="CT1" s="262" t="str">
        <f>CP1</f>
        <v>[AffProg] FS2 Davies</v>
      </c>
      <c r="CU1" s="187"/>
      <c r="CV1" s="262" t="str">
        <f>CP1</f>
        <v>[AffProg] FS2 Davies</v>
      </c>
      <c r="CW1" s="187"/>
      <c r="CX1" s="262" t="str">
        <f>CP1</f>
        <v>[AffProg] FS2 Davies</v>
      </c>
      <c r="CY1" s="187"/>
      <c r="CZ1" s="252"/>
      <c r="DA1" s="261" t="s">
        <v>431</v>
      </c>
      <c r="DB1" s="187"/>
      <c r="DC1" s="262" t="str">
        <f>DA1</f>
        <v>[AffProg] FS2 Silhouette</v>
      </c>
      <c r="DD1" s="187"/>
      <c r="DE1" s="262" t="str">
        <f>DA1</f>
        <v>[AffProg] FS2 Silhouette</v>
      </c>
      <c r="DF1" s="187"/>
      <c r="DG1" s="262" t="str">
        <f>DA1</f>
        <v>[AffProg] FS2 Silhouette</v>
      </c>
      <c r="DH1" s="187"/>
      <c r="DI1" s="252"/>
    </row>
    <row r="2" hidden="1" outlineLevel="1">
      <c r="A2" s="2"/>
      <c r="B2" s="204"/>
      <c r="C2" s="204" t="s">
        <v>767</v>
      </c>
      <c r="D2" s="194"/>
      <c r="E2" s="194"/>
      <c r="F2" s="194" t="s">
        <v>390</v>
      </c>
      <c r="G2" s="194" t="s">
        <v>400</v>
      </c>
      <c r="H2" s="194" t="s">
        <v>381</v>
      </c>
      <c r="I2" s="194" t="s">
        <v>376</v>
      </c>
      <c r="J2" s="194" t="s">
        <v>401</v>
      </c>
      <c r="K2" s="194" t="s">
        <v>366</v>
      </c>
      <c r="L2" s="194" t="s">
        <v>382</v>
      </c>
      <c r="M2" s="194" t="s">
        <v>367</v>
      </c>
      <c r="N2" s="194" t="s">
        <v>356</v>
      </c>
      <c r="O2" s="194" t="s">
        <v>377</v>
      </c>
      <c r="P2" s="194" t="s">
        <v>402</v>
      </c>
      <c r="Q2" s="194" t="s">
        <v>378</v>
      </c>
      <c r="R2" s="194" t="s">
        <v>361</v>
      </c>
      <c r="S2" s="194" t="s">
        <v>391</v>
      </c>
      <c r="T2" s="194" t="s">
        <v>379</v>
      </c>
      <c r="U2" s="194" t="s">
        <v>370</v>
      </c>
      <c r="V2" s="194" t="s">
        <v>386</v>
      </c>
      <c r="W2" s="194" t="s">
        <v>403</v>
      </c>
      <c r="X2" s="194" t="s">
        <v>409</v>
      </c>
      <c r="Y2" s="194" t="s">
        <v>404</v>
      </c>
      <c r="Z2" s="194" t="s">
        <v>395</v>
      </c>
      <c r="AA2" s="194" t="s">
        <v>387</v>
      </c>
      <c r="AB2" s="194" t="s">
        <v>410</v>
      </c>
      <c r="AC2" s="194" t="s">
        <v>380</v>
      </c>
      <c r="AD2" s="194" t="s">
        <v>406</v>
      </c>
      <c r="AE2" s="194" t="s">
        <v>388</v>
      </c>
      <c r="AF2" s="194" t="s">
        <v>405</v>
      </c>
      <c r="AG2" s="194" t="s">
        <v>358</v>
      </c>
      <c r="AH2" s="194" t="s">
        <v>363</v>
      </c>
      <c r="AI2" s="194" t="s">
        <v>416</v>
      </c>
      <c r="AJ2" s="194" t="s">
        <v>368</v>
      </c>
      <c r="AK2" s="194" t="s">
        <v>411</v>
      </c>
      <c r="AL2" s="194" t="s">
        <v>412</v>
      </c>
      <c r="AM2" s="194" t="s">
        <v>413</v>
      </c>
      <c r="AN2" s="194" t="s">
        <v>373</v>
      </c>
      <c r="AO2" s="194" t="s">
        <v>362</v>
      </c>
      <c r="AP2" s="194" t="s">
        <v>364</v>
      </c>
      <c r="AQ2" s="194" t="s">
        <v>392</v>
      </c>
      <c r="AR2" s="194" t="s">
        <v>383</v>
      </c>
      <c r="AS2" s="194" t="s">
        <v>393</v>
      </c>
      <c r="AT2" s="194" t="s">
        <v>417</v>
      </c>
      <c r="AU2" s="194" t="s">
        <v>389</v>
      </c>
      <c r="AV2" s="194" t="s">
        <v>396</v>
      </c>
      <c r="AW2" s="194" t="s">
        <v>384</v>
      </c>
      <c r="AX2" s="194" t="s">
        <v>397</v>
      </c>
      <c r="AY2" s="194" t="s">
        <v>359</v>
      </c>
      <c r="AZ2" s="194" t="s">
        <v>371</v>
      </c>
      <c r="BA2" s="194" t="s">
        <v>360</v>
      </c>
      <c r="BB2" s="194" t="s">
        <v>374</v>
      </c>
      <c r="BC2" s="194" t="s">
        <v>418</v>
      </c>
      <c r="BD2" s="194" t="s">
        <v>398</v>
      </c>
      <c r="BE2" s="194" t="s">
        <v>399</v>
      </c>
      <c r="BF2" s="194" t="s">
        <v>407</v>
      </c>
      <c r="BG2" s="194" t="s">
        <v>408</v>
      </c>
      <c r="BH2" s="194" t="s">
        <v>414</v>
      </c>
      <c r="BI2" s="194" t="s">
        <v>385</v>
      </c>
      <c r="BJ2" s="194" t="s">
        <v>375</v>
      </c>
      <c r="BK2" s="194" t="s">
        <v>419</v>
      </c>
      <c r="BL2" s="194" t="s">
        <v>372</v>
      </c>
      <c r="BM2" s="194" t="s">
        <v>394</v>
      </c>
      <c r="BN2" s="194" t="s">
        <v>415</v>
      </c>
      <c r="BO2" s="194" t="s">
        <v>369</v>
      </c>
      <c r="BP2" s="194" t="s">
        <v>365</v>
      </c>
      <c r="BQ2" s="186"/>
      <c r="BR2" s="195" t="s">
        <v>432</v>
      </c>
      <c r="BS2" s="196">
        <v>1.0</v>
      </c>
      <c r="BT2" s="186"/>
      <c r="BU2" s="196">
        <v>0.0</v>
      </c>
      <c r="BV2" s="197"/>
      <c r="BW2" s="196">
        <v>4.0</v>
      </c>
      <c r="BX2" s="197"/>
      <c r="BY2" s="196">
        <v>5.0</v>
      </c>
      <c r="BZ2" s="197"/>
      <c r="CA2" s="186"/>
      <c r="CB2" s="196">
        <v>2.0</v>
      </c>
      <c r="CC2" s="197"/>
      <c r="CD2" s="196">
        <v>4.0</v>
      </c>
      <c r="CE2" s="197"/>
      <c r="CF2" s="196">
        <v>9.0</v>
      </c>
      <c r="CG2" s="197"/>
      <c r="CH2" s="186"/>
      <c r="CI2" s="263">
        <v>1.0</v>
      </c>
      <c r="CJ2" s="197"/>
      <c r="CK2" s="263">
        <v>2.0</v>
      </c>
      <c r="CL2" s="197"/>
      <c r="CM2" s="263">
        <v>4.0</v>
      </c>
      <c r="CN2" s="197"/>
      <c r="CO2" s="252"/>
      <c r="CP2" s="263">
        <v>1.0</v>
      </c>
      <c r="CQ2" s="197"/>
      <c r="CR2" s="263">
        <v>3.0</v>
      </c>
      <c r="CS2" s="197"/>
      <c r="CT2" s="263">
        <v>6.0</v>
      </c>
      <c r="CU2" s="197"/>
      <c r="CV2" s="263">
        <v>7.0</v>
      </c>
      <c r="CW2" s="197"/>
      <c r="CX2" s="263">
        <v>8.0</v>
      </c>
      <c r="CY2" s="197"/>
      <c r="CZ2" s="252"/>
      <c r="DA2" s="263">
        <v>1.0</v>
      </c>
      <c r="DB2" s="197"/>
      <c r="DC2" s="263">
        <v>2.0</v>
      </c>
      <c r="DD2" s="197"/>
      <c r="DE2" s="263">
        <v>3.0</v>
      </c>
      <c r="DF2" s="197"/>
      <c r="DG2" s="263">
        <v>5.0</v>
      </c>
      <c r="DH2" s="197"/>
      <c r="DI2" s="252"/>
    </row>
    <row r="3" ht="31.5" customHeight="1">
      <c r="A3" s="199"/>
      <c r="B3" s="202"/>
      <c r="C3" s="202" t="s">
        <v>438</v>
      </c>
      <c r="D3" s="249" t="s">
        <v>433</v>
      </c>
      <c r="E3" s="249" t="s">
        <v>434</v>
      </c>
      <c r="F3" s="202" t="str">
        <f t="array" ref="F3">INDEX('Queen MIDI'!$C$4:$C$66,MATCH(RIGHT(F2,LEN(F2)-75),'Queen MIDI'!$D$4:$D$66,0))</f>
        <v>A Kind of Magic</v>
      </c>
      <c r="G3" s="202" t="str">
        <f t="array" ref="G3">INDEX('Queen MIDI'!$C$4:$C$66,MATCH(RIGHT(G2,LEN(G2)-75),'Queen MIDI'!$D$4:$D$66,0))</f>
        <v>All God's People</v>
      </c>
      <c r="H3" s="202" t="str">
        <f t="array" ref="H3">INDEX('Queen MIDI'!$C$4:$C$66,MATCH(RIGHT(H2,LEN(H2)-75),'Queen MIDI'!$D$4:$D$66,0))</f>
        <v>Another One Bites The Dust</v>
      </c>
      <c r="I3" s="202" t="str">
        <f t="array" ref="I3">INDEX('Queen MIDI'!$C$4:$C$66,MATCH(RIGHT(I2,LEN(I2)-75),'Queen MIDI'!$D$4:$D$66,0))</f>
        <v>Bicycle Race</v>
      </c>
      <c r="J3" s="202" t="str">
        <f t="array" ref="J3">INDEX('Queen MIDI'!$C$4:$C$66,MATCH(RIGHT(J2,LEN(J2)-75),'Queen MIDI'!$D$4:$D$66,0))</f>
        <v>Bijou</v>
      </c>
      <c r="K3" s="202" t="str">
        <f t="array" ref="K3">INDEX('Queen MIDI'!$C$4:$C$66,MATCH(RIGHT(K2,LEN(K2)-75),'Queen MIDI'!$D$4:$D$66,0))</f>
        <v>Bohemian Rhapsody</v>
      </c>
      <c r="L3" s="202" t="str">
        <f t="array" ref="L3">INDEX('Queen MIDI'!$C$4:$C$66,MATCH(RIGHT(L2,LEN(L2)-75),'Queen MIDI'!$D$4:$D$66,0))</f>
        <v>Crazy Little Thing Called Love</v>
      </c>
      <c r="M3" s="202" t="str">
        <f t="array" ref="M3">INDEX('Queen MIDI'!$C$4:$C$66,MATCH(RIGHT(M2,LEN(M2)-75),'Queen MIDI'!$D$4:$D$66,0))</f>
        <v>Death On Two Legs</v>
      </c>
      <c r="N3" s="202" t="str">
        <f t="array" ref="N3">INDEX('Queen MIDI'!$C$4:$C$66,MATCH(RIGHT(N2,LEN(N2)-75),'Queen MIDI'!$D$4:$D$66,0))</f>
        <v>Doing Alright</v>
      </c>
      <c r="O3" s="202" t="str">
        <f t="array" ref="O3">INDEX('Queen MIDI'!$C$4:$C$66,MATCH(RIGHT(O2,LEN(O2)-75),'Queen MIDI'!$D$4:$D$66,0))</f>
        <v>Don't Stop Me Now</v>
      </c>
      <c r="P3" s="202" t="str">
        <f t="array" ref="P3">INDEX('Queen MIDI'!$C$4:$C$66,MATCH(RIGHT(P2,LEN(P2)-75),'Queen MIDI'!$D$4:$D$66,0))</f>
        <v>Don't Try So Hard</v>
      </c>
      <c r="Q3" s="202" t="str">
        <f t="array" ref="Q3">INDEX('Queen MIDI'!$C$4:$C$66,MATCH(RIGHT(Q2,LEN(Q2)-75),'Queen MIDI'!$D$4:$D$66,0))</f>
        <v>Fat Bottomed Girls</v>
      </c>
      <c r="R3" s="202" t="str">
        <f t="array" ref="R3">INDEX('Queen MIDI'!$C$4:$C$66,MATCH(RIGHT(R2,LEN(R2)-75),'Queen MIDI'!$D$4:$D$66,0))</f>
        <v>Father to Son</v>
      </c>
      <c r="S3" s="202" t="str">
        <f t="array" ref="S3">INDEX('Queen MIDI'!$C$4:$C$66,MATCH(RIGHT(S2,LEN(S2)-75),'Queen MIDI'!$D$4:$D$66,0))</f>
        <v>Friends Will Be Friends</v>
      </c>
      <c r="T3" s="202" t="str">
        <f t="array" ref="T3">INDEX('Queen MIDI'!$C$4:$C$66,MATCH(RIGHT(T2,LEN(T2)-75),'Queen MIDI'!$D$4:$D$66,0))</f>
        <v>Fun It</v>
      </c>
      <c r="U3" s="202" t="str">
        <f t="array" ref="U3">INDEX('Queen MIDI'!$C$4:$C$66,MATCH(RIGHT(U2,LEN(U2)-75),'Queen MIDI'!$D$4:$D$66,0))</f>
        <v>Good Old-Fashioned Lover Boy</v>
      </c>
      <c r="V3" s="202" t="str">
        <f t="array" ref="V3">INDEX('Queen MIDI'!$C$4:$C$66,MATCH(RIGHT(V2,LEN(V2)-75),'Queen MIDI'!$D$4:$D$66,0))</f>
        <v>Hammer to Fall</v>
      </c>
      <c r="W3" s="202" t="str">
        <f t="array" ref="W3">INDEX('Queen MIDI'!$C$4:$C$66,MATCH(RIGHT(W2,LEN(W2)-75),'Queen MIDI'!$D$4:$D$66,0))</f>
        <v>Headlong</v>
      </c>
      <c r="X3" s="202" t="str">
        <f t="array" ref="X3">INDEX('Queen MIDI'!$C$4:$C$66,MATCH(RIGHT(X2,LEN(X2)-75),'Queen MIDI'!$D$4:$D$66,0))</f>
        <v>Heaven for Everyone</v>
      </c>
      <c r="Y3" s="202" t="str">
        <f t="array" ref="Y3">INDEX('Queen MIDI'!$C$4:$C$66,MATCH(RIGHT(Y2,LEN(Y2)-75),'Queen MIDI'!$D$4:$D$66,0))</f>
        <v>I Can't Live With You</v>
      </c>
      <c r="Z3" s="202" t="str">
        <f t="array" ref="Z3">INDEX('Queen MIDI'!$C$4:$C$66,MATCH(RIGHT(Z2,LEN(Z2)-75),'Queen MIDI'!$D$4:$D$66,0))</f>
        <v>I Want It All</v>
      </c>
      <c r="AA3" s="202" t="str">
        <f t="array" ref="AA3">INDEX('Queen MIDI'!$C$4:$C$66,MATCH(RIGHT(AA2,LEN(AA2)-75),'Queen MIDI'!$D$4:$D$66,0))</f>
        <v>I Want to Break Free</v>
      </c>
      <c r="AB3" s="202" t="str">
        <f t="array" ref="AB3">INDEX('Queen MIDI'!$C$4:$C$66,MATCH(RIGHT(AB2,LEN(AB2)-75),'Queen MIDI'!$D$4:$D$66,0))</f>
        <v>I Was Born to Love You</v>
      </c>
      <c r="AC3" s="202" t="str">
        <f t="array" ref="AC3">INDEX('Queen MIDI'!$C$4:$C$66,MATCH(RIGHT(AC2,LEN(AC2)-75),'Queen MIDI'!$D$4:$D$66,0))</f>
        <v>In Only Seven Days</v>
      </c>
      <c r="AD3" s="202" t="str">
        <f t="array" ref="AD3">INDEX('Queen MIDI'!$C$4:$C$66,MATCH(RIGHT(AD2,LEN(AD2)-75),'Queen MIDI'!$D$4:$D$66,0))</f>
        <v>Innuendo</v>
      </c>
      <c r="AE3" s="202" t="str">
        <f t="array" ref="AE3">INDEX('Queen MIDI'!$C$4:$C$66,MATCH(RIGHT(AE2,LEN(AE2)-75),'Queen MIDI'!$D$4:$D$66,0))</f>
        <v>It's a Hard Life</v>
      </c>
      <c r="AF3" s="202" t="str">
        <f t="array" ref="AF3">INDEX('Queen MIDI'!$C$4:$C$66,MATCH(RIGHT(AF2,LEN(AF2)-75),'Queen MIDI'!$D$4:$D$66,0))</f>
        <v>I'm Going Slightly Mad</v>
      </c>
      <c r="AG3" s="202" t="str">
        <f t="array" ref="AG3">INDEX('Queen MIDI'!$C$4:$C$66,MATCH(RIGHT(AG2,LEN(AG2)-75),'Queen MIDI'!$D$4:$D$66,0))</f>
        <v>Keep Yourself Alive</v>
      </c>
      <c r="AH3" s="202" t="str">
        <f t="array" ref="AH3">INDEX('Queen MIDI'!$C$4:$C$66,MATCH(RIGHT(AH2,LEN(AH2)-75),'Queen MIDI'!$D$4:$D$66,0))</f>
        <v>Killer Queen</v>
      </c>
      <c r="AI3" s="202" t="str">
        <f t="array" ref="AI3">INDEX('Queen MIDI'!$C$4:$C$66,MATCH(RIGHT(AI2,LEN(AI2)-75),'Queen MIDI'!$D$4:$D$66,0))</f>
        <v>Living on My Own</v>
      </c>
      <c r="AJ3" s="202" t="str">
        <f t="array" ref="AJ3">INDEX('Queen MIDI'!$C$4:$C$66,MATCH(RIGHT(AJ2,LEN(AJ2)-75),'Queen MIDI'!$D$4:$D$66,0))</f>
        <v>Love of My Life</v>
      </c>
      <c r="AK3" s="202" t="str">
        <f t="array" ref="AK3">INDEX('Queen MIDI'!$C$4:$C$66,MATCH(RIGHT(AK2,LEN(AK2)-75),'Queen MIDI'!$D$4:$D$66,0))</f>
        <v>Made in Heaven</v>
      </c>
      <c r="AL3" s="202" t="str">
        <f t="array" ref="AL3">INDEX('Queen MIDI'!$C$4:$C$66,MATCH(RIGHT(AL2,LEN(AL2)-75),'Queen MIDI'!$D$4:$D$66,0))</f>
        <v>Mother Love</v>
      </c>
      <c r="AM3" s="202" t="str">
        <f t="array" ref="AM3">INDEX('Queen MIDI'!$C$4:$C$66,MATCH(RIGHT(AM2,LEN(AM2)-75),'Queen MIDI'!$D$4:$D$66,0))</f>
        <v>My Life Has Been Saved</v>
      </c>
      <c r="AN3" s="202" t="str">
        <f t="array" ref="AN3">INDEX('Queen MIDI'!$C$4:$C$66,MATCH(RIGHT(AN2,LEN(AN2)-75),'Queen MIDI'!$D$4:$D$66,0))</f>
        <v>My Melancholy Blues</v>
      </c>
      <c r="AO3" s="202" t="str">
        <f t="array" ref="AO3">INDEX('Queen MIDI'!$C$4:$C$66,MATCH(RIGHT(AO2,LEN(AO2)-75),'Queen MIDI'!$D$4:$D$66,0))</f>
        <v>Nevermore</v>
      </c>
      <c r="AP3" s="202" t="str">
        <f t="array" ref="AP3">INDEX('Queen MIDI'!$C$4:$C$66,MATCH(RIGHT(AP2,LEN(AP2)-75),'Queen MIDI'!$D$4:$D$66,0))</f>
        <v>Now I'm Here</v>
      </c>
      <c r="AQ3" s="202" t="str">
        <f t="array" ref="AQ3">INDEX('Queen MIDI'!$C$4:$C$66,MATCH(RIGHT(AQ2,LEN(AQ2)-75),'Queen MIDI'!$D$4:$D$66,0))</f>
        <v>One Year of Love</v>
      </c>
      <c r="AR3" s="202" t="str">
        <f t="array" ref="AR3">INDEX('Queen MIDI'!$C$4:$C$66,MATCH(RIGHT(AR2,LEN(AR2)-75),'Queen MIDI'!$D$4:$D$66,0))</f>
        <v>Play the Game</v>
      </c>
      <c r="AS3" s="202" t="str">
        <f t="array" ref="AS3">INDEX('Queen MIDI'!$C$4:$C$66,MATCH(RIGHT(AS2,LEN(AS2)-75),'Queen MIDI'!$D$4:$D$66,0))</f>
        <v>Princes of the Universe</v>
      </c>
      <c r="AT3" s="202" t="str">
        <f t="array" ref="AT3">INDEX('Queen MIDI'!$C$4:$C$66,MATCH(RIGHT(AT2,LEN(AT2)-75),'Queen MIDI'!$D$4:$D$66,0))</f>
        <v>Procession</v>
      </c>
      <c r="AU3" s="202" t="str">
        <f t="array" ref="AU3">INDEX('Queen MIDI'!$C$4:$C$66,MATCH(RIGHT(AU2,LEN(AU2)-75),'Queen MIDI'!$D$4:$D$66,0))</f>
        <v>Radio Ga Ga</v>
      </c>
      <c r="AV3" s="202" t="str">
        <f t="array" ref="AV3">INDEX('Queen MIDI'!$C$4:$C$66,MATCH(RIGHT(AV2,LEN(AV2)-75),'Queen MIDI'!$D$4:$D$66,0))</f>
        <v>Rain Must Fall</v>
      </c>
      <c r="AW3" s="202" t="str">
        <f t="array" ref="AW3">INDEX('Queen MIDI'!$C$4:$C$66,MATCH(RIGHT(AW2,LEN(AW2)-75),'Queen MIDI'!$D$4:$D$66,0))</f>
        <v>Save Me</v>
      </c>
      <c r="AX3" s="202" t="str">
        <f t="array" ref="AX3">INDEX('Queen MIDI'!$C$4:$C$66,MATCH(RIGHT(AX2,LEN(AX2)-75),'Queen MIDI'!$D$4:$D$66,0))</f>
        <v>Scandal</v>
      </c>
      <c r="AY3" s="202" t="str">
        <f t="array" ref="AY3">INDEX('Queen MIDI'!$C$4:$C$66,MATCH(RIGHT(AY2,LEN(AY2)-75),'Queen MIDI'!$D$4:$D$66,0))</f>
        <v>Seven Seas of Rhye</v>
      </c>
      <c r="AZ3" s="202" t="str">
        <f t="array" ref="AZ3">INDEX('Queen MIDI'!$C$4:$C$66,MATCH(RIGHT(AZ2,LEN(AZ2)-75),'Queen MIDI'!$D$4:$D$66,0))</f>
        <v>Somebody to Love</v>
      </c>
      <c r="BA3" s="202" t="str">
        <f t="array" ref="BA3">INDEX('Queen MIDI'!$C$4:$C$66,MATCH(RIGHT(BA2,LEN(BA2)-75),'Queen MIDI'!$D$4:$D$66,0))</f>
        <v>Son and Daughter</v>
      </c>
      <c r="BB3" s="202" t="str">
        <f t="array" ref="BB3">INDEX('Queen MIDI'!$C$4:$C$66,MATCH(RIGHT(BB2,LEN(BB2)-75),'Queen MIDI'!$D$4:$D$66,0))</f>
        <v>Spread Your Wings</v>
      </c>
      <c r="BC3" s="202" t="str">
        <f t="array" ref="BC3">INDEX('Queen MIDI'!$C$4:$C$66,MATCH(RIGHT(BC2,LEN(BC2)-75),'Queen MIDI'!$D$4:$D$66,0))</f>
        <v>The Great Pretender</v>
      </c>
      <c r="BD3" s="202" t="str">
        <f t="array" ref="BD3">INDEX('Queen MIDI'!$C$4:$C$66,MATCH(RIGHT(BD2,LEN(BD2)-75),'Queen MIDI'!$D$4:$D$66,0))</f>
        <v>The Invisible Man</v>
      </c>
      <c r="BE3" s="202" t="str">
        <f t="array" ref="BE3">INDEX('Queen MIDI'!$C$4:$C$66,MATCH(RIGHT(BE2,LEN(BE2)-75),'Queen MIDI'!$D$4:$D$66,0))</f>
        <v>The Miracle</v>
      </c>
      <c r="BF3" s="202" t="str">
        <f t="array" ref="BF3">INDEX('Queen MIDI'!$C$4:$C$66,MATCH(RIGHT(BF2,LEN(BF2)-75),'Queen MIDI'!$D$4:$D$66,0))</f>
        <v>The Show Must Go On</v>
      </c>
      <c r="BG3" s="202" t="str">
        <f t="array" ref="BG3">INDEX('Queen MIDI'!$C$4:$C$66,MATCH(RIGHT(BG2,LEN(BG2)-75),'Queen MIDI'!$D$4:$D$66,0))</f>
        <v>These Are the Days of Our Lives</v>
      </c>
      <c r="BH3" s="202" t="str">
        <f t="array" ref="BH3">INDEX('Queen MIDI'!$C$4:$C$66,MATCH(RIGHT(BH2,LEN(BH2)-75),'Queen MIDI'!$D$4:$D$66,0))</f>
        <v>Too Much Love Will Kill You</v>
      </c>
      <c r="BI3" s="202" t="str">
        <f t="array" ref="BI3">INDEX('Queen MIDI'!$C$4:$C$66,MATCH(RIGHT(BI2,LEN(BI2)-75),'Queen MIDI'!$D$4:$D$66,0))</f>
        <v>Under Pressure</v>
      </c>
      <c r="BJ3" s="202" t="str">
        <f t="array" ref="BJ3">INDEX('Queen MIDI'!$C$4:$C$66,MATCH(RIGHT(BJ2,LEN(BJ2)-75),'Queen MIDI'!$D$4:$D$66,0))</f>
        <v>We Are The Champions</v>
      </c>
      <c r="BK3" s="202" t="str">
        <f t="array" ref="BK3">INDEX('Queen MIDI'!$C$4:$C$66,MATCH(RIGHT(BK2,LEN(BK2)-75),'Queen MIDI'!$D$4:$D$66,0))</f>
        <v>We Will Rock You</v>
      </c>
      <c r="BL3" s="202" t="str">
        <f t="array" ref="BL3">INDEX('Queen MIDI'!$C$4:$C$66,MATCH(RIGHT(BL2,LEN(BL2)-75),'Queen MIDI'!$D$4:$D$66,0))</f>
        <v>White Man</v>
      </c>
      <c r="BM3" s="202" t="str">
        <f t="array" ref="BM3">INDEX('Queen MIDI'!$C$4:$C$66,MATCH(RIGHT(BM2,LEN(BM2)-75),'Queen MIDI'!$D$4:$D$66,0))</f>
        <v>Who Wants to Live Forever</v>
      </c>
      <c r="BN3" s="202" t="str">
        <f t="array" ref="BN3">INDEX('Queen MIDI'!$C$4:$C$66,MATCH(RIGHT(BN2,LEN(BN2)-75),'Queen MIDI'!$D$4:$D$66,0))</f>
        <v>You Don't Fool Me</v>
      </c>
      <c r="BO3" s="202" t="str">
        <f t="array" ref="BO3">INDEX('Queen MIDI'!$C$4:$C$66,MATCH(RIGHT(BO2,LEN(BO2)-75),'Queen MIDI'!$D$4:$D$66,0))</f>
        <v>You're My Best Friend</v>
      </c>
      <c r="BP3" s="202" t="str">
        <f t="array" ref="BP3">INDEX('Queen MIDI'!$C$4:$C$66,MATCH(RIGHT(BP2,LEN(BP2)-75),'Queen MIDI'!$D$4:$D$66,0))</f>
        <v>39</v>
      </c>
      <c r="BQ3" s="200"/>
      <c r="BR3" s="203" t="s">
        <v>787</v>
      </c>
      <c r="BS3" s="203" t="s">
        <v>788</v>
      </c>
      <c r="BT3" s="200"/>
      <c r="BU3" s="203" t="str">
        <f>CONCATENATE(BU1,CHAR(10),"Cluster ",BU2," (",VLOOKUP(BU2,INDIRECT("'"&amp;BU$1&amp;"'!J4:BD21"),47,0),")")</f>
        <v>[KMeans] FS2 Elbow
Cluster 0 (7)</v>
      </c>
      <c r="BV3" s="203" t="s">
        <v>791</v>
      </c>
      <c r="BW3" s="203" t="str">
        <f>CONCATENATE(BW1,CHAR(10),"Cluster ",BW2," (",VLOOKUP(BW2,INDIRECT("'"&amp;BW$1&amp;"'!J4:BD21"),47,0),")")</f>
        <v>[KMeans] FS2 Elbow
Cluster 4 (42)</v>
      </c>
      <c r="BX3" s="203" t="s">
        <v>791</v>
      </c>
      <c r="BY3" s="203" t="str">
        <f>CONCATENATE(BY1,CHAR(10),"Cluster ",BY2," (",VLOOKUP(BY2,INDIRECT("'"&amp;BY$1&amp;"'!J4:BD21"),47,0),")")</f>
        <v>[KMeans] FS2 Elbow
Cluster 5 (11)</v>
      </c>
      <c r="BZ3" s="203" t="s">
        <v>791</v>
      </c>
      <c r="CA3" s="200"/>
      <c r="CB3" s="203" t="str">
        <f>CONCATENATE(CB1,CHAR(10),"Cluster ",CB2," (",VLOOKUP(CB2,INDIRECT("'"&amp;CB$1&amp;"'!J4:BD21"),47,0),")")</f>
        <v>[AffProg] FS1 Davies
Cluster 2 (16)</v>
      </c>
      <c r="CC3" s="203" t="s">
        <v>791</v>
      </c>
      <c r="CD3" s="203" t="str">
        <f>CONCATENATE(CD1,CHAR(10),"Cluster ",CD2," (",VLOOKUP(CD2,INDIRECT("'"&amp;CD$1&amp;"'!J4:BD21"),47,0),")")</f>
        <v>[AffProg] FS1 Davies
Cluster 4 (31)</v>
      </c>
      <c r="CE3" s="203" t="s">
        <v>791</v>
      </c>
      <c r="CF3" s="203" t="str">
        <f>CONCATENATE(CF1,CHAR(10),"Cluster ",CF2," (",VLOOKUP(CF2,INDIRECT("'"&amp;CF$1&amp;"'!J4:BD21"),47,0),")")</f>
        <v>[AffProg] FS1 Davies
Cluster 9 (5)</v>
      </c>
      <c r="CG3" s="203" t="s">
        <v>791</v>
      </c>
      <c r="CH3" s="200"/>
      <c r="CI3" s="203" t="str">
        <f>CONCATENATE(CI1,CHAR(10),"Cluster ",CI2," (",VLOOKUP(CI2,INDIRECT("'"&amp;CI$1&amp;"'!J4:BD21"),47,0),")")</f>
        <v>[AffProg] FS1 Silhouette
Cluster 1 (15)</v>
      </c>
      <c r="CJ3" s="203" t="s">
        <v>791</v>
      </c>
      <c r="CK3" s="203" t="str">
        <f>CONCATENATE(CK1,CHAR(10),"Cluster ",CK2," (",VLOOKUP(CK2,INDIRECT("'"&amp;CK$1&amp;"'!J4:BD21"),47,0),")")</f>
        <v>[AffProg] FS1 Silhouette
Cluster 2 (39)</v>
      </c>
      <c r="CL3" s="203" t="s">
        <v>791</v>
      </c>
      <c r="CM3" s="203" t="str">
        <f>CONCATENATE(CM1,CHAR(10),"Cluster ",CM2," (",VLOOKUP(CM2,INDIRECT("'"&amp;CM$1&amp;"'!J4:BD21"),47,0),")")</f>
        <v>[AffProg] FS1 Silhouette
Cluster 4 (5)</v>
      </c>
      <c r="CN3" s="203" t="s">
        <v>791</v>
      </c>
      <c r="CO3" s="264"/>
      <c r="CP3" s="203" t="str">
        <f>CONCATENATE(CP1,CHAR(10),"Cluster ",CP2," (",VLOOKUP(CP2,INDIRECT("'"&amp;CP$1&amp;"'!J4:BD21"),47,0),")")</f>
        <v>[AffProg] FS2 Davies
Cluster 1 (14)</v>
      </c>
      <c r="CQ3" s="203" t="s">
        <v>791</v>
      </c>
      <c r="CR3" s="203" t="str">
        <f>CONCATENATE(CR1,CHAR(10),"Cluster ",CR2," (",VLOOKUP(CR2,INDIRECT("'"&amp;CR$1&amp;"'!J4:BD21"),47,0),")")</f>
        <v>[AffProg] FS2 Davies
Cluster 3 (9)</v>
      </c>
      <c r="CS3" s="203" t="s">
        <v>791</v>
      </c>
      <c r="CT3" s="203" t="str">
        <f>CONCATENATE(CT1,CHAR(10),"Cluster ",CT2," (",VLOOKUP(CT2,INDIRECT("'"&amp;CT$1&amp;"'!J4:BD21"),47,0),")")</f>
        <v>[AffProg] FS2 Davies
Cluster 6 (11)</v>
      </c>
      <c r="CU3" s="203" t="s">
        <v>791</v>
      </c>
      <c r="CV3" s="203" t="str">
        <f>CONCATENATE(CV1,CHAR(10),"Cluster ",CV2," (",VLOOKUP(CV2,INDIRECT("'"&amp;CV$1&amp;"'!J4:BD21"),47,0),")")</f>
        <v>[AffProg] FS2 Davies
Cluster 7 (2)</v>
      </c>
      <c r="CW3" s="203" t="s">
        <v>791</v>
      </c>
      <c r="CX3" s="203" t="str">
        <f>CONCATENATE(CX1,CHAR(10),"Cluster ",CX2," (",VLOOKUP(CX2,INDIRECT("'"&amp;CX$1&amp;"'!J4:BD21"),47,0),")")</f>
        <v>[AffProg] FS2 Davies
Cluster 8 (14)</v>
      </c>
      <c r="CY3" s="203" t="s">
        <v>791</v>
      </c>
      <c r="CZ3" s="252"/>
      <c r="DA3" s="203" t="str">
        <f>CONCATENATE(DA1,CHAR(10),"Cluster ",DA2," (",VLOOKUP(DA2,INDIRECT("'"&amp;DA$1&amp;"'!J4:BD21"),47,0),")")</f>
        <v>[AffProg] FS2 Silhouette
Cluster 1 (30)</v>
      </c>
      <c r="DB3" s="203" t="s">
        <v>791</v>
      </c>
      <c r="DC3" s="203" t="str">
        <f>CONCATENATE(DC1,CHAR(10),"Cluster ",DC2," (",VLOOKUP(DC2,INDIRECT("'"&amp;DC$1&amp;"'!J4:BD21"),47,0),")")</f>
        <v>[AffProg] FS2 Silhouette
Cluster 2 (9)</v>
      </c>
      <c r="DD3" s="203" t="s">
        <v>791</v>
      </c>
      <c r="DE3" s="203" t="str">
        <f>CONCATENATE(DE1,CHAR(10),"Cluster ",DE2," (",VLOOKUP(DE2,INDIRECT("'"&amp;DE$1&amp;"'!J4:BD21"),47,0),")")</f>
        <v>[AffProg] FS2 Silhouette
Cluster 3 (8)</v>
      </c>
      <c r="DF3" s="203" t="s">
        <v>791</v>
      </c>
      <c r="DG3" s="203" t="str">
        <f>CONCATENATE(DG1,CHAR(10),"Cluster ",DG2," (",VLOOKUP(DG2,INDIRECT("'"&amp;DG$1&amp;"'!J4:BD21"),47,0),")")</f>
        <v>[AffProg] FS2 Silhouette
Cluster 5 (9)</v>
      </c>
      <c r="DH3" s="203" t="s">
        <v>791</v>
      </c>
      <c r="DI3" s="252"/>
    </row>
    <row r="4">
      <c r="A4" s="2"/>
      <c r="B4" s="204" t="s">
        <v>442</v>
      </c>
      <c r="C4" s="204" t="s">
        <v>443</v>
      </c>
      <c r="D4" s="205" t="b">
        <f>VLOOKUP(C4,'Feature Set List'!A1:C246,2,0)</f>
        <v>1</v>
      </c>
      <c r="E4" s="205" t="b">
        <f>VLOOKUP(C4,'Feature Set List'!A1:C246,3,0)</f>
        <v>1</v>
      </c>
      <c r="F4" s="205">
        <v>-0.4</v>
      </c>
      <c r="G4" s="205">
        <v>1.46666667</v>
      </c>
      <c r="H4" s="205">
        <v>0.86666667</v>
      </c>
      <c r="I4" s="205">
        <v>0.93333333</v>
      </c>
      <c r="J4" s="205">
        <v>1.33333333</v>
      </c>
      <c r="K4" s="205">
        <v>0.4</v>
      </c>
      <c r="L4" s="205">
        <v>-0.2</v>
      </c>
      <c r="M4" s="205">
        <v>0.8</v>
      </c>
      <c r="N4" s="205">
        <v>-0.4</v>
      </c>
      <c r="O4" s="205">
        <v>-0.2666667</v>
      </c>
      <c r="P4" s="205">
        <v>-0.1333333</v>
      </c>
      <c r="Q4" s="205">
        <v>-0.8</v>
      </c>
      <c r="R4" s="205">
        <v>0.6</v>
      </c>
      <c r="S4" s="205">
        <v>0.53333333</v>
      </c>
      <c r="T4" s="205">
        <v>-0.8666667</v>
      </c>
      <c r="U4" s="205">
        <v>-0.1333333</v>
      </c>
      <c r="V4" s="205">
        <v>0.86666667</v>
      </c>
      <c r="W4" s="205">
        <v>-0.1333333</v>
      </c>
      <c r="X4" s="205">
        <v>0.86666667</v>
      </c>
      <c r="Y4" s="205">
        <v>0.26666667</v>
      </c>
      <c r="Z4" s="205">
        <v>0.0</v>
      </c>
      <c r="AA4" s="205">
        <v>-0.8</v>
      </c>
      <c r="AB4" s="205">
        <v>1.53333333</v>
      </c>
      <c r="AC4" s="205">
        <v>-0.5333333</v>
      </c>
      <c r="AD4" s="205">
        <v>1.0</v>
      </c>
      <c r="AE4" s="205">
        <v>0.4</v>
      </c>
      <c r="AF4" s="205">
        <v>2.06666667</v>
      </c>
      <c r="AG4" s="205">
        <v>0.66666667</v>
      </c>
      <c r="AH4" s="205">
        <v>-0.0666667</v>
      </c>
      <c r="AI4" s="205">
        <v>-0.4</v>
      </c>
      <c r="AJ4" s="205">
        <v>-0.7333333</v>
      </c>
      <c r="AK4" s="205">
        <v>0.6</v>
      </c>
      <c r="AL4" s="205">
        <v>-0.0666667</v>
      </c>
      <c r="AM4" s="205">
        <v>-0.5333333</v>
      </c>
      <c r="AN4" s="205">
        <v>0.06666667</v>
      </c>
      <c r="AO4" s="205">
        <v>-1.1333333</v>
      </c>
      <c r="AP4" s="205">
        <v>0.8</v>
      </c>
      <c r="AQ4" s="205">
        <v>-0.7333333</v>
      </c>
      <c r="AR4" s="205">
        <v>0.13333333</v>
      </c>
      <c r="AS4" s="205">
        <v>0.8</v>
      </c>
      <c r="AT4" s="205">
        <v>-0.8666667</v>
      </c>
      <c r="AU4" s="205">
        <v>-0.1333333</v>
      </c>
      <c r="AV4" s="205">
        <v>-0.6</v>
      </c>
      <c r="AW4" s="205">
        <v>-0.1333333</v>
      </c>
      <c r="AX4" s="205">
        <v>-0.3333333</v>
      </c>
      <c r="AY4" s="205">
        <v>0.46666667</v>
      </c>
      <c r="AZ4" s="205">
        <v>-0.0666667</v>
      </c>
      <c r="BA4" s="205">
        <v>0.4</v>
      </c>
      <c r="BB4" s="205">
        <v>-0.0666667</v>
      </c>
      <c r="BC4" s="205">
        <v>0.86666667</v>
      </c>
      <c r="BD4" s="205">
        <v>0.33333333</v>
      </c>
      <c r="BE4" s="205">
        <v>0.53333333</v>
      </c>
      <c r="BF4" s="205">
        <v>0.26666667</v>
      </c>
      <c r="BG4" s="205">
        <v>-0.4666667</v>
      </c>
      <c r="BH4" s="205">
        <v>0.46666667</v>
      </c>
      <c r="BI4" s="205">
        <v>-0.6666667</v>
      </c>
      <c r="BJ4" s="205">
        <v>0.0</v>
      </c>
      <c r="BK4" s="205">
        <v>-1.8</v>
      </c>
      <c r="BL4" s="205">
        <v>-1.0</v>
      </c>
      <c r="BM4" s="205">
        <v>0.6</v>
      </c>
      <c r="BN4" s="205">
        <v>-0.6666667</v>
      </c>
      <c r="BO4" s="205">
        <v>0.0</v>
      </c>
      <c r="BP4" s="205">
        <v>-0.1333333</v>
      </c>
      <c r="BQ4" s="206"/>
      <c r="BR4" s="250">
        <f t="shared" ref="BR4:BR228" si="1">AVERAGE(F4:BP4)</f>
        <v>0.08994709127</v>
      </c>
      <c r="BS4" s="250">
        <f t="shared" ref="BS4:BS228" si="2">AVEDEV(F4:BP4)</f>
        <v>0.5824808928</v>
      </c>
      <c r="BT4" s="206"/>
      <c r="BU4" s="207">
        <f>IFERROR(__xludf.DUMMYFUNCTION("AVERAGE(ARRAYFORMULA(XLOOKUP(FILTER(INDIRECT(""'""&amp;BU$1&amp;""'!$C$4:$C$66""),INDIRECT(""'""&amp;BU$1&amp;""'!$D$4:$D$66"")=BU$2),$F$3:$BP$3,$F4:$BP4)))"),-0.33333332857142856)</f>
        <v>-0.3333333286</v>
      </c>
      <c r="BV4" s="207" t="str">
        <f>IFERROR(__xludf.DUMMYFUNCTION("IF(OR(BU4&gt;$BR4+$BS4*$BS$2,BU4&lt;$BR4-$BS4*$BS$2),AVEDEV(ARRAYFORMULA(XLOOKUP(FILTER(INDIRECT(""'""&amp;BU$1&amp;""'!$C$4:$C$66""),INDIRECT(""'""&amp;BU$1&amp;""'!$D$4:$D$66"")=BU$2),$F$3:$BP$3,$F4:$BP4))),"""")"),"")</f>
        <v/>
      </c>
      <c r="BW4" s="207">
        <f>IFERROR(__xludf.DUMMYFUNCTION("AVERAGE(ARRAYFORMULA(XLOOKUP(FILTER(INDIRECT(""'""&amp;BW$1&amp;""'!$C$4:$C$66""),INDIRECT(""'""&amp;BW$1&amp;""'!$D$4:$D$66"")=BW$2),$F$3:$BP$3,$F4:$BP4)))"),0.13174603499999998)</f>
        <v>0.131746035</v>
      </c>
      <c r="BX4" s="207" t="str">
        <f>IFERROR(__xludf.DUMMYFUNCTION("IF(OR(BW4&gt;$BR4+$BS4*$BS$2,BW4&lt;$BR4-$BS4*$BS$2),AVEDEV(ARRAYFORMULA(XLOOKUP(FILTER(INDIRECT(""'""&amp;BW$1&amp;""'!$C$4:$C$66""),INDIRECT(""'""&amp;BW$1&amp;""'!$D$4:$D$66"")=BW$2),$F$3:$BP$3,$F4:$BP4))),"""")"),"")</f>
        <v/>
      </c>
      <c r="BY4" s="207">
        <f>IFERROR(__xludf.DUMMYFUNCTION("AVERAGE(ARRAYFORMULA(XLOOKUP(FILTER(INDIRECT(""'""&amp;BY$1&amp;""'!$C$4:$C$66""),INDIRECT(""'""&amp;BY$1&amp;""'!$D$4:$D$66"")=BY$2),$F$3:$BP$3,$F4:$BP4)))"),0.14545454)</f>
        <v>0.14545454</v>
      </c>
      <c r="BZ4" s="207" t="str">
        <f>IFERROR(__xludf.DUMMYFUNCTION("IF(OR(BY4&gt;$BR4+$BS4*$BS$2,BY4&lt;$BR4-$BS4*$BS$2),AVEDEV(ARRAYFORMULA(XLOOKUP(FILTER(INDIRECT(""'""&amp;BY$1&amp;""'!$C$4:$C$66""),INDIRECT(""'""&amp;BY$1&amp;""'!$D$4:$D$66"")=BY$2),$F$3:$BP$3,$F4:$BP4))),"""")"),"")</f>
        <v/>
      </c>
      <c r="CA4" s="209"/>
      <c r="CB4" s="207">
        <f>IFERROR(__xludf.DUMMYFUNCTION("AVERAGE(ARRAYFORMULA(XLOOKUP(FILTER(INDIRECT(""'""&amp;CB$1&amp;""'!$C$4:$C$66""),INDIRECT(""'""&amp;CB$1&amp;""'!$D$4:$D$66"")=CB$2),$F$3:$BP$3,$F4:$BP4)))"),0.412500001875)</f>
        <v>0.4125000019</v>
      </c>
      <c r="CC4" s="207" t="str">
        <f>IFERROR(__xludf.DUMMYFUNCTION("IF(OR(CB4&gt;$BR4+$BS4*$BS$2,CB4&lt;$BR4-$BS4*$BS$2),AVEDEV(ARRAYFORMULA(XLOOKUP(FILTER(INDIRECT(""'""&amp;CB$1&amp;""'!$C$4:$C$66""),INDIRECT(""'""&amp;CB$1&amp;""'!$D$4:$D$66"")=CB$2),$F$3:$BP$3,$F4:$BP4))),"""")"),"")</f>
        <v/>
      </c>
      <c r="CD4" s="207">
        <f>IFERROR(__xludf.DUMMYFUNCTION("AVERAGE(ARRAYFORMULA(XLOOKUP(FILTER(INDIRECT(""'""&amp;CD$1&amp;""'!$C$4:$C$66""),INDIRECT(""'""&amp;CD$1&amp;""'!$D$4:$D$66"")=CD$2),$F$3:$BP$3,$F4:$BP4)))"),0.07741935741935484)</f>
        <v>0.07741935742</v>
      </c>
      <c r="CE4" s="207" t="str">
        <f>IFERROR(__xludf.DUMMYFUNCTION("IF(OR(CD4&gt;$BR4+$BS4*$BS$2,CD4&lt;$BR4-$BS4*$BS$2),AVEDEV(ARRAYFORMULA(XLOOKUP(FILTER(INDIRECT(""'""&amp;CD$1&amp;""'!$C$4:$C$66""),INDIRECT(""'""&amp;CD$1&amp;""'!$D$4:$D$66"")=CD$2),$F$3:$BP$3,$F4:$BP4))),"""")"),"")</f>
        <v/>
      </c>
      <c r="CF4" s="207">
        <f>IFERROR(__xludf.DUMMYFUNCTION("AVERAGE(ARRAYFORMULA(XLOOKUP(FILTER(INDIRECT(""'""&amp;CF$1&amp;""'!$C$4:$C$66""),INDIRECT(""'""&amp;CF$1&amp;""'!$D$4:$D$66"")=CF$2),$F$3:$BP$3,$F4:$BP4)))"),0.11999998600000002)</f>
        <v>0.119999986</v>
      </c>
      <c r="CG4" s="207" t="str">
        <f>IFERROR(__xludf.DUMMYFUNCTION("IF(OR(CF4&gt;$BR4+$BS4*$BS$2,CF4&lt;$BR4-$BS4*$BS$2),AVEDEV(ARRAYFORMULA(XLOOKUP(FILTER(INDIRECT(""'""&amp;CF$1&amp;""'!$C$4:$C$66""),INDIRECT(""'""&amp;CF$1&amp;""'!$D$4:$D$66"")=CF$2),$F$3:$BP$3,$F4:$BP4))),"""")"),"")</f>
        <v/>
      </c>
      <c r="CH4" s="206"/>
      <c r="CI4" s="251">
        <f>IFERROR(__xludf.DUMMYFUNCTION("AVERAGE(ARRAYFORMULA(XLOOKUP(FILTER(INDIRECT(""'""&amp;CI$1&amp;""'!$C$4:$C$66""),INDIRECT(""'""&amp;CI$1&amp;""'!$D$4:$D$66"")=CI$2),$F$3:$BP$3,$F4:$BP4)))"),0.16888888666666668)</f>
        <v>0.1688888867</v>
      </c>
      <c r="CJ4" s="207" t="str">
        <f>IFERROR(__xludf.DUMMYFUNCTION("IF(OR(CI4&gt;$BR4+$BS4*$BS$2,CI4&lt;$BR4-$BS4*$BS$2),AVEDEV(ARRAYFORMULA(XLOOKUP(FILTER(INDIRECT(""'""&amp;CI$1&amp;""'!$C$4:$C$66""),INDIRECT(""'""&amp;CI$1&amp;""'!$D$4:$D$66"")=CI$2),$F$3:$BP$3,$F4:$BP4))),"""")"),"")</f>
        <v/>
      </c>
      <c r="CK4" s="251">
        <f>IFERROR(__xludf.DUMMYFUNCTION("AVERAGE(ARRAYFORMULA(XLOOKUP(FILTER(INDIRECT(""'""&amp;CK$1&amp;""'!$C$4:$C$66""),INDIRECT(""'""&amp;CK$1&amp;""'!$D$4:$D$66"")=CK$2),$F$3:$BP$3,$F4:$BP4)))"),0.08888889435897436)</f>
        <v>0.08888889436</v>
      </c>
      <c r="CL4" s="207" t="str">
        <f>IFERROR(__xludf.DUMMYFUNCTION("IF(OR(CK4&gt;$BR4+$BS4*$BS$2,CK4&lt;$BR4-$BS4*$BS$2),AVEDEV(ARRAYFORMULA(XLOOKUP(FILTER(INDIRECT(""'""&amp;CK$1&amp;""'!$C$4:$C$66""),INDIRECT(""'""&amp;CK$1&amp;""'!$D$4:$D$66"")=CK$2),$F$3:$BP$3,$F4:$BP4))),"""")"),"")</f>
        <v/>
      </c>
      <c r="CM4" s="251">
        <f>IFERROR(__xludf.DUMMYFUNCTION("AVERAGE(ARRAYFORMULA(XLOOKUP(FILTER(INDIRECT(""'""&amp;CM$1&amp;""'!$C$4:$C$66""),INDIRECT(""'""&amp;CM$1&amp;""'!$D$4:$D$66"")=CM$2),$F$3:$BP$3,$F4:$BP4)))"),0.11999998600000002)</f>
        <v>0.119999986</v>
      </c>
      <c r="CN4" s="207" t="str">
        <f>IFERROR(__xludf.DUMMYFUNCTION("IF(OR(CM4&gt;$BR4+$BS4*$BS$2,CM4&lt;$BR4-$BS4*$BS$2),AVEDEV(ARRAYFORMULA(XLOOKUP(FILTER(INDIRECT(""'""&amp;CM$1&amp;""'!$C$4:$C$66""),INDIRECT(""'""&amp;CM$1&amp;""'!$D$4:$D$66"")=CM$2),$F$3:$BP$3,$F4:$BP4))),"""")"),"")</f>
        <v/>
      </c>
      <c r="CO4" s="252"/>
      <c r="CP4" s="251">
        <f>IFERROR(__xludf.DUMMYFUNCTION("AVERAGE(ARRAYFORMULA(XLOOKUP(FILTER(INDIRECT(""'""&amp;CP$1&amp;""'!$C$4:$C$66""),INDIRECT(""'""&amp;CP$1&amp;""'!$D$4:$D$66"")=CP$2),$F$3:$BP$3,$F4:$BP4)))"),0.3952381)</f>
        <v>0.3952381</v>
      </c>
      <c r="CQ4" s="207" t="str">
        <f>IFERROR(__xludf.DUMMYFUNCTION("IF(OR(CP4&gt;$BR4+$BS4*$BS$2,CP4&lt;$BR4-$BS4*$BS$2),AVEDEV(ARRAYFORMULA(XLOOKUP(FILTER(INDIRECT(""'""&amp;CP$1&amp;""'!$C$4:$C$66""),INDIRECT(""'""&amp;CP$1&amp;""'!$D$4:$D$66"")=CP$2),$F$3:$BP$3,$F4:$BP4))),"""")"),"")</f>
        <v/>
      </c>
      <c r="CR4" s="251">
        <f>IFERROR(__xludf.DUMMYFUNCTION("AVERAGE(ARRAYFORMULA(XLOOKUP(FILTER(INDIRECT(""'""&amp;CR$1&amp;""'!$C$4:$C$66""),INDIRECT(""'""&amp;CR$1&amp;""'!$D$4:$D$66"")=CR$2),$F$3:$BP$3,$F4:$BP4)))"),0.23703703)</f>
        <v>0.23703703</v>
      </c>
      <c r="CS4" s="207" t="str">
        <f>IFERROR(__xludf.DUMMYFUNCTION("IF(OR(CR4&gt;$BR4+$BS4*$BS$2,CR4&lt;$BR4-$BS4*$BS$2),AVEDEV(ARRAYFORMULA(XLOOKUP(FILTER(INDIRECT(""'""&amp;CR$1&amp;""'!$C$4:$C$66""),INDIRECT(""'""&amp;CR$1&amp;""'!$D$4:$D$66"")=CR$2),$F$3:$BP$3,$F4:$BP4))),"""")"),"")</f>
        <v/>
      </c>
      <c r="CT4" s="251">
        <f>IFERROR(__xludf.DUMMYFUNCTION("AVERAGE(ARRAYFORMULA(XLOOKUP(FILTER(INDIRECT(""'""&amp;CT$1&amp;""'!$C$4:$C$66""),INDIRECT(""'""&amp;CT$1&amp;""'!$D$4:$D$66"")=CT$2),$F$3:$BP$3,$F4:$BP4)))"),0.24242424000000004)</f>
        <v>0.24242424</v>
      </c>
      <c r="CU4" s="207" t="str">
        <f>IFERROR(__xludf.DUMMYFUNCTION("IF(OR(CT4&gt;$BR4+$BS4*$BS$2,CT4&lt;$BR4-$BS4*$BS$2),AVEDEV(ARRAYFORMULA(XLOOKUP(FILTER(INDIRECT(""'""&amp;CT$1&amp;""'!$C$4:$C$66""),INDIRECT(""'""&amp;CT$1&amp;""'!$D$4:$D$66"")=CT$2),$F$3:$BP$3,$F4:$BP4))),"""")"),"")</f>
        <v/>
      </c>
      <c r="CV4" s="251">
        <f>IFERROR(__xludf.DUMMYFUNCTION("AVERAGE(ARRAYFORMULA(XLOOKUP(FILTER(INDIRECT(""'""&amp;CV$1&amp;""'!$C$4:$C$66""),INDIRECT(""'""&amp;CV$1&amp;""'!$D$4:$D$66"")=CV$2),$F$3:$BP$3,$F4:$BP4)))"),-0.5)</f>
        <v>-0.5</v>
      </c>
      <c r="CW4" s="207">
        <f>IFERROR(__xludf.DUMMYFUNCTION("IF(OR(CV4&gt;$BR4+$BS4*$BS$2,CV4&lt;$BR4-$BS4*$BS$2),AVEDEV(ARRAYFORMULA(XLOOKUP(FILTER(INDIRECT(""'""&amp;CV$1&amp;""'!$C$4:$C$66""),INDIRECT(""'""&amp;CV$1&amp;""'!$D$4:$D$66"")=CV$2),$F$3:$BP$3,$F4:$BP4))),"""")"),0.03333330000000001)</f>
        <v>0.0333333</v>
      </c>
      <c r="CX4" s="251">
        <f>IFERROR(__xludf.DUMMYFUNCTION("AVERAGE(ARRAYFORMULA(XLOOKUP(FILTER(INDIRECT(""'""&amp;CX$1&amp;""'!$C$4:$C$66""),INDIRECT(""'""&amp;CX$1&amp;""'!$D$4:$D$66"")=CX$2),$F$3:$BP$3,$F4:$BP4)))"),-0.19047618285714282)</f>
        <v>-0.1904761829</v>
      </c>
      <c r="CY4" s="207" t="str">
        <f>IFERROR(__xludf.DUMMYFUNCTION("IF(OR(CX4&gt;$BR4+$BS4*$BS$2,CX4&lt;$BR4-$BS4*$BS$2),AVEDEV(ARRAYFORMULA(XLOOKUP(FILTER(INDIRECT(""'""&amp;CX$1&amp;""'!$C$4:$C$66""),INDIRECT(""'""&amp;CX$1&amp;""'!$D$4:$D$66"")=CX$2),$F$3:$BP$3,$F4:$BP4))),"""")"),"")</f>
        <v/>
      </c>
      <c r="CZ4" s="252"/>
      <c r="DA4" s="251">
        <f>IFERROR(__xludf.DUMMYFUNCTION("AVERAGE(ARRAYFORMULA(XLOOKUP(FILTER(INDIRECT(""'""&amp;DA$1&amp;""'!$C$4:$C$66""),INDIRECT(""'""&amp;DA$1&amp;""'!$D$4:$D$66"")=DA$2),$F$3:$BP$3,$F4:$BP4)))"),0.32444444899999997)</f>
        <v>0.324444449</v>
      </c>
      <c r="DB4" s="207" t="str">
        <f>IFERROR(__xludf.DUMMYFUNCTION("IF(OR(DA4&gt;$BR4+$BS4*$BS$2,DA4&lt;$BR4-$BS4*$BS$2),AVEDEV(ARRAYFORMULA(XLOOKUP(FILTER(INDIRECT(""'""&amp;DA$1&amp;""'!$C$4:$C$66""),INDIRECT(""'""&amp;DA$1&amp;""'!$D$4:$D$66"")=DA$2),$F$3:$BP$3,$F4:$BP4))),"""")"),"")</f>
        <v/>
      </c>
      <c r="DC4" s="251">
        <f>IFERROR(__xludf.DUMMYFUNCTION("AVERAGE(ARRAYFORMULA(XLOOKUP(FILTER(INDIRECT(""'""&amp;DC$1&amp;""'!$C$4:$C$66""),INDIRECT(""'""&amp;DC$1&amp;""'!$D$4:$D$66"")=DC$2),$F$3:$BP$3,$F4:$BP4)))"),-0.029629633333333325)</f>
        <v>-0.02962963333</v>
      </c>
      <c r="DD4" s="207" t="str">
        <f>IFERROR(__xludf.DUMMYFUNCTION("IF(OR(DC4&gt;$BR4+$BS4*$BS$2,DC4&lt;$BR4-$BS4*$BS$2),AVEDEV(ARRAYFORMULA(XLOOKUP(FILTER(INDIRECT(""'""&amp;DC$1&amp;""'!$C$4:$C$66""),INDIRECT(""'""&amp;DC$1&amp;""'!$D$4:$D$66"")=DC$2),$F$3:$BP$3,$F4:$BP4))),"""")"),"")</f>
        <v/>
      </c>
      <c r="DE4" s="251">
        <f>IFERROR(__xludf.DUMMYFUNCTION("AVERAGE(ARRAYFORMULA(XLOOKUP(FILTER(INDIRECT(""'""&amp;DE$1&amp;""'!$C$4:$C$66""),INDIRECT(""'""&amp;DE$1&amp;""'!$D$4:$D$66"")=DE$2),$F$3:$BP$3,$F4:$BP4)))"),-0.21666666625000003)</f>
        <v>-0.2166666663</v>
      </c>
      <c r="DF4" s="207" t="str">
        <f>IFERROR(__xludf.DUMMYFUNCTION("IF(OR(DE4&gt;$BR4+$BS4*$BS$2,DE4&lt;$BR4-$BS4*$BS$2),AVEDEV(ARRAYFORMULA(XLOOKUP(FILTER(INDIRECT(""'""&amp;DE$1&amp;""'!$C$4:$C$66""),INDIRECT(""'""&amp;DE$1&amp;""'!$D$4:$D$66"")=DE$2),$F$3:$BP$3,$F4:$BP4))),"""")"),"")</f>
        <v/>
      </c>
      <c r="DG4" s="251">
        <f>IFERROR(__xludf.DUMMYFUNCTION("AVERAGE(ARRAYFORMULA(XLOOKUP(FILTER(INDIRECT(""'""&amp;DG$1&amp;""'!$C$4:$C$66""),INDIRECT(""'""&amp;DG$1&amp;""'!$D$4:$D$66"")=DG$2),$F$3:$BP$3,$F4:$BP4)))"),-0.03703704444444443)</f>
        <v>-0.03703704444</v>
      </c>
      <c r="DH4" s="207" t="str">
        <f>IFERROR(__xludf.DUMMYFUNCTION("IF(OR(DG4&gt;$BR4+$BS4*$BS$2,DG4&lt;$BR4-$BS4*$BS$2),AVEDEV(ARRAYFORMULA(XLOOKUP(FILTER(INDIRECT(""'""&amp;DG$1&amp;""'!$C$4:$C$66""),INDIRECT(""'""&amp;DG$1&amp;""'!$D$4:$D$66"")=DG$2),$F$3:$BP$3,$F4:$BP4))),"""")"),"")</f>
        <v/>
      </c>
      <c r="DI4" s="252"/>
    </row>
    <row r="5">
      <c r="A5" s="2"/>
      <c r="B5" s="204" t="s">
        <v>442</v>
      </c>
      <c r="C5" s="204" t="s">
        <v>445</v>
      </c>
      <c r="D5" s="205" t="b">
        <f>VLOOKUP(C5,'Feature Set List'!A2:C246,2,0)</f>
        <v>1</v>
      </c>
      <c r="E5" s="205" t="b">
        <f>VLOOKUP(C5,'Feature Set List'!A2:C246,3,0)</f>
        <v>1</v>
      </c>
      <c r="F5" s="205">
        <v>0.0</v>
      </c>
      <c r="G5" s="205">
        <v>0.0</v>
      </c>
      <c r="H5" s="205">
        <v>0.0</v>
      </c>
      <c r="I5" s="205">
        <v>0.0</v>
      </c>
      <c r="J5" s="205">
        <v>0.0</v>
      </c>
      <c r="K5" s="205">
        <v>0.0</v>
      </c>
      <c r="L5" s="205">
        <v>0.0</v>
      </c>
      <c r="M5" s="205">
        <v>0.0</v>
      </c>
      <c r="N5" s="205">
        <v>0.0</v>
      </c>
      <c r="O5" s="205">
        <v>0.0</v>
      </c>
      <c r="P5" s="205">
        <v>0.0</v>
      </c>
      <c r="Q5" s="205">
        <v>0.0</v>
      </c>
      <c r="R5" s="205">
        <v>0.0</v>
      </c>
      <c r="S5" s="205">
        <v>0.0</v>
      </c>
      <c r="T5" s="205">
        <v>-1.0</v>
      </c>
      <c r="U5" s="205">
        <v>0.0</v>
      </c>
      <c r="V5" s="205">
        <v>0.0</v>
      </c>
      <c r="W5" s="205">
        <v>-2.0</v>
      </c>
      <c r="X5" s="205">
        <v>0.0</v>
      </c>
      <c r="Y5" s="205">
        <v>0.0</v>
      </c>
      <c r="Z5" s="205">
        <v>0.0</v>
      </c>
      <c r="AA5" s="205">
        <v>-3.0</v>
      </c>
      <c r="AB5" s="205">
        <v>0.0</v>
      </c>
      <c r="AC5" s="205">
        <v>-2.0</v>
      </c>
      <c r="AD5" s="205">
        <v>0.0</v>
      </c>
      <c r="AE5" s="205">
        <v>0.0</v>
      </c>
      <c r="AF5" s="205">
        <v>0.0</v>
      </c>
      <c r="AG5" s="205">
        <v>0.0</v>
      </c>
      <c r="AH5" s="205">
        <v>0.0</v>
      </c>
      <c r="AI5" s="205">
        <v>-2.0</v>
      </c>
      <c r="AJ5" s="205">
        <v>0.0</v>
      </c>
      <c r="AK5" s="205">
        <v>0.0</v>
      </c>
      <c r="AL5" s="205">
        <v>0.0</v>
      </c>
      <c r="AM5" s="205">
        <v>-2.0</v>
      </c>
      <c r="AN5" s="205">
        <v>0.0</v>
      </c>
      <c r="AO5" s="205">
        <v>-3.0</v>
      </c>
      <c r="AP5" s="205">
        <v>0.0</v>
      </c>
      <c r="AQ5" s="205">
        <v>-2.0</v>
      </c>
      <c r="AR5" s="205">
        <v>0.0</v>
      </c>
      <c r="AS5" s="205">
        <v>0.0</v>
      </c>
      <c r="AT5" s="205">
        <v>-1.0</v>
      </c>
      <c r="AU5" s="205">
        <v>-2.0</v>
      </c>
      <c r="AV5" s="205">
        <v>-2.0</v>
      </c>
      <c r="AW5" s="205">
        <v>-1.0</v>
      </c>
      <c r="AX5" s="205">
        <v>-1.0</v>
      </c>
      <c r="AY5" s="205">
        <v>0.0</v>
      </c>
      <c r="AZ5" s="205">
        <v>0.0</v>
      </c>
      <c r="BA5" s="205">
        <v>0.0</v>
      </c>
      <c r="BB5" s="205">
        <v>0.0</v>
      </c>
      <c r="BC5" s="205">
        <v>0.0</v>
      </c>
      <c r="BD5" s="205">
        <v>0.0</v>
      </c>
      <c r="BE5" s="205">
        <v>0.0</v>
      </c>
      <c r="BF5" s="205">
        <v>0.0</v>
      </c>
      <c r="BG5" s="205">
        <v>-1.0</v>
      </c>
      <c r="BH5" s="205">
        <v>-1.0</v>
      </c>
      <c r="BI5" s="205">
        <v>-3.0</v>
      </c>
      <c r="BJ5" s="205">
        <v>0.0</v>
      </c>
      <c r="BK5" s="205">
        <v>-4.0</v>
      </c>
      <c r="BL5" s="205">
        <v>-1.0</v>
      </c>
      <c r="BM5" s="205">
        <v>0.0</v>
      </c>
      <c r="BN5" s="205">
        <v>0.0</v>
      </c>
      <c r="BO5" s="205">
        <v>-1.0</v>
      </c>
      <c r="BP5" s="205">
        <v>0.0</v>
      </c>
      <c r="BQ5" s="206"/>
      <c r="BR5" s="250">
        <f t="shared" si="1"/>
        <v>-0.5555555556</v>
      </c>
      <c r="BS5" s="250">
        <f t="shared" si="2"/>
        <v>0.7760141093</v>
      </c>
      <c r="BT5" s="206"/>
      <c r="BU5" s="207">
        <f>IFERROR(__xludf.DUMMYFUNCTION("AVERAGE(ARRAYFORMULA(XLOOKUP(FILTER(INDIRECT(""'""&amp;BU$1&amp;""'!$C$4:$C$66""),INDIRECT(""'""&amp;BU$1&amp;""'!$D$4:$D$66"")=BU$2),$F$3:$BP$3,$F5:$BP5)))"),-1.1428571428571428)</f>
        <v>-1.142857143</v>
      </c>
      <c r="BV5" s="207" t="str">
        <f>IFERROR(__xludf.DUMMYFUNCTION("IF(OR(BU5&gt;$BR5+$BS5*$BS$2,BU5&lt;$BR5-$BS5*$BS$2),AVEDEV(ARRAYFORMULA(XLOOKUP(FILTER(INDIRECT(""'""&amp;BU$1&amp;""'!$C$4:$C$66""),INDIRECT(""'""&amp;BU$1&amp;""'!$D$4:$D$66"")=BU$2),$F$3:$BP$3,$F5:$BP5))),"""")"),"")</f>
        <v/>
      </c>
      <c r="BW5" s="207">
        <f>IFERROR(__xludf.DUMMYFUNCTION("AVERAGE(ARRAYFORMULA(XLOOKUP(FILTER(INDIRECT(""'""&amp;BW$1&amp;""'!$C$4:$C$66""),INDIRECT(""'""&amp;BW$1&amp;""'!$D$4:$D$66"")=BW$2),$F$3:$BP$3,$F5:$BP5)))"),-0.5952380952380952)</f>
        <v>-0.5952380952</v>
      </c>
      <c r="BX5" s="207" t="str">
        <f>IFERROR(__xludf.DUMMYFUNCTION("IF(OR(BW5&gt;$BR5+$BS5*$BS$2,BW5&lt;$BR5-$BS5*$BS$2),AVEDEV(ARRAYFORMULA(XLOOKUP(FILTER(INDIRECT(""'""&amp;BW$1&amp;""'!$C$4:$C$66""),INDIRECT(""'""&amp;BW$1&amp;""'!$D$4:$D$66"")=BW$2),$F$3:$BP$3,$F5:$BP5))),"""")"),"")</f>
        <v/>
      </c>
      <c r="BY5" s="207">
        <f>IFERROR(__xludf.DUMMYFUNCTION("AVERAGE(ARRAYFORMULA(XLOOKUP(FILTER(INDIRECT(""'""&amp;BY$1&amp;""'!$C$4:$C$66""),INDIRECT(""'""&amp;BY$1&amp;""'!$D$4:$D$66"")=BY$2),$F$3:$BP$3,$F5:$BP5)))"),-0.09090909090909091)</f>
        <v>-0.09090909091</v>
      </c>
      <c r="BZ5" s="207" t="str">
        <f>IFERROR(__xludf.DUMMYFUNCTION("IF(OR(BY5&gt;$BR5+$BS5*$BS$2,BY5&lt;$BR5-$BS5*$BS$2),AVEDEV(ARRAYFORMULA(XLOOKUP(FILTER(INDIRECT(""'""&amp;BY$1&amp;""'!$C$4:$C$66""),INDIRECT(""'""&amp;BY$1&amp;""'!$D$4:$D$66"")=BY$2),$F$3:$BP$3,$F5:$BP5))),"""")"),"")</f>
        <v/>
      </c>
      <c r="CA5" s="209"/>
      <c r="CB5" s="207">
        <f>IFERROR(__xludf.DUMMYFUNCTION("AVERAGE(ARRAYFORMULA(XLOOKUP(FILTER(INDIRECT(""'""&amp;CB$1&amp;""'!$C$4:$C$66""),INDIRECT(""'""&amp;CB$1&amp;""'!$D$4:$D$66"")=CB$2),$F$3:$BP$3,$F5:$BP5)))"),-0.375)</f>
        <v>-0.375</v>
      </c>
      <c r="CC5" s="207" t="str">
        <f>IFERROR(__xludf.DUMMYFUNCTION("IF(OR(CB5&gt;$BR5+$BS5*$BS$2,CB5&lt;$BR5-$BS5*$BS$2),AVEDEV(ARRAYFORMULA(XLOOKUP(FILTER(INDIRECT(""'""&amp;CB$1&amp;""'!$C$4:$C$66""),INDIRECT(""'""&amp;CB$1&amp;""'!$D$4:$D$66"")=CB$2),$F$3:$BP$3,$F5:$BP5))),"""")"),"")</f>
        <v/>
      </c>
      <c r="CD5" s="207">
        <f>IFERROR(__xludf.DUMMYFUNCTION("AVERAGE(ARRAYFORMULA(XLOOKUP(FILTER(INDIRECT(""'""&amp;CD$1&amp;""'!$C$4:$C$66""),INDIRECT(""'""&amp;CD$1&amp;""'!$D$4:$D$66"")=CD$2),$F$3:$BP$3,$F5:$BP5)))"),-0.5806451612903226)</f>
        <v>-0.5806451613</v>
      </c>
      <c r="CE5" s="207" t="str">
        <f>IFERROR(__xludf.DUMMYFUNCTION("IF(OR(CD5&gt;$BR5+$BS5*$BS$2,CD5&lt;$BR5-$BS5*$BS$2),AVEDEV(ARRAYFORMULA(XLOOKUP(FILTER(INDIRECT(""'""&amp;CD$1&amp;""'!$C$4:$C$66""),INDIRECT(""'""&amp;CD$1&amp;""'!$D$4:$D$66"")=CD$2),$F$3:$BP$3,$F5:$BP5))),"""")"),"")</f>
        <v/>
      </c>
      <c r="CF5" s="207">
        <f>IFERROR(__xludf.DUMMYFUNCTION("AVERAGE(ARRAYFORMULA(XLOOKUP(FILTER(INDIRECT(""'""&amp;CF$1&amp;""'!$C$4:$C$66""),INDIRECT(""'""&amp;CF$1&amp;""'!$D$4:$D$66"")=CF$2),$F$3:$BP$3,$F5:$BP5)))"),0.0)</f>
        <v>0</v>
      </c>
      <c r="CG5" s="207" t="str">
        <f>IFERROR(__xludf.DUMMYFUNCTION("IF(OR(CF5&gt;$BR5+$BS5*$BS$2,CF5&lt;$BR5-$BS5*$BS$2),AVEDEV(ARRAYFORMULA(XLOOKUP(FILTER(INDIRECT(""'""&amp;CF$1&amp;""'!$C$4:$C$66""),INDIRECT(""'""&amp;CF$1&amp;""'!$D$4:$D$66"")=CF$2),$F$3:$BP$3,$F5:$BP5))),"""")"),"")</f>
        <v/>
      </c>
      <c r="CH5" s="206"/>
      <c r="CI5" s="251">
        <f>IFERROR(__xludf.DUMMYFUNCTION("AVERAGE(ARRAYFORMULA(XLOOKUP(FILTER(INDIRECT(""'""&amp;CI$1&amp;""'!$C$4:$C$66""),INDIRECT(""'""&amp;CI$1&amp;""'!$D$4:$D$66"")=CI$2),$F$3:$BP$3,$F5:$BP5)))"),-0.4666666666666667)</f>
        <v>-0.4666666667</v>
      </c>
      <c r="CJ5" s="207" t="str">
        <f>IFERROR(__xludf.DUMMYFUNCTION("IF(OR(CI5&gt;$BR5+$BS5*$BS$2,CI5&lt;$BR5-$BS5*$BS$2),AVEDEV(ARRAYFORMULA(XLOOKUP(FILTER(INDIRECT(""'""&amp;CI$1&amp;""'!$C$4:$C$66""),INDIRECT(""'""&amp;CI$1&amp;""'!$D$4:$D$66"")=CI$2),$F$3:$BP$3,$F5:$BP5))),"""")"),"")</f>
        <v/>
      </c>
      <c r="CK5" s="251">
        <f>IFERROR(__xludf.DUMMYFUNCTION("AVERAGE(ARRAYFORMULA(XLOOKUP(FILTER(INDIRECT(""'""&amp;CK$1&amp;""'!$C$4:$C$66""),INDIRECT(""'""&amp;CK$1&amp;""'!$D$4:$D$66"")=CK$2),$F$3:$BP$3,$F5:$BP5)))"),-0.5897435897435898)</f>
        <v>-0.5897435897</v>
      </c>
      <c r="CL5" s="207" t="str">
        <f>IFERROR(__xludf.DUMMYFUNCTION("IF(OR(CK5&gt;$BR5+$BS5*$BS$2,CK5&lt;$BR5-$BS5*$BS$2),AVEDEV(ARRAYFORMULA(XLOOKUP(FILTER(INDIRECT(""'""&amp;CK$1&amp;""'!$C$4:$C$66""),INDIRECT(""'""&amp;CK$1&amp;""'!$D$4:$D$66"")=CK$2),$F$3:$BP$3,$F5:$BP5))),"""")"),"")</f>
        <v/>
      </c>
      <c r="CM5" s="251">
        <f>IFERROR(__xludf.DUMMYFUNCTION("AVERAGE(ARRAYFORMULA(XLOOKUP(FILTER(INDIRECT(""'""&amp;CM$1&amp;""'!$C$4:$C$66""),INDIRECT(""'""&amp;CM$1&amp;""'!$D$4:$D$66"")=CM$2),$F$3:$BP$3,$F5:$BP5)))"),0.0)</f>
        <v>0</v>
      </c>
      <c r="CN5" s="207" t="str">
        <f>IFERROR(__xludf.DUMMYFUNCTION("IF(OR(CM5&gt;$BR5+$BS5*$BS$2,CM5&lt;$BR5-$BS5*$BS$2),AVEDEV(ARRAYFORMULA(XLOOKUP(FILTER(INDIRECT(""'""&amp;CM$1&amp;""'!$C$4:$C$66""),INDIRECT(""'""&amp;CM$1&amp;""'!$D$4:$D$66"")=CM$2),$F$3:$BP$3,$F5:$BP5))),"""")"),"")</f>
        <v/>
      </c>
      <c r="CO5" s="252"/>
      <c r="CP5" s="251">
        <f>IFERROR(__xludf.DUMMYFUNCTION("AVERAGE(ARRAYFORMULA(XLOOKUP(FILTER(INDIRECT(""'""&amp;CP$1&amp;""'!$C$4:$C$66""),INDIRECT(""'""&amp;CP$1&amp;""'!$D$4:$D$66"")=CP$2),$F$3:$BP$3,$F5:$BP5)))"),-0.35714285714285715)</f>
        <v>-0.3571428571</v>
      </c>
      <c r="CQ5" s="207" t="str">
        <f>IFERROR(__xludf.DUMMYFUNCTION("IF(OR(CP5&gt;$BR5+$BS5*$BS$2,CP5&lt;$BR5-$BS5*$BS$2),AVEDEV(ARRAYFORMULA(XLOOKUP(FILTER(INDIRECT(""'""&amp;CP$1&amp;""'!$C$4:$C$66""),INDIRECT(""'""&amp;CP$1&amp;""'!$D$4:$D$66"")=CP$2),$F$3:$BP$3,$F5:$BP5))),"""")"),"")</f>
        <v/>
      </c>
      <c r="CR5" s="251">
        <f>IFERROR(__xludf.DUMMYFUNCTION("AVERAGE(ARRAYFORMULA(XLOOKUP(FILTER(INDIRECT(""'""&amp;CR$1&amp;""'!$C$4:$C$66""),INDIRECT(""'""&amp;CR$1&amp;""'!$D$4:$D$66"")=CR$2),$F$3:$BP$3,$F5:$BP5)))"),0.0)</f>
        <v>0</v>
      </c>
      <c r="CS5" s="207" t="str">
        <f>IFERROR(__xludf.DUMMYFUNCTION("IF(OR(CR5&gt;$BR5+$BS5*$BS$2,CR5&lt;$BR5-$BS5*$BS$2),AVEDEV(ARRAYFORMULA(XLOOKUP(FILTER(INDIRECT(""'""&amp;CR$1&amp;""'!$C$4:$C$66""),INDIRECT(""'""&amp;CR$1&amp;""'!$D$4:$D$66"")=CR$2),$F$3:$BP$3,$F5:$BP5))),"""")"),"")</f>
        <v/>
      </c>
      <c r="CT5" s="251">
        <f>IFERROR(__xludf.DUMMYFUNCTION("AVERAGE(ARRAYFORMULA(XLOOKUP(FILTER(INDIRECT(""'""&amp;CT$1&amp;""'!$C$4:$C$66""),INDIRECT(""'""&amp;CT$1&amp;""'!$D$4:$D$66"")=CT$2),$F$3:$BP$3,$F5:$BP5)))"),-0.45454545454545453)</f>
        <v>-0.4545454545</v>
      </c>
      <c r="CU5" s="207" t="str">
        <f>IFERROR(__xludf.DUMMYFUNCTION("IF(OR(CT5&gt;$BR5+$BS5*$BS$2,CT5&lt;$BR5-$BS5*$BS$2),AVEDEV(ARRAYFORMULA(XLOOKUP(FILTER(INDIRECT(""'""&amp;CT$1&amp;""'!$C$4:$C$66""),INDIRECT(""'""&amp;CT$1&amp;""'!$D$4:$D$66"")=CT$2),$F$3:$BP$3,$F5:$BP5))),"""")"),"")</f>
        <v/>
      </c>
      <c r="CV5" s="251">
        <f>IFERROR(__xludf.DUMMYFUNCTION("AVERAGE(ARRAYFORMULA(XLOOKUP(FILTER(INDIRECT(""'""&amp;CV$1&amp;""'!$C$4:$C$66""),INDIRECT(""'""&amp;CV$1&amp;""'!$D$4:$D$66"")=CV$2),$F$3:$BP$3,$F5:$BP5)))"),-1.5)</f>
        <v>-1.5</v>
      </c>
      <c r="CW5" s="207">
        <f>IFERROR(__xludf.DUMMYFUNCTION("IF(OR(CV5&gt;$BR5+$BS5*$BS$2,CV5&lt;$BR5-$BS5*$BS$2),AVEDEV(ARRAYFORMULA(XLOOKUP(FILTER(INDIRECT(""'""&amp;CV$1&amp;""'!$C$4:$C$66""),INDIRECT(""'""&amp;CV$1&amp;""'!$D$4:$D$66"")=CV$2),$F$3:$BP$3,$F5:$BP5))),"""")"),0.5)</f>
        <v>0.5</v>
      </c>
      <c r="CX5" s="251">
        <f>IFERROR(__xludf.DUMMYFUNCTION("AVERAGE(ARRAYFORMULA(XLOOKUP(FILTER(INDIRECT(""'""&amp;CX$1&amp;""'!$C$4:$C$66""),INDIRECT(""'""&amp;CX$1&amp;""'!$D$4:$D$66"")=CX$2),$F$3:$BP$3,$F5:$BP5)))"),-0.8571428571428571)</f>
        <v>-0.8571428571</v>
      </c>
      <c r="CY5" s="207" t="str">
        <f>IFERROR(__xludf.DUMMYFUNCTION("IF(OR(CX5&gt;$BR5+$BS5*$BS$2,CX5&lt;$BR5-$BS5*$BS$2),AVEDEV(ARRAYFORMULA(XLOOKUP(FILTER(INDIRECT(""'""&amp;CX$1&amp;""'!$C$4:$C$66""),INDIRECT(""'""&amp;CX$1&amp;""'!$D$4:$D$66"")=CX$2),$F$3:$BP$3,$F5:$BP5))),"""")"),"")</f>
        <v/>
      </c>
      <c r="CZ5" s="252"/>
      <c r="DA5" s="251">
        <f>IFERROR(__xludf.DUMMYFUNCTION("AVERAGE(ARRAYFORMULA(XLOOKUP(FILTER(INDIRECT(""'""&amp;DA$1&amp;""'!$C$4:$C$66""),INDIRECT(""'""&amp;DA$1&amp;""'!$D$4:$D$66"")=DA$2),$F$3:$BP$3,$F5:$BP5)))"),-0.4666666666666667)</f>
        <v>-0.4666666667</v>
      </c>
      <c r="DB5" s="207" t="str">
        <f>IFERROR(__xludf.DUMMYFUNCTION("IF(OR(DA5&gt;$BR5+$BS5*$BS$2,DA5&lt;$BR5-$BS5*$BS$2),AVEDEV(ARRAYFORMULA(XLOOKUP(FILTER(INDIRECT(""'""&amp;DA$1&amp;""'!$C$4:$C$66""),INDIRECT(""'""&amp;DA$1&amp;""'!$D$4:$D$66"")=DA$2),$F$3:$BP$3,$F5:$BP5))),"""")"),"")</f>
        <v/>
      </c>
      <c r="DC5" s="251">
        <f>IFERROR(__xludf.DUMMYFUNCTION("AVERAGE(ARRAYFORMULA(XLOOKUP(FILTER(INDIRECT(""'""&amp;DC$1&amp;""'!$C$4:$C$66""),INDIRECT(""'""&amp;DC$1&amp;""'!$D$4:$D$66"")=DC$2),$F$3:$BP$3,$F5:$BP5)))"),-0.3333333333333333)</f>
        <v>-0.3333333333</v>
      </c>
      <c r="DD5" s="207" t="str">
        <f>IFERROR(__xludf.DUMMYFUNCTION("IF(OR(DC5&gt;$BR5+$BS5*$BS$2,DC5&lt;$BR5-$BS5*$BS$2),AVEDEV(ARRAYFORMULA(XLOOKUP(FILTER(INDIRECT(""'""&amp;DC$1&amp;""'!$C$4:$C$66""),INDIRECT(""'""&amp;DC$1&amp;""'!$D$4:$D$66"")=DC$2),$F$3:$BP$3,$F5:$BP5))),"""")"),"")</f>
        <v/>
      </c>
      <c r="DE5" s="251">
        <f>IFERROR(__xludf.DUMMYFUNCTION("AVERAGE(ARRAYFORMULA(XLOOKUP(FILTER(INDIRECT(""'""&amp;DE$1&amp;""'!$C$4:$C$66""),INDIRECT(""'""&amp;DE$1&amp;""'!$D$4:$D$66"")=DE$2),$F$3:$BP$3,$F5:$BP5)))"),-0.5)</f>
        <v>-0.5</v>
      </c>
      <c r="DF5" s="207" t="str">
        <f>IFERROR(__xludf.DUMMYFUNCTION("IF(OR(DE5&gt;$BR5+$BS5*$BS$2,DE5&lt;$BR5-$BS5*$BS$2),AVEDEV(ARRAYFORMULA(XLOOKUP(FILTER(INDIRECT(""'""&amp;DE$1&amp;""'!$C$4:$C$66""),INDIRECT(""'""&amp;DE$1&amp;""'!$D$4:$D$66"")=DE$2),$F$3:$BP$3,$F5:$BP5))),"""")"),"")</f>
        <v/>
      </c>
      <c r="DG5" s="251">
        <f>IFERROR(__xludf.DUMMYFUNCTION("AVERAGE(ARRAYFORMULA(XLOOKUP(FILTER(INDIRECT(""'""&amp;DG$1&amp;""'!$C$4:$C$66""),INDIRECT(""'""&amp;DG$1&amp;""'!$D$4:$D$66"")=DG$2),$F$3:$BP$3,$F5:$BP5)))"),-0.5555555555555556)</f>
        <v>-0.5555555556</v>
      </c>
      <c r="DH5" s="207" t="str">
        <f>IFERROR(__xludf.DUMMYFUNCTION("IF(OR(DG5&gt;$BR5+$BS5*$BS$2,DG5&lt;$BR5-$BS5*$BS$2),AVEDEV(ARRAYFORMULA(XLOOKUP(FILTER(INDIRECT(""'""&amp;DG$1&amp;""'!$C$4:$C$66""),INDIRECT(""'""&amp;DG$1&amp;""'!$D$4:$D$66"")=DG$2),$F$3:$BP$3,$F5:$BP5))),"""")"),"")</f>
        <v/>
      </c>
      <c r="DI5" s="252"/>
    </row>
    <row r="6">
      <c r="A6" s="2"/>
      <c r="B6" s="204" t="s">
        <v>442</v>
      </c>
      <c r="C6" s="204" t="s">
        <v>446</v>
      </c>
      <c r="D6" s="205" t="b">
        <f>VLOOKUP(C6,'Feature Set List'!A3:C246,2,0)</f>
        <v>1</v>
      </c>
      <c r="E6" s="205" t="b">
        <f>VLOOKUP(C6,'Feature Set List'!A3:C246,3,0)</f>
        <v>1</v>
      </c>
      <c r="F6" s="205">
        <v>0.0</v>
      </c>
      <c r="G6" s="205">
        <v>-0.5</v>
      </c>
      <c r="H6" s="205">
        <v>0.5</v>
      </c>
      <c r="I6" s="205">
        <v>-0.5</v>
      </c>
      <c r="J6" s="205">
        <v>1.0</v>
      </c>
      <c r="K6" s="205">
        <v>-0.5</v>
      </c>
      <c r="L6" s="205">
        <v>1.0</v>
      </c>
      <c r="M6" s="205">
        <v>-0.5</v>
      </c>
      <c r="N6" s="205">
        <v>1.5</v>
      </c>
      <c r="O6" s="205">
        <v>-0.5</v>
      </c>
      <c r="P6" s="205">
        <v>0.0</v>
      </c>
      <c r="Q6" s="205">
        <v>0.5</v>
      </c>
      <c r="R6" s="205">
        <v>-0.5</v>
      </c>
      <c r="S6" s="205">
        <v>-0.5</v>
      </c>
      <c r="T6" s="205">
        <v>0.5</v>
      </c>
      <c r="U6" s="205">
        <v>0.0</v>
      </c>
      <c r="V6" s="205">
        <v>0.5</v>
      </c>
      <c r="W6" s="205">
        <v>1.5</v>
      </c>
      <c r="X6" s="205">
        <v>0.0</v>
      </c>
      <c r="Y6" s="205">
        <v>1.0</v>
      </c>
      <c r="Z6" s="205">
        <v>0.0</v>
      </c>
      <c r="AA6" s="205">
        <v>1.0</v>
      </c>
      <c r="AB6" s="205">
        <v>-0.5</v>
      </c>
      <c r="AC6" s="205">
        <v>0.0</v>
      </c>
      <c r="AD6" s="205">
        <v>-0.5</v>
      </c>
      <c r="AE6" s="205">
        <v>0.0</v>
      </c>
      <c r="AF6" s="205">
        <v>-0.5</v>
      </c>
      <c r="AG6" s="205">
        <v>0.5</v>
      </c>
      <c r="AH6" s="205">
        <v>-0.5</v>
      </c>
      <c r="AI6" s="205">
        <v>-0.5</v>
      </c>
      <c r="AJ6" s="205">
        <v>0.5</v>
      </c>
      <c r="AK6" s="205">
        <v>-0.5</v>
      </c>
      <c r="AL6" s="205">
        <v>-0.5</v>
      </c>
      <c r="AM6" s="205">
        <v>0.0</v>
      </c>
      <c r="AN6" s="205">
        <v>0.0</v>
      </c>
      <c r="AO6" s="205">
        <v>1.5</v>
      </c>
      <c r="AP6" s="205">
        <v>-0.5</v>
      </c>
      <c r="AQ6" s="205">
        <v>0.0</v>
      </c>
      <c r="AR6" s="205">
        <v>-0.5</v>
      </c>
      <c r="AS6" s="205">
        <v>0.0</v>
      </c>
      <c r="AT6" s="205">
        <v>0.0</v>
      </c>
      <c r="AU6" s="205">
        <v>0.5</v>
      </c>
      <c r="AV6" s="205">
        <v>-0.5</v>
      </c>
      <c r="AW6" s="205">
        <v>-0.5</v>
      </c>
      <c r="AX6" s="205">
        <v>0.5</v>
      </c>
      <c r="AY6" s="205">
        <v>1.0</v>
      </c>
      <c r="AZ6" s="205">
        <v>0.5</v>
      </c>
      <c r="BA6" s="205">
        <v>0.0</v>
      </c>
      <c r="BB6" s="205">
        <v>0.0</v>
      </c>
      <c r="BC6" s="205">
        <v>-0.5</v>
      </c>
      <c r="BD6" s="205">
        <v>0.5</v>
      </c>
      <c r="BE6" s="205">
        <v>-0.5</v>
      </c>
      <c r="BF6" s="205">
        <v>0.0</v>
      </c>
      <c r="BG6" s="205">
        <v>0.0</v>
      </c>
      <c r="BH6" s="205">
        <v>0.5</v>
      </c>
      <c r="BI6" s="205">
        <v>0.5</v>
      </c>
      <c r="BJ6" s="205">
        <v>-0.5</v>
      </c>
      <c r="BK6" s="205">
        <v>1.5</v>
      </c>
      <c r="BL6" s="205">
        <v>1.0</v>
      </c>
      <c r="BM6" s="205">
        <v>-0.5</v>
      </c>
      <c r="BN6" s="205">
        <v>-0.5</v>
      </c>
      <c r="BO6" s="205">
        <v>0.0</v>
      </c>
      <c r="BP6" s="205">
        <v>0.5</v>
      </c>
      <c r="BQ6" s="206"/>
      <c r="BR6" s="250">
        <f t="shared" si="1"/>
        <v>0.1111111111</v>
      </c>
      <c r="BS6" s="250">
        <f t="shared" si="2"/>
        <v>0.5061728395</v>
      </c>
      <c r="BT6" s="206"/>
      <c r="BU6" s="207">
        <f>IFERROR(__xludf.DUMMYFUNCTION("AVERAGE(ARRAYFORMULA(XLOOKUP(FILTER(INDIRECT(""'""&amp;BU$1&amp;""'!$C$4:$C$66""),INDIRECT(""'""&amp;BU$1&amp;""'!$D$4:$D$66"")=BU$2),$F$3:$BP$3,$F6:$BP6)))"),0.6428571428571429)</f>
        <v>0.6428571429</v>
      </c>
      <c r="BV6" s="207">
        <f>IFERROR(__xludf.DUMMYFUNCTION("IF(OR(BU6&gt;$BR6+$BS6*$BS$2,BU6&lt;$BR6-$BS6*$BS$2),AVEDEV(ARRAYFORMULA(XLOOKUP(FILTER(INDIRECT(""'""&amp;BU$1&amp;""'!$C$4:$C$66""),INDIRECT(""'""&amp;BU$1&amp;""'!$D$4:$D$66"")=BU$2),$F$3:$BP$3,$F6:$BP6))),"""")"),0.4897959183673469)</f>
        <v>0.4897959184</v>
      </c>
      <c r="BW6" s="207">
        <f>IFERROR(__xludf.DUMMYFUNCTION("AVERAGE(ARRAYFORMULA(XLOOKUP(FILTER(INDIRECT(""'""&amp;BW$1&amp;""'!$C$4:$C$66""),INDIRECT(""'""&amp;BW$1&amp;""'!$D$4:$D$66"")=BW$2),$F$3:$BP$3,$F6:$BP6)))"),0.0)</f>
        <v>0</v>
      </c>
      <c r="BX6" s="207" t="str">
        <f>IFERROR(__xludf.DUMMYFUNCTION("IF(OR(BW6&gt;$BR6+$BS6*$BS$2,BW6&lt;$BR6-$BS6*$BS$2),AVEDEV(ARRAYFORMULA(XLOOKUP(FILTER(INDIRECT(""'""&amp;BW$1&amp;""'!$C$4:$C$66""),INDIRECT(""'""&amp;BW$1&amp;""'!$D$4:$D$66"")=BW$2),$F$3:$BP$3,$F6:$BP6))),"""")"),"")</f>
        <v/>
      </c>
      <c r="BY6" s="207">
        <f>IFERROR(__xludf.DUMMYFUNCTION("AVERAGE(ARRAYFORMULA(XLOOKUP(FILTER(INDIRECT(""'""&amp;BY$1&amp;""'!$C$4:$C$66""),INDIRECT(""'""&amp;BY$1&amp;""'!$D$4:$D$66"")=BY$2),$F$3:$BP$3,$F6:$BP6)))"),0.22727272727272727)</f>
        <v>0.2272727273</v>
      </c>
      <c r="BZ6" s="207" t="str">
        <f>IFERROR(__xludf.DUMMYFUNCTION("IF(OR(BY6&gt;$BR6+$BS6*$BS$2,BY6&lt;$BR6-$BS6*$BS$2),AVEDEV(ARRAYFORMULA(XLOOKUP(FILTER(INDIRECT(""'""&amp;BY$1&amp;""'!$C$4:$C$66""),INDIRECT(""'""&amp;BY$1&amp;""'!$D$4:$D$66"")=BY$2),$F$3:$BP$3,$F6:$BP6))),"""")"),"")</f>
        <v/>
      </c>
      <c r="CA6" s="209"/>
      <c r="CB6" s="207">
        <f>IFERROR(__xludf.DUMMYFUNCTION("AVERAGE(ARRAYFORMULA(XLOOKUP(FILTER(INDIRECT(""'""&amp;CB$1&amp;""'!$C$4:$C$66""),INDIRECT(""'""&amp;CB$1&amp;""'!$D$4:$D$66"")=CB$2),$F$3:$BP$3,$F6:$BP6)))"),-0.0625)</f>
        <v>-0.0625</v>
      </c>
      <c r="CC6" s="207" t="str">
        <f>IFERROR(__xludf.DUMMYFUNCTION("IF(OR(CB6&gt;$BR6+$BS6*$BS$2,CB6&lt;$BR6-$BS6*$BS$2),AVEDEV(ARRAYFORMULA(XLOOKUP(FILTER(INDIRECT(""'""&amp;CB$1&amp;""'!$C$4:$C$66""),INDIRECT(""'""&amp;CB$1&amp;""'!$D$4:$D$66"")=CB$2),$F$3:$BP$3,$F6:$BP6))),"""")"),"")</f>
        <v/>
      </c>
      <c r="CD6" s="207">
        <f>IFERROR(__xludf.DUMMYFUNCTION("AVERAGE(ARRAYFORMULA(XLOOKUP(FILTER(INDIRECT(""'""&amp;CD$1&amp;""'!$C$4:$C$66""),INDIRECT(""'""&amp;CD$1&amp;""'!$D$4:$D$66"")=CD$2),$F$3:$BP$3,$F6:$BP6)))"),0.1935483870967742)</f>
        <v>0.1935483871</v>
      </c>
      <c r="CE6" s="207" t="str">
        <f>IFERROR(__xludf.DUMMYFUNCTION("IF(OR(CD6&gt;$BR6+$BS6*$BS$2,CD6&lt;$BR6-$BS6*$BS$2),AVEDEV(ARRAYFORMULA(XLOOKUP(FILTER(INDIRECT(""'""&amp;CD$1&amp;""'!$C$4:$C$66""),INDIRECT(""'""&amp;CD$1&amp;""'!$D$4:$D$66"")=CD$2),$F$3:$BP$3,$F6:$BP6))),"""")"),"")</f>
        <v/>
      </c>
      <c r="CF6" s="207">
        <f>IFERROR(__xludf.DUMMYFUNCTION("AVERAGE(ARRAYFORMULA(XLOOKUP(FILTER(INDIRECT(""'""&amp;CF$1&amp;""'!$C$4:$C$66""),INDIRECT(""'""&amp;CF$1&amp;""'!$D$4:$D$66"")=CF$2),$F$3:$BP$3,$F6:$BP6)))"),-0.2)</f>
        <v>-0.2</v>
      </c>
      <c r="CG6" s="207" t="str">
        <f>IFERROR(__xludf.DUMMYFUNCTION("IF(OR(CF6&gt;$BR6+$BS6*$BS$2,CF6&lt;$BR6-$BS6*$BS$2),AVEDEV(ARRAYFORMULA(XLOOKUP(FILTER(INDIRECT(""'""&amp;CF$1&amp;""'!$C$4:$C$66""),INDIRECT(""'""&amp;CF$1&amp;""'!$D$4:$D$66"")=CF$2),$F$3:$BP$3,$F6:$BP6))),"""")"),"")</f>
        <v/>
      </c>
      <c r="CH6" s="206"/>
      <c r="CI6" s="251">
        <f>IFERROR(__xludf.DUMMYFUNCTION("AVERAGE(ARRAYFORMULA(XLOOKUP(FILTER(INDIRECT(""'""&amp;CI$1&amp;""'!$C$4:$C$66""),INDIRECT(""'""&amp;CI$1&amp;""'!$D$4:$D$66"")=CI$2),$F$3:$BP$3,$F6:$BP6)))"),0.2)</f>
        <v>0.2</v>
      </c>
      <c r="CJ6" s="207" t="str">
        <f>IFERROR(__xludf.DUMMYFUNCTION("IF(OR(CI6&gt;$BR6+$BS6*$BS$2,CI6&lt;$BR6-$BS6*$BS$2),AVEDEV(ARRAYFORMULA(XLOOKUP(FILTER(INDIRECT(""'""&amp;CI$1&amp;""'!$C$4:$C$66""),INDIRECT(""'""&amp;CI$1&amp;""'!$D$4:$D$66"")=CI$2),$F$3:$BP$3,$F6:$BP6))),"""")"),"")</f>
        <v/>
      </c>
      <c r="CK6" s="251">
        <f>IFERROR(__xludf.DUMMYFUNCTION("AVERAGE(ARRAYFORMULA(XLOOKUP(FILTER(INDIRECT(""'""&amp;CK$1&amp;""'!$C$4:$C$66""),INDIRECT(""'""&amp;CK$1&amp;""'!$D$4:$D$66"")=CK$2),$F$3:$BP$3,$F6:$BP6)))"),0.08974358974358974)</f>
        <v>0.08974358974</v>
      </c>
      <c r="CL6" s="207" t="str">
        <f>IFERROR(__xludf.DUMMYFUNCTION("IF(OR(CK6&gt;$BR6+$BS6*$BS$2,CK6&lt;$BR6-$BS6*$BS$2),AVEDEV(ARRAYFORMULA(XLOOKUP(FILTER(INDIRECT(""'""&amp;CK$1&amp;""'!$C$4:$C$66""),INDIRECT(""'""&amp;CK$1&amp;""'!$D$4:$D$66"")=CK$2),$F$3:$BP$3,$F6:$BP6))),"""")"),"")</f>
        <v/>
      </c>
      <c r="CM6" s="251">
        <f>IFERROR(__xludf.DUMMYFUNCTION("AVERAGE(ARRAYFORMULA(XLOOKUP(FILTER(INDIRECT(""'""&amp;CM$1&amp;""'!$C$4:$C$66""),INDIRECT(""'""&amp;CM$1&amp;""'!$D$4:$D$66"")=CM$2),$F$3:$BP$3,$F6:$BP6)))"),-0.2)</f>
        <v>-0.2</v>
      </c>
      <c r="CN6" s="207" t="str">
        <f>IFERROR(__xludf.DUMMYFUNCTION("IF(OR(CM6&gt;$BR6+$BS6*$BS$2,CM6&lt;$BR6-$BS6*$BS$2),AVEDEV(ARRAYFORMULA(XLOOKUP(FILTER(INDIRECT(""'""&amp;CM$1&amp;""'!$C$4:$C$66""),INDIRECT(""'""&amp;CM$1&amp;""'!$D$4:$D$66"")=CM$2),$F$3:$BP$3,$F6:$BP6))),"""")"),"")</f>
        <v/>
      </c>
      <c r="CO6" s="252"/>
      <c r="CP6" s="251">
        <f>IFERROR(__xludf.DUMMYFUNCTION("AVERAGE(ARRAYFORMULA(XLOOKUP(FILTER(INDIRECT(""'""&amp;CP$1&amp;""'!$C$4:$C$66""),INDIRECT(""'""&amp;CP$1&amp;""'!$D$4:$D$66"")=CP$2),$F$3:$BP$3,$F6:$BP6)))"),-0.25)</f>
        <v>-0.25</v>
      </c>
      <c r="CQ6" s="207" t="str">
        <f>IFERROR(__xludf.DUMMYFUNCTION("IF(OR(CP6&gt;$BR6+$BS6*$BS$2,CP6&lt;$BR6-$BS6*$BS$2),AVEDEV(ARRAYFORMULA(XLOOKUP(FILTER(INDIRECT(""'""&amp;CP$1&amp;""'!$C$4:$C$66""),INDIRECT(""'""&amp;CP$1&amp;""'!$D$4:$D$66"")=CP$2),$F$3:$BP$3,$F6:$BP6))),"""")"),"")</f>
        <v/>
      </c>
      <c r="CR6" s="251">
        <f>IFERROR(__xludf.DUMMYFUNCTION("AVERAGE(ARRAYFORMULA(XLOOKUP(FILTER(INDIRECT(""'""&amp;CR$1&amp;""'!$C$4:$C$66""),INDIRECT(""'""&amp;CR$1&amp;""'!$D$4:$D$66"")=CR$2),$F$3:$BP$3,$F6:$BP6)))"),0.05555555555555555)</f>
        <v>0.05555555556</v>
      </c>
      <c r="CS6" s="207" t="str">
        <f>IFERROR(__xludf.DUMMYFUNCTION("IF(OR(CR6&gt;$BR6+$BS6*$BS$2,CR6&lt;$BR6-$BS6*$BS$2),AVEDEV(ARRAYFORMULA(XLOOKUP(FILTER(INDIRECT(""'""&amp;CR$1&amp;""'!$C$4:$C$66""),INDIRECT(""'""&amp;CR$1&amp;""'!$D$4:$D$66"")=CR$2),$F$3:$BP$3,$F6:$BP6))),"""")"),"")</f>
        <v/>
      </c>
      <c r="CT6" s="251">
        <f>IFERROR(__xludf.DUMMYFUNCTION("AVERAGE(ARRAYFORMULA(XLOOKUP(FILTER(INDIRECT(""'""&amp;CT$1&amp;""'!$C$4:$C$66""),INDIRECT(""'""&amp;CT$1&amp;""'!$D$4:$D$66"")=CT$2),$F$3:$BP$3,$F6:$BP6)))"),0.09090909090909091)</f>
        <v>0.09090909091</v>
      </c>
      <c r="CU6" s="207" t="str">
        <f>IFERROR(__xludf.DUMMYFUNCTION("IF(OR(CT6&gt;$BR6+$BS6*$BS$2,CT6&lt;$BR6-$BS6*$BS$2),AVEDEV(ARRAYFORMULA(XLOOKUP(FILTER(INDIRECT(""'""&amp;CT$1&amp;""'!$C$4:$C$66""),INDIRECT(""'""&amp;CT$1&amp;""'!$D$4:$D$66"")=CT$2),$F$3:$BP$3,$F6:$BP6))),"""")"),"")</f>
        <v/>
      </c>
      <c r="CV6" s="251">
        <f>IFERROR(__xludf.DUMMYFUNCTION("AVERAGE(ARRAYFORMULA(XLOOKUP(FILTER(INDIRECT(""'""&amp;CV$1&amp;""'!$C$4:$C$66""),INDIRECT(""'""&amp;CV$1&amp;""'!$D$4:$D$66"")=CV$2),$F$3:$BP$3,$F6:$BP6)))"),0.0)</f>
        <v>0</v>
      </c>
      <c r="CW6" s="207" t="str">
        <f>IFERROR(__xludf.DUMMYFUNCTION("IF(OR(CV6&gt;$BR6+$BS6*$BS$2,CV6&lt;$BR6-$BS6*$BS$2),AVEDEV(ARRAYFORMULA(XLOOKUP(FILTER(INDIRECT(""'""&amp;CV$1&amp;""'!$C$4:$C$66""),INDIRECT(""'""&amp;CV$1&amp;""'!$D$4:$D$66"")=CV$2),$F$3:$BP$3,$F6:$BP6))),"""")"),"")</f>
        <v/>
      </c>
      <c r="CX6" s="251">
        <f>IFERROR(__xludf.DUMMYFUNCTION("AVERAGE(ARRAYFORMULA(XLOOKUP(FILTER(INDIRECT(""'""&amp;CX$1&amp;""'!$C$4:$C$66""),INDIRECT(""'""&amp;CX$1&amp;""'!$D$4:$D$66"")=CX$2),$F$3:$BP$3,$F6:$BP6)))"),0.21428571428571427)</f>
        <v>0.2142857143</v>
      </c>
      <c r="CY6" s="207" t="str">
        <f>IFERROR(__xludf.DUMMYFUNCTION("IF(OR(CX6&gt;$BR6+$BS6*$BS$2,CX6&lt;$BR6-$BS6*$BS$2),AVEDEV(ARRAYFORMULA(XLOOKUP(FILTER(INDIRECT(""'""&amp;CX$1&amp;""'!$C$4:$C$66""),INDIRECT(""'""&amp;CX$1&amp;""'!$D$4:$D$66"")=CX$2),$F$3:$BP$3,$F6:$BP6))),"""")"),"")</f>
        <v/>
      </c>
      <c r="CZ6" s="252"/>
      <c r="DA6" s="251">
        <f>IFERROR(__xludf.DUMMYFUNCTION("AVERAGE(ARRAYFORMULA(XLOOKUP(FILTER(INDIRECT(""'""&amp;DA$1&amp;""'!$C$4:$C$66""),INDIRECT(""'""&amp;DA$1&amp;""'!$D$4:$D$66"")=DA$2),$F$3:$BP$3,$F6:$BP6)))"),0.05)</f>
        <v>0.05</v>
      </c>
      <c r="DB6" s="207" t="str">
        <f>IFERROR(__xludf.DUMMYFUNCTION("IF(OR(DA6&gt;$BR6+$BS6*$BS$2,DA6&lt;$BR6-$BS6*$BS$2),AVEDEV(ARRAYFORMULA(XLOOKUP(FILTER(INDIRECT(""'""&amp;DA$1&amp;""'!$C$4:$C$66""),INDIRECT(""'""&amp;DA$1&amp;""'!$D$4:$D$66"")=DA$2),$F$3:$BP$3,$F6:$BP6))),"""")"),"")</f>
        <v/>
      </c>
      <c r="DC6" s="251">
        <f>IFERROR(__xludf.DUMMYFUNCTION("AVERAGE(ARRAYFORMULA(XLOOKUP(FILTER(INDIRECT(""'""&amp;DC$1&amp;""'!$C$4:$C$66""),INDIRECT(""'""&amp;DC$1&amp;""'!$D$4:$D$66"")=DC$2),$F$3:$BP$3,$F6:$BP6)))"),0.2222222222222222)</f>
        <v>0.2222222222</v>
      </c>
      <c r="DD6" s="207" t="str">
        <f>IFERROR(__xludf.DUMMYFUNCTION("IF(OR(DC6&gt;$BR6+$BS6*$BS$2,DC6&lt;$BR6-$BS6*$BS$2),AVEDEV(ARRAYFORMULA(XLOOKUP(FILTER(INDIRECT(""'""&amp;DC$1&amp;""'!$C$4:$C$66""),INDIRECT(""'""&amp;DC$1&amp;""'!$D$4:$D$66"")=DC$2),$F$3:$BP$3,$F6:$BP6))),"""")"),"")</f>
        <v/>
      </c>
      <c r="DE6" s="251">
        <f>IFERROR(__xludf.DUMMYFUNCTION("AVERAGE(ARRAYFORMULA(XLOOKUP(FILTER(INDIRECT(""'""&amp;DE$1&amp;""'!$C$4:$C$66""),INDIRECT(""'""&amp;DE$1&amp;""'!$D$4:$D$66"")=DE$2),$F$3:$BP$3,$F6:$BP6)))"),0.375)</f>
        <v>0.375</v>
      </c>
      <c r="DF6" s="207" t="str">
        <f>IFERROR(__xludf.DUMMYFUNCTION("IF(OR(DE6&gt;$BR6+$BS6*$BS$2,DE6&lt;$BR6-$BS6*$BS$2),AVEDEV(ARRAYFORMULA(XLOOKUP(FILTER(INDIRECT(""'""&amp;DE$1&amp;""'!$C$4:$C$66""),INDIRECT(""'""&amp;DE$1&amp;""'!$D$4:$D$66"")=DE$2),$F$3:$BP$3,$F6:$BP6))),"""")"),"")</f>
        <v/>
      </c>
      <c r="DG6" s="251">
        <f>IFERROR(__xludf.DUMMYFUNCTION("AVERAGE(ARRAYFORMULA(XLOOKUP(FILTER(INDIRECT(""'""&amp;DG$1&amp;""'!$C$4:$C$66""),INDIRECT(""'""&amp;DG$1&amp;""'!$D$4:$D$66"")=DG$2),$F$3:$BP$3,$F6:$BP6)))"),-0.2777777777777778)</f>
        <v>-0.2777777778</v>
      </c>
      <c r="DH6" s="207" t="str">
        <f>IFERROR(__xludf.DUMMYFUNCTION("IF(OR(DG6&gt;$BR6+$BS6*$BS$2,DG6&lt;$BR6-$BS6*$BS$2),AVEDEV(ARRAYFORMULA(XLOOKUP(FILTER(INDIRECT(""'""&amp;DG$1&amp;""'!$C$4:$C$66""),INDIRECT(""'""&amp;DG$1&amp;""'!$D$4:$D$66"")=DG$2),$F$3:$BP$3,$F6:$BP6))),"""")"),"")</f>
        <v/>
      </c>
      <c r="DI6" s="252"/>
    </row>
    <row r="7">
      <c r="A7" s="2"/>
      <c r="B7" s="204" t="s">
        <v>442</v>
      </c>
      <c r="C7" s="204" t="s">
        <v>447</v>
      </c>
      <c r="D7" s="205" t="b">
        <f>VLOOKUP(C7,'Feature Set List'!A4:C246,2,0)</f>
        <v>1</v>
      </c>
      <c r="E7" s="205" t="b">
        <f>VLOOKUP(C7,'Feature Set List'!A4:C246,3,0)</f>
        <v>1</v>
      </c>
      <c r="F7" s="205">
        <v>0.0</v>
      </c>
      <c r="G7" s="205">
        <v>-1.0</v>
      </c>
      <c r="H7" s="205">
        <v>0.0</v>
      </c>
      <c r="I7" s="205">
        <v>-1.0</v>
      </c>
      <c r="J7" s="205">
        <v>-1.0</v>
      </c>
      <c r="K7" s="205">
        <v>0.0</v>
      </c>
      <c r="L7" s="205">
        <v>0.0</v>
      </c>
      <c r="M7" s="205">
        <v>0.0</v>
      </c>
      <c r="N7" s="205">
        <v>0.0</v>
      </c>
      <c r="O7" s="205">
        <v>0.0</v>
      </c>
      <c r="P7" s="205">
        <v>0.0</v>
      </c>
      <c r="Q7" s="205">
        <v>1.0</v>
      </c>
      <c r="R7" s="205">
        <v>1.0</v>
      </c>
      <c r="S7" s="205">
        <v>-1.0</v>
      </c>
      <c r="T7" s="205">
        <v>1.0</v>
      </c>
      <c r="U7" s="205">
        <v>-1.0</v>
      </c>
      <c r="V7" s="205">
        <v>0.0</v>
      </c>
      <c r="W7" s="205">
        <v>1.0</v>
      </c>
      <c r="X7" s="205">
        <v>-1.0</v>
      </c>
      <c r="Y7" s="205">
        <v>1.0</v>
      </c>
      <c r="Z7" s="205">
        <v>0.0</v>
      </c>
      <c r="AA7" s="205">
        <v>1.0</v>
      </c>
      <c r="AB7" s="205">
        <v>0.0</v>
      </c>
      <c r="AC7" s="205">
        <v>0.0</v>
      </c>
      <c r="AD7" s="205">
        <v>0.0</v>
      </c>
      <c r="AE7" s="205">
        <v>-1.0</v>
      </c>
      <c r="AF7" s="205">
        <v>-1.0</v>
      </c>
      <c r="AG7" s="205">
        <v>-1.0</v>
      </c>
      <c r="AH7" s="205">
        <v>-1.0</v>
      </c>
      <c r="AI7" s="205">
        <v>-1.0</v>
      </c>
      <c r="AJ7" s="205">
        <v>0.0</v>
      </c>
      <c r="AK7" s="205">
        <v>-1.0</v>
      </c>
      <c r="AL7" s="205">
        <v>0.0</v>
      </c>
      <c r="AM7" s="205">
        <v>0.0</v>
      </c>
      <c r="AN7" s="205">
        <v>-1.0</v>
      </c>
      <c r="AO7" s="205">
        <v>0.0</v>
      </c>
      <c r="AP7" s="205">
        <v>0.0</v>
      </c>
      <c r="AQ7" s="205">
        <v>-1.0</v>
      </c>
      <c r="AR7" s="205">
        <v>0.0</v>
      </c>
      <c r="AS7" s="205">
        <v>-1.0</v>
      </c>
      <c r="AT7" s="205">
        <v>1.0</v>
      </c>
      <c r="AU7" s="205">
        <v>0.0</v>
      </c>
      <c r="AV7" s="205">
        <v>0.0</v>
      </c>
      <c r="AW7" s="205">
        <v>1.0</v>
      </c>
      <c r="AX7" s="205">
        <v>1.0</v>
      </c>
      <c r="AY7" s="205">
        <v>1.0</v>
      </c>
      <c r="AZ7" s="205">
        <v>0.0</v>
      </c>
      <c r="BA7" s="205">
        <v>0.0</v>
      </c>
      <c r="BB7" s="205">
        <v>0.0</v>
      </c>
      <c r="BC7" s="205">
        <v>-1.0</v>
      </c>
      <c r="BD7" s="205">
        <v>0.0</v>
      </c>
      <c r="BE7" s="205">
        <v>-1.0</v>
      </c>
      <c r="BF7" s="205">
        <v>0.0</v>
      </c>
      <c r="BG7" s="205">
        <v>0.0</v>
      </c>
      <c r="BH7" s="205">
        <v>0.0</v>
      </c>
      <c r="BI7" s="205">
        <v>0.0</v>
      </c>
      <c r="BJ7" s="205">
        <v>-1.0</v>
      </c>
      <c r="BK7" s="205">
        <v>0.0</v>
      </c>
      <c r="BL7" s="205">
        <v>1.0</v>
      </c>
      <c r="BM7" s="205">
        <v>0.0</v>
      </c>
      <c r="BN7" s="205">
        <v>1.0</v>
      </c>
      <c r="BO7" s="205">
        <v>0.0</v>
      </c>
      <c r="BP7" s="205">
        <v>0.0</v>
      </c>
      <c r="BQ7" s="206"/>
      <c r="BR7" s="250">
        <f t="shared" si="1"/>
        <v>-0.09523809524</v>
      </c>
      <c r="BS7" s="250">
        <f t="shared" si="2"/>
        <v>0.5170068027</v>
      </c>
      <c r="BT7" s="206"/>
      <c r="BU7" s="207">
        <f>IFERROR(__xludf.DUMMYFUNCTION("AVERAGE(ARRAYFORMULA(XLOOKUP(FILTER(INDIRECT(""'""&amp;BU$1&amp;""'!$C$4:$C$66""),INDIRECT(""'""&amp;BU$1&amp;""'!$D$4:$D$66"")=BU$2),$F$3:$BP$3,$F7:$BP7)))"),0.2857142857142857)</f>
        <v>0.2857142857</v>
      </c>
      <c r="BV7" s="207" t="str">
        <f>IFERROR(__xludf.DUMMYFUNCTION("IF(OR(BU7&gt;$BR7+$BS7*$BS$2,BU7&lt;$BR7-$BS7*$BS$2),AVEDEV(ARRAYFORMULA(XLOOKUP(FILTER(INDIRECT(""'""&amp;BU$1&amp;""'!$C$4:$C$66""),INDIRECT(""'""&amp;BU$1&amp;""'!$D$4:$D$66"")=BU$2),$F$3:$BP$3,$F7:$BP7))),"""")"),"")</f>
        <v/>
      </c>
      <c r="BW7" s="207">
        <f>IFERROR(__xludf.DUMMYFUNCTION("AVERAGE(ARRAYFORMULA(XLOOKUP(FILTER(INDIRECT(""'""&amp;BW$1&amp;""'!$C$4:$C$66""),INDIRECT(""'""&amp;BW$1&amp;""'!$D$4:$D$66"")=BW$2),$F$3:$BP$3,$F7:$BP7)))"),-0.16666666666666666)</f>
        <v>-0.1666666667</v>
      </c>
      <c r="BX7" s="207" t="str">
        <f>IFERROR(__xludf.DUMMYFUNCTION("IF(OR(BW7&gt;$BR7+$BS7*$BS$2,BW7&lt;$BR7-$BS7*$BS$2),AVEDEV(ARRAYFORMULA(XLOOKUP(FILTER(INDIRECT(""'""&amp;BW$1&amp;""'!$C$4:$C$66""),INDIRECT(""'""&amp;BW$1&amp;""'!$D$4:$D$66"")=BW$2),$F$3:$BP$3,$F7:$BP7))),"""")"),"")</f>
        <v/>
      </c>
      <c r="BY7" s="207">
        <f>IFERROR(__xludf.DUMMYFUNCTION("AVERAGE(ARRAYFORMULA(XLOOKUP(FILTER(INDIRECT(""'""&amp;BY$1&amp;""'!$C$4:$C$66""),INDIRECT(""'""&amp;BY$1&amp;""'!$D$4:$D$66"")=BY$2),$F$3:$BP$3,$F7:$BP7)))"),-0.09090909090909091)</f>
        <v>-0.09090909091</v>
      </c>
      <c r="BZ7" s="207" t="str">
        <f>IFERROR(__xludf.DUMMYFUNCTION("IF(OR(BY7&gt;$BR7+$BS7*$BS$2,BY7&lt;$BR7-$BS7*$BS$2),AVEDEV(ARRAYFORMULA(XLOOKUP(FILTER(INDIRECT(""'""&amp;BY$1&amp;""'!$C$4:$C$66""),INDIRECT(""'""&amp;BY$1&amp;""'!$D$4:$D$66"")=BY$2),$F$3:$BP$3,$F7:$BP7))),"""")"),"")</f>
        <v/>
      </c>
      <c r="CA7" s="209"/>
      <c r="CB7" s="207">
        <f>IFERROR(__xludf.DUMMYFUNCTION("AVERAGE(ARRAYFORMULA(XLOOKUP(FILTER(INDIRECT(""'""&amp;CB$1&amp;""'!$C$4:$C$66""),INDIRECT(""'""&amp;CB$1&amp;""'!$D$4:$D$66"")=CB$2),$F$3:$BP$3,$F7:$BP7)))"),-0.4375)</f>
        <v>-0.4375</v>
      </c>
      <c r="CC7" s="207" t="str">
        <f>IFERROR(__xludf.DUMMYFUNCTION("IF(OR(CB7&gt;$BR7+$BS7*$BS$2,CB7&lt;$BR7-$BS7*$BS$2),AVEDEV(ARRAYFORMULA(XLOOKUP(FILTER(INDIRECT(""'""&amp;CB$1&amp;""'!$C$4:$C$66""),INDIRECT(""'""&amp;CB$1&amp;""'!$D$4:$D$66"")=CB$2),$F$3:$BP$3,$F7:$BP7))),"""")"),"")</f>
        <v/>
      </c>
      <c r="CD7" s="207">
        <f>IFERROR(__xludf.DUMMYFUNCTION("AVERAGE(ARRAYFORMULA(XLOOKUP(FILTER(INDIRECT(""'""&amp;CD$1&amp;""'!$C$4:$C$66""),INDIRECT(""'""&amp;CD$1&amp;""'!$D$4:$D$66"")=CD$2),$F$3:$BP$3,$F7:$BP7)))"),0.0)</f>
        <v>0</v>
      </c>
      <c r="CE7" s="207" t="str">
        <f>IFERROR(__xludf.DUMMYFUNCTION("IF(OR(CD7&gt;$BR7+$BS7*$BS$2,CD7&lt;$BR7-$BS7*$BS$2),AVEDEV(ARRAYFORMULA(XLOOKUP(FILTER(INDIRECT(""'""&amp;CD$1&amp;""'!$C$4:$C$66""),INDIRECT(""'""&amp;CD$1&amp;""'!$D$4:$D$66"")=CD$2),$F$3:$BP$3,$F7:$BP7))),"""")"),"")</f>
        <v/>
      </c>
      <c r="CF7" s="207">
        <f>IFERROR(__xludf.DUMMYFUNCTION("AVERAGE(ARRAYFORMULA(XLOOKUP(FILTER(INDIRECT(""'""&amp;CF$1&amp;""'!$C$4:$C$66""),INDIRECT(""'""&amp;CF$1&amp;""'!$D$4:$D$66"")=CF$2),$F$3:$BP$3,$F7:$BP7)))"),-0.2)</f>
        <v>-0.2</v>
      </c>
      <c r="CG7" s="207" t="str">
        <f>IFERROR(__xludf.DUMMYFUNCTION("IF(OR(CF7&gt;$BR7+$BS7*$BS$2,CF7&lt;$BR7-$BS7*$BS$2),AVEDEV(ARRAYFORMULA(XLOOKUP(FILTER(INDIRECT(""'""&amp;CF$1&amp;""'!$C$4:$C$66""),INDIRECT(""'""&amp;CF$1&amp;""'!$D$4:$D$66"")=CF$2),$F$3:$BP$3,$F7:$BP7))),"""")"),"")</f>
        <v/>
      </c>
      <c r="CH7" s="206"/>
      <c r="CI7" s="251">
        <f>IFERROR(__xludf.DUMMYFUNCTION("AVERAGE(ARRAYFORMULA(XLOOKUP(FILTER(INDIRECT(""'""&amp;CI$1&amp;""'!$C$4:$C$66""),INDIRECT(""'""&amp;CI$1&amp;""'!$D$4:$D$66"")=CI$2),$F$3:$BP$3,$F7:$BP7)))"),0.13333333333333333)</f>
        <v>0.1333333333</v>
      </c>
      <c r="CJ7" s="207" t="str">
        <f>IFERROR(__xludf.DUMMYFUNCTION("IF(OR(CI7&gt;$BR7+$BS7*$BS$2,CI7&lt;$BR7-$BS7*$BS$2),AVEDEV(ARRAYFORMULA(XLOOKUP(FILTER(INDIRECT(""'""&amp;CI$1&amp;""'!$C$4:$C$66""),INDIRECT(""'""&amp;CI$1&amp;""'!$D$4:$D$66"")=CI$2),$F$3:$BP$3,$F7:$BP7))),"""")"),"")</f>
        <v/>
      </c>
      <c r="CK7" s="251">
        <f>IFERROR(__xludf.DUMMYFUNCTION("AVERAGE(ARRAYFORMULA(XLOOKUP(FILTER(INDIRECT(""'""&amp;CK$1&amp;""'!$C$4:$C$66""),INDIRECT(""'""&amp;CK$1&amp;""'!$D$4:$D$66"")=CK$2),$F$3:$BP$3,$F7:$BP7)))"),-0.1794871794871795)</f>
        <v>-0.1794871795</v>
      </c>
      <c r="CL7" s="207" t="str">
        <f>IFERROR(__xludf.DUMMYFUNCTION("IF(OR(CK7&gt;$BR7+$BS7*$BS$2,CK7&lt;$BR7-$BS7*$BS$2),AVEDEV(ARRAYFORMULA(XLOOKUP(FILTER(INDIRECT(""'""&amp;CK$1&amp;""'!$C$4:$C$66""),INDIRECT(""'""&amp;CK$1&amp;""'!$D$4:$D$66"")=CK$2),$F$3:$BP$3,$F7:$BP7))),"""")"),"")</f>
        <v/>
      </c>
      <c r="CM7" s="251">
        <f>IFERROR(__xludf.DUMMYFUNCTION("AVERAGE(ARRAYFORMULA(XLOOKUP(FILTER(INDIRECT(""'""&amp;CM$1&amp;""'!$C$4:$C$66""),INDIRECT(""'""&amp;CM$1&amp;""'!$D$4:$D$66"")=CM$2),$F$3:$BP$3,$F7:$BP7)))"),-0.2)</f>
        <v>-0.2</v>
      </c>
      <c r="CN7" s="207" t="str">
        <f>IFERROR(__xludf.DUMMYFUNCTION("IF(OR(CM7&gt;$BR7+$BS7*$BS$2,CM7&lt;$BR7-$BS7*$BS$2),AVEDEV(ARRAYFORMULA(XLOOKUP(FILTER(INDIRECT(""'""&amp;CM$1&amp;""'!$C$4:$C$66""),INDIRECT(""'""&amp;CM$1&amp;""'!$D$4:$D$66"")=CM$2),$F$3:$BP$3,$F7:$BP7))),"""")"),"")</f>
        <v/>
      </c>
      <c r="CO7" s="252"/>
      <c r="CP7" s="251">
        <f>IFERROR(__xludf.DUMMYFUNCTION("AVERAGE(ARRAYFORMULA(XLOOKUP(FILTER(INDIRECT(""'""&amp;CP$1&amp;""'!$C$4:$C$66""),INDIRECT(""'""&amp;CP$1&amp;""'!$D$4:$D$66"")=CP$2),$F$3:$BP$3,$F7:$BP7)))"),-0.5714285714285714)</f>
        <v>-0.5714285714</v>
      </c>
      <c r="CQ7" s="207" t="str">
        <f>IFERROR(__xludf.DUMMYFUNCTION("IF(OR(CP7&gt;$BR7+$BS7*$BS$2,CP7&lt;$BR7-$BS7*$BS$2),AVEDEV(ARRAYFORMULA(XLOOKUP(FILTER(INDIRECT(""'""&amp;CP$1&amp;""'!$C$4:$C$66""),INDIRECT(""'""&amp;CP$1&amp;""'!$D$4:$D$66"")=CP$2),$F$3:$BP$3,$F7:$BP7))),"""")"),"")</f>
        <v/>
      </c>
      <c r="CR7" s="251">
        <f>IFERROR(__xludf.DUMMYFUNCTION("AVERAGE(ARRAYFORMULA(XLOOKUP(FILTER(INDIRECT(""'""&amp;CR$1&amp;""'!$C$4:$C$66""),INDIRECT(""'""&amp;CR$1&amp;""'!$D$4:$D$66"")=CR$2),$F$3:$BP$3,$F7:$BP7)))"),-0.3333333333333333)</f>
        <v>-0.3333333333</v>
      </c>
      <c r="CS7" s="207" t="str">
        <f>IFERROR(__xludf.DUMMYFUNCTION("IF(OR(CR7&gt;$BR7+$BS7*$BS$2,CR7&lt;$BR7-$BS7*$BS$2),AVEDEV(ARRAYFORMULA(XLOOKUP(FILTER(INDIRECT(""'""&amp;CR$1&amp;""'!$C$4:$C$66""),INDIRECT(""'""&amp;CR$1&amp;""'!$D$4:$D$66"")=CR$2),$F$3:$BP$3,$F7:$BP7))),"""")"),"")</f>
        <v/>
      </c>
      <c r="CT7" s="251">
        <f>IFERROR(__xludf.DUMMYFUNCTION("AVERAGE(ARRAYFORMULA(XLOOKUP(FILTER(INDIRECT(""'""&amp;CT$1&amp;""'!$C$4:$C$66""),INDIRECT(""'""&amp;CT$1&amp;""'!$D$4:$D$66"")=CT$2),$F$3:$BP$3,$F7:$BP7)))"),0.18181818181818182)</f>
        <v>0.1818181818</v>
      </c>
      <c r="CU7" s="207" t="str">
        <f>IFERROR(__xludf.DUMMYFUNCTION("IF(OR(CT7&gt;$BR7+$BS7*$BS$2,CT7&lt;$BR7-$BS7*$BS$2),AVEDEV(ARRAYFORMULA(XLOOKUP(FILTER(INDIRECT(""'""&amp;CT$1&amp;""'!$C$4:$C$66""),INDIRECT(""'""&amp;CT$1&amp;""'!$D$4:$D$66"")=CT$2),$F$3:$BP$3,$F7:$BP7))),"""")"),"")</f>
        <v/>
      </c>
      <c r="CV7" s="251">
        <f>IFERROR(__xludf.DUMMYFUNCTION("AVERAGE(ARRAYFORMULA(XLOOKUP(FILTER(INDIRECT(""'""&amp;CV$1&amp;""'!$C$4:$C$66""),INDIRECT(""'""&amp;CV$1&amp;""'!$D$4:$D$66"")=CV$2),$F$3:$BP$3,$F7:$BP7)))"),0.0)</f>
        <v>0</v>
      </c>
      <c r="CW7" s="207" t="str">
        <f>IFERROR(__xludf.DUMMYFUNCTION("IF(OR(CV7&gt;$BR7+$BS7*$BS$2,CV7&lt;$BR7-$BS7*$BS$2),AVEDEV(ARRAYFORMULA(XLOOKUP(FILTER(INDIRECT(""'""&amp;CV$1&amp;""'!$C$4:$C$66""),INDIRECT(""'""&amp;CV$1&amp;""'!$D$4:$D$66"")=CV$2),$F$3:$BP$3,$F7:$BP7))),"""")"),"")</f>
        <v/>
      </c>
      <c r="CX7" s="251">
        <f>IFERROR(__xludf.DUMMYFUNCTION("AVERAGE(ARRAYFORMULA(XLOOKUP(FILTER(INDIRECT(""'""&amp;CX$1&amp;""'!$C$4:$C$66""),INDIRECT(""'""&amp;CX$1&amp;""'!$D$4:$D$66"")=CX$2),$F$3:$BP$3,$F7:$BP7)))"),0.07142857142857142)</f>
        <v>0.07142857143</v>
      </c>
      <c r="CY7" s="207" t="str">
        <f>IFERROR(__xludf.DUMMYFUNCTION("IF(OR(CX7&gt;$BR7+$BS7*$BS$2,CX7&lt;$BR7-$BS7*$BS$2),AVEDEV(ARRAYFORMULA(XLOOKUP(FILTER(INDIRECT(""'""&amp;CX$1&amp;""'!$C$4:$C$66""),INDIRECT(""'""&amp;CX$1&amp;""'!$D$4:$D$66"")=CX$2),$F$3:$BP$3,$F7:$BP7))),"""")"),"")</f>
        <v/>
      </c>
      <c r="CZ7" s="252"/>
      <c r="DA7" s="251">
        <f>IFERROR(__xludf.DUMMYFUNCTION("AVERAGE(ARRAYFORMULA(XLOOKUP(FILTER(INDIRECT(""'""&amp;DA$1&amp;""'!$C$4:$C$66""),INDIRECT(""'""&amp;DA$1&amp;""'!$D$4:$D$66"")=DA$2),$F$3:$BP$3,$F7:$BP7)))"),-0.26666666666666666)</f>
        <v>-0.2666666667</v>
      </c>
      <c r="DB7" s="207" t="str">
        <f>IFERROR(__xludf.DUMMYFUNCTION("IF(OR(DA7&gt;$BR7+$BS7*$BS$2,DA7&lt;$BR7-$BS7*$BS$2),AVEDEV(ARRAYFORMULA(XLOOKUP(FILTER(INDIRECT(""'""&amp;DA$1&amp;""'!$C$4:$C$66""),INDIRECT(""'""&amp;DA$1&amp;""'!$D$4:$D$66"")=DA$2),$F$3:$BP$3,$F7:$BP7))),"""")"),"")</f>
        <v/>
      </c>
      <c r="DC7" s="251">
        <f>IFERROR(__xludf.DUMMYFUNCTION("AVERAGE(ARRAYFORMULA(XLOOKUP(FILTER(INDIRECT(""'""&amp;DC$1&amp;""'!$C$4:$C$66""),INDIRECT(""'""&amp;DC$1&amp;""'!$D$4:$D$66"")=DC$2),$F$3:$BP$3,$F7:$BP7)))"),0.0)</f>
        <v>0</v>
      </c>
      <c r="DD7" s="207" t="str">
        <f>IFERROR(__xludf.DUMMYFUNCTION("IF(OR(DC7&gt;$BR7+$BS7*$BS$2,DC7&lt;$BR7-$BS7*$BS$2),AVEDEV(ARRAYFORMULA(XLOOKUP(FILTER(INDIRECT(""'""&amp;DC$1&amp;""'!$C$4:$C$66""),INDIRECT(""'""&amp;DC$1&amp;""'!$D$4:$D$66"")=DC$2),$F$3:$BP$3,$F7:$BP7))),"""")"),"")</f>
        <v/>
      </c>
      <c r="DE7" s="251">
        <f>IFERROR(__xludf.DUMMYFUNCTION("AVERAGE(ARRAYFORMULA(XLOOKUP(FILTER(INDIRECT(""'""&amp;DE$1&amp;""'!$C$4:$C$66""),INDIRECT(""'""&amp;DE$1&amp;""'!$D$4:$D$66"")=DE$2),$F$3:$BP$3,$F7:$BP7)))"),0.5)</f>
        <v>0.5</v>
      </c>
      <c r="DF7" s="207">
        <f>IFERROR(__xludf.DUMMYFUNCTION("IF(OR(DE7&gt;$BR7+$BS7*$BS$2,DE7&lt;$BR7-$BS7*$BS$2),AVEDEV(ARRAYFORMULA(XLOOKUP(FILTER(INDIRECT(""'""&amp;DE$1&amp;""'!$C$4:$C$66""),INDIRECT(""'""&amp;DE$1&amp;""'!$D$4:$D$66"")=DE$2),$F$3:$BP$3,$F7:$BP7))),"""")"),0.625)</f>
        <v>0.625</v>
      </c>
      <c r="DG7" s="251">
        <f>IFERROR(__xludf.DUMMYFUNCTION("AVERAGE(ARRAYFORMULA(XLOOKUP(FILTER(INDIRECT(""'""&amp;DG$1&amp;""'!$C$4:$C$66""),INDIRECT(""'""&amp;DG$1&amp;""'!$D$4:$D$66"")=DG$2),$F$3:$BP$3,$F7:$BP7)))"),-0.1111111111111111)</f>
        <v>-0.1111111111</v>
      </c>
      <c r="DH7" s="207" t="str">
        <f>IFERROR(__xludf.DUMMYFUNCTION("IF(OR(DG7&gt;$BR7+$BS7*$BS$2,DG7&lt;$BR7-$BS7*$BS$2),AVEDEV(ARRAYFORMULA(XLOOKUP(FILTER(INDIRECT(""'""&amp;DG$1&amp;""'!$C$4:$C$66""),INDIRECT(""'""&amp;DG$1&amp;""'!$D$4:$D$66"")=DG$2),$F$3:$BP$3,$F7:$BP7))),"""")"),"")</f>
        <v/>
      </c>
      <c r="DI7" s="252"/>
    </row>
    <row r="8">
      <c r="A8" s="2"/>
      <c r="B8" s="204" t="s">
        <v>442</v>
      </c>
      <c r="C8" s="204" t="s">
        <v>448</v>
      </c>
      <c r="D8" s="205" t="b">
        <f>VLOOKUP(C8,'Feature Set List'!A5:C246,2,0)</f>
        <v>1</v>
      </c>
      <c r="E8" s="205" t="b">
        <f>VLOOKUP(C8,'Feature Set List'!A5:C246,3,0)</f>
        <v>1</v>
      </c>
      <c r="F8" s="205">
        <v>-0.4615385</v>
      </c>
      <c r="G8" s="205">
        <v>1.0</v>
      </c>
      <c r="H8" s="205">
        <v>1.07692308</v>
      </c>
      <c r="I8" s="205">
        <v>0.61538462</v>
      </c>
      <c r="J8" s="205">
        <v>3.61538462</v>
      </c>
      <c r="K8" s="205">
        <v>-0.3076923</v>
      </c>
      <c r="L8" s="205">
        <v>-0.9230769</v>
      </c>
      <c r="M8" s="205">
        <v>2.92307692</v>
      </c>
      <c r="N8" s="205">
        <v>-0.3076923</v>
      </c>
      <c r="O8" s="205">
        <v>-0.4615385</v>
      </c>
      <c r="P8" s="205">
        <v>-0.6153846</v>
      </c>
      <c r="Q8" s="205">
        <v>-1.3846154</v>
      </c>
      <c r="R8" s="205">
        <v>0.69230769</v>
      </c>
      <c r="S8" s="205">
        <v>0.30769231</v>
      </c>
      <c r="T8" s="205">
        <v>-1.0</v>
      </c>
      <c r="U8" s="205">
        <v>-0.0769231</v>
      </c>
      <c r="V8" s="205">
        <v>0.76923077</v>
      </c>
      <c r="W8" s="205">
        <v>0.30769231</v>
      </c>
      <c r="X8" s="205">
        <v>0.61538462</v>
      </c>
      <c r="Y8" s="205">
        <v>-0.3076923</v>
      </c>
      <c r="Z8" s="205">
        <v>0.23076923</v>
      </c>
      <c r="AA8" s="205">
        <v>-0.0769231</v>
      </c>
      <c r="AB8" s="205">
        <v>1.53846154</v>
      </c>
      <c r="AC8" s="205">
        <v>-0.4615385</v>
      </c>
      <c r="AD8" s="205">
        <v>0.61538462</v>
      </c>
      <c r="AE8" s="205">
        <v>-0.0769231</v>
      </c>
      <c r="AF8" s="205">
        <v>1.76923077</v>
      </c>
      <c r="AG8" s="205">
        <v>0.15384615</v>
      </c>
      <c r="AH8" s="205">
        <v>-0.6153846</v>
      </c>
      <c r="AI8" s="205">
        <v>0.30769231</v>
      </c>
      <c r="AJ8" s="205">
        <v>-0.3076923</v>
      </c>
      <c r="AK8" s="205">
        <v>0.07692308</v>
      </c>
      <c r="AL8" s="205">
        <v>0.23076923</v>
      </c>
      <c r="AM8" s="205">
        <v>-0.7692308</v>
      </c>
      <c r="AN8" s="205">
        <v>-0.2307692</v>
      </c>
      <c r="AO8" s="205">
        <v>-0.4615385</v>
      </c>
      <c r="AP8" s="205">
        <v>0.07692308</v>
      </c>
      <c r="AQ8" s="205">
        <v>-0.2307692</v>
      </c>
      <c r="AR8" s="205">
        <v>0.15384615</v>
      </c>
      <c r="AS8" s="205">
        <v>0.53846154</v>
      </c>
      <c r="AT8" s="205">
        <v>-0.8461538</v>
      </c>
      <c r="AU8" s="205">
        <v>0.23076923</v>
      </c>
      <c r="AV8" s="205">
        <v>-0.3076923</v>
      </c>
      <c r="AW8" s="205">
        <v>0.46153846</v>
      </c>
      <c r="AX8" s="205">
        <v>-0.3076923</v>
      </c>
      <c r="AY8" s="205">
        <v>-0.1538462</v>
      </c>
      <c r="AZ8" s="205">
        <v>-0.6153846</v>
      </c>
      <c r="BA8" s="205">
        <v>0.61538462</v>
      </c>
      <c r="BB8" s="205">
        <v>0.0</v>
      </c>
      <c r="BC8" s="205">
        <v>0.84615385</v>
      </c>
      <c r="BD8" s="205">
        <v>1.92307692</v>
      </c>
      <c r="BE8" s="205">
        <v>0.0</v>
      </c>
      <c r="BF8" s="205">
        <v>1.92307692</v>
      </c>
      <c r="BG8" s="205">
        <v>-0.4615385</v>
      </c>
      <c r="BH8" s="205">
        <v>1.23076923</v>
      </c>
      <c r="BI8" s="205">
        <v>-0.0769231</v>
      </c>
      <c r="BJ8" s="205">
        <v>-0.4615385</v>
      </c>
      <c r="BK8" s="205">
        <v>-0.7692308</v>
      </c>
      <c r="BL8" s="205">
        <v>-0.3076923</v>
      </c>
      <c r="BM8" s="205">
        <v>0.84615385</v>
      </c>
      <c r="BN8" s="205">
        <v>-0.3076923</v>
      </c>
      <c r="BO8" s="205">
        <v>0.30769231</v>
      </c>
      <c r="BP8" s="205">
        <v>-0.6923077</v>
      </c>
      <c r="BQ8" s="206"/>
      <c r="BR8" s="250">
        <f t="shared" si="1"/>
        <v>0.1843711814</v>
      </c>
      <c r="BS8" s="250">
        <f t="shared" si="2"/>
        <v>0.6585654239</v>
      </c>
      <c r="BT8" s="206"/>
      <c r="BU8" s="207">
        <f>IFERROR(__xludf.DUMMYFUNCTION("AVERAGE(ARRAYFORMULA(XLOOKUP(FILTER(INDIRECT(""'""&amp;BU$1&amp;""'!$C$4:$C$66""),INDIRECT(""'""&amp;BU$1&amp;""'!$D$4:$D$66"")=BU$2),$F$3:$BP$3,$F8:$BP8)))"),0.07692307857142855)</f>
        <v>0.07692307857</v>
      </c>
      <c r="BV8" s="207" t="str">
        <f>IFERROR(__xludf.DUMMYFUNCTION("IF(OR(BU8&gt;$BR8+$BS8*$BS$2,BU8&lt;$BR8-$BS8*$BS$2),AVEDEV(ARRAYFORMULA(XLOOKUP(FILTER(INDIRECT(""'""&amp;BU$1&amp;""'!$C$4:$C$66""),INDIRECT(""'""&amp;BU$1&amp;""'!$D$4:$D$66"")=BU$2),$F$3:$BP$3,$F8:$BP8))),"""")"),"")</f>
        <v/>
      </c>
      <c r="BW8" s="207">
        <f>IFERROR(__xludf.DUMMYFUNCTION("AVERAGE(ARRAYFORMULA(XLOOKUP(FILTER(INDIRECT(""'""&amp;BW$1&amp;""'!$C$4:$C$66""),INDIRECT(""'""&amp;BW$1&amp;""'!$D$4:$D$66"")=BW$2),$F$3:$BP$3,$F8:$BP8)))"),0.27655677261904765)</f>
        <v>0.2765567726</v>
      </c>
      <c r="BX8" s="207" t="str">
        <f>IFERROR(__xludf.DUMMYFUNCTION("IF(OR(BW8&gt;$BR8+$BS8*$BS$2,BW8&lt;$BR8-$BS8*$BS$2),AVEDEV(ARRAYFORMULA(XLOOKUP(FILTER(INDIRECT(""'""&amp;BW$1&amp;""'!$C$4:$C$66""),INDIRECT(""'""&amp;BW$1&amp;""'!$D$4:$D$66"")=BW$2),$F$3:$BP$3,$F8:$BP8))),"""")"),"")</f>
        <v/>
      </c>
      <c r="BY8" s="207">
        <f>IFERROR(__xludf.DUMMYFUNCTION("AVERAGE(ARRAYFORMULA(XLOOKUP(FILTER(INDIRECT(""'""&amp;BY$1&amp;""'!$C$4:$C$66""),INDIRECT(""'""&amp;BY$1&amp;""'!$D$4:$D$66"")=BY$2),$F$3:$BP$3,$F8:$BP8)))"),-0.14685315454545453)</f>
        <v>-0.1468531545</v>
      </c>
      <c r="BZ8" s="207" t="str">
        <f>IFERROR(__xludf.DUMMYFUNCTION("IF(OR(BY8&gt;$BR8+$BS8*$BS$2,BY8&lt;$BR8-$BS8*$BS$2),AVEDEV(ARRAYFORMULA(XLOOKUP(FILTER(INDIRECT(""'""&amp;BY$1&amp;""'!$C$4:$C$66""),INDIRECT(""'""&amp;BY$1&amp;""'!$D$4:$D$66"")=BY$2),$F$3:$BP$3,$F8:$BP8))),"""")"),"")</f>
        <v/>
      </c>
      <c r="CA8" s="209"/>
      <c r="CB8" s="207">
        <f>IFERROR(__xludf.DUMMYFUNCTION("AVERAGE(ARRAYFORMULA(XLOOKUP(FILTER(INDIRECT(""'""&amp;CB$1&amp;""'!$C$4:$C$66""),INDIRECT(""'""&amp;CB$1&amp;""'!$D$4:$D$66"")=CB$2),$F$3:$BP$3,$F8:$BP8)))"),0.5624999993750001)</f>
        <v>0.5624999994</v>
      </c>
      <c r="CC8" s="207" t="str">
        <f>IFERROR(__xludf.DUMMYFUNCTION("IF(OR(CB8&gt;$BR8+$BS8*$BS$2,CB8&lt;$BR8-$BS8*$BS$2),AVEDEV(ARRAYFORMULA(XLOOKUP(FILTER(INDIRECT(""'""&amp;CB$1&amp;""'!$C$4:$C$66""),INDIRECT(""'""&amp;CB$1&amp;""'!$D$4:$D$66"")=CB$2),$F$3:$BP$3,$F8:$BP8))),"""")"),"")</f>
        <v/>
      </c>
      <c r="CD8" s="207">
        <f>IFERROR(__xludf.DUMMYFUNCTION("AVERAGE(ARRAYFORMULA(XLOOKUP(FILTER(INDIRECT(""'""&amp;CD$1&amp;""'!$C$4:$C$66""),INDIRECT(""'""&amp;CD$1&amp;""'!$D$4:$D$66"")=CD$2),$F$3:$BP$3,$F8:$BP8)))"),0.05707195354838709)</f>
        <v>0.05707195355</v>
      </c>
      <c r="CE8" s="207" t="str">
        <f>IFERROR(__xludf.DUMMYFUNCTION("IF(OR(CD8&gt;$BR8+$BS8*$BS$2,CD8&lt;$BR8-$BS8*$BS$2),AVEDEV(ARRAYFORMULA(XLOOKUP(FILTER(INDIRECT(""'""&amp;CD$1&amp;""'!$C$4:$C$66""),INDIRECT(""'""&amp;CD$1&amp;""'!$D$4:$D$66"")=CD$2),$F$3:$BP$3,$F8:$BP8))),"""")"),"")</f>
        <v/>
      </c>
      <c r="CF8" s="207">
        <f>IFERROR(__xludf.DUMMYFUNCTION("AVERAGE(ARRAYFORMULA(XLOOKUP(FILTER(INDIRECT(""'""&amp;CF$1&amp;""'!$C$4:$C$66""),INDIRECT(""'""&amp;CF$1&amp;""'!$D$4:$D$66"")=CF$2),$F$3:$BP$3,$F8:$BP8)))"),0.26153845600000003)</f>
        <v>0.261538456</v>
      </c>
      <c r="CG8" s="207" t="str">
        <f>IFERROR(__xludf.DUMMYFUNCTION("IF(OR(CF8&gt;$BR8+$BS8*$BS$2,CF8&lt;$BR8-$BS8*$BS$2),AVEDEV(ARRAYFORMULA(XLOOKUP(FILTER(INDIRECT(""'""&amp;CF$1&amp;""'!$C$4:$C$66""),INDIRECT(""'""&amp;CF$1&amp;""'!$D$4:$D$66"")=CF$2),$F$3:$BP$3,$F8:$BP8))),"""")"),"")</f>
        <v/>
      </c>
      <c r="CH8" s="206"/>
      <c r="CI8" s="251">
        <f>IFERROR(__xludf.DUMMYFUNCTION("AVERAGE(ARRAYFORMULA(XLOOKUP(FILTER(INDIRECT(""'""&amp;CI$1&amp;""'!$C$4:$C$66""),INDIRECT(""'""&amp;CI$1&amp;""'!$D$4:$D$66"")=CI$2),$F$3:$BP$3,$F8:$BP8)))"),0.4871794846666668)</f>
        <v>0.4871794847</v>
      </c>
      <c r="CJ8" s="207" t="str">
        <f>IFERROR(__xludf.DUMMYFUNCTION("IF(OR(CI8&gt;$BR8+$BS8*$BS$2,CI8&lt;$BR8-$BS8*$BS$2),AVEDEV(ARRAYFORMULA(XLOOKUP(FILTER(INDIRECT(""'""&amp;CI$1&amp;""'!$C$4:$C$66""),INDIRECT(""'""&amp;CI$1&amp;""'!$D$4:$D$66"")=CI$2),$F$3:$BP$3,$F8:$BP8))),"""")"),"")</f>
        <v/>
      </c>
      <c r="CK8" s="251">
        <f>IFERROR(__xludf.DUMMYFUNCTION("AVERAGE(ARRAYFORMULA(XLOOKUP(FILTER(INDIRECT(""'""&amp;CK$1&amp;""'!$C$4:$C$66""),INDIRECT(""'""&amp;CK$1&amp;""'!$D$4:$D$66"")=CK$2),$F$3:$BP$3,$F8:$BP8)))"),0.06903352692307692)</f>
        <v>0.06903352692</v>
      </c>
      <c r="CL8" s="207" t="str">
        <f>IFERROR(__xludf.DUMMYFUNCTION("IF(OR(CK8&gt;$BR8+$BS8*$BS$2,CK8&lt;$BR8-$BS8*$BS$2),AVEDEV(ARRAYFORMULA(XLOOKUP(FILTER(INDIRECT(""'""&amp;CK$1&amp;""'!$C$4:$C$66""),INDIRECT(""'""&amp;CK$1&amp;""'!$D$4:$D$66"")=CK$2),$F$3:$BP$3,$F8:$BP8))),"""")"),"")</f>
        <v/>
      </c>
      <c r="CM8" s="251">
        <f>IFERROR(__xludf.DUMMYFUNCTION("AVERAGE(ARRAYFORMULA(XLOOKUP(FILTER(INDIRECT(""'""&amp;CM$1&amp;""'!$C$4:$C$66""),INDIRECT(""'""&amp;CM$1&amp;""'!$D$4:$D$66"")=CM$2),$F$3:$BP$3,$F8:$BP8)))"),0.26153845600000003)</f>
        <v>0.261538456</v>
      </c>
      <c r="CN8" s="207" t="str">
        <f>IFERROR(__xludf.DUMMYFUNCTION("IF(OR(CM8&gt;$BR8+$BS8*$BS$2,CM8&lt;$BR8-$BS8*$BS$2),AVEDEV(ARRAYFORMULA(XLOOKUP(FILTER(INDIRECT(""'""&amp;CM$1&amp;""'!$C$4:$C$66""),INDIRECT(""'""&amp;CM$1&amp;""'!$D$4:$D$66"")=CM$2),$F$3:$BP$3,$F8:$BP8))),"""")"),"")</f>
        <v/>
      </c>
      <c r="CO8" s="252"/>
      <c r="CP8" s="251">
        <f>IFERROR(__xludf.DUMMYFUNCTION("AVERAGE(ARRAYFORMULA(XLOOKUP(FILTER(INDIRECT(""'""&amp;CP$1&amp;""'!$C$4:$C$66""),INDIRECT(""'""&amp;CP$1&amp;""'!$D$4:$D$66"")=CP$2),$F$3:$BP$3,$F8:$BP8)))"),0.3461538421428572)</f>
        <v>0.3461538421</v>
      </c>
      <c r="CQ8" s="207" t="str">
        <f>IFERROR(__xludf.DUMMYFUNCTION("IF(OR(CP8&gt;$BR8+$BS8*$BS$2,CP8&lt;$BR8-$BS8*$BS$2),AVEDEV(ARRAYFORMULA(XLOOKUP(FILTER(INDIRECT(""'""&amp;CP$1&amp;""'!$C$4:$C$66""),INDIRECT(""'""&amp;CP$1&amp;""'!$D$4:$D$66"")=CP$2),$F$3:$BP$3,$F8:$BP8))),"""")"),"")</f>
        <v/>
      </c>
      <c r="CR8" s="251">
        <f>IFERROR(__xludf.DUMMYFUNCTION("AVERAGE(ARRAYFORMULA(XLOOKUP(FILTER(INDIRECT(""'""&amp;CR$1&amp;""'!$C$4:$C$66""),INDIRECT(""'""&amp;CR$1&amp;""'!$D$4:$D$66"")=CR$2),$F$3:$BP$3,$F8:$BP8)))"),-0.12820513333333328)</f>
        <v>-0.1282051333</v>
      </c>
      <c r="CS8" s="207" t="str">
        <f>IFERROR(__xludf.DUMMYFUNCTION("IF(OR(CR8&gt;$BR8+$BS8*$BS$2,CR8&lt;$BR8-$BS8*$BS$2),AVEDEV(ARRAYFORMULA(XLOOKUP(FILTER(INDIRECT(""'""&amp;CR$1&amp;""'!$C$4:$C$66""),INDIRECT(""'""&amp;CR$1&amp;""'!$D$4:$D$66"")=CR$2),$F$3:$BP$3,$F8:$BP8))),"""")"),"")</f>
        <v/>
      </c>
      <c r="CT8" s="251">
        <f>IFERROR(__xludf.DUMMYFUNCTION("AVERAGE(ARRAYFORMULA(XLOOKUP(FILTER(INDIRECT(""'""&amp;CT$1&amp;""'!$C$4:$C$66""),INDIRECT(""'""&amp;CT$1&amp;""'!$D$4:$D$66"")=CT$2),$F$3:$BP$3,$F8:$BP8)))"),0.45454544818181813)</f>
        <v>0.4545454482</v>
      </c>
      <c r="CU8" s="207" t="str">
        <f>IFERROR(__xludf.DUMMYFUNCTION("IF(OR(CT8&gt;$BR8+$BS8*$BS$2,CT8&lt;$BR8-$BS8*$BS$2),AVEDEV(ARRAYFORMULA(XLOOKUP(FILTER(INDIRECT(""'""&amp;CT$1&amp;""'!$C$4:$C$66""),INDIRECT(""'""&amp;CT$1&amp;""'!$D$4:$D$66"")=CT$2),$F$3:$BP$3,$F8:$BP8))),"""")"),"")</f>
        <v/>
      </c>
      <c r="CV8" s="251">
        <f>IFERROR(__xludf.DUMMYFUNCTION("AVERAGE(ARRAYFORMULA(XLOOKUP(FILTER(INDIRECT(""'""&amp;CV$1&amp;""'!$C$4:$C$66""),INDIRECT(""'""&amp;CV$1&amp;""'!$D$4:$D$66"")=CV$2),$F$3:$BP$3,$F8:$BP8)))"),-0.4615385)</f>
        <v>-0.4615385</v>
      </c>
      <c r="CW8" s="207" t="str">
        <f>IFERROR(__xludf.DUMMYFUNCTION("IF(OR(CV8&gt;$BR8+$BS8*$BS$2,CV8&lt;$BR8-$BS8*$BS$2),AVEDEV(ARRAYFORMULA(XLOOKUP(FILTER(INDIRECT(""'""&amp;CV$1&amp;""'!$C$4:$C$66""),INDIRECT(""'""&amp;CV$1&amp;""'!$D$4:$D$66"")=CV$2),$F$3:$BP$3,$F8:$BP8))),"""")"),"")</f>
        <v/>
      </c>
      <c r="CX8" s="251">
        <f>IFERROR(__xludf.DUMMYFUNCTION("AVERAGE(ARRAYFORMULA(XLOOKUP(FILTER(INDIRECT(""'""&amp;CX$1&amp;""'!$C$4:$C$66""),INDIRECT(""'""&amp;CX$1&amp;""'!$D$4:$D$66"")=CX$2),$F$3:$BP$3,$F8:$BP8)))"),-0.08791208857142858)</f>
        <v>-0.08791208857</v>
      </c>
      <c r="CY8" s="207" t="str">
        <f>IFERROR(__xludf.DUMMYFUNCTION("IF(OR(CX8&gt;$BR8+$BS8*$BS$2,CX8&lt;$BR8-$BS8*$BS$2),AVEDEV(ARRAYFORMULA(XLOOKUP(FILTER(INDIRECT(""'""&amp;CX$1&amp;""'!$C$4:$C$66""),INDIRECT(""'""&amp;CX$1&amp;""'!$D$4:$D$66"")=CX$2),$F$3:$BP$3,$F8:$BP8))),"""")"),"")</f>
        <v/>
      </c>
      <c r="CZ8" s="252"/>
      <c r="DA8" s="251">
        <f>IFERROR(__xludf.DUMMYFUNCTION("AVERAGE(ARRAYFORMULA(XLOOKUP(FILTER(INDIRECT(""'""&amp;DA$1&amp;""'!$C$4:$C$66""),INDIRECT(""'""&amp;DA$1&amp;""'!$D$4:$D$66"")=DA$2),$F$3:$BP$3,$F8:$BP8)))"),0.4974358933333333)</f>
        <v>0.4974358933</v>
      </c>
      <c r="DB8" s="207" t="str">
        <f>IFERROR(__xludf.DUMMYFUNCTION("IF(OR(DA8&gt;$BR8+$BS8*$BS$2,DA8&lt;$BR8-$BS8*$BS$2),AVEDEV(ARRAYFORMULA(XLOOKUP(FILTER(INDIRECT(""'""&amp;DA$1&amp;""'!$C$4:$C$66""),INDIRECT(""'""&amp;DA$1&amp;""'!$D$4:$D$66"")=DA$2),$F$3:$BP$3,$F8:$BP8))),"""")"),"")</f>
        <v/>
      </c>
      <c r="DC8" s="251">
        <f>IFERROR(__xludf.DUMMYFUNCTION("AVERAGE(ARRAYFORMULA(XLOOKUP(FILTER(INDIRECT(""'""&amp;DC$1&amp;""'!$C$4:$C$66""),INDIRECT(""'""&amp;DC$1&amp;""'!$D$4:$D$66"")=DC$2),$F$3:$BP$3,$F8:$BP8)))"),-0.19658119888888892)</f>
        <v>-0.1965811989</v>
      </c>
      <c r="DD8" s="207" t="str">
        <f>IFERROR(__xludf.DUMMYFUNCTION("IF(OR(DC8&gt;$BR8+$BS8*$BS$2,DC8&lt;$BR8-$BS8*$BS$2),AVEDEV(ARRAYFORMULA(XLOOKUP(FILTER(INDIRECT(""'""&amp;DC$1&amp;""'!$C$4:$C$66""),INDIRECT(""'""&amp;DC$1&amp;""'!$D$4:$D$66"")=DC$2),$F$3:$BP$3,$F8:$BP8))),"""")"),"")</f>
        <v/>
      </c>
      <c r="DE8" s="251">
        <f>IFERROR(__xludf.DUMMYFUNCTION("AVERAGE(ARRAYFORMULA(XLOOKUP(FILTER(INDIRECT(""'""&amp;DE$1&amp;""'!$C$4:$C$66""),INDIRECT(""'""&amp;DE$1&amp;""'!$D$4:$D$66"")=DE$2),$F$3:$BP$3,$F8:$BP8)))"),-0.24038462124999996)</f>
        <v>-0.2403846213</v>
      </c>
      <c r="DF8" s="207" t="str">
        <f>IFERROR(__xludf.DUMMYFUNCTION("IF(OR(DE8&gt;$BR8+$BS8*$BS$2,DE8&lt;$BR8-$BS8*$BS$2),AVEDEV(ARRAYFORMULA(XLOOKUP(FILTER(INDIRECT(""'""&amp;DE$1&amp;""'!$C$4:$C$66""),INDIRECT(""'""&amp;DE$1&amp;""'!$D$4:$D$66"")=DE$2),$F$3:$BP$3,$F8:$BP8))),"""")"),"")</f>
        <v/>
      </c>
      <c r="DG8" s="251">
        <f>IFERROR(__xludf.DUMMYFUNCTION("AVERAGE(ARRAYFORMULA(XLOOKUP(FILTER(INDIRECT(""'""&amp;DG$1&amp;""'!$C$4:$C$66""),INDIRECT(""'""&amp;DG$1&amp;""'!$D$4:$D$66"")=DG$2),$F$3:$BP$3,$F8:$BP8)))"),0.02564101666666667)</f>
        <v>0.02564101667</v>
      </c>
      <c r="DH8" s="207" t="str">
        <f>IFERROR(__xludf.DUMMYFUNCTION("IF(OR(DG8&gt;$BR8+$BS8*$BS$2,DG8&lt;$BR8-$BS8*$BS$2),AVEDEV(ARRAYFORMULA(XLOOKUP(FILTER(INDIRECT(""'""&amp;DG$1&amp;""'!$C$4:$C$66""),INDIRECT(""'""&amp;DG$1&amp;""'!$D$4:$D$66"")=DG$2),$F$3:$BP$3,$F8:$BP8))),"""")"),"")</f>
        <v/>
      </c>
      <c r="DI8" s="252"/>
    </row>
    <row r="9">
      <c r="A9" s="2"/>
      <c r="B9" s="204" t="s">
        <v>442</v>
      </c>
      <c r="C9" s="204" t="s">
        <v>449</v>
      </c>
      <c r="D9" s="205" t="b">
        <f>VLOOKUP(C9,'Feature Set List'!A6:C246,2,0)</f>
        <v>1</v>
      </c>
      <c r="E9" s="205" t="b">
        <f>VLOOKUP(C9,'Feature Set List'!A6:C246,3,0)</f>
        <v>1</v>
      </c>
      <c r="F9" s="205">
        <v>0.94952251</v>
      </c>
      <c r="G9" s="205">
        <v>-0.0109141</v>
      </c>
      <c r="H9" s="205">
        <v>0.0845839</v>
      </c>
      <c r="I9" s="205">
        <v>-0.2735334</v>
      </c>
      <c r="J9" s="205">
        <v>-1.9218281</v>
      </c>
      <c r="K9" s="205">
        <v>-0.4604366</v>
      </c>
      <c r="L9" s="205">
        <v>0.1377899</v>
      </c>
      <c r="M9" s="205">
        <v>0.37858117</v>
      </c>
      <c r="N9" s="205">
        <v>0.38267394</v>
      </c>
      <c r="O9" s="205">
        <v>0.06889495</v>
      </c>
      <c r="P9" s="205">
        <v>0.44611187</v>
      </c>
      <c r="Q9" s="205">
        <v>0.3260573</v>
      </c>
      <c r="R9" s="205">
        <v>0.51841746</v>
      </c>
      <c r="S9" s="205">
        <v>-0.0497954</v>
      </c>
      <c r="T9" s="205">
        <v>2.32196453</v>
      </c>
      <c r="U9" s="205">
        <v>-0.5825375</v>
      </c>
      <c r="V9" s="205">
        <v>0.50341064</v>
      </c>
      <c r="W9" s="205">
        <v>2.7366985</v>
      </c>
      <c r="X9" s="205">
        <v>-1.0607094</v>
      </c>
      <c r="Y9" s="205">
        <v>0.54433834</v>
      </c>
      <c r="Z9" s="205">
        <v>0.44815825</v>
      </c>
      <c r="AA9" s="205">
        <v>2.3888131</v>
      </c>
      <c r="AB9" s="205">
        <v>1.14392906</v>
      </c>
      <c r="AC9" s="205">
        <v>-0.8867667</v>
      </c>
      <c r="AD9" s="205">
        <v>-0.0552524</v>
      </c>
      <c r="AE9" s="205">
        <v>-0.3212824</v>
      </c>
      <c r="AF9" s="205">
        <v>0.23533424</v>
      </c>
      <c r="AG9" s="205">
        <v>1.70941337</v>
      </c>
      <c r="AH9" s="205">
        <v>-0.5184175</v>
      </c>
      <c r="AI9" s="205">
        <v>0.48976808</v>
      </c>
      <c r="AJ9" s="205">
        <v>-1.446794</v>
      </c>
      <c r="AK9" s="205">
        <v>-0.5218281</v>
      </c>
      <c r="AL9" s="205">
        <v>-0.8369714</v>
      </c>
      <c r="AM9" s="205">
        <v>0.0</v>
      </c>
      <c r="AN9" s="205">
        <v>-0.4461119</v>
      </c>
      <c r="AO9" s="205">
        <v>-1.542292</v>
      </c>
      <c r="AP9" s="205">
        <v>-1.4843111</v>
      </c>
      <c r="AQ9" s="205">
        <v>-1.1391542</v>
      </c>
      <c r="AR9" s="205">
        <v>-0.3069577</v>
      </c>
      <c r="AS9" s="205">
        <v>0.15484311</v>
      </c>
      <c r="AT9" s="205">
        <v>-0.9618008</v>
      </c>
      <c r="AU9" s="205">
        <v>1.73396999</v>
      </c>
      <c r="AV9" s="205">
        <v>-1.3751705</v>
      </c>
      <c r="AW9" s="205">
        <v>-0.0634379</v>
      </c>
      <c r="AX9" s="205">
        <v>2.39154161</v>
      </c>
      <c r="AY9" s="205">
        <v>0.0</v>
      </c>
      <c r="AZ9" s="205">
        <v>-0.3587995</v>
      </c>
      <c r="BA9" s="205">
        <v>1.18485675</v>
      </c>
      <c r="BB9" s="205">
        <v>0.46793997</v>
      </c>
      <c r="BC9" s="205">
        <v>-1.2114598</v>
      </c>
      <c r="BD9" s="205">
        <v>2.50682128</v>
      </c>
      <c r="BE9" s="205">
        <v>0.33697135</v>
      </c>
      <c r="BF9" s="205">
        <v>-0.3642565</v>
      </c>
      <c r="BG9" s="205">
        <v>-0.5300136</v>
      </c>
      <c r="BH9" s="205">
        <v>-1.1043656</v>
      </c>
      <c r="BI9" s="205">
        <v>0.04365621</v>
      </c>
      <c r="BJ9" s="205">
        <v>-0.5204638</v>
      </c>
      <c r="BK9" s="205">
        <v>0.4058663</v>
      </c>
      <c r="BL9" s="205">
        <v>2.25443383</v>
      </c>
      <c r="BM9" s="205">
        <v>-0.3697135</v>
      </c>
      <c r="BN9" s="205">
        <v>1.13028649</v>
      </c>
      <c r="BO9" s="205">
        <v>-0.2196453</v>
      </c>
      <c r="BP9" s="205">
        <v>-0.659618</v>
      </c>
      <c r="BQ9" s="206"/>
      <c r="BR9" s="250">
        <f t="shared" si="1"/>
        <v>0.1082699889</v>
      </c>
      <c r="BS9" s="250">
        <f t="shared" si="2"/>
        <v>0.8033404203</v>
      </c>
      <c r="BT9" s="206"/>
      <c r="BU9" s="207">
        <f>IFERROR(__xludf.DUMMYFUNCTION("AVERAGE(ARRAYFORMULA(XLOOKUP(FILTER(INDIRECT(""'""&amp;BU$1&amp;""'!$C$4:$C$66""),INDIRECT(""'""&amp;BU$1&amp;""'!$D$4:$D$66"")=BU$2),$F$3:$BP$3,$F9:$BP9)))"),1.5859481528571426)</f>
        <v>1.585948153</v>
      </c>
      <c r="BV9" s="207">
        <f>IFERROR(__xludf.DUMMYFUNCTION("IF(OR(BU9&gt;$BR9+$BS9*$BS$2,BU9&lt;$BR9-$BS9*$BS$2),AVEDEV(ARRAYFORMULA(XLOOKUP(FILTER(INDIRECT(""'""&amp;BU$1&amp;""'!$C$4:$C$66""),INDIRECT(""'""&amp;BU$1&amp;""'!$D$4:$D$66"")=BU$2),$F$3:$BP$3,$F9:$BP9))),"""")"),1.032352373877551)</f>
        <v>1.032352374</v>
      </c>
      <c r="BW9" s="207">
        <f>IFERROR(__xludf.DUMMYFUNCTION("AVERAGE(ARRAYFORMULA(XLOOKUP(FILTER(INDIRECT(""'""&amp;BW$1&amp;""'!$C$4:$C$66""),INDIRECT(""'""&amp;BW$1&amp;""'!$D$4:$D$66"")=BW$2),$F$3:$BP$3,$F9:$BP9)))"),-0.0917852285714286)</f>
        <v>-0.09178522857</v>
      </c>
      <c r="BX9" s="207" t="str">
        <f>IFERROR(__xludf.DUMMYFUNCTION("IF(OR(BW9&gt;$BR9+$BS9*$BS$2,BW9&lt;$BR9-$BS9*$BS$2),AVEDEV(ARRAYFORMULA(XLOOKUP(FILTER(INDIRECT(""'""&amp;BW$1&amp;""'!$C$4:$C$66""),INDIRECT(""'""&amp;BW$1&amp;""'!$D$4:$D$66"")=BW$2),$F$3:$BP$3,$F9:$BP9))),"""")"),"")</f>
        <v/>
      </c>
      <c r="BY9" s="207">
        <f>IFERROR(__xludf.DUMMYFUNCTION("AVERAGE(ARRAYFORMULA(XLOOKUP(FILTER(INDIRECT(""'""&amp;BY$1&amp;""'!$C$4:$C$66""),INDIRECT(""'""&amp;BY$1&amp;""'!$D$4:$D$66"")=BY$2),$F$3:$BP$3,$F9:$BP9)))"),0.15118441181818187)</f>
        <v>0.1511844118</v>
      </c>
      <c r="BZ9" s="207" t="str">
        <f>IFERROR(__xludf.DUMMYFUNCTION("IF(OR(BY9&gt;$BR9+$BS9*$BS$2,BY9&lt;$BR9-$BS9*$BS$2),AVEDEV(ARRAYFORMULA(XLOOKUP(FILTER(INDIRECT(""'""&amp;BY$1&amp;""'!$C$4:$C$66""),INDIRECT(""'""&amp;BY$1&amp;""'!$D$4:$D$66"")=BY$2),$F$3:$BP$3,$F9:$BP9))),"""")"),"")</f>
        <v/>
      </c>
      <c r="CA9" s="209"/>
      <c r="CB9" s="207">
        <f>IFERROR(__xludf.DUMMYFUNCTION("AVERAGE(ARRAYFORMULA(XLOOKUP(FILTER(INDIRECT(""'""&amp;CB$1&amp;""'!$C$4:$C$66""),INDIRECT(""'""&amp;CB$1&amp;""'!$D$4:$D$66"")=CB$2),$F$3:$BP$3,$F9:$BP9)))"),-0.28740621562499996)</f>
        <v>-0.2874062156</v>
      </c>
      <c r="CC9" s="207" t="str">
        <f>IFERROR(__xludf.DUMMYFUNCTION("IF(OR(CB9&gt;$BR9+$BS9*$BS$2,CB9&lt;$BR9-$BS9*$BS$2),AVEDEV(ARRAYFORMULA(XLOOKUP(FILTER(INDIRECT(""'""&amp;CB$1&amp;""'!$C$4:$C$66""),INDIRECT(""'""&amp;CB$1&amp;""'!$D$4:$D$66"")=CB$2),$F$3:$BP$3,$F9:$BP9))),"""")"),"")</f>
        <v/>
      </c>
      <c r="CD9" s="207">
        <f>IFERROR(__xludf.DUMMYFUNCTION("AVERAGE(ARRAYFORMULA(XLOOKUP(FILTER(INDIRECT(""'""&amp;CD$1&amp;""'!$C$4:$C$66""),INDIRECT(""'""&amp;CD$1&amp;""'!$D$4:$D$66"")=CD$2),$F$3:$BP$3,$F9:$BP9)))"),0.2803547087096773)</f>
        <v>0.2803547087</v>
      </c>
      <c r="CE9" s="207" t="str">
        <f>IFERROR(__xludf.DUMMYFUNCTION("IF(OR(CD9&gt;$BR9+$BS9*$BS$2,CD9&lt;$BR9-$BS9*$BS$2),AVEDEV(ARRAYFORMULA(XLOOKUP(FILTER(INDIRECT(""'""&amp;CD$1&amp;""'!$C$4:$C$66""),INDIRECT(""'""&amp;CD$1&amp;""'!$D$4:$D$66"")=CD$2),$F$3:$BP$3,$F9:$BP9))),"""")"),"")</f>
        <v/>
      </c>
      <c r="CF9" s="207">
        <f>IFERROR(__xludf.DUMMYFUNCTION("AVERAGE(ARRAYFORMULA(XLOOKUP(FILTER(INDIRECT(""'""&amp;CF$1&amp;""'!$C$4:$C$66""),INDIRECT(""'""&amp;CF$1&amp;""'!$D$4:$D$66"")=CF$2),$F$3:$BP$3,$F9:$BP9)))"),-0.20218283)</f>
        <v>-0.20218283</v>
      </c>
      <c r="CG9" s="207" t="str">
        <f>IFERROR(__xludf.DUMMYFUNCTION("IF(OR(CF9&gt;$BR9+$BS9*$BS$2,CF9&lt;$BR9-$BS9*$BS$2),AVEDEV(ARRAYFORMULA(XLOOKUP(FILTER(INDIRECT(""'""&amp;CF$1&amp;""'!$C$4:$C$66""),INDIRECT(""'""&amp;CF$1&amp;""'!$D$4:$D$66"")=CF$2),$F$3:$BP$3,$F9:$BP9))),"""")"),"")</f>
        <v/>
      </c>
      <c r="CH9" s="206"/>
      <c r="CI9" s="251">
        <f>IFERROR(__xludf.DUMMYFUNCTION("AVERAGE(ARRAYFORMULA(XLOOKUP(FILTER(INDIRECT(""'""&amp;CI$1&amp;""'!$C$4:$C$66""),INDIRECT(""'""&amp;CI$1&amp;""'!$D$4:$D$66"")=CI$2),$F$3:$BP$3,$F9:$BP9)))"),1.21282401)</f>
        <v>1.21282401</v>
      </c>
      <c r="CJ9" s="207">
        <f>IFERROR(__xludf.DUMMYFUNCTION("IF(OR(CI9&gt;$BR9+$BS9*$BS$2,CI9&lt;$BR9-$BS9*$BS$2),AVEDEV(ARRAYFORMULA(XLOOKUP(FILTER(INDIRECT(""'""&amp;CI$1&amp;""'!$C$4:$C$66""),INDIRECT(""'""&amp;CI$1&amp;""'!$D$4:$D$66"")=CI$2),$F$3:$BP$3,$F9:$BP9))),"""")"),0.8854934066666669)</f>
        <v>0.8854934067</v>
      </c>
      <c r="CK9" s="251">
        <f>IFERROR(__xludf.DUMMYFUNCTION("AVERAGE(ARRAYFORMULA(XLOOKUP(FILTER(INDIRECT(""'""&amp;CK$1&amp;""'!$C$4:$C$66""),INDIRECT(""'""&amp;CK$1&amp;""'!$D$4:$D$66"")=CK$2),$F$3:$BP$3,$F9:$BP9)))"),-0.2225032384615384)</f>
        <v>-0.2225032385</v>
      </c>
      <c r="CL9" s="207" t="str">
        <f>IFERROR(__xludf.DUMMYFUNCTION("IF(OR(CK9&gt;$BR9+$BS9*$BS$2,CK9&lt;$BR9-$BS9*$BS$2),AVEDEV(ARRAYFORMULA(XLOOKUP(FILTER(INDIRECT(""'""&amp;CK$1&amp;""'!$C$4:$C$66""),INDIRECT(""'""&amp;CK$1&amp;""'!$D$4:$D$66"")=CK$2),$F$3:$BP$3,$F9:$BP9))),"""")"),"")</f>
        <v/>
      </c>
      <c r="CM9" s="251">
        <f>IFERROR(__xludf.DUMMYFUNCTION("AVERAGE(ARRAYFORMULA(XLOOKUP(FILTER(INDIRECT(""'""&amp;CM$1&amp;""'!$C$4:$C$66""),INDIRECT(""'""&amp;CM$1&amp;""'!$D$4:$D$66"")=CM$2),$F$3:$BP$3,$F9:$BP9)))"),-0.20218283)</f>
        <v>-0.20218283</v>
      </c>
      <c r="CN9" s="207" t="str">
        <f>IFERROR(__xludf.DUMMYFUNCTION("IF(OR(CM9&gt;$BR9+$BS9*$BS$2,CM9&lt;$BR9-$BS9*$BS$2),AVEDEV(ARRAYFORMULA(XLOOKUP(FILTER(INDIRECT(""'""&amp;CM$1&amp;""'!$C$4:$C$66""),INDIRECT(""'""&amp;CM$1&amp;""'!$D$4:$D$66"")=CM$2),$F$3:$BP$3,$F9:$BP9))),"""")"),"")</f>
        <v/>
      </c>
      <c r="CO9" s="252"/>
      <c r="CP9" s="251">
        <f>IFERROR(__xludf.DUMMYFUNCTION("AVERAGE(ARRAYFORMULA(XLOOKUP(FILTER(INDIRECT(""'""&amp;CP$1&amp;""'!$C$4:$C$66""),INDIRECT(""'""&amp;CP$1&amp;""'!$D$4:$D$66"")=CP$2),$F$3:$BP$3,$F9:$BP9)))"),-0.5271876885714286)</f>
        <v>-0.5271876886</v>
      </c>
      <c r="CQ9" s="207" t="str">
        <f>IFERROR(__xludf.DUMMYFUNCTION("IF(OR(CP9&gt;$BR9+$BS9*$BS$2,CP9&lt;$BR9-$BS9*$BS$2),AVEDEV(ARRAYFORMULA(XLOOKUP(FILTER(INDIRECT(""'""&amp;CP$1&amp;""'!$C$4:$C$66""),INDIRECT(""'""&amp;CP$1&amp;""'!$D$4:$D$66"")=CP$2),$F$3:$BP$3,$F9:$BP9))),"""")"),"")</f>
        <v/>
      </c>
      <c r="CR9" s="251">
        <f>IFERROR(__xludf.DUMMYFUNCTION("AVERAGE(ARRAYFORMULA(XLOOKUP(FILTER(INDIRECT(""'""&amp;CR$1&amp;""'!$C$4:$C$66""),INDIRECT(""'""&amp;CR$1&amp;""'!$D$4:$D$66"")=CR$2),$F$3:$BP$3,$F9:$BP9)))"),-0.06571169999999998)</f>
        <v>-0.0657117</v>
      </c>
      <c r="CS9" s="207" t="str">
        <f>IFERROR(__xludf.DUMMYFUNCTION("IF(OR(CR9&gt;$BR9+$BS9*$BS$2,CR9&lt;$BR9-$BS9*$BS$2),AVEDEV(ARRAYFORMULA(XLOOKUP(FILTER(INDIRECT(""'""&amp;CR$1&amp;""'!$C$4:$C$66""),INDIRECT(""'""&amp;CR$1&amp;""'!$D$4:$D$66"")=CR$2),$F$3:$BP$3,$F9:$BP9))),"""")"),"")</f>
        <v/>
      </c>
      <c r="CT9" s="251">
        <f>IFERROR(__xludf.DUMMYFUNCTION("AVERAGE(ARRAYFORMULA(XLOOKUP(FILTER(INDIRECT(""'""&amp;CT$1&amp;""'!$C$4:$C$66""),INDIRECT(""'""&amp;CT$1&amp;""'!$D$4:$D$66"")=CT$2),$F$3:$BP$3,$F9:$BP9)))"),0.7296911754545455)</f>
        <v>0.7296911755</v>
      </c>
      <c r="CU9" s="207" t="str">
        <f>IFERROR(__xludf.DUMMYFUNCTION("IF(OR(CT9&gt;$BR9+$BS9*$BS$2,CT9&lt;$BR9-$BS9*$BS$2),AVEDEV(ARRAYFORMULA(XLOOKUP(FILTER(INDIRECT(""'""&amp;CT$1&amp;""'!$C$4:$C$66""),INDIRECT(""'""&amp;CT$1&amp;""'!$D$4:$D$66"")=CT$2),$F$3:$BP$3,$F9:$BP9))),"""")"),"")</f>
        <v/>
      </c>
      <c r="CV9" s="251">
        <f>IFERROR(__xludf.DUMMYFUNCTION("AVERAGE(ARRAYFORMULA(XLOOKUP(FILTER(INDIRECT(""'""&amp;CV$1&amp;""'!$C$4:$C$66""),INDIRECT(""'""&amp;CV$1&amp;""'!$D$4:$D$66"")=CV$2),$F$3:$BP$3,$F9:$BP9)))"),-0.70839015)</f>
        <v>-0.70839015</v>
      </c>
      <c r="CW9" s="207">
        <f>IFERROR(__xludf.DUMMYFUNCTION("IF(OR(CV9&gt;$BR9+$BS9*$BS$2,CV9&lt;$BR9-$BS9*$BS$2),AVEDEV(ARRAYFORMULA(XLOOKUP(FILTER(INDIRECT(""'""&amp;CV$1&amp;""'!$C$4:$C$66""),INDIRECT(""'""&amp;CV$1&amp;""'!$D$4:$D$66"")=CV$2),$F$3:$BP$3,$F9:$BP9))),"""")"),0.17837655000000002)</f>
        <v>0.17837655</v>
      </c>
      <c r="CX9" s="251">
        <f>IFERROR(__xludf.DUMMYFUNCTION("AVERAGE(ARRAYFORMULA(XLOOKUP(FILTER(INDIRECT(""'""&amp;CX$1&amp;""'!$C$4:$C$66""),INDIRECT(""'""&amp;CX$1&amp;""'!$D$4:$D$66"")=CX$2),$F$3:$BP$3,$F9:$BP9)))"),-0.06109919928571428)</f>
        <v>-0.06109919929</v>
      </c>
      <c r="CY9" s="207" t="str">
        <f>IFERROR(__xludf.DUMMYFUNCTION("IF(OR(CX9&gt;$BR9+$BS9*$BS$2,CX9&lt;$BR9-$BS9*$BS$2),AVEDEV(ARRAYFORMULA(XLOOKUP(FILTER(INDIRECT(""'""&amp;CX$1&amp;""'!$C$4:$C$66""),INDIRECT(""'""&amp;CX$1&amp;""'!$D$4:$D$66"")=CX$2),$F$3:$BP$3,$F9:$BP9))),"""")"),"")</f>
        <v/>
      </c>
      <c r="CZ9" s="252"/>
      <c r="DA9" s="251">
        <f>IFERROR(__xludf.DUMMYFUNCTION("AVERAGE(ARRAYFORMULA(XLOOKUP(FILTER(INDIRECT(""'""&amp;DA$1&amp;""'!$C$4:$C$66""),INDIRECT(""'""&amp;DA$1&amp;""'!$D$4:$D$66"")=DA$2),$F$3:$BP$3,$F9:$BP9)))"),0.008403817333333351)</f>
        <v>0.008403817333</v>
      </c>
      <c r="DB9" s="207" t="str">
        <f>IFERROR(__xludf.DUMMYFUNCTION("IF(OR(DA9&gt;$BR9+$BS9*$BS$2,DA9&lt;$BR9-$BS9*$BS$2),AVEDEV(ARRAYFORMULA(XLOOKUP(FILTER(INDIRECT(""'""&amp;DA$1&amp;""'!$C$4:$C$66""),INDIRECT(""'""&amp;DA$1&amp;""'!$D$4:$D$66"")=DA$2),$F$3:$BP$3,$F9:$BP9))),"""")"),"")</f>
        <v/>
      </c>
      <c r="DC9" s="251">
        <f>IFERROR(__xludf.DUMMYFUNCTION("AVERAGE(ARRAYFORMULA(XLOOKUP(FILTER(INDIRECT(""'""&amp;DC$1&amp;""'!$C$4:$C$66""),INDIRECT(""'""&amp;DC$1&amp;""'!$D$4:$D$66"")=DC$2),$F$3:$BP$3,$F9:$BP9)))"),0.5309989244444445)</f>
        <v>0.5309989244</v>
      </c>
      <c r="DD9" s="207" t="str">
        <f>IFERROR(__xludf.DUMMYFUNCTION("IF(OR(DC9&gt;$BR9+$BS9*$BS$2,DC9&lt;$BR9-$BS9*$BS$2),AVEDEV(ARRAYFORMULA(XLOOKUP(FILTER(INDIRECT(""'""&amp;DC$1&amp;""'!$C$4:$C$66""),INDIRECT(""'""&amp;DC$1&amp;""'!$D$4:$D$66"")=DC$2),$F$3:$BP$3,$F9:$BP9))),"""")"),"")</f>
        <v/>
      </c>
      <c r="DE9" s="251">
        <f>IFERROR(__xludf.DUMMYFUNCTION("AVERAGE(ARRAYFORMULA(XLOOKUP(FILTER(INDIRECT(""'""&amp;DE$1&amp;""'!$C$4:$C$66""),INDIRECT(""'""&amp;DE$1&amp;""'!$D$4:$D$66"")=DE$2),$F$3:$BP$3,$F9:$BP9)))"),0.8598226462499999)</f>
        <v>0.8598226463</v>
      </c>
      <c r="DF9" s="207" t="str">
        <f>IFERROR(__xludf.DUMMYFUNCTION("IF(OR(DE9&gt;$BR9+$BS9*$BS$2,DE9&lt;$BR9-$BS9*$BS$2),AVEDEV(ARRAYFORMULA(XLOOKUP(FILTER(INDIRECT(""'""&amp;DE$1&amp;""'!$C$4:$C$66""),INDIRECT(""'""&amp;DE$1&amp;""'!$D$4:$D$66"")=DE$2),$F$3:$BP$3,$F9:$BP9))),"""")"),"")</f>
        <v/>
      </c>
      <c r="DG9" s="251">
        <f>IFERROR(__xludf.DUMMYFUNCTION("AVERAGE(ARRAYFORMULA(XLOOKUP(FILTER(INDIRECT(""'""&amp;DG$1&amp;""'!$C$4:$C$66""),INDIRECT(""'""&amp;DG$1&amp;""'!$D$4:$D$66"")=DG$2),$F$3:$BP$3,$F9:$BP9)))"),-0.5063665233333333)</f>
        <v>-0.5063665233</v>
      </c>
      <c r="DH9" s="207" t="str">
        <f>IFERROR(__xludf.DUMMYFUNCTION("IF(OR(DG9&gt;$BR9+$BS9*$BS$2,DG9&lt;$BR9-$BS9*$BS$2),AVEDEV(ARRAYFORMULA(XLOOKUP(FILTER(INDIRECT(""'""&amp;DG$1&amp;""'!$C$4:$C$66""),INDIRECT(""'""&amp;DG$1&amp;""'!$D$4:$D$66"")=DG$2),$F$3:$BP$3,$F9:$BP9))),"""")"),"")</f>
        <v/>
      </c>
      <c r="DI9" s="252"/>
    </row>
    <row r="10">
      <c r="A10" s="2"/>
      <c r="B10" s="204" t="s">
        <v>442</v>
      </c>
      <c r="C10" s="204" t="s">
        <v>450</v>
      </c>
      <c r="D10" s="205" t="b">
        <f>VLOOKUP(C10,'Feature Set List'!A7:C246,2,0)</f>
        <v>1</v>
      </c>
      <c r="E10" s="205" t="b">
        <f>VLOOKUP(C10,'Feature Set List'!A7:C246,3,0)</f>
        <v>1</v>
      </c>
      <c r="F10" s="205">
        <v>-0.9853031</v>
      </c>
      <c r="G10" s="205">
        <v>-0.5964483</v>
      </c>
      <c r="H10" s="205">
        <v>-0.6613595</v>
      </c>
      <c r="I10" s="205">
        <v>0.08144519</v>
      </c>
      <c r="J10" s="205">
        <v>-1.6497244</v>
      </c>
      <c r="K10" s="205">
        <v>0.66319657</v>
      </c>
      <c r="L10" s="205">
        <v>0.34415187</v>
      </c>
      <c r="M10" s="205">
        <v>-0.5339865</v>
      </c>
      <c r="N10" s="205">
        <v>0.15492958</v>
      </c>
      <c r="O10" s="205">
        <v>0.4084507</v>
      </c>
      <c r="P10" s="205">
        <v>-0.0973668</v>
      </c>
      <c r="Q10" s="205">
        <v>0.29761176</v>
      </c>
      <c r="R10" s="205">
        <v>-0.5266381</v>
      </c>
      <c r="S10" s="205">
        <v>0.21126761</v>
      </c>
      <c r="T10" s="205">
        <v>-1.5119412</v>
      </c>
      <c r="U10" s="205">
        <v>0.93386405</v>
      </c>
      <c r="V10" s="205">
        <v>-0.592774</v>
      </c>
      <c r="W10" s="205">
        <v>-2.0128598</v>
      </c>
      <c r="X10" s="205">
        <v>1.12737293</v>
      </c>
      <c r="Y10" s="205">
        <v>-0.4268218</v>
      </c>
      <c r="Z10" s="205">
        <v>-1.0875689</v>
      </c>
      <c r="AA10" s="205">
        <v>-1.6674832</v>
      </c>
      <c r="AB10" s="205">
        <v>-1.3429271</v>
      </c>
      <c r="AC10" s="205">
        <v>0.39987753</v>
      </c>
      <c r="AD10" s="205">
        <v>0.23821188</v>
      </c>
      <c r="AE10" s="205">
        <v>0.65401102</v>
      </c>
      <c r="AF10" s="205">
        <v>0.13962033</v>
      </c>
      <c r="AG10" s="205">
        <v>-1.0379669</v>
      </c>
      <c r="AH10" s="205">
        <v>0.65278628</v>
      </c>
      <c r="AI10" s="205">
        <v>-0.6533987</v>
      </c>
      <c r="AJ10" s="205">
        <v>1.53521127</v>
      </c>
      <c r="AK10" s="205">
        <v>0.86405389</v>
      </c>
      <c r="AL10" s="205">
        <v>-0.7936314</v>
      </c>
      <c r="AM10" s="205">
        <v>0.32578077</v>
      </c>
      <c r="AN10" s="205">
        <v>0.77587263</v>
      </c>
      <c r="AO10" s="205">
        <v>1.28169014</v>
      </c>
      <c r="AP10" s="205">
        <v>-0.1873852</v>
      </c>
      <c r="AQ10" s="205">
        <v>-0.2461727</v>
      </c>
      <c r="AR10" s="205">
        <v>-0.0747091</v>
      </c>
      <c r="AS10" s="205">
        <v>0.13104715</v>
      </c>
      <c r="AT10" s="205">
        <v>0.32639314</v>
      </c>
      <c r="AU10" s="205">
        <v>-1.3778322</v>
      </c>
      <c r="AV10" s="205">
        <v>0.02755664</v>
      </c>
      <c r="AW10" s="205">
        <v>0.3496632</v>
      </c>
      <c r="AX10" s="205">
        <v>-1.670545</v>
      </c>
      <c r="AY10" s="205">
        <v>-0.5094917</v>
      </c>
      <c r="AZ10" s="205">
        <v>0.5468463</v>
      </c>
      <c r="BA10" s="205">
        <v>-1.4396816</v>
      </c>
      <c r="BB10" s="205">
        <v>0.02939375</v>
      </c>
      <c r="BC10" s="205">
        <v>0.29944887</v>
      </c>
      <c r="BD10" s="205">
        <v>-1.7281078</v>
      </c>
      <c r="BE10" s="205">
        <v>-0.5358236</v>
      </c>
      <c r="BF10" s="205">
        <v>0.45499081</v>
      </c>
      <c r="BG10" s="205">
        <v>0.12002449</v>
      </c>
      <c r="BH10" s="205">
        <v>-0.1163503</v>
      </c>
      <c r="BI10" s="205">
        <v>0.20575628</v>
      </c>
      <c r="BJ10" s="205">
        <v>0.34109002</v>
      </c>
      <c r="BK10" s="205">
        <v>-0.1635028</v>
      </c>
      <c r="BL10" s="205">
        <v>-1.4537661</v>
      </c>
      <c r="BM10" s="205">
        <v>-0.2357624</v>
      </c>
      <c r="BN10" s="205">
        <v>-1.0734844</v>
      </c>
      <c r="BO10" s="205">
        <v>0.0</v>
      </c>
      <c r="BP10" s="205">
        <v>0.83649724</v>
      </c>
      <c r="BQ10" s="206"/>
      <c r="BR10" s="250">
        <f t="shared" si="1"/>
        <v>-0.1941698525</v>
      </c>
      <c r="BS10" s="250">
        <f t="shared" si="2"/>
        <v>0.6762883884</v>
      </c>
      <c r="BT10" s="206"/>
      <c r="BU10" s="207">
        <f>IFERROR(__xludf.DUMMYFUNCTION("AVERAGE(ARRAYFORMULA(XLOOKUP(FILTER(INDIRECT(""'""&amp;BU$1&amp;""'!$C$4:$C$66""),INDIRECT(""'""&amp;BU$1&amp;""'!$D$4:$D$66"")=BU$2),$F$3:$BP$3,$F10:$BP10)))"),-1.1072522242857143)</f>
        <v>-1.107252224</v>
      </c>
      <c r="BV10" s="207">
        <f>IFERROR(__xludf.DUMMYFUNCTION("IF(OR(BU10&gt;$BR10+$BS10*$BS$2,BU10&lt;$BR10-$BS10*$BS$2),AVEDEV(ARRAYFORMULA(XLOOKUP(FILTER(INDIRECT(""'""&amp;BU$1&amp;""'!$C$4:$C$66""),INDIRECT(""'""&amp;BU$1&amp;""'!$D$4:$D$66"")=BU$2),$F$3:$BP$3,$F10:$BP10))),"""")"),0.8076783653061224)</f>
        <v>0.8076783653</v>
      </c>
      <c r="BW10" s="207">
        <f>IFERROR(__xludf.DUMMYFUNCTION("AVERAGE(ARRAYFORMULA(XLOOKUP(FILTER(INDIRECT(""'""&amp;BW$1&amp;""'!$C$4:$C$66""),INDIRECT(""'""&amp;BW$1&amp;""'!$D$4:$D$66"")=BW$2),$F$3:$BP$3,$F10:$BP10)))"),-0.11572332738095235)</f>
        <v>-0.1157233274</v>
      </c>
      <c r="BX10" s="207" t="str">
        <f>IFERROR(__xludf.DUMMYFUNCTION("IF(OR(BW10&gt;$BR10+$BS10*$BS$2,BW10&lt;$BR10-$BS10*$BS$2),AVEDEV(ARRAYFORMULA(XLOOKUP(FILTER(INDIRECT(""'""&amp;BW$1&amp;""'!$C$4:$C$66""),INDIRECT(""'""&amp;BW$1&amp;""'!$D$4:$D$66"")=BW$2),$F$3:$BP$3,$F10:$BP10))),"""")"),"")</f>
        <v/>
      </c>
      <c r="BY10" s="207">
        <f>IFERROR(__xludf.DUMMYFUNCTION("AVERAGE(ARRAYFORMULA(XLOOKUP(FILTER(INDIRECT(""'""&amp;BY$1&amp;""'!$C$4:$C$66""),INDIRECT(""'""&amp;BY$1&amp;""'!$D$4:$D$66"")=BY$2),$F$3:$BP$3,$F10:$BP10)))"),0.03763291818181818)</f>
        <v>0.03763291818</v>
      </c>
      <c r="BZ10" s="207" t="str">
        <f>IFERROR(__xludf.DUMMYFUNCTION("IF(OR(BY10&gt;$BR10+$BS10*$BS$2,BY10&lt;$BR10-$BS10*$BS$2),AVEDEV(ARRAYFORMULA(XLOOKUP(FILTER(INDIRECT(""'""&amp;BY$1&amp;""'!$C$4:$C$66""),INDIRECT(""'""&amp;BY$1&amp;""'!$D$4:$D$66"")=BY$2),$F$3:$BP$3,$F10:$BP10))),"""")"),"")</f>
        <v/>
      </c>
      <c r="CA10" s="209"/>
      <c r="CB10" s="207">
        <f>IFERROR(__xludf.DUMMYFUNCTION("AVERAGE(ARRAYFORMULA(XLOOKUP(FILTER(INDIRECT(""'""&amp;CB$1&amp;""'!$C$4:$C$66""),INDIRECT(""'""&amp;CB$1&amp;""'!$D$4:$D$66"")=CB$2),$F$3:$BP$3,$F10:$BP10)))"),-0.08959736687499997)</f>
        <v>-0.08959736688</v>
      </c>
      <c r="CC10" s="207" t="str">
        <f>IFERROR(__xludf.DUMMYFUNCTION("IF(OR(CB10&gt;$BR10+$BS10*$BS$2,CB10&lt;$BR10-$BS10*$BS$2),AVEDEV(ARRAYFORMULA(XLOOKUP(FILTER(INDIRECT(""'""&amp;CB$1&amp;""'!$C$4:$C$66""),INDIRECT(""'""&amp;CB$1&amp;""'!$D$4:$D$66"")=CB$2),$F$3:$BP$3,$F10:$BP10))),"""")"),"")</f>
        <v/>
      </c>
      <c r="CD10" s="207">
        <f>IFERROR(__xludf.DUMMYFUNCTION("AVERAGE(ARRAYFORMULA(XLOOKUP(FILTER(INDIRECT(""'""&amp;CD$1&amp;""'!$C$4:$C$66""),INDIRECT(""'""&amp;CD$1&amp;""'!$D$4:$D$66"")=CD$2),$F$3:$BP$3,$F10:$BP10)))"),-0.24196511612903224)</f>
        <v>-0.2419651161</v>
      </c>
      <c r="CE10" s="207" t="str">
        <f>IFERROR(__xludf.DUMMYFUNCTION("IF(OR(CD10&gt;$BR10+$BS10*$BS$2,CD10&lt;$BR10-$BS10*$BS$2),AVEDEV(ARRAYFORMULA(XLOOKUP(FILTER(INDIRECT(""'""&amp;CD$1&amp;""'!$C$4:$C$66""),INDIRECT(""'""&amp;CD$1&amp;""'!$D$4:$D$66"")=CD$2),$F$3:$BP$3,$F10:$BP10))),"""")"),"")</f>
        <v/>
      </c>
      <c r="CF10" s="207">
        <f>IFERROR(__xludf.DUMMYFUNCTION("AVERAGE(ARRAYFORMULA(XLOOKUP(FILTER(INDIRECT(""'""&amp;CF$1&amp;""'!$C$4:$C$66""),INDIRECT(""'""&amp;CF$1&amp;""'!$D$4:$D$66"")=CF$2),$F$3:$BP$3,$F10:$BP10)))"),0.309369264)</f>
        <v>0.309369264</v>
      </c>
      <c r="CG10" s="207" t="str">
        <f>IFERROR(__xludf.DUMMYFUNCTION("IF(OR(CF10&gt;$BR10+$BS10*$BS$2,CF10&lt;$BR10-$BS10*$BS$2),AVEDEV(ARRAYFORMULA(XLOOKUP(FILTER(INDIRECT(""'""&amp;CF$1&amp;""'!$C$4:$C$66""),INDIRECT(""'""&amp;CF$1&amp;""'!$D$4:$D$66"")=CF$2),$F$3:$BP$3,$F10:$BP10))),"""")"),"")</f>
        <v/>
      </c>
      <c r="CH10" s="206"/>
      <c r="CI10" s="251">
        <f>IFERROR(__xludf.DUMMYFUNCTION("AVERAGE(ARRAYFORMULA(XLOOKUP(FILTER(INDIRECT(""'""&amp;CI$1&amp;""'!$C$4:$C$66""),INDIRECT(""'""&amp;CI$1&amp;""'!$D$4:$D$66"")=CI$2),$F$3:$BP$3,$F10:$BP10)))"),-0.9585629760000001)</f>
        <v>-0.958562976</v>
      </c>
      <c r="CJ10" s="207">
        <f>IFERROR(__xludf.DUMMYFUNCTION("IF(OR(CI10&gt;$BR10+$BS10*$BS$2,CI10&lt;$BR10-$BS10*$BS$2),AVEDEV(ARRAYFORMULA(XLOOKUP(FILTER(INDIRECT(""'""&amp;CI$1&amp;""'!$C$4:$C$66""),INDIRECT(""'""&amp;CI$1&amp;""'!$D$4:$D$66"")=CI$2),$F$3:$BP$3,$F10:$BP10))),"""")"),0.6395863152000001)</f>
        <v>0.6395863152</v>
      </c>
      <c r="CK10" s="251">
        <f>IFERROR(__xludf.DUMMYFUNCTION("AVERAGE(ARRAYFORMULA(XLOOKUP(FILTER(INDIRECT(""'""&amp;CK$1&amp;""'!$C$4:$C$66""),INDIRECT(""'""&amp;CK$1&amp;""'!$D$4:$D$66"")=CK$2),$F$3:$BP$3,$F10:$BP10)))"),0.020459433333333367)</f>
        <v>0.02045943333</v>
      </c>
      <c r="CL10" s="207" t="str">
        <f>IFERROR(__xludf.DUMMYFUNCTION("IF(OR(CK10&gt;$BR10+$BS10*$BS$2,CK10&lt;$BR10-$BS10*$BS$2),AVEDEV(ARRAYFORMULA(XLOOKUP(FILTER(INDIRECT(""'""&amp;CK$1&amp;""'!$C$4:$C$66""),INDIRECT(""'""&amp;CK$1&amp;""'!$D$4:$D$66"")=CK$2),$F$3:$BP$3,$F10:$BP10))),"""")"),"")</f>
        <v/>
      </c>
      <c r="CM10" s="251">
        <f>IFERROR(__xludf.DUMMYFUNCTION("AVERAGE(ARRAYFORMULA(XLOOKUP(FILTER(INDIRECT(""'""&amp;CM$1&amp;""'!$C$4:$C$66""),INDIRECT(""'""&amp;CM$1&amp;""'!$D$4:$D$66"")=CM$2),$F$3:$BP$3,$F10:$BP10)))"),0.309369264)</f>
        <v>0.309369264</v>
      </c>
      <c r="CN10" s="207" t="str">
        <f>IFERROR(__xludf.DUMMYFUNCTION("IF(OR(CM10&gt;$BR10+$BS10*$BS$2,CM10&lt;$BR10-$BS10*$BS$2),AVEDEV(ARRAYFORMULA(XLOOKUP(FILTER(INDIRECT(""'""&amp;CM$1&amp;""'!$C$4:$C$66""),INDIRECT(""'""&amp;CM$1&amp;""'!$D$4:$D$66"")=CM$2),$F$3:$BP$3,$F10:$BP10))),"""")"),"")</f>
        <v/>
      </c>
      <c r="CO10" s="252"/>
      <c r="CP10" s="251">
        <f>IFERROR(__xludf.DUMMYFUNCTION("AVERAGE(ARRAYFORMULA(XLOOKUP(FILTER(INDIRECT(""'""&amp;CP$1&amp;""'!$C$4:$C$66""),INDIRECT(""'""&amp;CP$1&amp;""'!$D$4:$D$66"")=CP$2),$F$3:$BP$3,$F10:$BP10)))"),0.3029918635714286)</f>
        <v>0.3029918636</v>
      </c>
      <c r="CQ10" s="207" t="str">
        <f>IFERROR(__xludf.DUMMYFUNCTION("IF(OR(CP10&gt;$BR10+$BS10*$BS$2,CP10&lt;$BR10-$BS10*$BS$2),AVEDEV(ARRAYFORMULA(XLOOKUP(FILTER(INDIRECT(""'""&amp;CP$1&amp;""'!$C$4:$C$66""),INDIRECT(""'""&amp;CP$1&amp;""'!$D$4:$D$66"")=CP$2),$F$3:$BP$3,$F10:$BP10))),"""")"),"")</f>
        <v/>
      </c>
      <c r="CR10" s="251">
        <f>IFERROR(__xludf.DUMMYFUNCTION("AVERAGE(ARRAYFORMULA(XLOOKUP(FILTER(INDIRECT(""'""&amp;CR$1&amp;""'!$C$4:$C$66""),INDIRECT(""'""&amp;CR$1&amp;""'!$D$4:$D$66"")=CR$2),$F$3:$BP$3,$F10:$BP10)))"),0.2641355444444444)</f>
        <v>0.2641355444</v>
      </c>
      <c r="CS10" s="207" t="str">
        <f>IFERROR(__xludf.DUMMYFUNCTION("IF(OR(CR10&gt;$BR10+$BS10*$BS$2,CR10&lt;$BR10-$BS10*$BS$2),AVEDEV(ARRAYFORMULA(XLOOKUP(FILTER(INDIRECT(""'""&amp;CR$1&amp;""'!$C$4:$C$66""),INDIRECT(""'""&amp;CR$1&amp;""'!$D$4:$D$66"")=CR$2),$F$3:$BP$3,$F10:$BP10))),"""")"),"")</f>
        <v/>
      </c>
      <c r="CT10" s="251">
        <f>IFERROR(__xludf.DUMMYFUNCTION("AVERAGE(ARRAYFORMULA(XLOOKUP(FILTER(INDIRECT(""'""&amp;CT$1&amp;""'!$C$4:$C$66""),INDIRECT(""'""&amp;CT$1&amp;""'!$D$4:$D$66"")=CT$2),$F$3:$BP$3,$F10:$BP10)))"),-0.8028169036363636)</f>
        <v>-0.8028169036</v>
      </c>
      <c r="CU10" s="207" t="str">
        <f>IFERROR(__xludf.DUMMYFUNCTION("IF(OR(CT10&gt;$BR10+$BS10*$BS$2,CT10&lt;$BR10-$BS10*$BS$2),AVEDEV(ARRAYFORMULA(XLOOKUP(FILTER(INDIRECT(""'""&amp;CT$1&amp;""'!$C$4:$C$66""),INDIRECT(""'""&amp;CT$1&amp;""'!$D$4:$D$66"")=CT$2),$F$3:$BP$3,$F10:$BP10))),"""")"),"")</f>
        <v/>
      </c>
      <c r="CV10" s="251">
        <f>IFERROR(__xludf.DUMMYFUNCTION("AVERAGE(ARRAYFORMULA(XLOOKUP(FILTER(INDIRECT(""'""&amp;CV$1&amp;""'!$C$4:$C$66""),INDIRECT(""'""&amp;CV$1&amp;""'!$D$4:$D$66"")=CV$2),$F$3:$BP$3,$F10:$BP10)))"),0.25995101)</f>
        <v>0.25995101</v>
      </c>
      <c r="CW10" s="207" t="str">
        <f>IFERROR(__xludf.DUMMYFUNCTION("IF(OR(CV10&gt;$BR10+$BS10*$BS$2,CV10&lt;$BR10-$BS10*$BS$2),AVEDEV(ARRAYFORMULA(XLOOKUP(FILTER(INDIRECT(""'""&amp;CV$1&amp;""'!$C$4:$C$66""),INDIRECT(""'""&amp;CV$1&amp;""'!$D$4:$D$66"")=CV$2),$F$3:$BP$3,$F10:$BP10))),"""")"),"")</f>
        <v/>
      </c>
      <c r="CX10" s="251">
        <f>IFERROR(__xludf.DUMMYFUNCTION("AVERAGE(ARRAYFORMULA(XLOOKUP(FILTER(INDIRECT(""'""&amp;CX$1&amp;""'!$C$4:$C$66""),INDIRECT(""'""&amp;CX$1&amp;""'!$D$4:$D$66"")=CX$2),$F$3:$BP$3,$F10:$BP10)))"),0.030268562857142862)</f>
        <v>0.03026856286</v>
      </c>
      <c r="CY10" s="207" t="str">
        <f>IFERROR(__xludf.DUMMYFUNCTION("IF(OR(CX10&gt;$BR10+$BS10*$BS$2,CX10&lt;$BR10-$BS10*$BS$2),AVEDEV(ARRAYFORMULA(XLOOKUP(FILTER(INDIRECT(""'""&amp;CX$1&amp;""'!$C$4:$C$66""),INDIRECT(""'""&amp;CX$1&amp;""'!$D$4:$D$66"")=CX$2),$F$3:$BP$3,$F10:$BP10))),"""")"),"")</f>
        <v/>
      </c>
      <c r="CZ10" s="252"/>
      <c r="DA10" s="251">
        <f>IFERROR(__xludf.DUMMYFUNCTION("AVERAGE(ARRAYFORMULA(XLOOKUP(FILTER(INDIRECT(""'""&amp;DA$1&amp;""'!$C$4:$C$66""),INDIRECT(""'""&amp;DA$1&amp;""'!$D$4:$D$66"")=DA$2),$F$3:$BP$3,$F10:$BP10)))"),-0.09863237499999998)</f>
        <v>-0.098632375</v>
      </c>
      <c r="DB10" s="207" t="str">
        <f>IFERROR(__xludf.DUMMYFUNCTION("IF(OR(DA10&gt;$BR10+$BS10*$BS$2,DA10&lt;$BR10-$BS10*$BS$2),AVEDEV(ARRAYFORMULA(XLOOKUP(FILTER(INDIRECT(""'""&amp;DA$1&amp;""'!$C$4:$C$66""),INDIRECT(""'""&amp;DA$1&amp;""'!$D$4:$D$66"")=DA$2),$F$3:$BP$3,$F10:$BP10))),"""")"),"")</f>
        <v/>
      </c>
      <c r="DC10" s="251">
        <f>IFERROR(__xludf.DUMMYFUNCTION("AVERAGE(ARRAYFORMULA(XLOOKUP(FILTER(INDIRECT(""'""&amp;DC$1&amp;""'!$C$4:$C$66""),INDIRECT(""'""&amp;DC$1&amp;""'!$D$4:$D$66"")=DC$2),$F$3:$BP$3,$F10:$BP10)))"),-0.24841803888888883)</f>
        <v>-0.2484180389</v>
      </c>
      <c r="DD10" s="207" t="str">
        <f>IFERROR(__xludf.DUMMYFUNCTION("IF(OR(DC10&gt;$BR10+$BS10*$BS$2,DC10&lt;$BR10-$BS10*$BS$2),AVEDEV(ARRAYFORMULA(XLOOKUP(FILTER(INDIRECT(""'""&amp;DC$1&amp;""'!$C$4:$C$66""),INDIRECT(""'""&amp;DC$1&amp;""'!$D$4:$D$66"")=DC$2),$F$3:$BP$3,$F10:$BP10))),"""")"),"")</f>
        <v/>
      </c>
      <c r="DE10" s="251">
        <f>IFERROR(__xludf.DUMMYFUNCTION("AVERAGE(ARRAYFORMULA(XLOOKUP(FILTER(INDIRECT(""'""&amp;DE$1&amp;""'!$C$4:$C$66""),INDIRECT(""'""&amp;DE$1&amp;""'!$D$4:$D$66"")=DE$2),$F$3:$BP$3,$F10:$BP10)))"),-0.6883802825)</f>
        <v>-0.6883802825</v>
      </c>
      <c r="DF10" s="207" t="str">
        <f>IFERROR(__xludf.DUMMYFUNCTION("IF(OR(DE10&gt;$BR10+$BS10*$BS$2,DE10&lt;$BR10-$BS10*$BS$2),AVEDEV(ARRAYFORMULA(XLOOKUP(FILTER(INDIRECT(""'""&amp;DE$1&amp;""'!$C$4:$C$66""),INDIRECT(""'""&amp;DE$1&amp;""'!$D$4:$D$66"")=DE$2),$F$3:$BP$3,$F10:$BP10))),"""")"),"")</f>
        <v/>
      </c>
      <c r="DG10" s="251">
        <f>IFERROR(__xludf.DUMMYFUNCTION("AVERAGE(ARRAYFORMULA(XLOOKUP(FILTER(INDIRECT(""'""&amp;DG$1&amp;""'!$C$4:$C$66""),INDIRECT(""'""&amp;DG$1&amp;""'!$D$4:$D$66"")=DG$2),$F$3:$BP$3,$F10:$BP10)))"),0.016806145555555558)</f>
        <v>0.01680614556</v>
      </c>
      <c r="DH10" s="207" t="str">
        <f>IFERROR(__xludf.DUMMYFUNCTION("IF(OR(DG10&gt;$BR10+$BS10*$BS$2,DG10&lt;$BR10-$BS10*$BS$2),AVEDEV(ARRAYFORMULA(XLOOKUP(FILTER(INDIRECT(""'""&amp;DG$1&amp;""'!$C$4:$C$66""),INDIRECT(""'""&amp;DG$1&amp;""'!$D$4:$D$66"")=DG$2),$F$3:$BP$3,$F10:$BP10))),"""")"),"")</f>
        <v/>
      </c>
      <c r="DI10" s="252"/>
    </row>
    <row r="11">
      <c r="A11" s="2"/>
      <c r="B11" s="204" t="s">
        <v>442</v>
      </c>
      <c r="C11" s="204" t="s">
        <v>451</v>
      </c>
      <c r="D11" s="205" t="b">
        <f>VLOOKUP(C11,'Feature Set List'!A8:C246,2,0)</f>
        <v>1</v>
      </c>
      <c r="E11" s="205" t="b">
        <f>VLOOKUP(C11,'Feature Set List'!A8:C246,3,0)</f>
        <v>1</v>
      </c>
      <c r="F11" s="205">
        <v>0.42054063</v>
      </c>
      <c r="G11" s="205">
        <v>1.08600207</v>
      </c>
      <c r="H11" s="205">
        <v>1.05673209</v>
      </c>
      <c r="I11" s="205">
        <v>0.46444559</v>
      </c>
      <c r="J11" s="205">
        <v>4.97804752</v>
      </c>
      <c r="K11" s="205">
        <v>-0.1181129</v>
      </c>
      <c r="L11" s="205">
        <v>-0.4240702</v>
      </c>
      <c r="M11" s="205">
        <v>0.50576791</v>
      </c>
      <c r="N11" s="205">
        <v>-0.4672865</v>
      </c>
      <c r="O11" s="205">
        <v>-0.4270833</v>
      </c>
      <c r="P11" s="205">
        <v>-0.1927514</v>
      </c>
      <c r="Q11" s="205">
        <v>-0.5961605</v>
      </c>
      <c r="R11" s="205">
        <v>0.31981749</v>
      </c>
      <c r="S11" s="205">
        <v>0.0</v>
      </c>
      <c r="T11" s="205">
        <v>-0.5711002</v>
      </c>
      <c r="U11" s="205">
        <v>-0.3434056</v>
      </c>
      <c r="V11" s="205">
        <v>0.43259298</v>
      </c>
      <c r="W11" s="205">
        <v>-0.3898933</v>
      </c>
      <c r="X11" s="205">
        <v>-0.0119663</v>
      </c>
      <c r="Y11" s="205">
        <v>0.14643595</v>
      </c>
      <c r="Z11" s="205">
        <v>1.19705579</v>
      </c>
      <c r="AA11" s="205">
        <v>-0.4368974</v>
      </c>
      <c r="AB11" s="205">
        <v>0.67708333</v>
      </c>
      <c r="AC11" s="205">
        <v>0.78985882</v>
      </c>
      <c r="AD11" s="205">
        <v>-0.0315083</v>
      </c>
      <c r="AE11" s="205">
        <v>-0.2808196</v>
      </c>
      <c r="AF11" s="205">
        <v>-0.2591253</v>
      </c>
      <c r="AG11" s="205">
        <v>-0.4646178</v>
      </c>
      <c r="AH11" s="205">
        <v>-0.0290117</v>
      </c>
      <c r="AI11" s="205">
        <v>0.534177</v>
      </c>
      <c r="AJ11" s="205">
        <v>-0.0990014</v>
      </c>
      <c r="AK11" s="205">
        <v>-0.3219697</v>
      </c>
      <c r="AL11" s="205">
        <v>2.40573347</v>
      </c>
      <c r="AM11" s="205">
        <v>-0.2240014</v>
      </c>
      <c r="AN11" s="205">
        <v>-0.2938189</v>
      </c>
      <c r="AO11" s="205">
        <v>0.37921832</v>
      </c>
      <c r="AP11" s="205">
        <v>2.37043733</v>
      </c>
      <c r="AQ11" s="205">
        <v>2.01661501</v>
      </c>
      <c r="AR11" s="205">
        <v>0.72615358</v>
      </c>
      <c r="AS11" s="205">
        <v>-0.1458333</v>
      </c>
      <c r="AT11" s="205">
        <v>0.98786157</v>
      </c>
      <c r="AU11" s="205">
        <v>-0.0176481</v>
      </c>
      <c r="AV11" s="205">
        <v>1.93052686</v>
      </c>
      <c r="AW11" s="205">
        <v>-0.1779442</v>
      </c>
      <c r="AX11" s="205">
        <v>-0.4360365</v>
      </c>
      <c r="AY11" s="205">
        <v>0.9491219</v>
      </c>
      <c r="AZ11" s="205">
        <v>-0.082042</v>
      </c>
      <c r="BA11" s="205">
        <v>0.76231061</v>
      </c>
      <c r="BB11" s="205">
        <v>-0.3989325</v>
      </c>
      <c r="BC11" s="205">
        <v>1.34168388</v>
      </c>
      <c r="BD11" s="205">
        <v>-0.5003444</v>
      </c>
      <c r="BE11" s="205">
        <v>0.56172521</v>
      </c>
      <c r="BF11" s="205">
        <v>0.05320248</v>
      </c>
      <c r="BG11" s="205">
        <v>0.73390152</v>
      </c>
      <c r="BH11" s="205">
        <v>1.79020317</v>
      </c>
      <c r="BI11" s="205">
        <v>-0.1102789</v>
      </c>
      <c r="BJ11" s="205">
        <v>0.41107094</v>
      </c>
      <c r="BK11" s="205">
        <v>-0.0490702</v>
      </c>
      <c r="BL11" s="205">
        <v>-0.5672262</v>
      </c>
      <c r="BM11" s="205">
        <v>1.03176653</v>
      </c>
      <c r="BN11" s="205">
        <v>0.31551309</v>
      </c>
      <c r="BO11" s="205">
        <v>0.51179408</v>
      </c>
      <c r="BP11" s="205">
        <v>-0.1101067</v>
      </c>
      <c r="BQ11" s="206"/>
      <c r="BR11" s="250">
        <f t="shared" si="1"/>
        <v>0.3699893971</v>
      </c>
      <c r="BS11" s="250">
        <f t="shared" si="2"/>
        <v>0.6686575869</v>
      </c>
      <c r="BT11" s="206"/>
      <c r="BU11" s="207">
        <f>IFERROR(__xludf.DUMMYFUNCTION("AVERAGE(ARRAYFORMULA(XLOOKUP(FILTER(INDIRECT(""'""&amp;BU$1&amp;""'!$C$4:$C$66""),INDIRECT(""'""&amp;BU$1&amp;""'!$D$4:$D$66"")=BU$2),$F$3:$BP$3,$F11:$BP11)))"),-0.21113612714285712)</f>
        <v>-0.2111361271</v>
      </c>
      <c r="BV11" s="207" t="str">
        <f>IFERROR(__xludf.DUMMYFUNCTION("IF(OR(BU11&gt;$BR11+$BS11*$BS$2,BU11&lt;$BR11-$BS11*$BS$2),AVEDEV(ARRAYFORMULA(XLOOKUP(FILTER(INDIRECT(""'""&amp;BU$1&amp;""'!$C$4:$C$66""),INDIRECT(""'""&amp;BU$1&amp;""'!$D$4:$D$66"")=BU$2),$F$3:$BP$3,$F11:$BP11))),"""")"),"")</f>
        <v/>
      </c>
      <c r="BW11" s="207">
        <f>IFERROR(__xludf.DUMMYFUNCTION("AVERAGE(ARRAYFORMULA(XLOOKUP(FILTER(INDIRECT(""'""&amp;BW$1&amp;""'!$C$4:$C$66""),INDIRECT(""'""&amp;BW$1&amp;""'!$D$4:$D$66"")=BW$2),$F$3:$BP$3,$F11:$BP11)))"),0.5121445800000001)</f>
        <v>0.51214458</v>
      </c>
      <c r="BX11" s="207" t="str">
        <f>IFERROR(__xludf.DUMMYFUNCTION("IF(OR(BW11&gt;$BR11+$BS11*$BS$2,BW11&lt;$BR11-$BS11*$BS$2),AVEDEV(ARRAYFORMULA(XLOOKUP(FILTER(INDIRECT(""'""&amp;BW$1&amp;""'!$C$4:$C$66""),INDIRECT(""'""&amp;BW$1&amp;""'!$D$4:$D$66"")=BW$2),$F$3:$BP$3,$F11:$BP11))),"""")"),"")</f>
        <v/>
      </c>
      <c r="BY11" s="207">
        <f>IFERROR(__xludf.DUMMYFUNCTION("AVERAGE(ARRAYFORMULA(XLOOKUP(FILTER(INDIRECT(""'""&amp;BY$1&amp;""'!$C$4:$C$66""),INDIRECT(""'""&amp;BY$1&amp;""'!$D$4:$D$66"")=BY$2),$F$3:$BP$3,$F11:$BP11)))"),-0.00991499909090909)</f>
        <v>-0.009914999091</v>
      </c>
      <c r="BZ11" s="207" t="str">
        <f>IFERROR(__xludf.DUMMYFUNCTION("IF(OR(BY11&gt;$BR11+$BS11*$BS$2,BY11&lt;$BR11-$BS11*$BS$2),AVEDEV(ARRAYFORMULA(XLOOKUP(FILTER(INDIRECT(""'""&amp;BY$1&amp;""'!$C$4:$C$66""),INDIRECT(""'""&amp;BY$1&amp;""'!$D$4:$D$66"")=BY$2),$F$3:$BP$3,$F11:$BP11))),"""")"),"")</f>
        <v/>
      </c>
      <c r="CA11" s="209"/>
      <c r="CB11" s="207">
        <f>IFERROR(__xludf.DUMMYFUNCTION("AVERAGE(ARRAYFORMULA(XLOOKUP(FILTER(INDIRECT(""'""&amp;CB$1&amp;""'!$C$4:$C$66""),INDIRECT(""'""&amp;CB$1&amp;""'!$D$4:$D$66"")=CB$2),$F$3:$BP$3,$F11:$BP11)))"),0.72246847625)</f>
        <v>0.7224684763</v>
      </c>
      <c r="CC11" s="207" t="str">
        <f>IFERROR(__xludf.DUMMYFUNCTION("IF(OR(CB11&gt;$BR11+$BS11*$BS$2,CB11&lt;$BR11-$BS11*$BS$2),AVEDEV(ARRAYFORMULA(XLOOKUP(FILTER(INDIRECT(""'""&amp;CB$1&amp;""'!$C$4:$C$66""),INDIRECT(""'""&amp;CB$1&amp;""'!$D$4:$D$66"")=CB$2),$F$3:$BP$3,$F11:$BP11))),"""")"),"")</f>
        <v/>
      </c>
      <c r="CD11" s="207">
        <f>IFERROR(__xludf.DUMMYFUNCTION("AVERAGE(ARRAYFORMULA(XLOOKUP(FILTER(INDIRECT(""'""&amp;CD$1&amp;""'!$C$4:$C$66""),INDIRECT(""'""&amp;CD$1&amp;""'!$D$4:$D$66"")=CD$2),$F$3:$BP$3,$F11:$BP11)))"),0.21995523129032257)</f>
        <v>0.2199552313</v>
      </c>
      <c r="CE11" s="207" t="str">
        <f>IFERROR(__xludf.DUMMYFUNCTION("IF(OR(CD11&gt;$BR11+$BS11*$BS$2,CD11&lt;$BR11-$BS11*$BS$2),AVEDEV(ARRAYFORMULA(XLOOKUP(FILTER(INDIRECT(""'""&amp;CD$1&amp;""'!$C$4:$C$66""),INDIRECT(""'""&amp;CD$1&amp;""'!$D$4:$D$66"")=CD$2),$F$3:$BP$3,$F11:$BP11))),"""")"),"")</f>
        <v/>
      </c>
      <c r="CF11" s="207">
        <f>IFERROR(__xludf.DUMMYFUNCTION("AVERAGE(ARRAYFORMULA(XLOOKUP(FILTER(INDIRECT(""'""&amp;CF$1&amp;""'!$C$4:$C$66""),INDIRECT(""'""&amp;CF$1&amp;""'!$D$4:$D$66"")=CF$2),$F$3:$BP$3,$F11:$BP11)))"),0.05404615199999999)</f>
        <v>0.054046152</v>
      </c>
      <c r="CG11" s="207" t="str">
        <f>IFERROR(__xludf.DUMMYFUNCTION("IF(OR(CF11&gt;$BR11+$BS11*$BS$2,CF11&lt;$BR11-$BS11*$BS$2),AVEDEV(ARRAYFORMULA(XLOOKUP(FILTER(INDIRECT(""'""&amp;CF$1&amp;""'!$C$4:$C$66""),INDIRECT(""'""&amp;CF$1&amp;""'!$D$4:$D$66"")=CF$2),$F$3:$BP$3,$F11:$BP11))),"""")"),"")</f>
        <v/>
      </c>
      <c r="CH11" s="206"/>
      <c r="CI11" s="251">
        <f>IFERROR(__xludf.DUMMYFUNCTION("AVERAGE(ARRAYFORMULA(XLOOKUP(FILTER(INDIRECT(""'""&amp;CI$1&amp;""'!$C$4:$C$66""),INDIRECT(""'""&amp;CI$1&amp;""'!$D$4:$D$66"")=CI$2),$F$3:$BP$3,$F11:$BP11)))"),0.05059227733333334)</f>
        <v>0.05059227733</v>
      </c>
      <c r="CJ11" s="207" t="str">
        <f>IFERROR(__xludf.DUMMYFUNCTION("IF(OR(CI11&gt;$BR11+$BS11*$BS$2,CI11&lt;$BR11-$BS11*$BS$2),AVEDEV(ARRAYFORMULA(XLOOKUP(FILTER(INDIRECT(""'""&amp;CI$1&amp;""'!$C$4:$C$66""),INDIRECT(""'""&amp;CI$1&amp;""'!$D$4:$D$66"")=CI$2),$F$3:$BP$3,$F11:$BP11))),"""")"),"")</f>
        <v/>
      </c>
      <c r="CK11" s="251">
        <f>IFERROR(__xludf.DUMMYFUNCTION("AVERAGE(ARRAYFORMULA(XLOOKUP(FILTER(INDIRECT(""'""&amp;CK$1&amp;""'!$C$4:$C$66""),INDIRECT(""'""&amp;CK$1&amp;""'!$D$4:$D$66"")=CK$2),$F$3:$BP$3,$F11:$BP11)))"),0.48571819897435903)</f>
        <v>0.485718199</v>
      </c>
      <c r="CL11" s="207" t="str">
        <f>IFERROR(__xludf.DUMMYFUNCTION("IF(OR(CK11&gt;$BR11+$BS11*$BS$2,CK11&lt;$BR11-$BS11*$BS$2),AVEDEV(ARRAYFORMULA(XLOOKUP(FILTER(INDIRECT(""'""&amp;CK$1&amp;""'!$C$4:$C$66""),INDIRECT(""'""&amp;CK$1&amp;""'!$D$4:$D$66"")=CK$2),$F$3:$BP$3,$F11:$BP11))),"""")"),"")</f>
        <v/>
      </c>
      <c r="CM11" s="251">
        <f>IFERROR(__xludf.DUMMYFUNCTION("AVERAGE(ARRAYFORMULA(XLOOKUP(FILTER(INDIRECT(""'""&amp;CM$1&amp;""'!$C$4:$C$66""),INDIRECT(""'""&amp;CM$1&amp;""'!$D$4:$D$66"")=CM$2),$F$3:$BP$3,$F11:$BP11)))"),0.05404615199999999)</f>
        <v>0.054046152</v>
      </c>
      <c r="CN11" s="207" t="str">
        <f>IFERROR(__xludf.DUMMYFUNCTION("IF(OR(CM11&gt;$BR11+$BS11*$BS$2,CM11&lt;$BR11-$BS11*$BS$2),AVEDEV(ARRAYFORMULA(XLOOKUP(FILTER(INDIRECT(""'""&amp;CM$1&amp;""'!$C$4:$C$66""),INDIRECT(""'""&amp;CM$1&amp;""'!$D$4:$D$66"")=CM$2),$F$3:$BP$3,$F11:$BP11))),"""")"),"")</f>
        <v/>
      </c>
      <c r="CO11" s="252"/>
      <c r="CP11" s="251">
        <f>IFERROR(__xludf.DUMMYFUNCTION("AVERAGE(ARRAYFORMULA(XLOOKUP(FILTER(INDIRECT(""'""&amp;CP$1&amp;""'!$C$4:$C$66""),INDIRECT(""'""&amp;CP$1&amp;""'!$D$4:$D$66"")=CP$2),$F$3:$BP$3,$F11:$BP11)))"),0.4732265878571429)</f>
        <v>0.4732265879</v>
      </c>
      <c r="CQ11" s="207" t="str">
        <f>IFERROR(__xludf.DUMMYFUNCTION("IF(OR(CP11&gt;$BR11+$BS11*$BS$2,CP11&lt;$BR11-$BS11*$BS$2),AVEDEV(ARRAYFORMULA(XLOOKUP(FILTER(INDIRECT(""'""&amp;CP$1&amp;""'!$C$4:$C$66""),INDIRECT(""'""&amp;CP$1&amp;""'!$D$4:$D$66"")=CP$2),$F$3:$BP$3,$F11:$BP11))),"""")"),"")</f>
        <v/>
      </c>
      <c r="CR11" s="251">
        <f>IFERROR(__xludf.DUMMYFUNCTION("AVERAGE(ARRAYFORMULA(XLOOKUP(FILTER(INDIRECT(""'""&amp;CR$1&amp;""'!$C$4:$C$66""),INDIRECT(""'""&amp;CR$1&amp;""'!$D$4:$D$66"")=CR$2),$F$3:$BP$3,$F11:$BP11)))"),-0.05455118777777778)</f>
        <v>-0.05455118778</v>
      </c>
      <c r="CS11" s="207" t="str">
        <f>IFERROR(__xludf.DUMMYFUNCTION("IF(OR(CR11&gt;$BR11+$BS11*$BS$2,CR11&lt;$BR11-$BS11*$BS$2),AVEDEV(ARRAYFORMULA(XLOOKUP(FILTER(INDIRECT(""'""&amp;CR$1&amp;""'!$C$4:$C$66""),INDIRECT(""'""&amp;CR$1&amp;""'!$D$4:$D$66"")=CR$2),$F$3:$BP$3,$F11:$BP11))),"""")"),"")</f>
        <v/>
      </c>
      <c r="CT11" s="251">
        <f>IFERROR(__xludf.DUMMYFUNCTION("AVERAGE(ARRAYFORMULA(XLOOKUP(FILTER(INDIRECT(""'""&amp;CT$1&amp;""'!$C$4:$C$66""),INDIRECT(""'""&amp;CT$1&amp;""'!$D$4:$D$66"")=CT$2),$F$3:$BP$3,$F11:$BP11)))"),0.4411391772727272)</f>
        <v>0.4411391773</v>
      </c>
      <c r="CU11" s="207" t="str">
        <f>IFERROR(__xludf.DUMMYFUNCTION("IF(OR(CT11&gt;$BR11+$BS11*$BS$2,CT11&lt;$BR11-$BS11*$BS$2),AVEDEV(ARRAYFORMULA(XLOOKUP(FILTER(INDIRECT(""'""&amp;CT$1&amp;""'!$C$4:$C$66""),INDIRECT(""'""&amp;CT$1&amp;""'!$D$4:$D$66"")=CT$2),$F$3:$BP$3,$F11:$BP11))),"""")"),"")</f>
        <v/>
      </c>
      <c r="CV11" s="251">
        <f>IFERROR(__xludf.DUMMYFUNCTION("AVERAGE(ARRAYFORMULA(XLOOKUP(FILTER(INDIRECT(""'""&amp;CV$1&amp;""'!$C$4:$C$66""),INDIRECT(""'""&amp;CV$1&amp;""'!$D$4:$D$66"")=CV$2),$F$3:$BP$3,$F11:$BP11)))"),0.76188017)</f>
        <v>0.76188017</v>
      </c>
      <c r="CW11" s="207" t="str">
        <f>IFERROR(__xludf.DUMMYFUNCTION("IF(OR(CV11&gt;$BR11+$BS11*$BS$2,CV11&lt;$BR11-$BS11*$BS$2),AVEDEV(ARRAYFORMULA(XLOOKUP(FILTER(INDIRECT(""'""&amp;CV$1&amp;""'!$C$4:$C$66""),INDIRECT(""'""&amp;CV$1&amp;""'!$D$4:$D$66"")=CV$2),$F$3:$BP$3,$F11:$BP11))),"""")"),"")</f>
        <v/>
      </c>
      <c r="CX11" s="251">
        <f>IFERROR(__xludf.DUMMYFUNCTION("AVERAGE(ARRAYFORMULA(XLOOKUP(FILTER(INDIRECT(""'""&amp;CX$1&amp;""'!$C$4:$C$66""),INDIRECT(""'""&amp;CX$1&amp;""'!$D$4:$D$66"")=CX$2),$F$3:$BP$3,$F11:$BP11)))"),0.26810926000000007)</f>
        <v>0.26810926</v>
      </c>
      <c r="CY11" s="207" t="str">
        <f>IFERROR(__xludf.DUMMYFUNCTION("IF(OR(CX11&gt;$BR11+$BS11*$BS$2,CX11&lt;$BR11-$BS11*$BS$2),AVEDEV(ARRAYFORMULA(XLOOKUP(FILTER(INDIRECT(""'""&amp;CX$1&amp;""'!$C$4:$C$66""),INDIRECT(""'""&amp;CX$1&amp;""'!$D$4:$D$66"")=CX$2),$F$3:$BP$3,$F11:$BP11))),"""")"),"")</f>
        <v/>
      </c>
      <c r="CZ11" s="252"/>
      <c r="DA11" s="251">
        <f>IFERROR(__xludf.DUMMYFUNCTION("AVERAGE(ARRAYFORMULA(XLOOKUP(FILTER(INDIRECT(""'""&amp;DA$1&amp;""'!$C$4:$C$66""),INDIRECT(""'""&amp;DA$1&amp;""'!$D$4:$D$66"")=DA$2),$F$3:$BP$3,$F11:$BP11)))"),0.36173381699999996)</f>
        <v>0.361733817</v>
      </c>
      <c r="DB11" s="207" t="str">
        <f>IFERROR(__xludf.DUMMYFUNCTION("IF(OR(DA11&gt;$BR11+$BS11*$BS$2,DA11&lt;$BR11-$BS11*$BS$2),AVEDEV(ARRAYFORMULA(XLOOKUP(FILTER(INDIRECT(""'""&amp;DA$1&amp;""'!$C$4:$C$66""),INDIRECT(""'""&amp;DA$1&amp;""'!$D$4:$D$66"")=DA$2),$F$3:$BP$3,$F11:$BP11))),"""")"),"")</f>
        <v/>
      </c>
      <c r="DC11" s="251">
        <f>IFERROR(__xludf.DUMMYFUNCTION("AVERAGE(ARRAYFORMULA(XLOOKUP(FILTER(INDIRECT(""'""&amp;DC$1&amp;""'!$C$4:$C$66""),INDIRECT(""'""&amp;DC$1&amp;""'!$D$4:$D$66"")=DC$2),$F$3:$BP$3,$F11:$BP11)))"),-0.08700545444444442)</f>
        <v>-0.08700545444</v>
      </c>
      <c r="DD11" s="207" t="str">
        <f>IFERROR(__xludf.DUMMYFUNCTION("IF(OR(DC11&gt;$BR11+$BS11*$BS$2,DC11&lt;$BR11-$BS11*$BS$2),AVEDEV(ARRAYFORMULA(XLOOKUP(FILTER(INDIRECT(""'""&amp;DC$1&amp;""'!$C$4:$C$66""),INDIRECT(""'""&amp;DC$1&amp;""'!$D$4:$D$66"")=DC$2),$F$3:$BP$3,$F11:$BP11))),"""")"),"")</f>
        <v/>
      </c>
      <c r="DE11" s="251">
        <f>IFERROR(__xludf.DUMMYFUNCTION("AVERAGE(ARRAYFORMULA(XLOOKUP(FILTER(INDIRECT(""'""&amp;DE$1&amp;""'!$C$4:$C$66""),INDIRECT(""'""&amp;DE$1&amp;""'!$D$4:$D$66"")=DE$2),$F$3:$BP$3,$F11:$BP11)))"),0.11619856)</f>
        <v>0.11619856</v>
      </c>
      <c r="DF11" s="207" t="str">
        <f>IFERROR(__xludf.DUMMYFUNCTION("IF(OR(DE11&gt;$BR11+$BS11*$BS$2,DE11&lt;$BR11-$BS11*$BS$2),AVEDEV(ARRAYFORMULA(XLOOKUP(FILTER(INDIRECT(""'""&amp;DE$1&amp;""'!$C$4:$C$66""),INDIRECT(""'""&amp;DE$1&amp;""'!$D$4:$D$66"")=DE$2),$F$3:$BP$3,$F11:$BP11))),"""")"),"")</f>
        <v/>
      </c>
      <c r="DG11" s="251">
        <f>IFERROR(__xludf.DUMMYFUNCTION("AVERAGE(ARRAYFORMULA(XLOOKUP(FILTER(INDIRECT(""'""&amp;DG$1&amp;""'!$C$4:$C$66""),INDIRECT(""'""&amp;DG$1&amp;""'!$D$4:$D$66"")=DG$2),$F$3:$BP$3,$F11:$BP11)))"),0.8489631077777777)</f>
        <v>0.8489631078</v>
      </c>
      <c r="DH11" s="207" t="str">
        <f>IFERROR(__xludf.DUMMYFUNCTION("IF(OR(DG11&gt;$BR11+$BS11*$BS$2,DG11&lt;$BR11-$BS11*$BS$2),AVEDEV(ARRAYFORMULA(XLOOKUP(FILTER(INDIRECT(""'""&amp;DG$1&amp;""'!$C$4:$C$66""),INDIRECT(""'""&amp;DG$1&amp;""'!$D$4:$D$66"")=DG$2),$F$3:$BP$3,$F11:$BP11))),"""")"),"")</f>
        <v/>
      </c>
      <c r="DI11" s="252"/>
    </row>
    <row r="12">
      <c r="A12" s="2"/>
      <c r="B12" s="204" t="s">
        <v>442</v>
      </c>
      <c r="C12" s="204" t="s">
        <v>452</v>
      </c>
      <c r="D12" s="205" t="b">
        <f>VLOOKUP(C12,'Feature Set List'!A9:C246,2,0)</f>
        <v>1</v>
      </c>
      <c r="E12" s="205" t="b">
        <f>VLOOKUP(C12,'Feature Set List'!A9:C246,3,0)</f>
        <v>1</v>
      </c>
      <c r="F12" s="205">
        <v>0.0</v>
      </c>
      <c r="G12" s="205">
        <v>0.66666667</v>
      </c>
      <c r="H12" s="205">
        <v>0.0</v>
      </c>
      <c r="I12" s="205">
        <v>-1.0</v>
      </c>
      <c r="J12" s="205">
        <v>0.66666667</v>
      </c>
      <c r="K12" s="205">
        <v>0.33333333</v>
      </c>
      <c r="L12" s="205">
        <v>-0.6666667</v>
      </c>
      <c r="M12" s="205">
        <v>-0.6666667</v>
      </c>
      <c r="N12" s="205">
        <v>-0.6666667</v>
      </c>
      <c r="O12" s="205">
        <v>0.33333333</v>
      </c>
      <c r="P12" s="205">
        <v>0.0</v>
      </c>
      <c r="Q12" s="205">
        <v>-1.0</v>
      </c>
      <c r="R12" s="205">
        <v>0.0</v>
      </c>
      <c r="S12" s="205">
        <v>0.0</v>
      </c>
      <c r="T12" s="205">
        <v>0.0</v>
      </c>
      <c r="U12" s="205">
        <v>-0.6666667</v>
      </c>
      <c r="V12" s="205">
        <v>-1.0</v>
      </c>
      <c r="W12" s="205">
        <v>-0.6666667</v>
      </c>
      <c r="X12" s="205">
        <v>-1.0</v>
      </c>
      <c r="Y12" s="205">
        <v>-0.6666667</v>
      </c>
      <c r="Z12" s="205">
        <v>0.0</v>
      </c>
      <c r="AA12" s="205">
        <v>-0.6666667</v>
      </c>
      <c r="AB12" s="205">
        <v>-0.3333333</v>
      </c>
      <c r="AC12" s="205">
        <v>0.33333333</v>
      </c>
      <c r="AD12" s="205">
        <v>-0.6666667</v>
      </c>
      <c r="AE12" s="205">
        <v>0.33333333</v>
      </c>
      <c r="AF12" s="205">
        <v>-1.0</v>
      </c>
      <c r="AG12" s="205">
        <v>-0.3333333</v>
      </c>
      <c r="AH12" s="205">
        <v>0.33333333</v>
      </c>
      <c r="AI12" s="205">
        <v>0.33333333</v>
      </c>
      <c r="AJ12" s="205">
        <v>0.33333333</v>
      </c>
      <c r="AK12" s="205">
        <v>-0.3333333</v>
      </c>
      <c r="AL12" s="205">
        <v>-0.3333333</v>
      </c>
      <c r="AM12" s="205">
        <v>0.0</v>
      </c>
      <c r="AN12" s="205">
        <v>-0.6666667</v>
      </c>
      <c r="AO12" s="205">
        <v>-1.0</v>
      </c>
      <c r="AP12" s="205">
        <v>0.0</v>
      </c>
      <c r="AQ12" s="205">
        <v>0.66666667</v>
      </c>
      <c r="AR12" s="205">
        <v>-0.3333333</v>
      </c>
      <c r="AS12" s="205">
        <v>0.66666667</v>
      </c>
      <c r="AT12" s="205">
        <v>-0.3333333</v>
      </c>
      <c r="AU12" s="205">
        <v>-0.3333333</v>
      </c>
      <c r="AV12" s="205">
        <v>0.66666667</v>
      </c>
      <c r="AW12" s="205">
        <v>0.33333333</v>
      </c>
      <c r="AX12" s="205">
        <v>-0.6666667</v>
      </c>
      <c r="AY12" s="205">
        <v>-0.6666667</v>
      </c>
      <c r="AZ12" s="205">
        <v>0.33333333</v>
      </c>
      <c r="BA12" s="205">
        <v>0.0</v>
      </c>
      <c r="BB12" s="205">
        <v>0.0</v>
      </c>
      <c r="BC12" s="205">
        <v>-0.6666667</v>
      </c>
      <c r="BD12" s="205">
        <v>-1.3333333</v>
      </c>
      <c r="BE12" s="205">
        <v>0.0</v>
      </c>
      <c r="BF12" s="205">
        <v>-0.3333333</v>
      </c>
      <c r="BG12" s="205">
        <v>0.33333333</v>
      </c>
      <c r="BH12" s="205">
        <v>0.33333333</v>
      </c>
      <c r="BI12" s="205">
        <v>0.0</v>
      </c>
      <c r="BJ12" s="205">
        <v>0.0</v>
      </c>
      <c r="BK12" s="205">
        <v>-1.3333333</v>
      </c>
      <c r="BL12" s="205">
        <v>0.33333333</v>
      </c>
      <c r="BM12" s="205">
        <v>0.33333333</v>
      </c>
      <c r="BN12" s="205">
        <v>0.0</v>
      </c>
      <c r="BO12" s="205">
        <v>0.33333333</v>
      </c>
      <c r="BP12" s="205">
        <v>0.33333333</v>
      </c>
      <c r="BQ12" s="206"/>
      <c r="BR12" s="250">
        <f t="shared" si="1"/>
        <v>-0.1746031762</v>
      </c>
      <c r="BS12" s="250">
        <f t="shared" si="2"/>
        <v>0.4585537926</v>
      </c>
      <c r="BT12" s="206"/>
      <c r="BU12" s="207">
        <f>IFERROR(__xludf.DUMMYFUNCTION("AVERAGE(ARRAYFORMULA(XLOOKUP(FILTER(INDIRECT(""'""&amp;BU$1&amp;""'!$C$4:$C$66""),INDIRECT(""'""&amp;BU$1&amp;""'!$D$4:$D$66"")=BU$2),$F$3:$BP$3,$F12:$BP12)))"),-0.6666666714285715)</f>
        <v>-0.6666666714</v>
      </c>
      <c r="BV12" s="207">
        <f>IFERROR(__xludf.DUMMYFUNCTION("IF(OR(BU12&gt;$BR12+$BS12*$BS$2,BU12&lt;$BR12-$BS12*$BS$2),AVEDEV(ARRAYFORMULA(XLOOKUP(FILTER(INDIRECT(""'""&amp;BU$1&amp;""'!$C$4:$C$66""),INDIRECT(""'""&amp;BU$1&amp;""'!$D$4:$D$66"")=BU$2),$F$3:$BP$3,$F12:$BP12))),"""")"),0.3809523836734693)</f>
        <v>0.3809523837</v>
      </c>
      <c r="BW12" s="207">
        <f>IFERROR(__xludf.DUMMYFUNCTION("AVERAGE(ARRAYFORMULA(XLOOKUP(FILTER(INDIRECT(""'""&amp;BW$1&amp;""'!$C$4:$C$66""),INDIRECT(""'""&amp;BW$1&amp;""'!$D$4:$D$66"")=BW$2),$F$3:$BP$3,$F12:$BP12)))"),-0.0873015869047619)</f>
        <v>-0.0873015869</v>
      </c>
      <c r="BX12" s="207" t="str">
        <f>IFERROR(__xludf.DUMMYFUNCTION("IF(OR(BW12&gt;$BR12+$BS12*$BS$2,BW12&lt;$BR12-$BS12*$BS$2),AVEDEV(ARRAYFORMULA(XLOOKUP(FILTER(INDIRECT(""'""&amp;BW$1&amp;""'!$C$4:$C$66""),INDIRECT(""'""&amp;BW$1&amp;""'!$D$4:$D$66"")=BW$2),$F$3:$BP$3,$F12:$BP12))),"""")"),"")</f>
        <v/>
      </c>
      <c r="BY12" s="207">
        <f>IFERROR(__xludf.DUMMYFUNCTION("AVERAGE(ARRAYFORMULA(XLOOKUP(FILTER(INDIRECT(""'""&amp;BY$1&amp;""'!$C$4:$C$66""),INDIRECT(""'""&amp;BY$1&amp;""'!$D$4:$D$66"")=BY$2),$F$3:$BP$3,$F12:$BP12)))"),-0.1515151590909091)</f>
        <v>-0.1515151591</v>
      </c>
      <c r="BZ12" s="207" t="str">
        <f>IFERROR(__xludf.DUMMYFUNCTION("IF(OR(BY12&gt;$BR12+$BS12*$BS$2,BY12&lt;$BR12-$BS12*$BS$2),AVEDEV(ARRAYFORMULA(XLOOKUP(FILTER(INDIRECT(""'""&amp;BY$1&amp;""'!$C$4:$C$66""),INDIRECT(""'""&amp;BY$1&amp;""'!$D$4:$D$66"")=BY$2),$F$3:$BP$3,$F12:$BP12))),"""")"),"")</f>
        <v/>
      </c>
      <c r="CA12" s="209"/>
      <c r="CB12" s="207">
        <f>IFERROR(__xludf.DUMMYFUNCTION("AVERAGE(ARRAYFORMULA(XLOOKUP(FILTER(INDIRECT(""'""&amp;CB$1&amp;""'!$C$4:$C$66""),INDIRECT(""'""&amp;CB$1&amp;""'!$D$4:$D$66"")=CB$2),$F$3:$BP$3,$F12:$BP12)))"),-0.10416667249999999)</f>
        <v>-0.1041666725</v>
      </c>
      <c r="CC12" s="207" t="str">
        <f>IFERROR(__xludf.DUMMYFUNCTION("IF(OR(CB12&gt;$BR12+$BS12*$BS$2,CB12&lt;$BR12-$BS12*$BS$2),AVEDEV(ARRAYFORMULA(XLOOKUP(FILTER(INDIRECT(""'""&amp;CB$1&amp;""'!$C$4:$C$66""),INDIRECT(""'""&amp;CB$1&amp;""'!$D$4:$D$66"")=CB$2),$F$3:$BP$3,$F12:$BP12))),"""")"),"")</f>
        <v/>
      </c>
      <c r="CD12" s="207">
        <f>IFERROR(__xludf.DUMMYFUNCTION("AVERAGE(ARRAYFORMULA(XLOOKUP(FILTER(INDIRECT(""'""&amp;CD$1&amp;""'!$C$4:$C$66""),INDIRECT(""'""&amp;CD$1&amp;""'!$D$4:$D$66"")=CD$2),$F$3:$BP$3,$F12:$BP12)))"),-0.22580645258064513)</f>
        <v>-0.2258064526</v>
      </c>
      <c r="CE12" s="207" t="str">
        <f>IFERROR(__xludf.DUMMYFUNCTION("IF(OR(CD12&gt;$BR12+$BS12*$BS$2,CD12&lt;$BR12-$BS12*$BS$2),AVEDEV(ARRAYFORMULA(XLOOKUP(FILTER(INDIRECT(""'""&amp;CD$1&amp;""'!$C$4:$C$66""),INDIRECT(""'""&amp;CD$1&amp;""'!$D$4:$D$66"")=CD$2),$F$3:$BP$3,$F12:$BP12))),"""")"),"")</f>
        <v/>
      </c>
      <c r="CF12" s="207">
        <f>IFERROR(__xludf.DUMMYFUNCTION("AVERAGE(ARRAYFORMULA(XLOOKUP(FILTER(INDIRECT(""'""&amp;CF$1&amp;""'!$C$4:$C$66""),INDIRECT(""'""&amp;CF$1&amp;""'!$D$4:$D$66"")=CF$2),$F$3:$BP$3,$F12:$BP12)))"),1.199999999368373E-8)</f>
        <v>0.00000001199999999</v>
      </c>
      <c r="CG12" s="207" t="str">
        <f>IFERROR(__xludf.DUMMYFUNCTION("IF(OR(CF12&gt;$BR12+$BS12*$BS$2,CF12&lt;$BR12-$BS12*$BS$2),AVEDEV(ARRAYFORMULA(XLOOKUP(FILTER(INDIRECT(""'""&amp;CF$1&amp;""'!$C$4:$C$66""),INDIRECT(""'""&amp;CF$1&amp;""'!$D$4:$D$66"")=CF$2),$F$3:$BP$3,$F12:$BP12))),"""")"),"")</f>
        <v/>
      </c>
      <c r="CH12" s="206"/>
      <c r="CI12" s="251">
        <f>IFERROR(__xludf.DUMMYFUNCTION("AVERAGE(ARRAYFORMULA(XLOOKUP(FILTER(INDIRECT(""'""&amp;CI$1&amp;""'!$C$4:$C$66""),INDIRECT(""'""&amp;CI$1&amp;""'!$D$4:$D$66"")=CI$2),$F$3:$BP$3,$F12:$BP12)))"),-0.3111111133333333)</f>
        <v>-0.3111111133</v>
      </c>
      <c r="CJ12" s="207" t="str">
        <f>IFERROR(__xludf.DUMMYFUNCTION("IF(OR(CI12&gt;$BR12+$BS12*$BS$2,CI12&lt;$BR12-$BS12*$BS$2),AVEDEV(ARRAYFORMULA(XLOOKUP(FILTER(INDIRECT(""'""&amp;CI$1&amp;""'!$C$4:$C$66""),INDIRECT(""'""&amp;CI$1&amp;""'!$D$4:$D$66"")=CI$2),$F$3:$BP$3,$F12:$BP12))),"""")"),"")</f>
        <v/>
      </c>
      <c r="CK12" s="251">
        <f>IFERROR(__xludf.DUMMYFUNCTION("AVERAGE(ARRAYFORMULA(XLOOKUP(FILTER(INDIRECT(""'""&amp;CK$1&amp;""'!$C$4:$C$66""),INDIRECT(""'""&amp;CK$1&amp;""'!$D$4:$D$66"")=CK$2),$F$3:$BP$3,$F12:$BP12)))"),-0.1025641066666666)</f>
        <v>-0.1025641067</v>
      </c>
      <c r="CL12" s="207" t="str">
        <f>IFERROR(__xludf.DUMMYFUNCTION("IF(OR(CK12&gt;$BR12+$BS12*$BS$2,CK12&lt;$BR12-$BS12*$BS$2),AVEDEV(ARRAYFORMULA(XLOOKUP(FILTER(INDIRECT(""'""&amp;CK$1&amp;""'!$C$4:$C$66""),INDIRECT(""'""&amp;CK$1&amp;""'!$D$4:$D$66"")=CK$2),$F$3:$BP$3,$F12:$BP12))),"""")"),"")</f>
        <v/>
      </c>
      <c r="CM12" s="251">
        <f>IFERROR(__xludf.DUMMYFUNCTION("AVERAGE(ARRAYFORMULA(XLOOKUP(FILTER(INDIRECT(""'""&amp;CM$1&amp;""'!$C$4:$C$66""),INDIRECT(""'""&amp;CM$1&amp;""'!$D$4:$D$66"")=CM$2),$F$3:$BP$3,$F12:$BP12)))"),1.199999999368373E-8)</f>
        <v>0.00000001199999999</v>
      </c>
      <c r="CN12" s="207" t="str">
        <f>IFERROR(__xludf.DUMMYFUNCTION("IF(OR(CM12&gt;$BR12+$BS12*$BS$2,CM12&lt;$BR12-$BS12*$BS$2),AVEDEV(ARRAYFORMULA(XLOOKUP(FILTER(INDIRECT(""'""&amp;CM$1&amp;""'!$C$4:$C$66""),INDIRECT(""'""&amp;CM$1&amp;""'!$D$4:$D$66"")=CM$2),$F$3:$BP$3,$F12:$BP12))),"""")"),"")</f>
        <v/>
      </c>
      <c r="CO12" s="252"/>
      <c r="CP12" s="251">
        <f>IFERROR(__xludf.DUMMYFUNCTION("AVERAGE(ARRAYFORMULA(XLOOKUP(FILTER(INDIRECT(""'""&amp;CP$1&amp;""'!$C$4:$C$66""),INDIRECT(""'""&amp;CP$1&amp;""'!$D$4:$D$66"")=CP$2),$F$3:$BP$3,$F12:$BP12)))"),-0.23809524285714284)</f>
        <v>-0.2380952429</v>
      </c>
      <c r="CQ12" s="207" t="str">
        <f>IFERROR(__xludf.DUMMYFUNCTION("IF(OR(CP12&gt;$BR12+$BS12*$BS$2,CP12&lt;$BR12-$BS12*$BS$2),AVEDEV(ARRAYFORMULA(XLOOKUP(FILTER(INDIRECT(""'""&amp;CP$1&amp;""'!$C$4:$C$66""),INDIRECT(""'""&amp;CP$1&amp;""'!$D$4:$D$66"")=CP$2),$F$3:$BP$3,$F12:$BP12))),"""")"),"")</f>
        <v/>
      </c>
      <c r="CR12" s="251">
        <f>IFERROR(__xludf.DUMMYFUNCTION("AVERAGE(ARRAYFORMULA(XLOOKUP(FILTER(INDIRECT(""'""&amp;CR$1&amp;""'!$C$4:$C$66""),INDIRECT(""'""&amp;CR$1&amp;""'!$D$4:$D$66"")=CR$2),$F$3:$BP$3,$F12:$BP12)))"),-0.14814815333333334)</f>
        <v>-0.1481481533</v>
      </c>
      <c r="CS12" s="207" t="str">
        <f>IFERROR(__xludf.DUMMYFUNCTION("IF(OR(CR12&gt;$BR12+$BS12*$BS$2,CR12&lt;$BR12-$BS12*$BS$2),AVEDEV(ARRAYFORMULA(XLOOKUP(FILTER(INDIRECT(""'""&amp;CR$1&amp;""'!$C$4:$C$66""),INDIRECT(""'""&amp;CR$1&amp;""'!$D$4:$D$66"")=CR$2),$F$3:$BP$3,$F12:$BP12))),"""")"),"")</f>
        <v/>
      </c>
      <c r="CT12" s="251">
        <f>IFERROR(__xludf.DUMMYFUNCTION("AVERAGE(ARRAYFORMULA(XLOOKUP(FILTER(INDIRECT(""'""&amp;CT$1&amp;""'!$C$4:$C$66""),INDIRECT(""'""&amp;CT$1&amp;""'!$D$4:$D$66"")=CT$2),$F$3:$BP$3,$F12:$BP12)))"),-0.21212120272727272)</f>
        <v>-0.2121212027</v>
      </c>
      <c r="CU12" s="207" t="str">
        <f>IFERROR(__xludf.DUMMYFUNCTION("IF(OR(CT12&gt;$BR12+$BS12*$BS$2,CT12&lt;$BR12-$BS12*$BS$2),AVEDEV(ARRAYFORMULA(XLOOKUP(FILTER(INDIRECT(""'""&amp;CT$1&amp;""'!$C$4:$C$66""),INDIRECT(""'""&amp;CT$1&amp;""'!$D$4:$D$66"")=CT$2),$F$3:$BP$3,$F12:$BP12))),"""")"),"")</f>
        <v/>
      </c>
      <c r="CV12" s="251">
        <f>IFERROR(__xludf.DUMMYFUNCTION("AVERAGE(ARRAYFORMULA(XLOOKUP(FILTER(INDIRECT(""'""&amp;CV$1&amp;""'!$C$4:$C$66""),INDIRECT(""'""&amp;CV$1&amp;""'!$D$4:$D$66"")=CV$2),$F$3:$BP$3,$F12:$BP12)))"),0.33333333)</f>
        <v>0.33333333</v>
      </c>
      <c r="CW12" s="207">
        <f>IFERROR(__xludf.DUMMYFUNCTION("IF(OR(CV12&gt;$BR12+$BS12*$BS$2,CV12&lt;$BR12-$BS12*$BS$2),AVEDEV(ARRAYFORMULA(XLOOKUP(FILTER(INDIRECT(""'""&amp;CV$1&amp;""'!$C$4:$C$66""),INDIRECT(""'""&amp;CV$1&amp;""'!$D$4:$D$66"")=CV$2),$F$3:$BP$3,$F12:$BP12))),"""")"),0.0)</f>
        <v>0</v>
      </c>
      <c r="CX12" s="251">
        <f>IFERROR(__xludf.DUMMYFUNCTION("AVERAGE(ARRAYFORMULA(XLOOKUP(FILTER(INDIRECT(""'""&amp;CX$1&amp;""'!$C$4:$C$66""),INDIRECT(""'""&amp;CX$1&amp;""'!$D$4:$D$66"")=CX$2),$F$3:$BP$3,$F12:$BP12)))"),0.02380951785714286)</f>
        <v>0.02380951786</v>
      </c>
      <c r="CY12" s="207" t="str">
        <f>IFERROR(__xludf.DUMMYFUNCTION("IF(OR(CX12&gt;$BR12+$BS12*$BS$2,CX12&lt;$BR12-$BS12*$BS$2),AVEDEV(ARRAYFORMULA(XLOOKUP(FILTER(INDIRECT(""'""&amp;CX$1&amp;""'!$C$4:$C$66""),INDIRECT(""'""&amp;CX$1&amp;""'!$D$4:$D$66"")=CX$2),$F$3:$BP$3,$F12:$BP12))),"""")"),"")</f>
        <v/>
      </c>
      <c r="CZ12" s="252"/>
      <c r="DA12" s="251">
        <f>IFERROR(__xludf.DUMMYFUNCTION("AVERAGE(ARRAYFORMULA(XLOOKUP(FILTER(INDIRECT(""'""&amp;DA$1&amp;""'!$C$4:$C$66""),INDIRECT(""'""&amp;DA$1&amp;""'!$D$4:$D$66"")=DA$2),$F$3:$BP$3,$F12:$BP12)))"),-0.16666666699999996)</f>
        <v>-0.166666667</v>
      </c>
      <c r="DB12" s="207" t="str">
        <f>IFERROR(__xludf.DUMMYFUNCTION("IF(OR(DA12&gt;$BR12+$BS12*$BS$2,DA12&lt;$BR12-$BS12*$BS$2),AVEDEV(ARRAYFORMULA(XLOOKUP(FILTER(INDIRECT(""'""&amp;DA$1&amp;""'!$C$4:$C$66""),INDIRECT(""'""&amp;DA$1&amp;""'!$D$4:$D$66"")=DA$2),$F$3:$BP$3,$F12:$BP12))),"""")"),"")</f>
        <v/>
      </c>
      <c r="DC12" s="251">
        <f>IFERROR(__xludf.DUMMYFUNCTION("AVERAGE(ARRAYFORMULA(XLOOKUP(FILTER(INDIRECT(""'""&amp;DC$1&amp;""'!$C$4:$C$66""),INDIRECT(""'""&amp;DC$1&amp;""'!$D$4:$D$66"")=DC$2),$F$3:$BP$3,$F12:$BP12)))"),-0.07407407555555556)</f>
        <v>-0.07407407556</v>
      </c>
      <c r="DD12" s="207" t="str">
        <f>IFERROR(__xludf.DUMMYFUNCTION("IF(OR(DC12&gt;$BR12+$BS12*$BS$2,DC12&lt;$BR12-$BS12*$BS$2),AVEDEV(ARRAYFORMULA(XLOOKUP(FILTER(INDIRECT(""'""&amp;DC$1&amp;""'!$C$4:$C$66""),INDIRECT(""'""&amp;DC$1&amp;""'!$D$4:$D$66"")=DC$2),$F$3:$BP$3,$F12:$BP12))),"""")"),"")</f>
        <v/>
      </c>
      <c r="DE12" s="251">
        <f>IFERROR(__xludf.DUMMYFUNCTION("AVERAGE(ARRAYFORMULA(XLOOKUP(FILTER(INDIRECT(""'""&amp;DE$1&amp;""'!$C$4:$C$66""),INDIRECT(""'""&amp;DE$1&amp;""'!$D$4:$D$66"")=DE$2),$F$3:$BP$3,$F12:$BP12)))"),-0.33333334625)</f>
        <v>-0.3333333463</v>
      </c>
      <c r="DF12" s="207" t="str">
        <f>IFERROR(__xludf.DUMMYFUNCTION("IF(OR(DE12&gt;$BR12+$BS12*$BS$2,DE12&lt;$BR12-$BS12*$BS$2),AVEDEV(ARRAYFORMULA(XLOOKUP(FILTER(INDIRECT(""'""&amp;DE$1&amp;""'!$C$4:$C$66""),INDIRECT(""'""&amp;DE$1&amp;""'!$D$4:$D$66"")=DE$2),$F$3:$BP$3,$F12:$BP12))),"""")"),"")</f>
        <v/>
      </c>
      <c r="DG12" s="251">
        <f>IFERROR(__xludf.DUMMYFUNCTION("AVERAGE(ARRAYFORMULA(XLOOKUP(FILTER(INDIRECT(""'""&amp;DG$1&amp;""'!$C$4:$C$66""),INDIRECT(""'""&amp;DG$1&amp;""'!$D$4:$D$66"")=DG$2),$F$3:$BP$3,$F12:$BP12)))"),0.03703704333333333)</f>
        <v>0.03703704333</v>
      </c>
      <c r="DH12" s="207" t="str">
        <f>IFERROR(__xludf.DUMMYFUNCTION("IF(OR(DG12&gt;$BR12+$BS12*$BS$2,DG12&lt;$BR12-$BS12*$BS$2),AVEDEV(ARRAYFORMULA(XLOOKUP(FILTER(INDIRECT(""'""&amp;DG$1&amp;""'!$C$4:$C$66""),INDIRECT(""'""&amp;DG$1&amp;""'!$D$4:$D$66"")=DG$2),$F$3:$BP$3,$F12:$BP12))),"""")"),"")</f>
        <v/>
      </c>
      <c r="DI12" s="252"/>
    </row>
    <row r="13">
      <c r="A13" s="2"/>
      <c r="B13" s="204" t="s">
        <v>442</v>
      </c>
      <c r="C13" s="204" t="s">
        <v>453</v>
      </c>
      <c r="D13" s="205" t="b">
        <f>VLOOKUP(C13,'Feature Set List'!A10:C246,2,0)</f>
        <v>1</v>
      </c>
      <c r="E13" s="205" t="b">
        <f>VLOOKUP(C13,'Feature Set List'!A10:C246,3,0)</f>
        <v>1</v>
      </c>
      <c r="F13" s="205">
        <v>0.0</v>
      </c>
      <c r="G13" s="205">
        <v>1.0</v>
      </c>
      <c r="H13" s="205">
        <v>0.0</v>
      </c>
      <c r="I13" s="205">
        <v>1.0</v>
      </c>
      <c r="J13" s="205">
        <v>1.0</v>
      </c>
      <c r="K13" s="205">
        <v>0.0</v>
      </c>
      <c r="L13" s="205">
        <v>0.0</v>
      </c>
      <c r="M13" s="205">
        <v>0.0</v>
      </c>
      <c r="N13" s="205">
        <v>-1.0</v>
      </c>
      <c r="O13" s="205">
        <v>0.0</v>
      </c>
      <c r="P13" s="205">
        <v>-1.0</v>
      </c>
      <c r="Q13" s="205">
        <v>0.0</v>
      </c>
      <c r="R13" s="205">
        <v>0.0</v>
      </c>
      <c r="S13" s="205">
        <v>0.0</v>
      </c>
      <c r="T13" s="205">
        <v>-1.0</v>
      </c>
      <c r="U13" s="205">
        <v>0.0</v>
      </c>
      <c r="V13" s="205">
        <v>0.0</v>
      </c>
      <c r="W13" s="205">
        <v>-1.0</v>
      </c>
      <c r="X13" s="205">
        <v>1.0</v>
      </c>
      <c r="Y13" s="205">
        <v>0.0</v>
      </c>
      <c r="Z13" s="205">
        <v>1.0</v>
      </c>
      <c r="AA13" s="205">
        <v>-1.0</v>
      </c>
      <c r="AB13" s="205">
        <v>1.0</v>
      </c>
      <c r="AC13" s="205">
        <v>0.0</v>
      </c>
      <c r="AD13" s="205">
        <v>0.0</v>
      </c>
      <c r="AE13" s="205">
        <v>0.0</v>
      </c>
      <c r="AF13" s="205">
        <v>1.0</v>
      </c>
      <c r="AG13" s="205">
        <v>1.0</v>
      </c>
      <c r="AH13" s="205">
        <v>0.0</v>
      </c>
      <c r="AI13" s="205">
        <v>0.0</v>
      </c>
      <c r="AJ13" s="205">
        <v>0.0</v>
      </c>
      <c r="AK13" s="205">
        <v>1.0</v>
      </c>
      <c r="AL13" s="205">
        <v>1.0</v>
      </c>
      <c r="AM13" s="205">
        <v>0.0</v>
      </c>
      <c r="AN13" s="205">
        <v>0.0</v>
      </c>
      <c r="AO13" s="205">
        <v>0.0</v>
      </c>
      <c r="AP13" s="205">
        <v>-1.0</v>
      </c>
      <c r="AQ13" s="205">
        <v>0.0</v>
      </c>
      <c r="AR13" s="205">
        <v>0.0</v>
      </c>
      <c r="AS13" s="205">
        <v>1.0</v>
      </c>
      <c r="AT13" s="205">
        <v>-1.0</v>
      </c>
      <c r="AU13" s="205">
        <v>-1.0</v>
      </c>
      <c r="AV13" s="205">
        <v>0.0</v>
      </c>
      <c r="AW13" s="205">
        <v>-1.0</v>
      </c>
      <c r="AX13" s="205">
        <v>1.0</v>
      </c>
      <c r="AY13" s="205">
        <v>-1.0</v>
      </c>
      <c r="AZ13" s="205">
        <v>0.0</v>
      </c>
      <c r="BA13" s="205">
        <v>0.0</v>
      </c>
      <c r="BB13" s="205">
        <v>0.0</v>
      </c>
      <c r="BC13" s="205">
        <v>1.0</v>
      </c>
      <c r="BD13" s="205">
        <v>-1.0</v>
      </c>
      <c r="BE13" s="205">
        <v>1.0</v>
      </c>
      <c r="BF13" s="205">
        <v>0.0</v>
      </c>
      <c r="BG13" s="205">
        <v>0.0</v>
      </c>
      <c r="BH13" s="205">
        <v>0.0</v>
      </c>
      <c r="BI13" s="205">
        <v>1.0</v>
      </c>
      <c r="BJ13" s="205">
        <v>-1.0</v>
      </c>
      <c r="BK13" s="205">
        <v>1.0</v>
      </c>
      <c r="BL13" s="205">
        <v>0.0</v>
      </c>
      <c r="BM13" s="205">
        <v>1.0</v>
      </c>
      <c r="BN13" s="205">
        <v>0.0</v>
      </c>
      <c r="BO13" s="205">
        <v>0.0</v>
      </c>
      <c r="BP13" s="205">
        <v>0.0</v>
      </c>
      <c r="BQ13" s="206"/>
      <c r="BR13" s="250">
        <f t="shared" si="1"/>
        <v>0.07936507937</v>
      </c>
      <c r="BS13" s="250">
        <f t="shared" si="2"/>
        <v>0.4968505921</v>
      </c>
      <c r="BT13" s="206"/>
      <c r="BU13" s="207">
        <f>IFERROR(__xludf.DUMMYFUNCTION("AVERAGE(ARRAYFORMULA(XLOOKUP(FILTER(INDIRECT(""'""&amp;BU$1&amp;""'!$C$4:$C$66""),INDIRECT(""'""&amp;BU$1&amp;""'!$D$4:$D$66"")=BU$2),$F$3:$BP$3,$F13:$BP13)))"),-0.14285714285714285)</f>
        <v>-0.1428571429</v>
      </c>
      <c r="BV13" s="207" t="str">
        <f>IFERROR(__xludf.DUMMYFUNCTION("IF(OR(BU13&gt;$BR13+$BS13*$BS$2,BU13&lt;$BR13-$BS13*$BS$2),AVEDEV(ARRAYFORMULA(XLOOKUP(FILTER(INDIRECT(""'""&amp;BU$1&amp;""'!$C$4:$C$66""),INDIRECT(""'""&amp;BU$1&amp;""'!$D$4:$D$66"")=BU$2),$F$3:$BP$3,$F13:$BP13))),"""")"),"")</f>
        <v/>
      </c>
      <c r="BW13" s="207">
        <f>IFERROR(__xludf.DUMMYFUNCTION("AVERAGE(ARRAYFORMULA(XLOOKUP(FILTER(INDIRECT(""'""&amp;BW$1&amp;""'!$C$4:$C$66""),INDIRECT(""'""&amp;BW$1&amp;""'!$D$4:$D$66"")=BW$2),$F$3:$BP$3,$F13:$BP13)))"),0.14285714285714285)</f>
        <v>0.1428571429</v>
      </c>
      <c r="BX13" s="207" t="str">
        <f>IFERROR(__xludf.DUMMYFUNCTION("IF(OR(BW13&gt;$BR13+$BS13*$BS$2,BW13&lt;$BR13-$BS13*$BS$2),AVEDEV(ARRAYFORMULA(XLOOKUP(FILTER(INDIRECT(""'""&amp;BW$1&amp;""'!$C$4:$C$66""),INDIRECT(""'""&amp;BW$1&amp;""'!$D$4:$D$66"")=BW$2),$F$3:$BP$3,$F13:$BP13))),"""")"),"")</f>
        <v/>
      </c>
      <c r="BY13" s="207">
        <f>IFERROR(__xludf.DUMMYFUNCTION("AVERAGE(ARRAYFORMULA(XLOOKUP(FILTER(INDIRECT(""'""&amp;BY$1&amp;""'!$C$4:$C$66""),INDIRECT(""'""&amp;BY$1&amp;""'!$D$4:$D$66"")=BY$2),$F$3:$BP$3,$F13:$BP13)))"),0.0)</f>
        <v>0</v>
      </c>
      <c r="BZ13" s="207" t="str">
        <f>IFERROR(__xludf.DUMMYFUNCTION("IF(OR(BY13&gt;$BR13+$BS13*$BS$2,BY13&lt;$BR13-$BS13*$BS$2),AVEDEV(ARRAYFORMULA(XLOOKUP(FILTER(INDIRECT(""'""&amp;BY$1&amp;""'!$C$4:$C$66""),INDIRECT(""'""&amp;BY$1&amp;""'!$D$4:$D$66"")=BY$2),$F$3:$BP$3,$F13:$BP13))),"""")"),"")</f>
        <v/>
      </c>
      <c r="CA13" s="209"/>
      <c r="CB13" s="207">
        <f>IFERROR(__xludf.DUMMYFUNCTION("AVERAGE(ARRAYFORMULA(XLOOKUP(FILTER(INDIRECT(""'""&amp;CB$1&amp;""'!$C$4:$C$66""),INDIRECT(""'""&amp;CB$1&amp;""'!$D$4:$D$66"")=CB$2),$F$3:$BP$3,$F13:$BP13)))"),0.25)</f>
        <v>0.25</v>
      </c>
      <c r="CC13" s="207" t="str">
        <f>IFERROR(__xludf.DUMMYFUNCTION("IF(OR(CB13&gt;$BR13+$BS13*$BS$2,CB13&lt;$BR13-$BS13*$BS$2),AVEDEV(ARRAYFORMULA(XLOOKUP(FILTER(INDIRECT(""'""&amp;CB$1&amp;""'!$C$4:$C$66""),INDIRECT(""'""&amp;CB$1&amp;""'!$D$4:$D$66"")=CB$2),$F$3:$BP$3,$F13:$BP13))),"""")"),"")</f>
        <v/>
      </c>
      <c r="CD13" s="207">
        <f>IFERROR(__xludf.DUMMYFUNCTION("AVERAGE(ARRAYFORMULA(XLOOKUP(FILTER(INDIRECT(""'""&amp;CD$1&amp;""'!$C$4:$C$66""),INDIRECT(""'""&amp;CD$1&amp;""'!$D$4:$D$66"")=CD$2),$F$3:$BP$3,$F13:$BP13)))"),0.06451612903225806)</f>
        <v>0.06451612903</v>
      </c>
      <c r="CE13" s="207" t="str">
        <f>IFERROR(__xludf.DUMMYFUNCTION("IF(OR(CD13&gt;$BR13+$BS13*$BS$2,CD13&lt;$BR13-$BS13*$BS$2),AVEDEV(ARRAYFORMULA(XLOOKUP(FILTER(INDIRECT(""'""&amp;CD$1&amp;""'!$C$4:$C$66""),INDIRECT(""'""&amp;CD$1&amp;""'!$D$4:$D$66"")=CD$2),$F$3:$BP$3,$F13:$BP13))),"""")"),"")</f>
        <v/>
      </c>
      <c r="CF13" s="207">
        <f>IFERROR(__xludf.DUMMYFUNCTION("AVERAGE(ARRAYFORMULA(XLOOKUP(FILTER(INDIRECT(""'""&amp;CF$1&amp;""'!$C$4:$C$66""),INDIRECT(""'""&amp;CF$1&amp;""'!$D$4:$D$66"")=CF$2),$F$3:$BP$3,$F13:$BP13)))"),0.0)</f>
        <v>0</v>
      </c>
      <c r="CG13" s="207" t="str">
        <f>IFERROR(__xludf.DUMMYFUNCTION("IF(OR(CF13&gt;$BR13+$BS13*$BS$2,CF13&lt;$BR13-$BS13*$BS$2),AVEDEV(ARRAYFORMULA(XLOOKUP(FILTER(INDIRECT(""'""&amp;CF$1&amp;""'!$C$4:$C$66""),INDIRECT(""'""&amp;CF$1&amp;""'!$D$4:$D$66"")=CF$2),$F$3:$BP$3,$F13:$BP13))),"""")"),"")</f>
        <v/>
      </c>
      <c r="CH13" s="206"/>
      <c r="CI13" s="251">
        <f>IFERROR(__xludf.DUMMYFUNCTION("AVERAGE(ARRAYFORMULA(XLOOKUP(FILTER(INDIRECT(""'""&amp;CI$1&amp;""'!$C$4:$C$66""),INDIRECT(""'""&amp;CI$1&amp;""'!$D$4:$D$66"")=CI$2),$F$3:$BP$3,$F13:$BP13)))"),0.06666666666666667)</f>
        <v>0.06666666667</v>
      </c>
      <c r="CJ13" s="207" t="str">
        <f>IFERROR(__xludf.DUMMYFUNCTION("IF(OR(CI13&gt;$BR13+$BS13*$BS$2,CI13&lt;$BR13-$BS13*$BS$2),AVEDEV(ARRAYFORMULA(XLOOKUP(FILTER(INDIRECT(""'""&amp;CI$1&amp;""'!$C$4:$C$66""),INDIRECT(""'""&amp;CI$1&amp;""'!$D$4:$D$66"")=CI$2),$F$3:$BP$3,$F13:$BP13))),"""")"),"")</f>
        <v/>
      </c>
      <c r="CK13" s="251">
        <f>IFERROR(__xludf.DUMMYFUNCTION("AVERAGE(ARRAYFORMULA(XLOOKUP(FILTER(INDIRECT(""'""&amp;CK$1&amp;""'!$C$4:$C$66""),INDIRECT(""'""&amp;CK$1&amp;""'!$D$4:$D$66"")=CK$2),$F$3:$BP$3,$F13:$BP13)))"),0.07692307692307693)</f>
        <v>0.07692307692</v>
      </c>
      <c r="CL13" s="207" t="str">
        <f>IFERROR(__xludf.DUMMYFUNCTION("IF(OR(CK13&gt;$BR13+$BS13*$BS$2,CK13&lt;$BR13-$BS13*$BS$2),AVEDEV(ARRAYFORMULA(XLOOKUP(FILTER(INDIRECT(""'""&amp;CK$1&amp;""'!$C$4:$C$66""),INDIRECT(""'""&amp;CK$1&amp;""'!$D$4:$D$66"")=CK$2),$F$3:$BP$3,$F13:$BP13))),"""")"),"")</f>
        <v/>
      </c>
      <c r="CM13" s="251">
        <f>IFERROR(__xludf.DUMMYFUNCTION("AVERAGE(ARRAYFORMULA(XLOOKUP(FILTER(INDIRECT(""'""&amp;CM$1&amp;""'!$C$4:$C$66""),INDIRECT(""'""&amp;CM$1&amp;""'!$D$4:$D$66"")=CM$2),$F$3:$BP$3,$F13:$BP13)))"),0.0)</f>
        <v>0</v>
      </c>
      <c r="CN13" s="207" t="str">
        <f>IFERROR(__xludf.DUMMYFUNCTION("IF(OR(CM13&gt;$BR13+$BS13*$BS$2,CM13&lt;$BR13-$BS13*$BS$2),AVEDEV(ARRAYFORMULA(XLOOKUP(FILTER(INDIRECT(""'""&amp;CM$1&amp;""'!$C$4:$C$66""),INDIRECT(""'""&amp;CM$1&amp;""'!$D$4:$D$66"")=CM$2),$F$3:$BP$3,$F13:$BP13))),"""")"),"")</f>
        <v/>
      </c>
      <c r="CO13" s="252"/>
      <c r="CP13" s="251">
        <f>IFERROR(__xludf.DUMMYFUNCTION("AVERAGE(ARRAYFORMULA(XLOOKUP(FILTER(INDIRECT(""'""&amp;CP$1&amp;""'!$C$4:$C$66""),INDIRECT(""'""&amp;CP$1&amp;""'!$D$4:$D$66"")=CP$2),$F$3:$BP$3,$F13:$BP13)))"),0.21428571428571427)</f>
        <v>0.2142857143</v>
      </c>
      <c r="CQ13" s="207" t="str">
        <f>IFERROR(__xludf.DUMMYFUNCTION("IF(OR(CP13&gt;$BR13+$BS13*$BS$2,CP13&lt;$BR13-$BS13*$BS$2),AVEDEV(ARRAYFORMULA(XLOOKUP(FILTER(INDIRECT(""'""&amp;CP$1&amp;""'!$C$4:$C$66""),INDIRECT(""'""&amp;CP$1&amp;""'!$D$4:$D$66"")=CP$2),$F$3:$BP$3,$F13:$BP13))),"""")"),"")</f>
        <v/>
      </c>
      <c r="CR13" s="251">
        <f>IFERROR(__xludf.DUMMYFUNCTION("AVERAGE(ARRAYFORMULA(XLOOKUP(FILTER(INDIRECT(""'""&amp;CR$1&amp;""'!$C$4:$C$66""),INDIRECT(""'""&amp;CR$1&amp;""'!$D$4:$D$66"")=CR$2),$F$3:$BP$3,$F13:$BP13)))"),0.1111111111111111)</f>
        <v>0.1111111111</v>
      </c>
      <c r="CS13" s="207" t="str">
        <f>IFERROR(__xludf.DUMMYFUNCTION("IF(OR(CR13&gt;$BR13+$BS13*$BS$2,CR13&lt;$BR13-$BS13*$BS$2),AVEDEV(ARRAYFORMULA(XLOOKUP(FILTER(INDIRECT(""'""&amp;CR$1&amp;""'!$C$4:$C$66""),INDIRECT(""'""&amp;CR$1&amp;""'!$D$4:$D$66"")=CR$2),$F$3:$BP$3,$F13:$BP13))),"""")"),"")</f>
        <v/>
      </c>
      <c r="CT13" s="251">
        <f>IFERROR(__xludf.DUMMYFUNCTION("AVERAGE(ARRAYFORMULA(XLOOKUP(FILTER(INDIRECT(""'""&amp;CT$1&amp;""'!$C$4:$C$66""),INDIRECT(""'""&amp;CT$1&amp;""'!$D$4:$D$66"")=CT$2),$F$3:$BP$3,$F13:$BP13)))"),0.18181818181818182)</f>
        <v>0.1818181818</v>
      </c>
      <c r="CU13" s="207" t="str">
        <f>IFERROR(__xludf.DUMMYFUNCTION("IF(OR(CT13&gt;$BR13+$BS13*$BS$2,CT13&lt;$BR13-$BS13*$BS$2),AVEDEV(ARRAYFORMULA(XLOOKUP(FILTER(INDIRECT(""'""&amp;CT$1&amp;""'!$C$4:$C$66""),INDIRECT(""'""&amp;CT$1&amp;""'!$D$4:$D$66"")=CT$2),$F$3:$BP$3,$F13:$BP13))),"""")"),"")</f>
        <v/>
      </c>
      <c r="CV13" s="251">
        <f>IFERROR(__xludf.DUMMYFUNCTION("AVERAGE(ARRAYFORMULA(XLOOKUP(FILTER(INDIRECT(""'""&amp;CV$1&amp;""'!$C$4:$C$66""),INDIRECT(""'""&amp;CV$1&amp;""'!$D$4:$D$66"")=CV$2),$F$3:$BP$3,$F13:$BP13)))"),0.0)</f>
        <v>0</v>
      </c>
      <c r="CW13" s="207" t="str">
        <f>IFERROR(__xludf.DUMMYFUNCTION("IF(OR(CV13&gt;$BR13+$BS13*$BS$2,CV13&lt;$BR13-$BS13*$BS$2),AVEDEV(ARRAYFORMULA(XLOOKUP(FILTER(INDIRECT(""'""&amp;CV$1&amp;""'!$C$4:$C$66""),INDIRECT(""'""&amp;CV$1&amp;""'!$D$4:$D$66"")=CV$2),$F$3:$BP$3,$F13:$BP13))),"""")"),"")</f>
        <v/>
      </c>
      <c r="CX13" s="251">
        <f>IFERROR(__xludf.DUMMYFUNCTION("AVERAGE(ARRAYFORMULA(XLOOKUP(FILTER(INDIRECT(""'""&amp;CX$1&amp;""'!$C$4:$C$66""),INDIRECT(""'""&amp;CX$1&amp;""'!$D$4:$D$66"")=CX$2),$F$3:$BP$3,$F13:$BP13)))"),-0.07142857142857142)</f>
        <v>-0.07142857143</v>
      </c>
      <c r="CY13" s="207" t="str">
        <f>IFERROR(__xludf.DUMMYFUNCTION("IF(OR(CX13&gt;$BR13+$BS13*$BS$2,CX13&lt;$BR13-$BS13*$BS$2),AVEDEV(ARRAYFORMULA(XLOOKUP(FILTER(INDIRECT(""'""&amp;CX$1&amp;""'!$C$4:$C$66""),INDIRECT(""'""&amp;CX$1&amp;""'!$D$4:$D$66"")=CX$2),$F$3:$BP$3,$F13:$BP13))),"""")"),"")</f>
        <v/>
      </c>
      <c r="CZ13" s="252"/>
      <c r="DA13" s="251">
        <f>IFERROR(__xludf.DUMMYFUNCTION("AVERAGE(ARRAYFORMULA(XLOOKUP(FILTER(INDIRECT(""'""&amp;DA$1&amp;""'!$C$4:$C$66""),INDIRECT(""'""&amp;DA$1&amp;""'!$D$4:$D$66"")=DA$2),$F$3:$BP$3,$F13:$BP13)))"),0.13333333333333333)</f>
        <v>0.1333333333</v>
      </c>
      <c r="DB13" s="207" t="str">
        <f>IFERROR(__xludf.DUMMYFUNCTION("IF(OR(DA13&gt;$BR13+$BS13*$BS$2,DA13&lt;$BR13-$BS13*$BS$2),AVEDEV(ARRAYFORMULA(XLOOKUP(FILTER(INDIRECT(""'""&amp;DA$1&amp;""'!$C$4:$C$66""),INDIRECT(""'""&amp;DA$1&amp;""'!$D$4:$D$66"")=DA$2),$F$3:$BP$3,$F13:$BP13))),"""")"),"")</f>
        <v/>
      </c>
      <c r="DC13" s="251">
        <f>IFERROR(__xludf.DUMMYFUNCTION("AVERAGE(ARRAYFORMULA(XLOOKUP(FILTER(INDIRECT(""'""&amp;DC$1&amp;""'!$C$4:$C$66""),INDIRECT(""'""&amp;DC$1&amp;""'!$D$4:$D$66"")=DC$2),$F$3:$BP$3,$F13:$BP13)))"),-0.1111111111111111)</f>
        <v>-0.1111111111</v>
      </c>
      <c r="DD13" s="207" t="str">
        <f>IFERROR(__xludf.DUMMYFUNCTION("IF(OR(DC13&gt;$BR13+$BS13*$BS$2,DC13&lt;$BR13-$BS13*$BS$2),AVEDEV(ARRAYFORMULA(XLOOKUP(FILTER(INDIRECT(""'""&amp;DC$1&amp;""'!$C$4:$C$66""),INDIRECT(""'""&amp;DC$1&amp;""'!$D$4:$D$66"")=DC$2),$F$3:$BP$3,$F13:$BP13))),"""")"),"")</f>
        <v/>
      </c>
      <c r="DE13" s="251">
        <f>IFERROR(__xludf.DUMMYFUNCTION("AVERAGE(ARRAYFORMULA(XLOOKUP(FILTER(INDIRECT(""'""&amp;DE$1&amp;""'!$C$4:$C$66""),INDIRECT(""'""&amp;DE$1&amp;""'!$D$4:$D$66"")=DE$2),$F$3:$BP$3,$F13:$BP13)))"),-0.125)</f>
        <v>-0.125</v>
      </c>
      <c r="DF13" s="207" t="str">
        <f>IFERROR(__xludf.DUMMYFUNCTION("IF(OR(DE13&gt;$BR13+$BS13*$BS$2,DE13&lt;$BR13-$BS13*$BS$2),AVEDEV(ARRAYFORMULA(XLOOKUP(FILTER(INDIRECT(""'""&amp;DE$1&amp;""'!$C$4:$C$66""),INDIRECT(""'""&amp;DE$1&amp;""'!$D$4:$D$66"")=DE$2),$F$3:$BP$3,$F13:$BP13))),"""")"),"")</f>
        <v/>
      </c>
      <c r="DG13" s="251">
        <f>IFERROR(__xludf.DUMMYFUNCTION("AVERAGE(ARRAYFORMULA(XLOOKUP(FILTER(INDIRECT(""'""&amp;DG$1&amp;""'!$C$4:$C$66""),INDIRECT(""'""&amp;DG$1&amp;""'!$D$4:$D$66"")=DG$2),$F$3:$BP$3,$F13:$BP13)))"),0.3333333333333333)</f>
        <v>0.3333333333</v>
      </c>
      <c r="DH13" s="207" t="str">
        <f>IFERROR(__xludf.DUMMYFUNCTION("IF(OR(DG13&gt;$BR13+$BS13*$BS$2,DG13&lt;$BR13-$BS13*$BS$2),AVEDEV(ARRAYFORMULA(XLOOKUP(FILTER(INDIRECT(""'""&amp;DG$1&amp;""'!$C$4:$C$66""),INDIRECT(""'""&amp;DG$1&amp;""'!$D$4:$D$66"")=DG$2),$F$3:$BP$3,$F13:$BP13))),"""")"),"")</f>
        <v/>
      </c>
      <c r="DI13" s="252"/>
    </row>
    <row r="14">
      <c r="A14" s="2"/>
      <c r="B14" s="204" t="s">
        <v>442</v>
      </c>
      <c r="C14" s="204" t="s">
        <v>454</v>
      </c>
      <c r="D14" s="205" t="b">
        <f>VLOOKUP(C14,'Feature Set List'!A11:C246,2,0)</f>
        <v>1</v>
      </c>
      <c r="E14" s="205" t="b">
        <f>VLOOKUP(C14,'Feature Set List'!A11:C246,3,0)</f>
        <v>0</v>
      </c>
      <c r="F14" s="205">
        <v>-1.2133028</v>
      </c>
      <c r="G14" s="205">
        <v>0.31651376</v>
      </c>
      <c r="H14" s="205">
        <v>-0.0917431</v>
      </c>
      <c r="I14" s="205">
        <v>0.60779817</v>
      </c>
      <c r="J14" s="205">
        <v>3.58027523</v>
      </c>
      <c r="K14" s="205">
        <v>0.27293578</v>
      </c>
      <c r="L14" s="205">
        <v>-0.2018349</v>
      </c>
      <c r="M14" s="205">
        <v>0.2706422</v>
      </c>
      <c r="N14" s="205">
        <v>-0.2545872</v>
      </c>
      <c r="O14" s="205">
        <v>-0.5665138</v>
      </c>
      <c r="P14" s="205">
        <v>-0.4013761</v>
      </c>
      <c r="Q14" s="205">
        <v>-0.940367</v>
      </c>
      <c r="R14" s="205">
        <v>-0.1376147</v>
      </c>
      <c r="S14" s="205">
        <v>0.08715596</v>
      </c>
      <c r="T14" s="205">
        <v>-1.8807339</v>
      </c>
      <c r="U14" s="205">
        <v>0.18119266</v>
      </c>
      <c r="V14" s="205">
        <v>0.05275229</v>
      </c>
      <c r="W14" s="205">
        <v>-2.8669725</v>
      </c>
      <c r="X14" s="205">
        <v>0.61009174</v>
      </c>
      <c r="Y14" s="205">
        <v>-0.3256881</v>
      </c>
      <c r="Z14" s="205">
        <v>-0.1146789</v>
      </c>
      <c r="AA14" s="205">
        <v>-1.8188073</v>
      </c>
      <c r="AB14" s="205">
        <v>-0.6238532</v>
      </c>
      <c r="AC14" s="205">
        <v>0.83715596</v>
      </c>
      <c r="AD14" s="205">
        <v>0.0</v>
      </c>
      <c r="AE14" s="205">
        <v>0.0206422</v>
      </c>
      <c r="AF14" s="205">
        <v>-0.7431193</v>
      </c>
      <c r="AG14" s="205">
        <v>-1.5137615</v>
      </c>
      <c r="AH14" s="205">
        <v>0.11926606</v>
      </c>
      <c r="AI14" s="205">
        <v>-0.043578</v>
      </c>
      <c r="AJ14" s="205">
        <v>1.22477064</v>
      </c>
      <c r="AK14" s="205">
        <v>-0.0894495</v>
      </c>
      <c r="AL14" s="205">
        <v>1.76605505</v>
      </c>
      <c r="AM14" s="205">
        <v>-0.3119266</v>
      </c>
      <c r="AN14" s="205">
        <v>0.03669725</v>
      </c>
      <c r="AO14" s="205">
        <v>1.66284404</v>
      </c>
      <c r="AP14" s="205">
        <v>2.04587156</v>
      </c>
      <c r="AQ14" s="205">
        <v>1.73623853</v>
      </c>
      <c r="AR14" s="205">
        <v>0.20183486</v>
      </c>
      <c r="AS14" s="205">
        <v>0.08256881</v>
      </c>
      <c r="AT14" s="205">
        <v>1.28669725</v>
      </c>
      <c r="AU14" s="205">
        <v>-1.8899083</v>
      </c>
      <c r="AV14" s="205">
        <v>1.95183486</v>
      </c>
      <c r="AW14" s="205">
        <v>-0.0848624</v>
      </c>
      <c r="AX14" s="205">
        <v>-2.9334862</v>
      </c>
      <c r="AY14" s="205">
        <v>0.42431193</v>
      </c>
      <c r="AZ14" s="205">
        <v>0.05504587</v>
      </c>
      <c r="BA14" s="205">
        <v>-0.8692661</v>
      </c>
      <c r="BB14" s="205">
        <v>-0.2568807</v>
      </c>
      <c r="BC14" s="205">
        <v>1.28211009</v>
      </c>
      <c r="BD14" s="205">
        <v>-3.2133028</v>
      </c>
      <c r="BE14" s="205">
        <v>-0.0688073</v>
      </c>
      <c r="BF14" s="205">
        <v>-0.0481651</v>
      </c>
      <c r="BG14" s="205">
        <v>0.52981651</v>
      </c>
      <c r="BH14" s="205">
        <v>1.77522936</v>
      </c>
      <c r="BI14" s="205">
        <v>-0.2110092</v>
      </c>
      <c r="BJ14" s="205">
        <v>0.50229358</v>
      </c>
      <c r="BK14" s="205">
        <v>-0.6811927</v>
      </c>
      <c r="BL14" s="205">
        <v>-1.9266055</v>
      </c>
      <c r="BM14" s="205">
        <v>0.91055046</v>
      </c>
      <c r="BN14" s="205">
        <v>-0.8233945</v>
      </c>
      <c r="BO14" s="205">
        <v>0.50229358</v>
      </c>
      <c r="BP14" s="205">
        <v>0.6353211</v>
      </c>
      <c r="BQ14" s="206"/>
      <c r="BR14" s="250">
        <f t="shared" si="1"/>
        <v>-0.02504733111</v>
      </c>
      <c r="BS14" s="250">
        <f t="shared" si="2"/>
        <v>0.8371530773</v>
      </c>
      <c r="BT14" s="206"/>
      <c r="BU14" s="207">
        <f>IFERROR(__xludf.DUMMYFUNCTION("AVERAGE(ARRAYFORMULA(XLOOKUP(FILTER(INDIRECT(""'""&amp;BU$1&amp;""'!$C$4:$C$66""),INDIRECT(""'""&amp;BU$1&amp;""'!$D$4:$D$66"")=BU$2),$F$3:$BP$3,$F14:$BP14)))"),-1.7726081357142855)</f>
        <v>-1.772608136</v>
      </c>
      <c r="BV14" s="207">
        <f>IFERROR(__xludf.DUMMYFUNCTION("IF(OR(BU14&gt;$BR14+$BS14*$BS$2,BU14&lt;$BR14-$BS14*$BS$2),AVEDEV(ARRAYFORMULA(XLOOKUP(FILTER(INDIRECT(""'""&amp;BU$1&amp;""'!$C$4:$C$66""),INDIRECT(""'""&amp;BU$1&amp;""'!$D$4:$D$66"")=BU$2),$F$3:$BP$3,$F14:$BP14))),"""")"),1.0868751020408165)</f>
        <v>1.086875102</v>
      </c>
      <c r="BW14" s="207">
        <f>IFERROR(__xludf.DUMMYFUNCTION("AVERAGE(ARRAYFORMULA(XLOOKUP(FILTER(INDIRECT(""'""&amp;BW$1&amp;""'!$C$4:$C$66""),INDIRECT(""'""&amp;BW$1&amp;""'!$D$4:$D$66"")=BW$2),$F$3:$BP$3,$F14:$BP14)))"),0.2556793352380952)</f>
        <v>0.2556793352</v>
      </c>
      <c r="BX14" s="207" t="str">
        <f>IFERROR(__xludf.DUMMYFUNCTION("IF(OR(BW14&gt;$BR14+$BS14*$BS$2,BW14&lt;$BR14-$BS14*$BS$2),AVEDEV(ARRAYFORMULA(XLOOKUP(FILTER(INDIRECT(""'""&amp;BW$1&amp;""'!$C$4:$C$66""),INDIRECT(""'""&amp;BW$1&amp;""'!$D$4:$D$66"")=BW$2),$F$3:$BP$3,$F14:$BP14))),"""")"),"")</f>
        <v/>
      </c>
      <c r="BY14" s="207">
        <f>IFERROR(__xludf.DUMMYFUNCTION("AVERAGE(ARRAYFORMULA(XLOOKUP(FILTER(INDIRECT(""'""&amp;BY$1&amp;""'!$C$4:$C$66""),INDIRECT(""'""&amp;BY$1&amp;""'!$D$4:$D$66"")=BY$2),$F$3:$BP$3,$F14:$BP14)))"),-0.21684738454545452)</f>
        <v>-0.2168473845</v>
      </c>
      <c r="BZ14" s="207" t="str">
        <f>IFERROR(__xludf.DUMMYFUNCTION("IF(OR(BY14&gt;$BR14+$BS14*$BS$2,BY14&lt;$BR14-$BS14*$BS$2),AVEDEV(ARRAYFORMULA(XLOOKUP(FILTER(INDIRECT(""'""&amp;BY$1&amp;""'!$C$4:$C$66""),INDIRECT(""'""&amp;BY$1&amp;""'!$D$4:$D$66"")=BY$2),$F$3:$BP$3,$F14:$BP14))),"""")"),"")</f>
        <v/>
      </c>
      <c r="CA14" s="209"/>
      <c r="CB14" s="207">
        <f>IFERROR(__xludf.DUMMYFUNCTION("AVERAGE(ARRAYFORMULA(XLOOKUP(FILTER(INDIRECT(""'""&amp;CB$1&amp;""'!$C$4:$C$66""),INDIRECT(""'""&amp;CB$1&amp;""'!$D$4:$D$66"")=CB$2),$F$3:$BP$3,$F14:$BP14)))"),0.530103211875)</f>
        <v>0.5301032119</v>
      </c>
      <c r="CC14" s="207" t="str">
        <f>IFERROR(__xludf.DUMMYFUNCTION("IF(OR(CB14&gt;$BR14+$BS14*$BS$2,CB14&lt;$BR14-$BS14*$BS$2),AVEDEV(ARRAYFORMULA(XLOOKUP(FILTER(INDIRECT(""'""&amp;CB$1&amp;""'!$C$4:$C$66""),INDIRECT(""'""&amp;CB$1&amp;""'!$D$4:$D$66"")=CB$2),$F$3:$BP$3,$F14:$BP14))),"""")"),"")</f>
        <v/>
      </c>
      <c r="CD14" s="207">
        <f>IFERROR(__xludf.DUMMYFUNCTION("AVERAGE(ARRAYFORMULA(XLOOKUP(FILTER(INDIRECT(""'""&amp;CD$1&amp;""'!$C$4:$C$66""),INDIRECT(""'""&amp;CD$1&amp;""'!$D$4:$D$66"")=CD$2),$F$3:$BP$3,$F14:$BP14)))"),-0.20782776322580646)</f>
        <v>-0.2078277632</v>
      </c>
      <c r="CE14" s="207" t="str">
        <f>IFERROR(__xludf.DUMMYFUNCTION("IF(OR(CD14&gt;$BR14+$BS14*$BS$2,CD14&lt;$BR14-$BS14*$BS$2),AVEDEV(ARRAYFORMULA(XLOOKUP(FILTER(INDIRECT(""'""&amp;CD$1&amp;""'!$C$4:$C$66""),INDIRECT(""'""&amp;CD$1&amp;""'!$D$4:$D$66"")=CD$2),$F$3:$BP$3,$F14:$BP14))),"""")"),"")</f>
        <v/>
      </c>
      <c r="CF14" s="207">
        <f>IFERROR(__xludf.DUMMYFUNCTION("AVERAGE(ARRAYFORMULA(XLOOKUP(FILTER(INDIRECT(""'""&amp;CF$1&amp;""'!$C$4:$C$66""),INDIRECT(""'""&amp;CF$1&amp;""'!$D$4:$D$66"")=CF$2),$F$3:$BP$3,$F14:$BP14)))"),-0.054128442)</f>
        <v>-0.054128442</v>
      </c>
      <c r="CG14" s="207" t="str">
        <f>IFERROR(__xludf.DUMMYFUNCTION("IF(OR(CF14&gt;$BR14+$BS14*$BS$2,CF14&lt;$BR14-$BS14*$BS$2),AVEDEV(ARRAYFORMULA(XLOOKUP(FILTER(INDIRECT(""'""&amp;CF$1&amp;""'!$C$4:$C$66""),INDIRECT(""'""&amp;CF$1&amp;""'!$D$4:$D$66"")=CF$2),$F$3:$BP$3,$F14:$BP14))),"""")"),"")</f>
        <v/>
      </c>
      <c r="CH14" s="206"/>
      <c r="CI14" s="251">
        <f>IFERROR(__xludf.DUMMYFUNCTION("AVERAGE(ARRAYFORMULA(XLOOKUP(FILTER(INDIRECT(""'""&amp;CI$1&amp;""'!$C$4:$C$66""),INDIRECT(""'""&amp;CI$1&amp;""'!$D$4:$D$66"")=CI$2),$F$3:$BP$3,$F14:$BP14)))"),-1.06009175)</f>
        <v>-1.06009175</v>
      </c>
      <c r="CJ14" s="207">
        <f>IFERROR(__xludf.DUMMYFUNCTION("IF(OR(CI14&gt;$BR14+$BS14*$BS$2,CI14&lt;$BR14-$BS14*$BS$2),AVEDEV(ARRAYFORMULA(XLOOKUP(FILTER(INDIRECT(""'""&amp;CI$1&amp;""'!$C$4:$C$66""),INDIRECT(""'""&amp;CI$1&amp;""'!$D$4:$D$66"")=CI$2),$F$3:$BP$3,$F14:$BP14))),"""")"),0.9350458733333333)</f>
        <v>0.9350458733</v>
      </c>
      <c r="CK14" s="251">
        <f>IFERROR(__xludf.DUMMYFUNCTION("AVERAGE(ARRAYFORMULA(XLOOKUP(FILTER(INDIRECT(""'""&amp;CK$1&amp;""'!$C$4:$C$66""),INDIRECT(""'""&amp;CK$1&amp;""'!$D$4:$D$66"")=CK$2),$F$3:$BP$3,$F14:$BP14)))"),0.32815807846153844)</f>
        <v>0.3281580785</v>
      </c>
      <c r="CL14" s="207" t="str">
        <f>IFERROR(__xludf.DUMMYFUNCTION("IF(OR(CK14&gt;$BR14+$BS14*$BS$2,CK14&lt;$BR14-$BS14*$BS$2),AVEDEV(ARRAYFORMULA(XLOOKUP(FILTER(INDIRECT(""'""&amp;CK$1&amp;""'!$C$4:$C$66""),INDIRECT(""'""&amp;CK$1&amp;""'!$D$4:$D$66"")=CK$2),$F$3:$BP$3,$F14:$BP14))),"""")"),"")</f>
        <v/>
      </c>
      <c r="CM14" s="251">
        <f>IFERROR(__xludf.DUMMYFUNCTION("AVERAGE(ARRAYFORMULA(XLOOKUP(FILTER(INDIRECT(""'""&amp;CM$1&amp;""'!$C$4:$C$66""),INDIRECT(""'""&amp;CM$1&amp;""'!$D$4:$D$66"")=CM$2),$F$3:$BP$3,$F14:$BP14)))"),-0.054128442)</f>
        <v>-0.054128442</v>
      </c>
      <c r="CN14" s="207" t="str">
        <f>IFERROR(__xludf.DUMMYFUNCTION("IF(OR(CM14&gt;$BR14+$BS14*$BS$2,CM14&lt;$BR14-$BS14*$BS$2),AVEDEV(ARRAYFORMULA(XLOOKUP(FILTER(INDIRECT(""'""&amp;CM$1&amp;""'!$C$4:$C$66""),INDIRECT(""'""&amp;CM$1&amp;""'!$D$4:$D$66"")=CM$2),$F$3:$BP$3,$F14:$BP14))),"""")"),"")</f>
        <v/>
      </c>
      <c r="CO14" s="252"/>
      <c r="CP14" s="251">
        <f>IFERROR(__xludf.DUMMYFUNCTION("AVERAGE(ARRAYFORMULA(XLOOKUP(FILTER(INDIRECT(""'""&amp;CP$1&amp;""'!$C$4:$C$66""),INDIRECT(""'""&amp;CP$1&amp;""'!$D$4:$D$66"")=CP$2),$F$3:$BP$3,$F14:$BP14)))"),0.5701179592857143)</f>
        <v>0.5701179593</v>
      </c>
      <c r="CQ14" s="207" t="str">
        <f>IFERROR(__xludf.DUMMYFUNCTION("IF(OR(CP14&gt;$BR14+$BS14*$BS$2,CP14&lt;$BR14-$BS14*$BS$2),AVEDEV(ARRAYFORMULA(XLOOKUP(FILTER(INDIRECT(""'""&amp;CP$1&amp;""'!$C$4:$C$66""),INDIRECT(""'""&amp;CP$1&amp;""'!$D$4:$D$66"")=CP$2),$F$3:$BP$3,$F14:$BP14))),"""")"),"")</f>
        <v/>
      </c>
      <c r="CR14" s="251">
        <f>IFERROR(__xludf.DUMMYFUNCTION("AVERAGE(ARRAYFORMULA(XLOOKUP(FILTER(INDIRECT(""'""&amp;CR$1&amp;""'!$C$4:$C$66""),INDIRECT(""'""&amp;CR$1&amp;""'!$D$4:$D$66"")=CR$2),$F$3:$BP$3,$F14:$BP14)))"),-0.09811418444444443)</f>
        <v>-0.09811418444</v>
      </c>
      <c r="CS14" s="207" t="str">
        <f>IFERROR(__xludf.DUMMYFUNCTION("IF(OR(CR14&gt;$BR14+$BS14*$BS$2,CR14&lt;$BR14-$BS14*$BS$2),AVEDEV(ARRAYFORMULA(XLOOKUP(FILTER(INDIRECT(""'""&amp;CR$1&amp;""'!$C$4:$C$66""),INDIRECT(""'""&amp;CR$1&amp;""'!$D$4:$D$66"")=CR$2),$F$3:$BP$3,$F14:$BP14))),"""")"),"")</f>
        <v/>
      </c>
      <c r="CT14" s="251">
        <f>IFERROR(__xludf.DUMMYFUNCTION("AVERAGE(ARRAYFORMULA(XLOOKUP(FILTER(INDIRECT(""'""&amp;CT$1&amp;""'!$C$4:$C$66""),INDIRECT(""'""&amp;CT$1&amp;""'!$D$4:$D$66"")=CT$2),$F$3:$BP$3,$F14:$BP14)))"),-0.42702251909090916)</f>
        <v>-0.4270225191</v>
      </c>
      <c r="CU14" s="207" t="str">
        <f>IFERROR(__xludf.DUMMYFUNCTION("IF(OR(CT14&gt;$BR14+$BS14*$BS$2,CT14&lt;$BR14-$BS14*$BS$2),AVEDEV(ARRAYFORMULA(XLOOKUP(FILTER(INDIRECT(""'""&amp;CT$1&amp;""'!$C$4:$C$66""),INDIRECT(""'""&amp;CT$1&amp;""'!$D$4:$D$66"")=CT$2),$F$3:$BP$3,$F14:$BP14))),"""")"),"")</f>
        <v/>
      </c>
      <c r="CV14" s="251">
        <f>IFERROR(__xludf.DUMMYFUNCTION("AVERAGE(ARRAYFORMULA(XLOOKUP(FILTER(INDIRECT(""'""&amp;CV$1&amp;""'!$C$4:$C$66""),INDIRECT(""'""&amp;CV$1&amp;""'!$D$4:$D$66"")=CV$2),$F$3:$BP$3,$F14:$BP14)))"),0.6834862349999999)</f>
        <v>0.683486235</v>
      </c>
      <c r="CW14" s="207" t="str">
        <f>IFERROR(__xludf.DUMMYFUNCTION("IF(OR(CV14&gt;$BR14+$BS14*$BS$2,CV14&lt;$BR14-$BS14*$BS$2),AVEDEV(ARRAYFORMULA(XLOOKUP(FILTER(INDIRECT(""'""&amp;CV$1&amp;""'!$C$4:$C$66""),INDIRECT(""'""&amp;CV$1&amp;""'!$D$4:$D$66"")=CV$2),$F$3:$BP$3,$F14:$BP14))),"""")"),"")</f>
        <v/>
      </c>
      <c r="CX14" s="251">
        <f>IFERROR(__xludf.DUMMYFUNCTION("AVERAGE(ARRAYFORMULA(XLOOKUP(FILTER(INDIRECT(""'""&amp;CX$1&amp;""'!$C$4:$C$66""),INDIRECT(""'""&amp;CX$1&amp;""'!$D$4:$D$66"")=CX$2),$F$3:$BP$3,$F14:$BP14)))"),0.19495412357142855)</f>
        <v>0.1949541236</v>
      </c>
      <c r="CY14" s="207" t="str">
        <f>IFERROR(__xludf.DUMMYFUNCTION("IF(OR(CX14&gt;$BR14+$BS14*$BS$2,CX14&lt;$BR14-$BS14*$BS$2),AVEDEV(ARRAYFORMULA(XLOOKUP(FILTER(INDIRECT(""'""&amp;CX$1&amp;""'!$C$4:$C$66""),INDIRECT(""'""&amp;CX$1&amp;""'!$D$4:$D$66"")=CX$2),$F$3:$BP$3,$F14:$BP14))),"""")"),"")</f>
        <v/>
      </c>
      <c r="CZ14" s="252"/>
      <c r="DA14" s="251">
        <f>IFERROR(__xludf.DUMMYFUNCTION("AVERAGE(ARRAYFORMULA(XLOOKUP(FILTER(INDIRECT(""'""&amp;DA$1&amp;""'!$C$4:$C$66""),INDIRECT(""'""&amp;DA$1&amp;""'!$D$4:$D$66"")=DA$2),$F$3:$BP$3,$F14:$BP14)))"),0.09755351833333327)</f>
        <v>0.09755351833</v>
      </c>
      <c r="DB14" s="207" t="str">
        <f>IFERROR(__xludf.DUMMYFUNCTION("IF(OR(DA14&gt;$BR14+$BS14*$BS$2,DA14&lt;$BR14-$BS14*$BS$2),AVEDEV(ARRAYFORMULA(XLOOKUP(FILTER(INDIRECT(""'""&amp;DA$1&amp;""'!$C$4:$C$66""),INDIRECT(""'""&amp;DA$1&amp;""'!$D$4:$D$66"")=DA$2),$F$3:$BP$3,$F14:$BP14))),"""")"),"")</f>
        <v/>
      </c>
      <c r="DC14" s="251">
        <f>IFERROR(__xludf.DUMMYFUNCTION("AVERAGE(ARRAYFORMULA(XLOOKUP(FILTER(INDIRECT(""'""&amp;DC$1&amp;""'!$C$4:$C$66""),INDIRECT(""'""&amp;DC$1&amp;""'!$D$4:$D$66"")=DC$2),$F$3:$BP$3,$F14:$BP14)))"),-0.5922528222222224)</f>
        <v>-0.5922528222</v>
      </c>
      <c r="DD14" s="207" t="str">
        <f>IFERROR(__xludf.DUMMYFUNCTION("IF(OR(DC14&gt;$BR14+$BS14*$BS$2,DC14&lt;$BR14-$BS14*$BS$2),AVEDEV(ARRAYFORMULA(XLOOKUP(FILTER(INDIRECT(""'""&amp;DC$1&amp;""'!$C$4:$C$66""),INDIRECT(""'""&amp;DC$1&amp;""'!$D$4:$D$66"")=DC$2),$F$3:$BP$3,$F14:$BP14))),"""")"),"")</f>
        <v/>
      </c>
      <c r="DE14" s="251">
        <f>IFERROR(__xludf.DUMMYFUNCTION("AVERAGE(ARRAYFORMULA(XLOOKUP(FILTER(INDIRECT(""'""&amp;DE$1&amp;""'!$C$4:$C$66""),INDIRECT(""'""&amp;DE$1&amp;""'!$D$4:$D$66"")=DE$2),$F$3:$BP$3,$F14:$BP14)))"),-0.73509174625)</f>
        <v>-0.7350917463</v>
      </c>
      <c r="DF14" s="207" t="str">
        <f>IFERROR(__xludf.DUMMYFUNCTION("IF(OR(DE14&gt;$BR14+$BS14*$BS$2,DE14&lt;$BR14-$BS14*$BS$2),AVEDEV(ARRAYFORMULA(XLOOKUP(FILTER(INDIRECT(""'""&amp;DE$1&amp;""'!$C$4:$C$66""),INDIRECT(""'""&amp;DE$1&amp;""'!$D$4:$D$66"")=DE$2),$F$3:$BP$3,$F14:$BP14))),"""")"),"")</f>
        <v/>
      </c>
      <c r="DG14" s="251">
        <f>IFERROR(__xludf.DUMMYFUNCTION("AVERAGE(ARRAYFORMULA(XLOOKUP(FILTER(INDIRECT(""'""&amp;DG$1&amp;""'!$C$4:$C$66""),INDIRECT(""'""&amp;DG$1&amp;""'!$D$4:$D$66"")=DG$2),$F$3:$BP$3,$F14:$BP14)))"),0.6671763488888889)</f>
        <v>0.6671763489</v>
      </c>
      <c r="DH14" s="207" t="str">
        <f>IFERROR(__xludf.DUMMYFUNCTION("IF(OR(DG14&gt;$BR14+$BS14*$BS$2,DG14&lt;$BR14-$BS14*$BS$2),AVEDEV(ARRAYFORMULA(XLOOKUP(FILTER(INDIRECT(""'""&amp;DG$1&amp;""'!$C$4:$C$66""),INDIRECT(""'""&amp;DG$1&amp;""'!$D$4:$D$66"")=DG$2),$F$3:$BP$3,$F14:$BP14))),"""")"),"")</f>
        <v/>
      </c>
      <c r="DI14" s="252"/>
    </row>
    <row r="15">
      <c r="A15" s="2"/>
      <c r="B15" s="204" t="s">
        <v>442</v>
      </c>
      <c r="C15" s="204" t="s">
        <v>455</v>
      </c>
      <c r="D15" s="205" t="b">
        <f>VLOOKUP(C15,'Feature Set List'!A12:C246,2,0)</f>
        <v>1</v>
      </c>
      <c r="E15" s="205" t="b">
        <f>VLOOKUP(C15,'Feature Set List'!A12:C246,3,0)</f>
        <v>0</v>
      </c>
      <c r="F15" s="205">
        <v>0.85935085</v>
      </c>
      <c r="G15" s="205">
        <v>-0.0432767</v>
      </c>
      <c r="H15" s="205">
        <v>0.14219474</v>
      </c>
      <c r="I15" s="205">
        <v>0.25965997</v>
      </c>
      <c r="J15" s="205">
        <v>0.0</v>
      </c>
      <c r="K15" s="205">
        <v>0.24420402</v>
      </c>
      <c r="L15" s="205">
        <v>-0.0540958</v>
      </c>
      <c r="M15" s="205">
        <v>0.71561051</v>
      </c>
      <c r="N15" s="205">
        <v>0.82380216</v>
      </c>
      <c r="O15" s="205">
        <v>-0.2380216</v>
      </c>
      <c r="P15" s="205">
        <v>0.31684699</v>
      </c>
      <c r="Q15" s="205">
        <v>-0.5579598</v>
      </c>
      <c r="R15" s="205">
        <v>-0.0695518</v>
      </c>
      <c r="S15" s="205">
        <v>-0.7078825</v>
      </c>
      <c r="T15" s="205">
        <v>0.90417311</v>
      </c>
      <c r="U15" s="205">
        <v>-0.0432767</v>
      </c>
      <c r="V15" s="205">
        <v>1.25656878</v>
      </c>
      <c r="W15" s="205">
        <v>-1.3554869</v>
      </c>
      <c r="X15" s="205">
        <v>-0.6414219</v>
      </c>
      <c r="Y15" s="205">
        <v>1.3431221</v>
      </c>
      <c r="Z15" s="205">
        <v>2.25193199</v>
      </c>
      <c r="AA15" s="205">
        <v>1.86089645</v>
      </c>
      <c r="AB15" s="205">
        <v>-0.2380216</v>
      </c>
      <c r="AC15" s="205">
        <v>-0.7573416</v>
      </c>
      <c r="AD15" s="205">
        <v>0.56723338</v>
      </c>
      <c r="AE15" s="205">
        <v>0.01391036</v>
      </c>
      <c r="AF15" s="205">
        <v>0.20092736</v>
      </c>
      <c r="AG15" s="205">
        <v>1.17156105</v>
      </c>
      <c r="AH15" s="205">
        <v>-0.0479134</v>
      </c>
      <c r="AI15" s="205">
        <v>0.72797527</v>
      </c>
      <c r="AJ15" s="205">
        <v>-0.4281298</v>
      </c>
      <c r="AK15" s="205">
        <v>-0.0139104</v>
      </c>
      <c r="AL15" s="205">
        <v>0.7511592</v>
      </c>
      <c r="AM15" s="205">
        <v>0.18083462</v>
      </c>
      <c r="AN15" s="205">
        <v>-0.1576507</v>
      </c>
      <c r="AO15" s="205">
        <v>-0.4621329</v>
      </c>
      <c r="AP15" s="205">
        <v>1.91035549</v>
      </c>
      <c r="AQ15" s="205">
        <v>1.30293663</v>
      </c>
      <c r="AR15" s="205">
        <v>-0.2689335</v>
      </c>
      <c r="AS15" s="205">
        <v>0.00772798</v>
      </c>
      <c r="AT15" s="205">
        <v>-0.2071097</v>
      </c>
      <c r="AU15" s="205">
        <v>0.32921175</v>
      </c>
      <c r="AV15" s="205">
        <v>0.14992272</v>
      </c>
      <c r="AW15" s="205">
        <v>-0.324575</v>
      </c>
      <c r="AX15" s="205">
        <v>-1.7496136</v>
      </c>
      <c r="AY15" s="205">
        <v>0.0</v>
      </c>
      <c r="AZ15" s="205">
        <v>-0.2673879</v>
      </c>
      <c r="BA15" s="205">
        <v>0.2812983</v>
      </c>
      <c r="BB15" s="205">
        <v>1.01236476</v>
      </c>
      <c r="BC15" s="205">
        <v>-0.1561051</v>
      </c>
      <c r="BD15" s="205">
        <v>-4.6414219</v>
      </c>
      <c r="BE15" s="205">
        <v>-0.3879444</v>
      </c>
      <c r="BF15" s="205">
        <v>1.19783617</v>
      </c>
      <c r="BG15" s="205">
        <v>-0.7341577</v>
      </c>
      <c r="BH15" s="205">
        <v>0.27511592</v>
      </c>
      <c r="BI15" s="205">
        <v>0.01081917</v>
      </c>
      <c r="BJ15" s="205">
        <v>-0.2472952</v>
      </c>
      <c r="BK15" s="205">
        <v>-1.8516229</v>
      </c>
      <c r="BL15" s="205">
        <v>-1.2102009</v>
      </c>
      <c r="BM15" s="205">
        <v>0.69088099</v>
      </c>
      <c r="BN15" s="205">
        <v>0.71561051</v>
      </c>
      <c r="BO15" s="205">
        <v>-1.9629057</v>
      </c>
      <c r="BP15" s="205">
        <v>-0.4513138</v>
      </c>
      <c r="BQ15" s="206"/>
      <c r="BR15" s="250">
        <f t="shared" si="1"/>
        <v>0.03491082381</v>
      </c>
      <c r="BS15" s="250">
        <f t="shared" si="2"/>
        <v>0.6814629436</v>
      </c>
      <c r="BT15" s="206"/>
      <c r="BU15" s="207">
        <f>IFERROR(__xludf.DUMMYFUNCTION("AVERAGE(ARRAYFORMULA(XLOOKUP(FILTER(INDIRECT(""'""&amp;BU$1&amp;""'!$C$4:$C$66""),INDIRECT(""'""&amp;BU$1&amp;""'!$D$4:$D$66"")=BU$2),$F$3:$BP$3,$F15:$BP15)))"),-1.2243320842857144)</f>
        <v>-1.224332084</v>
      </c>
      <c r="BV15" s="207">
        <f>IFERROR(__xludf.DUMMYFUNCTION("IF(OR(BU15&gt;$BR15+$BS15*$BS$2,BU15&lt;$BR15-$BS15*$BS$2),AVEDEV(ARRAYFORMULA(XLOOKUP(FILTER(INDIRECT(""'""&amp;BU$1&amp;""'!$C$4:$C$66""),INDIRECT(""'""&amp;BU$1&amp;""'!$D$4:$D$66"")=BU$2),$F$3:$BP$3,$F15:$BP15))),"""")"),1.3430905608163266)</f>
        <v>1.343090561</v>
      </c>
      <c r="BW15" s="207">
        <f>IFERROR(__xludf.DUMMYFUNCTION("AVERAGE(ARRAYFORMULA(XLOOKUP(FILTER(INDIRECT(""'""&amp;BW$1&amp;""'!$C$4:$C$66""),INDIRECT(""'""&amp;BW$1&amp;""'!$D$4:$D$66"")=BW$2),$F$3:$BP$3,$F15:$BP15)))"),0.27942150333333327)</f>
        <v>0.2794215033</v>
      </c>
      <c r="BX15" s="207" t="str">
        <f>IFERROR(__xludf.DUMMYFUNCTION("IF(OR(BW15&gt;$BR15+$BS15*$BS$2,BW15&lt;$BR15-$BS15*$BS$2),AVEDEV(ARRAYFORMULA(XLOOKUP(FILTER(INDIRECT(""'""&amp;BW$1&amp;""'!$C$4:$C$66""),INDIRECT(""'""&amp;BW$1&amp;""'!$D$4:$D$66"")=BW$2),$F$3:$BP$3,$F15:$BP15))),"""")"),"")</f>
        <v/>
      </c>
      <c r="BY15" s="207">
        <f>IFERROR(__xludf.DUMMYFUNCTION("AVERAGE(ARRAYFORMULA(XLOOKUP(FILTER(INDIRECT(""'""&amp;BY$1&amp;""'!$C$4:$C$66""),INDIRECT(""'""&amp;BY$1&amp;""'!$D$4:$D$66"")=BY$2),$F$3:$BP$3,$F15:$BP15)))"),-0.06772514454545453)</f>
        <v>-0.06772514455</v>
      </c>
      <c r="BZ15" s="207" t="str">
        <f>IFERROR(__xludf.DUMMYFUNCTION("IF(OR(BY15&gt;$BR15+$BS15*$BS$2,BY15&lt;$BR15-$BS15*$BS$2),AVEDEV(ARRAYFORMULA(XLOOKUP(FILTER(INDIRECT(""'""&amp;BY$1&amp;""'!$C$4:$C$66""),INDIRECT(""'""&amp;BY$1&amp;""'!$D$4:$D$66"")=BY$2),$F$3:$BP$3,$F15:$BP15))),"""")"),"")</f>
        <v/>
      </c>
      <c r="CA15" s="209"/>
      <c r="CB15" s="207">
        <f>IFERROR(__xludf.DUMMYFUNCTION("AVERAGE(ARRAYFORMULA(XLOOKUP(FILTER(INDIRECT(""'""&amp;CB$1&amp;""'!$C$4:$C$66""),INDIRECT(""'""&amp;CB$1&amp;""'!$D$4:$D$66"")=CB$2),$F$3:$BP$3,$F15:$BP15)))"),0.22401468250000003)</f>
        <v>0.2240146825</v>
      </c>
      <c r="CC15" s="207" t="str">
        <f>IFERROR(__xludf.DUMMYFUNCTION("IF(OR(CB15&gt;$BR15+$BS15*$BS$2,CB15&lt;$BR15-$BS15*$BS$2),AVEDEV(ARRAYFORMULA(XLOOKUP(FILTER(INDIRECT(""'""&amp;CB$1&amp;""'!$C$4:$C$66""),INDIRECT(""'""&amp;CB$1&amp;""'!$D$4:$D$66"")=CB$2),$F$3:$BP$3,$F15:$BP15))),"""")"),"")</f>
        <v/>
      </c>
      <c r="CD15" s="207">
        <f>IFERROR(__xludf.DUMMYFUNCTION("AVERAGE(ARRAYFORMULA(XLOOKUP(FILTER(INDIRECT(""'""&amp;CD$1&amp;""'!$C$4:$C$66""),INDIRECT(""'""&amp;CD$1&amp;""'!$D$4:$D$66"")=CD$2),$F$3:$BP$3,$F15:$BP15)))"),0.03684499290322581)</f>
        <v>0.0368449929</v>
      </c>
      <c r="CE15" s="207" t="str">
        <f>IFERROR(__xludf.DUMMYFUNCTION("IF(OR(CD15&gt;$BR15+$BS15*$BS$2,CD15&lt;$BR15-$BS15*$BS$2),AVEDEV(ARRAYFORMULA(XLOOKUP(FILTER(INDIRECT(""'""&amp;CD$1&amp;""'!$C$4:$C$66""),INDIRECT(""'""&amp;CD$1&amp;""'!$D$4:$D$66"")=CD$2),$F$3:$BP$3,$F15:$BP15))),"""")"),"")</f>
        <v/>
      </c>
      <c r="CF15" s="207">
        <f>IFERROR(__xludf.DUMMYFUNCTION("AVERAGE(ARRAYFORMULA(XLOOKUP(FILTER(INDIRECT(""'""&amp;CF$1&amp;""'!$C$4:$C$66""),INDIRECT(""'""&amp;CF$1&amp;""'!$D$4:$D$66"")=CF$2),$F$3:$BP$3,$F15:$BP15)))"),-0.056877866)</f>
        <v>-0.056877866</v>
      </c>
      <c r="CG15" s="207" t="str">
        <f>IFERROR(__xludf.DUMMYFUNCTION("IF(OR(CF15&gt;$BR15+$BS15*$BS$2,CF15&lt;$BR15-$BS15*$BS$2),AVEDEV(ARRAYFORMULA(XLOOKUP(FILTER(INDIRECT(""'""&amp;CF$1&amp;""'!$C$4:$C$66""),INDIRECT(""'""&amp;CF$1&amp;""'!$D$4:$D$66"")=CF$2),$F$3:$BP$3,$F15:$BP15))),"""")"),"")</f>
        <v/>
      </c>
      <c r="CH15" s="206"/>
      <c r="CI15" s="251">
        <f>IFERROR(__xludf.DUMMYFUNCTION("AVERAGE(ARRAYFORMULA(XLOOKUP(FILTER(INDIRECT(""'""&amp;CI$1&amp;""'!$C$4:$C$66""),INDIRECT(""'""&amp;CI$1&amp;""'!$D$4:$D$66"")=CI$2),$F$3:$BP$3,$F15:$BP15)))"),0.08325606200000006)</f>
        <v>0.083256062</v>
      </c>
      <c r="CJ15" s="207" t="str">
        <f>IFERROR(__xludf.DUMMYFUNCTION("IF(OR(CI15&gt;$BR15+$BS15*$BS$2,CI15&lt;$BR15-$BS15*$BS$2),AVEDEV(ARRAYFORMULA(XLOOKUP(FILTER(INDIRECT(""'""&amp;CI$1&amp;""'!$C$4:$C$66""),INDIRECT(""'""&amp;CI$1&amp;""'!$D$4:$D$66"")=CI$2),$F$3:$BP$3,$F15:$BP15))),"""")"),"")</f>
        <v/>
      </c>
      <c r="CK15" s="251">
        <f>IFERROR(__xludf.DUMMYFUNCTION("AVERAGE(ARRAYFORMULA(XLOOKUP(FILTER(INDIRECT(""'""&amp;CK$1&amp;""'!$C$4:$C$66""),INDIRECT(""'""&amp;CK$1&amp;""'!$D$4:$D$66"")=CK$2),$F$3:$BP$3,$F15:$BP15)))"),0.0848095707692308)</f>
        <v>0.08480957077</v>
      </c>
      <c r="CL15" s="207" t="str">
        <f>IFERROR(__xludf.DUMMYFUNCTION("IF(OR(CK15&gt;$BR15+$BS15*$BS$2,CK15&lt;$BR15-$BS15*$BS$2),AVEDEV(ARRAYFORMULA(XLOOKUP(FILTER(INDIRECT(""'""&amp;CK$1&amp;""'!$C$4:$C$66""),INDIRECT(""'""&amp;CK$1&amp;""'!$D$4:$D$66"")=CK$2),$F$3:$BP$3,$F15:$BP15))),"""")"),"")</f>
        <v/>
      </c>
      <c r="CM15" s="251">
        <f>IFERROR(__xludf.DUMMYFUNCTION("AVERAGE(ARRAYFORMULA(XLOOKUP(FILTER(INDIRECT(""'""&amp;CM$1&amp;""'!$C$4:$C$66""),INDIRECT(""'""&amp;CM$1&amp;""'!$D$4:$D$66"")=CM$2),$F$3:$BP$3,$F15:$BP15)))"),-0.056877866)</f>
        <v>-0.056877866</v>
      </c>
      <c r="CN15" s="207" t="str">
        <f>IFERROR(__xludf.DUMMYFUNCTION("IF(OR(CM15&gt;$BR15+$BS15*$BS$2,CM15&lt;$BR15-$BS15*$BS$2),AVEDEV(ARRAYFORMULA(XLOOKUP(FILTER(INDIRECT(""'""&amp;CM$1&amp;""'!$C$4:$C$66""),INDIRECT(""'""&amp;CM$1&amp;""'!$D$4:$D$66"")=CM$2),$F$3:$BP$3,$F15:$BP15))),"""")"),"")</f>
        <v/>
      </c>
      <c r="CO15" s="252"/>
      <c r="CP15" s="251">
        <f>IFERROR(__xludf.DUMMYFUNCTION("AVERAGE(ARRAYFORMULA(XLOOKUP(FILTER(INDIRECT(""'""&amp;CP$1&amp;""'!$C$4:$C$66""),INDIRECT(""'""&amp;CP$1&amp;""'!$D$4:$D$66"")=CP$2),$F$3:$BP$3,$F15:$BP15)))"),0.15213070928571426)</f>
        <v>0.1521307093</v>
      </c>
      <c r="CQ15" s="207" t="str">
        <f>IFERROR(__xludf.DUMMYFUNCTION("IF(OR(CP15&gt;$BR15+$BS15*$BS$2,CP15&lt;$BR15-$BS15*$BS$2),AVEDEV(ARRAYFORMULA(XLOOKUP(FILTER(INDIRECT(""'""&amp;CP$1&amp;""'!$C$4:$C$66""),INDIRECT(""'""&amp;CP$1&amp;""'!$D$4:$D$66"")=CP$2),$F$3:$BP$3,$F15:$BP15))),"""")"),"")</f>
        <v/>
      </c>
      <c r="CR15" s="251">
        <f>IFERROR(__xludf.DUMMYFUNCTION("AVERAGE(ARRAYFORMULA(XLOOKUP(FILTER(INDIRECT(""'""&amp;CR$1&amp;""'!$C$4:$C$66""),INDIRECT(""'""&amp;CR$1&amp;""'!$D$4:$D$66"")=CR$2),$F$3:$BP$3,$F15:$BP15)))"),0.05169159000000001)</f>
        <v>0.05169159</v>
      </c>
      <c r="CS15" s="207" t="str">
        <f>IFERROR(__xludf.DUMMYFUNCTION("IF(OR(CR15&gt;$BR15+$BS15*$BS$2,CR15&lt;$BR15-$BS15*$BS$2),AVEDEV(ARRAYFORMULA(XLOOKUP(FILTER(INDIRECT(""'""&amp;CR$1&amp;""'!$C$4:$C$66""),INDIRECT(""'""&amp;CR$1&amp;""'!$D$4:$D$66"")=CR$2),$F$3:$BP$3,$F15:$BP15))),"""")"),"")</f>
        <v/>
      </c>
      <c r="CT15" s="251">
        <f>IFERROR(__xludf.DUMMYFUNCTION("AVERAGE(ARRAYFORMULA(XLOOKUP(FILTER(INDIRECT(""'""&amp;CT$1&amp;""'!$C$4:$C$66""),INDIRECT(""'""&amp;CT$1&amp;""'!$D$4:$D$66"")=CT$2),$F$3:$BP$3,$F15:$BP15)))"),0.7253056090909092)</f>
        <v>0.7253056091</v>
      </c>
      <c r="CU15" s="207">
        <f>IFERROR(__xludf.DUMMYFUNCTION("IF(OR(CT15&gt;$BR15+$BS15*$BS$2,CT15&lt;$BR15-$BS15*$BS$2),AVEDEV(ARRAYFORMULA(XLOOKUP(FILTER(INDIRECT(""'""&amp;CT$1&amp;""'!$C$4:$C$66""),INDIRECT(""'""&amp;CT$1&amp;""'!$D$4:$D$66"")=CT$2),$F$3:$BP$3,$F15:$BP15))),"""")"),0.6557921480991736)</f>
        <v>0.6557921481</v>
      </c>
      <c r="CV15" s="251">
        <f>IFERROR(__xludf.DUMMYFUNCTION("AVERAGE(ARRAYFORMULA(XLOOKUP(FILTER(INDIRECT(""'""&amp;CV$1&amp;""'!$C$4:$C$66""),INDIRECT(""'""&amp;CV$1&amp;""'!$D$4:$D$66"")=CV$2),$F$3:$BP$3,$F15:$BP15)))"),-0.74574965)</f>
        <v>-0.74574965</v>
      </c>
      <c r="CW15" s="207">
        <f>IFERROR(__xludf.DUMMYFUNCTION("IF(OR(CV15&gt;$BR15+$BS15*$BS$2,CV15&lt;$BR15-$BS15*$BS$2),AVEDEV(ARRAYFORMULA(XLOOKUP(FILTER(INDIRECT(""'""&amp;CV$1&amp;""'!$C$4:$C$66""),INDIRECT(""'""&amp;CV$1&amp;""'!$D$4:$D$66"")=CV$2),$F$3:$BP$3,$F15:$BP15))),"""")"),0.011591949999999962)</f>
        <v>0.01159195</v>
      </c>
      <c r="CX15" s="251">
        <f>IFERROR(__xludf.DUMMYFUNCTION("AVERAGE(ARRAYFORMULA(XLOOKUP(FILTER(INDIRECT(""'""&amp;CX$1&amp;""'!$C$4:$C$66""),INDIRECT(""'""&amp;CX$1&amp;""'!$D$4:$D$66"")=CX$2),$F$3:$BP$3,$F15:$BP15)))"),0.24199602214285718)</f>
        <v>0.2419960221</v>
      </c>
      <c r="CY15" s="207" t="str">
        <f>IFERROR(__xludf.DUMMYFUNCTION("IF(OR(CX15&gt;$BR15+$BS15*$BS$2,CX15&lt;$BR15-$BS15*$BS$2),AVEDEV(ARRAYFORMULA(XLOOKUP(FILTER(INDIRECT(""'""&amp;CX$1&amp;""'!$C$4:$C$66""),INDIRECT(""'""&amp;CX$1&amp;""'!$D$4:$D$66"")=CX$2),$F$3:$BP$3,$F15:$BP15))),"""")"),"")</f>
        <v/>
      </c>
      <c r="CZ15" s="252"/>
      <c r="DA15" s="251">
        <f>IFERROR(__xludf.DUMMYFUNCTION("AVERAGE(ARRAYFORMULA(XLOOKUP(FILTER(INDIRECT(""'""&amp;DA$1&amp;""'!$C$4:$C$66""),INDIRECT(""'""&amp;DA$1&amp;""'!$D$4:$D$66"")=DA$2),$F$3:$BP$3,$F15:$BP15)))"),0.06733642399999999)</f>
        <v>0.067336424</v>
      </c>
      <c r="DB15" s="207" t="str">
        <f>IFERROR(__xludf.DUMMYFUNCTION("IF(OR(DA15&gt;$BR15+$BS15*$BS$2,DA15&lt;$BR15-$BS15*$BS$2),AVEDEV(ARRAYFORMULA(XLOOKUP(FILTER(INDIRECT(""'""&amp;DA$1&amp;""'!$C$4:$C$66""),INDIRECT(""'""&amp;DA$1&amp;""'!$D$4:$D$66"")=DA$2),$F$3:$BP$3,$F15:$BP15))),"""")"),"")</f>
        <v/>
      </c>
      <c r="DC15" s="251">
        <f>IFERROR(__xludf.DUMMYFUNCTION("AVERAGE(ARRAYFORMULA(XLOOKUP(FILTER(INDIRECT(""'""&amp;DC$1&amp;""'!$C$4:$C$66""),INDIRECT(""'""&amp;DC$1&amp;""'!$D$4:$D$66"")=DC$2),$F$3:$BP$3,$F15:$BP15)))"),0.023527411111111132)</f>
        <v>0.02352741111</v>
      </c>
      <c r="DD15" s="207" t="str">
        <f>IFERROR(__xludf.DUMMYFUNCTION("IF(OR(DC15&gt;$BR15+$BS15*$BS$2,DC15&lt;$BR15-$BS15*$BS$2),AVEDEV(ARRAYFORMULA(XLOOKUP(FILTER(INDIRECT(""'""&amp;DC$1&amp;""'!$C$4:$C$66""),INDIRECT(""'""&amp;DC$1&amp;""'!$D$4:$D$66"")=DC$2),$F$3:$BP$3,$F15:$BP15))),"""")"),"")</f>
        <v/>
      </c>
      <c r="DE15" s="251">
        <f>IFERROR(__xludf.DUMMYFUNCTION("AVERAGE(ARRAYFORMULA(XLOOKUP(FILTER(INDIRECT(""'""&amp;DE$1&amp;""'!$C$4:$C$66""),INDIRECT(""'""&amp;DE$1&amp;""'!$D$4:$D$66"")=DE$2),$F$3:$BP$3,$F15:$BP15)))"),0.29134466625)</f>
        <v>0.2913446663</v>
      </c>
      <c r="DF15" s="207" t="str">
        <f>IFERROR(__xludf.DUMMYFUNCTION("IF(OR(DE15&gt;$BR15+$BS15*$BS$2,DE15&lt;$BR15-$BS15*$BS$2),AVEDEV(ARRAYFORMULA(XLOOKUP(FILTER(INDIRECT(""'""&amp;DE$1&amp;""'!$C$4:$C$66""),INDIRECT(""'""&amp;DE$1&amp;""'!$D$4:$D$66"")=DE$2),$F$3:$BP$3,$F15:$BP15))),"""")"),"")</f>
        <v/>
      </c>
      <c r="DG15" s="251">
        <f>IFERROR(__xludf.DUMMYFUNCTION("AVERAGE(ARRAYFORMULA(XLOOKUP(FILTER(INDIRECT(""'""&amp;DG$1&amp;""'!$C$4:$C$66""),INDIRECT(""'""&amp;DG$1&amp;""'!$D$4:$D$66"")=DG$2),$F$3:$BP$3,$F15:$BP15)))"),-0.008930102222222212)</f>
        <v>-0.008930102222</v>
      </c>
      <c r="DH15" s="207" t="str">
        <f>IFERROR(__xludf.DUMMYFUNCTION("IF(OR(DG15&gt;$BR15+$BS15*$BS$2,DG15&lt;$BR15-$BS15*$BS$2),AVEDEV(ARRAYFORMULA(XLOOKUP(FILTER(INDIRECT(""'""&amp;DG$1&amp;""'!$C$4:$C$66""),INDIRECT(""'""&amp;DG$1&amp;""'!$D$4:$D$66"")=DG$2),$F$3:$BP$3,$F15:$BP15))),"""")"),"")</f>
        <v/>
      </c>
      <c r="DI15" s="252"/>
    </row>
    <row r="16">
      <c r="A16" s="2"/>
      <c r="B16" s="204" t="s">
        <v>442</v>
      </c>
      <c r="C16" s="204" t="s">
        <v>456</v>
      </c>
      <c r="D16" s="205" t="b">
        <f>VLOOKUP(C16,'Feature Set List'!A13:C246,2,0)</f>
        <v>1</v>
      </c>
      <c r="E16" s="205" t="b">
        <f>VLOOKUP(C16,'Feature Set List'!A13:C246,3,0)</f>
        <v>0</v>
      </c>
      <c r="F16" s="205">
        <v>-1.8125</v>
      </c>
      <c r="G16" s="205">
        <v>0.1875</v>
      </c>
      <c r="H16" s="205">
        <v>0.125</v>
      </c>
      <c r="I16" s="205">
        <v>-0.25</v>
      </c>
      <c r="J16" s="205">
        <v>1.0625</v>
      </c>
      <c r="K16" s="205">
        <v>-0.25</v>
      </c>
      <c r="L16" s="205">
        <v>0.0</v>
      </c>
      <c r="M16" s="205">
        <v>0.25</v>
      </c>
      <c r="N16" s="205">
        <v>-0.625</v>
      </c>
      <c r="O16" s="205">
        <v>-0.125</v>
      </c>
      <c r="P16" s="205">
        <v>0.125</v>
      </c>
      <c r="Q16" s="205">
        <v>0.0</v>
      </c>
      <c r="R16" s="205">
        <v>0.0</v>
      </c>
      <c r="S16" s="205">
        <v>0.125</v>
      </c>
      <c r="T16" s="205">
        <v>-1.375</v>
      </c>
      <c r="U16" s="205">
        <v>0.0625</v>
      </c>
      <c r="V16" s="205">
        <v>-1.0625</v>
      </c>
      <c r="W16" s="205">
        <v>-1.5</v>
      </c>
      <c r="X16" s="205">
        <v>-0.0625</v>
      </c>
      <c r="Y16" s="205">
        <v>-0.1875</v>
      </c>
      <c r="Z16" s="205">
        <v>-1.9375</v>
      </c>
      <c r="AA16" s="205">
        <v>-1.375</v>
      </c>
      <c r="AB16" s="205">
        <v>-1.0</v>
      </c>
      <c r="AC16" s="205">
        <v>0.3125</v>
      </c>
      <c r="AD16" s="205">
        <v>0.125</v>
      </c>
      <c r="AE16" s="205">
        <v>0.1875</v>
      </c>
      <c r="AF16" s="205">
        <v>-0.25</v>
      </c>
      <c r="AG16" s="205">
        <v>-1.6875</v>
      </c>
      <c r="AH16" s="205">
        <v>0.0</v>
      </c>
      <c r="AI16" s="205">
        <v>0.125</v>
      </c>
      <c r="AJ16" s="205">
        <v>0.1875</v>
      </c>
      <c r="AK16" s="205">
        <v>0.0625</v>
      </c>
      <c r="AL16" s="205">
        <v>-1.9375</v>
      </c>
      <c r="AM16" s="205">
        <v>-1.1875</v>
      </c>
      <c r="AN16" s="205">
        <v>0.0625</v>
      </c>
      <c r="AO16" s="205">
        <v>0.4375</v>
      </c>
      <c r="AP16" s="205">
        <v>0.5625</v>
      </c>
      <c r="AQ16" s="205">
        <v>0.5625</v>
      </c>
      <c r="AR16" s="205">
        <v>-0.125</v>
      </c>
      <c r="AS16" s="205">
        <v>-0.75</v>
      </c>
      <c r="AT16" s="205">
        <v>0.0</v>
      </c>
      <c r="AU16" s="205">
        <v>-2.0625</v>
      </c>
      <c r="AV16" s="205">
        <v>0.5</v>
      </c>
      <c r="AW16" s="205">
        <v>-0.4375</v>
      </c>
      <c r="AX16" s="205">
        <v>-1.375</v>
      </c>
      <c r="AY16" s="205">
        <v>-0.75</v>
      </c>
      <c r="AZ16" s="205">
        <v>0.0625</v>
      </c>
      <c r="BA16" s="205">
        <v>0.125</v>
      </c>
      <c r="BB16" s="205">
        <v>0.0</v>
      </c>
      <c r="BC16" s="205">
        <v>0.375</v>
      </c>
      <c r="BD16" s="205">
        <v>-1.625</v>
      </c>
      <c r="BE16" s="205">
        <v>0.375</v>
      </c>
      <c r="BF16" s="205">
        <v>-0.1875</v>
      </c>
      <c r="BG16" s="205">
        <v>0.3125</v>
      </c>
      <c r="BH16" s="205">
        <v>1.0625</v>
      </c>
      <c r="BI16" s="205">
        <v>0.0</v>
      </c>
      <c r="BJ16" s="205">
        <v>-0.25</v>
      </c>
      <c r="BK16" s="205">
        <v>-2.125</v>
      </c>
      <c r="BL16" s="205">
        <v>-0.75</v>
      </c>
      <c r="BM16" s="205">
        <v>-0.4375</v>
      </c>
      <c r="BN16" s="205">
        <v>-1.375</v>
      </c>
      <c r="BO16" s="205">
        <v>-1.625</v>
      </c>
      <c r="BP16" s="205">
        <v>0.0625</v>
      </c>
      <c r="BQ16" s="206"/>
      <c r="BR16" s="250">
        <f t="shared" si="1"/>
        <v>-0.3660714286</v>
      </c>
      <c r="BS16" s="250">
        <f t="shared" si="2"/>
        <v>0.6590136054</v>
      </c>
      <c r="BT16" s="206"/>
      <c r="BU16" s="207">
        <f>IFERROR(__xludf.DUMMYFUNCTION("AVERAGE(ARRAYFORMULA(XLOOKUP(FILTER(INDIRECT(""'""&amp;BU$1&amp;""'!$C$4:$C$66""),INDIRECT(""'""&amp;BU$1&amp;""'!$D$4:$D$66"")=BU$2),$F$3:$BP$3,$F16:$BP16)))"),-1.1160714285714286)</f>
        <v>-1.116071429</v>
      </c>
      <c r="BV16" s="207">
        <f>IFERROR(__xludf.DUMMYFUNCTION("IF(OR(BU16&gt;$BR16+$BS16*$BS$2,BU16&lt;$BR16-$BS16*$BS$2),AVEDEV(ARRAYFORMULA(XLOOKUP(FILTER(INDIRECT(""'""&amp;BU$1&amp;""'!$C$4:$C$66""),INDIRECT(""'""&amp;BU$1&amp;""'!$D$4:$D$66"")=BU$2),$F$3:$BP$3,$F16:$BP16))),"""")"),0.6913265306122448)</f>
        <v>0.6913265306</v>
      </c>
      <c r="BW16" s="207">
        <f>IFERROR(__xludf.DUMMYFUNCTION("AVERAGE(ARRAYFORMULA(XLOOKUP(FILTER(INDIRECT(""'""&amp;BW$1&amp;""'!$C$4:$C$66""),INDIRECT(""'""&amp;BW$1&amp;""'!$D$4:$D$66"")=BW$2),$F$3:$BP$3,$F16:$BP16)))"),-0.2693452380952381)</f>
        <v>-0.2693452381</v>
      </c>
      <c r="BX16" s="207" t="str">
        <f>IFERROR(__xludf.DUMMYFUNCTION("IF(OR(BW16&gt;$BR16+$BS16*$BS$2,BW16&lt;$BR16-$BS16*$BS$2),AVEDEV(ARRAYFORMULA(XLOOKUP(FILTER(INDIRECT(""'""&amp;BW$1&amp;""'!$C$4:$C$66""),INDIRECT(""'""&amp;BW$1&amp;""'!$D$4:$D$66"")=BW$2),$F$3:$BP$3,$F16:$BP16))),"""")"),"")</f>
        <v/>
      </c>
      <c r="BY16" s="207">
        <f>IFERROR(__xludf.DUMMYFUNCTION("AVERAGE(ARRAYFORMULA(XLOOKUP(FILTER(INDIRECT(""'""&amp;BY$1&amp;""'!$C$4:$C$66""),INDIRECT(""'""&amp;BY$1&amp;""'!$D$4:$D$66"")=BY$2),$F$3:$BP$3,$F16:$BP16)))"),-0.4034090909090909)</f>
        <v>-0.4034090909</v>
      </c>
      <c r="BZ16" s="207" t="str">
        <f>IFERROR(__xludf.DUMMYFUNCTION("IF(OR(BY16&gt;$BR16+$BS16*$BS$2,BY16&lt;$BR16-$BS16*$BS$2),AVEDEV(ARRAYFORMULA(XLOOKUP(FILTER(INDIRECT(""'""&amp;BY$1&amp;""'!$C$4:$C$66""),INDIRECT(""'""&amp;BY$1&amp;""'!$D$4:$D$66"")=BY$2),$F$3:$BP$3,$F16:$BP16))),"""")"),"")</f>
        <v/>
      </c>
      <c r="CA16" s="209"/>
      <c r="CB16" s="207">
        <f>IFERROR(__xludf.DUMMYFUNCTION("AVERAGE(ARRAYFORMULA(XLOOKUP(FILTER(INDIRECT(""'""&amp;CB$1&amp;""'!$C$4:$C$66""),INDIRECT(""'""&amp;CB$1&amp;""'!$D$4:$D$66"")=CB$2),$F$3:$BP$3,$F16:$BP16)))"),0.078125)</f>
        <v>0.078125</v>
      </c>
      <c r="CC16" s="207" t="str">
        <f>IFERROR(__xludf.DUMMYFUNCTION("IF(OR(CB16&gt;$BR16+$BS16*$BS$2,CB16&lt;$BR16-$BS16*$BS$2),AVEDEV(ARRAYFORMULA(XLOOKUP(FILTER(INDIRECT(""'""&amp;CB$1&amp;""'!$C$4:$C$66""),INDIRECT(""'""&amp;CB$1&amp;""'!$D$4:$D$66"")=CB$2),$F$3:$BP$3,$F16:$BP16))),"""")"),"")</f>
        <v/>
      </c>
      <c r="CD16" s="207">
        <f>IFERROR(__xludf.DUMMYFUNCTION("AVERAGE(ARRAYFORMULA(XLOOKUP(FILTER(INDIRECT(""'""&amp;CD$1&amp;""'!$C$4:$C$66""),INDIRECT(""'""&amp;CD$1&amp;""'!$D$4:$D$66"")=CD$2),$F$3:$BP$3,$F16:$BP16)))"),-0.5544354838709677)</f>
        <v>-0.5544354839</v>
      </c>
      <c r="CE16" s="207" t="str">
        <f>IFERROR(__xludf.DUMMYFUNCTION("IF(OR(CD16&gt;$BR16+$BS16*$BS$2,CD16&lt;$BR16-$BS16*$BS$2),AVEDEV(ARRAYFORMULA(XLOOKUP(FILTER(INDIRECT(""'""&amp;CD$1&amp;""'!$C$4:$C$66""),INDIRECT(""'""&amp;CD$1&amp;""'!$D$4:$D$66"")=CD$2),$F$3:$BP$3,$F16:$BP16))),"""")"),"")</f>
        <v/>
      </c>
      <c r="CF16" s="207">
        <f>IFERROR(__xludf.DUMMYFUNCTION("AVERAGE(ARRAYFORMULA(XLOOKUP(FILTER(INDIRECT(""'""&amp;CF$1&amp;""'!$C$4:$C$66""),INDIRECT(""'""&amp;CF$1&amp;""'!$D$4:$D$66"")=CF$2),$F$3:$BP$3,$F16:$BP16)))"),-0.05)</f>
        <v>-0.05</v>
      </c>
      <c r="CG16" s="207" t="str">
        <f>IFERROR(__xludf.DUMMYFUNCTION("IF(OR(CF16&gt;$BR16+$BS16*$BS$2,CF16&lt;$BR16-$BS16*$BS$2),AVEDEV(ARRAYFORMULA(XLOOKUP(FILTER(INDIRECT(""'""&amp;CF$1&amp;""'!$C$4:$C$66""),INDIRECT(""'""&amp;CF$1&amp;""'!$D$4:$D$66"")=CF$2),$F$3:$BP$3,$F16:$BP16))),"""")"),"")</f>
        <v/>
      </c>
      <c r="CH16" s="206"/>
      <c r="CI16" s="251">
        <f>IFERROR(__xludf.DUMMYFUNCTION("AVERAGE(ARRAYFORMULA(XLOOKUP(FILTER(INDIRECT(""'""&amp;CI$1&amp;""'!$C$4:$C$66""),INDIRECT(""'""&amp;CI$1&amp;""'!$D$4:$D$66"")=CI$2),$F$3:$BP$3,$F16:$BP16)))"),-0.9833333333333333)</f>
        <v>-0.9833333333</v>
      </c>
      <c r="CJ16" s="207" t="str">
        <f>IFERROR(__xludf.DUMMYFUNCTION("IF(OR(CI16&gt;$BR16+$BS16*$BS$2,CI16&lt;$BR16-$BS16*$BS$2),AVEDEV(ARRAYFORMULA(XLOOKUP(FILTER(INDIRECT(""'""&amp;CI$1&amp;""'!$C$4:$C$66""),INDIRECT(""'""&amp;CI$1&amp;""'!$D$4:$D$66"")=CI$2),$F$3:$BP$3,$F16:$BP16))),"""")"),"")</f>
        <v/>
      </c>
      <c r="CK16" s="251">
        <f>IFERROR(__xludf.DUMMYFUNCTION("AVERAGE(ARRAYFORMULA(XLOOKUP(FILTER(INDIRECT(""'""&amp;CK$1&amp;""'!$C$4:$C$66""),INDIRECT(""'""&amp;CK$1&amp;""'!$D$4:$D$66"")=CK$2),$F$3:$BP$3,$F16:$BP16)))"),-0.16506410256410256)</f>
        <v>-0.1650641026</v>
      </c>
      <c r="CL16" s="207" t="str">
        <f>IFERROR(__xludf.DUMMYFUNCTION("IF(OR(CK16&gt;$BR16+$BS16*$BS$2,CK16&lt;$BR16-$BS16*$BS$2),AVEDEV(ARRAYFORMULA(XLOOKUP(FILTER(INDIRECT(""'""&amp;CK$1&amp;""'!$C$4:$C$66""),INDIRECT(""'""&amp;CK$1&amp;""'!$D$4:$D$66"")=CK$2),$F$3:$BP$3,$F16:$BP16))),"""")"),"")</f>
        <v/>
      </c>
      <c r="CM16" s="251">
        <f>IFERROR(__xludf.DUMMYFUNCTION("AVERAGE(ARRAYFORMULA(XLOOKUP(FILTER(INDIRECT(""'""&amp;CM$1&amp;""'!$C$4:$C$66""),INDIRECT(""'""&amp;CM$1&amp;""'!$D$4:$D$66"")=CM$2),$F$3:$BP$3,$F16:$BP16)))"),-0.05)</f>
        <v>-0.05</v>
      </c>
      <c r="CN16" s="207" t="str">
        <f>IFERROR(__xludf.DUMMYFUNCTION("IF(OR(CM16&gt;$BR16+$BS16*$BS$2,CM16&lt;$BR16-$BS16*$BS$2),AVEDEV(ARRAYFORMULA(XLOOKUP(FILTER(INDIRECT(""'""&amp;CM$1&amp;""'!$C$4:$C$66""),INDIRECT(""'""&amp;CM$1&amp;""'!$D$4:$D$66"")=CM$2),$F$3:$BP$3,$F16:$BP16))),"""")"),"")</f>
        <v/>
      </c>
      <c r="CO16" s="252"/>
      <c r="CP16" s="251">
        <f>IFERROR(__xludf.DUMMYFUNCTION("AVERAGE(ARRAYFORMULA(XLOOKUP(FILTER(INDIRECT(""'""&amp;CP$1&amp;""'!$C$4:$C$66""),INDIRECT(""'""&amp;CP$1&amp;""'!$D$4:$D$66"")=CP$2),$F$3:$BP$3,$F16:$BP16)))"),0.14285714285714285)</f>
        <v>0.1428571429</v>
      </c>
      <c r="CQ16" s="207" t="str">
        <f>IFERROR(__xludf.DUMMYFUNCTION("IF(OR(CP16&gt;$BR16+$BS16*$BS$2,CP16&lt;$BR16-$BS16*$BS$2),AVEDEV(ARRAYFORMULA(XLOOKUP(FILTER(INDIRECT(""'""&amp;CP$1&amp;""'!$C$4:$C$66""),INDIRECT(""'""&amp;CP$1&amp;""'!$D$4:$D$66"")=CP$2),$F$3:$BP$3,$F16:$BP16))),"""")"),"")</f>
        <v/>
      </c>
      <c r="CR16" s="251">
        <f>IFERROR(__xludf.DUMMYFUNCTION("AVERAGE(ARRAYFORMULA(XLOOKUP(FILTER(INDIRECT(""'""&amp;CR$1&amp;""'!$C$4:$C$66""),INDIRECT(""'""&amp;CR$1&amp;""'!$D$4:$D$66"")=CR$2),$F$3:$BP$3,$F16:$BP16)))"),-0.3263888888888889)</f>
        <v>-0.3263888889</v>
      </c>
      <c r="CS16" s="207" t="str">
        <f>IFERROR(__xludf.DUMMYFUNCTION("IF(OR(CR16&gt;$BR16+$BS16*$BS$2,CR16&lt;$BR16-$BS16*$BS$2),AVEDEV(ARRAYFORMULA(XLOOKUP(FILTER(INDIRECT(""'""&amp;CR$1&amp;""'!$C$4:$C$66""),INDIRECT(""'""&amp;CR$1&amp;""'!$D$4:$D$66"")=CR$2),$F$3:$BP$3,$F16:$BP16))),"""")"),"")</f>
        <v/>
      </c>
      <c r="CT16" s="251">
        <f>IFERROR(__xludf.DUMMYFUNCTION("AVERAGE(ARRAYFORMULA(XLOOKUP(FILTER(INDIRECT(""'""&amp;CT$1&amp;""'!$C$4:$C$66""),INDIRECT(""'""&amp;CT$1&amp;""'!$D$4:$D$66"")=CT$2),$F$3:$BP$3,$F16:$BP16)))"),-1.1875)</f>
        <v>-1.1875</v>
      </c>
      <c r="CU16" s="207">
        <f>IFERROR(__xludf.DUMMYFUNCTION("IF(OR(CT16&gt;$BR16+$BS16*$BS$2,CT16&lt;$BR16-$BS16*$BS$2),AVEDEV(ARRAYFORMULA(XLOOKUP(FILTER(INDIRECT(""'""&amp;CT$1&amp;""'!$C$4:$C$66""),INDIRECT(""'""&amp;CT$1&amp;""'!$D$4:$D$66"")=CT$2),$F$3:$BP$3,$F16:$BP16))),"""")"),0.5909090909090909)</f>
        <v>0.5909090909</v>
      </c>
      <c r="CV16" s="251">
        <f>IFERROR(__xludf.DUMMYFUNCTION("AVERAGE(ARRAYFORMULA(XLOOKUP(FILTER(INDIRECT(""'""&amp;CV$1&amp;""'!$C$4:$C$66""),INDIRECT(""'""&amp;CV$1&amp;""'!$D$4:$D$66"")=CV$2),$F$3:$BP$3,$F16:$BP16)))"),0.3125)</f>
        <v>0.3125</v>
      </c>
      <c r="CW16" s="207">
        <f>IFERROR(__xludf.DUMMYFUNCTION("IF(OR(CV16&gt;$BR16+$BS16*$BS$2,CV16&lt;$BR16-$BS16*$BS$2),AVEDEV(ARRAYFORMULA(XLOOKUP(FILTER(INDIRECT(""'""&amp;CV$1&amp;""'!$C$4:$C$66""),INDIRECT(""'""&amp;CV$1&amp;""'!$D$4:$D$66"")=CV$2),$F$3:$BP$3,$F16:$BP16))),"""")"),0.0)</f>
        <v>0</v>
      </c>
      <c r="CX16" s="251">
        <f>IFERROR(__xludf.DUMMYFUNCTION("AVERAGE(ARRAYFORMULA(XLOOKUP(FILTER(INDIRECT(""'""&amp;CX$1&amp;""'!$C$4:$C$66""),INDIRECT(""'""&amp;CX$1&amp;""'!$D$4:$D$66"")=CX$2),$F$3:$BP$3,$F16:$BP16)))"),-0.18303571428571427)</f>
        <v>-0.1830357143</v>
      </c>
      <c r="CY16" s="207" t="str">
        <f>IFERROR(__xludf.DUMMYFUNCTION("IF(OR(CX16&gt;$BR16+$BS16*$BS$2,CX16&lt;$BR16-$BS16*$BS$2),AVEDEV(ARRAYFORMULA(XLOOKUP(FILTER(INDIRECT(""'""&amp;CX$1&amp;""'!$C$4:$C$66""),INDIRECT(""'""&amp;CX$1&amp;""'!$D$4:$D$66"")=CX$2),$F$3:$BP$3,$F16:$BP16))),"""")"),"")</f>
        <v/>
      </c>
      <c r="CZ16" s="252"/>
      <c r="DA16" s="251">
        <f>IFERROR(__xludf.DUMMYFUNCTION("AVERAGE(ARRAYFORMULA(XLOOKUP(FILTER(INDIRECT(""'""&amp;DA$1&amp;""'!$C$4:$C$66""),INDIRECT(""'""&amp;DA$1&amp;""'!$D$4:$D$66"")=DA$2),$F$3:$BP$3,$F16:$BP16)))"),-0.20416666666666666)</f>
        <v>-0.2041666667</v>
      </c>
      <c r="DB16" s="207" t="str">
        <f>IFERROR(__xludf.DUMMYFUNCTION("IF(OR(DA16&gt;$BR16+$BS16*$BS$2,DA16&lt;$BR16-$BS16*$BS$2),AVEDEV(ARRAYFORMULA(XLOOKUP(FILTER(INDIRECT(""'""&amp;DA$1&amp;""'!$C$4:$C$66""),INDIRECT(""'""&amp;DA$1&amp;""'!$D$4:$D$66"")=DA$2),$F$3:$BP$3,$F16:$BP16))),"""")"),"")</f>
        <v/>
      </c>
      <c r="DC16" s="251">
        <f>IFERROR(__xludf.DUMMYFUNCTION("AVERAGE(ARRAYFORMULA(XLOOKUP(FILTER(INDIRECT(""'""&amp;DC$1&amp;""'!$C$4:$C$66""),INDIRECT(""'""&amp;DC$1&amp;""'!$D$4:$D$66"")=DC$2),$F$3:$BP$3,$F16:$BP16)))"),-0.6527777777777778)</f>
        <v>-0.6527777778</v>
      </c>
      <c r="DD16" s="207" t="str">
        <f>IFERROR(__xludf.DUMMYFUNCTION("IF(OR(DC16&gt;$BR16+$BS16*$BS$2,DC16&lt;$BR16-$BS16*$BS$2),AVEDEV(ARRAYFORMULA(XLOOKUP(FILTER(INDIRECT(""'""&amp;DC$1&amp;""'!$C$4:$C$66""),INDIRECT(""'""&amp;DC$1&amp;""'!$D$4:$D$66"")=DC$2),$F$3:$BP$3,$F16:$BP16))),"""")"),"")</f>
        <v/>
      </c>
      <c r="DE16" s="251">
        <f>IFERROR(__xludf.DUMMYFUNCTION("AVERAGE(ARRAYFORMULA(XLOOKUP(FILTER(INDIRECT(""'""&amp;DE$1&amp;""'!$C$4:$C$66""),INDIRECT(""'""&amp;DE$1&amp;""'!$D$4:$D$66"")=DE$2),$F$3:$BP$3,$F16:$BP16)))"),-0.7421875)</f>
        <v>-0.7421875</v>
      </c>
      <c r="DF16" s="207" t="str">
        <f>IFERROR(__xludf.DUMMYFUNCTION("IF(OR(DE16&gt;$BR16+$BS16*$BS$2,DE16&lt;$BR16-$BS16*$BS$2),AVEDEV(ARRAYFORMULA(XLOOKUP(FILTER(INDIRECT(""'""&amp;DE$1&amp;""'!$C$4:$C$66""),INDIRECT(""'""&amp;DE$1&amp;""'!$D$4:$D$66"")=DE$2),$F$3:$BP$3,$F16:$BP16))),"""")"),"")</f>
        <v/>
      </c>
      <c r="DG16" s="251">
        <f>IFERROR(__xludf.DUMMYFUNCTION("AVERAGE(ARRAYFORMULA(XLOOKUP(FILTER(INDIRECT(""'""&amp;DG$1&amp;""'!$C$4:$C$66""),INDIRECT(""'""&amp;DG$1&amp;""'!$D$4:$D$66"")=DG$2),$F$3:$BP$3,$F16:$BP16)))"),-0.2916666666666667)</f>
        <v>-0.2916666667</v>
      </c>
      <c r="DH16" s="207" t="str">
        <f>IFERROR(__xludf.DUMMYFUNCTION("IF(OR(DG16&gt;$BR16+$BS16*$BS$2,DG16&lt;$BR16-$BS16*$BS$2),AVEDEV(ARRAYFORMULA(XLOOKUP(FILTER(INDIRECT(""'""&amp;DG$1&amp;""'!$C$4:$C$66""),INDIRECT(""'""&amp;DG$1&amp;""'!$D$4:$D$66"")=DG$2),$F$3:$BP$3,$F16:$BP16))),"""")"),"")</f>
        <v/>
      </c>
      <c r="DI16" s="252"/>
    </row>
    <row r="17">
      <c r="A17" s="2"/>
      <c r="B17" s="204" t="s">
        <v>442</v>
      </c>
      <c r="C17" s="204" t="s">
        <v>457</v>
      </c>
      <c r="D17" s="205" t="b">
        <f>VLOOKUP(C17,'Feature Set List'!A14:C246,2,0)</f>
        <v>1</v>
      </c>
      <c r="E17" s="205" t="b">
        <f>VLOOKUP(C17,'Feature Set List'!A14:C246,3,0)</f>
        <v>0</v>
      </c>
      <c r="F17" s="205">
        <v>0.8</v>
      </c>
      <c r="G17" s="205">
        <v>0.8</v>
      </c>
      <c r="H17" s="205">
        <v>-0.2</v>
      </c>
      <c r="I17" s="205">
        <v>1.0</v>
      </c>
      <c r="J17" s="205">
        <v>0.8</v>
      </c>
      <c r="K17" s="205">
        <v>1.0</v>
      </c>
      <c r="L17" s="205">
        <v>-0.6</v>
      </c>
      <c r="M17" s="205">
        <v>0.2</v>
      </c>
      <c r="N17" s="205">
        <v>-0.2</v>
      </c>
      <c r="O17" s="205">
        <v>0.4</v>
      </c>
      <c r="P17" s="205">
        <v>-0.2</v>
      </c>
      <c r="Q17" s="205">
        <v>-0.6</v>
      </c>
      <c r="R17" s="205">
        <v>-0.6</v>
      </c>
      <c r="S17" s="205">
        <v>-0.6</v>
      </c>
      <c r="T17" s="205">
        <v>-0.2</v>
      </c>
      <c r="U17" s="205">
        <v>-0.4</v>
      </c>
      <c r="V17" s="205">
        <v>0.8</v>
      </c>
      <c r="W17" s="205">
        <v>-0.6</v>
      </c>
      <c r="X17" s="205">
        <v>-0.8</v>
      </c>
      <c r="Y17" s="205">
        <v>-0.2</v>
      </c>
      <c r="Z17" s="205">
        <v>1.2</v>
      </c>
      <c r="AA17" s="205">
        <v>-0.2</v>
      </c>
      <c r="AB17" s="205">
        <v>0.6</v>
      </c>
      <c r="AC17" s="205">
        <v>0.4</v>
      </c>
      <c r="AD17" s="205">
        <v>-0.2</v>
      </c>
      <c r="AE17" s="205">
        <v>0.0</v>
      </c>
      <c r="AF17" s="205">
        <v>-0.6</v>
      </c>
      <c r="AG17" s="205">
        <v>0.8</v>
      </c>
      <c r="AH17" s="205">
        <v>0.0</v>
      </c>
      <c r="AI17" s="205">
        <v>0.4</v>
      </c>
      <c r="AJ17" s="205">
        <v>0.0</v>
      </c>
      <c r="AK17" s="205">
        <v>0.6</v>
      </c>
      <c r="AL17" s="205">
        <v>0.4</v>
      </c>
      <c r="AM17" s="205">
        <v>0.4</v>
      </c>
      <c r="AN17" s="205">
        <v>-0.4</v>
      </c>
      <c r="AO17" s="205">
        <v>0.0</v>
      </c>
      <c r="AP17" s="205">
        <v>1.2</v>
      </c>
      <c r="AQ17" s="205">
        <v>1.2</v>
      </c>
      <c r="AR17" s="205">
        <v>-1.0</v>
      </c>
      <c r="AS17" s="205">
        <v>-0.6</v>
      </c>
      <c r="AT17" s="205">
        <v>-0.6</v>
      </c>
      <c r="AU17" s="205">
        <v>0.0</v>
      </c>
      <c r="AV17" s="205">
        <v>0.4</v>
      </c>
      <c r="AW17" s="205">
        <v>0.4</v>
      </c>
      <c r="AX17" s="205">
        <v>-0.2</v>
      </c>
      <c r="AY17" s="205">
        <v>-0.6</v>
      </c>
      <c r="AZ17" s="205">
        <v>0.6</v>
      </c>
      <c r="BA17" s="205">
        <v>-0.2</v>
      </c>
      <c r="BB17" s="205">
        <v>-0.6</v>
      </c>
      <c r="BC17" s="205">
        <v>0.4</v>
      </c>
      <c r="BD17" s="205">
        <v>-1.0</v>
      </c>
      <c r="BE17" s="205">
        <v>0.6</v>
      </c>
      <c r="BF17" s="205">
        <v>1.2</v>
      </c>
      <c r="BG17" s="205">
        <v>0.4</v>
      </c>
      <c r="BH17" s="205">
        <v>0.4</v>
      </c>
      <c r="BI17" s="205">
        <v>-0.6</v>
      </c>
      <c r="BJ17" s="205">
        <v>0.0</v>
      </c>
      <c r="BK17" s="205">
        <v>-0.2</v>
      </c>
      <c r="BL17" s="205">
        <v>-0.6</v>
      </c>
      <c r="BM17" s="205">
        <v>0.4</v>
      </c>
      <c r="BN17" s="205">
        <v>-0.2</v>
      </c>
      <c r="BO17" s="205">
        <v>-1.0</v>
      </c>
      <c r="BP17" s="205">
        <v>0.6</v>
      </c>
      <c r="BQ17" s="206"/>
      <c r="BR17" s="250">
        <f t="shared" si="1"/>
        <v>0.06984126984</v>
      </c>
      <c r="BS17" s="250">
        <f t="shared" si="2"/>
        <v>0.5220458554</v>
      </c>
      <c r="BT17" s="206"/>
      <c r="BU17" s="207">
        <f>IFERROR(__xludf.DUMMYFUNCTION("AVERAGE(ARRAYFORMULA(XLOOKUP(FILTER(INDIRECT(""'""&amp;BU$1&amp;""'!$C$4:$C$66""),INDIRECT(""'""&amp;BU$1&amp;""'!$D$4:$D$66"")=BU$2),$F$3:$BP$3,$F17:$BP17)))"),-0.4)</f>
        <v>-0.4</v>
      </c>
      <c r="BV17" s="207" t="str">
        <f>IFERROR(__xludf.DUMMYFUNCTION("IF(OR(BU17&gt;$BR17+$BS17*$BS$2,BU17&lt;$BR17-$BS17*$BS$2),AVEDEV(ARRAYFORMULA(XLOOKUP(FILTER(INDIRECT(""'""&amp;BU$1&amp;""'!$C$4:$C$66""),INDIRECT(""'""&amp;BU$1&amp;""'!$D$4:$D$66"")=BU$2),$F$3:$BP$3,$F17:$BP17))),"""")"),"")</f>
        <v/>
      </c>
      <c r="BW17" s="207">
        <f>IFERROR(__xludf.DUMMYFUNCTION("AVERAGE(ARRAYFORMULA(XLOOKUP(FILTER(INDIRECT(""'""&amp;BW$1&amp;""'!$C$4:$C$66""),INDIRECT(""'""&amp;BW$1&amp;""'!$D$4:$D$66"")=BW$2),$F$3:$BP$3,$F17:$BP17)))"),0.17142857142857143)</f>
        <v>0.1714285714</v>
      </c>
      <c r="BX17" s="207" t="str">
        <f>IFERROR(__xludf.DUMMYFUNCTION("IF(OR(BW17&gt;$BR17+$BS17*$BS$2,BW17&lt;$BR17-$BS17*$BS$2),AVEDEV(ARRAYFORMULA(XLOOKUP(FILTER(INDIRECT(""'""&amp;BW$1&amp;""'!$C$4:$C$66""),INDIRECT(""'""&amp;BW$1&amp;""'!$D$4:$D$66"")=BW$2),$F$3:$BP$3,$F17:$BP17))),"""")"),"")</f>
        <v/>
      </c>
      <c r="BY17" s="207">
        <f>IFERROR(__xludf.DUMMYFUNCTION("AVERAGE(ARRAYFORMULA(XLOOKUP(FILTER(INDIRECT(""'""&amp;BY$1&amp;""'!$C$4:$C$66""),INDIRECT(""'""&amp;BY$1&amp;""'!$D$4:$D$66"")=BY$2),$F$3:$BP$3,$F17:$BP17)))"),0.036363636363636376)</f>
        <v>0.03636363636</v>
      </c>
      <c r="BZ17" s="207" t="str">
        <f>IFERROR(__xludf.DUMMYFUNCTION("IF(OR(BY17&gt;$BR17+$BS17*$BS$2,BY17&lt;$BR17-$BS17*$BS$2),AVEDEV(ARRAYFORMULA(XLOOKUP(FILTER(INDIRECT(""'""&amp;BY$1&amp;""'!$C$4:$C$66""),INDIRECT(""'""&amp;BY$1&amp;""'!$D$4:$D$66"")=BY$2),$F$3:$BP$3,$F17:$BP17))),"""")"),"")</f>
        <v/>
      </c>
      <c r="CA17" s="209"/>
      <c r="CB17" s="207">
        <f>IFERROR(__xludf.DUMMYFUNCTION("AVERAGE(ARRAYFORMULA(XLOOKUP(FILTER(INDIRECT(""'""&amp;CB$1&amp;""'!$C$4:$C$66""),INDIRECT(""'""&amp;CB$1&amp;""'!$D$4:$D$66"")=CB$2),$F$3:$BP$3,$F17:$BP17)))"),0.17499999999999996)</f>
        <v>0.175</v>
      </c>
      <c r="CC17" s="207" t="str">
        <f>IFERROR(__xludf.DUMMYFUNCTION("IF(OR(CB17&gt;$BR17+$BS17*$BS$2,CB17&lt;$BR17-$BS17*$BS$2),AVEDEV(ARRAYFORMULA(XLOOKUP(FILTER(INDIRECT(""'""&amp;CB$1&amp;""'!$C$4:$C$66""),INDIRECT(""'""&amp;CB$1&amp;""'!$D$4:$D$66"")=CB$2),$F$3:$BP$3,$F17:$BP17))),"""")"),"")</f>
        <v/>
      </c>
      <c r="CD17" s="207">
        <f>IFERROR(__xludf.DUMMYFUNCTION("AVERAGE(ARRAYFORMULA(XLOOKUP(FILTER(INDIRECT(""'""&amp;CD$1&amp;""'!$C$4:$C$66""),INDIRECT(""'""&amp;CD$1&amp;""'!$D$4:$D$66"")=CD$2),$F$3:$BP$3,$F17:$BP17)))"),0.03225806451612906)</f>
        <v>0.03225806452</v>
      </c>
      <c r="CE17" s="207" t="str">
        <f>IFERROR(__xludf.DUMMYFUNCTION("IF(OR(CD17&gt;$BR17+$BS17*$BS$2,CD17&lt;$BR17-$BS17*$BS$2),AVEDEV(ARRAYFORMULA(XLOOKUP(FILTER(INDIRECT(""'""&amp;CD$1&amp;""'!$C$4:$C$66""),INDIRECT(""'""&amp;CD$1&amp;""'!$D$4:$D$66"")=CD$2),$F$3:$BP$3,$F17:$BP17))),"""")"),"")</f>
        <v/>
      </c>
      <c r="CF17" s="207">
        <f>IFERROR(__xludf.DUMMYFUNCTION("AVERAGE(ARRAYFORMULA(XLOOKUP(FILTER(INDIRECT(""'""&amp;CF$1&amp;""'!$C$4:$C$66""),INDIRECT(""'""&amp;CF$1&amp;""'!$D$4:$D$66"")=CF$2),$F$3:$BP$3,$F17:$BP17)))"),0.12)</f>
        <v>0.12</v>
      </c>
      <c r="CG17" s="207" t="str">
        <f>IFERROR(__xludf.DUMMYFUNCTION("IF(OR(CF17&gt;$BR17+$BS17*$BS$2,CF17&lt;$BR17-$BS17*$BS$2),AVEDEV(ARRAYFORMULA(XLOOKUP(FILTER(INDIRECT(""'""&amp;CF$1&amp;""'!$C$4:$C$66""),INDIRECT(""'""&amp;CF$1&amp;""'!$D$4:$D$66"")=CF$2),$F$3:$BP$3,$F17:$BP17))),"""")"),"")</f>
        <v/>
      </c>
      <c r="CH17" s="206"/>
      <c r="CI17" s="251">
        <f>IFERROR(__xludf.DUMMYFUNCTION("AVERAGE(ARRAYFORMULA(XLOOKUP(FILTER(INDIRECT(""'""&amp;CI$1&amp;""'!$C$4:$C$66""),INDIRECT(""'""&amp;CI$1&amp;""'!$D$4:$D$66"")=CI$2),$F$3:$BP$3,$F17:$BP17)))"),-0.06666666666666667)</f>
        <v>-0.06666666667</v>
      </c>
      <c r="CJ17" s="207" t="str">
        <f>IFERROR(__xludf.DUMMYFUNCTION("IF(OR(CI17&gt;$BR17+$BS17*$BS$2,CI17&lt;$BR17-$BS17*$BS$2),AVEDEV(ARRAYFORMULA(XLOOKUP(FILTER(INDIRECT(""'""&amp;CI$1&amp;""'!$C$4:$C$66""),INDIRECT(""'""&amp;CI$1&amp;""'!$D$4:$D$66"")=CI$2),$F$3:$BP$3,$F17:$BP17))),"""")"),"")</f>
        <v/>
      </c>
      <c r="CK17" s="251">
        <f>IFERROR(__xludf.DUMMYFUNCTION("AVERAGE(ARRAYFORMULA(XLOOKUP(FILTER(INDIRECT(""'""&amp;CK$1&amp;""'!$C$4:$C$66""),INDIRECT(""'""&amp;CK$1&amp;""'!$D$4:$D$66"")=CK$2),$F$3:$BP$3,$F17:$BP17)))"),0.13846153846153847)</f>
        <v>0.1384615385</v>
      </c>
      <c r="CL17" s="207" t="str">
        <f>IFERROR(__xludf.DUMMYFUNCTION("IF(OR(CK17&gt;$BR17+$BS17*$BS$2,CK17&lt;$BR17-$BS17*$BS$2),AVEDEV(ARRAYFORMULA(XLOOKUP(FILTER(INDIRECT(""'""&amp;CK$1&amp;""'!$C$4:$C$66""),INDIRECT(""'""&amp;CK$1&amp;""'!$D$4:$D$66"")=CK$2),$F$3:$BP$3,$F17:$BP17))),"""")"),"")</f>
        <v/>
      </c>
      <c r="CM17" s="251">
        <f>IFERROR(__xludf.DUMMYFUNCTION("AVERAGE(ARRAYFORMULA(XLOOKUP(FILTER(INDIRECT(""'""&amp;CM$1&amp;""'!$C$4:$C$66""),INDIRECT(""'""&amp;CM$1&amp;""'!$D$4:$D$66"")=CM$2),$F$3:$BP$3,$F17:$BP17)))"),0.12)</f>
        <v>0.12</v>
      </c>
      <c r="CN17" s="207" t="str">
        <f>IFERROR(__xludf.DUMMYFUNCTION("IF(OR(CM17&gt;$BR17+$BS17*$BS$2,CM17&lt;$BR17-$BS17*$BS$2),AVEDEV(ARRAYFORMULA(XLOOKUP(FILTER(INDIRECT(""'""&amp;CM$1&amp;""'!$C$4:$C$66""),INDIRECT(""'""&amp;CM$1&amp;""'!$D$4:$D$66"")=CM$2),$F$3:$BP$3,$F17:$BP17))),"""")"),"")</f>
        <v/>
      </c>
      <c r="CO17" s="252"/>
      <c r="CP17" s="251">
        <f>IFERROR(__xludf.DUMMYFUNCTION("AVERAGE(ARRAYFORMULA(XLOOKUP(FILTER(INDIRECT(""'""&amp;CP$1&amp;""'!$C$4:$C$66""),INDIRECT(""'""&amp;CP$1&amp;""'!$D$4:$D$66"")=CP$2),$F$3:$BP$3,$F17:$BP17)))"),0.2571428571428571)</f>
        <v>0.2571428571</v>
      </c>
      <c r="CQ17" s="207" t="str">
        <f>IFERROR(__xludf.DUMMYFUNCTION("IF(OR(CP17&gt;$BR17+$BS17*$BS$2,CP17&lt;$BR17-$BS17*$BS$2),AVEDEV(ARRAYFORMULA(XLOOKUP(FILTER(INDIRECT(""'""&amp;CP$1&amp;""'!$C$4:$C$66""),INDIRECT(""'""&amp;CP$1&amp;""'!$D$4:$D$66"")=CP$2),$F$3:$BP$3,$F17:$BP17))),"""")"),"")</f>
        <v/>
      </c>
      <c r="CR17" s="251">
        <f>IFERROR(__xludf.DUMMYFUNCTION("AVERAGE(ARRAYFORMULA(XLOOKUP(FILTER(INDIRECT(""'""&amp;CR$1&amp;""'!$C$4:$C$66""),INDIRECT(""'""&amp;CR$1&amp;""'!$D$4:$D$66"")=CR$2),$F$3:$BP$3,$F17:$BP17)))"),0.17777777777777776)</f>
        <v>0.1777777778</v>
      </c>
      <c r="CS17" s="207" t="str">
        <f>IFERROR(__xludf.DUMMYFUNCTION("IF(OR(CR17&gt;$BR17+$BS17*$BS$2,CR17&lt;$BR17-$BS17*$BS$2),AVEDEV(ARRAYFORMULA(XLOOKUP(FILTER(INDIRECT(""'""&amp;CR$1&amp;""'!$C$4:$C$66""),INDIRECT(""'""&amp;CR$1&amp;""'!$D$4:$D$66"")=CR$2),$F$3:$BP$3,$F17:$BP17))),"""")"),"")</f>
        <v/>
      </c>
      <c r="CT17" s="251">
        <f>IFERROR(__xludf.DUMMYFUNCTION("AVERAGE(ARRAYFORMULA(XLOOKUP(FILTER(INDIRECT(""'""&amp;CT$1&amp;""'!$C$4:$C$66""),INDIRECT(""'""&amp;CT$1&amp;""'!$D$4:$D$66"")=CT$2),$F$3:$BP$3,$F17:$BP17)))"),0.18181818181818182)</f>
        <v>0.1818181818</v>
      </c>
      <c r="CU17" s="207" t="str">
        <f>IFERROR(__xludf.DUMMYFUNCTION("IF(OR(CT17&gt;$BR17+$BS17*$BS$2,CT17&lt;$BR17-$BS17*$BS$2),AVEDEV(ARRAYFORMULA(XLOOKUP(FILTER(INDIRECT(""'""&amp;CT$1&amp;""'!$C$4:$C$66""),INDIRECT(""'""&amp;CT$1&amp;""'!$D$4:$D$66"")=CT$2),$F$3:$BP$3,$F17:$BP17))),"""")"),"")</f>
        <v/>
      </c>
      <c r="CV17" s="251">
        <f>IFERROR(__xludf.DUMMYFUNCTION("AVERAGE(ARRAYFORMULA(XLOOKUP(FILTER(INDIRECT(""'""&amp;CV$1&amp;""'!$C$4:$C$66""),INDIRECT(""'""&amp;CV$1&amp;""'!$D$4:$D$66"")=CV$2),$F$3:$BP$3,$F17:$BP17)))"),0.4)</f>
        <v>0.4</v>
      </c>
      <c r="CW17" s="207" t="str">
        <f>IFERROR(__xludf.DUMMYFUNCTION("IF(OR(CV17&gt;$BR17+$BS17*$BS$2,CV17&lt;$BR17-$BS17*$BS$2),AVEDEV(ARRAYFORMULA(XLOOKUP(FILTER(INDIRECT(""'""&amp;CV$1&amp;""'!$C$4:$C$66""),INDIRECT(""'""&amp;CV$1&amp;""'!$D$4:$D$66"")=CV$2),$F$3:$BP$3,$F17:$BP17))),"""")"),"")</f>
        <v/>
      </c>
      <c r="CX17" s="251">
        <f>IFERROR(__xludf.DUMMYFUNCTION("AVERAGE(ARRAYFORMULA(XLOOKUP(FILTER(INDIRECT(""'""&amp;CX$1&amp;""'!$C$4:$C$66""),INDIRECT(""'""&amp;CX$1&amp;""'!$D$4:$D$66"")=CX$2),$F$3:$BP$3,$F17:$BP17)))"),0.028571428571428574)</f>
        <v>0.02857142857</v>
      </c>
      <c r="CY17" s="207" t="str">
        <f>IFERROR(__xludf.DUMMYFUNCTION("IF(OR(CX17&gt;$BR17+$BS17*$BS$2,CX17&lt;$BR17-$BS17*$BS$2),AVEDEV(ARRAYFORMULA(XLOOKUP(FILTER(INDIRECT(""'""&amp;CX$1&amp;""'!$C$4:$C$66""),INDIRECT(""'""&amp;CX$1&amp;""'!$D$4:$D$66"")=CX$2),$F$3:$BP$3,$F17:$BP17))),"""")"),"")</f>
        <v/>
      </c>
      <c r="CZ17" s="252"/>
      <c r="DA17" s="251">
        <f>IFERROR(__xludf.DUMMYFUNCTION("AVERAGE(ARRAYFORMULA(XLOOKUP(FILTER(INDIRECT(""'""&amp;DA$1&amp;""'!$C$4:$C$66""),INDIRECT(""'""&amp;DA$1&amp;""'!$D$4:$D$66"")=DA$2),$F$3:$BP$3,$F17:$BP17)))"),0.12666666666666668)</f>
        <v>0.1266666667</v>
      </c>
      <c r="DB17" s="207" t="str">
        <f>IFERROR(__xludf.DUMMYFUNCTION("IF(OR(DA17&gt;$BR17+$BS17*$BS$2,DA17&lt;$BR17-$BS17*$BS$2),AVEDEV(ARRAYFORMULA(XLOOKUP(FILTER(INDIRECT(""'""&amp;DA$1&amp;""'!$C$4:$C$66""),INDIRECT(""'""&amp;DA$1&amp;""'!$D$4:$D$66"")=DA$2),$F$3:$BP$3,$F17:$BP17))),"""")"),"")</f>
        <v/>
      </c>
      <c r="DC17" s="251">
        <f>IFERROR(__xludf.DUMMYFUNCTION("AVERAGE(ARRAYFORMULA(XLOOKUP(FILTER(INDIRECT(""'""&amp;DC$1&amp;""'!$C$4:$C$66""),INDIRECT(""'""&amp;DC$1&amp;""'!$D$4:$D$66"")=DC$2),$F$3:$BP$3,$F17:$BP17)))"),0.20000000000000004)</f>
        <v>0.2</v>
      </c>
      <c r="DD17" s="207" t="str">
        <f>IFERROR(__xludf.DUMMYFUNCTION("IF(OR(DC17&gt;$BR17+$BS17*$BS$2,DC17&lt;$BR17-$BS17*$BS$2),AVEDEV(ARRAYFORMULA(XLOOKUP(FILTER(INDIRECT(""'""&amp;DC$1&amp;""'!$C$4:$C$66""),INDIRECT(""'""&amp;DC$1&amp;""'!$D$4:$D$66"")=DC$2),$F$3:$BP$3,$F17:$BP17))),"""")"),"")</f>
        <v/>
      </c>
      <c r="DE17" s="251">
        <f>IFERROR(__xludf.DUMMYFUNCTION("AVERAGE(ARRAYFORMULA(XLOOKUP(FILTER(INDIRECT(""'""&amp;DE$1&amp;""'!$C$4:$C$66""),INDIRECT(""'""&amp;DE$1&amp;""'!$D$4:$D$66"")=DE$2),$F$3:$BP$3,$F17:$BP17)))"),-0.10000000000000002)</f>
        <v>-0.1</v>
      </c>
      <c r="DF17" s="207" t="str">
        <f>IFERROR(__xludf.DUMMYFUNCTION("IF(OR(DE17&gt;$BR17+$BS17*$BS$2,DE17&lt;$BR17-$BS17*$BS$2),AVEDEV(ARRAYFORMULA(XLOOKUP(FILTER(INDIRECT(""'""&amp;DE$1&amp;""'!$C$4:$C$66""),INDIRECT(""'""&amp;DE$1&amp;""'!$D$4:$D$66"")=DE$2),$F$3:$BP$3,$F17:$BP17))),"""")"),"")</f>
        <v/>
      </c>
      <c r="DG17" s="251">
        <f>IFERROR(__xludf.DUMMYFUNCTION("AVERAGE(ARRAYFORMULA(XLOOKUP(FILTER(INDIRECT(""'""&amp;DG$1&amp;""'!$C$4:$C$66""),INDIRECT(""'""&amp;DG$1&amp;""'!$D$4:$D$66"")=DG$2),$F$3:$BP$3,$F17:$BP17)))"),6.1679056923619804E-18)</f>
        <v>0</v>
      </c>
      <c r="DH17" s="207" t="str">
        <f>IFERROR(__xludf.DUMMYFUNCTION("IF(OR(DG17&gt;$BR17+$BS17*$BS$2,DG17&lt;$BR17-$BS17*$BS$2),AVEDEV(ARRAYFORMULA(XLOOKUP(FILTER(INDIRECT(""'""&amp;DG$1&amp;""'!$C$4:$C$66""),INDIRECT(""'""&amp;DG$1&amp;""'!$D$4:$D$66"")=DG$2),$F$3:$BP$3,$F17:$BP17))),"""")"),"")</f>
        <v/>
      </c>
      <c r="DI17" s="252"/>
    </row>
    <row r="18">
      <c r="A18" s="2"/>
      <c r="B18" s="204" t="s">
        <v>442</v>
      </c>
      <c r="C18" s="204" t="s">
        <v>458</v>
      </c>
      <c r="D18" s="205" t="b">
        <f>VLOOKUP(C18,'Feature Set List'!A15:C246,2,0)</f>
        <v>1</v>
      </c>
      <c r="E18" s="205" t="b">
        <f>VLOOKUP(C18,'Feature Set List'!A15:C246,3,0)</f>
        <v>0</v>
      </c>
      <c r="F18" s="205">
        <v>0.72684587</v>
      </c>
      <c r="G18" s="205">
        <v>-0.5660289</v>
      </c>
      <c r="H18" s="205">
        <v>0.2925226</v>
      </c>
      <c r="I18" s="205">
        <v>-0.7108816</v>
      </c>
      <c r="J18" s="205">
        <v>0.27843644</v>
      </c>
      <c r="K18" s="205">
        <v>-0.3495715</v>
      </c>
      <c r="L18" s="205">
        <v>0.99917831</v>
      </c>
      <c r="M18" s="205">
        <v>-0.6514849</v>
      </c>
      <c r="N18" s="205">
        <v>1.2151661</v>
      </c>
      <c r="O18" s="205">
        <v>-0.2507337</v>
      </c>
      <c r="P18" s="205">
        <v>0.0</v>
      </c>
      <c r="Q18" s="205">
        <v>1.75044019</v>
      </c>
      <c r="R18" s="205">
        <v>-0.5486559</v>
      </c>
      <c r="S18" s="205">
        <v>-0.2969832</v>
      </c>
      <c r="T18" s="205">
        <v>0.11879329</v>
      </c>
      <c r="U18" s="205">
        <v>0.69867355</v>
      </c>
      <c r="V18" s="205">
        <v>1.63540322</v>
      </c>
      <c r="W18" s="205">
        <v>2.69186524</v>
      </c>
      <c r="X18" s="205">
        <v>-0.0584576</v>
      </c>
      <c r="Y18" s="205">
        <v>0.35356262</v>
      </c>
      <c r="Z18" s="205">
        <v>-0.2082404</v>
      </c>
      <c r="AA18" s="205">
        <v>3.666158</v>
      </c>
      <c r="AB18" s="205">
        <v>-0.6604062</v>
      </c>
      <c r="AC18" s="205">
        <v>0.00140862</v>
      </c>
      <c r="AD18" s="205">
        <v>-0.4322104</v>
      </c>
      <c r="AE18" s="205">
        <v>-0.1094025</v>
      </c>
      <c r="AF18" s="205">
        <v>-0.3868999</v>
      </c>
      <c r="AG18" s="205">
        <v>0.47094729</v>
      </c>
      <c r="AH18" s="205">
        <v>-0.4073248</v>
      </c>
      <c r="AI18" s="205">
        <v>-0.3908909</v>
      </c>
      <c r="AJ18" s="205">
        <v>0.61415659</v>
      </c>
      <c r="AK18" s="205">
        <v>-0.2267872</v>
      </c>
      <c r="AL18" s="205">
        <v>-0.5033455</v>
      </c>
      <c r="AM18" s="205">
        <v>-0.1070548</v>
      </c>
      <c r="AN18" s="205">
        <v>0.30895645</v>
      </c>
      <c r="AO18" s="205">
        <v>0.95691983</v>
      </c>
      <c r="AP18" s="205">
        <v>-0.2434558</v>
      </c>
      <c r="AQ18" s="205">
        <v>-0.1457918</v>
      </c>
      <c r="AR18" s="205">
        <v>-0.3946473</v>
      </c>
      <c r="AS18" s="205">
        <v>-0.1946238</v>
      </c>
      <c r="AT18" s="205">
        <v>0.74797511</v>
      </c>
      <c r="AU18" s="205">
        <v>1.09778143</v>
      </c>
      <c r="AV18" s="205">
        <v>-0.5885667</v>
      </c>
      <c r="AW18" s="205">
        <v>-0.2253786</v>
      </c>
      <c r="AX18" s="205">
        <v>0.94048597</v>
      </c>
      <c r="AY18" s="205">
        <v>1.19403686</v>
      </c>
      <c r="AZ18" s="205">
        <v>0.18218101</v>
      </c>
      <c r="BA18" s="205">
        <v>0.12114098</v>
      </c>
      <c r="BB18" s="205">
        <v>0.26435028</v>
      </c>
      <c r="BC18" s="205">
        <v>-0.5986618</v>
      </c>
      <c r="BD18" s="205">
        <v>5.92933443</v>
      </c>
      <c r="BE18" s="205">
        <v>-1.0132645</v>
      </c>
      <c r="BF18" s="205">
        <v>0.64937199</v>
      </c>
      <c r="BG18" s="205">
        <v>-0.2082404</v>
      </c>
      <c r="BH18" s="205">
        <v>0.00211292</v>
      </c>
      <c r="BI18" s="205">
        <v>0.13053175</v>
      </c>
      <c r="BJ18" s="205">
        <v>-0.4721211</v>
      </c>
      <c r="BK18" s="205">
        <v>2.66838831</v>
      </c>
      <c r="BL18" s="205">
        <v>0.33243338</v>
      </c>
      <c r="BM18" s="205">
        <v>-0.6136871</v>
      </c>
      <c r="BN18" s="205">
        <v>-0.3359549</v>
      </c>
      <c r="BO18" s="205">
        <v>-0.1354619</v>
      </c>
      <c r="BP18" s="205">
        <v>0.25261181</v>
      </c>
      <c r="BQ18" s="206"/>
      <c r="BR18" s="250">
        <f t="shared" si="1"/>
        <v>0.3056659498</v>
      </c>
      <c r="BS18" s="250">
        <f t="shared" si="2"/>
        <v>0.7374316125</v>
      </c>
      <c r="BT18" s="206"/>
      <c r="BU18" s="207">
        <f>IFERROR(__xludf.DUMMYFUNCTION("AVERAGE(ARRAYFORMULA(XLOOKUP(FILTER(INDIRECT(""'""&amp;BU$1&amp;""'!$C$4:$C$66""),INDIRECT(""'""&amp;BU$1&amp;""'!$D$4:$D$66"")=BU$2),$F$3:$BP$3,$F18:$BP18)))"),1.8255663814285714)</f>
        <v>1.825566381</v>
      </c>
      <c r="BV18" s="207">
        <f>IFERROR(__xludf.DUMMYFUNCTION("IF(OR(BU18&gt;$BR18+$BS18*$BS$2,BU18&lt;$BR18-$BS18*$BS$2),AVEDEV(ARRAYFORMULA(XLOOKUP(FILTER(INDIRECT(""'""&amp;BU$1&amp;""'!$C$4:$C$66""),INDIRECT(""'""&amp;BU$1&amp;""'!$D$4:$D$66"")=BU$2),$F$3:$BP$3,$F18:$BP18))),"""")"),1.660825381632653)</f>
        <v>1.660825382</v>
      </c>
      <c r="BW18" s="207">
        <f>IFERROR(__xludf.DUMMYFUNCTION("AVERAGE(ARRAYFORMULA(XLOOKUP(FILTER(INDIRECT(""'""&amp;BW$1&amp;""'!$C$4:$C$66""),INDIRECT(""'""&amp;BW$1&amp;""'!$D$4:$D$66"")=BW$2),$F$3:$BP$3,$F18:$BP18)))"),0.04836247880952378)</f>
        <v>0.04836247881</v>
      </c>
      <c r="BX18" s="207" t="str">
        <f>IFERROR(__xludf.DUMMYFUNCTION("IF(OR(BW18&gt;$BR18+$BS18*$BS$2,BW18&lt;$BR18-$BS18*$BS$2),AVEDEV(ARRAYFORMULA(XLOOKUP(FILTER(INDIRECT(""'""&amp;BW$1&amp;""'!$C$4:$C$66""),INDIRECT(""'""&amp;BW$1&amp;""'!$D$4:$D$66"")=BW$2),$F$3:$BP$3,$F18:$BP18))),"""")"),"")</f>
        <v/>
      </c>
      <c r="BY18" s="207">
        <f>IFERROR(__xludf.DUMMYFUNCTION("AVERAGE(ARRAYFORMULA(XLOOKUP(FILTER(INDIRECT(""'""&amp;BY$1&amp;""'!$C$4:$C$66""),INDIRECT(""'""&amp;BY$1&amp;""'!$D$4:$D$66"")=BY$2),$F$3:$BP$3,$F18:$BP18)))"),0.36408455909090914)</f>
        <v>0.3640845591</v>
      </c>
      <c r="BZ18" s="207" t="str">
        <f>IFERROR(__xludf.DUMMYFUNCTION("IF(OR(BY18&gt;$BR18+$BS18*$BS$2,BY18&lt;$BR18-$BS18*$BS$2),AVEDEV(ARRAYFORMULA(XLOOKUP(FILTER(INDIRECT(""'""&amp;BY$1&amp;""'!$C$4:$C$66""),INDIRECT(""'""&amp;BY$1&amp;""'!$D$4:$D$66"")=BY$2),$F$3:$BP$3,$F18:$BP18))),"""")"),"")</f>
        <v/>
      </c>
      <c r="CA18" s="209"/>
      <c r="CB18" s="207">
        <f>IFERROR(__xludf.DUMMYFUNCTION("AVERAGE(ARRAYFORMULA(XLOOKUP(FILTER(INDIRECT(""'""&amp;CB$1&amp;""'!$C$4:$C$66""),INDIRECT(""'""&amp;CB$1&amp;""'!$D$4:$D$66"")=CB$2),$F$3:$BP$3,$F18:$BP18)))"),-0.15041378874999997)</f>
        <v>-0.1504137888</v>
      </c>
      <c r="CC18" s="207" t="str">
        <f>IFERROR(__xludf.DUMMYFUNCTION("IF(OR(CB18&gt;$BR18+$BS18*$BS$2,CB18&lt;$BR18-$BS18*$BS$2),AVEDEV(ARRAYFORMULA(XLOOKUP(FILTER(INDIRECT(""'""&amp;CB$1&amp;""'!$C$4:$C$66""),INDIRECT(""'""&amp;CB$1&amp;""'!$D$4:$D$66"")=CB$2),$F$3:$BP$3,$F18:$BP18))),"""")"),"")</f>
        <v/>
      </c>
      <c r="CD18" s="207">
        <f>IFERROR(__xludf.DUMMYFUNCTION("AVERAGE(ARRAYFORMULA(XLOOKUP(FILTER(INDIRECT(""'""&amp;CD$1&amp;""'!$C$4:$C$66""),INDIRECT(""'""&amp;CD$1&amp;""'!$D$4:$D$66"")=CD$2),$F$3:$BP$3,$F18:$BP18)))"),0.4939092516129031)</f>
        <v>0.4939092516</v>
      </c>
      <c r="CE18" s="207" t="str">
        <f>IFERROR(__xludf.DUMMYFUNCTION("IF(OR(CD18&gt;$BR18+$BS18*$BS$2,CD18&lt;$BR18-$BS18*$BS$2),AVEDEV(ARRAYFORMULA(XLOOKUP(FILTER(INDIRECT(""'""&amp;CD$1&amp;""'!$C$4:$C$66""),INDIRECT(""'""&amp;CD$1&amp;""'!$D$4:$D$66"")=CD$2),$F$3:$BP$3,$F18:$BP18))),"""")"),"")</f>
        <v/>
      </c>
      <c r="CF18" s="207">
        <f>IFERROR(__xludf.DUMMYFUNCTION("AVERAGE(ARRAYFORMULA(XLOOKUP(FILTER(INDIRECT(""'""&amp;CF$1&amp;""'!$C$4:$C$66""),INDIRECT(""'""&amp;CF$1&amp;""'!$D$4:$D$66"")=CF$2),$F$3:$BP$3,$F18:$BP18)))"),-0.02216224)</f>
        <v>-0.02216224</v>
      </c>
      <c r="CG18" s="207" t="str">
        <f>IFERROR(__xludf.DUMMYFUNCTION("IF(OR(CF18&gt;$BR18+$BS18*$BS$2,CF18&lt;$BR18-$BS18*$BS$2),AVEDEV(ARRAYFORMULA(XLOOKUP(FILTER(INDIRECT(""'""&amp;CF$1&amp;""'!$C$4:$C$66""),INDIRECT(""'""&amp;CF$1&amp;""'!$D$4:$D$66"")=CF$2),$F$3:$BP$3,$F18:$BP18))),"""")"),"")</f>
        <v/>
      </c>
      <c r="CH18" s="206"/>
      <c r="CI18" s="251">
        <f>IFERROR(__xludf.DUMMYFUNCTION("AVERAGE(ARRAYFORMULA(XLOOKUP(FILTER(INDIRECT(""'""&amp;CI$1&amp;""'!$C$4:$C$66""),INDIRECT(""'""&amp;CI$1&amp;""'!$D$4:$D$66"")=CI$2),$F$3:$BP$3,$F18:$BP18)))"),0.7677426853333331)</f>
        <v>0.7677426853</v>
      </c>
      <c r="CJ18" s="207" t="str">
        <f>IFERROR(__xludf.DUMMYFUNCTION("IF(OR(CI18&gt;$BR18+$BS18*$BS$2,CI18&lt;$BR18-$BS18*$BS$2),AVEDEV(ARRAYFORMULA(XLOOKUP(FILTER(INDIRECT(""'""&amp;CI$1&amp;""'!$C$4:$C$66""),INDIRECT(""'""&amp;CI$1&amp;""'!$D$4:$D$66"")=CI$2),$F$3:$BP$3,$F18:$BP18))),"""")"),"")</f>
        <v/>
      </c>
      <c r="CK18" s="251">
        <f>IFERROR(__xludf.DUMMYFUNCTION("AVERAGE(ARRAYFORMULA(XLOOKUP(FILTER(INDIRECT(""'""&amp;CK$1&amp;""'!$C$4:$C$66""),INDIRECT(""'""&amp;CK$1&amp;""'!$D$4:$D$66"")=CK$2),$F$3:$BP$3,$F18:$BP18)))"),0.12157439846153846)</f>
        <v>0.1215743985</v>
      </c>
      <c r="CL18" s="207" t="str">
        <f>IFERROR(__xludf.DUMMYFUNCTION("IF(OR(CK18&gt;$BR18+$BS18*$BS$2,CK18&lt;$BR18-$BS18*$BS$2),AVEDEV(ARRAYFORMULA(XLOOKUP(FILTER(INDIRECT(""'""&amp;CK$1&amp;""'!$C$4:$C$66""),INDIRECT(""'""&amp;CK$1&amp;""'!$D$4:$D$66"")=CK$2),$F$3:$BP$3,$F18:$BP18))),"""")"),"")</f>
        <v/>
      </c>
      <c r="CM18" s="251">
        <f>IFERROR(__xludf.DUMMYFUNCTION("AVERAGE(ARRAYFORMULA(XLOOKUP(FILTER(INDIRECT(""'""&amp;CM$1&amp;""'!$C$4:$C$66""),INDIRECT(""'""&amp;CM$1&amp;""'!$D$4:$D$66"")=CM$2),$F$3:$BP$3,$F18:$BP18)))"),-0.02216224)</f>
        <v>-0.02216224</v>
      </c>
      <c r="CN18" s="207" t="str">
        <f>IFERROR(__xludf.DUMMYFUNCTION("IF(OR(CM18&gt;$BR18+$BS18*$BS$2,CM18&lt;$BR18-$BS18*$BS$2),AVEDEV(ARRAYFORMULA(XLOOKUP(FILTER(INDIRECT(""'""&amp;CM$1&amp;""'!$C$4:$C$66""),INDIRECT(""'""&amp;CM$1&amp;""'!$D$4:$D$66"")=CM$2),$F$3:$BP$3,$F18:$BP18))),"""")"),"")</f>
        <v/>
      </c>
      <c r="CO18" s="252"/>
      <c r="CP18" s="251">
        <f>IFERROR(__xludf.DUMMYFUNCTION("AVERAGE(ARRAYFORMULA(XLOOKUP(FILTER(INDIRECT(""'""&amp;CP$1&amp;""'!$C$4:$C$66""),INDIRECT(""'""&amp;CP$1&amp;""'!$D$4:$D$66"")=CP$2),$F$3:$BP$3,$F18:$BP18)))"),-0.24494827357142857)</f>
        <v>-0.2449482736</v>
      </c>
      <c r="CQ18" s="207" t="str">
        <f>IFERROR(__xludf.DUMMYFUNCTION("IF(OR(CP18&gt;$BR18+$BS18*$BS$2,CP18&lt;$BR18-$BS18*$BS$2),AVEDEV(ARRAYFORMULA(XLOOKUP(FILTER(INDIRECT(""'""&amp;CP$1&amp;""'!$C$4:$C$66""),INDIRECT(""'""&amp;CP$1&amp;""'!$D$4:$D$66"")=CP$2),$F$3:$BP$3,$F18:$BP18))),"""")"),"")</f>
        <v/>
      </c>
      <c r="CR18" s="251">
        <f>IFERROR(__xludf.DUMMYFUNCTION("AVERAGE(ARRAYFORMULA(XLOOKUP(FILTER(INDIRECT(""'""&amp;CR$1&amp;""'!$C$4:$C$66""),INDIRECT(""'""&amp;CR$1&amp;""'!$D$4:$D$66"")=CR$2),$F$3:$BP$3,$F18:$BP18)))"),0.27538443444444444)</f>
        <v>0.2753844344</v>
      </c>
      <c r="CS18" s="207" t="str">
        <f>IFERROR(__xludf.DUMMYFUNCTION("IF(OR(CR18&gt;$BR18+$BS18*$BS$2,CR18&lt;$BR18-$BS18*$BS$2),AVEDEV(ARRAYFORMULA(XLOOKUP(FILTER(INDIRECT(""'""&amp;CR$1&amp;""'!$C$4:$C$66""),INDIRECT(""'""&amp;CR$1&amp;""'!$D$4:$D$66"")=CR$2),$F$3:$BP$3,$F18:$BP18))),"""")"),"")</f>
        <v/>
      </c>
      <c r="CT18" s="251">
        <f>IFERROR(__xludf.DUMMYFUNCTION("AVERAGE(ARRAYFORMULA(XLOOKUP(FILTER(INDIRECT(""'""&amp;CT$1&amp;""'!$C$4:$C$66""),INDIRECT(""'""&amp;CT$1&amp;""'!$D$4:$D$66"")=CT$2),$F$3:$BP$3,$F18:$BP18)))"),0.4206426245454544)</f>
        <v>0.4206426245</v>
      </c>
      <c r="CU18" s="207" t="str">
        <f>IFERROR(__xludf.DUMMYFUNCTION("IF(OR(CT18&gt;$BR18+$BS18*$BS$2,CT18&lt;$BR18-$BS18*$BS$2),AVEDEV(ARRAYFORMULA(XLOOKUP(FILTER(INDIRECT(""'""&amp;CT$1&amp;""'!$C$4:$C$66""),INDIRECT(""'""&amp;CT$1&amp;""'!$D$4:$D$66"")=CT$2),$F$3:$BP$3,$F18:$BP18))),"""")"),"")</f>
        <v/>
      </c>
      <c r="CV18" s="251">
        <f>IFERROR(__xludf.DUMMYFUNCTION("AVERAGE(ARRAYFORMULA(XLOOKUP(FILTER(INDIRECT(""'""&amp;CV$1&amp;""'!$C$4:$C$66""),INDIRECT(""'""&amp;CV$1&amp;""'!$D$4:$D$66"")=CV$2),$F$3:$BP$3,$F18:$BP18)))"),-0.10341589)</f>
        <v>-0.10341589</v>
      </c>
      <c r="CW18" s="207" t="str">
        <f>IFERROR(__xludf.DUMMYFUNCTION("IF(OR(CV18&gt;$BR18+$BS18*$BS$2,CV18&lt;$BR18-$BS18*$BS$2),AVEDEV(ARRAYFORMULA(XLOOKUP(FILTER(INDIRECT(""'""&amp;CV$1&amp;""'!$C$4:$C$66""),INDIRECT(""'""&amp;CV$1&amp;""'!$D$4:$D$66"")=CV$2),$F$3:$BP$3,$F18:$BP18))),"""")"),"")</f>
        <v/>
      </c>
      <c r="CX18" s="251">
        <f>IFERROR(__xludf.DUMMYFUNCTION("AVERAGE(ARRAYFORMULA(XLOOKUP(FILTER(INDIRECT(""'""&amp;CX$1&amp;""'!$C$4:$C$66""),INDIRECT(""'""&amp;CX$1&amp;""'!$D$4:$D$66"")=CX$2),$F$3:$BP$3,$F18:$BP18)))"),0.1678936121428571)</f>
        <v>0.1678936121</v>
      </c>
      <c r="CY18" s="207" t="str">
        <f>IFERROR(__xludf.DUMMYFUNCTION("IF(OR(CX18&gt;$BR18+$BS18*$BS$2,CX18&lt;$BR18-$BS18*$BS$2),AVEDEV(ARRAYFORMULA(XLOOKUP(FILTER(INDIRECT(""'""&amp;CX$1&amp;""'!$C$4:$C$66""),INDIRECT(""'""&amp;CX$1&amp;""'!$D$4:$D$66"")=CX$2),$F$3:$BP$3,$F18:$BP18))),"""")"),"")</f>
        <v/>
      </c>
      <c r="CZ18" s="252"/>
      <c r="DA18" s="251">
        <f>IFERROR(__xludf.DUMMYFUNCTION("AVERAGE(ARRAYFORMULA(XLOOKUP(FILTER(INDIRECT(""'""&amp;DA$1&amp;""'!$C$4:$C$66""),INDIRECT(""'""&amp;DA$1&amp;""'!$D$4:$D$66"")=DA$2),$F$3:$BP$3,$F18:$BP18)))"),0.265164136)</f>
        <v>0.265164136</v>
      </c>
      <c r="DB18" s="207" t="str">
        <f>IFERROR(__xludf.DUMMYFUNCTION("IF(OR(DA18&gt;$BR18+$BS18*$BS$2,DA18&lt;$BR18-$BS18*$BS$2),AVEDEV(ARRAYFORMULA(XLOOKUP(FILTER(INDIRECT(""'""&amp;DA$1&amp;""'!$C$4:$C$66""),INDIRECT(""'""&amp;DA$1&amp;""'!$D$4:$D$66"")=DA$2),$F$3:$BP$3,$F18:$BP18))),"""")"),"")</f>
        <v/>
      </c>
      <c r="DC18" s="251">
        <f>IFERROR(__xludf.DUMMYFUNCTION("AVERAGE(ARRAYFORMULA(XLOOKUP(FILTER(INDIRECT(""'""&amp;DC$1&amp;""'!$C$4:$C$66""),INDIRECT(""'""&amp;DC$1&amp;""'!$D$4:$D$66"")=DC$2),$F$3:$BP$3,$F18:$BP18)))"),0.4529483133333334)</f>
        <v>0.4529483133</v>
      </c>
      <c r="DD18" s="207" t="str">
        <f>IFERROR(__xludf.DUMMYFUNCTION("IF(OR(DC18&gt;$BR18+$BS18*$BS$2,DC18&lt;$BR18-$BS18*$BS$2),AVEDEV(ARRAYFORMULA(XLOOKUP(FILTER(INDIRECT(""'""&amp;DC$1&amp;""'!$C$4:$C$66""),INDIRECT(""'""&amp;DC$1&amp;""'!$D$4:$D$66"")=DC$2),$F$3:$BP$3,$F18:$BP18))),"""")"),"")</f>
        <v/>
      </c>
      <c r="DE18" s="251">
        <f>IFERROR(__xludf.DUMMYFUNCTION("AVERAGE(ARRAYFORMULA(XLOOKUP(FILTER(INDIRECT(""'""&amp;DE$1&amp;""'!$C$4:$C$66""),INDIRECT(""'""&amp;DE$1&amp;""'!$D$4:$D$66"")=DE$2),$F$3:$BP$3,$F18:$BP18)))"),0.5088919012500001)</f>
        <v>0.5088919013</v>
      </c>
      <c r="DF18" s="207" t="str">
        <f>IFERROR(__xludf.DUMMYFUNCTION("IF(OR(DE18&gt;$BR18+$BS18*$BS$2,DE18&lt;$BR18-$BS18*$BS$2),AVEDEV(ARRAYFORMULA(XLOOKUP(FILTER(INDIRECT(""'""&amp;DE$1&amp;""'!$C$4:$C$66""),INDIRECT(""'""&amp;DE$1&amp;""'!$D$4:$D$66"")=DE$2),$F$3:$BP$3,$F18:$BP18))),"""")"),"")</f>
        <v/>
      </c>
      <c r="DG18" s="251">
        <f>IFERROR(__xludf.DUMMYFUNCTION("AVERAGE(ARRAYFORMULA(XLOOKUP(FILTER(INDIRECT(""'""&amp;DG$1&amp;""'!$C$4:$C$66""),INDIRECT(""'""&amp;DG$1&amp;""'!$D$4:$D$66"")=DG$2),$F$3:$BP$3,$F18:$BP18)))"),-0.3123214866666666)</f>
        <v>-0.3123214867</v>
      </c>
      <c r="DH18" s="207" t="str">
        <f>IFERROR(__xludf.DUMMYFUNCTION("IF(OR(DG18&gt;$BR18+$BS18*$BS$2,DG18&lt;$BR18-$BS18*$BS$2),AVEDEV(ARRAYFORMULA(XLOOKUP(FILTER(INDIRECT(""'""&amp;DG$1&amp;""'!$C$4:$C$66""),INDIRECT(""'""&amp;DG$1&amp;""'!$D$4:$D$66"")=DG$2),$F$3:$BP$3,$F18:$BP18))),"""")"),"")</f>
        <v/>
      </c>
      <c r="DI18" s="252"/>
    </row>
    <row r="19">
      <c r="A19" s="2"/>
      <c r="B19" s="204" t="s">
        <v>442</v>
      </c>
      <c r="C19" s="204" t="s">
        <v>459</v>
      </c>
      <c r="D19" s="205" t="b">
        <f>VLOOKUP(C19,'Feature Set List'!A16:C246,2,0)</f>
        <v>1</v>
      </c>
      <c r="E19" s="205" t="b">
        <f>VLOOKUP(C19,'Feature Set List'!A16:C246,3,0)</f>
        <v>0</v>
      </c>
      <c r="F19" s="205">
        <v>0.77419355</v>
      </c>
      <c r="G19" s="205">
        <v>-0.6116129</v>
      </c>
      <c r="H19" s="205">
        <v>0.86709677</v>
      </c>
      <c r="I19" s="205">
        <v>-0.9367742</v>
      </c>
      <c r="J19" s="205">
        <v>-0.643871</v>
      </c>
      <c r="K19" s="205">
        <v>-0.0774194</v>
      </c>
      <c r="L19" s="205">
        <v>1.00387097</v>
      </c>
      <c r="M19" s="205">
        <v>0.12645161</v>
      </c>
      <c r="N19" s="205">
        <v>2.08903226</v>
      </c>
      <c r="O19" s="205">
        <v>-0.2645161</v>
      </c>
      <c r="P19" s="205">
        <v>0.08774194</v>
      </c>
      <c r="Q19" s="205">
        <v>1.53935484</v>
      </c>
      <c r="R19" s="205">
        <v>-0.0967742</v>
      </c>
      <c r="S19" s="205">
        <v>-0.3587097</v>
      </c>
      <c r="T19" s="205">
        <v>0.53806452</v>
      </c>
      <c r="U19" s="205">
        <v>-0.323871</v>
      </c>
      <c r="V19" s="205">
        <v>2.26451613</v>
      </c>
      <c r="W19" s="205">
        <v>2.86322581</v>
      </c>
      <c r="X19" s="205">
        <v>-0.8541935</v>
      </c>
      <c r="Y19" s="205">
        <v>1.15354839</v>
      </c>
      <c r="Z19" s="205">
        <v>0.02193548</v>
      </c>
      <c r="AA19" s="205">
        <v>2.6516129</v>
      </c>
      <c r="AB19" s="205">
        <v>-0.1058065</v>
      </c>
      <c r="AC19" s="205">
        <v>-0.1187097</v>
      </c>
      <c r="AD19" s="205">
        <v>-0.0529032</v>
      </c>
      <c r="AE19" s="205">
        <v>-0.32</v>
      </c>
      <c r="AF19" s="205">
        <v>-0.3496774</v>
      </c>
      <c r="AG19" s="205">
        <v>-0.4593548</v>
      </c>
      <c r="AH19" s="205">
        <v>-0.7677419</v>
      </c>
      <c r="AI19" s="205">
        <v>-0.3793548</v>
      </c>
      <c r="AJ19" s="205">
        <v>-0.276129</v>
      </c>
      <c r="AK19" s="205">
        <v>-0.8167742</v>
      </c>
      <c r="AL19" s="205">
        <v>0.48516129</v>
      </c>
      <c r="AM19" s="205">
        <v>0.03870968</v>
      </c>
      <c r="AN19" s="205">
        <v>-0.5509677</v>
      </c>
      <c r="AO19" s="205">
        <v>0.49290323</v>
      </c>
      <c r="AP19" s="205">
        <v>0.10580645</v>
      </c>
      <c r="AQ19" s="205">
        <v>-0.396129</v>
      </c>
      <c r="AR19" s="205">
        <v>-0.2606452</v>
      </c>
      <c r="AS19" s="205">
        <v>-0.5612903</v>
      </c>
      <c r="AT19" s="205">
        <v>0.20774194</v>
      </c>
      <c r="AU19" s="205">
        <v>1.84774194</v>
      </c>
      <c r="AV19" s="205">
        <v>-0.2309677</v>
      </c>
      <c r="AW19" s="205">
        <v>-0.0967742</v>
      </c>
      <c r="AX19" s="205">
        <v>0.54064516</v>
      </c>
      <c r="AY19" s="205">
        <v>1.67612903</v>
      </c>
      <c r="AZ19" s="205">
        <v>0.91612903</v>
      </c>
      <c r="BA19" s="205">
        <v>1.79096774</v>
      </c>
      <c r="BB19" s="205">
        <v>-0.2645161</v>
      </c>
      <c r="BC19" s="205">
        <v>-0.8812903</v>
      </c>
      <c r="BD19" s="205">
        <v>4.91870968</v>
      </c>
      <c r="BE19" s="205">
        <v>-0.6541935</v>
      </c>
      <c r="BF19" s="205">
        <v>0.0</v>
      </c>
      <c r="BG19" s="205">
        <v>-0.1909677</v>
      </c>
      <c r="BH19" s="205">
        <v>0.55225806</v>
      </c>
      <c r="BI19" s="205">
        <v>0.36903226</v>
      </c>
      <c r="BJ19" s="205">
        <v>-0.6890323</v>
      </c>
      <c r="BK19" s="205">
        <v>3.88129032</v>
      </c>
      <c r="BL19" s="205">
        <v>0.17032258</v>
      </c>
      <c r="BM19" s="205">
        <v>0.33032258</v>
      </c>
      <c r="BN19" s="205">
        <v>0.5483871</v>
      </c>
      <c r="BO19" s="205">
        <v>0.94322581</v>
      </c>
      <c r="BP19" s="205">
        <v>-0.2219355</v>
      </c>
      <c r="BQ19" s="206"/>
      <c r="BR19" s="250">
        <f t="shared" si="1"/>
        <v>0.3648131119</v>
      </c>
      <c r="BS19" s="250">
        <f t="shared" si="2"/>
        <v>0.835441118</v>
      </c>
      <c r="BT19" s="206"/>
      <c r="BU19" s="207">
        <f>IFERROR(__xludf.DUMMYFUNCTION("AVERAGE(ARRAYFORMULA(XLOOKUP(FILTER(INDIRECT(""'""&amp;BU$1&amp;""'!$C$4:$C$66""),INDIRECT(""'""&amp;BU$1&amp;""'!$D$4:$D$66"")=BU$2),$F$3:$BP$3,$F19:$BP19)))"),1.9974193614285711)</f>
        <v>1.997419361</v>
      </c>
      <c r="BV19" s="207">
        <f>IFERROR(__xludf.DUMMYFUNCTION("IF(OR(BU19&gt;$BR19+$BS19*$BS$2,BU19&lt;$BR19-$BS19*$BS$2),AVEDEV(ARRAYFORMULA(XLOOKUP(FILTER(INDIRECT(""'""&amp;BU$1&amp;""'!$C$4:$C$66""),INDIRECT(""'""&amp;BU$1&amp;""'!$D$4:$D$66"")=BU$2),$F$3:$BP$3,$F19:$BP19))),"""")"),1.6202764930612243)</f>
        <v>1.620276493</v>
      </c>
      <c r="BW19" s="207">
        <f>IFERROR(__xludf.DUMMYFUNCTION("AVERAGE(ARRAYFORMULA(XLOOKUP(FILTER(INDIRECT(""'""&amp;BW$1&amp;""'!$C$4:$C$66""),INDIRECT(""'""&amp;BW$1&amp;""'!$D$4:$D$66"")=BW$2),$F$3:$BP$3,$F19:$BP19)))"),0.09231951238095239)</f>
        <v>0.09231951238</v>
      </c>
      <c r="BX19" s="207" t="str">
        <f>IFERROR(__xludf.DUMMYFUNCTION("IF(OR(BW19&gt;$BR19+$BS19*$BS$2,BW19&lt;$BR19-$BS19*$BS$2),AVEDEV(ARRAYFORMULA(XLOOKUP(FILTER(INDIRECT(""'""&amp;BW$1&amp;""'!$C$4:$C$66""),INDIRECT(""'""&amp;BW$1&amp;""'!$D$4:$D$66"")=BW$2),$F$3:$BP$3,$F19:$BP19))),"""")"),"")</f>
        <v/>
      </c>
      <c r="BY19" s="207">
        <f>IFERROR(__xludf.DUMMYFUNCTION("AVERAGE(ARRAYFORMULA(XLOOKUP(FILTER(INDIRECT(""'""&amp;BY$1&amp;""'!$C$4:$C$66""),INDIRECT(""'""&amp;BY$1&amp;""'!$D$4:$D$66"")=BY$2),$F$3:$BP$3,$F19:$BP19)))"),0.44821114454545447)</f>
        <v>0.4482111445</v>
      </c>
      <c r="BZ19" s="207" t="str">
        <f>IFERROR(__xludf.DUMMYFUNCTION("IF(OR(BY19&gt;$BR19+$BS19*$BS$2,BY19&lt;$BR19-$BS19*$BS$2),AVEDEV(ARRAYFORMULA(XLOOKUP(FILTER(INDIRECT(""'""&amp;BY$1&amp;""'!$C$4:$C$66""),INDIRECT(""'""&amp;BY$1&amp;""'!$D$4:$D$66"")=BY$2),$F$3:$BP$3,$F19:$BP19))),"""")"),"")</f>
        <v/>
      </c>
      <c r="CA19" s="209"/>
      <c r="CB19" s="207">
        <f>IFERROR(__xludf.DUMMYFUNCTION("AVERAGE(ARRAYFORMULA(XLOOKUP(FILTER(INDIRECT(""'""&amp;CB$1&amp;""'!$C$4:$C$66""),INDIRECT(""'""&amp;CB$1&amp;""'!$D$4:$D$66"")=CB$2),$F$3:$BP$3,$F19:$BP19)))"),-0.147177409375)</f>
        <v>-0.1471774094</v>
      </c>
      <c r="CC19" s="207" t="str">
        <f>IFERROR(__xludf.DUMMYFUNCTION("IF(OR(CB19&gt;$BR19+$BS19*$BS$2,CB19&lt;$BR19-$BS19*$BS$2),AVEDEV(ARRAYFORMULA(XLOOKUP(FILTER(INDIRECT(""'""&amp;CB$1&amp;""'!$C$4:$C$66""),INDIRECT(""'""&amp;CB$1&amp;""'!$D$4:$D$66"")=CB$2),$F$3:$BP$3,$F19:$BP19))),"""")"),"")</f>
        <v/>
      </c>
      <c r="CD19" s="207">
        <f>IFERROR(__xludf.DUMMYFUNCTION("AVERAGE(ARRAYFORMULA(XLOOKUP(FILTER(INDIRECT(""'""&amp;CD$1&amp;""'!$C$4:$C$66""),INDIRECT(""'""&amp;CD$1&amp;""'!$D$4:$D$66"")=CD$2),$F$3:$BP$3,$F19:$BP19)))"),0.578022893548387)</f>
        <v>0.5780228935</v>
      </c>
      <c r="CE19" s="207" t="str">
        <f>IFERROR(__xludf.DUMMYFUNCTION("IF(OR(CD19&gt;$BR19+$BS19*$BS$2,CD19&lt;$BR19-$BS19*$BS$2),AVEDEV(ARRAYFORMULA(XLOOKUP(FILTER(INDIRECT(""'""&amp;CD$1&amp;""'!$C$4:$C$66""),INDIRECT(""'""&amp;CD$1&amp;""'!$D$4:$D$66"")=CD$2),$F$3:$BP$3,$F19:$BP19))),"""")"),"")</f>
        <v/>
      </c>
      <c r="CF19" s="207">
        <f>IFERROR(__xludf.DUMMYFUNCTION("AVERAGE(ARRAYFORMULA(XLOOKUP(FILTER(INDIRECT(""'""&amp;CF$1&amp;""'!$C$4:$C$66""),INDIRECT(""'""&amp;CF$1&amp;""'!$D$4:$D$66"")=CF$2),$F$3:$BP$3,$F19:$BP19)))"),0.006451605999999987)</f>
        <v>0.006451606</v>
      </c>
      <c r="CG19" s="207" t="str">
        <f>IFERROR(__xludf.DUMMYFUNCTION("IF(OR(CF19&gt;$BR19+$BS19*$BS$2,CF19&lt;$BR19-$BS19*$BS$2),AVEDEV(ARRAYFORMULA(XLOOKUP(FILTER(INDIRECT(""'""&amp;CF$1&amp;""'!$C$4:$C$66""),INDIRECT(""'""&amp;CF$1&amp;""'!$D$4:$D$66"")=CF$2),$F$3:$BP$3,$F19:$BP19))),"""")"),"")</f>
        <v/>
      </c>
      <c r="CH19" s="206"/>
      <c r="CI19" s="251">
        <f>IFERROR(__xludf.DUMMYFUNCTION("AVERAGE(ARRAYFORMULA(XLOOKUP(FILTER(INDIRECT(""'""&amp;CI$1&amp;""'!$C$4:$C$66""),INDIRECT(""'""&amp;CI$1&amp;""'!$D$4:$D$66"")=CI$2),$F$3:$BP$3,$F19:$BP19)))"),0.8246881779999998)</f>
        <v>0.824688178</v>
      </c>
      <c r="CJ19" s="207" t="str">
        <f>IFERROR(__xludf.DUMMYFUNCTION("IF(OR(CI19&gt;$BR19+$BS19*$BS$2,CI19&lt;$BR19-$BS19*$BS$2),AVEDEV(ARRAYFORMULA(XLOOKUP(FILTER(INDIRECT(""'""&amp;CI$1&amp;""'!$C$4:$C$66""),INDIRECT(""'""&amp;CI$1&amp;""'!$D$4:$D$66"")=CI$2),$F$3:$BP$3,$F19:$BP19))),"""")"),"")</f>
        <v/>
      </c>
      <c r="CK19" s="251">
        <f>IFERROR(__xludf.DUMMYFUNCTION("AVERAGE(ARRAYFORMULA(XLOOKUP(FILTER(INDIRECT(""'""&amp;CK$1&amp;""'!$C$4:$C$66""),INDIRECT(""'""&amp;CK$1&amp;""'!$D$4:$D$66"")=CK$2),$F$3:$BP$3,$F19:$BP19)))"),0.16681555435897438)</f>
        <v>0.1668155544</v>
      </c>
      <c r="CL19" s="207" t="str">
        <f>IFERROR(__xludf.DUMMYFUNCTION("IF(OR(CK19&gt;$BR19+$BS19*$BS$2,CK19&lt;$BR19-$BS19*$BS$2),AVEDEV(ARRAYFORMULA(XLOOKUP(FILTER(INDIRECT(""'""&amp;CK$1&amp;""'!$C$4:$C$66""),INDIRECT(""'""&amp;CK$1&amp;""'!$D$4:$D$66"")=CK$2),$F$3:$BP$3,$F19:$BP19))),"""")"),"")</f>
        <v/>
      </c>
      <c r="CM19" s="251">
        <f>IFERROR(__xludf.DUMMYFUNCTION("AVERAGE(ARRAYFORMULA(XLOOKUP(FILTER(INDIRECT(""'""&amp;CM$1&amp;""'!$C$4:$C$66""),INDIRECT(""'""&amp;CM$1&amp;""'!$D$4:$D$66"")=CM$2),$F$3:$BP$3,$F19:$BP19)))"),0.006451605999999987)</f>
        <v>0.006451606</v>
      </c>
      <c r="CN19" s="207" t="str">
        <f>IFERROR(__xludf.DUMMYFUNCTION("IF(OR(CM19&gt;$BR19+$BS19*$BS$2,CM19&lt;$BR19-$BS19*$BS$2),AVEDEV(ARRAYFORMULA(XLOOKUP(FILTER(INDIRECT(""'""&amp;CM$1&amp;""'!$C$4:$C$66""),INDIRECT(""'""&amp;CM$1&amp;""'!$D$4:$D$66"")=CM$2),$F$3:$BP$3,$F19:$BP19))),"""")"),"")</f>
        <v/>
      </c>
      <c r="CO19" s="252"/>
      <c r="CP19" s="251">
        <f>IFERROR(__xludf.DUMMYFUNCTION("AVERAGE(ARRAYFORMULA(XLOOKUP(FILTER(INDIRECT(""'""&amp;CP$1&amp;""'!$C$4:$C$66""),INDIRECT(""'""&amp;CP$1&amp;""'!$D$4:$D$66"")=CP$2),$F$3:$BP$3,$F19:$BP19)))"),-0.3560368578571428)</f>
        <v>-0.3560368579</v>
      </c>
      <c r="CQ19" s="207" t="str">
        <f>IFERROR(__xludf.DUMMYFUNCTION("IF(OR(CP19&gt;$BR19+$BS19*$BS$2,CP19&lt;$BR19-$BS19*$BS$2),AVEDEV(ARRAYFORMULA(XLOOKUP(FILTER(INDIRECT(""'""&amp;CP$1&amp;""'!$C$4:$C$66""),INDIRECT(""'""&amp;CP$1&amp;""'!$D$4:$D$66"")=CP$2),$F$3:$BP$3,$F19:$BP19))),"""")"),"")</f>
        <v/>
      </c>
      <c r="CR19" s="251">
        <f>IFERROR(__xludf.DUMMYFUNCTION("AVERAGE(ARRAYFORMULA(XLOOKUP(FILTER(INDIRECT(""'""&amp;CR$1&amp;""'!$C$4:$C$66""),INDIRECT(""'""&amp;CR$1&amp;""'!$D$4:$D$66"")=CR$2),$F$3:$BP$3,$F19:$BP19)))"),0.3426523311111111)</f>
        <v>0.3426523311</v>
      </c>
      <c r="CS19" s="207" t="str">
        <f>IFERROR(__xludf.DUMMYFUNCTION("IF(OR(CR19&gt;$BR19+$BS19*$BS$2,CR19&lt;$BR19-$BS19*$BS$2),AVEDEV(ARRAYFORMULA(XLOOKUP(FILTER(INDIRECT(""'""&amp;CR$1&amp;""'!$C$4:$C$66""),INDIRECT(""'""&amp;CR$1&amp;""'!$D$4:$D$66"")=CR$2),$F$3:$BP$3,$F19:$BP19))),"""")"),"")</f>
        <v/>
      </c>
      <c r="CT19" s="251">
        <f>IFERROR(__xludf.DUMMYFUNCTION("AVERAGE(ARRAYFORMULA(XLOOKUP(FILTER(INDIRECT(""'""&amp;CT$1&amp;""'!$C$4:$C$66""),INDIRECT(""'""&amp;CT$1&amp;""'!$D$4:$D$66"")=CT$2),$F$3:$BP$3,$F19:$BP19)))"),0.5461583581818181)</f>
        <v>0.5461583582</v>
      </c>
      <c r="CU19" s="207" t="str">
        <f>IFERROR(__xludf.DUMMYFUNCTION("IF(OR(CT19&gt;$BR19+$BS19*$BS$2,CT19&lt;$BR19-$BS19*$BS$2),AVEDEV(ARRAYFORMULA(XLOOKUP(FILTER(INDIRECT(""'""&amp;CT$1&amp;""'!$C$4:$C$66""),INDIRECT(""'""&amp;CT$1&amp;""'!$D$4:$D$66"")=CT$2),$F$3:$BP$3,$F19:$BP19))),"""")"),"")</f>
        <v/>
      </c>
      <c r="CV19" s="251">
        <f>IFERROR(__xludf.DUMMYFUNCTION("AVERAGE(ARRAYFORMULA(XLOOKUP(FILTER(INDIRECT(""'""&amp;CV$1&amp;""'!$C$4:$C$66""),INDIRECT(""'""&amp;CV$1&amp;""'!$D$4:$D$66"")=CV$2),$F$3:$BP$3,$F19:$BP19)))"),-0.1548387)</f>
        <v>-0.1548387</v>
      </c>
      <c r="CW19" s="207" t="str">
        <f>IFERROR(__xludf.DUMMYFUNCTION("IF(OR(CV19&gt;$BR19+$BS19*$BS$2,CV19&lt;$BR19-$BS19*$BS$2),AVEDEV(ARRAYFORMULA(XLOOKUP(FILTER(INDIRECT(""'""&amp;CV$1&amp;""'!$C$4:$C$66""),INDIRECT(""'""&amp;CV$1&amp;""'!$D$4:$D$66"")=CV$2),$F$3:$BP$3,$F19:$BP19))),"""")"),"")</f>
        <v/>
      </c>
      <c r="CX19" s="251">
        <f>IFERROR(__xludf.DUMMYFUNCTION("AVERAGE(ARRAYFORMULA(XLOOKUP(FILTER(INDIRECT(""'""&amp;CX$1&amp;""'!$C$4:$C$66""),INDIRECT(""'""&amp;CX$1&amp;""'!$D$4:$D$66"")=CX$2),$F$3:$BP$3,$F19:$BP19)))"),0.4103225871428572)</f>
        <v>0.4103225871</v>
      </c>
      <c r="CY19" s="207" t="str">
        <f>IFERROR(__xludf.DUMMYFUNCTION("IF(OR(CX19&gt;$BR19+$BS19*$BS$2,CX19&lt;$BR19-$BS19*$BS$2),AVEDEV(ARRAYFORMULA(XLOOKUP(FILTER(INDIRECT(""'""&amp;CX$1&amp;""'!$C$4:$C$66""),INDIRECT(""'""&amp;CX$1&amp;""'!$D$4:$D$66"")=CX$2),$F$3:$BP$3,$F19:$BP19))),"""")"),"")</f>
        <v/>
      </c>
      <c r="CZ19" s="252"/>
      <c r="DA19" s="251">
        <f>IFERROR(__xludf.DUMMYFUNCTION("AVERAGE(ARRAYFORMULA(XLOOKUP(FILTER(INDIRECT(""'""&amp;DA$1&amp;""'!$C$4:$C$66""),INDIRECT(""'""&amp;DA$1&amp;""'!$D$4:$D$66"")=DA$2),$F$3:$BP$3,$F19:$BP19)))"),0.17995699166666665)</f>
        <v>0.1799569917</v>
      </c>
      <c r="DB19" s="207" t="str">
        <f>IFERROR(__xludf.DUMMYFUNCTION("IF(OR(DA19&gt;$BR19+$BS19*$BS$2,DA19&lt;$BR19-$BS19*$BS$2),AVEDEV(ARRAYFORMULA(XLOOKUP(FILTER(INDIRECT(""'""&amp;DA$1&amp;""'!$C$4:$C$66""),INDIRECT(""'""&amp;DA$1&amp;""'!$D$4:$D$66"")=DA$2),$F$3:$BP$3,$F19:$BP19))),"""")"),"")</f>
        <v/>
      </c>
      <c r="DC19" s="251">
        <f>IFERROR(__xludf.DUMMYFUNCTION("AVERAGE(ARRAYFORMULA(XLOOKUP(FILTER(INDIRECT(""'""&amp;DC$1&amp;""'!$C$4:$C$66""),INDIRECT(""'""&amp;DC$1&amp;""'!$D$4:$D$66"")=DC$2),$F$3:$BP$3,$F19:$BP19)))"),0.6973476666666666)</f>
        <v>0.6973476667</v>
      </c>
      <c r="DD19" s="207" t="str">
        <f>IFERROR(__xludf.DUMMYFUNCTION("IF(OR(DC19&gt;$BR19+$BS19*$BS$2,DC19&lt;$BR19-$BS19*$BS$2),AVEDEV(ARRAYFORMULA(XLOOKUP(FILTER(INDIRECT(""'""&amp;DC$1&amp;""'!$C$4:$C$66""),INDIRECT(""'""&amp;DC$1&amp;""'!$D$4:$D$66"")=DC$2),$F$3:$BP$3,$F19:$BP19))),"""")"),"")</f>
        <v/>
      </c>
      <c r="DE19" s="251">
        <f>IFERROR(__xludf.DUMMYFUNCTION("AVERAGE(ARRAYFORMULA(XLOOKUP(FILTER(INDIRECT(""'""&amp;DE$1&amp;""'!$C$4:$C$66""),INDIRECT(""'""&amp;DE$1&amp;""'!$D$4:$D$66"")=DE$2),$F$3:$BP$3,$F19:$BP19)))"),0.74112903625)</f>
        <v>0.7411290363</v>
      </c>
      <c r="DF19" s="207" t="str">
        <f>IFERROR(__xludf.DUMMYFUNCTION("IF(OR(DE19&gt;$BR19+$BS19*$BS$2,DE19&lt;$BR19-$BS19*$BS$2),AVEDEV(ARRAYFORMULA(XLOOKUP(FILTER(INDIRECT(""'""&amp;DE$1&amp;""'!$C$4:$C$66""),INDIRECT(""'""&amp;DE$1&amp;""'!$D$4:$D$66"")=DE$2),$F$3:$BP$3,$F19:$BP19))),"""")"),"")</f>
        <v/>
      </c>
      <c r="DG19" s="251">
        <f>IFERROR(__xludf.DUMMYFUNCTION("AVERAGE(ARRAYFORMULA(XLOOKUP(FILTER(INDIRECT(""'""&amp;DG$1&amp;""'!$C$4:$C$66""),INDIRECT(""'""&amp;DG$1&amp;""'!$D$4:$D$66"")=DG$2),$F$3:$BP$3,$F19:$BP19)))"),-0.06795698111111115)</f>
        <v>-0.06795698111</v>
      </c>
      <c r="DH19" s="207" t="str">
        <f>IFERROR(__xludf.DUMMYFUNCTION("IF(OR(DG19&gt;$BR19+$BS19*$BS$2,DG19&lt;$BR19-$BS19*$BS$2),AVEDEV(ARRAYFORMULA(XLOOKUP(FILTER(INDIRECT(""'""&amp;DG$1&amp;""'!$C$4:$C$66""),INDIRECT(""'""&amp;DG$1&amp;""'!$D$4:$D$66"")=DG$2),$F$3:$BP$3,$F19:$BP19))),"""")"),"")</f>
        <v/>
      </c>
      <c r="DI19" s="252"/>
    </row>
    <row r="20">
      <c r="A20" s="2"/>
      <c r="B20" s="204" t="s">
        <v>442</v>
      </c>
      <c r="C20" s="204" t="s">
        <v>460</v>
      </c>
      <c r="D20" s="205" t="b">
        <f>VLOOKUP(C20,'Feature Set List'!A17:C246,2,0)</f>
        <v>1</v>
      </c>
      <c r="E20" s="205" t="b">
        <f>VLOOKUP(C20,'Feature Set List'!A17:C246,3,0)</f>
        <v>1</v>
      </c>
      <c r="F20" s="205">
        <v>-1.1639451</v>
      </c>
      <c r="G20" s="205">
        <v>-0.0241672</v>
      </c>
      <c r="H20" s="205">
        <v>0.60744611</v>
      </c>
      <c r="I20" s="205">
        <v>-0.7302417</v>
      </c>
      <c r="J20" s="205">
        <v>0.57674722</v>
      </c>
      <c r="K20" s="205">
        <v>0.45460483</v>
      </c>
      <c r="L20" s="205">
        <v>0.62181581</v>
      </c>
      <c r="M20" s="205">
        <v>0.07642064</v>
      </c>
      <c r="N20" s="205">
        <v>-0.5702155</v>
      </c>
      <c r="O20" s="205">
        <v>0.31743958</v>
      </c>
      <c r="P20" s="205">
        <v>-1.2044415</v>
      </c>
      <c r="Q20" s="205">
        <v>0.14043109</v>
      </c>
      <c r="R20" s="205">
        <v>-0.0137165</v>
      </c>
      <c r="S20" s="205">
        <v>0.29131287</v>
      </c>
      <c r="T20" s="205">
        <v>0.90137165</v>
      </c>
      <c r="U20" s="205">
        <v>-1.0006532</v>
      </c>
      <c r="V20" s="205">
        <v>-0.556499</v>
      </c>
      <c r="W20" s="205">
        <v>-2.3050294</v>
      </c>
      <c r="X20" s="205">
        <v>-0.4382756</v>
      </c>
      <c r="Y20" s="205">
        <v>0.83670803</v>
      </c>
      <c r="Z20" s="205">
        <v>-1.1802743</v>
      </c>
      <c r="AA20" s="205">
        <v>-1.9451339</v>
      </c>
      <c r="AB20" s="205">
        <v>0.10711953</v>
      </c>
      <c r="AC20" s="205">
        <v>0.41214892</v>
      </c>
      <c r="AD20" s="205">
        <v>-0.747224</v>
      </c>
      <c r="AE20" s="205">
        <v>0.09797518</v>
      </c>
      <c r="AF20" s="205">
        <v>-0.0548661</v>
      </c>
      <c r="AG20" s="205">
        <v>0.37949053</v>
      </c>
      <c r="AH20" s="205">
        <v>0.46374918</v>
      </c>
      <c r="AI20" s="205">
        <v>-0.2070542</v>
      </c>
      <c r="AJ20" s="205">
        <v>0.18680601</v>
      </c>
      <c r="AK20" s="205">
        <v>0.91770085</v>
      </c>
      <c r="AL20" s="205">
        <v>-0.4644024</v>
      </c>
      <c r="AM20" s="205">
        <v>0.4898759</v>
      </c>
      <c r="AN20" s="205">
        <v>-0.5473547</v>
      </c>
      <c r="AO20" s="205">
        <v>0.3109079</v>
      </c>
      <c r="AP20" s="205">
        <v>-0.1887655</v>
      </c>
      <c r="AQ20" s="205">
        <v>0.52449379</v>
      </c>
      <c r="AR20" s="205">
        <v>-0.5179621</v>
      </c>
      <c r="AS20" s="205">
        <v>-0.9294579</v>
      </c>
      <c r="AT20" s="205">
        <v>-0.9980405</v>
      </c>
      <c r="AU20" s="205">
        <v>-1.019595</v>
      </c>
      <c r="AV20" s="205">
        <v>0.90137165</v>
      </c>
      <c r="AW20" s="205">
        <v>1.04310908</v>
      </c>
      <c r="AX20" s="205">
        <v>0.0</v>
      </c>
      <c r="AY20" s="205">
        <v>-0.4689745</v>
      </c>
      <c r="AZ20" s="205">
        <v>0.53886349</v>
      </c>
      <c r="BA20" s="205">
        <v>-0.0999347</v>
      </c>
      <c r="BB20" s="205">
        <v>-1.178968</v>
      </c>
      <c r="BC20" s="205">
        <v>-0.3919007</v>
      </c>
      <c r="BD20" s="205">
        <v>-2.9013717</v>
      </c>
      <c r="BE20" s="205">
        <v>0.07576747</v>
      </c>
      <c r="BF20" s="205">
        <v>-1.3011104</v>
      </c>
      <c r="BG20" s="205">
        <v>-0.0809928</v>
      </c>
      <c r="BH20" s="205">
        <v>0.56825604</v>
      </c>
      <c r="BI20" s="205">
        <v>0.15937296</v>
      </c>
      <c r="BJ20" s="205">
        <v>0.43239713</v>
      </c>
      <c r="BK20" s="205">
        <v>-0.4702809</v>
      </c>
      <c r="BL20" s="205">
        <v>0.00849118</v>
      </c>
      <c r="BM20" s="205">
        <v>0.90137165</v>
      </c>
      <c r="BN20" s="205">
        <v>0.49902025</v>
      </c>
      <c r="BO20" s="205">
        <v>-0.1796212</v>
      </c>
      <c r="BP20" s="205">
        <v>0.44154148</v>
      </c>
      <c r="BQ20" s="206"/>
      <c r="BR20" s="250">
        <f t="shared" si="1"/>
        <v>-0.1523228921</v>
      </c>
      <c r="BS20" s="250">
        <f t="shared" si="2"/>
        <v>0.6236951653</v>
      </c>
      <c r="BT20" s="206"/>
      <c r="BU20" s="207">
        <f>IFERROR(__xludf.DUMMYFUNCTION("AVERAGE(ARRAYFORMULA(XLOOKUP(FILTER(INDIRECT(""'""&amp;BU$1&amp;""'!$C$4:$C$66""),INDIRECT(""'""&amp;BU$1&amp;""'!$D$4:$D$66"")=BU$2),$F$3:$BP$3,$F20:$BP20)))"),-0.7746571071428571)</f>
        <v>-0.7746571071</v>
      </c>
      <c r="BV20" s="207" t="str">
        <f>IFERROR(__xludf.DUMMYFUNCTION("IF(OR(BU20&gt;$BR20+$BS20*$BS$2,BU20&lt;$BR20-$BS20*$BS$2),AVEDEV(ARRAYFORMULA(XLOOKUP(FILTER(INDIRECT(""'""&amp;BU$1&amp;""'!$C$4:$C$66""),INDIRECT(""'""&amp;BU$1&amp;""'!$D$4:$D$66"")=BU$2),$F$3:$BP$3,$F20:$BP20))),"""")"),"")</f>
        <v/>
      </c>
      <c r="BW20" s="207">
        <f>IFERROR(__xludf.DUMMYFUNCTION("AVERAGE(ARRAYFORMULA(XLOOKUP(FILTER(INDIRECT(""'""&amp;BW$1&amp;""'!$C$4:$C$66""),INDIRECT(""'""&amp;BW$1&amp;""'!$D$4:$D$66"")=BW$2),$F$3:$BP$3,$F20:$BP20)))"),-0.07366800238095235)</f>
        <v>-0.07366800238</v>
      </c>
      <c r="BX20" s="207" t="str">
        <f>IFERROR(__xludf.DUMMYFUNCTION("IF(OR(BW20&gt;$BR20+$BS20*$BS$2,BW20&lt;$BR20-$BS20*$BS$2),AVEDEV(ARRAYFORMULA(XLOOKUP(FILTER(INDIRECT(""'""&amp;BW$1&amp;""'!$C$4:$C$66""),INDIRECT(""'""&amp;BW$1&amp;""'!$D$4:$D$66"")=BW$2),$F$3:$BP$3,$F20:$BP20))),"""")"),"")</f>
        <v/>
      </c>
      <c r="BY20" s="207">
        <f>IFERROR(__xludf.DUMMYFUNCTION("AVERAGE(ARRAYFORMULA(XLOOKUP(FILTER(INDIRECT(""'""&amp;BY$1&amp;""'!$C$4:$C$66""),INDIRECT(""'""&amp;BY$1&amp;""'!$D$4:$D$66"")=BY$2),$F$3:$BP$3,$F20:$BP20)))"),-0.027017387272727265)</f>
        <v>-0.02701738727</v>
      </c>
      <c r="BZ20" s="207" t="str">
        <f>IFERROR(__xludf.DUMMYFUNCTION("IF(OR(BY20&gt;$BR20+$BS20*$BS$2,BY20&lt;$BR20-$BS20*$BS$2),AVEDEV(ARRAYFORMULA(XLOOKUP(FILTER(INDIRECT(""'""&amp;BY$1&amp;""'!$C$4:$C$66""),INDIRECT(""'""&amp;BY$1&amp;""'!$D$4:$D$66"")=BY$2),$F$3:$BP$3,$F20:$BP20))),"""")"),"")</f>
        <v/>
      </c>
      <c r="CA20" s="209"/>
      <c r="CB20" s="207">
        <f>IFERROR(__xludf.DUMMYFUNCTION("AVERAGE(ARRAYFORMULA(XLOOKUP(FILTER(INDIRECT(""'""&amp;CB$1&amp;""'!$C$4:$C$66""),INDIRECT(""'""&amp;CB$1&amp;""'!$D$4:$D$66"")=CB$2),$F$3:$BP$3,$F20:$BP20)))"),-0.017635536250000007)</f>
        <v>-0.01763553625</v>
      </c>
      <c r="CC20" s="207" t="str">
        <f>IFERROR(__xludf.DUMMYFUNCTION("IF(OR(CB20&gt;$BR20+$BS20*$BS$2,CB20&lt;$BR20-$BS20*$BS$2),AVEDEV(ARRAYFORMULA(XLOOKUP(FILTER(INDIRECT(""'""&amp;CB$1&amp;""'!$C$4:$C$66""),INDIRECT(""'""&amp;CB$1&amp;""'!$D$4:$D$66"")=CB$2),$F$3:$BP$3,$F20:$BP20))),"""")"),"")</f>
        <v/>
      </c>
      <c r="CD20" s="207">
        <f>IFERROR(__xludf.DUMMYFUNCTION("AVERAGE(ARRAYFORMULA(XLOOKUP(FILTER(INDIRECT(""'""&amp;CD$1&amp;""'!$C$4:$C$66""),INDIRECT(""'""&amp;CD$1&amp;""'!$D$4:$D$66"")=CD$2),$F$3:$BP$3,$F20:$BP20)))"),-0.17576536032258064)</f>
        <v>-0.1757653603</v>
      </c>
      <c r="CE20" s="207" t="str">
        <f>IFERROR(__xludf.DUMMYFUNCTION("IF(OR(CD20&gt;$BR20+$BS20*$BS$2,CD20&lt;$BR20-$BS20*$BS$2),AVEDEV(ARRAYFORMULA(XLOOKUP(FILTER(INDIRECT(""'""&amp;CD$1&amp;""'!$C$4:$C$66""),INDIRECT(""'""&amp;CD$1&amp;""'!$D$4:$D$66"")=CD$2),$F$3:$BP$3,$F20:$BP20))),"""")"),"")</f>
        <v/>
      </c>
      <c r="CF20" s="207">
        <f>IFERROR(__xludf.DUMMYFUNCTION("AVERAGE(ARRAYFORMULA(XLOOKUP(FILTER(INDIRECT(""'""&amp;CF$1&amp;""'!$C$4:$C$66""),INDIRECT(""'""&amp;CF$1&amp;""'!$D$4:$D$66"")=CF$2),$F$3:$BP$3,$F20:$BP20)))"),-0.134291312)</f>
        <v>-0.134291312</v>
      </c>
      <c r="CG20" s="207" t="str">
        <f>IFERROR(__xludf.DUMMYFUNCTION("IF(OR(CF20&gt;$BR20+$BS20*$BS$2,CF20&lt;$BR20-$BS20*$BS$2),AVEDEV(ARRAYFORMULA(XLOOKUP(FILTER(INDIRECT(""'""&amp;CF$1&amp;""'!$C$4:$C$66""),INDIRECT(""'""&amp;CF$1&amp;""'!$D$4:$D$66"")=CF$2),$F$3:$BP$3,$F20:$BP20))),"""")"),"")</f>
        <v/>
      </c>
      <c r="CH20" s="206"/>
      <c r="CI20" s="251">
        <f>IFERROR(__xludf.DUMMYFUNCTION("AVERAGE(ARRAYFORMULA(XLOOKUP(FILTER(INDIRECT(""'""&amp;CI$1&amp;""'!$C$4:$C$66""),INDIRECT(""'""&amp;CI$1&amp;""'!$D$4:$D$66"")=CI$2),$F$3:$BP$3,$F20:$BP20)))"),-0.6492488546666667)</f>
        <v>-0.6492488547</v>
      </c>
      <c r="CJ20" s="207" t="str">
        <f>IFERROR(__xludf.DUMMYFUNCTION("IF(OR(CI20&gt;$BR20+$BS20*$BS$2,CI20&lt;$BR20-$BS20*$BS$2),AVEDEV(ARRAYFORMULA(XLOOKUP(FILTER(INDIRECT(""'""&amp;CI$1&amp;""'!$C$4:$C$66""),INDIRECT(""'""&amp;CI$1&amp;""'!$D$4:$D$66"")=CI$2),$F$3:$BP$3,$F20:$BP20))),"""")"),"")</f>
        <v/>
      </c>
      <c r="CK20" s="251">
        <f>IFERROR(__xludf.DUMMYFUNCTION("AVERAGE(ARRAYFORMULA(XLOOKUP(FILTER(INDIRECT(""'""&amp;CK$1&amp;""'!$C$4:$C$66""),INDIRECT(""'""&amp;CK$1&amp;""'!$D$4:$D$66"")=CK$2),$F$3:$BP$3,$F20:$BP20)))"),0.05299033769230769)</f>
        <v>0.05299033769</v>
      </c>
      <c r="CL20" s="207" t="str">
        <f>IFERROR(__xludf.DUMMYFUNCTION("IF(OR(CK20&gt;$BR20+$BS20*$BS$2,CK20&lt;$BR20-$BS20*$BS$2),AVEDEV(ARRAYFORMULA(XLOOKUP(FILTER(INDIRECT(""'""&amp;CK$1&amp;""'!$C$4:$C$66""),INDIRECT(""'""&amp;CK$1&amp;""'!$D$4:$D$66"")=CK$2),$F$3:$BP$3,$F20:$BP20))),"""")"),"")</f>
        <v/>
      </c>
      <c r="CM20" s="251">
        <f>IFERROR(__xludf.DUMMYFUNCTION("AVERAGE(ARRAYFORMULA(XLOOKUP(FILTER(INDIRECT(""'""&amp;CM$1&amp;""'!$C$4:$C$66""),INDIRECT(""'""&amp;CM$1&amp;""'!$D$4:$D$66"")=CM$2),$F$3:$BP$3,$F20:$BP20)))"),-0.134291312)</f>
        <v>-0.134291312</v>
      </c>
      <c r="CN20" s="207" t="str">
        <f>IFERROR(__xludf.DUMMYFUNCTION("IF(OR(CM20&gt;$BR20+$BS20*$BS$2,CM20&lt;$BR20-$BS20*$BS$2),AVEDEV(ARRAYFORMULA(XLOOKUP(FILTER(INDIRECT(""'""&amp;CM$1&amp;""'!$C$4:$C$66""),INDIRECT(""'""&amp;CM$1&amp;""'!$D$4:$D$66"")=CM$2),$F$3:$BP$3,$F20:$BP20))),"""")"),"")</f>
        <v/>
      </c>
      <c r="CO20" s="252"/>
      <c r="CP20" s="251">
        <f>IFERROR(__xludf.DUMMYFUNCTION("AVERAGE(ARRAYFORMULA(XLOOKUP(FILTER(INDIRECT(""'""&amp;CP$1&amp;""'!$C$4:$C$66""),INDIRECT(""'""&amp;CP$1&amp;""'!$D$4:$D$66"")=CP$2),$F$3:$BP$3,$F20:$BP20)))"),0.04422879500000001)</f>
        <v>0.044228795</v>
      </c>
      <c r="CQ20" s="207" t="str">
        <f>IFERROR(__xludf.DUMMYFUNCTION("IF(OR(CP20&gt;$BR20+$BS20*$BS$2,CP20&lt;$BR20-$BS20*$BS$2),AVEDEV(ARRAYFORMULA(XLOOKUP(FILTER(INDIRECT(""'""&amp;CP$1&amp;""'!$C$4:$C$66""),INDIRECT(""'""&amp;CP$1&amp;""'!$D$4:$D$66"")=CP$2),$F$3:$BP$3,$F20:$BP20))),"""")"),"")</f>
        <v/>
      </c>
      <c r="CR20" s="251">
        <f>IFERROR(__xludf.DUMMYFUNCTION("AVERAGE(ARRAYFORMULA(XLOOKUP(FILTER(INDIRECT(""'""&amp;CR$1&amp;""'!$C$4:$C$66""),INDIRECT(""'""&amp;CR$1&amp;""'!$D$4:$D$66"")=CR$2),$F$3:$BP$3,$F20:$BP20)))"),0.018143562222222243)</f>
        <v>0.01814356222</v>
      </c>
      <c r="CS20" s="207" t="str">
        <f>IFERROR(__xludf.DUMMYFUNCTION("IF(OR(CR20&gt;$BR20+$BS20*$BS$2,CR20&lt;$BR20-$BS20*$BS$2),AVEDEV(ARRAYFORMULA(XLOOKUP(FILTER(INDIRECT(""'""&amp;CR$1&amp;""'!$C$4:$C$66""),INDIRECT(""'""&amp;CR$1&amp;""'!$D$4:$D$66"")=CR$2),$F$3:$BP$3,$F20:$BP20))),"""")"),"")</f>
        <v/>
      </c>
      <c r="CT20" s="251">
        <f>IFERROR(__xludf.DUMMYFUNCTION("AVERAGE(ARRAYFORMULA(XLOOKUP(FILTER(INDIRECT(""'""&amp;CT$1&amp;""'!$C$4:$C$66""),INDIRECT(""'""&amp;CT$1&amp;""'!$D$4:$D$66"")=CT$2),$F$3:$BP$3,$F20:$BP20)))"),-0.5760940536363636)</f>
        <v>-0.5760940536</v>
      </c>
      <c r="CU20" s="207" t="str">
        <f>IFERROR(__xludf.DUMMYFUNCTION("IF(OR(CT20&gt;$BR20+$BS20*$BS$2,CT20&lt;$BR20-$BS20*$BS$2),AVEDEV(ARRAYFORMULA(XLOOKUP(FILTER(INDIRECT(""'""&amp;CT$1&amp;""'!$C$4:$C$66""),INDIRECT(""'""&amp;CT$1&amp;""'!$D$4:$D$66"")=CT$2),$F$3:$BP$3,$F20:$BP20))),"""")"),"")</f>
        <v/>
      </c>
      <c r="CV20" s="251">
        <f>IFERROR(__xludf.DUMMYFUNCTION("AVERAGE(ARRAYFORMULA(XLOOKUP(FILTER(INDIRECT(""'""&amp;CV$1&amp;""'!$C$4:$C$66""),INDIRECT(""'""&amp;CV$1&amp;""'!$D$4:$D$66"")=CV$2),$F$3:$BP$3,$F20:$BP20)))"),0.16557805999999997)</f>
        <v>0.16557806</v>
      </c>
      <c r="CW20" s="207" t="str">
        <f>IFERROR(__xludf.DUMMYFUNCTION("IF(OR(CV20&gt;$BR20+$BS20*$BS$2,CV20&lt;$BR20-$BS20*$BS$2),AVEDEV(ARRAYFORMULA(XLOOKUP(FILTER(INDIRECT(""'""&amp;CV$1&amp;""'!$C$4:$C$66""),INDIRECT(""'""&amp;CV$1&amp;""'!$D$4:$D$66"")=CV$2),$F$3:$BP$3,$F20:$BP20))),"""")"),"")</f>
        <v/>
      </c>
      <c r="CX20" s="251">
        <f>IFERROR(__xludf.DUMMYFUNCTION("AVERAGE(ARRAYFORMULA(XLOOKUP(FILTER(INDIRECT(""'""&amp;CX$1&amp;""'!$C$4:$C$66""),INDIRECT(""'""&amp;CX$1&amp;""'!$D$4:$D$66"")=CX$2),$F$3:$BP$3,$F20:$BP20)))"),0.12606140142857145)</f>
        <v>0.1260614014</v>
      </c>
      <c r="CY20" s="207" t="str">
        <f>IFERROR(__xludf.DUMMYFUNCTION("IF(OR(CX20&gt;$BR20+$BS20*$BS$2,CX20&lt;$BR20-$BS20*$BS$2),AVEDEV(ARRAYFORMULA(XLOOKUP(FILTER(INDIRECT(""'""&amp;CX$1&amp;""'!$C$4:$C$66""),INDIRECT(""'""&amp;CX$1&amp;""'!$D$4:$D$66"")=CX$2),$F$3:$BP$3,$F20:$BP20))),"""")"),"")</f>
        <v/>
      </c>
      <c r="CZ20" s="252"/>
      <c r="DA20" s="251">
        <f>IFERROR(__xludf.DUMMYFUNCTION("AVERAGE(ARRAYFORMULA(XLOOKUP(FILTER(INDIRECT(""'""&amp;DA$1&amp;""'!$C$4:$C$66""),INDIRECT(""'""&amp;DA$1&amp;""'!$D$4:$D$66"")=DA$2),$F$3:$BP$3,$F20:$BP20)))"),-0.18066623499999998)</f>
        <v>-0.180666235</v>
      </c>
      <c r="DB20" s="207" t="str">
        <f>IFERROR(__xludf.DUMMYFUNCTION("IF(OR(DA20&gt;$BR20+$BS20*$BS$2,DA20&lt;$BR20-$BS20*$BS$2),AVEDEV(ARRAYFORMULA(XLOOKUP(FILTER(INDIRECT(""'""&amp;DA$1&amp;""'!$C$4:$C$66""),INDIRECT(""'""&amp;DA$1&amp;""'!$D$4:$D$66"")=DA$2),$F$3:$BP$3,$F20:$BP20))),"""")"),"")</f>
        <v/>
      </c>
      <c r="DC20" s="251">
        <f>IFERROR(__xludf.DUMMYFUNCTION("AVERAGE(ARRAYFORMULA(XLOOKUP(FILTER(INDIRECT(""'""&amp;DC$1&amp;""'!$C$4:$C$66""),INDIRECT(""'""&amp;DC$1&amp;""'!$D$4:$D$66"")=DC$2),$F$3:$BP$3,$F20:$BP20)))"),-0.05639014888888886)</f>
        <v>-0.05639014889</v>
      </c>
      <c r="DD20" s="207" t="str">
        <f>IFERROR(__xludf.DUMMYFUNCTION("IF(OR(DC20&gt;$BR20+$BS20*$BS$2,DC20&lt;$BR20-$BS20*$BS$2),AVEDEV(ARRAYFORMULA(XLOOKUP(FILTER(INDIRECT(""'""&amp;DC$1&amp;""'!$C$4:$C$66""),INDIRECT(""'""&amp;DC$1&amp;""'!$D$4:$D$66"")=DC$2),$F$3:$BP$3,$F20:$BP20))),"""")"),"")</f>
        <v/>
      </c>
      <c r="DE20" s="251">
        <f>IFERROR(__xludf.DUMMYFUNCTION("AVERAGE(ARRAYFORMULA(XLOOKUP(FILTER(INDIRECT(""'""&amp;DE$1&amp;""'!$C$4:$C$66""),INDIRECT(""'""&amp;DE$1&amp;""'!$D$4:$D$66"")=DE$2),$F$3:$BP$3,$F20:$BP20)))"),-0.17480403249999998)</f>
        <v>-0.1748040325</v>
      </c>
      <c r="DF20" s="207" t="str">
        <f>IFERROR(__xludf.DUMMYFUNCTION("IF(OR(DE20&gt;$BR20+$BS20*$BS$2,DE20&lt;$BR20-$BS20*$BS$2),AVEDEV(ARRAYFORMULA(XLOOKUP(FILTER(INDIRECT(""'""&amp;DE$1&amp;""'!$C$4:$C$66""),INDIRECT(""'""&amp;DE$1&amp;""'!$D$4:$D$66"")=DE$2),$F$3:$BP$3,$F20:$BP20))),"""")"),"")</f>
        <v/>
      </c>
      <c r="DG20" s="251">
        <f>IFERROR(__xludf.DUMMYFUNCTION("AVERAGE(ARRAYFORMULA(XLOOKUP(FILTER(INDIRECT(""'""&amp;DG$1&amp;""'!$C$4:$C$66""),INDIRECT(""'""&amp;DG$1&amp;""'!$D$4:$D$66"")=DG$2),$F$3:$BP$3,$F20:$BP20)))"),0.1455838611111111)</f>
        <v>0.1455838611</v>
      </c>
      <c r="DH20" s="207" t="str">
        <f>IFERROR(__xludf.DUMMYFUNCTION("IF(OR(DG20&gt;$BR20+$BS20*$BS$2,DG20&lt;$BR20-$BS20*$BS$2),AVEDEV(ARRAYFORMULA(XLOOKUP(FILTER(INDIRECT(""'""&amp;DG$1&amp;""'!$C$4:$C$66""),INDIRECT(""'""&amp;DG$1&amp;""'!$D$4:$D$66"")=DG$2),$F$3:$BP$3,$F20:$BP20))),"""")"),"")</f>
        <v/>
      </c>
      <c r="DI20" s="252"/>
    </row>
    <row r="21">
      <c r="A21" s="2"/>
      <c r="B21" s="204" t="s">
        <v>442</v>
      </c>
      <c r="C21" s="204" t="s">
        <v>461</v>
      </c>
      <c r="D21" s="205" t="b">
        <f>VLOOKUP(C21,'Feature Set List'!A18:C246,2,0)</f>
        <v>1</v>
      </c>
      <c r="E21" s="205" t="b">
        <f>VLOOKUP(C21,'Feature Set List'!A18:C246,3,0)</f>
        <v>1</v>
      </c>
      <c r="F21" s="205">
        <v>-0.5688393</v>
      </c>
      <c r="G21" s="205">
        <v>0.28163123</v>
      </c>
      <c r="H21" s="205">
        <v>-0.6883932</v>
      </c>
      <c r="I21" s="205">
        <v>-0.238062</v>
      </c>
      <c r="J21" s="205">
        <v>0.19762984</v>
      </c>
      <c r="K21" s="205">
        <v>-0.3189265</v>
      </c>
      <c r="L21" s="205">
        <v>-1.0529801</v>
      </c>
      <c r="M21" s="205">
        <v>0.24224468</v>
      </c>
      <c r="N21" s="205">
        <v>-1.1906588</v>
      </c>
      <c r="O21" s="205">
        <v>0.24921575</v>
      </c>
      <c r="P21" s="205">
        <v>-0.0362496</v>
      </c>
      <c r="Q21" s="205">
        <v>-0.5426978</v>
      </c>
      <c r="R21" s="205">
        <v>0.66294876</v>
      </c>
      <c r="S21" s="205">
        <v>0.21157198</v>
      </c>
      <c r="T21" s="205">
        <v>0.06064831</v>
      </c>
      <c r="U21" s="205">
        <v>-0.0285814</v>
      </c>
      <c r="V21" s="205">
        <v>-1.0456605</v>
      </c>
      <c r="W21" s="205">
        <v>-1.0013942</v>
      </c>
      <c r="X21" s="205">
        <v>-0.2126176</v>
      </c>
      <c r="Y21" s="205">
        <v>-0.30603</v>
      </c>
      <c r="Z21" s="205">
        <v>0.24573022</v>
      </c>
      <c r="AA21" s="205">
        <v>-0.8299059</v>
      </c>
      <c r="AB21" s="205">
        <v>0.52387591</v>
      </c>
      <c r="AC21" s="205">
        <v>0.50505403</v>
      </c>
      <c r="AD21" s="205">
        <v>-0.1596375</v>
      </c>
      <c r="AE21" s="205">
        <v>0.56256535</v>
      </c>
      <c r="AF21" s="205">
        <v>-0.2844197</v>
      </c>
      <c r="AG21" s="205">
        <v>0.66155455</v>
      </c>
      <c r="AH21" s="205">
        <v>0.72987104</v>
      </c>
      <c r="AI21" s="205">
        <v>0.60369467</v>
      </c>
      <c r="AJ21" s="205">
        <v>0.4677588</v>
      </c>
      <c r="AK21" s="205">
        <v>0.78285117</v>
      </c>
      <c r="AL21" s="205">
        <v>-0.2819798</v>
      </c>
      <c r="AM21" s="205">
        <v>-0.1456954</v>
      </c>
      <c r="AN21" s="205">
        <v>0.25095852</v>
      </c>
      <c r="AO21" s="205">
        <v>-0.0484489</v>
      </c>
      <c r="AP21" s="205">
        <v>-0.491809</v>
      </c>
      <c r="AQ21" s="205">
        <v>0.55942837</v>
      </c>
      <c r="AR21" s="205">
        <v>0.1394214</v>
      </c>
      <c r="AS21" s="205">
        <v>0.0</v>
      </c>
      <c r="AT21" s="205">
        <v>0.68630185</v>
      </c>
      <c r="AU21" s="205">
        <v>-1.2687348</v>
      </c>
      <c r="AV21" s="205">
        <v>0.5622168</v>
      </c>
      <c r="AW21" s="205">
        <v>0.63889857</v>
      </c>
      <c r="AX21" s="205">
        <v>0.16730568</v>
      </c>
      <c r="AY21" s="205">
        <v>-0.5946323</v>
      </c>
      <c r="AZ21" s="205">
        <v>-0.5109794</v>
      </c>
      <c r="BA21" s="205">
        <v>-1.1707912</v>
      </c>
      <c r="BB21" s="205">
        <v>0.27222029</v>
      </c>
      <c r="BC21" s="205">
        <v>0.20808644</v>
      </c>
      <c r="BD21" s="205">
        <v>-2.2415476</v>
      </c>
      <c r="BE21" s="205">
        <v>0.82816312</v>
      </c>
      <c r="BF21" s="205">
        <v>-0.2732659</v>
      </c>
      <c r="BG21" s="205">
        <v>0.51376786</v>
      </c>
      <c r="BH21" s="205">
        <v>-0.4872778</v>
      </c>
      <c r="BI21" s="205">
        <v>-0.0097595</v>
      </c>
      <c r="BJ21" s="205">
        <v>0.81178111</v>
      </c>
      <c r="BK21" s="205">
        <v>-1.5890554</v>
      </c>
      <c r="BL21" s="205">
        <v>0.80202161</v>
      </c>
      <c r="BM21" s="205">
        <v>-0.4893691</v>
      </c>
      <c r="BN21" s="205">
        <v>0.12164517</v>
      </c>
      <c r="BO21" s="205">
        <v>-1.1307076</v>
      </c>
      <c r="BP21" s="205">
        <v>0.57267341</v>
      </c>
      <c r="BQ21" s="206"/>
      <c r="BR21" s="250">
        <f t="shared" si="1"/>
        <v>-0.08119637</v>
      </c>
      <c r="BS21" s="250">
        <f t="shared" si="2"/>
        <v>0.5372624257</v>
      </c>
      <c r="BT21" s="206"/>
      <c r="BU21" s="207">
        <f>IFERROR(__xludf.DUMMYFUNCTION("AVERAGE(ARRAYFORMULA(XLOOKUP(FILTER(INDIRECT(""'""&amp;BU$1&amp;""'!$C$4:$C$66""),INDIRECT(""'""&amp;BU$1&amp;""'!$D$4:$D$66"")=BU$2),$F$3:$BP$3,$F21:$BP21)))"),-0.7891251271428572)</f>
        <v>-0.7891251271</v>
      </c>
      <c r="BV21" s="207">
        <f>IFERROR(__xludf.DUMMYFUNCTION("IF(OR(BU21&gt;$BR21+$BS21*$BS$2,BU21&lt;$BR21-$BS21*$BS$2),AVEDEV(ARRAYFORMULA(XLOOKUP(FILTER(INDIRECT(""'""&amp;BU$1&amp;""'!$C$4:$C$66""),INDIRECT(""'""&amp;BU$1&amp;""'!$D$4:$D$66"")=BU$2),$F$3:$BP$3,$F21:$BP21))),"""")"),0.8132251118367347)</f>
        <v>0.8132251118</v>
      </c>
      <c r="BW21" s="207">
        <f>IFERROR(__xludf.DUMMYFUNCTION("AVERAGE(ARRAYFORMULA(XLOOKUP(FILTER(INDIRECT(""'""&amp;BW$1&amp;""'!$C$4:$C$66""),INDIRECT(""'""&amp;BW$1&amp;""'!$D$4:$D$66"")=BW$2),$F$3:$BP$3,$F21:$BP21)))"),0.06385167857142857)</f>
        <v>0.06385167857</v>
      </c>
      <c r="BX21" s="207" t="str">
        <f>IFERROR(__xludf.DUMMYFUNCTION("IF(OR(BW21&gt;$BR21+$BS21*$BS$2,BW21&lt;$BR21-$BS21*$BS$2),AVEDEV(ARRAYFORMULA(XLOOKUP(FILTER(INDIRECT(""'""&amp;BW$1&amp;""'!$C$4:$C$66""),INDIRECT(""'""&amp;BW$1&amp;""'!$D$4:$D$66"")=BW$2),$F$3:$BP$3,$F21:$BP21))),"""")"),"")</f>
        <v/>
      </c>
      <c r="BY21" s="207">
        <f>IFERROR(__xludf.DUMMYFUNCTION("AVERAGE(ARRAYFORMULA(XLOOKUP(FILTER(INDIRECT(""'""&amp;BY$1&amp;""'!$C$4:$C$66""),INDIRECT(""'""&amp;BY$1&amp;""'!$D$4:$D$66"")=BY$2),$F$3:$BP$3,$F21:$BP21)))"),-0.2253873645454546)</f>
        <v>-0.2253873645</v>
      </c>
      <c r="BZ21" s="207" t="str">
        <f>IFERROR(__xludf.DUMMYFUNCTION("IF(OR(BY21&gt;$BR21+$BS21*$BS$2,BY21&lt;$BR21-$BS21*$BS$2),AVEDEV(ARRAYFORMULA(XLOOKUP(FILTER(INDIRECT(""'""&amp;BY$1&amp;""'!$C$4:$C$66""),INDIRECT(""'""&amp;BY$1&amp;""'!$D$4:$D$66"")=BY$2),$F$3:$BP$3,$F21:$BP21))),"""")"),"")</f>
        <v/>
      </c>
      <c r="CA21" s="209"/>
      <c r="CB21" s="207">
        <f>IFERROR(__xludf.DUMMYFUNCTION("AVERAGE(ARRAYFORMULA(XLOOKUP(FILTER(INDIRECT(""'""&amp;CB$1&amp;""'!$C$4:$C$66""),INDIRECT(""'""&amp;CB$1&amp;""'!$D$4:$D$66"")=CB$2),$F$3:$BP$3,$F21:$BP21)))"),0.059275882500000016)</f>
        <v>0.0592758825</v>
      </c>
      <c r="CC21" s="207" t="str">
        <f>IFERROR(__xludf.DUMMYFUNCTION("IF(OR(CB21&gt;$BR21+$BS21*$BS$2,CB21&lt;$BR21-$BS21*$BS$2),AVEDEV(ARRAYFORMULA(XLOOKUP(FILTER(INDIRECT(""'""&amp;CB$1&amp;""'!$C$4:$C$66""),INDIRECT(""'""&amp;CB$1&amp;""'!$D$4:$D$66"")=CB$2),$F$3:$BP$3,$F21:$BP21))),"""")"),"")</f>
        <v/>
      </c>
      <c r="CD21" s="207">
        <f>IFERROR(__xludf.DUMMYFUNCTION("AVERAGE(ARRAYFORMULA(XLOOKUP(FILTER(INDIRECT(""'""&amp;CD$1&amp;""'!$C$4:$C$66""),INDIRECT(""'""&amp;CD$1&amp;""'!$D$4:$D$66"")=CD$2),$F$3:$BP$3,$F21:$BP21)))"),-0.17094863516129039)</f>
        <v>-0.1709486352</v>
      </c>
      <c r="CE21" s="207" t="str">
        <f>IFERROR(__xludf.DUMMYFUNCTION("IF(OR(CD21&gt;$BR21+$BS21*$BS$2,CD21&lt;$BR21-$BS21*$BS$2),AVEDEV(ARRAYFORMULA(XLOOKUP(FILTER(INDIRECT(""'""&amp;CD$1&amp;""'!$C$4:$C$66""),INDIRECT(""'""&amp;CD$1&amp;""'!$D$4:$D$66"")=CD$2),$F$3:$BP$3,$F21:$BP21))),"""")"),"")</f>
        <v/>
      </c>
      <c r="CF21" s="207">
        <f>IFERROR(__xludf.DUMMYFUNCTION("AVERAGE(ARRAYFORMULA(XLOOKUP(FILTER(INDIRECT(""'""&amp;CF$1&amp;""'!$C$4:$C$66""),INDIRECT(""'""&amp;CF$1&amp;""'!$D$4:$D$66"")=CF$2),$F$3:$BP$3,$F21:$BP21)))"),-0.036807233999999994)</f>
        <v>-0.036807234</v>
      </c>
      <c r="CG21" s="207" t="str">
        <f>IFERROR(__xludf.DUMMYFUNCTION("IF(OR(CF21&gt;$BR21+$BS21*$BS$2,CF21&lt;$BR21-$BS21*$BS$2),AVEDEV(ARRAYFORMULA(XLOOKUP(FILTER(INDIRECT(""'""&amp;CF$1&amp;""'!$C$4:$C$66""),INDIRECT(""'""&amp;CF$1&amp;""'!$D$4:$D$66"")=CF$2),$F$3:$BP$3,$F21:$BP21))),"""")"),"")</f>
        <v/>
      </c>
      <c r="CH21" s="206"/>
      <c r="CI21" s="251">
        <f>IFERROR(__xludf.DUMMYFUNCTION("AVERAGE(ARRAYFORMULA(XLOOKUP(FILTER(INDIRECT(""'""&amp;CI$1&amp;""'!$C$4:$C$66""),INDIRECT(""'""&amp;CI$1&amp;""'!$D$4:$D$66"")=CI$2),$F$3:$BP$3,$F21:$BP21)))"),-0.23513419000000002)</f>
        <v>-0.23513419</v>
      </c>
      <c r="CJ21" s="207" t="str">
        <f>IFERROR(__xludf.DUMMYFUNCTION("IF(OR(CI21&gt;$BR21+$BS21*$BS$2,CI21&lt;$BR21-$BS21*$BS$2),AVEDEV(ARRAYFORMULA(XLOOKUP(FILTER(INDIRECT(""'""&amp;CI$1&amp;""'!$C$4:$C$66""),INDIRECT(""'""&amp;CI$1&amp;""'!$D$4:$D$66"")=CI$2),$F$3:$BP$3,$F21:$BP21))),"""")"),"")</f>
        <v/>
      </c>
      <c r="CK21" s="251">
        <f>IFERROR(__xludf.DUMMYFUNCTION("AVERAGE(ARRAYFORMULA(XLOOKUP(FILTER(INDIRECT(""'""&amp;CK$1&amp;""'!$C$4:$C$66""),INDIRECT(""'""&amp;CK$1&amp;""'!$D$4:$D$66"")=CK$2),$F$3:$BP$3,$F21:$BP21)))"),-5.451789743589747E-4)</f>
        <v>-0.0005451789744</v>
      </c>
      <c r="CL21" s="207" t="str">
        <f>IFERROR(__xludf.DUMMYFUNCTION("IF(OR(CK21&gt;$BR21+$BS21*$BS$2,CK21&lt;$BR21-$BS21*$BS$2),AVEDEV(ARRAYFORMULA(XLOOKUP(FILTER(INDIRECT(""'""&amp;CK$1&amp;""'!$C$4:$C$66""),INDIRECT(""'""&amp;CK$1&amp;""'!$D$4:$D$66"")=CK$2),$F$3:$BP$3,$F21:$BP21))),"""")"),"")</f>
        <v/>
      </c>
      <c r="CM21" s="251">
        <f>IFERROR(__xludf.DUMMYFUNCTION("AVERAGE(ARRAYFORMULA(XLOOKUP(FILTER(INDIRECT(""'""&amp;CM$1&amp;""'!$C$4:$C$66""),INDIRECT(""'""&amp;CM$1&amp;""'!$D$4:$D$66"")=CM$2),$F$3:$BP$3,$F21:$BP21)))"),-0.036807233999999994)</f>
        <v>-0.036807234</v>
      </c>
      <c r="CN21" s="207" t="str">
        <f>IFERROR(__xludf.DUMMYFUNCTION("IF(OR(CM21&gt;$BR21+$BS21*$BS$2,CM21&lt;$BR21-$BS21*$BS$2),AVEDEV(ARRAYFORMULA(XLOOKUP(FILTER(INDIRECT(""'""&amp;CM$1&amp;""'!$C$4:$C$66""),INDIRECT(""'""&amp;CM$1&amp;""'!$D$4:$D$66"")=CM$2),$F$3:$BP$3,$F21:$BP21))),"""")"),"")</f>
        <v/>
      </c>
      <c r="CO21" s="252"/>
      <c r="CP21" s="251">
        <f>IFERROR(__xludf.DUMMYFUNCTION("AVERAGE(ARRAYFORMULA(XLOOKUP(FILTER(INDIRECT(""'""&amp;CP$1&amp;""'!$C$4:$C$66""),INDIRECT(""'""&amp;CP$1&amp;""'!$D$4:$D$66"")=CP$2),$F$3:$BP$3,$F21:$BP21)))"),0.246825675)</f>
        <v>0.246825675</v>
      </c>
      <c r="CQ21" s="207" t="str">
        <f>IFERROR(__xludf.DUMMYFUNCTION("IF(OR(CP21&gt;$BR21+$BS21*$BS$2,CP21&lt;$BR21-$BS21*$BS$2),AVEDEV(ARRAYFORMULA(XLOOKUP(FILTER(INDIRECT(""'""&amp;CP$1&amp;""'!$C$4:$C$66""),INDIRECT(""'""&amp;CP$1&amp;""'!$D$4:$D$66"")=CP$2),$F$3:$BP$3,$F21:$BP21))),"""")"),"")</f>
        <v/>
      </c>
      <c r="CR21" s="251">
        <f>IFERROR(__xludf.DUMMYFUNCTION("AVERAGE(ARRAYFORMULA(XLOOKUP(FILTER(INDIRECT(""'""&amp;CR$1&amp;""'!$C$4:$C$66""),INDIRECT(""'""&amp;CR$1&amp;""'!$D$4:$D$66"")=CR$2),$F$3:$BP$3,$F21:$BP21)))"),-0.29851670222222226)</f>
        <v>-0.2985167022</v>
      </c>
      <c r="CS21" s="207" t="str">
        <f>IFERROR(__xludf.DUMMYFUNCTION("IF(OR(CR21&gt;$BR21+$BS21*$BS$2,CR21&lt;$BR21-$BS21*$BS$2),AVEDEV(ARRAYFORMULA(XLOOKUP(FILTER(INDIRECT(""'""&amp;CR$1&amp;""'!$C$4:$C$66""),INDIRECT(""'""&amp;CR$1&amp;""'!$D$4:$D$66"")=CR$2),$F$3:$BP$3,$F21:$BP21))),"""")"),"")</f>
        <v/>
      </c>
      <c r="CT21" s="251">
        <f>IFERROR(__xludf.DUMMYFUNCTION("AVERAGE(ARRAYFORMULA(XLOOKUP(FILTER(INDIRECT(""'""&amp;CT$1&amp;""'!$C$4:$C$66""),INDIRECT(""'""&amp;CT$1&amp;""'!$D$4:$D$66"")=CT$2),$F$3:$BP$3,$F21:$BP21)))"),-0.09388764454545453)</f>
        <v>-0.09388764455</v>
      </c>
      <c r="CU21" s="207" t="str">
        <f>IFERROR(__xludf.DUMMYFUNCTION("IF(OR(CT21&gt;$BR21+$BS21*$BS$2,CT21&lt;$BR21-$BS21*$BS$2),AVEDEV(ARRAYFORMULA(XLOOKUP(FILTER(INDIRECT(""'""&amp;CT$1&amp;""'!$C$4:$C$66""),INDIRECT(""'""&amp;CT$1&amp;""'!$D$4:$D$66"")=CT$2),$F$3:$BP$3,$F21:$BP21))),"""")"),"")</f>
        <v/>
      </c>
      <c r="CV21" s="251">
        <f>IFERROR(__xludf.DUMMYFUNCTION("AVERAGE(ARRAYFORMULA(XLOOKUP(FILTER(INDIRECT(""'""&amp;CV$1&amp;""'!$C$4:$C$66""),INDIRECT(""'""&amp;CV$1&amp;""'!$D$4:$D$66"")=CV$2),$F$3:$BP$3,$F21:$BP21)))"),0.509410945)</f>
        <v>0.509410945</v>
      </c>
      <c r="CW21" s="207">
        <f>IFERROR(__xludf.DUMMYFUNCTION("IF(OR(CV21&gt;$BR21+$BS21*$BS$2,CV21&lt;$BR21-$BS21*$BS$2),AVEDEV(ARRAYFORMULA(XLOOKUP(FILTER(INDIRECT(""'""&amp;CV$1&amp;""'!$C$4:$C$66""),INDIRECT(""'""&amp;CV$1&amp;""'!$D$4:$D$66"")=CV$2),$F$3:$BP$3,$F21:$BP21))),"""")"),0.004356914999999961)</f>
        <v>0.004356915</v>
      </c>
      <c r="CX21" s="251">
        <f>IFERROR(__xludf.DUMMYFUNCTION("AVERAGE(ARRAYFORMULA(XLOOKUP(FILTER(INDIRECT(""'""&amp;CX$1&amp;""'!$C$4:$C$66""),INDIRECT(""'""&amp;CX$1&amp;""'!$D$4:$D$66"")=CX$2),$F$3:$BP$3,$F21:$BP21)))"),-0.12082359214285712)</f>
        <v>-0.1208235921</v>
      </c>
      <c r="CY21" s="207" t="str">
        <f>IFERROR(__xludf.DUMMYFUNCTION("IF(OR(CX21&gt;$BR21+$BS21*$BS$2,CX21&lt;$BR21-$BS21*$BS$2),AVEDEV(ARRAYFORMULA(XLOOKUP(FILTER(INDIRECT(""'""&amp;CX$1&amp;""'!$C$4:$C$66""),INDIRECT(""'""&amp;CX$1&amp;""'!$D$4:$D$66"")=CX$2),$F$3:$BP$3,$F21:$BP21))),"""")"),"")</f>
        <v/>
      </c>
      <c r="CZ21" s="252"/>
      <c r="DA21" s="251">
        <f>IFERROR(__xludf.DUMMYFUNCTION("AVERAGE(ARRAYFORMULA(XLOOKUP(FILTER(INDIRECT(""'""&amp;DA$1&amp;""'!$C$4:$C$66""),INDIRECT(""'""&amp;DA$1&amp;""'!$D$4:$D$66"")=DA$2),$F$3:$BP$3,$F21:$BP21)))"),-0.029034509333333333)</f>
        <v>-0.02903450933</v>
      </c>
      <c r="DB21" s="207" t="str">
        <f>IFERROR(__xludf.DUMMYFUNCTION("IF(OR(DA21&gt;$BR21+$BS21*$BS$2,DA21&lt;$BR21-$BS21*$BS$2),AVEDEV(ARRAYFORMULA(XLOOKUP(FILTER(INDIRECT(""'""&amp;DA$1&amp;""'!$C$4:$C$66""),INDIRECT(""'""&amp;DA$1&amp;""'!$D$4:$D$66"")=DA$2),$F$3:$BP$3,$F21:$BP21))),"""")"),"")</f>
        <v/>
      </c>
      <c r="DC21" s="251">
        <f>IFERROR(__xludf.DUMMYFUNCTION("AVERAGE(ARRAYFORMULA(XLOOKUP(FILTER(INDIRECT(""'""&amp;DC$1&amp;""'!$C$4:$C$66""),INDIRECT(""'""&amp;DC$1&amp;""'!$D$4:$D$66"")=DC$2),$F$3:$BP$3,$F21:$BP21)))"),-0.3892568066666667)</f>
        <v>-0.3892568067</v>
      </c>
      <c r="DD21" s="207" t="str">
        <f>IFERROR(__xludf.DUMMYFUNCTION("IF(OR(DC21&gt;$BR21+$BS21*$BS$2,DC21&lt;$BR21-$BS21*$BS$2),AVEDEV(ARRAYFORMULA(XLOOKUP(FILTER(INDIRECT(""'""&amp;DC$1&amp;""'!$C$4:$C$66""),INDIRECT(""'""&amp;DC$1&amp;""'!$D$4:$D$66"")=DC$2),$F$3:$BP$3,$F21:$BP21))),"""")"),"")</f>
        <v/>
      </c>
      <c r="DE21" s="251">
        <f>IFERROR(__xludf.DUMMYFUNCTION("AVERAGE(ARRAYFORMULA(XLOOKUP(FILTER(INDIRECT(""'""&amp;DE$1&amp;""'!$C$4:$C$66""),INDIRECT(""'""&amp;DE$1&amp;""'!$D$4:$D$66"")=DE$2),$F$3:$BP$3,$F21:$BP21)))"),-0.07345765749999998)</f>
        <v>-0.0734576575</v>
      </c>
      <c r="DF21" s="207" t="str">
        <f>IFERROR(__xludf.DUMMYFUNCTION("IF(OR(DE21&gt;$BR21+$BS21*$BS$2,DE21&lt;$BR21-$BS21*$BS$2),AVEDEV(ARRAYFORMULA(XLOOKUP(FILTER(INDIRECT(""'""&amp;DE$1&amp;""'!$C$4:$C$66""),INDIRECT(""'""&amp;DE$1&amp;""'!$D$4:$D$66"")=DE$2),$F$3:$BP$3,$F21:$BP21))),"""")"),"")</f>
        <v/>
      </c>
      <c r="DG21" s="251">
        <f>IFERROR(__xludf.DUMMYFUNCTION("AVERAGE(ARRAYFORMULA(XLOOKUP(FILTER(INDIRECT(""'""&amp;DG$1&amp;""'!$C$4:$C$66""),INDIRECT(""'""&amp;DG$1&amp;""'!$D$4:$D$66"")=DG$2),$F$3:$BP$3,$F21:$BP21)))"),0.15785601222222223)</f>
        <v>0.1578560122</v>
      </c>
      <c r="DH21" s="207" t="str">
        <f>IFERROR(__xludf.DUMMYFUNCTION("IF(OR(DG21&gt;$BR21+$BS21*$BS$2,DG21&lt;$BR21-$BS21*$BS$2),AVEDEV(ARRAYFORMULA(XLOOKUP(FILTER(INDIRECT(""'""&amp;DG$1&amp;""'!$C$4:$C$66""),INDIRECT(""'""&amp;DG$1&amp;""'!$D$4:$D$66"")=DG$2),$F$3:$BP$3,$F21:$BP21))),"""")"),"")</f>
        <v/>
      </c>
      <c r="DI21" s="252"/>
    </row>
    <row r="22">
      <c r="A22" s="2"/>
      <c r="B22" s="204" t="s">
        <v>442</v>
      </c>
      <c r="C22" s="204" t="s">
        <v>462</v>
      </c>
      <c r="D22" s="205" t="b">
        <f>VLOOKUP(C22,'Feature Set List'!A19:C246,2,0)</f>
        <v>1</v>
      </c>
      <c r="E22" s="205" t="b">
        <f>VLOOKUP(C22,'Feature Set List'!A19:C246,3,0)</f>
        <v>1</v>
      </c>
      <c r="F22" s="205">
        <v>-0.25</v>
      </c>
      <c r="G22" s="205">
        <v>-0.375</v>
      </c>
      <c r="H22" s="205">
        <v>3.625</v>
      </c>
      <c r="I22" s="205">
        <v>-0.5</v>
      </c>
      <c r="J22" s="205">
        <v>-0.625</v>
      </c>
      <c r="K22" s="205">
        <v>0.0</v>
      </c>
      <c r="L22" s="205">
        <v>0.625</v>
      </c>
      <c r="M22" s="205">
        <v>2.125</v>
      </c>
      <c r="N22" s="205">
        <v>0.625</v>
      </c>
      <c r="O22" s="205">
        <v>-0.625</v>
      </c>
      <c r="P22" s="205">
        <v>0.625</v>
      </c>
      <c r="Q22" s="205">
        <v>-0.25</v>
      </c>
      <c r="R22" s="205">
        <v>0.375</v>
      </c>
      <c r="S22" s="205">
        <v>-0.625</v>
      </c>
      <c r="T22" s="205">
        <v>-0.25</v>
      </c>
      <c r="U22" s="205">
        <v>-0.375</v>
      </c>
      <c r="V22" s="205">
        <v>0.625</v>
      </c>
      <c r="W22" s="205">
        <v>0.625</v>
      </c>
      <c r="X22" s="205">
        <v>-0.25</v>
      </c>
      <c r="Y22" s="205">
        <v>0.0</v>
      </c>
      <c r="Z22" s="205">
        <v>4.125</v>
      </c>
      <c r="AA22" s="205">
        <v>0.0</v>
      </c>
      <c r="AB22" s="205">
        <v>0.875</v>
      </c>
      <c r="AC22" s="205">
        <v>0.0</v>
      </c>
      <c r="AD22" s="205">
        <v>-0.25</v>
      </c>
      <c r="AE22" s="205">
        <v>-0.625</v>
      </c>
      <c r="AF22" s="205">
        <v>-0.75</v>
      </c>
      <c r="AG22" s="205">
        <v>0.375</v>
      </c>
      <c r="AH22" s="205">
        <v>-0.75</v>
      </c>
      <c r="AI22" s="205">
        <v>1.75</v>
      </c>
      <c r="AJ22" s="205">
        <v>-0.25</v>
      </c>
      <c r="AK22" s="205">
        <v>0.375</v>
      </c>
      <c r="AL22" s="205">
        <v>2.5</v>
      </c>
      <c r="AM22" s="205">
        <v>1.5</v>
      </c>
      <c r="AN22" s="205">
        <v>0.0</v>
      </c>
      <c r="AO22" s="205">
        <v>-0.375</v>
      </c>
      <c r="AP22" s="205">
        <v>-0.25</v>
      </c>
      <c r="AQ22" s="205">
        <v>-0.5</v>
      </c>
      <c r="AR22" s="205">
        <v>0.0</v>
      </c>
      <c r="AS22" s="205">
        <v>0.625</v>
      </c>
      <c r="AT22" s="205">
        <v>-0.25</v>
      </c>
      <c r="AU22" s="205">
        <v>0.625</v>
      </c>
      <c r="AV22" s="205">
        <v>-0.5</v>
      </c>
      <c r="AW22" s="205">
        <v>0.0</v>
      </c>
      <c r="AX22" s="205">
        <v>-0.375</v>
      </c>
      <c r="AY22" s="205">
        <v>0.0</v>
      </c>
      <c r="AZ22" s="205">
        <v>-0.25</v>
      </c>
      <c r="BA22" s="205">
        <v>0.625</v>
      </c>
      <c r="BB22" s="205">
        <v>1.0</v>
      </c>
      <c r="BC22" s="205">
        <v>-0.75</v>
      </c>
      <c r="BD22" s="205">
        <v>0.625</v>
      </c>
      <c r="BE22" s="205">
        <v>0.0</v>
      </c>
      <c r="BF22" s="205">
        <v>-0.625</v>
      </c>
      <c r="BG22" s="205">
        <v>0.0</v>
      </c>
      <c r="BH22" s="205">
        <v>0.625</v>
      </c>
      <c r="BI22" s="205">
        <v>0.625</v>
      </c>
      <c r="BJ22" s="205">
        <v>0.0</v>
      </c>
      <c r="BK22" s="205">
        <v>3.625</v>
      </c>
      <c r="BL22" s="205">
        <v>-0.5</v>
      </c>
      <c r="BM22" s="205">
        <v>0.625</v>
      </c>
      <c r="BN22" s="205">
        <v>-0.5</v>
      </c>
      <c r="BO22" s="205">
        <v>2.125</v>
      </c>
      <c r="BP22" s="205">
        <v>-0.25</v>
      </c>
      <c r="BQ22" s="206"/>
      <c r="BR22" s="250">
        <f t="shared" si="1"/>
        <v>0.3174603175</v>
      </c>
      <c r="BS22" s="250">
        <f t="shared" si="2"/>
        <v>0.759952129</v>
      </c>
      <c r="BT22" s="206"/>
      <c r="BU22" s="207">
        <f>IFERROR(__xludf.DUMMYFUNCTION("AVERAGE(ARRAYFORMULA(XLOOKUP(FILTER(INDIRECT(""'""&amp;BU$1&amp;""'!$C$4:$C$66""),INDIRECT(""'""&amp;BU$1&amp;""'!$D$4:$D$66"")=BU$2),$F$3:$BP$3,$F22:$BP22)))"),0.6964285714285714)</f>
        <v>0.6964285714</v>
      </c>
      <c r="BV22" s="207" t="str">
        <f>IFERROR(__xludf.DUMMYFUNCTION("IF(OR(BU22&gt;$BR22+$BS22*$BS$2,BU22&lt;$BR22-$BS22*$BS$2),AVEDEV(ARRAYFORMULA(XLOOKUP(FILTER(INDIRECT(""'""&amp;BU$1&amp;""'!$C$4:$C$66""),INDIRECT(""'""&amp;BU$1&amp;""'!$D$4:$D$66"")=BU$2),$F$3:$BP$3,$F22:$BP22))),"""")"),"")</f>
        <v/>
      </c>
      <c r="BW22" s="207">
        <f>IFERROR(__xludf.DUMMYFUNCTION("AVERAGE(ARRAYFORMULA(XLOOKUP(FILTER(INDIRECT(""'""&amp;BW$1&amp;""'!$C$4:$C$66""),INDIRECT(""'""&amp;BW$1&amp;""'!$D$4:$D$66"")=BW$2),$F$3:$BP$3,$F22:$BP22)))"),0.34226190476190477)</f>
        <v>0.3422619048</v>
      </c>
      <c r="BX22" s="207" t="str">
        <f>IFERROR(__xludf.DUMMYFUNCTION("IF(OR(BW22&gt;$BR22+$BS22*$BS$2,BW22&lt;$BR22-$BS22*$BS$2),AVEDEV(ARRAYFORMULA(XLOOKUP(FILTER(INDIRECT(""'""&amp;BW$1&amp;""'!$C$4:$C$66""),INDIRECT(""'""&amp;BW$1&amp;""'!$D$4:$D$66"")=BW$2),$F$3:$BP$3,$F22:$BP22))),"""")"),"")</f>
        <v/>
      </c>
      <c r="BY22" s="207">
        <f>IFERROR(__xludf.DUMMYFUNCTION("AVERAGE(ARRAYFORMULA(XLOOKUP(FILTER(INDIRECT(""'""&amp;BY$1&amp;""'!$C$4:$C$66""),INDIRECT(""'""&amp;BY$1&amp;""'!$D$4:$D$66"")=BY$2),$F$3:$BP$3,$F22:$BP22)))"),-0.17045454545454544)</f>
        <v>-0.1704545455</v>
      </c>
      <c r="BZ22" s="207" t="str">
        <f>IFERROR(__xludf.DUMMYFUNCTION("IF(OR(BY22&gt;$BR22+$BS22*$BS$2,BY22&lt;$BR22-$BS22*$BS$2),AVEDEV(ARRAYFORMULA(XLOOKUP(FILTER(INDIRECT(""'""&amp;BY$1&amp;""'!$C$4:$C$66""),INDIRECT(""'""&amp;BY$1&amp;""'!$D$4:$D$66"")=BY$2),$F$3:$BP$3,$F22:$BP22))),"""")"),"")</f>
        <v/>
      </c>
      <c r="CA22" s="209"/>
      <c r="CB22" s="207">
        <f>IFERROR(__xludf.DUMMYFUNCTION("AVERAGE(ARRAYFORMULA(XLOOKUP(FILTER(INDIRECT(""'""&amp;CB$1&amp;""'!$C$4:$C$66""),INDIRECT(""'""&amp;CB$1&amp;""'!$D$4:$D$66"")=CB$2),$F$3:$BP$3,$F22:$BP22)))"),-0.1171875)</f>
        <v>-0.1171875</v>
      </c>
      <c r="CC22" s="207" t="str">
        <f>IFERROR(__xludf.DUMMYFUNCTION("IF(OR(CB22&gt;$BR22+$BS22*$BS$2,CB22&lt;$BR22-$BS22*$BS$2),AVEDEV(ARRAYFORMULA(XLOOKUP(FILTER(INDIRECT(""'""&amp;CB$1&amp;""'!$C$4:$C$66""),INDIRECT(""'""&amp;CB$1&amp;""'!$D$4:$D$66"")=CB$2),$F$3:$BP$3,$F22:$BP22))),"""")"),"")</f>
        <v/>
      </c>
      <c r="CD22" s="207">
        <f>IFERROR(__xludf.DUMMYFUNCTION("AVERAGE(ARRAYFORMULA(XLOOKUP(FILTER(INDIRECT(""'""&amp;CD$1&amp;""'!$C$4:$C$66""),INDIRECT(""'""&amp;CD$1&amp;""'!$D$4:$D$66"")=CD$2),$F$3:$BP$3,$F22:$BP22)))"),0.6088709677419355)</f>
        <v>0.6088709677</v>
      </c>
      <c r="CE22" s="207" t="str">
        <f>IFERROR(__xludf.DUMMYFUNCTION("IF(OR(CD22&gt;$BR22+$BS22*$BS$2,CD22&lt;$BR22-$BS22*$BS$2),AVEDEV(ARRAYFORMULA(XLOOKUP(FILTER(INDIRECT(""'""&amp;CD$1&amp;""'!$C$4:$C$66""),INDIRECT(""'""&amp;CD$1&amp;""'!$D$4:$D$66"")=CD$2),$F$3:$BP$3,$F22:$BP22))),"""")"),"")</f>
        <v/>
      </c>
      <c r="CF22" s="207">
        <f>IFERROR(__xludf.DUMMYFUNCTION("AVERAGE(ARRAYFORMULA(XLOOKUP(FILTER(INDIRECT(""'""&amp;CF$1&amp;""'!$C$4:$C$66""),INDIRECT(""'""&amp;CF$1&amp;""'!$D$4:$D$66"")=CF$2),$F$3:$BP$3,$F22:$BP22)))"),-0.425)</f>
        <v>-0.425</v>
      </c>
      <c r="CG22" s="207" t="str">
        <f>IFERROR(__xludf.DUMMYFUNCTION("IF(OR(CF22&gt;$BR22+$BS22*$BS$2,CF22&lt;$BR22-$BS22*$BS$2),AVEDEV(ARRAYFORMULA(XLOOKUP(FILTER(INDIRECT(""'""&amp;CF$1&amp;""'!$C$4:$C$66""),INDIRECT(""'""&amp;CF$1&amp;""'!$D$4:$D$66"")=CF$2),$F$3:$BP$3,$F22:$BP22))),"""")"),"")</f>
        <v/>
      </c>
      <c r="CH22" s="206"/>
      <c r="CI22" s="251">
        <f>IFERROR(__xludf.DUMMYFUNCTION("AVERAGE(ARRAYFORMULA(XLOOKUP(FILTER(INDIRECT(""'""&amp;CI$1&amp;""'!$C$4:$C$66""),INDIRECT(""'""&amp;CI$1&amp;""'!$D$4:$D$66"")=CI$2),$F$3:$BP$3,$F22:$BP22)))"),0.5333333333333333)</f>
        <v>0.5333333333</v>
      </c>
      <c r="CJ22" s="207" t="str">
        <f>IFERROR(__xludf.DUMMYFUNCTION("IF(OR(CI22&gt;$BR22+$BS22*$BS$2,CI22&lt;$BR22-$BS22*$BS$2),AVEDEV(ARRAYFORMULA(XLOOKUP(FILTER(INDIRECT(""'""&amp;CI$1&amp;""'!$C$4:$C$66""),INDIRECT(""'""&amp;CI$1&amp;""'!$D$4:$D$66"")=CI$2),$F$3:$BP$3,$F22:$BP22))),"""")"),"")</f>
        <v/>
      </c>
      <c r="CK22" s="251">
        <f>IFERROR(__xludf.DUMMYFUNCTION("AVERAGE(ARRAYFORMULA(XLOOKUP(FILTER(INDIRECT(""'""&amp;CK$1&amp;""'!$C$4:$C$66""),INDIRECT(""'""&amp;CK$1&amp;""'!$D$4:$D$66"")=CK$2),$F$3:$BP$3,$F22:$BP22)))"),0.20192307692307693)</f>
        <v>0.2019230769</v>
      </c>
      <c r="CL22" s="207" t="str">
        <f>IFERROR(__xludf.DUMMYFUNCTION("IF(OR(CK22&gt;$BR22+$BS22*$BS$2,CK22&lt;$BR22-$BS22*$BS$2),AVEDEV(ARRAYFORMULA(XLOOKUP(FILTER(INDIRECT(""'""&amp;CK$1&amp;""'!$C$4:$C$66""),INDIRECT(""'""&amp;CK$1&amp;""'!$D$4:$D$66"")=CK$2),$F$3:$BP$3,$F22:$BP22))),"""")"),"")</f>
        <v/>
      </c>
      <c r="CM22" s="251">
        <f>IFERROR(__xludf.DUMMYFUNCTION("AVERAGE(ARRAYFORMULA(XLOOKUP(FILTER(INDIRECT(""'""&amp;CM$1&amp;""'!$C$4:$C$66""),INDIRECT(""'""&amp;CM$1&amp;""'!$D$4:$D$66"")=CM$2),$F$3:$BP$3,$F22:$BP22)))"),-0.425)</f>
        <v>-0.425</v>
      </c>
      <c r="CN22" s="207" t="str">
        <f>IFERROR(__xludf.DUMMYFUNCTION("IF(OR(CM22&gt;$BR22+$BS22*$BS$2,CM22&lt;$BR22-$BS22*$BS$2),AVEDEV(ARRAYFORMULA(XLOOKUP(FILTER(INDIRECT(""'""&amp;CM$1&amp;""'!$C$4:$C$66""),INDIRECT(""'""&amp;CM$1&amp;""'!$D$4:$D$66"")=CM$2),$F$3:$BP$3,$F22:$BP22))),"""")"),"")</f>
        <v/>
      </c>
      <c r="CO22" s="252"/>
      <c r="CP22" s="251">
        <f>IFERROR(__xludf.DUMMYFUNCTION("AVERAGE(ARRAYFORMULA(XLOOKUP(FILTER(INDIRECT(""'""&amp;CP$1&amp;""'!$C$4:$C$66""),INDIRECT(""'""&amp;CP$1&amp;""'!$D$4:$D$66"")=CP$2),$F$3:$BP$3,$F22:$BP22)))"),-0.13392857142857142)</f>
        <v>-0.1339285714</v>
      </c>
      <c r="CQ22" s="207" t="str">
        <f>IFERROR(__xludf.DUMMYFUNCTION("IF(OR(CP22&gt;$BR22+$BS22*$BS$2,CP22&lt;$BR22-$BS22*$BS$2),AVEDEV(ARRAYFORMULA(XLOOKUP(FILTER(INDIRECT(""'""&amp;CP$1&amp;""'!$C$4:$C$66""),INDIRECT(""'""&amp;CP$1&amp;""'!$D$4:$D$66"")=CP$2),$F$3:$BP$3,$F22:$BP22))),"""")"),"")</f>
        <v/>
      </c>
      <c r="CR22" s="251">
        <f>IFERROR(__xludf.DUMMYFUNCTION("AVERAGE(ARRAYFORMULA(XLOOKUP(FILTER(INDIRECT(""'""&amp;CR$1&amp;""'!$C$4:$C$66""),INDIRECT(""'""&amp;CR$1&amp;""'!$D$4:$D$66"")=CR$2),$F$3:$BP$3,$F22:$BP22)))"),-0.1527777777777778)</f>
        <v>-0.1527777778</v>
      </c>
      <c r="CS22" s="207" t="str">
        <f>IFERROR(__xludf.DUMMYFUNCTION("IF(OR(CR22&gt;$BR22+$BS22*$BS$2,CR22&lt;$BR22-$BS22*$BS$2),AVEDEV(ARRAYFORMULA(XLOOKUP(FILTER(INDIRECT(""'""&amp;CR$1&amp;""'!$C$4:$C$66""),INDIRECT(""'""&amp;CR$1&amp;""'!$D$4:$D$66"")=CR$2),$F$3:$BP$3,$F22:$BP22))),"""")"),"")</f>
        <v/>
      </c>
      <c r="CT22" s="251">
        <f>IFERROR(__xludf.DUMMYFUNCTION("AVERAGE(ARRAYFORMULA(XLOOKUP(FILTER(INDIRECT(""'""&amp;CT$1&amp;""'!$C$4:$C$66""),INDIRECT(""'""&amp;CT$1&amp;""'!$D$4:$D$66"")=CT$2),$F$3:$BP$3,$F22:$BP22)))"),0.7613636363636364)</f>
        <v>0.7613636364</v>
      </c>
      <c r="CU22" s="207" t="str">
        <f>IFERROR(__xludf.DUMMYFUNCTION("IF(OR(CT22&gt;$BR22+$BS22*$BS$2,CT22&lt;$BR22-$BS22*$BS$2),AVEDEV(ARRAYFORMULA(XLOOKUP(FILTER(INDIRECT(""'""&amp;CT$1&amp;""'!$C$4:$C$66""),INDIRECT(""'""&amp;CT$1&amp;""'!$D$4:$D$66"")=CT$2),$F$3:$BP$3,$F22:$BP22))),"""")"),"")</f>
        <v/>
      </c>
      <c r="CV22" s="251">
        <f>IFERROR(__xludf.DUMMYFUNCTION("AVERAGE(ARRAYFORMULA(XLOOKUP(FILTER(INDIRECT(""'""&amp;CV$1&amp;""'!$C$4:$C$66""),INDIRECT(""'""&amp;CV$1&amp;""'!$D$4:$D$66"")=CV$2),$F$3:$BP$3,$F22:$BP22)))"),0.0)</f>
        <v>0</v>
      </c>
      <c r="CW22" s="207" t="str">
        <f>IFERROR(__xludf.DUMMYFUNCTION("IF(OR(CV22&gt;$BR22+$BS22*$BS$2,CV22&lt;$BR22-$BS22*$BS$2),AVEDEV(ARRAYFORMULA(XLOOKUP(FILTER(INDIRECT(""'""&amp;CV$1&amp;""'!$C$4:$C$66""),INDIRECT(""'""&amp;CV$1&amp;""'!$D$4:$D$66"")=CV$2),$F$3:$BP$3,$F22:$BP22))),"""")"),"")</f>
        <v/>
      </c>
      <c r="CX22" s="251">
        <f>IFERROR(__xludf.DUMMYFUNCTION("AVERAGE(ARRAYFORMULA(XLOOKUP(FILTER(INDIRECT(""'""&amp;CX$1&amp;""'!$C$4:$C$66""),INDIRECT(""'""&amp;CX$1&amp;""'!$D$4:$D$66"")=CX$2),$F$3:$BP$3,$F22:$BP22)))"),0.6071428571428571)</f>
        <v>0.6071428571</v>
      </c>
      <c r="CY22" s="207" t="str">
        <f>IFERROR(__xludf.DUMMYFUNCTION("IF(OR(CX22&gt;$BR22+$BS22*$BS$2,CX22&lt;$BR22-$BS22*$BS$2),AVEDEV(ARRAYFORMULA(XLOOKUP(FILTER(INDIRECT(""'""&amp;CX$1&amp;""'!$C$4:$C$66""),INDIRECT(""'""&amp;CX$1&amp;""'!$D$4:$D$66"")=CX$2),$F$3:$BP$3,$F22:$BP22))),"""")"),"")</f>
        <v/>
      </c>
      <c r="CZ22" s="252"/>
      <c r="DA22" s="251">
        <f>IFERROR(__xludf.DUMMYFUNCTION("AVERAGE(ARRAYFORMULA(XLOOKUP(FILTER(INDIRECT(""'""&amp;DA$1&amp;""'!$C$4:$C$66""),INDIRECT(""'""&amp;DA$1&amp;""'!$D$4:$D$66"")=DA$2),$F$3:$BP$3,$F22:$BP22)))"),0.225)</f>
        <v>0.225</v>
      </c>
      <c r="DB22" s="207" t="str">
        <f>IFERROR(__xludf.DUMMYFUNCTION("IF(OR(DA22&gt;$BR22+$BS22*$BS$2,DA22&lt;$BR22-$BS22*$BS$2),AVEDEV(ARRAYFORMULA(XLOOKUP(FILTER(INDIRECT(""'""&amp;DA$1&amp;""'!$C$4:$C$66""),INDIRECT(""'""&amp;DA$1&amp;""'!$D$4:$D$66"")=DA$2),$F$3:$BP$3,$F22:$BP22))),"""")"),"")</f>
        <v/>
      </c>
      <c r="DC22" s="251">
        <f>IFERROR(__xludf.DUMMYFUNCTION("AVERAGE(ARRAYFORMULA(XLOOKUP(FILTER(INDIRECT(""'""&amp;DC$1&amp;""'!$C$4:$C$66""),INDIRECT(""'""&amp;DC$1&amp;""'!$D$4:$D$66"")=DC$2),$F$3:$BP$3,$F22:$BP22)))"),-0.041666666666666664)</f>
        <v>-0.04166666667</v>
      </c>
      <c r="DD22" s="207" t="str">
        <f>IFERROR(__xludf.DUMMYFUNCTION("IF(OR(DC22&gt;$BR22+$BS22*$BS$2,DC22&lt;$BR22-$BS22*$BS$2),AVEDEV(ARRAYFORMULA(XLOOKUP(FILTER(INDIRECT(""'""&amp;DC$1&amp;""'!$C$4:$C$66""),INDIRECT(""'""&amp;DC$1&amp;""'!$D$4:$D$66"")=DC$2),$F$3:$BP$3,$F22:$BP22))),"""")"),"")</f>
        <v/>
      </c>
      <c r="DE22" s="251">
        <f>IFERROR(__xludf.DUMMYFUNCTION("AVERAGE(ARRAYFORMULA(XLOOKUP(FILTER(INDIRECT(""'""&amp;DE$1&amp;""'!$C$4:$C$66""),INDIRECT(""'""&amp;DE$1&amp;""'!$D$4:$D$66"")=DE$2),$F$3:$BP$3,$F22:$BP22)))"),0.75)</f>
        <v>0.75</v>
      </c>
      <c r="DF22" s="207" t="str">
        <f>IFERROR(__xludf.DUMMYFUNCTION("IF(OR(DE22&gt;$BR22+$BS22*$BS$2,DE22&lt;$BR22-$BS22*$BS$2),AVEDEV(ARRAYFORMULA(XLOOKUP(FILTER(INDIRECT(""'""&amp;DE$1&amp;""'!$C$4:$C$66""),INDIRECT(""'""&amp;DE$1&amp;""'!$D$4:$D$66"")=DE$2),$F$3:$BP$3,$F22:$BP22))),"""")"),"")</f>
        <v/>
      </c>
      <c r="DG22" s="251">
        <f>IFERROR(__xludf.DUMMYFUNCTION("AVERAGE(ARRAYFORMULA(XLOOKUP(FILTER(INDIRECT(""'""&amp;DG$1&amp;""'!$C$4:$C$66""),INDIRECT(""'""&amp;DG$1&amp;""'!$D$4:$D$66"")=DG$2),$F$3:$BP$3,$F22:$BP22)))"),0.1388888888888889)</f>
        <v>0.1388888889</v>
      </c>
      <c r="DH22" s="207" t="str">
        <f>IFERROR(__xludf.DUMMYFUNCTION("IF(OR(DG22&gt;$BR22+$BS22*$BS$2,DG22&lt;$BR22-$BS22*$BS$2),AVEDEV(ARRAYFORMULA(XLOOKUP(FILTER(INDIRECT(""'""&amp;DG$1&amp;""'!$C$4:$C$66""),INDIRECT(""'""&amp;DG$1&amp;""'!$D$4:$D$66"")=DG$2),$F$3:$BP$3,$F22:$BP22))),"""")"),"")</f>
        <v/>
      </c>
      <c r="DI22" s="252"/>
    </row>
    <row r="23">
      <c r="A23" s="2"/>
      <c r="B23" s="204" t="s">
        <v>442</v>
      </c>
      <c r="C23" s="204" t="s">
        <v>463</v>
      </c>
      <c r="D23" s="205" t="b">
        <f>VLOOKUP(C23,'Feature Set List'!A20:C246,2,0)</f>
        <v>1</v>
      </c>
      <c r="E23" s="205" t="b">
        <f>VLOOKUP(C23,'Feature Set List'!A20:C246,3,0)</f>
        <v>1</v>
      </c>
      <c r="F23" s="205">
        <v>0.5</v>
      </c>
      <c r="G23" s="205">
        <v>-0.25</v>
      </c>
      <c r="H23" s="205">
        <v>-0.5</v>
      </c>
      <c r="I23" s="205">
        <v>-0.75</v>
      </c>
      <c r="J23" s="205">
        <v>-0.25</v>
      </c>
      <c r="K23" s="205">
        <v>0.5</v>
      </c>
      <c r="L23" s="205">
        <v>0.5</v>
      </c>
      <c r="M23" s="205">
        <v>-0.25</v>
      </c>
      <c r="N23" s="205">
        <v>0.5</v>
      </c>
      <c r="O23" s="205">
        <v>-0.75</v>
      </c>
      <c r="P23" s="205">
        <v>0.0</v>
      </c>
      <c r="Q23" s="205">
        <v>0.5</v>
      </c>
      <c r="R23" s="205">
        <v>-0.75</v>
      </c>
      <c r="S23" s="205">
        <v>0.0</v>
      </c>
      <c r="T23" s="205">
        <v>0.0</v>
      </c>
      <c r="U23" s="205">
        <v>-0.25</v>
      </c>
      <c r="V23" s="205">
        <v>0.0</v>
      </c>
      <c r="W23" s="205">
        <v>0.5</v>
      </c>
      <c r="X23" s="205">
        <v>-0.25</v>
      </c>
      <c r="Y23" s="205">
        <v>0.5</v>
      </c>
      <c r="Z23" s="205">
        <v>-0.75</v>
      </c>
      <c r="AA23" s="205">
        <v>0.5</v>
      </c>
      <c r="AB23" s="205">
        <v>-0.75</v>
      </c>
      <c r="AC23" s="205">
        <v>0.5</v>
      </c>
      <c r="AD23" s="205">
        <v>-0.25</v>
      </c>
      <c r="AE23" s="205">
        <v>0.0</v>
      </c>
      <c r="AF23" s="205">
        <v>0.0</v>
      </c>
      <c r="AG23" s="205">
        <v>-0.75</v>
      </c>
      <c r="AH23" s="205">
        <v>0.0</v>
      </c>
      <c r="AI23" s="205">
        <v>-0.25</v>
      </c>
      <c r="AJ23" s="205">
        <v>0.0</v>
      </c>
      <c r="AK23" s="205">
        <v>-0.5</v>
      </c>
      <c r="AL23" s="205">
        <v>-0.5</v>
      </c>
      <c r="AM23" s="205">
        <v>0.0</v>
      </c>
      <c r="AN23" s="205">
        <v>0.0</v>
      </c>
      <c r="AO23" s="205">
        <v>-0.25</v>
      </c>
      <c r="AP23" s="205">
        <v>0.0</v>
      </c>
      <c r="AQ23" s="205">
        <v>-0.75</v>
      </c>
      <c r="AR23" s="205">
        <v>0.5</v>
      </c>
      <c r="AS23" s="205">
        <v>1.0</v>
      </c>
      <c r="AT23" s="205">
        <v>0.0</v>
      </c>
      <c r="AU23" s="205">
        <v>0.0</v>
      </c>
      <c r="AV23" s="205">
        <v>-0.5</v>
      </c>
      <c r="AW23" s="205">
        <v>0.0</v>
      </c>
      <c r="AX23" s="205">
        <v>-0.25</v>
      </c>
      <c r="AY23" s="205">
        <v>0.5</v>
      </c>
      <c r="AZ23" s="205">
        <v>0.0</v>
      </c>
      <c r="BA23" s="205">
        <v>0.5</v>
      </c>
      <c r="BB23" s="205">
        <v>1.0</v>
      </c>
      <c r="BC23" s="205">
        <v>-1.0</v>
      </c>
      <c r="BD23" s="205">
        <v>-0.25</v>
      </c>
      <c r="BE23" s="205">
        <v>0.5</v>
      </c>
      <c r="BF23" s="205">
        <v>0.0</v>
      </c>
      <c r="BG23" s="205">
        <v>0.5</v>
      </c>
      <c r="BH23" s="205">
        <v>0.0</v>
      </c>
      <c r="BI23" s="205">
        <v>0.5</v>
      </c>
      <c r="BJ23" s="205">
        <v>0.0</v>
      </c>
      <c r="BK23" s="205">
        <v>-0.75</v>
      </c>
      <c r="BL23" s="205">
        <v>-0.5</v>
      </c>
      <c r="BM23" s="205">
        <v>-0.5</v>
      </c>
      <c r="BN23" s="205">
        <v>-0.5</v>
      </c>
      <c r="BO23" s="205">
        <v>-0.75</v>
      </c>
      <c r="BP23" s="205">
        <v>0.0</v>
      </c>
      <c r="BQ23" s="206"/>
      <c r="BR23" s="250">
        <f t="shared" si="1"/>
        <v>-0.06746031746</v>
      </c>
      <c r="BS23" s="250">
        <f t="shared" si="2"/>
        <v>0.3786848073</v>
      </c>
      <c r="BT23" s="206"/>
      <c r="BU23" s="207">
        <f>IFERROR(__xludf.DUMMYFUNCTION("AVERAGE(ARRAYFORMULA(XLOOKUP(FILTER(INDIRECT(""'""&amp;BU$1&amp;""'!$C$4:$C$66""),INDIRECT(""'""&amp;BU$1&amp;""'!$D$4:$D$66"")=BU$2),$F$3:$BP$3,$F23:$BP23)))"),-0.03571428571428571)</f>
        <v>-0.03571428571</v>
      </c>
      <c r="BV23" s="207" t="str">
        <f>IFERROR(__xludf.DUMMYFUNCTION("IF(OR(BU23&gt;$BR23+$BS23*$BS$2,BU23&lt;$BR23-$BS23*$BS$2),AVEDEV(ARRAYFORMULA(XLOOKUP(FILTER(INDIRECT(""'""&amp;BU$1&amp;""'!$C$4:$C$66""),INDIRECT(""'""&amp;BU$1&amp;""'!$D$4:$D$66"")=BU$2),$F$3:$BP$3,$F23:$BP23))),"""")"),"")</f>
        <v/>
      </c>
      <c r="BW23" s="207">
        <f>IFERROR(__xludf.DUMMYFUNCTION("AVERAGE(ARRAYFORMULA(XLOOKUP(FILTER(INDIRECT(""'""&amp;BW$1&amp;""'!$C$4:$C$66""),INDIRECT(""'""&amp;BW$1&amp;""'!$D$4:$D$66"")=BW$2),$F$3:$BP$3,$F23:$BP23)))"),-0.07142857142857142)</f>
        <v>-0.07142857143</v>
      </c>
      <c r="BX23" s="207" t="str">
        <f>IFERROR(__xludf.DUMMYFUNCTION("IF(OR(BW23&gt;$BR23+$BS23*$BS$2,BW23&lt;$BR23-$BS23*$BS$2),AVEDEV(ARRAYFORMULA(XLOOKUP(FILTER(INDIRECT(""'""&amp;BW$1&amp;""'!$C$4:$C$66""),INDIRECT(""'""&amp;BW$1&amp;""'!$D$4:$D$66"")=BW$2),$F$3:$BP$3,$F23:$BP23))),"""")"),"")</f>
        <v/>
      </c>
      <c r="BY23" s="207">
        <f>IFERROR(__xludf.DUMMYFUNCTION("AVERAGE(ARRAYFORMULA(XLOOKUP(FILTER(INDIRECT(""'""&amp;BY$1&amp;""'!$C$4:$C$66""),INDIRECT(""'""&amp;BY$1&amp;""'!$D$4:$D$66"")=BY$2),$F$3:$BP$3,$F23:$BP23)))"),0.045454545454545456)</f>
        <v>0.04545454545</v>
      </c>
      <c r="BZ23" s="207" t="str">
        <f>IFERROR(__xludf.DUMMYFUNCTION("IF(OR(BY23&gt;$BR23+$BS23*$BS$2,BY23&lt;$BR23-$BS23*$BS$2),AVEDEV(ARRAYFORMULA(XLOOKUP(FILTER(INDIRECT(""'""&amp;BY$1&amp;""'!$C$4:$C$66""),INDIRECT(""'""&amp;BY$1&amp;""'!$D$4:$D$66"")=BY$2),$F$3:$BP$3,$F23:$BP23))),"""")"),"")</f>
        <v/>
      </c>
      <c r="CA23" s="209"/>
      <c r="CB23" s="207">
        <f>IFERROR(__xludf.DUMMYFUNCTION("AVERAGE(ARRAYFORMULA(XLOOKUP(FILTER(INDIRECT(""'""&amp;CB$1&amp;""'!$C$4:$C$66""),INDIRECT(""'""&amp;CB$1&amp;""'!$D$4:$D$66"")=CB$2),$F$3:$BP$3,$F23:$BP23)))"),-0.046875)</f>
        <v>-0.046875</v>
      </c>
      <c r="CC23" s="207" t="str">
        <f>IFERROR(__xludf.DUMMYFUNCTION("IF(OR(CB23&gt;$BR23+$BS23*$BS$2,CB23&lt;$BR23-$BS23*$BS$2),AVEDEV(ARRAYFORMULA(XLOOKUP(FILTER(INDIRECT(""'""&amp;CB$1&amp;""'!$C$4:$C$66""),INDIRECT(""'""&amp;CB$1&amp;""'!$D$4:$D$66"")=CB$2),$F$3:$BP$3,$F23:$BP23))),"""")"),"")</f>
        <v/>
      </c>
      <c r="CD23" s="207">
        <f>IFERROR(__xludf.DUMMYFUNCTION("AVERAGE(ARRAYFORMULA(XLOOKUP(FILTER(INDIRECT(""'""&amp;CD$1&amp;""'!$C$4:$C$66""),INDIRECT(""'""&amp;CD$1&amp;""'!$D$4:$D$66"")=CD$2),$F$3:$BP$3,$F23:$BP23)))"),-0.008064516129032258)</f>
        <v>-0.008064516129</v>
      </c>
      <c r="CE23" s="207" t="str">
        <f>IFERROR(__xludf.DUMMYFUNCTION("IF(OR(CD23&gt;$BR23+$BS23*$BS$2,CD23&lt;$BR23-$BS23*$BS$2),AVEDEV(ARRAYFORMULA(XLOOKUP(FILTER(INDIRECT(""'""&amp;CD$1&amp;""'!$C$4:$C$66""),INDIRECT(""'""&amp;CD$1&amp;""'!$D$4:$D$66"")=CD$2),$F$3:$BP$3,$F23:$BP23))),"""")"),"")</f>
        <v/>
      </c>
      <c r="CF23" s="207">
        <f>IFERROR(__xludf.DUMMYFUNCTION("AVERAGE(ARRAYFORMULA(XLOOKUP(FILTER(INDIRECT(""'""&amp;CF$1&amp;""'!$C$4:$C$66""),INDIRECT(""'""&amp;CF$1&amp;""'!$D$4:$D$66"")=CF$2),$F$3:$BP$3,$F23:$BP23)))"),-0.05)</f>
        <v>-0.05</v>
      </c>
      <c r="CG23" s="207" t="str">
        <f>IFERROR(__xludf.DUMMYFUNCTION("IF(OR(CF23&gt;$BR23+$BS23*$BS$2,CF23&lt;$BR23-$BS23*$BS$2),AVEDEV(ARRAYFORMULA(XLOOKUP(FILTER(INDIRECT(""'""&amp;CF$1&amp;""'!$C$4:$C$66""),INDIRECT(""'""&amp;CF$1&amp;""'!$D$4:$D$66"")=CF$2),$F$3:$BP$3,$F23:$BP23))),"""")"),"")</f>
        <v/>
      </c>
      <c r="CH23" s="206"/>
      <c r="CI23" s="251">
        <f>IFERROR(__xludf.DUMMYFUNCTION("AVERAGE(ARRAYFORMULA(XLOOKUP(FILTER(INDIRECT(""'""&amp;CI$1&amp;""'!$C$4:$C$66""),INDIRECT(""'""&amp;CI$1&amp;""'!$D$4:$D$66"")=CI$2),$F$3:$BP$3,$F23:$BP23)))"),-0.08333333333333333)</f>
        <v>-0.08333333333</v>
      </c>
      <c r="CJ23" s="207" t="str">
        <f>IFERROR(__xludf.DUMMYFUNCTION("IF(OR(CI23&gt;$BR23+$BS23*$BS$2,CI23&lt;$BR23-$BS23*$BS$2),AVEDEV(ARRAYFORMULA(XLOOKUP(FILTER(INDIRECT(""'""&amp;CI$1&amp;""'!$C$4:$C$66""),INDIRECT(""'""&amp;CI$1&amp;""'!$D$4:$D$66"")=CI$2),$F$3:$BP$3,$F23:$BP23))),"""")"),"")</f>
        <v/>
      </c>
      <c r="CK23" s="251">
        <f>IFERROR(__xludf.DUMMYFUNCTION("AVERAGE(ARRAYFORMULA(XLOOKUP(FILTER(INDIRECT(""'""&amp;CK$1&amp;""'!$C$4:$C$66""),INDIRECT(""'""&amp;CK$1&amp;""'!$D$4:$D$66"")=CK$2),$F$3:$BP$3,$F23:$BP23)))"),-0.01282051282051282)</f>
        <v>-0.01282051282</v>
      </c>
      <c r="CL23" s="207" t="str">
        <f>IFERROR(__xludf.DUMMYFUNCTION("IF(OR(CK23&gt;$BR23+$BS23*$BS$2,CK23&lt;$BR23-$BS23*$BS$2),AVEDEV(ARRAYFORMULA(XLOOKUP(FILTER(INDIRECT(""'""&amp;CK$1&amp;""'!$C$4:$C$66""),INDIRECT(""'""&amp;CK$1&amp;""'!$D$4:$D$66"")=CK$2),$F$3:$BP$3,$F23:$BP23))),"""")"),"")</f>
        <v/>
      </c>
      <c r="CM23" s="251">
        <f>IFERROR(__xludf.DUMMYFUNCTION("AVERAGE(ARRAYFORMULA(XLOOKUP(FILTER(INDIRECT(""'""&amp;CM$1&amp;""'!$C$4:$C$66""),INDIRECT(""'""&amp;CM$1&amp;""'!$D$4:$D$66"")=CM$2),$F$3:$BP$3,$F23:$BP23)))"),-0.05)</f>
        <v>-0.05</v>
      </c>
      <c r="CN23" s="207" t="str">
        <f>IFERROR(__xludf.DUMMYFUNCTION("IF(OR(CM23&gt;$BR23+$BS23*$BS$2,CM23&lt;$BR23-$BS23*$BS$2),AVEDEV(ARRAYFORMULA(XLOOKUP(FILTER(INDIRECT(""'""&amp;CM$1&amp;""'!$C$4:$C$66""),INDIRECT(""'""&amp;CM$1&amp;""'!$D$4:$D$66"")=CM$2),$F$3:$BP$3,$F23:$BP23))),"""")"),"")</f>
        <v/>
      </c>
      <c r="CO23" s="252"/>
      <c r="CP23" s="251">
        <f>IFERROR(__xludf.DUMMYFUNCTION("AVERAGE(ARRAYFORMULA(XLOOKUP(FILTER(INDIRECT(""'""&amp;CP$1&amp;""'!$C$4:$C$66""),INDIRECT(""'""&amp;CP$1&amp;""'!$D$4:$D$66"")=CP$2),$F$3:$BP$3,$F23:$BP23)))"),-0.17857142857142858)</f>
        <v>-0.1785714286</v>
      </c>
      <c r="CQ23" s="207" t="str">
        <f>IFERROR(__xludf.DUMMYFUNCTION("IF(OR(CP23&gt;$BR23+$BS23*$BS$2,CP23&lt;$BR23-$BS23*$BS$2),AVEDEV(ARRAYFORMULA(XLOOKUP(FILTER(INDIRECT(""'""&amp;CP$1&amp;""'!$C$4:$C$66""),INDIRECT(""'""&amp;CP$1&amp;""'!$D$4:$D$66"")=CP$2),$F$3:$BP$3,$F23:$BP23))),"""")"),"")</f>
        <v/>
      </c>
      <c r="CR23" s="251">
        <f>IFERROR(__xludf.DUMMYFUNCTION("AVERAGE(ARRAYFORMULA(XLOOKUP(FILTER(INDIRECT(""'""&amp;CR$1&amp;""'!$C$4:$C$66""),INDIRECT(""'""&amp;CR$1&amp;""'!$D$4:$D$66"")=CR$2),$F$3:$BP$3,$F23:$BP23)))"),0.05555555555555555)</f>
        <v>0.05555555556</v>
      </c>
      <c r="CS23" s="207" t="str">
        <f>IFERROR(__xludf.DUMMYFUNCTION("IF(OR(CR23&gt;$BR23+$BS23*$BS$2,CR23&lt;$BR23-$BS23*$BS$2),AVEDEV(ARRAYFORMULA(XLOOKUP(FILTER(INDIRECT(""'""&amp;CR$1&amp;""'!$C$4:$C$66""),INDIRECT(""'""&amp;CR$1&amp;""'!$D$4:$D$66"")=CR$2),$F$3:$BP$3,$F23:$BP23))),"""")"),"")</f>
        <v/>
      </c>
      <c r="CT23" s="251">
        <f>IFERROR(__xludf.DUMMYFUNCTION("AVERAGE(ARRAYFORMULA(XLOOKUP(FILTER(INDIRECT(""'""&amp;CT$1&amp;""'!$C$4:$C$66""),INDIRECT(""'""&amp;CT$1&amp;""'!$D$4:$D$66"")=CT$2),$F$3:$BP$3,$F23:$BP23)))"),-0.18181818181818182)</f>
        <v>-0.1818181818</v>
      </c>
      <c r="CU23" s="207" t="str">
        <f>IFERROR(__xludf.DUMMYFUNCTION("IF(OR(CT23&gt;$BR23+$BS23*$BS$2,CT23&lt;$BR23-$BS23*$BS$2),AVEDEV(ARRAYFORMULA(XLOOKUP(FILTER(INDIRECT(""'""&amp;CT$1&amp;""'!$C$4:$C$66""),INDIRECT(""'""&amp;CT$1&amp;""'!$D$4:$D$66"")=CT$2),$F$3:$BP$3,$F23:$BP23))),"""")"),"")</f>
        <v/>
      </c>
      <c r="CV23" s="251">
        <f>IFERROR(__xludf.DUMMYFUNCTION("AVERAGE(ARRAYFORMULA(XLOOKUP(FILTER(INDIRECT(""'""&amp;CV$1&amp;""'!$C$4:$C$66""),INDIRECT(""'""&amp;CV$1&amp;""'!$D$4:$D$66"")=CV$2),$F$3:$BP$3,$F23:$BP23)))"),0.5)</f>
        <v>0.5</v>
      </c>
      <c r="CW23" s="207">
        <f>IFERROR(__xludf.DUMMYFUNCTION("IF(OR(CV23&gt;$BR23+$BS23*$BS$2,CV23&lt;$BR23-$BS23*$BS$2),AVEDEV(ARRAYFORMULA(XLOOKUP(FILTER(INDIRECT(""'""&amp;CV$1&amp;""'!$C$4:$C$66""),INDIRECT(""'""&amp;CV$1&amp;""'!$D$4:$D$66"")=CV$2),$F$3:$BP$3,$F23:$BP23))),"""")"),0.0)</f>
        <v>0</v>
      </c>
      <c r="CX23" s="251">
        <f>IFERROR(__xludf.DUMMYFUNCTION("AVERAGE(ARRAYFORMULA(XLOOKUP(FILTER(INDIRECT(""'""&amp;CX$1&amp;""'!$C$4:$C$66""),INDIRECT(""'""&amp;CX$1&amp;""'!$D$4:$D$66"")=CX$2),$F$3:$BP$3,$F23:$BP23)))"),0.05357142857142857)</f>
        <v>0.05357142857</v>
      </c>
      <c r="CY23" s="207" t="str">
        <f>IFERROR(__xludf.DUMMYFUNCTION("IF(OR(CX23&gt;$BR23+$BS23*$BS$2,CX23&lt;$BR23-$BS23*$BS$2),AVEDEV(ARRAYFORMULA(XLOOKUP(FILTER(INDIRECT(""'""&amp;CX$1&amp;""'!$C$4:$C$66""),INDIRECT(""'""&amp;CX$1&amp;""'!$D$4:$D$66"")=CX$2),$F$3:$BP$3,$F23:$BP23))),"""")"),"")</f>
        <v/>
      </c>
      <c r="CZ23" s="252"/>
      <c r="DA23" s="251">
        <f>IFERROR(__xludf.DUMMYFUNCTION("AVERAGE(ARRAYFORMULA(XLOOKUP(FILTER(INDIRECT(""'""&amp;DA$1&amp;""'!$C$4:$C$66""),INDIRECT(""'""&amp;DA$1&amp;""'!$D$4:$D$66"")=DA$2),$F$3:$BP$3,$F23:$BP23)))"),-0.025)</f>
        <v>-0.025</v>
      </c>
      <c r="DB23" s="207" t="str">
        <f>IFERROR(__xludf.DUMMYFUNCTION("IF(OR(DA23&gt;$BR23+$BS23*$BS$2,DA23&lt;$BR23-$BS23*$BS$2),AVEDEV(ARRAYFORMULA(XLOOKUP(FILTER(INDIRECT(""'""&amp;DA$1&amp;""'!$C$4:$C$66""),INDIRECT(""'""&amp;DA$1&amp;""'!$D$4:$D$66"")=DA$2),$F$3:$BP$3,$F23:$BP23))),"""")"),"")</f>
        <v/>
      </c>
      <c r="DC23" s="251">
        <f>IFERROR(__xludf.DUMMYFUNCTION("AVERAGE(ARRAYFORMULA(XLOOKUP(FILTER(INDIRECT(""'""&amp;DC$1&amp;""'!$C$4:$C$66""),INDIRECT(""'""&amp;DC$1&amp;""'!$D$4:$D$66"")=DC$2),$F$3:$BP$3,$F23:$BP23)))"),0.027777777777777776)</f>
        <v>0.02777777778</v>
      </c>
      <c r="DD23" s="207" t="str">
        <f>IFERROR(__xludf.DUMMYFUNCTION("IF(OR(DC23&gt;$BR23+$BS23*$BS$2,DC23&lt;$BR23-$BS23*$BS$2),AVEDEV(ARRAYFORMULA(XLOOKUP(FILTER(INDIRECT(""'""&amp;DC$1&amp;""'!$C$4:$C$66""),INDIRECT(""'""&amp;DC$1&amp;""'!$D$4:$D$66"")=DC$2),$F$3:$BP$3,$F23:$BP23))),"""")"),"")</f>
        <v/>
      </c>
      <c r="DE23" s="251">
        <f>IFERROR(__xludf.DUMMYFUNCTION("AVERAGE(ARRAYFORMULA(XLOOKUP(FILTER(INDIRECT(""'""&amp;DE$1&amp;""'!$C$4:$C$66""),INDIRECT(""'""&amp;DE$1&amp;""'!$D$4:$D$66"")=DE$2),$F$3:$BP$3,$F23:$BP23)))"),-0.0625)</f>
        <v>-0.0625</v>
      </c>
      <c r="DF23" s="207" t="str">
        <f>IFERROR(__xludf.DUMMYFUNCTION("IF(OR(DE23&gt;$BR23+$BS23*$BS$2,DE23&lt;$BR23-$BS23*$BS$2),AVEDEV(ARRAYFORMULA(XLOOKUP(FILTER(INDIRECT(""'""&amp;DE$1&amp;""'!$C$4:$C$66""),INDIRECT(""'""&amp;DE$1&amp;""'!$D$4:$D$66"")=DE$2),$F$3:$BP$3,$F23:$BP23))),"""")"),"")</f>
        <v/>
      </c>
      <c r="DG23" s="251">
        <f>IFERROR(__xludf.DUMMYFUNCTION("AVERAGE(ARRAYFORMULA(XLOOKUP(FILTER(INDIRECT(""'""&amp;DG$1&amp;""'!$C$4:$C$66""),INDIRECT(""'""&amp;DG$1&amp;""'!$D$4:$D$66"")=DG$2),$F$3:$BP$3,$F23:$BP23)))"),-0.08333333333333333)</f>
        <v>-0.08333333333</v>
      </c>
      <c r="DH23" s="207" t="str">
        <f>IFERROR(__xludf.DUMMYFUNCTION("IF(OR(DG23&gt;$BR23+$BS23*$BS$2,DG23&lt;$BR23-$BS23*$BS$2),AVEDEV(ARRAYFORMULA(XLOOKUP(FILTER(INDIRECT(""'""&amp;DG$1&amp;""'!$C$4:$C$66""),INDIRECT(""'""&amp;DG$1&amp;""'!$D$4:$D$66"")=DG$2),$F$3:$BP$3,$F23:$BP23))),"""")"),"")</f>
        <v/>
      </c>
      <c r="DI23" s="252"/>
    </row>
    <row r="24">
      <c r="A24" s="2"/>
      <c r="B24" s="204" t="s">
        <v>442</v>
      </c>
      <c r="C24" s="204" t="s">
        <v>464</v>
      </c>
      <c r="D24" s="205" t="b">
        <f>VLOOKUP(C24,'Feature Set List'!A21:C246,2,0)</f>
        <v>1</v>
      </c>
      <c r="E24" s="205" t="b">
        <f>VLOOKUP(C24,'Feature Set List'!A21:C246,3,0)</f>
        <v>1</v>
      </c>
      <c r="F24" s="205">
        <v>1.18823529</v>
      </c>
      <c r="G24" s="205">
        <v>1.16764706</v>
      </c>
      <c r="H24" s="205">
        <v>1.78823529</v>
      </c>
      <c r="I24" s="205">
        <v>0.72647059</v>
      </c>
      <c r="J24" s="205">
        <v>0.54705882</v>
      </c>
      <c r="K24" s="205">
        <v>-0.4647059</v>
      </c>
      <c r="L24" s="205">
        <v>-1.125</v>
      </c>
      <c r="M24" s="205">
        <v>0.99411765</v>
      </c>
      <c r="N24" s="205">
        <v>-0.9873529</v>
      </c>
      <c r="O24" s="205">
        <v>-0.05</v>
      </c>
      <c r="P24" s="205">
        <v>-0.3588235</v>
      </c>
      <c r="Q24" s="205">
        <v>-0.3823529</v>
      </c>
      <c r="R24" s="205">
        <v>0.34705882</v>
      </c>
      <c r="S24" s="205">
        <v>-0.1411765</v>
      </c>
      <c r="T24" s="205">
        <v>-0.4794118</v>
      </c>
      <c r="U24" s="205">
        <v>-0.4058824</v>
      </c>
      <c r="V24" s="205">
        <v>0.68529412</v>
      </c>
      <c r="W24" s="205">
        <v>-0.1470588</v>
      </c>
      <c r="X24" s="205">
        <v>-0.5647059</v>
      </c>
      <c r="Y24" s="205">
        <v>0.09705882</v>
      </c>
      <c r="Z24" s="205">
        <v>1.23529412</v>
      </c>
      <c r="AA24" s="205">
        <v>-0.4852941</v>
      </c>
      <c r="AB24" s="205">
        <v>0.97352941</v>
      </c>
      <c r="AC24" s="205">
        <v>0.08235294</v>
      </c>
      <c r="AD24" s="205">
        <v>0.0</v>
      </c>
      <c r="AE24" s="205">
        <v>-0.2264706</v>
      </c>
      <c r="AF24" s="205">
        <v>0.52352941</v>
      </c>
      <c r="AG24" s="205">
        <v>-0.4529412</v>
      </c>
      <c r="AH24" s="205">
        <v>-0.1117647</v>
      </c>
      <c r="AI24" s="205">
        <v>0.50882353</v>
      </c>
      <c r="AJ24" s="205">
        <v>-1.4273529</v>
      </c>
      <c r="AK24" s="205">
        <v>-0.4294118</v>
      </c>
      <c r="AL24" s="205">
        <v>1.45882353</v>
      </c>
      <c r="AM24" s="205">
        <v>-0.2088235</v>
      </c>
      <c r="AN24" s="205">
        <v>-0.4794118</v>
      </c>
      <c r="AO24" s="205">
        <v>-1.0941176</v>
      </c>
      <c r="AP24" s="205">
        <v>0.08529412</v>
      </c>
      <c r="AQ24" s="205">
        <v>-0.0764706</v>
      </c>
      <c r="AR24" s="205">
        <v>0.49117647</v>
      </c>
      <c r="AS24" s="205">
        <v>-0.3529412</v>
      </c>
      <c r="AT24" s="205">
        <v>-0.2882353</v>
      </c>
      <c r="AU24" s="205">
        <v>0.86764706</v>
      </c>
      <c r="AV24" s="205">
        <v>-0.2970588</v>
      </c>
      <c r="AW24" s="205">
        <v>-0.6</v>
      </c>
      <c r="AX24" s="205">
        <v>0.37647059</v>
      </c>
      <c r="AY24" s="205">
        <v>0.21176471</v>
      </c>
      <c r="AZ24" s="205">
        <v>0.11176471</v>
      </c>
      <c r="BA24" s="205">
        <v>0.91176471</v>
      </c>
      <c r="BB24" s="205">
        <v>-0.7702941</v>
      </c>
      <c r="BC24" s="205">
        <v>0.71176471</v>
      </c>
      <c r="BD24" s="205">
        <v>0.74411765</v>
      </c>
      <c r="BE24" s="205">
        <v>0.72058824</v>
      </c>
      <c r="BF24" s="205">
        <v>-0.1823529</v>
      </c>
      <c r="BG24" s="205">
        <v>0.34705882</v>
      </c>
      <c r="BH24" s="205">
        <v>0.24411765</v>
      </c>
      <c r="BI24" s="205">
        <v>-0.2323529</v>
      </c>
      <c r="BJ24" s="205">
        <v>-0.2235294</v>
      </c>
      <c r="BK24" s="205">
        <v>0.66470588</v>
      </c>
      <c r="BL24" s="205">
        <v>-0.6264706</v>
      </c>
      <c r="BM24" s="205">
        <v>0.36176471</v>
      </c>
      <c r="BN24" s="205">
        <v>0.96176471</v>
      </c>
      <c r="BO24" s="205">
        <v>0.11764706</v>
      </c>
      <c r="BP24" s="205">
        <v>-1.0105882</v>
      </c>
      <c r="BQ24" s="206"/>
      <c r="BR24" s="250">
        <f t="shared" si="1"/>
        <v>0.0884220381</v>
      </c>
      <c r="BS24" s="250">
        <f t="shared" si="2"/>
        <v>0.5562239694</v>
      </c>
      <c r="BT24" s="206"/>
      <c r="BU24" s="207">
        <f>IFERROR(__xludf.DUMMYFUNCTION("AVERAGE(ARRAYFORMULA(XLOOKUP(FILTER(INDIRECT(""'""&amp;BU$1&amp;""'!$C$4:$C$66""),INDIRECT(""'""&amp;BU$1&amp;""'!$D$4:$D$66"")=BU$2),$F$3:$BP$3,$F24:$BP24)))"),0.22731091857142857)</f>
        <v>0.2273109186</v>
      </c>
      <c r="BV24" s="207" t="str">
        <f>IFERROR(__xludf.DUMMYFUNCTION("IF(OR(BU24&gt;$BR24+$BS24*$BS$2,BU24&lt;$BR24-$BS24*$BS$2),AVEDEV(ARRAYFORMULA(XLOOKUP(FILTER(INDIRECT(""'""&amp;BU$1&amp;""'!$C$4:$C$66""),INDIRECT(""'""&amp;BU$1&amp;""'!$D$4:$D$66"")=BU$2),$F$3:$BP$3,$F24:$BP24))),"""")"),"")</f>
        <v/>
      </c>
      <c r="BW24" s="207">
        <f>IFERROR(__xludf.DUMMYFUNCTION("AVERAGE(ARRAYFORMULA(XLOOKUP(FILTER(INDIRECT(""'""&amp;BW$1&amp;""'!$C$4:$C$66""),INDIRECT(""'""&amp;BW$1&amp;""'!$D$4:$D$66"")=BW$2),$F$3:$BP$3,$F24:$BP24)))"),0.06593137952380952)</f>
        <v>0.06593137952</v>
      </c>
      <c r="BX24" s="207" t="str">
        <f>IFERROR(__xludf.DUMMYFUNCTION("IF(OR(BW24&gt;$BR24+$BS24*$BS$2,BW24&lt;$BR24-$BS24*$BS$2),AVEDEV(ARRAYFORMULA(XLOOKUP(FILTER(INDIRECT(""'""&amp;BW$1&amp;""'!$C$4:$C$66""),INDIRECT(""'""&amp;BW$1&amp;""'!$D$4:$D$66"")=BW$2),$F$3:$BP$3,$F24:$BP24))),"""")"),"")</f>
        <v/>
      </c>
      <c r="BY24" s="207">
        <f>IFERROR(__xludf.DUMMYFUNCTION("AVERAGE(ARRAYFORMULA(XLOOKUP(FILTER(INDIRECT(""'""&amp;BY$1&amp;""'!$C$4:$C$66""),INDIRECT(""'""&amp;BY$1&amp;""'!$D$4:$D$66"")=BY$2),$F$3:$BP$3,$F24:$BP24)))"),-0.0910427881818182)</f>
        <v>-0.09104278818</v>
      </c>
      <c r="BZ24" s="207" t="str">
        <f>IFERROR(__xludf.DUMMYFUNCTION("IF(OR(BY24&gt;$BR24+$BS24*$BS$2,BY24&lt;$BR24-$BS24*$BS$2),AVEDEV(ARRAYFORMULA(XLOOKUP(FILTER(INDIRECT(""'""&amp;BY$1&amp;""'!$C$4:$C$66""),INDIRECT(""'""&amp;BY$1&amp;""'!$D$4:$D$66"")=BY$2),$F$3:$BP$3,$F24:$BP24))),"""")"),"")</f>
        <v/>
      </c>
      <c r="CA24" s="209"/>
      <c r="CB24" s="207">
        <f>IFERROR(__xludf.DUMMYFUNCTION("AVERAGE(ARRAYFORMULA(XLOOKUP(FILTER(INDIRECT(""'""&amp;CB$1&amp;""'!$C$4:$C$66""),INDIRECT(""'""&amp;CB$1&amp;""'!$D$4:$D$66"")=CB$2),$F$3:$BP$3,$F24:$BP24)))"),0.09424632499999999)</f>
        <v>0.094246325</v>
      </c>
      <c r="CC24" s="207" t="str">
        <f>IFERROR(__xludf.DUMMYFUNCTION("IF(OR(CB24&gt;$BR24+$BS24*$BS$2,CB24&lt;$BR24-$BS24*$BS$2),AVEDEV(ARRAYFORMULA(XLOOKUP(FILTER(INDIRECT(""'""&amp;CB$1&amp;""'!$C$4:$C$66""),INDIRECT(""'""&amp;CB$1&amp;""'!$D$4:$D$66"")=CB$2),$F$3:$BP$3,$F24:$BP24))),"""")"),"")</f>
        <v/>
      </c>
      <c r="CD24" s="207">
        <f>IFERROR(__xludf.DUMMYFUNCTION("AVERAGE(ARRAYFORMULA(XLOOKUP(FILTER(INDIRECT(""'""&amp;CD$1&amp;""'!$C$4:$C$66""),INDIRECT(""'""&amp;CD$1&amp;""'!$D$4:$D$66"")=CD$2),$F$3:$BP$3,$F24:$BP24)))"),0.023747633548387114)</f>
        <v>0.02374763355</v>
      </c>
      <c r="CE24" s="207" t="str">
        <f>IFERROR(__xludf.DUMMYFUNCTION("IF(OR(CD24&gt;$BR24+$BS24*$BS$2,CD24&lt;$BR24-$BS24*$BS$2),AVEDEV(ARRAYFORMULA(XLOOKUP(FILTER(INDIRECT(""'""&amp;CD$1&amp;""'!$C$4:$C$66""),INDIRECT(""'""&amp;CD$1&amp;""'!$D$4:$D$66"")=CD$2),$F$3:$BP$3,$F24:$BP24))),"""")"),"")</f>
        <v/>
      </c>
      <c r="CF24" s="207">
        <f>IFERROR(__xludf.DUMMYFUNCTION("AVERAGE(ARRAYFORMULA(XLOOKUP(FILTER(INDIRECT(""'""&amp;CF$1&amp;""'!$C$4:$C$66""),INDIRECT(""'""&amp;CF$1&amp;""'!$D$4:$D$66"")=CF$2),$F$3:$BP$3,$F24:$BP24)))"),0.04588235599999997)</f>
        <v>0.045882356</v>
      </c>
      <c r="CG24" s="207" t="str">
        <f>IFERROR(__xludf.DUMMYFUNCTION("IF(OR(CF24&gt;$BR24+$BS24*$BS$2,CF24&lt;$BR24-$BS24*$BS$2),AVEDEV(ARRAYFORMULA(XLOOKUP(FILTER(INDIRECT(""'""&amp;CF$1&amp;""'!$C$4:$C$66""),INDIRECT(""'""&amp;CF$1&amp;""'!$D$4:$D$66"")=CF$2),$F$3:$BP$3,$F24:$BP24))),"""")"),"")</f>
        <v/>
      </c>
      <c r="CH24" s="206"/>
      <c r="CI24" s="251">
        <f>IFERROR(__xludf.DUMMYFUNCTION("AVERAGE(ARRAYFORMULA(XLOOKUP(FILTER(INDIRECT(""'""&amp;CI$1&amp;""'!$C$4:$C$66""),INDIRECT(""'""&amp;CI$1&amp;""'!$D$4:$D$66"")=CI$2),$F$3:$BP$3,$F24:$BP24)))"),0.259999996)</f>
        <v>0.259999996</v>
      </c>
      <c r="CJ24" s="207" t="str">
        <f>IFERROR(__xludf.DUMMYFUNCTION("IF(OR(CI24&gt;$BR24+$BS24*$BS$2,CI24&lt;$BR24-$BS24*$BS$2),AVEDEV(ARRAYFORMULA(XLOOKUP(FILTER(INDIRECT(""'""&amp;CI$1&amp;""'!$C$4:$C$66""),INDIRECT(""'""&amp;CI$1&amp;""'!$D$4:$D$66"")=CI$2),$F$3:$BP$3,$F24:$BP24))),"""")"),"")</f>
        <v/>
      </c>
      <c r="CK24" s="251">
        <f>IFERROR(__xludf.DUMMYFUNCTION("AVERAGE(ARRAYFORMULA(XLOOKUP(FILTER(INDIRECT(""'""&amp;CK$1&amp;""'!$C$4:$C$66""),INDIRECT(""'""&amp;CK$1&amp;""'!$D$4:$D$66"")=CK$2),$F$3:$BP$3,$F24:$BP24)))"),-0.03680240769230773)</f>
        <v>-0.03680240769</v>
      </c>
      <c r="CL24" s="207" t="str">
        <f>IFERROR(__xludf.DUMMYFUNCTION("IF(OR(CK24&gt;$BR24+$BS24*$BS$2,CK24&lt;$BR24-$BS24*$BS$2),AVEDEV(ARRAYFORMULA(XLOOKUP(FILTER(INDIRECT(""'""&amp;CK$1&amp;""'!$C$4:$C$66""),INDIRECT(""'""&amp;CK$1&amp;""'!$D$4:$D$66"")=CK$2),$F$3:$BP$3,$F24:$BP24))),"""")"),"")</f>
        <v/>
      </c>
      <c r="CM24" s="251">
        <f>IFERROR(__xludf.DUMMYFUNCTION("AVERAGE(ARRAYFORMULA(XLOOKUP(FILTER(INDIRECT(""'""&amp;CM$1&amp;""'!$C$4:$C$66""),INDIRECT(""'""&amp;CM$1&amp;""'!$D$4:$D$66"")=CM$2),$F$3:$BP$3,$F24:$BP24)))"),0.04588235599999997)</f>
        <v>0.045882356</v>
      </c>
      <c r="CN24" s="207" t="str">
        <f>IFERROR(__xludf.DUMMYFUNCTION("IF(OR(CM24&gt;$BR24+$BS24*$BS$2,CM24&lt;$BR24-$BS24*$BS$2),AVEDEV(ARRAYFORMULA(XLOOKUP(FILTER(INDIRECT(""'""&amp;CM$1&amp;""'!$C$4:$C$66""),INDIRECT(""'""&amp;CM$1&amp;""'!$D$4:$D$66"")=CM$2),$F$3:$BP$3,$F24:$BP24))),"""")"),"")</f>
        <v/>
      </c>
      <c r="CO24" s="252"/>
      <c r="CP24" s="251">
        <f>IFERROR(__xludf.DUMMYFUNCTION("AVERAGE(ARRAYFORMULA(XLOOKUP(FILTER(INDIRECT(""'""&amp;CP$1&amp;""'!$C$4:$C$66""),INDIRECT(""'""&amp;CP$1&amp;""'!$D$4:$D$66"")=CP$2),$F$3:$BP$3,$F24:$BP24)))"),0.016323533571428565)</f>
        <v>0.01632353357</v>
      </c>
      <c r="CQ24" s="207" t="str">
        <f>IFERROR(__xludf.DUMMYFUNCTION("IF(OR(CP24&gt;$BR24+$BS24*$BS$2,CP24&lt;$BR24-$BS24*$BS$2),AVEDEV(ARRAYFORMULA(XLOOKUP(FILTER(INDIRECT(""'""&amp;CP$1&amp;""'!$C$4:$C$66""),INDIRECT(""'""&amp;CP$1&amp;""'!$D$4:$D$66"")=CP$2),$F$3:$BP$3,$F24:$BP24))),"""")"),"")</f>
        <v/>
      </c>
      <c r="CR24" s="251">
        <f>IFERROR(__xludf.DUMMYFUNCTION("AVERAGE(ARRAYFORMULA(XLOOKUP(FILTER(INDIRECT(""'""&amp;CR$1&amp;""'!$C$4:$C$66""),INDIRECT(""'""&amp;CR$1&amp;""'!$D$4:$D$66"")=CR$2),$F$3:$BP$3,$F24:$BP24)))"),-0.06519608666666668)</f>
        <v>-0.06519608667</v>
      </c>
      <c r="CS24" s="207" t="str">
        <f>IFERROR(__xludf.DUMMYFUNCTION("IF(OR(CR24&gt;$BR24+$BS24*$BS$2,CR24&lt;$BR24-$BS24*$BS$2),AVEDEV(ARRAYFORMULA(XLOOKUP(FILTER(INDIRECT(""'""&amp;CR$1&amp;""'!$C$4:$C$66""),INDIRECT(""'""&amp;CR$1&amp;""'!$D$4:$D$66"")=CR$2),$F$3:$BP$3,$F24:$BP24))),"""")"),"")</f>
        <v/>
      </c>
      <c r="CT24" s="251">
        <f>IFERROR(__xludf.DUMMYFUNCTION("AVERAGE(ARRAYFORMULA(XLOOKUP(FILTER(INDIRECT(""'""&amp;CT$1&amp;""'!$C$4:$C$66""),INDIRECT(""'""&amp;CT$1&amp;""'!$D$4:$D$66"")=CT$2),$F$3:$BP$3,$F24:$BP24)))"),0.4165775418181818)</f>
        <v>0.4165775418</v>
      </c>
      <c r="CU24" s="207" t="str">
        <f>IFERROR(__xludf.DUMMYFUNCTION("IF(OR(CT24&gt;$BR24+$BS24*$BS$2,CT24&lt;$BR24-$BS24*$BS$2),AVEDEV(ARRAYFORMULA(XLOOKUP(FILTER(INDIRECT(""'""&amp;CT$1&amp;""'!$C$4:$C$66""),INDIRECT(""'""&amp;CT$1&amp;""'!$D$4:$D$66"")=CT$2),$F$3:$BP$3,$F24:$BP24))),"""")"),"")</f>
        <v/>
      </c>
      <c r="CV24" s="251">
        <f>IFERROR(__xludf.DUMMYFUNCTION("AVERAGE(ARRAYFORMULA(XLOOKUP(FILTER(INDIRECT(""'""&amp;CV$1&amp;""'!$C$4:$C$66""),INDIRECT(""'""&amp;CV$1&amp;""'!$D$4:$D$66"")=CV$2),$F$3:$BP$3,$F24:$BP24)))"),0.21470588)</f>
        <v>0.21470588</v>
      </c>
      <c r="CW24" s="207" t="str">
        <f>IFERROR(__xludf.DUMMYFUNCTION("IF(OR(CV24&gt;$BR24+$BS24*$BS$2,CV24&lt;$BR24-$BS24*$BS$2),AVEDEV(ARRAYFORMULA(XLOOKUP(FILTER(INDIRECT(""'""&amp;CV$1&amp;""'!$C$4:$C$66""),INDIRECT(""'""&amp;CV$1&amp;""'!$D$4:$D$66"")=CV$2),$F$3:$BP$3,$F24:$BP24))),"""")"),"")</f>
        <v/>
      </c>
      <c r="CX24" s="251">
        <f>IFERROR(__xludf.DUMMYFUNCTION("AVERAGE(ARRAYFORMULA(XLOOKUP(FILTER(INDIRECT(""'""&amp;CX$1&amp;""'!$C$4:$C$66""),INDIRECT(""'""&amp;CX$1&amp;""'!$D$4:$D$66"")=CX$2),$F$3:$BP$3,$F24:$BP24)))"),-0.23554620214285715)</f>
        <v>-0.2355462021</v>
      </c>
      <c r="CY24" s="207" t="str">
        <f>IFERROR(__xludf.DUMMYFUNCTION("IF(OR(CX24&gt;$BR24+$BS24*$BS$2,CX24&lt;$BR24-$BS24*$BS$2),AVEDEV(ARRAYFORMULA(XLOOKUP(FILTER(INDIRECT(""'""&amp;CX$1&amp;""'!$C$4:$C$66""),INDIRECT(""'""&amp;CX$1&amp;""'!$D$4:$D$66"")=CX$2),$F$3:$BP$3,$F24:$BP24))),"""")"),"")</f>
        <v/>
      </c>
      <c r="CZ24" s="252"/>
      <c r="DA24" s="251">
        <f>IFERROR(__xludf.DUMMYFUNCTION("AVERAGE(ARRAYFORMULA(XLOOKUP(FILTER(INDIRECT(""'""&amp;DA$1&amp;""'!$C$4:$C$66""),INDIRECT(""'""&amp;DA$1&amp;""'!$D$4:$D$66"")=DA$2),$F$3:$BP$3,$F24:$BP24)))"),-0.01645097366666667)</f>
        <v>-0.01645097367</v>
      </c>
      <c r="DB24" s="207" t="str">
        <f>IFERROR(__xludf.DUMMYFUNCTION("IF(OR(DA24&gt;$BR24+$BS24*$BS$2,DA24&lt;$BR24-$BS24*$BS$2),AVEDEV(ARRAYFORMULA(XLOOKUP(FILTER(INDIRECT(""'""&amp;DA$1&amp;""'!$C$4:$C$66""),INDIRECT(""'""&amp;DA$1&amp;""'!$D$4:$D$66"")=DA$2),$F$3:$BP$3,$F24:$BP24))),"""")"),"")</f>
        <v/>
      </c>
      <c r="DC24" s="251">
        <f>IFERROR(__xludf.DUMMYFUNCTION("AVERAGE(ARRAYFORMULA(XLOOKUP(FILTER(INDIRECT(""'""&amp;DC$1&amp;""'!$C$4:$C$66""),INDIRECT(""'""&amp;DC$1&amp;""'!$D$4:$D$66"")=DC$2),$F$3:$BP$3,$F24:$BP24)))"),0.04950979777777775)</f>
        <v>0.04950979778</v>
      </c>
      <c r="DD24" s="207" t="str">
        <f>IFERROR(__xludf.DUMMYFUNCTION("IF(OR(DC24&gt;$BR24+$BS24*$BS$2,DC24&lt;$BR24-$BS24*$BS$2),AVEDEV(ARRAYFORMULA(XLOOKUP(FILTER(INDIRECT(""'""&amp;DC$1&amp;""'!$C$4:$C$66""),INDIRECT(""'""&amp;DC$1&amp;""'!$D$4:$D$66"")=DC$2),$F$3:$BP$3,$F24:$BP24))),"""")"),"")</f>
        <v/>
      </c>
      <c r="DE24" s="251">
        <f>IFERROR(__xludf.DUMMYFUNCTION("AVERAGE(ARRAYFORMULA(XLOOKUP(FILTER(INDIRECT(""'""&amp;DE$1&amp;""'!$C$4:$C$66""),INDIRECT(""'""&amp;DE$1&amp;""'!$D$4:$D$66"")=DE$2),$F$3:$BP$3,$F24:$BP24)))"),0.10378677124999999)</f>
        <v>0.1037867713</v>
      </c>
      <c r="DF24" s="207" t="str">
        <f>IFERROR(__xludf.DUMMYFUNCTION("IF(OR(DE24&gt;$BR24+$BS24*$BS$2,DE24&lt;$BR24-$BS24*$BS$2),AVEDEV(ARRAYFORMULA(XLOOKUP(FILTER(INDIRECT(""'""&amp;DE$1&amp;""'!$C$4:$C$66""),INDIRECT(""'""&amp;DE$1&amp;""'!$D$4:$D$66"")=DE$2),$F$3:$BP$3,$F24:$BP24))),"""")"),"")</f>
        <v/>
      </c>
      <c r="DG24" s="251">
        <f>IFERROR(__xludf.DUMMYFUNCTION("AVERAGE(ARRAYFORMULA(XLOOKUP(FILTER(INDIRECT(""'""&amp;DG$1&amp;""'!$C$4:$C$66""),INDIRECT(""'""&amp;DG$1&amp;""'!$D$4:$D$66"")=DG$2),$F$3:$BP$3,$F24:$BP24)))"),0.29052287555555556)</f>
        <v>0.2905228756</v>
      </c>
      <c r="DH24" s="207" t="str">
        <f>IFERROR(__xludf.DUMMYFUNCTION("IF(OR(DG24&gt;$BR24+$BS24*$BS$2,DG24&lt;$BR24-$BS24*$BS$2),AVEDEV(ARRAYFORMULA(XLOOKUP(FILTER(INDIRECT(""'""&amp;DG$1&amp;""'!$C$4:$C$66""),INDIRECT(""'""&amp;DG$1&amp;""'!$D$4:$D$66"")=DG$2),$F$3:$BP$3,$F24:$BP24))),"""")"),"")</f>
        <v/>
      </c>
      <c r="DI24" s="252"/>
    </row>
    <row r="25">
      <c r="A25" s="2"/>
      <c r="B25" s="204" t="s">
        <v>442</v>
      </c>
      <c r="C25" s="204" t="s">
        <v>465</v>
      </c>
      <c r="D25" s="205" t="b">
        <f>VLOOKUP(C25,'Feature Set List'!A22:C246,2,0)</f>
        <v>1</v>
      </c>
      <c r="E25" s="205" t="b">
        <f>VLOOKUP(C25,'Feature Set List'!A22:C246,3,0)</f>
        <v>1</v>
      </c>
      <c r="F25" s="205">
        <v>-0.4300341</v>
      </c>
      <c r="G25" s="205">
        <v>0.18430034</v>
      </c>
      <c r="H25" s="205">
        <v>0.0</v>
      </c>
      <c r="I25" s="205">
        <v>0.39590444</v>
      </c>
      <c r="J25" s="205">
        <v>-0.4778157</v>
      </c>
      <c r="K25" s="205">
        <v>0.53924915</v>
      </c>
      <c r="L25" s="205">
        <v>0.69624573</v>
      </c>
      <c r="M25" s="205">
        <v>-0.0546075</v>
      </c>
      <c r="N25" s="205">
        <v>-1.447099</v>
      </c>
      <c r="O25" s="205">
        <v>-0.3276451</v>
      </c>
      <c r="P25" s="205">
        <v>0.27303754</v>
      </c>
      <c r="Q25" s="205">
        <v>-0.7167235</v>
      </c>
      <c r="R25" s="205">
        <v>-0.0614334</v>
      </c>
      <c r="S25" s="205">
        <v>-0.3959044</v>
      </c>
      <c r="T25" s="205">
        <v>0.02047782</v>
      </c>
      <c r="U25" s="205">
        <v>0.43003413</v>
      </c>
      <c r="V25" s="205">
        <v>-0.3822526</v>
      </c>
      <c r="W25" s="205">
        <v>-0.8805461</v>
      </c>
      <c r="X25" s="205">
        <v>0.24573379</v>
      </c>
      <c r="Y25" s="205">
        <v>0.10921502</v>
      </c>
      <c r="Z25" s="205">
        <v>-0.4846416</v>
      </c>
      <c r="AA25" s="205">
        <v>-1.337884</v>
      </c>
      <c r="AB25" s="205">
        <v>1.74744027</v>
      </c>
      <c r="AC25" s="205">
        <v>0.59385666</v>
      </c>
      <c r="AD25" s="205">
        <v>-0.0750853</v>
      </c>
      <c r="AE25" s="205">
        <v>0.07508532</v>
      </c>
      <c r="AF25" s="205">
        <v>-0.7508532</v>
      </c>
      <c r="AG25" s="205">
        <v>1.66552901</v>
      </c>
      <c r="AH25" s="205">
        <v>-0.4027304</v>
      </c>
      <c r="AI25" s="205">
        <v>1.7337884</v>
      </c>
      <c r="AJ25" s="205">
        <v>0.89419795</v>
      </c>
      <c r="AK25" s="205">
        <v>-1.1194539</v>
      </c>
      <c r="AL25" s="205">
        <v>0.4778157</v>
      </c>
      <c r="AM25" s="205">
        <v>-0.6075085</v>
      </c>
      <c r="AN25" s="205">
        <v>-0.9010239</v>
      </c>
      <c r="AO25" s="205">
        <v>-0.0341297</v>
      </c>
      <c r="AP25" s="205">
        <v>0.05460751</v>
      </c>
      <c r="AQ25" s="205">
        <v>0.6894198</v>
      </c>
      <c r="AR25" s="205">
        <v>1.67918089</v>
      </c>
      <c r="AS25" s="205">
        <v>2.02730375</v>
      </c>
      <c r="AT25" s="205">
        <v>-0.4095563</v>
      </c>
      <c r="AU25" s="205">
        <v>-0.7645051</v>
      </c>
      <c r="AV25" s="205">
        <v>0.27986348</v>
      </c>
      <c r="AW25" s="205">
        <v>0.73720137</v>
      </c>
      <c r="AX25" s="205">
        <v>0.36860068</v>
      </c>
      <c r="AY25" s="205">
        <v>-0.0750853</v>
      </c>
      <c r="AZ25" s="205">
        <v>-0.3071672</v>
      </c>
      <c r="BA25" s="205">
        <v>-1.1808874</v>
      </c>
      <c r="BB25" s="205">
        <v>-0.1706485</v>
      </c>
      <c r="BC25" s="205">
        <v>-0.3822526</v>
      </c>
      <c r="BD25" s="205">
        <v>0.64163823</v>
      </c>
      <c r="BE25" s="205">
        <v>1.26279863</v>
      </c>
      <c r="BF25" s="205">
        <v>1.09215017</v>
      </c>
      <c r="BG25" s="205">
        <v>0.5665529</v>
      </c>
      <c r="BH25" s="205">
        <v>0.92150171</v>
      </c>
      <c r="BI25" s="205">
        <v>0.07508532</v>
      </c>
      <c r="BJ25" s="205">
        <v>0.68259386</v>
      </c>
      <c r="BK25" s="205">
        <v>-8.4573379</v>
      </c>
      <c r="BL25" s="205">
        <v>-0.1638225</v>
      </c>
      <c r="BM25" s="205">
        <v>-0.9692833</v>
      </c>
      <c r="BN25" s="205">
        <v>-1.0648464</v>
      </c>
      <c r="BO25" s="205">
        <v>1.23549488</v>
      </c>
      <c r="BP25" s="205">
        <v>-0.3549488</v>
      </c>
      <c r="BQ25" s="206"/>
      <c r="BR25" s="250">
        <f t="shared" si="1"/>
        <v>-0.0443144246</v>
      </c>
      <c r="BS25" s="250">
        <f t="shared" si="2"/>
        <v>0.7563222464</v>
      </c>
      <c r="BT25" s="206"/>
      <c r="BU25" s="207">
        <f>IFERROR(__xludf.DUMMYFUNCTION("AVERAGE(ARRAYFORMULA(XLOOKUP(FILTER(INDIRECT(""'""&amp;BU$1&amp;""'!$C$4:$C$66""),INDIRECT(""'""&amp;BU$1&amp;""'!$D$4:$D$66"")=BU$2),$F$3:$BP$3,$F25:$BP25)))"),-1.4841540814285714)</f>
        <v>-1.484154081</v>
      </c>
      <c r="BV25" s="207">
        <f>IFERROR(__xludf.DUMMYFUNCTION("IF(OR(BU25&gt;$BR25+$BS25*$BS$2,BU25&lt;$BR25-$BS25*$BS$2),AVEDEV(ARRAYFORMULA(XLOOKUP(FILTER(INDIRECT(""'""&amp;BU$1&amp;""'!$C$4:$C$66""),INDIRECT(""'""&amp;BU$1&amp;""'!$D$4:$D$66"")=BU$2),$F$3:$BP$3,$F25:$BP25))),"""")"),1.9923382338775508)</f>
        <v>1.992338234</v>
      </c>
      <c r="BW25" s="207">
        <f>IFERROR(__xludf.DUMMYFUNCTION("AVERAGE(ARRAYFORMULA(XLOOKUP(FILTER(INDIRECT(""'""&amp;BW$1&amp;""'!$C$4:$C$66""),INDIRECT(""'""&amp;BW$1&amp;""'!$D$4:$D$66"")=BW$2),$F$3:$BP$3,$F25:$BP25)))"),0.21225418880952385)</f>
        <v>0.2122541888</v>
      </c>
      <c r="BX25" s="207" t="str">
        <f>IFERROR(__xludf.DUMMYFUNCTION("IF(OR(BW25&gt;$BR25+$BS25*$BS$2,BW25&lt;$BR25-$BS25*$BS$2),AVEDEV(ARRAYFORMULA(XLOOKUP(FILTER(INDIRECT(""'""&amp;BW$1&amp;""'!$C$4:$C$66""),INDIRECT(""'""&amp;BW$1&amp;""'!$D$4:$D$66"")=BW$2),$F$3:$BP$3,$F25:$BP25))),"""")"),"")</f>
        <v/>
      </c>
      <c r="BY25" s="207">
        <f>IFERROR(__xludf.DUMMYFUNCTION("AVERAGE(ARRAYFORMULA(XLOOKUP(FILTER(INDIRECT(""'""&amp;BY$1&amp;""'!$C$4:$C$66""),INDIRECT(""'""&amp;BY$1&amp;""'!$D$4:$D$66"")=BY$2),$F$3:$BP$3,$F25:$BP25)))"),-0.04778156454545454)</f>
        <v>-0.04778156455</v>
      </c>
      <c r="BZ25" s="207" t="str">
        <f>IFERROR(__xludf.DUMMYFUNCTION("IF(OR(BY25&gt;$BR25+$BS25*$BS$2,BY25&lt;$BR25-$BS25*$BS$2),AVEDEV(ARRAYFORMULA(XLOOKUP(FILTER(INDIRECT(""'""&amp;BY$1&amp;""'!$C$4:$C$66""),INDIRECT(""'""&amp;BY$1&amp;""'!$D$4:$D$66"")=BY$2),$F$3:$BP$3,$F25:$BP25))),"""")"),"")</f>
        <v/>
      </c>
      <c r="CA25" s="209"/>
      <c r="CB25" s="207">
        <f>IFERROR(__xludf.DUMMYFUNCTION("AVERAGE(ARRAYFORMULA(XLOOKUP(FILTER(INDIRECT(""'""&amp;CB$1&amp;""'!$C$4:$C$66""),INDIRECT(""'""&amp;CB$1&amp;""'!$D$4:$D$66"")=CB$2),$F$3:$BP$3,$F25:$BP25)))"),0.16083617812500003)</f>
        <v>0.1608361781</v>
      </c>
      <c r="CC25" s="207" t="str">
        <f>IFERROR(__xludf.DUMMYFUNCTION("IF(OR(CB25&gt;$BR25+$BS25*$BS$2,CB25&lt;$BR25-$BS25*$BS$2),AVEDEV(ARRAYFORMULA(XLOOKUP(FILTER(INDIRECT(""'""&amp;CB$1&amp;""'!$C$4:$C$66""),INDIRECT(""'""&amp;CB$1&amp;""'!$D$4:$D$66"")=CB$2),$F$3:$BP$3,$F25:$BP25))),"""")"),"")</f>
        <v/>
      </c>
      <c r="CD25" s="207">
        <f>IFERROR(__xludf.DUMMYFUNCTION("AVERAGE(ARRAYFORMULA(XLOOKUP(FILTER(INDIRECT(""'""&amp;CD$1&amp;""'!$C$4:$C$66""),INDIRECT(""'""&amp;CD$1&amp;""'!$D$4:$D$66"")=CD$2),$F$3:$BP$3,$F25:$BP25)))"),0.13409666677419355)</f>
        <v>0.1340966668</v>
      </c>
      <c r="CE25" s="207" t="str">
        <f>IFERROR(__xludf.DUMMYFUNCTION("IF(OR(CD25&gt;$BR25+$BS25*$BS$2,CD25&lt;$BR25-$BS25*$BS$2),AVEDEV(ARRAYFORMULA(XLOOKUP(FILTER(INDIRECT(""'""&amp;CD$1&amp;""'!$C$4:$C$66""),INDIRECT(""'""&amp;CD$1&amp;""'!$D$4:$D$66"")=CD$2),$F$3:$BP$3,$F25:$BP25))),"""")"),"")</f>
        <v/>
      </c>
      <c r="CF25" s="207">
        <f>IFERROR(__xludf.DUMMYFUNCTION("AVERAGE(ARRAYFORMULA(XLOOKUP(FILTER(INDIRECT(""'""&amp;CF$1&amp;""'!$C$4:$C$66""),INDIRECT(""'""&amp;CF$1&amp;""'!$D$4:$D$66"")=CF$2),$F$3:$BP$3,$F25:$BP25)))"),0.34812287199999997)</f>
        <v>0.348122872</v>
      </c>
      <c r="CG25" s="207" t="str">
        <f>IFERROR(__xludf.DUMMYFUNCTION("IF(OR(CF25&gt;$BR25+$BS25*$BS$2,CF25&lt;$BR25-$BS25*$BS$2),AVEDEV(ARRAYFORMULA(XLOOKUP(FILTER(INDIRECT(""'""&amp;CF$1&amp;""'!$C$4:$C$66""),INDIRECT(""'""&amp;CF$1&amp;""'!$D$4:$D$66"")=CF$2),$F$3:$BP$3,$F25:$BP25))),"""")"),"")</f>
        <v/>
      </c>
      <c r="CH25" s="206"/>
      <c r="CI25" s="251">
        <f>IFERROR(__xludf.DUMMYFUNCTION("AVERAGE(ARRAYFORMULA(XLOOKUP(FILTER(INDIRECT(""'""&amp;CI$1&amp;""'!$C$4:$C$66""),INDIRECT(""'""&amp;CI$1&amp;""'!$D$4:$D$66"")=CI$2),$F$3:$BP$3,$F25:$BP25)))"),0.04505119800000001)</f>
        <v>0.045051198</v>
      </c>
      <c r="CJ25" s="207" t="str">
        <f>IFERROR(__xludf.DUMMYFUNCTION("IF(OR(CI25&gt;$BR25+$BS25*$BS$2,CI25&lt;$BR25-$BS25*$BS$2),AVEDEV(ARRAYFORMULA(XLOOKUP(FILTER(INDIRECT(""'""&amp;CI$1&amp;""'!$C$4:$C$66""),INDIRECT(""'""&amp;CI$1&amp;""'!$D$4:$D$66"")=CI$2),$F$3:$BP$3,$F25:$BP25))),"""")"),"")</f>
        <v/>
      </c>
      <c r="CK25" s="251">
        <f>IFERROR(__xludf.DUMMYFUNCTION("AVERAGE(ARRAYFORMULA(XLOOKUP(FILTER(INDIRECT(""'""&amp;CK$1&amp;""'!$C$4:$C$66""),INDIRECT(""'""&amp;CK$1&amp;""'!$D$4:$D$66"")=CK$2),$F$3:$BP$3,$F25:$BP25)))"),0.10361424923076924)</f>
        <v>0.1036142492</v>
      </c>
      <c r="CL25" s="207" t="str">
        <f>IFERROR(__xludf.DUMMYFUNCTION("IF(OR(CK25&gt;$BR25+$BS25*$BS$2,CK25&lt;$BR25-$BS25*$BS$2),AVEDEV(ARRAYFORMULA(XLOOKUP(FILTER(INDIRECT(""'""&amp;CK$1&amp;""'!$C$4:$C$66""),INDIRECT(""'""&amp;CK$1&amp;""'!$D$4:$D$66"")=CK$2),$F$3:$BP$3,$F25:$BP25))),"""")"),"")</f>
        <v/>
      </c>
      <c r="CM25" s="251">
        <f>IFERROR(__xludf.DUMMYFUNCTION("AVERAGE(ARRAYFORMULA(XLOOKUP(FILTER(INDIRECT(""'""&amp;CM$1&amp;""'!$C$4:$C$66""),INDIRECT(""'""&amp;CM$1&amp;""'!$D$4:$D$66"")=CM$2),$F$3:$BP$3,$F25:$BP25)))"),0.34812287199999997)</f>
        <v>0.348122872</v>
      </c>
      <c r="CN25" s="207" t="str">
        <f>IFERROR(__xludf.DUMMYFUNCTION("IF(OR(CM25&gt;$BR25+$BS25*$BS$2,CM25&lt;$BR25-$BS25*$BS$2),AVEDEV(ARRAYFORMULA(XLOOKUP(FILTER(INDIRECT(""'""&amp;CM$1&amp;""'!$C$4:$C$66""),INDIRECT(""'""&amp;CM$1&amp;""'!$D$4:$D$66"")=CM$2),$F$3:$BP$3,$F25:$BP25))),"""")"),"")</f>
        <v/>
      </c>
      <c r="CO25" s="252"/>
      <c r="CP25" s="251">
        <f>IFERROR(__xludf.DUMMYFUNCTION("AVERAGE(ARRAYFORMULA(XLOOKUP(FILTER(INDIRECT(""'""&amp;CP$1&amp;""'!$C$4:$C$66""),INDIRECT(""'""&amp;CP$1&amp;""'!$D$4:$D$66"")=CP$2),$F$3:$BP$3,$F25:$BP25)))"),0.12481716714285716)</f>
        <v>0.1248171671</v>
      </c>
      <c r="CQ25" s="207" t="str">
        <f>IFERROR(__xludf.DUMMYFUNCTION("IF(OR(CP25&gt;$BR25+$BS25*$BS$2,CP25&lt;$BR25-$BS25*$BS$2),AVEDEV(ARRAYFORMULA(XLOOKUP(FILTER(INDIRECT(""'""&amp;CP$1&amp;""'!$C$4:$C$66""),INDIRECT(""'""&amp;CP$1&amp;""'!$D$4:$D$66"")=CP$2),$F$3:$BP$3,$F25:$BP25))),"""")"),"")</f>
        <v/>
      </c>
      <c r="CR25" s="251">
        <f>IFERROR(__xludf.DUMMYFUNCTION("AVERAGE(ARRAYFORMULA(XLOOKUP(FILTER(INDIRECT(""'""&amp;CR$1&amp;""'!$C$4:$C$66""),INDIRECT(""'""&amp;CR$1&amp;""'!$D$4:$D$66"")=CR$2),$F$3:$BP$3,$F25:$BP25)))"),-0.03185437888888889)</f>
        <v>-0.03185437889</v>
      </c>
      <c r="CS25" s="207" t="str">
        <f>IFERROR(__xludf.DUMMYFUNCTION("IF(OR(CR25&gt;$BR25+$BS25*$BS$2,CR25&lt;$BR25-$BS25*$BS$2),AVEDEV(ARRAYFORMULA(XLOOKUP(FILTER(INDIRECT(""'""&amp;CR$1&amp;""'!$C$4:$C$66""),INDIRECT(""'""&amp;CR$1&amp;""'!$D$4:$D$66"")=CR$2),$F$3:$BP$3,$F25:$BP25))),"""")"),"")</f>
        <v/>
      </c>
      <c r="CT25" s="251">
        <f>IFERROR(__xludf.DUMMYFUNCTION("AVERAGE(ARRAYFORMULA(XLOOKUP(FILTER(INDIRECT(""'""&amp;CT$1&amp;""'!$C$4:$C$66""),INDIRECT(""'""&amp;CT$1&amp;""'!$D$4:$D$66"")=CT$2),$F$3:$BP$3,$F25:$BP25)))"),0.29289482727272725)</f>
        <v>0.2928948273</v>
      </c>
      <c r="CU25" s="207" t="str">
        <f>IFERROR(__xludf.DUMMYFUNCTION("IF(OR(CT25&gt;$BR25+$BS25*$BS$2,CT25&lt;$BR25-$BS25*$BS$2),AVEDEV(ARRAYFORMULA(XLOOKUP(FILTER(INDIRECT(""'""&amp;CT$1&amp;""'!$C$4:$C$66""),INDIRECT(""'""&amp;CT$1&amp;""'!$D$4:$D$66"")=CT$2),$F$3:$BP$3,$F25:$BP25))),"""")"),"")</f>
        <v/>
      </c>
      <c r="CV25" s="251">
        <f>IFERROR(__xludf.DUMMYFUNCTION("AVERAGE(ARRAYFORMULA(XLOOKUP(FILTER(INDIRECT(""'""&amp;CV$1&amp;""'!$C$4:$C$66""),INDIRECT(""'""&amp;CV$1&amp;""'!$D$4:$D$66"")=CV$2),$F$3:$BP$3,$F25:$BP25)))"),0.5802047800000001)</f>
        <v>0.58020478</v>
      </c>
      <c r="CW25" s="207" t="str">
        <f>IFERROR(__xludf.DUMMYFUNCTION("IF(OR(CV25&gt;$BR25+$BS25*$BS$2,CV25&lt;$BR25-$BS25*$BS$2),AVEDEV(ARRAYFORMULA(XLOOKUP(FILTER(INDIRECT(""'""&amp;CV$1&amp;""'!$C$4:$C$66""),INDIRECT(""'""&amp;CV$1&amp;""'!$D$4:$D$66"")=CV$2),$F$3:$BP$3,$F25:$BP25))),"""")"),"")</f>
        <v/>
      </c>
      <c r="CX25" s="251">
        <f>IFERROR(__xludf.DUMMYFUNCTION("AVERAGE(ARRAYFORMULA(XLOOKUP(FILTER(INDIRECT(""'""&amp;CX$1&amp;""'!$C$4:$C$66""),INDIRECT(""'""&amp;CX$1&amp;""'!$D$4:$D$66"")=CX$2),$F$3:$BP$3,$F25:$BP25)))"),0.10775231714285714)</f>
        <v>0.1077523171</v>
      </c>
      <c r="CY25" s="207" t="str">
        <f>IFERROR(__xludf.DUMMYFUNCTION("IF(OR(CX25&gt;$BR25+$BS25*$BS$2,CX25&lt;$BR25-$BS25*$BS$2),AVEDEV(ARRAYFORMULA(XLOOKUP(FILTER(INDIRECT(""'""&amp;CX$1&amp;""'!$C$4:$C$66""),INDIRECT(""'""&amp;CX$1&amp;""'!$D$4:$D$66"")=CX$2),$F$3:$BP$3,$F25:$BP25))),"""")"),"")</f>
        <v/>
      </c>
      <c r="CZ25" s="252"/>
      <c r="DA25" s="251">
        <f>IFERROR(__xludf.DUMMYFUNCTION("AVERAGE(ARRAYFORMULA(XLOOKUP(FILTER(INDIRECT(""'""&amp;DA$1&amp;""'!$C$4:$C$66""),INDIRECT(""'""&amp;DA$1&amp;""'!$D$4:$D$66"")=DA$2),$F$3:$BP$3,$F25:$BP25)))"),0.262116041)</f>
        <v>0.262116041</v>
      </c>
      <c r="DB25" s="207" t="str">
        <f>IFERROR(__xludf.DUMMYFUNCTION("IF(OR(DA25&gt;$BR25+$BS25*$BS$2,DA25&lt;$BR25-$BS25*$BS$2),AVEDEV(ARRAYFORMULA(XLOOKUP(FILTER(INDIRECT(""'""&amp;DA$1&amp;""'!$C$4:$C$66""),INDIRECT(""'""&amp;DA$1&amp;""'!$D$4:$D$66"")=DA$2),$F$3:$BP$3,$F25:$BP25))),"""")"),"")</f>
        <v/>
      </c>
      <c r="DC25" s="251">
        <f>IFERROR(__xludf.DUMMYFUNCTION("AVERAGE(ARRAYFORMULA(XLOOKUP(FILTER(INDIRECT(""'""&amp;DC$1&amp;""'!$C$4:$C$66""),INDIRECT(""'""&amp;DC$1&amp;""'!$D$4:$D$66"")=DC$2),$F$3:$BP$3,$F25:$BP25)))"),-0.17064845777777776)</f>
        <v>-0.1706484578</v>
      </c>
      <c r="DD25" s="207" t="str">
        <f>IFERROR(__xludf.DUMMYFUNCTION("IF(OR(DC25&gt;$BR25+$BS25*$BS$2,DC25&lt;$BR25-$BS25*$BS$2),AVEDEV(ARRAYFORMULA(XLOOKUP(FILTER(INDIRECT(""'""&amp;DC$1&amp;""'!$C$4:$C$66""),INDIRECT(""'""&amp;DC$1&amp;""'!$D$4:$D$66"")=DC$2),$F$3:$BP$3,$F25:$BP25))),"""")"),"")</f>
        <v/>
      </c>
      <c r="DE25" s="251">
        <f>IFERROR(__xludf.DUMMYFUNCTION("AVERAGE(ARRAYFORMULA(XLOOKUP(FILTER(INDIRECT(""'""&amp;DE$1&amp;""'!$C$4:$C$66""),INDIRECT(""'""&amp;DE$1&amp;""'!$D$4:$D$66"")=DE$2),$F$3:$BP$3,$F25:$BP25)))"),-0.08276448749999998)</f>
        <v>-0.0827644875</v>
      </c>
      <c r="DF25" s="207" t="str">
        <f>IFERROR(__xludf.DUMMYFUNCTION("IF(OR(DE25&gt;$BR25+$BS25*$BS$2,DE25&lt;$BR25-$BS25*$BS$2),AVEDEV(ARRAYFORMULA(XLOOKUP(FILTER(INDIRECT(""'""&amp;DE$1&amp;""'!$C$4:$C$66""),INDIRECT(""'""&amp;DE$1&amp;""'!$D$4:$D$66"")=DE$2),$F$3:$BP$3,$F25:$BP25))),"""")"),"")</f>
        <v/>
      </c>
      <c r="DG25" s="251">
        <f>IFERROR(__xludf.DUMMYFUNCTION("AVERAGE(ARRAYFORMULA(XLOOKUP(FILTER(INDIRECT(""'""&amp;DG$1&amp;""'!$C$4:$C$66""),INDIRECT(""'""&amp;DG$1&amp;""'!$D$4:$D$66"")=DG$2),$F$3:$BP$3,$F25:$BP25)))"),0.20932878222222223)</f>
        <v>0.2093287822</v>
      </c>
      <c r="DH25" s="207" t="str">
        <f>IFERROR(__xludf.DUMMYFUNCTION("IF(OR(DG25&gt;$BR25+$BS25*$BS$2,DG25&lt;$BR25-$BS25*$BS$2),AVEDEV(ARRAYFORMULA(XLOOKUP(FILTER(INDIRECT(""'""&amp;DG$1&amp;""'!$C$4:$C$66""),INDIRECT(""'""&amp;DG$1&amp;""'!$D$4:$D$66"")=DG$2),$F$3:$BP$3,$F25:$BP25))),"""")"),"")</f>
        <v/>
      </c>
      <c r="DI25" s="252"/>
    </row>
    <row r="26">
      <c r="A26" s="2"/>
      <c r="B26" s="204" t="s">
        <v>442</v>
      </c>
      <c r="C26" s="204" t="s">
        <v>466</v>
      </c>
      <c r="D26" s="205" t="b">
        <f>VLOOKUP(C26,'Feature Set List'!A23:C246,2,0)</f>
        <v>1</v>
      </c>
      <c r="E26" s="205" t="b">
        <f>VLOOKUP(C26,'Feature Set List'!A23:C246,3,0)</f>
        <v>1</v>
      </c>
      <c r="F26" s="205">
        <v>-0.7752668</v>
      </c>
      <c r="G26" s="205">
        <v>0.51663528</v>
      </c>
      <c r="H26" s="205">
        <v>-0.5505336</v>
      </c>
      <c r="I26" s="205">
        <v>0.39548023</v>
      </c>
      <c r="J26" s="205">
        <v>0.54613936</v>
      </c>
      <c r="K26" s="205">
        <v>0.66792216</v>
      </c>
      <c r="L26" s="205">
        <v>-0.0188324</v>
      </c>
      <c r="M26" s="205">
        <v>-0.3220339</v>
      </c>
      <c r="N26" s="205">
        <v>-0.6403013</v>
      </c>
      <c r="O26" s="205">
        <v>0.70119272</v>
      </c>
      <c r="P26" s="205">
        <v>-0.5103578</v>
      </c>
      <c r="Q26" s="205">
        <v>-0.2881356</v>
      </c>
      <c r="R26" s="205">
        <v>-0.5605775</v>
      </c>
      <c r="S26" s="205">
        <v>-0.2046453</v>
      </c>
      <c r="T26" s="205">
        <v>-0.7106089</v>
      </c>
      <c r="U26" s="205">
        <v>0.61895794</v>
      </c>
      <c r="V26" s="205">
        <v>-0.6566227</v>
      </c>
      <c r="W26" s="205">
        <v>-0.2366604</v>
      </c>
      <c r="X26" s="205">
        <v>0.28499686</v>
      </c>
      <c r="Y26" s="205">
        <v>-0.5944758</v>
      </c>
      <c r="Z26" s="205">
        <v>-0.6277464</v>
      </c>
      <c r="AA26" s="205">
        <v>-1.0219711</v>
      </c>
      <c r="AB26" s="205">
        <v>0.40489642</v>
      </c>
      <c r="AC26" s="205">
        <v>0.36346516</v>
      </c>
      <c r="AD26" s="205">
        <v>0.07281858</v>
      </c>
      <c r="AE26" s="205">
        <v>0.79409918</v>
      </c>
      <c r="AF26" s="205">
        <v>0.24984306</v>
      </c>
      <c r="AG26" s="205">
        <v>0.06967985</v>
      </c>
      <c r="AH26" s="205">
        <v>0.75517891</v>
      </c>
      <c r="AI26" s="205">
        <v>-0.428123</v>
      </c>
      <c r="AJ26" s="205">
        <v>0.76522285</v>
      </c>
      <c r="AK26" s="205">
        <v>0.45951036</v>
      </c>
      <c r="AL26" s="205">
        <v>0.64908977</v>
      </c>
      <c r="AM26" s="205">
        <v>-0.2222222</v>
      </c>
      <c r="AN26" s="205">
        <v>0.53735091</v>
      </c>
      <c r="AO26" s="205">
        <v>0.82925298</v>
      </c>
      <c r="AP26" s="205">
        <v>-0.4030132</v>
      </c>
      <c r="AQ26" s="205">
        <v>-0.7055869</v>
      </c>
      <c r="AR26" s="205">
        <v>0.5737602</v>
      </c>
      <c r="AS26" s="205">
        <v>-0.1029504</v>
      </c>
      <c r="AT26" s="205">
        <v>0.0</v>
      </c>
      <c r="AU26" s="205">
        <v>1.01318267</v>
      </c>
      <c r="AV26" s="205">
        <v>0.77087257</v>
      </c>
      <c r="AW26" s="205">
        <v>-0.6076585</v>
      </c>
      <c r="AX26" s="205">
        <v>-0.440678</v>
      </c>
      <c r="AY26" s="205">
        <v>-0.4187068</v>
      </c>
      <c r="AZ26" s="205">
        <v>0.24670433</v>
      </c>
      <c r="BA26" s="205">
        <v>-0.6553672</v>
      </c>
      <c r="BB26" s="205">
        <v>-0.3283114</v>
      </c>
      <c r="BC26" s="205">
        <v>0.31889517</v>
      </c>
      <c r="BD26" s="205">
        <v>0.38166981</v>
      </c>
      <c r="BE26" s="205">
        <v>0.10169492</v>
      </c>
      <c r="BF26" s="205">
        <v>-0.4507219</v>
      </c>
      <c r="BG26" s="205">
        <v>0.38041431</v>
      </c>
      <c r="BH26" s="205">
        <v>-0.6352793</v>
      </c>
      <c r="BI26" s="205">
        <v>-0.4532329</v>
      </c>
      <c r="BJ26" s="205">
        <v>0.88135593</v>
      </c>
      <c r="BK26" s="205">
        <v>-0.9196485</v>
      </c>
      <c r="BL26" s="205">
        <v>0.89704959</v>
      </c>
      <c r="BM26" s="205">
        <v>-0.5134965</v>
      </c>
      <c r="BN26" s="205">
        <v>-0.7903327</v>
      </c>
      <c r="BO26" s="205">
        <v>0.23226616</v>
      </c>
      <c r="BP26" s="205">
        <v>0.32705587</v>
      </c>
      <c r="BQ26" s="206"/>
      <c r="BR26" s="250">
        <f t="shared" si="1"/>
        <v>0.0001992890476</v>
      </c>
      <c r="BS26" s="250">
        <f t="shared" si="2"/>
        <v>0.5016024174</v>
      </c>
      <c r="BT26" s="206"/>
      <c r="BU26" s="207">
        <f>IFERROR(__xludf.DUMMYFUNCTION("AVERAGE(ARRAYFORMULA(XLOOKUP(FILTER(INDIRECT(""'""&amp;BU$1&amp;""'!$C$4:$C$66""),INDIRECT(""'""&amp;BU$1&amp;""'!$D$4:$D$66"")=BU$2),$F$3:$BP$3,$F26:$BP26)))"),-0.2919917542857143)</f>
        <v>-0.2919917543</v>
      </c>
      <c r="BV26" s="207" t="str">
        <f>IFERROR(__xludf.DUMMYFUNCTION("IF(OR(BU26&gt;$BR26+$BS26*$BS$2,BU26&lt;$BR26-$BS26*$BS$2),AVEDEV(ARRAYFORMULA(XLOOKUP(FILTER(INDIRECT(""'""&amp;BU$1&amp;""'!$C$4:$C$66""),INDIRECT(""'""&amp;BU$1&amp;""'!$D$4:$D$66"")=BU$2),$F$3:$BP$3,$F26:$BP26))),"""")"),"")</f>
        <v/>
      </c>
      <c r="BW26" s="207">
        <f>IFERROR(__xludf.DUMMYFUNCTION("AVERAGE(ARRAYFORMULA(XLOOKUP(FILTER(INDIRECT(""'""&amp;BW$1&amp;""'!$C$4:$C$66""),INDIRECT(""'""&amp;BW$1&amp;""'!$D$4:$D$66"")=BW$2),$F$3:$BP$3,$F26:$BP26)))"),0.018339168571428567)</f>
        <v>0.01833916857</v>
      </c>
      <c r="BX26" s="207" t="str">
        <f>IFERROR(__xludf.DUMMYFUNCTION("IF(OR(BW26&gt;$BR26+$BS26*$BS$2,BW26&lt;$BR26-$BS26*$BS$2),AVEDEV(ARRAYFORMULA(XLOOKUP(FILTER(INDIRECT(""'""&amp;BW$1&amp;""'!$C$4:$C$66""),INDIRECT(""'""&amp;BW$1&amp;""'!$D$4:$D$66"")=BW$2),$F$3:$BP$3,$F26:$BP26))),"""")"),"")</f>
        <v/>
      </c>
      <c r="BY26" s="207">
        <f>IFERROR(__xludf.DUMMYFUNCTION("AVERAGE(ARRAYFORMULA(XLOOKUP(FILTER(INDIRECT(""'""&amp;BY$1&amp;""'!$C$4:$C$66""),INDIRECT(""'""&amp;BY$1&amp;""'!$D$4:$D$66"")=BY$2),$F$3:$BP$3,$F26:$BP26)))"),0.1379900763636364)</f>
        <v>0.1379900764</v>
      </c>
      <c r="BZ26" s="207" t="str">
        <f>IFERROR(__xludf.DUMMYFUNCTION("IF(OR(BY26&gt;$BR26+$BS26*$BS$2,BY26&lt;$BR26-$BS26*$BS$2),AVEDEV(ARRAYFORMULA(XLOOKUP(FILTER(INDIRECT(""'""&amp;BY$1&amp;""'!$C$4:$C$66""),INDIRECT(""'""&amp;BY$1&amp;""'!$D$4:$D$66"")=BY$2),$F$3:$BP$3,$F26:$BP26))),"""")"),"")</f>
        <v/>
      </c>
      <c r="CA26" s="209"/>
      <c r="CB26" s="207">
        <f>IFERROR(__xludf.DUMMYFUNCTION("AVERAGE(ARRAYFORMULA(XLOOKUP(FILTER(INDIRECT(""'""&amp;CB$1&amp;""'!$C$4:$C$66""),INDIRECT(""'""&amp;CB$1&amp;""'!$D$4:$D$66"")=CB$2),$F$3:$BP$3,$F26:$BP26)))"),0.21425769249999999)</f>
        <v>0.2142576925</v>
      </c>
      <c r="CC26" s="207" t="str">
        <f>IFERROR(__xludf.DUMMYFUNCTION("IF(OR(CB26&gt;$BR26+$BS26*$BS$2,CB26&lt;$BR26-$BS26*$BS$2),AVEDEV(ARRAYFORMULA(XLOOKUP(FILTER(INDIRECT(""'""&amp;CB$1&amp;""'!$C$4:$C$66""),INDIRECT(""'""&amp;CB$1&amp;""'!$D$4:$D$66"")=CB$2),$F$3:$BP$3,$F26:$BP26))),"""")"),"")</f>
        <v/>
      </c>
      <c r="CD26" s="207">
        <f>IFERROR(__xludf.DUMMYFUNCTION("AVERAGE(ARRAYFORMULA(XLOOKUP(FILTER(INDIRECT(""'""&amp;CD$1&amp;""'!$C$4:$C$66""),INDIRECT(""'""&amp;CD$1&amp;""'!$D$4:$D$66"")=CD$2),$F$3:$BP$3,$F26:$BP26)))"),-0.04675697387096774)</f>
        <v>-0.04675697387</v>
      </c>
      <c r="CE26" s="207" t="str">
        <f>IFERROR(__xludf.DUMMYFUNCTION("IF(OR(CD26&gt;$BR26+$BS26*$BS$2,CD26&lt;$BR26-$BS26*$BS$2),AVEDEV(ARRAYFORMULA(XLOOKUP(FILTER(INDIRECT(""'""&amp;CD$1&amp;""'!$C$4:$C$66""),INDIRECT(""'""&amp;CD$1&amp;""'!$D$4:$D$66"")=CD$2),$F$3:$BP$3,$F26:$BP26))),"""")"),"")</f>
        <v/>
      </c>
      <c r="CF26" s="207">
        <f>IFERROR(__xludf.DUMMYFUNCTION("AVERAGE(ARRAYFORMULA(XLOOKUP(FILTER(INDIRECT(""'""&amp;CF$1&amp;""'!$C$4:$C$66""),INDIRECT(""'""&amp;CF$1&amp;""'!$D$4:$D$66"")=CF$2),$F$3:$BP$3,$F26:$BP26)))"),0.17325801000000002)</f>
        <v>0.17325801</v>
      </c>
      <c r="CG26" s="207" t="str">
        <f>IFERROR(__xludf.DUMMYFUNCTION("IF(OR(CF26&gt;$BR26+$BS26*$BS$2,CF26&lt;$BR26-$BS26*$BS$2),AVEDEV(ARRAYFORMULA(XLOOKUP(FILTER(INDIRECT(""'""&amp;CF$1&amp;""'!$C$4:$C$66""),INDIRECT(""'""&amp;CF$1&amp;""'!$D$4:$D$66"")=CF$2),$F$3:$BP$3,$F26:$BP26))),"""")"),"")</f>
        <v/>
      </c>
      <c r="CH26" s="206"/>
      <c r="CI26" s="251">
        <f>IFERROR(__xludf.DUMMYFUNCTION("AVERAGE(ARRAYFORMULA(XLOOKUP(FILTER(INDIRECT(""'""&amp;CI$1&amp;""'!$C$4:$C$66""),INDIRECT(""'""&amp;CI$1&amp;""'!$D$4:$D$66"")=CI$2),$F$3:$BP$3,$F26:$BP26)))"),-0.208788446)</f>
        <v>-0.208788446</v>
      </c>
      <c r="CJ26" s="207" t="str">
        <f>IFERROR(__xludf.DUMMYFUNCTION("IF(OR(CI26&gt;$BR26+$BS26*$BS$2,CI26&lt;$BR26-$BS26*$BS$2),AVEDEV(ARRAYFORMULA(XLOOKUP(FILTER(INDIRECT(""'""&amp;CI$1&amp;""'!$C$4:$C$66""),INDIRECT(""'""&amp;CI$1&amp;""'!$D$4:$D$66"")=CI$2),$F$3:$BP$3,$F26:$BP26))),"""")"),"")</f>
        <v/>
      </c>
      <c r="CK26" s="251">
        <f>IFERROR(__xludf.DUMMYFUNCTION("AVERAGE(ARRAYFORMULA(XLOOKUP(FILTER(INDIRECT(""'""&amp;CK$1&amp;""'!$C$4:$C$66""),INDIRECT(""'""&amp;CK$1&amp;""'!$D$4:$D$66"")=CK$2),$F$3:$BP$3,$F26:$BP26)))"),0.08793278923076922)</f>
        <v>0.08793278923</v>
      </c>
      <c r="CL26" s="207" t="str">
        <f>IFERROR(__xludf.DUMMYFUNCTION("IF(OR(CK26&gt;$BR26+$BS26*$BS$2,CK26&lt;$BR26-$BS26*$BS$2),AVEDEV(ARRAYFORMULA(XLOOKUP(FILTER(INDIRECT(""'""&amp;CK$1&amp;""'!$C$4:$C$66""),INDIRECT(""'""&amp;CK$1&amp;""'!$D$4:$D$66"")=CK$2),$F$3:$BP$3,$F26:$BP26))),"""")"),"")</f>
        <v/>
      </c>
      <c r="CM26" s="251">
        <f>IFERROR(__xludf.DUMMYFUNCTION("AVERAGE(ARRAYFORMULA(XLOOKUP(FILTER(INDIRECT(""'""&amp;CM$1&amp;""'!$C$4:$C$66""),INDIRECT(""'""&amp;CM$1&amp;""'!$D$4:$D$66"")=CM$2),$F$3:$BP$3,$F26:$BP26)))"),0.17325801000000002)</f>
        <v>0.17325801</v>
      </c>
      <c r="CN26" s="207" t="str">
        <f>IFERROR(__xludf.DUMMYFUNCTION("IF(OR(CM26&gt;$BR26+$BS26*$BS$2,CM26&lt;$BR26-$BS26*$BS$2),AVEDEV(ARRAYFORMULA(XLOOKUP(FILTER(INDIRECT(""'""&amp;CM$1&amp;""'!$C$4:$C$66""),INDIRECT(""'""&amp;CM$1&amp;""'!$D$4:$D$66"")=CM$2),$F$3:$BP$3,$F26:$BP26))),"""")"),"")</f>
        <v/>
      </c>
      <c r="CO26" s="252"/>
      <c r="CP26" s="251">
        <f>IFERROR(__xludf.DUMMYFUNCTION("AVERAGE(ARRAYFORMULA(XLOOKUP(FILTER(INDIRECT(""'""&amp;CP$1&amp;""'!$C$4:$C$66""),INDIRECT(""'""&amp;CP$1&amp;""'!$D$4:$D$66"")=CP$2),$F$3:$BP$3,$F26:$BP26)))"),0.406555465)</f>
        <v>0.406555465</v>
      </c>
      <c r="CQ26" s="207" t="str">
        <f>IFERROR(__xludf.DUMMYFUNCTION("IF(OR(CP26&gt;$BR26+$BS26*$BS$2,CP26&lt;$BR26-$BS26*$BS$2),AVEDEV(ARRAYFORMULA(XLOOKUP(FILTER(INDIRECT(""'""&amp;CP$1&amp;""'!$C$4:$C$66""),INDIRECT(""'""&amp;CP$1&amp;""'!$D$4:$D$66"")=CP$2),$F$3:$BP$3,$F26:$BP26))),"""")"),"")</f>
        <v/>
      </c>
      <c r="CR26" s="251">
        <f>IFERROR(__xludf.DUMMYFUNCTION("AVERAGE(ARRAYFORMULA(XLOOKUP(FILTER(INDIRECT(""'""&amp;CR$1&amp;""'!$C$4:$C$66""),INDIRECT(""'""&amp;CR$1&amp;""'!$D$4:$D$66"")=CR$2),$F$3:$BP$3,$F26:$BP26)))"),0.11550533888888892)</f>
        <v>0.1155053389</v>
      </c>
      <c r="CS26" s="207" t="str">
        <f>IFERROR(__xludf.DUMMYFUNCTION("IF(OR(CR26&gt;$BR26+$BS26*$BS$2,CR26&lt;$BR26-$BS26*$BS$2),AVEDEV(ARRAYFORMULA(XLOOKUP(FILTER(INDIRECT(""'""&amp;CR$1&amp;""'!$C$4:$C$66""),INDIRECT(""'""&amp;CR$1&amp;""'!$D$4:$D$66"")=CR$2),$F$3:$BP$3,$F26:$BP26))),"""")"),"")</f>
        <v/>
      </c>
      <c r="CT26" s="251">
        <f>IFERROR(__xludf.DUMMYFUNCTION("AVERAGE(ARRAYFORMULA(XLOOKUP(FILTER(INDIRECT(""'""&amp;CT$1&amp;""'!$C$4:$C$66""),INDIRECT(""'""&amp;CT$1&amp;""'!$D$4:$D$66"")=CT$2),$F$3:$BP$3,$F26:$BP26)))"),-0.1669234627272727)</f>
        <v>-0.1669234627</v>
      </c>
      <c r="CU26" s="207" t="str">
        <f>IFERROR(__xludf.DUMMYFUNCTION("IF(OR(CT26&gt;$BR26+$BS26*$BS$2,CT26&lt;$BR26-$BS26*$BS$2),AVEDEV(ARRAYFORMULA(XLOOKUP(FILTER(INDIRECT(""'""&amp;CT$1&amp;""'!$C$4:$C$66""),INDIRECT(""'""&amp;CT$1&amp;""'!$D$4:$D$66"")=CT$2),$F$3:$BP$3,$F26:$BP26))),"""")"),"")</f>
        <v/>
      </c>
      <c r="CV26" s="251">
        <f>IFERROR(__xludf.DUMMYFUNCTION("AVERAGE(ARRAYFORMULA(XLOOKUP(FILTER(INDIRECT(""'""&amp;CV$1&amp;""'!$C$4:$C$66""),INDIRECT(""'""&amp;CV$1&amp;""'!$D$4:$D$66"")=CV$2),$F$3:$BP$3,$F26:$BP26)))"),0.371939735)</f>
        <v>0.371939735</v>
      </c>
      <c r="CW26" s="207" t="str">
        <f>IFERROR(__xludf.DUMMYFUNCTION("IF(OR(CV26&gt;$BR26+$BS26*$BS$2,CV26&lt;$BR26-$BS26*$BS$2),AVEDEV(ARRAYFORMULA(XLOOKUP(FILTER(INDIRECT(""'""&amp;CV$1&amp;""'!$C$4:$C$66""),INDIRECT(""'""&amp;CV$1&amp;""'!$D$4:$D$66"")=CV$2),$F$3:$BP$3,$F26:$BP26))),"""")"),"")</f>
        <v/>
      </c>
      <c r="CX26" s="251">
        <f>IFERROR(__xludf.DUMMYFUNCTION("AVERAGE(ARRAYFORMULA(XLOOKUP(FILTER(INDIRECT(""'""&amp;CX$1&amp;""'!$C$4:$C$66""),INDIRECT(""'""&amp;CX$1&amp;""'!$D$4:$D$66"")=CX$2),$F$3:$BP$3,$F26:$BP26)))"),-0.38341851214285716)</f>
        <v>-0.3834185121</v>
      </c>
      <c r="CY26" s="207" t="str">
        <f>IFERROR(__xludf.DUMMYFUNCTION("IF(OR(CX26&gt;$BR26+$BS26*$BS$2,CX26&lt;$BR26-$BS26*$BS$2),AVEDEV(ARRAYFORMULA(XLOOKUP(FILTER(INDIRECT(""'""&amp;CX$1&amp;""'!$C$4:$C$66""),INDIRECT(""'""&amp;CX$1&amp;""'!$D$4:$D$66"")=CX$2),$F$3:$BP$3,$F26:$BP26))),"""")"),"")</f>
        <v/>
      </c>
      <c r="CZ26" s="252"/>
      <c r="DA26" s="251">
        <f>IFERROR(__xludf.DUMMYFUNCTION("AVERAGE(ARRAYFORMULA(XLOOKUP(FILTER(INDIRECT(""'""&amp;DA$1&amp;""'!$C$4:$C$66""),INDIRECT(""'""&amp;DA$1&amp;""'!$D$4:$D$66"")=DA$2),$F$3:$BP$3,$F26:$BP26)))"),0.04333543033333334)</f>
        <v>0.04333543033</v>
      </c>
      <c r="DB26" s="207" t="str">
        <f>IFERROR(__xludf.DUMMYFUNCTION("IF(OR(DA26&gt;$BR26+$BS26*$BS$2,DA26&lt;$BR26-$BS26*$BS$2),AVEDEV(ARRAYFORMULA(XLOOKUP(FILTER(INDIRECT(""'""&amp;DA$1&amp;""'!$C$4:$C$66""),INDIRECT(""'""&amp;DA$1&amp;""'!$D$4:$D$66"")=DA$2),$F$3:$BP$3,$F26:$BP26))),"""")"),"")</f>
        <v/>
      </c>
      <c r="DC26" s="251">
        <f>IFERROR(__xludf.DUMMYFUNCTION("AVERAGE(ARRAYFORMULA(XLOOKUP(FILTER(INDIRECT(""'""&amp;DC$1&amp;""'!$C$4:$C$66""),INDIRECT(""'""&amp;DC$1&amp;""'!$D$4:$D$66"")=DC$2),$F$3:$BP$3,$F26:$BP26)))"),0.2078538077777778)</f>
        <v>0.2078538078</v>
      </c>
      <c r="DD26" s="207" t="str">
        <f>IFERROR(__xludf.DUMMYFUNCTION("IF(OR(DC26&gt;$BR26+$BS26*$BS$2,DC26&lt;$BR26-$BS26*$BS$2),AVEDEV(ARRAYFORMULA(XLOOKUP(FILTER(INDIRECT(""'""&amp;DC$1&amp;""'!$C$4:$C$66""),INDIRECT(""'""&amp;DC$1&amp;""'!$D$4:$D$66"")=DC$2),$F$3:$BP$3,$F26:$BP26))),"""")"),"")</f>
        <v/>
      </c>
      <c r="DE26" s="251">
        <f>IFERROR(__xludf.DUMMYFUNCTION("AVERAGE(ARRAYFORMULA(XLOOKUP(FILTER(INDIRECT(""'""&amp;DE$1&amp;""'!$C$4:$C$66""),INDIRECT(""'""&amp;DE$1&amp;""'!$D$4:$D$66"")=DE$2),$F$3:$BP$3,$F26:$BP26)))"),-0.5143596874999999)</f>
        <v>-0.5143596875</v>
      </c>
      <c r="DF26" s="207">
        <f>IFERROR(__xludf.DUMMYFUNCTION("IF(OR(DE26&gt;$BR26+$BS26*$BS$2,DE26&lt;$BR26-$BS26*$BS$2),AVEDEV(ARRAYFORMULA(XLOOKUP(FILTER(INDIRECT(""'""&amp;DE$1&amp;""'!$C$4:$C$66""),INDIRECT(""'""&amp;DE$1&amp;""'!$D$4:$D$66"")=DE$2),$F$3:$BP$3,$F26:$BP26))),"""")"),0.12044883749999999)</f>
        <v>0.1204488375</v>
      </c>
      <c r="DG26" s="251">
        <f>IFERROR(__xludf.DUMMYFUNCTION("AVERAGE(ARRAYFORMULA(XLOOKUP(FILTER(INDIRECT(""'""&amp;DG$1&amp;""'!$C$4:$C$66""),INDIRECT(""'""&amp;DG$1&amp;""'!$D$4:$D$66"")=DG$2),$F$3:$BP$3,$F26:$BP26)))"),0.27920765)</f>
        <v>0.27920765</v>
      </c>
      <c r="DH26" s="207" t="str">
        <f>IFERROR(__xludf.DUMMYFUNCTION("IF(OR(DG26&gt;$BR26+$BS26*$BS$2,DG26&lt;$BR26-$BS26*$BS$2),AVEDEV(ARRAYFORMULA(XLOOKUP(FILTER(INDIRECT(""'""&amp;DG$1&amp;""'!$C$4:$C$66""),INDIRECT(""'""&amp;DG$1&amp;""'!$D$4:$D$66"")=DG$2),$F$3:$BP$3,$F26:$BP26))),"""")"),"")</f>
        <v/>
      </c>
      <c r="DI26" s="252"/>
    </row>
    <row r="27">
      <c r="A27" s="2"/>
      <c r="B27" s="204" t="s">
        <v>442</v>
      </c>
      <c r="C27" s="204" t="s">
        <v>467</v>
      </c>
      <c r="D27" s="205" t="b">
        <f>VLOOKUP(C27,'Feature Set List'!A24:C246,2,0)</f>
        <v>1</v>
      </c>
      <c r="E27" s="205" t="b">
        <f>VLOOKUP(C27,'Feature Set List'!A24:C246,3,0)</f>
        <v>1</v>
      </c>
      <c r="F27" s="205">
        <v>-0.0328172</v>
      </c>
      <c r="G27" s="205">
        <v>-0.442208</v>
      </c>
      <c r="H27" s="205">
        <v>-0.7116387</v>
      </c>
      <c r="I27" s="205">
        <v>0.53385641</v>
      </c>
      <c r="J27" s="205">
        <v>-0.6960543</v>
      </c>
      <c r="K27" s="205">
        <v>-0.1429571</v>
      </c>
      <c r="L27" s="205">
        <v>0.18296712</v>
      </c>
      <c r="M27" s="205">
        <v>0.63432499</v>
      </c>
      <c r="N27" s="205">
        <v>0.05304698</v>
      </c>
      <c r="O27" s="205">
        <v>-0.714336</v>
      </c>
      <c r="P27" s="205">
        <v>-0.1789212</v>
      </c>
      <c r="Q27" s="205">
        <v>-1.117583</v>
      </c>
      <c r="R27" s="205">
        <v>0.78281757</v>
      </c>
      <c r="S27" s="205">
        <v>-0.4425077</v>
      </c>
      <c r="T27" s="205">
        <v>1.21783278</v>
      </c>
      <c r="U27" s="205">
        <v>-0.7005498</v>
      </c>
      <c r="V27" s="205">
        <v>0.65866666</v>
      </c>
      <c r="W27" s="205">
        <v>1.469731</v>
      </c>
      <c r="X27" s="205">
        <v>0.02037963</v>
      </c>
      <c r="Y27" s="205">
        <v>0.17682327</v>
      </c>
      <c r="Z27" s="205">
        <v>0.47112911</v>
      </c>
      <c r="AA27" s="205">
        <v>1.43766306</v>
      </c>
      <c r="AB27" s="205">
        <v>1.53521555</v>
      </c>
      <c r="AC27" s="205">
        <v>-0.4951051</v>
      </c>
      <c r="AD27" s="205">
        <v>-0.1008492</v>
      </c>
      <c r="AE27" s="205">
        <v>-0.557293</v>
      </c>
      <c r="AF27" s="205">
        <v>-0.5094908</v>
      </c>
      <c r="AG27" s="205">
        <v>1.55919159</v>
      </c>
      <c r="AH27" s="205">
        <v>-0.3746256</v>
      </c>
      <c r="AI27" s="205">
        <v>-0.0681819</v>
      </c>
      <c r="AJ27" s="205">
        <v>0.64771261</v>
      </c>
      <c r="AK27" s="205">
        <v>0.09290714</v>
      </c>
      <c r="AL27" s="205">
        <v>0.49592932</v>
      </c>
      <c r="AM27" s="205">
        <v>-0.6968035</v>
      </c>
      <c r="AN27" s="205">
        <v>-0.0687813</v>
      </c>
      <c r="AO27" s="205">
        <v>0.19135874</v>
      </c>
      <c r="AP27" s="205">
        <v>-0.1296204</v>
      </c>
      <c r="AQ27" s="205">
        <v>-0.4188314</v>
      </c>
      <c r="AR27" s="205">
        <v>0.0</v>
      </c>
      <c r="AS27" s="205">
        <v>-0.028022</v>
      </c>
      <c r="AT27" s="205">
        <v>-0.1129871</v>
      </c>
      <c r="AU27" s="205">
        <v>1.39255814</v>
      </c>
      <c r="AV27" s="205">
        <v>0.07612391</v>
      </c>
      <c r="AW27" s="205">
        <v>0.34600417</v>
      </c>
      <c r="AX27" s="205">
        <v>2.07422681</v>
      </c>
      <c r="AY27" s="205">
        <v>1.18966093</v>
      </c>
      <c r="AZ27" s="205">
        <v>-0.7240763</v>
      </c>
      <c r="BA27" s="205">
        <v>0.99725325</v>
      </c>
      <c r="BB27" s="205">
        <v>0.10879126</v>
      </c>
      <c r="BC27" s="205">
        <v>-0.4210791</v>
      </c>
      <c r="BD27" s="205">
        <v>2.74855282</v>
      </c>
      <c r="BE27" s="205">
        <v>-0.4129872</v>
      </c>
      <c r="BF27" s="205">
        <v>-0.1895605</v>
      </c>
      <c r="BG27" s="205">
        <v>-0.2265735</v>
      </c>
      <c r="BH27" s="205">
        <v>-0.1873128</v>
      </c>
      <c r="BI27" s="205">
        <v>-0.4327674</v>
      </c>
      <c r="BJ27" s="205">
        <v>0.25864149</v>
      </c>
      <c r="BK27" s="205">
        <v>-1.5476531</v>
      </c>
      <c r="BL27" s="205">
        <v>-0.0116883</v>
      </c>
      <c r="BM27" s="205">
        <v>0.92652394</v>
      </c>
      <c r="BN27" s="205">
        <v>1.49820255</v>
      </c>
      <c r="BO27" s="205">
        <v>0.27557456</v>
      </c>
      <c r="BP27" s="205">
        <v>0.09560444</v>
      </c>
      <c r="BQ27" s="206"/>
      <c r="BR27" s="250">
        <f t="shared" si="1"/>
        <v>0.1786572905</v>
      </c>
      <c r="BS27" s="250">
        <f t="shared" si="2"/>
        <v>0.6107244507</v>
      </c>
      <c r="BT27" s="206"/>
      <c r="BU27" s="207">
        <f>IFERROR(__xludf.DUMMYFUNCTION("AVERAGE(ARRAYFORMULA(XLOOKUP(FILTER(INDIRECT(""'""&amp;BU$1&amp;""'!$C$4:$C$66""),INDIRECT(""'""&amp;BU$1&amp;""'!$D$4:$D$66"")=BU$2),$F$3:$BP$3,$F27:$BP27)))"),0.9844517514285714)</f>
        <v>0.9844517514</v>
      </c>
      <c r="BV27" s="207">
        <f>IFERROR(__xludf.DUMMYFUNCTION("IF(OR(BU27&gt;$BR27+$BS27*$BS$2,BU27&lt;$BR27-$BS27*$BS$2),AVEDEV(ARRAYFORMULA(XLOOKUP(FILTER(INDIRECT(""'""&amp;BU$1&amp;""'!$C$4:$C$66""),INDIRECT(""'""&amp;BU$1&amp;""'!$D$4:$D$66"")=BU$2),$F$3:$BP$3,$F27:$BP27))),"""")"),1.0243822579591837)</f>
        <v>1.024382258</v>
      </c>
      <c r="BW27" s="207">
        <f>IFERROR(__xludf.DUMMYFUNCTION("AVERAGE(ARRAYFORMULA(XLOOKUP(FILTER(INDIRECT(""'""&amp;BW$1&amp;""'!$C$4:$C$66""),INDIRECT(""'""&amp;BW$1&amp;""'!$D$4:$D$66"")=BW$2),$F$3:$BP$3,$F27:$BP27)))"),0.14723698095238097)</f>
        <v>0.147236981</v>
      </c>
      <c r="BX27" s="207" t="str">
        <f>IFERROR(__xludf.DUMMYFUNCTION("IF(OR(BW27&gt;$BR27+$BS27*$BS$2,BW27&lt;$BR27-$BS27*$BS$2),AVEDEV(ARRAYFORMULA(XLOOKUP(FILTER(INDIRECT(""'""&amp;BW$1&amp;""'!$C$4:$C$66""),INDIRECT(""'""&amp;BW$1&amp;""'!$D$4:$D$66"")=BW$2),$F$3:$BP$3,$F27:$BP27))),"""")"),"")</f>
        <v/>
      </c>
      <c r="BY27" s="207">
        <f>IFERROR(__xludf.DUMMYFUNCTION("AVERAGE(ARRAYFORMULA(XLOOKUP(FILTER(INDIRECT(""'""&amp;BY$1&amp;""'!$C$4:$C$66""),INDIRECT(""'""&amp;BY$1&amp;""'!$D$4:$D$66"")=BY$2),$F$3:$BP$3,$F27:$BP27)))"),-0.052181932727272735)</f>
        <v>-0.05218193273</v>
      </c>
      <c r="BZ27" s="207" t="str">
        <f>IFERROR(__xludf.DUMMYFUNCTION("IF(OR(BY27&gt;$BR27+$BS27*$BS$2,BY27&lt;$BR27-$BS27*$BS$2),AVEDEV(ARRAYFORMULA(XLOOKUP(FILTER(INDIRECT(""'""&amp;BY$1&amp;""'!$C$4:$C$66""),INDIRECT(""'""&amp;BY$1&amp;""'!$D$4:$D$66"")=BY$2),$F$3:$BP$3,$F27:$BP27))),"""")"),"")</f>
        <v/>
      </c>
      <c r="CA27" s="209"/>
      <c r="CB27" s="207">
        <f>IFERROR(__xludf.DUMMYFUNCTION("AVERAGE(ARRAYFORMULA(XLOOKUP(FILTER(INDIRECT(""'""&amp;CB$1&amp;""'!$C$4:$C$66""),INDIRECT(""'""&amp;CB$1&amp;""'!$D$4:$D$66"")=CB$2),$F$3:$BP$3,$F27:$BP27)))"),0.05650346187500001)</f>
        <v>0.05650346188</v>
      </c>
      <c r="CC27" s="207" t="str">
        <f>IFERROR(__xludf.DUMMYFUNCTION("IF(OR(CB27&gt;$BR27+$BS27*$BS$2,CB27&lt;$BR27-$BS27*$BS$2),AVEDEV(ARRAYFORMULA(XLOOKUP(FILTER(INDIRECT(""'""&amp;CB$1&amp;""'!$C$4:$C$66""),INDIRECT(""'""&amp;CB$1&amp;""'!$D$4:$D$66"")=CB$2),$F$3:$BP$3,$F27:$BP27))),"""")"),"")</f>
        <v/>
      </c>
      <c r="CD27" s="207">
        <f>IFERROR(__xludf.DUMMYFUNCTION("AVERAGE(ARRAYFORMULA(XLOOKUP(FILTER(INDIRECT(""'""&amp;CD$1&amp;""'!$C$4:$C$66""),INDIRECT(""'""&amp;CD$1&amp;""'!$D$4:$D$66"")=CD$2),$F$3:$BP$3,$F27:$BP27)))"),0.40107654483870964)</f>
        <v>0.4010765448</v>
      </c>
      <c r="CE27" s="207" t="str">
        <f>IFERROR(__xludf.DUMMYFUNCTION("IF(OR(CD27&gt;$BR27+$BS27*$BS$2,CD27&lt;$BR27-$BS27*$BS$2),AVEDEV(ARRAYFORMULA(XLOOKUP(FILTER(INDIRECT(""'""&amp;CD$1&amp;""'!$C$4:$C$66""),INDIRECT(""'""&amp;CD$1&amp;""'!$D$4:$D$66"")=CD$2),$F$3:$BP$3,$F27:$BP27))),"""")"),"")</f>
        <v/>
      </c>
      <c r="CF27" s="207">
        <f>IFERROR(__xludf.DUMMYFUNCTION("AVERAGE(ARRAYFORMULA(XLOOKUP(FILTER(INDIRECT(""'""&amp;CF$1&amp;""'!$C$4:$C$66""),INDIRECT(""'""&amp;CF$1&amp;""'!$D$4:$D$66"")=CF$2),$F$3:$BP$3,$F27:$BP27)))"),-0.41409609999999997)</f>
        <v>-0.4140961</v>
      </c>
      <c r="CG27" s="207" t="str">
        <f>IFERROR(__xludf.DUMMYFUNCTION("IF(OR(CF27&gt;$BR27+$BS27*$BS$2,CF27&lt;$BR27-$BS27*$BS$2),AVEDEV(ARRAYFORMULA(XLOOKUP(FILTER(INDIRECT(""'""&amp;CF$1&amp;""'!$C$4:$C$66""),INDIRECT(""'""&amp;CF$1&amp;""'!$D$4:$D$66"")=CF$2),$F$3:$BP$3,$F27:$BP27))),"""")"),"")</f>
        <v/>
      </c>
      <c r="CH27" s="206"/>
      <c r="CI27" s="251">
        <f>IFERROR(__xludf.DUMMYFUNCTION("AVERAGE(ARRAYFORMULA(XLOOKUP(FILTER(INDIRECT(""'""&amp;CI$1&amp;""'!$C$4:$C$66""),INDIRECT(""'""&amp;CI$1&amp;""'!$D$4:$D$66"")=CI$2),$F$3:$BP$3,$F27:$BP27)))"),0.894406642)</f>
        <v>0.894406642</v>
      </c>
      <c r="CJ27" s="207">
        <f>IFERROR(__xludf.DUMMYFUNCTION("IF(OR(CI27&gt;$BR27+$BS27*$BS$2,CI27&lt;$BR27-$BS27*$BS$2),AVEDEV(ARRAYFORMULA(XLOOKUP(FILTER(INDIRECT(""'""&amp;CI$1&amp;""'!$C$4:$C$66""),INDIRECT(""'""&amp;CI$1&amp;""'!$D$4:$D$66"")=CI$2),$F$3:$BP$3,$F27:$BP27))),"""")"),0.7077852618666667)</f>
        <v>0.7077852619</v>
      </c>
      <c r="CK27" s="251">
        <f>IFERROR(__xludf.DUMMYFUNCTION("AVERAGE(ARRAYFORMULA(XLOOKUP(FILTER(INDIRECT(""'""&amp;CK$1&amp;""'!$C$4:$C$66""),INDIRECT(""'""&amp;CK$1&amp;""'!$D$4:$D$66"")=CK$2),$F$3:$BP$3,$F27:$BP27)))"),0.06931149153846153)</f>
        <v>0.06931149154</v>
      </c>
      <c r="CL27" s="207" t="str">
        <f>IFERROR(__xludf.DUMMYFUNCTION("IF(OR(CK27&gt;$BR27+$BS27*$BS$2,CK27&lt;$BR27-$BS27*$BS$2),AVEDEV(ARRAYFORMULA(XLOOKUP(FILTER(INDIRECT(""'""&amp;CK$1&amp;""'!$C$4:$C$66""),INDIRECT(""'""&amp;CK$1&amp;""'!$D$4:$D$66"")=CK$2),$F$3:$BP$3,$F27:$BP27))),"""")"),"")</f>
        <v/>
      </c>
      <c r="CM27" s="251">
        <f>IFERROR(__xludf.DUMMYFUNCTION("AVERAGE(ARRAYFORMULA(XLOOKUP(FILTER(INDIRECT(""'""&amp;CM$1&amp;""'!$C$4:$C$66""),INDIRECT(""'""&amp;CM$1&amp;""'!$D$4:$D$66"")=CM$2),$F$3:$BP$3,$F27:$BP27)))"),-0.41409609999999997)</f>
        <v>-0.4140961</v>
      </c>
      <c r="CN27" s="207" t="str">
        <f>IFERROR(__xludf.DUMMYFUNCTION("IF(OR(CM27&gt;$BR27+$BS27*$BS$2,CM27&lt;$BR27-$BS27*$BS$2),AVEDEV(ARRAYFORMULA(XLOOKUP(FILTER(INDIRECT(""'""&amp;CM$1&amp;""'!$C$4:$C$66""),INDIRECT(""'""&amp;CM$1&amp;""'!$D$4:$D$66"")=CM$2),$F$3:$BP$3,$F27:$BP27))),"""")"),"")</f>
        <v/>
      </c>
      <c r="CO27" s="252"/>
      <c r="CP27" s="251">
        <f>IFERROR(__xludf.DUMMYFUNCTION("AVERAGE(ARRAYFORMULA(XLOOKUP(FILTER(INDIRECT(""'""&amp;CP$1&amp;""'!$C$4:$C$66""),INDIRECT(""'""&amp;CP$1&amp;""'!$D$4:$D$66"")=CP$2),$F$3:$BP$3,$F27:$BP27)))"),-0.016814693571428587)</f>
        <v>-0.01681469357</v>
      </c>
      <c r="CQ27" s="207" t="str">
        <f>IFERROR(__xludf.DUMMYFUNCTION("IF(OR(CP27&gt;$BR27+$BS27*$BS$2,CP27&lt;$BR27-$BS27*$BS$2),AVEDEV(ARRAYFORMULA(XLOOKUP(FILTER(INDIRECT(""'""&amp;CP$1&amp;""'!$C$4:$C$66""),INDIRECT(""'""&amp;CP$1&amp;""'!$D$4:$D$66"")=CP$2),$F$3:$BP$3,$F27:$BP27))),"""")"),"")</f>
        <v/>
      </c>
      <c r="CR27" s="251">
        <f>IFERROR(__xludf.DUMMYFUNCTION("AVERAGE(ARRAYFORMULA(XLOOKUP(FILTER(INDIRECT(""'""&amp;CR$1&amp;""'!$C$4:$C$66""),INDIRECT(""'""&amp;CR$1&amp;""'!$D$4:$D$66"")=CR$2),$F$3:$BP$3,$F27:$BP27)))"),-0.19466376555555553)</f>
        <v>-0.1946637656</v>
      </c>
      <c r="CS27" s="207" t="str">
        <f>IFERROR(__xludf.DUMMYFUNCTION("IF(OR(CR27&gt;$BR27+$BS27*$BS$2,CR27&lt;$BR27-$BS27*$BS$2),AVEDEV(ARRAYFORMULA(XLOOKUP(FILTER(INDIRECT(""'""&amp;CR$1&amp;""'!$C$4:$C$66""),INDIRECT(""'""&amp;CR$1&amp;""'!$D$4:$D$66"")=CR$2),$F$3:$BP$3,$F27:$BP27))),"""")"),"")</f>
        <v/>
      </c>
      <c r="CT27" s="251">
        <f>IFERROR(__xludf.DUMMYFUNCTION("AVERAGE(ARRAYFORMULA(XLOOKUP(FILTER(INDIRECT(""'""&amp;CT$1&amp;""'!$C$4:$C$66""),INDIRECT(""'""&amp;CT$1&amp;""'!$D$4:$D$66"")=CT$2),$F$3:$BP$3,$F27:$BP27)))"),0.922253210909091)</f>
        <v>0.9222532109</v>
      </c>
      <c r="CU27" s="207">
        <f>IFERROR(__xludf.DUMMYFUNCTION("IF(OR(CT27&gt;$BR27+$BS27*$BS$2,CT27&lt;$BR27-$BS27*$BS$2),AVEDEV(ARRAYFORMULA(XLOOKUP(FILTER(INDIRECT(""'""&amp;CT$1&amp;""'!$C$4:$C$66""),INDIRECT(""'""&amp;CT$1&amp;""'!$D$4:$D$66"")=CT$2),$F$3:$BP$3,$F27:$BP27))),"""")"),0.5598131917355372)</f>
        <v>0.5598131917</v>
      </c>
      <c r="CV27" s="251">
        <f>IFERROR(__xludf.DUMMYFUNCTION("AVERAGE(ARRAYFORMULA(XLOOKUP(FILTER(INDIRECT(""'""&amp;CV$1&amp;""'!$C$4:$C$66""),INDIRECT(""'""&amp;CV$1&amp;""'!$D$4:$D$66"")=CV$2),$F$3:$BP$3,$F27:$BP27)))"),-0.36083930000000003)</f>
        <v>-0.3608393</v>
      </c>
      <c r="CW27" s="207" t="str">
        <f>IFERROR(__xludf.DUMMYFUNCTION("IF(OR(CV27&gt;$BR27+$BS27*$BS$2,CV27&lt;$BR27-$BS27*$BS$2),AVEDEV(ARRAYFORMULA(XLOOKUP(FILTER(INDIRECT(""'""&amp;CV$1&amp;""'!$C$4:$C$66""),INDIRECT(""'""&amp;CV$1&amp;""'!$D$4:$D$66"")=CV$2),$F$3:$BP$3,$F27:$BP27))),"""")"),"")</f>
        <v/>
      </c>
      <c r="CX27" s="251">
        <f>IFERROR(__xludf.DUMMYFUNCTION("AVERAGE(ARRAYFORMULA(XLOOKUP(FILTER(INDIRECT(""'""&amp;CX$1&amp;""'!$C$4:$C$66""),INDIRECT(""'""&amp;CX$1&amp;""'!$D$4:$D$66"")=CX$2),$F$3:$BP$3,$F27:$BP27)))"),-0.07985946999999997)</f>
        <v>-0.07985947</v>
      </c>
      <c r="CY27" s="207" t="str">
        <f>IFERROR(__xludf.DUMMYFUNCTION("IF(OR(CX27&gt;$BR27+$BS27*$BS$2,CX27&lt;$BR27-$BS27*$BS$2),AVEDEV(ARRAYFORMULA(XLOOKUP(FILTER(INDIRECT(""'""&amp;CX$1&amp;""'!$C$4:$C$66""),INDIRECT(""'""&amp;CX$1&amp;""'!$D$4:$D$66"")=CX$2),$F$3:$BP$3,$F27:$BP27))),"""")"),"")</f>
        <v/>
      </c>
      <c r="CZ27" s="252"/>
      <c r="DA27" s="251">
        <f>IFERROR(__xludf.DUMMYFUNCTION("AVERAGE(ARRAYFORMULA(XLOOKUP(FILTER(INDIRECT(""'""&amp;DA$1&amp;""'!$C$4:$C$66""),INDIRECT(""'""&amp;DA$1&amp;""'!$D$4:$D$66"")=DA$2),$F$3:$BP$3,$F27:$BP27)))"),0.218656755)</f>
        <v>0.218656755</v>
      </c>
      <c r="DB27" s="207" t="str">
        <f>IFERROR(__xludf.DUMMYFUNCTION("IF(OR(DA27&gt;$BR27+$BS27*$BS$2,DA27&lt;$BR27-$BS27*$BS$2),AVEDEV(ARRAYFORMULA(XLOOKUP(FILTER(INDIRECT(""'""&amp;DA$1&amp;""'!$C$4:$C$66""),INDIRECT(""'""&amp;DA$1&amp;""'!$D$4:$D$66"")=DA$2),$F$3:$BP$3,$F27:$BP27))),"""")"),"")</f>
        <v/>
      </c>
      <c r="DC27" s="251">
        <f>IFERROR(__xludf.DUMMYFUNCTION("AVERAGE(ARRAYFORMULA(XLOOKUP(FILTER(INDIRECT(""'""&amp;DC$1&amp;""'!$C$4:$C$66""),INDIRECT(""'""&amp;DC$1&amp;""'!$D$4:$D$66"")=DC$2),$F$3:$BP$3,$F27:$BP27)))"),0.01842325777777779)</f>
        <v>0.01842325778</v>
      </c>
      <c r="DD27" s="207" t="str">
        <f>IFERROR(__xludf.DUMMYFUNCTION("IF(OR(DC27&gt;$BR27+$BS27*$BS$2,DC27&lt;$BR27-$BS27*$BS$2),AVEDEV(ARRAYFORMULA(XLOOKUP(FILTER(INDIRECT(""'""&amp;DC$1&amp;""'!$C$4:$C$66""),INDIRECT(""'""&amp;DC$1&amp;""'!$D$4:$D$66"")=DC$2),$F$3:$BP$3,$F27:$BP27))),"""")"),"")</f>
        <v/>
      </c>
      <c r="DE27" s="251">
        <f>IFERROR(__xludf.DUMMYFUNCTION("AVERAGE(ARRAYFORMULA(XLOOKUP(FILTER(INDIRECT(""'""&amp;DE$1&amp;""'!$C$4:$C$66""),INDIRECT(""'""&amp;DE$1&amp;""'!$D$4:$D$66"")=DE$2),$F$3:$BP$3,$F27:$BP27)))"),0.57536866)</f>
        <v>0.57536866</v>
      </c>
      <c r="DF27" s="207" t="str">
        <f>IFERROR(__xludf.DUMMYFUNCTION("IF(OR(DE27&gt;$BR27+$BS27*$BS$2,DE27&lt;$BR27-$BS27*$BS$2),AVEDEV(ARRAYFORMULA(XLOOKUP(FILTER(INDIRECT(""'""&amp;DE$1&amp;""'!$C$4:$C$66""),INDIRECT(""'""&amp;DE$1&amp;""'!$D$4:$D$66"")=DE$2),$F$3:$BP$3,$F27:$BP27))),"""")"),"")</f>
        <v/>
      </c>
      <c r="DG27" s="251">
        <f>IFERROR(__xludf.DUMMYFUNCTION("AVERAGE(ARRAYFORMULA(XLOOKUP(FILTER(INDIRECT(""'""&amp;DG$1&amp;""'!$C$4:$C$66""),INDIRECT(""'""&amp;DG$1&amp;""'!$D$4:$D$66"")=DG$2),$F$3:$BP$3,$F27:$BP27)))"),0.19313197222222223)</f>
        <v>0.1931319722</v>
      </c>
      <c r="DH27" s="207" t="str">
        <f>IFERROR(__xludf.DUMMYFUNCTION("IF(OR(DG27&gt;$BR27+$BS27*$BS$2,DG27&lt;$BR27-$BS27*$BS$2),AVEDEV(ARRAYFORMULA(XLOOKUP(FILTER(INDIRECT(""'""&amp;DG$1&amp;""'!$C$4:$C$66""),INDIRECT(""'""&amp;DG$1&amp;""'!$D$4:$D$66"")=DG$2),$F$3:$BP$3,$F27:$BP27))),"""")"),"")</f>
        <v/>
      </c>
      <c r="DI27" s="252"/>
    </row>
    <row r="28">
      <c r="A28" s="2"/>
      <c r="B28" s="204" t="s">
        <v>442</v>
      </c>
      <c r="C28" s="204" t="s">
        <v>468</v>
      </c>
      <c r="D28" s="205" t="b">
        <f>VLOOKUP(C28,'Feature Set List'!A25:C246,2,0)</f>
        <v>1</v>
      </c>
      <c r="E28" s="205" t="b">
        <f>VLOOKUP(C28,'Feature Set List'!A25:C246,3,0)</f>
        <v>1</v>
      </c>
      <c r="F28" s="205">
        <v>-0.4952603</v>
      </c>
      <c r="G28" s="205">
        <v>0.25555668</v>
      </c>
      <c r="H28" s="205">
        <v>2.29452958</v>
      </c>
      <c r="I28" s="205">
        <v>-1.1856287</v>
      </c>
      <c r="J28" s="205">
        <v>0.32720999</v>
      </c>
      <c r="K28" s="205">
        <v>0.57566223</v>
      </c>
      <c r="L28" s="205">
        <v>-1.5331371</v>
      </c>
      <c r="M28" s="205">
        <v>-0.6645692</v>
      </c>
      <c r="N28" s="205">
        <v>3.33177712</v>
      </c>
      <c r="O28" s="205">
        <v>0.03876992</v>
      </c>
      <c r="P28" s="205">
        <v>0.67126763</v>
      </c>
      <c r="Q28" s="205">
        <v>-0.3410332</v>
      </c>
      <c r="R28" s="205">
        <v>2.05297879</v>
      </c>
      <c r="S28" s="205">
        <v>1.32528164</v>
      </c>
      <c r="T28" s="205">
        <v>-0.4424663</v>
      </c>
      <c r="U28" s="205">
        <v>0.24845225</v>
      </c>
      <c r="V28" s="205">
        <v>-1.8680605</v>
      </c>
      <c r="W28" s="205">
        <v>4.34872628</v>
      </c>
      <c r="X28" s="205">
        <v>-0.4420786</v>
      </c>
      <c r="Y28" s="205">
        <v>0.07185629</v>
      </c>
      <c r="Z28" s="205">
        <v>-0.679793</v>
      </c>
      <c r="AA28" s="205">
        <v>0.74982239</v>
      </c>
      <c r="AB28" s="205">
        <v>0.0</v>
      </c>
      <c r="AC28" s="205">
        <v>-0.5749315</v>
      </c>
      <c r="AD28" s="205">
        <v>0.98223891</v>
      </c>
      <c r="AE28" s="205">
        <v>0.32518015</v>
      </c>
      <c r="AF28" s="205">
        <v>0.58012788</v>
      </c>
      <c r="AG28" s="205">
        <v>-0.1481782</v>
      </c>
      <c r="AH28" s="205">
        <v>0.2667208</v>
      </c>
      <c r="AI28" s="205">
        <v>-2.3201056</v>
      </c>
      <c r="AJ28" s="205">
        <v>-0.1991272</v>
      </c>
      <c r="AK28" s="205">
        <v>0.33289353</v>
      </c>
      <c r="AL28" s="205">
        <v>-2.3966305</v>
      </c>
      <c r="AM28" s="205">
        <v>-1.3147265</v>
      </c>
      <c r="AN28" s="205">
        <v>0.14980209</v>
      </c>
      <c r="AO28" s="205">
        <v>-0.2304882</v>
      </c>
      <c r="AP28" s="205">
        <v>0.73662844</v>
      </c>
      <c r="AQ28" s="205">
        <v>0.01339693</v>
      </c>
      <c r="AR28" s="205">
        <v>-0.0332894</v>
      </c>
      <c r="AS28" s="205">
        <v>-1.4076931</v>
      </c>
      <c r="AT28" s="205">
        <v>0.07733685</v>
      </c>
      <c r="AU28" s="205">
        <v>0.73784634</v>
      </c>
      <c r="AV28" s="205">
        <v>0.47721506</v>
      </c>
      <c r="AW28" s="205">
        <v>-1.8400487</v>
      </c>
      <c r="AX28" s="205">
        <v>0.0641429</v>
      </c>
      <c r="AY28" s="205">
        <v>-1.5079671</v>
      </c>
      <c r="AZ28" s="205">
        <v>0.00385669</v>
      </c>
      <c r="BA28" s="205">
        <v>2.61524409</v>
      </c>
      <c r="BB28" s="205">
        <v>-0.3135492</v>
      </c>
      <c r="BC28" s="205">
        <v>0.13721709</v>
      </c>
      <c r="BD28" s="205">
        <v>3.81690856</v>
      </c>
      <c r="BE28" s="205">
        <v>-1.8804425</v>
      </c>
      <c r="BF28" s="205">
        <v>-0.1122501</v>
      </c>
      <c r="BG28" s="205">
        <v>-0.5472242</v>
      </c>
      <c r="BH28" s="205">
        <v>-2.8957678</v>
      </c>
      <c r="BI28" s="205">
        <v>-1.4878717</v>
      </c>
      <c r="BJ28" s="205">
        <v>0.00913427</v>
      </c>
      <c r="BK28" s="205">
        <v>0.17273927</v>
      </c>
      <c r="BL28" s="205">
        <v>-1.1149904</v>
      </c>
      <c r="BM28" s="205">
        <v>-0.704963</v>
      </c>
      <c r="BN28" s="205">
        <v>-0.6753273</v>
      </c>
      <c r="BO28" s="205">
        <v>-0.1918198</v>
      </c>
      <c r="BP28" s="205">
        <v>-0.2157718</v>
      </c>
      <c r="BQ28" s="206"/>
      <c r="BR28" s="250">
        <f t="shared" si="1"/>
        <v>-0.03134396921</v>
      </c>
      <c r="BS28" s="250">
        <f t="shared" si="2"/>
        <v>0.914080243</v>
      </c>
      <c r="BT28" s="206"/>
      <c r="BU28" s="207">
        <f>IFERROR(__xludf.DUMMYFUNCTION("AVERAGE(ARRAYFORMULA(XLOOKUP(FILTER(INDIRECT(""'""&amp;BU$1&amp;""'!$C$4:$C$66""),INDIRECT(""'""&amp;BU$1&amp;""'!$D$4:$D$66"")=BU$2),$F$3:$BP$3,$F28:$BP28)))"),1.5321566985714286)</f>
        <v>1.532156699</v>
      </c>
      <c r="BV28" s="207">
        <f>IFERROR(__xludf.DUMMYFUNCTION("IF(OR(BU28&gt;$BR28+$BS28*$BS$2,BU28&lt;$BR28-$BS28*$BS$2),AVEDEV(ARRAYFORMULA(XLOOKUP(FILTER(INDIRECT(""'""&amp;BU$1&amp;""'!$C$4:$C$66""),INDIRECT(""'""&amp;BU$1&amp;""'!$D$4:$D$66"")=BU$2),$F$3:$BP$3,$F28:$BP28))),"""")"),1.766973952653061)</f>
        <v>1.766973953</v>
      </c>
      <c r="BW28" s="207">
        <f>IFERROR(__xludf.DUMMYFUNCTION("AVERAGE(ARRAYFORMULA(XLOOKUP(FILTER(INDIRECT(""'""&amp;BW$1&amp;""'!$C$4:$C$66""),INDIRECT(""'""&amp;BW$1&amp;""'!$D$4:$D$66"")=BW$2),$F$3:$BP$3,$F28:$BP28)))"),-0.25038350238095236)</f>
        <v>-0.2503835024</v>
      </c>
      <c r="BX28" s="207" t="str">
        <f>IFERROR(__xludf.DUMMYFUNCTION("IF(OR(BW28&gt;$BR28+$BS28*$BS$2,BW28&lt;$BR28-$BS28*$BS$2),AVEDEV(ARRAYFORMULA(XLOOKUP(FILTER(INDIRECT(""'""&amp;BW$1&amp;""'!$C$4:$C$66""),INDIRECT(""'""&amp;BW$1&amp;""'!$D$4:$D$66"")=BW$2),$F$3:$BP$3,$F28:$BP28))),"""")"),"")</f>
        <v/>
      </c>
      <c r="BY28" s="207">
        <f>IFERROR(__xludf.DUMMYFUNCTION("AVERAGE(ARRAYFORMULA(XLOOKUP(FILTER(INDIRECT(""'""&amp;BY$1&amp;""'!$C$4:$C$66""),INDIRECT(""'""&amp;BY$1&amp;""'!$D$4:$D$66"")=BY$2),$F$3:$BP$3,$F28:$BP28)))"),-0.42661303363636366)</f>
        <v>-0.4266130336</v>
      </c>
      <c r="BZ28" s="207" t="str">
        <f>IFERROR(__xludf.DUMMYFUNCTION("IF(OR(BY28&gt;$BR28+$BS28*$BS$2,BY28&lt;$BR28-$BS28*$BS$2),AVEDEV(ARRAYFORMULA(XLOOKUP(FILTER(INDIRECT(""'""&amp;BY$1&amp;""'!$C$4:$C$66""),INDIRECT(""'""&amp;BY$1&amp;""'!$D$4:$D$66"")=BY$2),$F$3:$BP$3,$F28:$BP28))),"""")"),"")</f>
        <v/>
      </c>
      <c r="CA28" s="209"/>
      <c r="CB28" s="207">
        <f>IFERROR(__xludf.DUMMYFUNCTION("AVERAGE(ARRAYFORMULA(XLOOKUP(FILTER(INDIRECT(""'""&amp;CB$1&amp;""'!$C$4:$C$66""),INDIRECT(""'""&amp;CB$1&amp;""'!$D$4:$D$66"")=CB$2),$F$3:$BP$3,$F28:$BP28)))"),0.029936181250000027)</f>
        <v>0.02993618125</v>
      </c>
      <c r="CC28" s="207" t="str">
        <f>IFERROR(__xludf.DUMMYFUNCTION("IF(OR(CB28&gt;$BR28+$BS28*$BS$2,CB28&lt;$BR28-$BS28*$BS$2),AVEDEV(ARRAYFORMULA(XLOOKUP(FILTER(INDIRECT(""'""&amp;CB$1&amp;""'!$C$4:$C$66""),INDIRECT(""'""&amp;CB$1&amp;""'!$D$4:$D$66"")=CB$2),$F$3:$BP$3,$F28:$BP28))),"""")"),"")</f>
        <v/>
      </c>
      <c r="CD28" s="207">
        <f>IFERROR(__xludf.DUMMYFUNCTION("AVERAGE(ARRAYFORMULA(XLOOKUP(FILTER(INDIRECT(""'""&amp;CD$1&amp;""'!$C$4:$C$66""),INDIRECT(""'""&amp;CD$1&amp;""'!$D$4:$D$66"")=CD$2),$F$3:$BP$3,$F28:$BP28)))"),-0.21755287419354838)</f>
        <v>-0.2175528742</v>
      </c>
      <c r="CE28" s="207" t="str">
        <f>IFERROR(__xludf.DUMMYFUNCTION("IF(OR(CD28&gt;$BR28+$BS28*$BS$2,CD28&lt;$BR28-$BS28*$BS$2),AVEDEV(ARRAYFORMULA(XLOOKUP(FILTER(INDIRECT(""'""&amp;CD$1&amp;""'!$C$4:$C$66""),INDIRECT(""'""&amp;CD$1&amp;""'!$D$4:$D$66"")=CD$2),$F$3:$BP$3,$F28:$BP28))),"""")"),"")</f>
        <v/>
      </c>
      <c r="CF28" s="207">
        <f>IFERROR(__xludf.DUMMYFUNCTION("AVERAGE(ARRAYFORMULA(XLOOKUP(FILTER(INDIRECT(""'""&amp;CF$1&amp;""'!$C$4:$C$66""),INDIRECT(""'""&amp;CF$1&amp;""'!$D$4:$D$66"")=CF$2),$F$3:$BP$3,$F28:$BP28)))"),0.24447375)</f>
        <v>0.24447375</v>
      </c>
      <c r="CG28" s="207" t="str">
        <f>IFERROR(__xludf.DUMMYFUNCTION("IF(OR(CF28&gt;$BR28+$BS28*$BS$2,CF28&lt;$BR28-$BS28*$BS$2),AVEDEV(ARRAYFORMULA(XLOOKUP(FILTER(INDIRECT(""'""&amp;CF$1&amp;""'!$C$4:$C$66""),INDIRECT(""'""&amp;CF$1&amp;""'!$D$4:$D$66"")=CF$2),$F$3:$BP$3,$F28:$BP28))),"""")"),"")</f>
        <v/>
      </c>
      <c r="CH28" s="206"/>
      <c r="CI28" s="251">
        <f>IFERROR(__xludf.DUMMYFUNCTION("AVERAGE(ARRAYFORMULA(XLOOKUP(FILTER(INDIRECT(""'""&amp;CI$1&amp;""'!$C$4:$C$66""),INDIRECT(""'""&amp;CI$1&amp;""'!$D$4:$D$66"")=CI$2),$F$3:$BP$3,$F28:$BP28)))"),0.4295055886666666)</f>
        <v>0.4295055887</v>
      </c>
      <c r="CJ28" s="207" t="str">
        <f>IFERROR(__xludf.DUMMYFUNCTION("IF(OR(CI28&gt;$BR28+$BS28*$BS$2,CI28&lt;$BR28-$BS28*$BS$2),AVEDEV(ARRAYFORMULA(XLOOKUP(FILTER(INDIRECT(""'""&amp;CI$1&amp;""'!$C$4:$C$66""),INDIRECT(""'""&amp;CI$1&amp;""'!$D$4:$D$66"")=CI$2),$F$3:$BP$3,$F28:$BP28))),"""")"),"")</f>
        <v/>
      </c>
      <c r="CK28" s="251">
        <f>IFERROR(__xludf.DUMMYFUNCTION("AVERAGE(ARRAYFORMULA(XLOOKUP(FILTER(INDIRECT(""'""&amp;CK$1&amp;""'!$C$4:$C$66""),INDIRECT(""'""&amp;CK$1&amp;""'!$D$4:$D$66"")=CK$2),$F$3:$BP$3,$F28:$BP28)))"),-0.31593449820512826)</f>
        <v>-0.3159344982</v>
      </c>
      <c r="CL28" s="207" t="str">
        <f>IFERROR(__xludf.DUMMYFUNCTION("IF(OR(CK28&gt;$BR28+$BS28*$BS$2,CK28&lt;$BR28-$BS28*$BS$2),AVEDEV(ARRAYFORMULA(XLOOKUP(FILTER(INDIRECT(""'""&amp;CK$1&amp;""'!$C$4:$C$66""),INDIRECT(""'""&amp;CK$1&amp;""'!$D$4:$D$66"")=CK$2),$F$3:$BP$3,$F28:$BP28))),"""")"),"")</f>
        <v/>
      </c>
      <c r="CM28" s="251">
        <f>IFERROR(__xludf.DUMMYFUNCTION("AVERAGE(ARRAYFORMULA(XLOOKUP(FILTER(INDIRECT(""'""&amp;CM$1&amp;""'!$C$4:$C$66""),INDIRECT(""'""&amp;CM$1&amp;""'!$D$4:$D$66"")=CM$2),$F$3:$BP$3,$F28:$BP28)))"),0.24447375)</f>
        <v>0.24447375</v>
      </c>
      <c r="CN28" s="207" t="str">
        <f>IFERROR(__xludf.DUMMYFUNCTION("IF(OR(CM28&gt;$BR28+$BS28*$BS$2,CM28&lt;$BR28-$BS28*$BS$2),AVEDEV(ARRAYFORMULA(XLOOKUP(FILTER(INDIRECT(""'""&amp;CM$1&amp;""'!$C$4:$C$66""),INDIRECT(""'""&amp;CM$1&amp;""'!$D$4:$D$66"")=CM$2),$F$3:$BP$3,$F28:$BP28))),"""")"),"")</f>
        <v/>
      </c>
      <c r="CO28" s="252"/>
      <c r="CP28" s="251">
        <f>IFERROR(__xludf.DUMMYFUNCTION("AVERAGE(ARRAYFORMULA(XLOOKUP(FILTER(INDIRECT(""'""&amp;CP$1&amp;""'!$C$4:$C$66""),INDIRECT(""'""&amp;CP$1&amp;""'!$D$4:$D$66"")=CP$2),$F$3:$BP$3,$F28:$BP28)))"),-0.019377712857142897)</f>
        <v>-0.01937771286</v>
      </c>
      <c r="CQ28" s="207" t="str">
        <f>IFERROR(__xludf.DUMMYFUNCTION("IF(OR(CP28&gt;$BR28+$BS28*$BS$2,CP28&lt;$BR28-$BS28*$BS$2),AVEDEV(ARRAYFORMULA(XLOOKUP(FILTER(INDIRECT(""'""&amp;CP$1&amp;""'!$C$4:$C$66""),INDIRECT(""'""&amp;CP$1&amp;""'!$D$4:$D$66"")=CP$2),$F$3:$BP$3,$F28:$BP28))),"""")"),"")</f>
        <v/>
      </c>
      <c r="CR28" s="251">
        <f>IFERROR(__xludf.DUMMYFUNCTION("AVERAGE(ARRAYFORMULA(XLOOKUP(FILTER(INDIRECT(""'""&amp;CR$1&amp;""'!$C$4:$C$66""),INDIRECT(""'""&amp;CR$1&amp;""'!$D$4:$D$66"")=CR$2),$F$3:$BP$3,$F28:$BP28)))"),-0.22997620777777772)</f>
        <v>-0.2299762078</v>
      </c>
      <c r="CS28" s="207" t="str">
        <f>IFERROR(__xludf.DUMMYFUNCTION("IF(OR(CR28&gt;$BR28+$BS28*$BS$2,CR28&lt;$BR28-$BS28*$BS$2),AVEDEV(ARRAYFORMULA(XLOOKUP(FILTER(INDIRECT(""'""&amp;CR$1&amp;""'!$C$4:$C$66""),INDIRECT(""'""&amp;CR$1&amp;""'!$D$4:$D$66"")=CR$2),$F$3:$BP$3,$F28:$BP28))),"""")"),"")</f>
        <v/>
      </c>
      <c r="CT28" s="251">
        <f>IFERROR(__xludf.DUMMYFUNCTION("AVERAGE(ARRAYFORMULA(XLOOKUP(FILTER(INDIRECT(""'""&amp;CT$1&amp;""'!$C$4:$C$66""),INDIRECT(""'""&amp;CT$1&amp;""'!$D$4:$D$66"")=CT$2),$F$3:$BP$3,$F28:$BP28)))"),-0.30792652545454546)</f>
        <v>-0.3079265255</v>
      </c>
      <c r="CU28" s="207" t="str">
        <f>IFERROR(__xludf.DUMMYFUNCTION("IF(OR(CT28&gt;$BR28+$BS28*$BS$2,CT28&lt;$BR28-$BS28*$BS$2),AVEDEV(ARRAYFORMULA(XLOOKUP(FILTER(INDIRECT(""'""&amp;CT$1&amp;""'!$C$4:$C$66""),INDIRECT(""'""&amp;CT$1&amp;""'!$D$4:$D$66"")=CT$2),$F$3:$BP$3,$F28:$BP28))),"""")"),"")</f>
        <v/>
      </c>
      <c r="CV28" s="251">
        <f>IFERROR(__xludf.DUMMYFUNCTION("AVERAGE(ARRAYFORMULA(XLOOKUP(FILTER(INDIRECT(""'""&amp;CV$1&amp;""'!$C$4:$C$66""),INDIRECT(""'""&amp;CV$1&amp;""'!$D$4:$D$66"")=CV$2),$F$3:$BP$3,$F28:$BP28)))"),-0.56107785)</f>
        <v>-0.56107785</v>
      </c>
      <c r="CW28" s="207" t="str">
        <f>IFERROR(__xludf.DUMMYFUNCTION("IF(OR(CV28&gt;$BR28+$BS28*$BS$2,CV28&lt;$BR28-$BS28*$BS$2),AVEDEV(ARRAYFORMULA(XLOOKUP(FILTER(INDIRECT(""'""&amp;CV$1&amp;""'!$C$4:$C$66""),INDIRECT(""'""&amp;CV$1&amp;""'!$D$4:$D$66"")=CV$2),$F$3:$BP$3,$F28:$BP28))),"""")"),"")</f>
        <v/>
      </c>
      <c r="CX28" s="251">
        <f>IFERROR(__xludf.DUMMYFUNCTION("AVERAGE(ARRAYFORMULA(XLOOKUP(FILTER(INDIRECT(""'""&amp;CX$1&amp;""'!$C$4:$C$66""),INDIRECT(""'""&amp;CX$1&amp;""'!$D$4:$D$66"")=CX$2),$F$3:$BP$3,$F28:$BP28)))"),-0.5383828092857144)</f>
        <v>-0.5383828093</v>
      </c>
      <c r="CY28" s="207" t="str">
        <f>IFERROR(__xludf.DUMMYFUNCTION("IF(OR(CX28&gt;$BR28+$BS28*$BS$2,CX28&lt;$BR28-$BS28*$BS$2),AVEDEV(ARRAYFORMULA(XLOOKUP(FILTER(INDIRECT(""'""&amp;CX$1&amp;""'!$C$4:$C$66""),INDIRECT(""'""&amp;CX$1&amp;""'!$D$4:$D$66"")=CX$2),$F$3:$BP$3,$F28:$BP28))),"""")"),"")</f>
        <v/>
      </c>
      <c r="CZ28" s="252"/>
      <c r="DA28" s="251">
        <f>IFERROR(__xludf.DUMMYFUNCTION("AVERAGE(ARRAYFORMULA(XLOOKUP(FILTER(INDIRECT(""'""&amp;DA$1&amp;""'!$C$4:$C$66""),INDIRECT(""'""&amp;DA$1&amp;""'!$D$4:$D$66"")=DA$2),$F$3:$BP$3,$F28:$BP28)))"),-0.08079569966666665)</f>
        <v>-0.08079569967</v>
      </c>
      <c r="DB28" s="207" t="str">
        <f>IFERROR(__xludf.DUMMYFUNCTION("IF(OR(DA28&gt;$BR28+$BS28*$BS$2,DA28&lt;$BR28-$BS28*$BS$2),AVEDEV(ARRAYFORMULA(XLOOKUP(FILTER(INDIRECT(""'""&amp;DA$1&amp;""'!$C$4:$C$66""),INDIRECT(""'""&amp;DA$1&amp;""'!$D$4:$D$66"")=DA$2),$F$3:$BP$3,$F28:$BP28))),"""")"),"")</f>
        <v/>
      </c>
      <c r="DC28" s="251">
        <f>IFERROR(__xludf.DUMMYFUNCTION("AVERAGE(ARRAYFORMULA(XLOOKUP(FILTER(INDIRECT(""'""&amp;DC$1&amp;""'!$C$4:$C$66""),INDIRECT(""'""&amp;DC$1&amp;""'!$D$4:$D$66"")=DC$2),$F$3:$BP$3,$F28:$BP28)))"),-0.25889238666666664)</f>
        <v>-0.2588923867</v>
      </c>
      <c r="DD28" s="207" t="str">
        <f>IFERROR(__xludf.DUMMYFUNCTION("IF(OR(DC28&gt;$BR28+$BS28*$BS$2,DC28&lt;$BR28-$BS28*$BS$2),AVEDEV(ARRAYFORMULA(XLOOKUP(FILTER(INDIRECT(""'""&amp;DC$1&amp;""'!$C$4:$C$66""),INDIRECT(""'""&amp;DC$1&amp;""'!$D$4:$D$66"")=DC$2),$F$3:$BP$3,$F28:$BP28))),"""")"),"")</f>
        <v/>
      </c>
      <c r="DE28" s="251">
        <f>IFERROR(__xludf.DUMMYFUNCTION("AVERAGE(ARRAYFORMULA(XLOOKUP(FILTER(INDIRECT(""'""&amp;DE$1&amp;""'!$C$4:$C$66""),INDIRECT(""'""&amp;DE$1&amp;""'!$D$4:$D$66"")=DE$2),$F$3:$BP$3,$F28:$BP28)))"),0.019691701249999916)</f>
        <v>0.01969170125</v>
      </c>
      <c r="DF28" s="207" t="str">
        <f>IFERROR(__xludf.DUMMYFUNCTION("IF(OR(DE28&gt;$BR28+$BS28*$BS$2,DE28&lt;$BR28-$BS28*$BS$2),AVEDEV(ARRAYFORMULA(XLOOKUP(FILTER(INDIRECT(""'""&amp;DE$1&amp;""'!$C$4:$C$66""),INDIRECT(""'""&amp;DE$1&amp;""'!$D$4:$D$66"")=DE$2),$F$3:$BP$3,$F28:$BP28))),"""")"),"")</f>
        <v/>
      </c>
      <c r="DG28" s="251">
        <f>IFERROR(__xludf.DUMMYFUNCTION("AVERAGE(ARRAYFORMULA(XLOOKUP(FILTER(INDIRECT(""'""&amp;DG$1&amp;""'!$C$4:$C$66""),INDIRECT(""'""&amp;DG$1&amp;""'!$D$4:$D$66"")=DG$2),$F$3:$BP$3,$F28:$BP28)))"),-0.5080054766666666)</f>
        <v>-0.5080054767</v>
      </c>
      <c r="DH28" s="207" t="str">
        <f>IFERROR(__xludf.DUMMYFUNCTION("IF(OR(DG28&gt;$BR28+$BS28*$BS$2,DG28&lt;$BR28-$BS28*$BS$2),AVEDEV(ARRAYFORMULA(XLOOKUP(FILTER(INDIRECT(""'""&amp;DG$1&amp;""'!$C$4:$C$66""),INDIRECT(""'""&amp;DG$1&amp;""'!$D$4:$D$66"")=DG$2),$F$3:$BP$3,$F28:$BP28))),"""")"),"")</f>
        <v/>
      </c>
      <c r="DI28" s="252"/>
    </row>
    <row r="29">
      <c r="A29" s="2"/>
      <c r="B29" s="204" t="s">
        <v>442</v>
      </c>
      <c r="C29" s="204" t="s">
        <v>469</v>
      </c>
      <c r="D29" s="205" t="b">
        <f>VLOOKUP(C29,'Feature Set List'!A26:C246,2,0)</f>
        <v>1</v>
      </c>
      <c r="E29" s="205" t="b">
        <f>VLOOKUP(C29,'Feature Set List'!A26:C246,3,0)</f>
        <v>1</v>
      </c>
      <c r="F29" s="205">
        <v>-0.2914848</v>
      </c>
      <c r="G29" s="205">
        <v>0.56329245</v>
      </c>
      <c r="H29" s="205">
        <v>-0.1387792</v>
      </c>
      <c r="I29" s="205">
        <v>-0.4216587</v>
      </c>
      <c r="J29" s="205">
        <v>0.51202106</v>
      </c>
      <c r="K29" s="205">
        <v>-1.6767131</v>
      </c>
      <c r="L29" s="205">
        <v>0.17806416</v>
      </c>
      <c r="M29" s="205">
        <v>-0.9149865</v>
      </c>
      <c r="N29" s="205">
        <v>0.55567103</v>
      </c>
      <c r="O29" s="205">
        <v>0.76768517</v>
      </c>
      <c r="P29" s="205">
        <v>-0.759648</v>
      </c>
      <c r="Q29" s="205">
        <v>-0.0721264</v>
      </c>
      <c r="R29" s="205">
        <v>-0.333271</v>
      </c>
      <c r="S29" s="205">
        <v>0.0</v>
      </c>
      <c r="T29" s="205">
        <v>0.01170928</v>
      </c>
      <c r="U29" s="205">
        <v>-1.4349061</v>
      </c>
      <c r="V29" s="205">
        <v>0.63812097</v>
      </c>
      <c r="W29" s="205">
        <v>0.44550682</v>
      </c>
      <c r="X29" s="205">
        <v>-0.5725074</v>
      </c>
      <c r="Y29" s="205">
        <v>0.27617266</v>
      </c>
      <c r="Z29" s="205">
        <v>-0.5829696</v>
      </c>
      <c r="AA29" s="205">
        <v>0.49469965</v>
      </c>
      <c r="AB29" s="205">
        <v>-0.9055636</v>
      </c>
      <c r="AC29" s="205">
        <v>0.46421395</v>
      </c>
      <c r="AD29" s="205">
        <v>0.36652117</v>
      </c>
      <c r="AE29" s="205">
        <v>-1.6372203</v>
      </c>
      <c r="AF29" s="205">
        <v>0.13877919</v>
      </c>
      <c r="AG29" s="205">
        <v>0.09748493</v>
      </c>
      <c r="AH29" s="205">
        <v>-1.3586919</v>
      </c>
      <c r="AI29" s="205">
        <v>-0.2510912</v>
      </c>
      <c r="AJ29" s="205">
        <v>0.46906395</v>
      </c>
      <c r="AK29" s="205">
        <v>-1.1251992</v>
      </c>
      <c r="AL29" s="205">
        <v>0.80579228</v>
      </c>
      <c r="AM29" s="205">
        <v>-0.0797478</v>
      </c>
      <c r="AN29" s="205">
        <v>-1.2658491</v>
      </c>
      <c r="AO29" s="205">
        <v>0.58269244</v>
      </c>
      <c r="AP29" s="205">
        <v>-0.4013857</v>
      </c>
      <c r="AQ29" s="205">
        <v>-0.4484168</v>
      </c>
      <c r="AR29" s="205">
        <v>0.26841267</v>
      </c>
      <c r="AS29" s="205">
        <v>-0.4056537</v>
      </c>
      <c r="AT29" s="205">
        <v>0.50578535</v>
      </c>
      <c r="AU29" s="205">
        <v>-1.9233701</v>
      </c>
      <c r="AV29" s="205">
        <v>0.6824638</v>
      </c>
      <c r="AW29" s="205">
        <v>0.40809257</v>
      </c>
      <c r="AX29" s="205">
        <v>0.33811404</v>
      </c>
      <c r="AY29" s="205">
        <v>0.69216379</v>
      </c>
      <c r="AZ29" s="205">
        <v>-0.9146401</v>
      </c>
      <c r="BA29" s="205">
        <v>-0.3878196</v>
      </c>
      <c r="BB29" s="205">
        <v>-9.7E-4</v>
      </c>
      <c r="BC29" s="205">
        <v>0.10545278</v>
      </c>
      <c r="BD29" s="205">
        <v>0.9332779</v>
      </c>
      <c r="BE29" s="205">
        <v>-0.5836624</v>
      </c>
      <c r="BF29" s="205">
        <v>-0.8055151</v>
      </c>
      <c r="BG29" s="205">
        <v>0.50578535</v>
      </c>
      <c r="BH29" s="205">
        <v>0.31483406</v>
      </c>
      <c r="BI29" s="205">
        <v>0.05397353</v>
      </c>
      <c r="BJ29" s="205">
        <v>0.33949976</v>
      </c>
      <c r="BK29" s="205">
        <v>-0.5177718</v>
      </c>
      <c r="BL29" s="205">
        <v>0.85152082</v>
      </c>
      <c r="BM29" s="205">
        <v>-0.2843484</v>
      </c>
      <c r="BN29" s="205">
        <v>-0.3619719</v>
      </c>
      <c r="BO29" s="205">
        <v>0.25919767</v>
      </c>
      <c r="BP29" s="205">
        <v>-0.9005751</v>
      </c>
      <c r="BQ29" s="206"/>
      <c r="BR29" s="250">
        <f t="shared" si="1"/>
        <v>-0.1290864976</v>
      </c>
      <c r="BS29" s="250">
        <f t="shared" si="2"/>
        <v>0.571150745</v>
      </c>
      <c r="BT29" s="206"/>
      <c r="BU29" s="207">
        <f>IFERROR(__xludf.DUMMYFUNCTION("AVERAGE(ARRAYFORMULA(XLOOKUP(FILTER(INDIRECT(""'""&amp;BU$1&amp;""'!$C$4:$C$66""),INDIRECT(""'""&amp;BU$1&amp;""'!$D$4:$D$66"")=BU$2),$F$3:$BP$3,$F29:$BP29)))"),-0.06326178000000003)</f>
        <v>-0.06326178</v>
      </c>
      <c r="BV29" s="207" t="str">
        <f>IFERROR(__xludf.DUMMYFUNCTION("IF(OR(BU29&gt;$BR29+$BS29*$BS$2,BU29&lt;$BR29-$BS29*$BS$2),AVEDEV(ARRAYFORMULA(XLOOKUP(FILTER(INDIRECT(""'""&amp;BU$1&amp;""'!$C$4:$C$66""),INDIRECT(""'""&amp;BU$1&amp;""'!$D$4:$D$66"")=BU$2),$F$3:$BP$3,$F29:$BP29))),"""")"),"")</f>
        <v/>
      </c>
      <c r="BW29" s="207">
        <f>IFERROR(__xludf.DUMMYFUNCTION("AVERAGE(ARRAYFORMULA(XLOOKUP(FILTER(INDIRECT(""'""&amp;BW$1&amp;""'!$C$4:$C$66""),INDIRECT(""'""&amp;BW$1&amp;""'!$D$4:$D$66"")=BW$2),$F$3:$BP$3,$F29:$BP29)))"),-0.1475491673809524)</f>
        <v>-0.1475491674</v>
      </c>
      <c r="BX29" s="207" t="str">
        <f>IFERROR(__xludf.DUMMYFUNCTION("IF(OR(BW29&gt;$BR29+$BS29*$BS$2,BW29&lt;$BR29-$BS29*$BS$2),AVEDEV(ARRAYFORMULA(XLOOKUP(FILTER(INDIRECT(""'""&amp;BW$1&amp;""'!$C$4:$C$66""),INDIRECT(""'""&amp;BW$1&amp;""'!$D$4:$D$66"")=BW$2),$F$3:$BP$3,$F29:$BP29))),"""")"),"")</f>
        <v/>
      </c>
      <c r="BY29" s="207">
        <f>IFERROR(__xludf.DUMMYFUNCTION("AVERAGE(ARRAYFORMULA(XLOOKUP(FILTER(INDIRECT(""'""&amp;BY$1&amp;""'!$C$4:$C$66""),INDIRECT(""'""&amp;BY$1&amp;""'!$D$4:$D$66"")=BY$2),$F$3:$BP$3,$F29:$BP29)))"),-0.17863734454545455)</f>
        <v>-0.1786373445</v>
      </c>
      <c r="BZ29" s="207" t="str">
        <f>IFERROR(__xludf.DUMMYFUNCTION("IF(OR(BY29&gt;$BR29+$BS29*$BS$2,BY29&lt;$BR29-$BS29*$BS$2),AVEDEV(ARRAYFORMULA(XLOOKUP(FILTER(INDIRECT(""'""&amp;BY$1&amp;""'!$C$4:$C$66""),INDIRECT(""'""&amp;BY$1&amp;""'!$D$4:$D$66"")=BY$2),$F$3:$BP$3,$F29:$BP29))),"""")"),"")</f>
        <v/>
      </c>
      <c r="CA29" s="209"/>
      <c r="CB29" s="207">
        <f>IFERROR(__xludf.DUMMYFUNCTION("AVERAGE(ARRAYFORMULA(XLOOKUP(FILTER(INDIRECT(""'""&amp;CB$1&amp;""'!$C$4:$C$66""),INDIRECT(""'""&amp;CB$1&amp;""'!$D$4:$D$66"")=CB$2),$F$3:$BP$3,$F29:$BP29)))"),-0.16138882875000002)</f>
        <v>-0.1613888288</v>
      </c>
      <c r="CC29" s="207" t="str">
        <f>IFERROR(__xludf.DUMMYFUNCTION("IF(OR(CB29&gt;$BR29+$BS29*$BS$2,CB29&lt;$BR29-$BS29*$BS$2),AVEDEV(ARRAYFORMULA(XLOOKUP(FILTER(INDIRECT(""'""&amp;CB$1&amp;""'!$C$4:$C$66""),INDIRECT(""'""&amp;CB$1&amp;""'!$D$4:$D$66"")=CB$2),$F$3:$BP$3,$F29:$BP29))),"""")"),"")</f>
        <v/>
      </c>
      <c r="CD29" s="207">
        <f>IFERROR(__xludf.DUMMYFUNCTION("AVERAGE(ARRAYFORMULA(XLOOKUP(FILTER(INDIRECT(""'""&amp;CD$1&amp;""'!$C$4:$C$66""),INDIRECT(""'""&amp;CD$1&amp;""'!$D$4:$D$66"")=CD$2),$F$3:$BP$3,$F29:$BP29)))"),-0.13413727322580643)</f>
        <v>-0.1341372732</v>
      </c>
      <c r="CE29" s="207" t="str">
        <f>IFERROR(__xludf.DUMMYFUNCTION("IF(OR(CD29&gt;$BR29+$BS29*$BS$2,CD29&lt;$BR29-$BS29*$BS$2),AVEDEV(ARRAYFORMULA(XLOOKUP(FILTER(INDIRECT(""'""&amp;CD$1&amp;""'!$C$4:$C$66""),INDIRECT(""'""&amp;CD$1&amp;""'!$D$4:$D$66"")=CD$2),$F$3:$BP$3,$F29:$BP29))),"""")"),"")</f>
        <v/>
      </c>
      <c r="CF29" s="207">
        <f>IFERROR(__xludf.DUMMYFUNCTION("AVERAGE(ARRAYFORMULA(XLOOKUP(FILTER(INDIRECT(""'""&amp;CF$1&amp;""'!$C$4:$C$66""),INDIRECT(""'""&amp;CF$1&amp;""'!$D$4:$D$66"")=CF$2),$F$3:$BP$3,$F29:$BP29)))"),-0.136811472)</f>
        <v>-0.136811472</v>
      </c>
      <c r="CG29" s="207" t="str">
        <f>IFERROR(__xludf.DUMMYFUNCTION("IF(OR(CF29&gt;$BR29+$BS29*$BS$2,CF29&lt;$BR29-$BS29*$BS$2),AVEDEV(ARRAYFORMULA(XLOOKUP(FILTER(INDIRECT(""'""&amp;CF$1&amp;""'!$C$4:$C$66""),INDIRECT(""'""&amp;CF$1&amp;""'!$D$4:$D$66"")=CF$2),$F$3:$BP$3,$F29:$BP29))),"""")"),"")</f>
        <v/>
      </c>
      <c r="CH29" s="206"/>
      <c r="CI29" s="251">
        <f>IFERROR(__xludf.DUMMYFUNCTION("AVERAGE(ARRAYFORMULA(XLOOKUP(FILTER(INDIRECT(""'""&amp;CI$1&amp;""'!$C$4:$C$66""),INDIRECT(""'""&amp;CI$1&amp;""'!$D$4:$D$66"")=CI$2),$F$3:$BP$3,$F29:$BP29)))"),-0.08148243533333334)</f>
        <v>-0.08148243533</v>
      </c>
      <c r="CJ29" s="207" t="str">
        <f>IFERROR(__xludf.DUMMYFUNCTION("IF(OR(CI29&gt;$BR29+$BS29*$BS$2,CI29&lt;$BR29-$BS29*$BS$2),AVEDEV(ARRAYFORMULA(XLOOKUP(FILTER(INDIRECT(""'""&amp;CI$1&amp;""'!$C$4:$C$66""),INDIRECT(""'""&amp;CI$1&amp;""'!$D$4:$D$66"")=CI$2),$F$3:$BP$3,$F29:$BP29))),"""")"),"")</f>
        <v/>
      </c>
      <c r="CK29" s="251">
        <f>IFERROR(__xludf.DUMMYFUNCTION("AVERAGE(ARRAYFORMULA(XLOOKUP(FILTER(INDIRECT(""'""&amp;CK$1&amp;""'!$C$4:$C$66""),INDIRECT(""'""&amp;CK$1&amp;""'!$D$4:$D$66"")=CK$2),$F$3:$BP$3,$F29:$BP29)))"),-0.15848314333333335)</f>
        <v>-0.1584831433</v>
      </c>
      <c r="CL29" s="207" t="str">
        <f>IFERROR(__xludf.DUMMYFUNCTION("IF(OR(CK29&gt;$BR29+$BS29*$BS$2,CK29&lt;$BR29-$BS29*$BS$2),AVEDEV(ARRAYFORMULA(XLOOKUP(FILTER(INDIRECT(""'""&amp;CK$1&amp;""'!$C$4:$C$66""),INDIRECT(""'""&amp;CK$1&amp;""'!$D$4:$D$66"")=CK$2),$F$3:$BP$3,$F29:$BP29))),"""")"),"")</f>
        <v/>
      </c>
      <c r="CM29" s="253">
        <f>IFERROR(__xludf.DUMMYFUNCTION("AVERAGE(ARRAYFORMULA(XLOOKUP(FILTER(INDIRECT(""'""&amp;CM$1&amp;""'!$C$4:$C$66""),INDIRECT(""'""&amp;CM$1&amp;""'!$D$4:$D$66"")=CM$2),$F$3:$BP$3,$F29:$BP29)))"),-0.136811472)</f>
        <v>-0.136811472</v>
      </c>
      <c r="CN29" s="207" t="str">
        <f>IFERROR(__xludf.DUMMYFUNCTION("IF(OR(CM29&gt;$BR29+$BS29*$BS$2,CM29&lt;$BR29-$BS29*$BS$2),AVEDEV(ARRAYFORMULA(XLOOKUP(FILTER(INDIRECT(""'""&amp;CM$1&amp;""'!$C$4:$C$66""),INDIRECT(""'""&amp;CM$1&amp;""'!$D$4:$D$66"")=CM$2),$F$3:$BP$3,$F29:$BP29))),"""")"),"")</f>
        <v/>
      </c>
      <c r="CO29" s="252"/>
      <c r="CP29" s="251">
        <f>IFERROR(__xludf.DUMMYFUNCTION("AVERAGE(ARRAYFORMULA(XLOOKUP(FILTER(INDIRECT(""'""&amp;CP$1&amp;""'!$C$4:$C$66""),INDIRECT(""'""&amp;CP$1&amp;""'!$D$4:$D$66"")=CP$2),$F$3:$BP$3,$F29:$BP29)))"),-0.22129841000000003)</f>
        <v>-0.22129841</v>
      </c>
      <c r="CQ29" s="207" t="str">
        <f>IFERROR(__xludf.DUMMYFUNCTION("IF(OR(CP29&gt;$BR29+$BS29*$BS$2,CP29&lt;$BR29-$BS29*$BS$2),AVEDEV(ARRAYFORMULA(XLOOKUP(FILTER(INDIRECT(""'""&amp;CP$1&amp;""'!$C$4:$C$66""),INDIRECT(""'""&amp;CP$1&amp;""'!$D$4:$D$66"")=CP$2),$F$3:$BP$3,$F29:$BP29))),"""")"),"")</f>
        <v/>
      </c>
      <c r="CR29" s="251">
        <f>IFERROR(__xludf.DUMMYFUNCTION("AVERAGE(ARRAYFORMULA(XLOOKUP(FILTER(INDIRECT(""'""&amp;CR$1&amp;""'!$C$4:$C$66""),INDIRECT(""'""&amp;CR$1&amp;""'!$D$4:$D$66"")=CR$2),$F$3:$BP$3,$F29:$BP29)))"),-0.38985504444444447)</f>
        <v>-0.3898550444</v>
      </c>
      <c r="CS29" s="207" t="str">
        <f>IFERROR(__xludf.DUMMYFUNCTION("IF(OR(CR29&gt;$BR29+$BS29*$BS$2,CR29&lt;$BR29-$BS29*$BS$2),AVEDEV(ARRAYFORMULA(XLOOKUP(FILTER(INDIRECT(""'""&amp;CR$1&amp;""'!$C$4:$C$66""),INDIRECT(""'""&amp;CR$1&amp;""'!$D$4:$D$66"")=CR$2),$F$3:$BP$3,$F29:$BP29))),"""")"),"")</f>
        <v/>
      </c>
      <c r="CT29" s="251">
        <f>IFERROR(__xludf.DUMMYFUNCTION("AVERAGE(ARRAYFORMULA(XLOOKUP(FILTER(INDIRECT(""'""&amp;CT$1&amp;""'!$C$4:$C$66""),INDIRECT(""'""&amp;CT$1&amp;""'!$D$4:$D$66"")=CT$2),$F$3:$BP$3,$F29:$BP29)))"),-0.29347039545454545)</f>
        <v>-0.2934703955</v>
      </c>
      <c r="CU29" s="207" t="str">
        <f>IFERROR(__xludf.DUMMYFUNCTION("IF(OR(CT29&gt;$BR29+$BS29*$BS$2,CT29&lt;$BR29-$BS29*$BS$2),AVEDEV(ARRAYFORMULA(XLOOKUP(FILTER(INDIRECT(""'""&amp;CT$1&amp;""'!$C$4:$C$66""),INDIRECT(""'""&amp;CT$1&amp;""'!$D$4:$D$66"")=CT$2),$F$3:$BP$3,$F29:$BP29))),"""")"),"")</f>
        <v/>
      </c>
      <c r="CV29" s="251">
        <f>IFERROR(__xludf.DUMMYFUNCTION("AVERAGE(ARRAYFORMULA(XLOOKUP(FILTER(INDIRECT(""'""&amp;CV$1&amp;""'!$C$4:$C$66""),INDIRECT(""'""&amp;CV$1&amp;""'!$D$4:$D$66"")=CV$2),$F$3:$BP$3,$F29:$BP29)))"),0.48499965)</f>
        <v>0.48499965</v>
      </c>
      <c r="CW29" s="207">
        <f>IFERROR(__xludf.DUMMYFUNCTION("IF(OR(CV29&gt;$BR29+$BS29*$BS$2,CV29&lt;$BR29-$BS29*$BS$2),AVEDEV(ARRAYFORMULA(XLOOKUP(FILTER(INDIRECT(""'""&amp;CV$1&amp;""'!$C$4:$C$66""),INDIRECT(""'""&amp;CV$1&amp;""'!$D$4:$D$66"")=CV$2),$F$3:$BP$3,$F29:$BP29))),"""")"),0.020785700000000018)</f>
        <v>0.0207857</v>
      </c>
      <c r="CX29" s="253">
        <f>IFERROR(__xludf.DUMMYFUNCTION("AVERAGE(ARRAYFORMULA(XLOOKUP(FILTER(INDIRECT(""'""&amp;CX$1&amp;""'!$C$4:$C$66""),INDIRECT(""'""&amp;CX$1&amp;""'!$D$4:$D$66"")=CX$2),$F$3:$BP$3,$F29:$BP29)))"),-0.06635587)</f>
        <v>-0.06635587</v>
      </c>
      <c r="CY29" s="207" t="str">
        <f>IFERROR(__xludf.DUMMYFUNCTION("IF(OR(CX29&gt;$BR29+$BS29*$BS$2,CX29&lt;$BR29-$BS29*$BS$2),AVEDEV(ARRAYFORMULA(XLOOKUP(FILTER(INDIRECT(""'""&amp;CX$1&amp;""'!$C$4:$C$66""),INDIRECT(""'""&amp;CX$1&amp;""'!$D$4:$D$66"")=CX$2),$F$3:$BP$3,$F29:$BP29))),"""")"),"")</f>
        <v/>
      </c>
      <c r="CZ29" s="252"/>
      <c r="DA29" s="251">
        <f>IFERROR(__xludf.DUMMYFUNCTION("AVERAGE(ARRAYFORMULA(XLOOKUP(FILTER(INDIRECT(""'""&amp;DA$1&amp;""'!$C$4:$C$66""),INDIRECT(""'""&amp;DA$1&amp;""'!$D$4:$D$66"")=DA$2),$F$3:$BP$3,$F29:$BP29)))"),-0.155879347)</f>
        <v>-0.155879347</v>
      </c>
      <c r="DB29" s="207" t="str">
        <f>IFERROR(__xludf.DUMMYFUNCTION("IF(OR(DA29&gt;$BR29+$BS29*$BS$2,DA29&lt;$BR29-$BS29*$BS$2),AVEDEV(ARRAYFORMULA(XLOOKUP(FILTER(INDIRECT(""'""&amp;DA$1&amp;""'!$C$4:$C$66""),INDIRECT(""'""&amp;DA$1&amp;""'!$D$4:$D$66"")=DA$2),$F$3:$BP$3,$F29:$BP29))),"""")"),"")</f>
        <v/>
      </c>
      <c r="DC29" s="251">
        <f>IFERROR(__xludf.DUMMYFUNCTION("AVERAGE(ARRAYFORMULA(XLOOKUP(FILTER(INDIRECT(""'""&amp;DC$1&amp;""'!$C$4:$C$66""),INDIRECT(""'""&amp;DC$1&amp;""'!$D$4:$D$66"")=DC$2),$F$3:$BP$3,$F29:$BP29)))"),-0.2634241088888889)</f>
        <v>-0.2634241089</v>
      </c>
      <c r="DD29" s="207" t="str">
        <f>IFERROR(__xludf.DUMMYFUNCTION("IF(OR(DC29&gt;$BR29+$BS29*$BS$2,DC29&lt;$BR29-$BS29*$BS$2),AVEDEV(ARRAYFORMULA(XLOOKUP(FILTER(INDIRECT(""'""&amp;DC$1&amp;""'!$C$4:$C$66""),INDIRECT(""'""&amp;DC$1&amp;""'!$D$4:$D$66"")=DC$2),$F$3:$BP$3,$F29:$BP29))),"""")"),"")</f>
        <v/>
      </c>
      <c r="DE29" s="251">
        <f>IFERROR(__xludf.DUMMYFUNCTION("AVERAGE(ARRAYFORMULA(XLOOKUP(FILTER(INDIRECT(""'""&amp;DE$1&amp;""'!$C$4:$C$66""),INDIRECT(""'""&amp;DE$1&amp;""'!$D$4:$D$66"")=DE$2),$F$3:$BP$3,$F29:$BP29)))"),0.044774992500000006)</f>
        <v>0.0447749925</v>
      </c>
      <c r="DF29" s="207" t="str">
        <f>IFERROR(__xludf.DUMMYFUNCTION("IF(OR(DE29&gt;$BR29+$BS29*$BS$2,DE29&lt;$BR29-$BS29*$BS$2),AVEDEV(ARRAYFORMULA(XLOOKUP(FILTER(INDIRECT(""'""&amp;DE$1&amp;""'!$C$4:$C$66""),INDIRECT(""'""&amp;DE$1&amp;""'!$D$4:$D$66"")=DE$2),$F$3:$BP$3,$F29:$BP29))),"""")"),"")</f>
        <v/>
      </c>
      <c r="DG29" s="251">
        <f>IFERROR(__xludf.DUMMYFUNCTION("AVERAGE(ARRAYFORMULA(XLOOKUP(FILTER(INDIRECT(""'""&amp;DG$1&amp;""'!$C$4:$C$66""),INDIRECT(""'""&amp;DG$1&amp;""'!$D$4:$D$66"")=DG$2),$F$3:$BP$3,$F29:$BP29)))"),-0.014375550000000015)</f>
        <v>-0.01437555</v>
      </c>
      <c r="DH29" s="207" t="str">
        <f>IFERROR(__xludf.DUMMYFUNCTION("IF(OR(DG29&gt;$BR29+$BS29*$BS$2,DG29&lt;$BR29-$BS29*$BS$2),AVEDEV(ARRAYFORMULA(XLOOKUP(FILTER(INDIRECT(""'""&amp;DG$1&amp;""'!$C$4:$C$66""),INDIRECT(""'""&amp;DG$1&amp;""'!$D$4:$D$66"")=DG$2),$F$3:$BP$3,$F29:$BP29))),"""")"),"")</f>
        <v/>
      </c>
      <c r="DI29" s="252"/>
    </row>
    <row r="30">
      <c r="A30" s="2"/>
      <c r="B30" s="204" t="s">
        <v>442</v>
      </c>
      <c r="C30" s="204" t="s">
        <v>470</v>
      </c>
      <c r="D30" s="205" t="b">
        <f>VLOOKUP(C30,'Feature Set List'!A27:C246,2,0)</f>
        <v>1</v>
      </c>
      <c r="E30" s="205" t="b">
        <f>VLOOKUP(C30,'Feature Set List'!A27:C246,3,0)</f>
        <v>1</v>
      </c>
      <c r="F30" s="205">
        <v>-1.4276923</v>
      </c>
      <c r="G30" s="205">
        <v>-0.8516923</v>
      </c>
      <c r="H30" s="205">
        <v>-0.8676923</v>
      </c>
      <c r="I30" s="205">
        <v>1.01292308</v>
      </c>
      <c r="J30" s="205">
        <v>4.98953846</v>
      </c>
      <c r="K30" s="205">
        <v>0.36307692</v>
      </c>
      <c r="L30" s="205">
        <v>0.0</v>
      </c>
      <c r="M30" s="205">
        <v>5.744</v>
      </c>
      <c r="N30" s="205">
        <v>0.16984615</v>
      </c>
      <c r="O30" s="205">
        <v>-0.5329231</v>
      </c>
      <c r="P30" s="205">
        <v>-0.2387692</v>
      </c>
      <c r="Q30" s="205">
        <v>0.14276923</v>
      </c>
      <c r="R30" s="205">
        <v>0.82338462</v>
      </c>
      <c r="S30" s="205">
        <v>-0.3089231</v>
      </c>
      <c r="T30" s="205">
        <v>-0.3778462</v>
      </c>
      <c r="U30" s="205">
        <v>0.40369231</v>
      </c>
      <c r="V30" s="205">
        <v>1.24061538</v>
      </c>
      <c r="W30" s="205">
        <v>0.71876923</v>
      </c>
      <c r="X30" s="205">
        <v>1.75507692</v>
      </c>
      <c r="Y30" s="205">
        <v>-0.3175385</v>
      </c>
      <c r="Z30" s="205">
        <v>-0.8726154</v>
      </c>
      <c r="AA30" s="205">
        <v>0.00615385</v>
      </c>
      <c r="AB30" s="205">
        <v>-0.1070769</v>
      </c>
      <c r="AC30" s="205">
        <v>0.52061538</v>
      </c>
      <c r="AD30" s="205">
        <v>0.22769231</v>
      </c>
      <c r="AE30" s="205">
        <v>0.13538462</v>
      </c>
      <c r="AF30" s="205">
        <v>1.90153846</v>
      </c>
      <c r="AG30" s="205">
        <v>-0.5132308</v>
      </c>
      <c r="AH30" s="205">
        <v>0.11815385</v>
      </c>
      <c r="AI30" s="205">
        <v>-0.192</v>
      </c>
      <c r="AJ30" s="205">
        <v>0.93169231</v>
      </c>
      <c r="AK30" s="205">
        <v>1.29476923</v>
      </c>
      <c r="AL30" s="205">
        <v>-0.3938462</v>
      </c>
      <c r="AM30" s="205">
        <v>-0.3790769</v>
      </c>
      <c r="AN30" s="205">
        <v>1.02523077</v>
      </c>
      <c r="AO30" s="205">
        <v>1.50030769</v>
      </c>
      <c r="AP30" s="205">
        <v>1.08184615</v>
      </c>
      <c r="AQ30" s="205">
        <v>0.32</v>
      </c>
      <c r="AR30" s="205">
        <v>-0.3889231</v>
      </c>
      <c r="AS30" s="205">
        <v>0.33476923</v>
      </c>
      <c r="AT30" s="205">
        <v>-0.1956923</v>
      </c>
      <c r="AU30" s="205">
        <v>-0.4467692</v>
      </c>
      <c r="AV30" s="205">
        <v>-0.2683077</v>
      </c>
      <c r="AW30" s="205">
        <v>0.72615385</v>
      </c>
      <c r="AX30" s="205">
        <v>-0.4972308</v>
      </c>
      <c r="AY30" s="205">
        <v>-0.4763077</v>
      </c>
      <c r="AZ30" s="205">
        <v>-0.2424615</v>
      </c>
      <c r="BA30" s="205">
        <v>-0.7175385</v>
      </c>
      <c r="BB30" s="205">
        <v>-0.2301538</v>
      </c>
      <c r="BC30" s="205">
        <v>0.89230769</v>
      </c>
      <c r="BD30" s="205">
        <v>0.58584615</v>
      </c>
      <c r="BE30" s="205">
        <v>-0.7101538</v>
      </c>
      <c r="BF30" s="205">
        <v>0.95507692</v>
      </c>
      <c r="BG30" s="205">
        <v>-0.0873846</v>
      </c>
      <c r="BH30" s="205">
        <v>0.21292308</v>
      </c>
      <c r="BI30" s="205">
        <v>-0.2769231</v>
      </c>
      <c r="BJ30" s="205">
        <v>0.15630769</v>
      </c>
      <c r="BK30" s="205">
        <v>-0.1895385</v>
      </c>
      <c r="BL30" s="205">
        <v>-0.2769231</v>
      </c>
      <c r="BM30" s="205">
        <v>-0.1132308</v>
      </c>
      <c r="BN30" s="205">
        <v>-1.2073846</v>
      </c>
      <c r="BO30" s="205">
        <v>-0.176</v>
      </c>
      <c r="BP30" s="205">
        <v>0.33723077</v>
      </c>
      <c r="BQ30" s="206"/>
      <c r="BR30" s="250">
        <f t="shared" si="1"/>
        <v>0.2658070794</v>
      </c>
      <c r="BS30" s="250">
        <f t="shared" si="2"/>
        <v>0.7411078951</v>
      </c>
      <c r="BT30" s="206"/>
      <c r="BU30" s="207">
        <f>IFERROR(__xludf.DUMMYFUNCTION("AVERAGE(ARRAYFORMULA(XLOOKUP(FILTER(INDIRECT(""'""&amp;BU$1&amp;""'!$C$4:$C$66""),INDIRECT(""'""&amp;BU$1&amp;""'!$D$4:$D$66"")=BU$2),$F$3:$BP$3,$F30:$BP30)))"),0.07824173571428572)</f>
        <v>0.07824173571</v>
      </c>
      <c r="BV30" s="207" t="str">
        <f>IFERROR(__xludf.DUMMYFUNCTION("IF(OR(BU30&gt;$BR30+$BS30*$BS$2,BU30&lt;$BR30-$BS30*$BS$2),AVEDEV(ARRAYFORMULA(XLOOKUP(FILTER(INDIRECT(""'""&amp;BU$1&amp;""'!$C$4:$C$66""),INDIRECT(""'""&amp;BU$1&amp;""'!$D$4:$D$66"")=BU$2),$F$3:$BP$3,$F30:$BP30))),"""")"),"")</f>
        <v/>
      </c>
      <c r="BW30" s="207">
        <f>IFERROR(__xludf.DUMMYFUNCTION("AVERAGE(ARRAYFORMULA(XLOOKUP(FILTER(INDIRECT(""'""&amp;BW$1&amp;""'!$C$4:$C$66""),INDIRECT(""'""&amp;BW$1&amp;""'!$D$4:$D$66"")=BW$2),$F$3:$BP$3,$F30:$BP30)))"),0.38429304095238104)</f>
        <v>0.384293041</v>
      </c>
      <c r="BX30" s="207" t="str">
        <f>IFERROR(__xludf.DUMMYFUNCTION("IF(OR(BW30&gt;$BR30+$BS30*$BS$2,BW30&lt;$BR30-$BS30*$BS$2),AVEDEV(ARRAYFORMULA(XLOOKUP(FILTER(INDIRECT(""'""&amp;BW$1&amp;""'!$C$4:$C$66""),INDIRECT(""'""&amp;BW$1&amp;""'!$D$4:$D$66"")=BW$2),$F$3:$BP$3,$F30:$BP30))),"""")"),"")</f>
        <v/>
      </c>
      <c r="BY30" s="207">
        <f>IFERROR(__xludf.DUMMYFUNCTION("AVERAGE(ARRAYFORMULA(XLOOKUP(FILTER(INDIRECT(""'""&amp;BY$1&amp;""'!$C$4:$C$66""),INDIRECT(""'""&amp;BY$1&amp;""'!$D$4:$D$66"")=BY$2),$F$3:$BP$3,$F30:$BP30)))"),0.02081118545454547)</f>
        <v>0.02081118545</v>
      </c>
      <c r="BZ30" s="207" t="str">
        <f>IFERROR(__xludf.DUMMYFUNCTION("IF(OR(BY30&gt;$BR30+$BS30*$BS$2,BY30&lt;$BR30-$BS30*$BS$2),AVEDEV(ARRAYFORMULA(XLOOKUP(FILTER(INDIRECT(""'""&amp;BY$1&amp;""'!$C$4:$C$66""),INDIRECT(""'""&amp;BY$1&amp;""'!$D$4:$D$66"")=BY$2),$F$3:$BP$3,$F30:$BP30))),"""")"),"")</f>
        <v/>
      </c>
      <c r="CA30" s="209"/>
      <c r="CB30" s="207">
        <f>IFERROR(__xludf.DUMMYFUNCTION("AVERAGE(ARRAYFORMULA(XLOOKUP(FILTER(INDIRECT(""'""&amp;CB$1&amp;""'!$C$4:$C$66""),INDIRECT(""'""&amp;CB$1&amp;""'!$D$4:$D$66"")=CB$2),$F$3:$BP$3,$F30:$BP30)))"),0.9575384593749999)</f>
        <v>0.9575384594</v>
      </c>
      <c r="CC30" s="207" t="str">
        <f>IFERROR(__xludf.DUMMYFUNCTION("IF(OR(CB30&gt;$BR30+$BS30*$BS$2,CB30&lt;$BR30-$BS30*$BS$2),AVEDEV(ARRAYFORMULA(XLOOKUP(FILTER(INDIRECT(""'""&amp;CB$1&amp;""'!$C$4:$C$66""),INDIRECT(""'""&amp;CB$1&amp;""'!$D$4:$D$66"")=CB$2),$F$3:$BP$3,$F30:$BP30))),"""")"),"")</f>
        <v/>
      </c>
      <c r="CD30" s="207">
        <f>IFERROR(__xludf.DUMMYFUNCTION("AVERAGE(ARRAYFORMULA(XLOOKUP(FILTER(INDIRECT(""'""&amp;CD$1&amp;""'!$C$4:$C$66""),INDIRECT(""'""&amp;CD$1&amp;""'!$D$4:$D$66"")=CD$2),$F$3:$BP$3,$F30:$BP30)))"),0.07825309967741935)</f>
        <v>0.07825309968</v>
      </c>
      <c r="CE30" s="207" t="str">
        <f>IFERROR(__xludf.DUMMYFUNCTION("IF(OR(CD30&gt;$BR30+$BS30*$BS$2,CD30&lt;$BR30-$BS30*$BS$2),AVEDEV(ARRAYFORMULA(XLOOKUP(FILTER(INDIRECT(""'""&amp;CD$1&amp;""'!$C$4:$C$66""),INDIRECT(""'""&amp;CD$1&amp;""'!$D$4:$D$66"")=CD$2),$F$3:$BP$3,$F30:$BP30))),"""")"),"")</f>
        <v/>
      </c>
      <c r="CF30" s="207">
        <f>IFERROR(__xludf.DUMMYFUNCTION("AVERAGE(ARRAYFORMULA(XLOOKUP(FILTER(INDIRECT(""'""&amp;CF$1&amp;""'!$C$4:$C$66""),INDIRECT(""'""&amp;CF$1&amp;""'!$D$4:$D$66"")=CF$2),$F$3:$BP$3,$F30:$BP30)))"),-0.10363077600000001)</f>
        <v>-0.103630776</v>
      </c>
      <c r="CG30" s="207" t="str">
        <f>IFERROR(__xludf.DUMMYFUNCTION("IF(OR(CF30&gt;$BR30+$BS30*$BS$2,CF30&lt;$BR30-$BS30*$BS$2),AVEDEV(ARRAYFORMULA(XLOOKUP(FILTER(INDIRECT(""'""&amp;CF$1&amp;""'!$C$4:$C$66""),INDIRECT(""'""&amp;CF$1&amp;""'!$D$4:$D$66"")=CF$2),$F$3:$BP$3,$F30:$BP30))),"""")"),"")</f>
        <v/>
      </c>
      <c r="CH30" s="206"/>
      <c r="CI30" s="251">
        <f>IFERROR(__xludf.DUMMYFUNCTION("AVERAGE(ARRAYFORMULA(XLOOKUP(FILTER(INDIRECT(""'""&amp;CI$1&amp;""'!$C$4:$C$66""),INDIRECT(""'""&amp;CI$1&amp;""'!$D$4:$D$66"")=CI$2),$F$3:$BP$3,$F30:$BP30)))"),0.258133326)</f>
        <v>0.258133326</v>
      </c>
      <c r="CJ30" s="207" t="str">
        <f>IFERROR(__xludf.DUMMYFUNCTION("IF(OR(CI30&gt;$BR30+$BS30*$BS$2,CI30&lt;$BR30-$BS30*$BS$2),AVEDEV(ARRAYFORMULA(XLOOKUP(FILTER(INDIRECT(""'""&amp;CI$1&amp;""'!$C$4:$C$66""),INDIRECT(""'""&amp;CI$1&amp;""'!$D$4:$D$66"")=CI$2),$F$3:$BP$3,$F30:$BP30))),"""")"),"")</f>
        <v/>
      </c>
      <c r="CK30" s="251">
        <f>IFERROR(__xludf.DUMMYFUNCTION("AVERAGE(ARRAYFORMULA(XLOOKUP(FILTER(INDIRECT(""'""&amp;CK$1&amp;""'!$C$4:$C$66""),INDIRECT(""'""&amp;CK$1&amp;""'!$D$4:$D$66"")=CK$2),$F$3:$BP$3,$F30:$BP30)))"),0.3526311641025641)</f>
        <v>0.3526311641</v>
      </c>
      <c r="CL30" s="207" t="str">
        <f>IFERROR(__xludf.DUMMYFUNCTION("IF(OR(CK30&gt;$BR30+$BS30*$BS$2,CK30&lt;$BR30-$BS30*$BS$2),AVEDEV(ARRAYFORMULA(XLOOKUP(FILTER(INDIRECT(""'""&amp;CK$1&amp;""'!$C$4:$C$66""),INDIRECT(""'""&amp;CK$1&amp;""'!$D$4:$D$66"")=CK$2),$F$3:$BP$3,$F30:$BP30))),"""")"),"")</f>
        <v/>
      </c>
      <c r="CM30" s="251">
        <f>IFERROR(__xludf.DUMMYFUNCTION("AVERAGE(ARRAYFORMULA(XLOOKUP(FILTER(INDIRECT(""'""&amp;CM$1&amp;""'!$C$4:$C$66""),INDIRECT(""'""&amp;CM$1&amp;""'!$D$4:$D$66"")=CM$2),$F$3:$BP$3,$F30:$BP30)))"),-0.10363077600000001)</f>
        <v>-0.103630776</v>
      </c>
      <c r="CN30" s="207" t="str">
        <f>IFERROR(__xludf.DUMMYFUNCTION("IF(OR(CM30&gt;$BR30+$BS30*$BS$2,CM30&lt;$BR30-$BS30*$BS$2),AVEDEV(ARRAYFORMULA(XLOOKUP(FILTER(INDIRECT(""'""&amp;CM$1&amp;""'!$C$4:$C$66""),INDIRECT(""'""&amp;CM$1&amp;""'!$D$4:$D$66"")=CM$2),$F$3:$BP$3,$F30:$BP30))),"""")"),"")</f>
        <v/>
      </c>
      <c r="CO30" s="252"/>
      <c r="CP30" s="251">
        <f>IFERROR(__xludf.DUMMYFUNCTION("AVERAGE(ARRAYFORMULA(XLOOKUP(FILTER(INDIRECT(""'""&amp;CP$1&amp;""'!$C$4:$C$66""),INDIRECT(""'""&amp;CP$1&amp;""'!$D$4:$D$66"")=CP$2),$F$3:$BP$3,$F30:$BP30)))"),0.8959120914285715)</f>
        <v>0.8959120914</v>
      </c>
      <c r="CQ30" s="207" t="str">
        <f>IFERROR(__xludf.DUMMYFUNCTION("IF(OR(CP30&gt;$BR30+$BS30*$BS$2,CP30&lt;$BR30-$BS30*$BS$2),AVEDEV(ARRAYFORMULA(XLOOKUP(FILTER(INDIRECT(""'""&amp;CP$1&amp;""'!$C$4:$C$66""),INDIRECT(""'""&amp;CP$1&amp;""'!$D$4:$D$66"")=CP$2),$F$3:$BP$3,$F30:$BP30))),"""")"),"")</f>
        <v/>
      </c>
      <c r="CR30" s="251">
        <f>IFERROR(__xludf.DUMMYFUNCTION("AVERAGE(ARRAYFORMULA(XLOOKUP(FILTER(INDIRECT(""'""&amp;CR$1&amp;""'!$C$4:$C$66""),INDIRECT(""'""&amp;CR$1&amp;""'!$D$4:$D$66"")=CR$2),$F$3:$BP$3,$F30:$BP30)))"),0.10912820444444446)</f>
        <v>0.1091282044</v>
      </c>
      <c r="CS30" s="207" t="str">
        <f>IFERROR(__xludf.DUMMYFUNCTION("IF(OR(CR30&gt;$BR30+$BS30*$BS$2,CR30&lt;$BR30-$BS30*$BS$2),AVEDEV(ARRAYFORMULA(XLOOKUP(FILTER(INDIRECT(""'""&amp;CR$1&amp;""'!$C$4:$C$66""),INDIRECT(""'""&amp;CR$1&amp;""'!$D$4:$D$66"")=CR$2),$F$3:$BP$3,$F30:$BP30))),"""")"),"")</f>
        <v/>
      </c>
      <c r="CT30" s="251">
        <f>IFERROR(__xludf.DUMMYFUNCTION("AVERAGE(ARRAYFORMULA(XLOOKUP(FILTER(INDIRECT(""'""&amp;CT$1&amp;""'!$C$4:$C$66""),INDIRECT(""'""&amp;CT$1&amp;""'!$D$4:$D$66"")=CT$2),$F$3:$BP$3,$F30:$BP30)))"),-0.1725314709090909)</f>
        <v>-0.1725314709</v>
      </c>
      <c r="CU30" s="207" t="str">
        <f>IFERROR(__xludf.DUMMYFUNCTION("IF(OR(CT30&gt;$BR30+$BS30*$BS$2,CT30&lt;$BR30-$BS30*$BS$2),AVEDEV(ARRAYFORMULA(XLOOKUP(FILTER(INDIRECT(""'""&amp;CT$1&amp;""'!$C$4:$C$66""),INDIRECT(""'""&amp;CT$1&amp;""'!$D$4:$D$66"")=CT$2),$F$3:$BP$3,$F30:$BP30))),"""")"),"")</f>
        <v/>
      </c>
      <c r="CV30" s="251">
        <f>IFERROR(__xludf.DUMMYFUNCTION("AVERAGE(ARRAYFORMULA(XLOOKUP(FILTER(INDIRECT(""'""&amp;CV$1&amp;""'!$C$4:$C$66""),INDIRECT(""'""&amp;CV$1&amp;""'!$D$4:$D$66"")=CV$2),$F$3:$BP$3,$F30:$BP30)))"),0.21661538999999996)</f>
        <v>0.21661539</v>
      </c>
      <c r="CW30" s="207" t="str">
        <f>IFERROR(__xludf.DUMMYFUNCTION("IF(OR(CV30&gt;$BR30+$BS30*$BS$2,CV30&lt;$BR30-$BS30*$BS$2),AVEDEV(ARRAYFORMULA(XLOOKUP(FILTER(INDIRECT(""'""&amp;CV$1&amp;""'!$C$4:$C$66""),INDIRECT(""'""&amp;CV$1&amp;""'!$D$4:$D$66"")=CV$2),$F$3:$BP$3,$F30:$BP30))),"""")"),"")</f>
        <v/>
      </c>
      <c r="CX30" s="251">
        <f>IFERROR(__xludf.DUMMYFUNCTION("AVERAGE(ARRAYFORMULA(XLOOKUP(FILTER(INDIRECT(""'""&amp;CX$1&amp;""'!$C$4:$C$66""),INDIRECT(""'""&amp;CX$1&amp;""'!$D$4:$D$66"")=CX$2),$F$3:$BP$3,$F30:$BP30)))"),-0.0010549442857142796)</f>
        <v>-0.001054944286</v>
      </c>
      <c r="CY30" s="207" t="str">
        <f>IFERROR(__xludf.DUMMYFUNCTION("IF(OR(CX30&gt;$BR30+$BS30*$BS$2,CX30&lt;$BR30-$BS30*$BS$2),AVEDEV(ARRAYFORMULA(XLOOKUP(FILTER(INDIRECT(""'""&amp;CX$1&amp;""'!$C$4:$C$66""),INDIRECT(""'""&amp;CX$1&amp;""'!$D$4:$D$66"")=CX$2),$F$3:$BP$3,$F30:$BP30))),"""")"),"")</f>
        <v/>
      </c>
      <c r="CZ30" s="252"/>
      <c r="DA30" s="251">
        <f>IFERROR(__xludf.DUMMYFUNCTION("AVERAGE(ARRAYFORMULA(XLOOKUP(FILTER(INDIRECT(""'""&amp;DA$1&amp;""'!$C$4:$C$66""),INDIRECT(""'""&amp;DA$1&amp;""'!$D$4:$D$66"")=DA$2),$F$3:$BP$3,$F30:$BP30)))"),0.600082053)</f>
        <v>0.600082053</v>
      </c>
      <c r="DB30" s="207" t="str">
        <f>IFERROR(__xludf.DUMMYFUNCTION("IF(OR(DA30&gt;$BR30+$BS30*$BS$2,DA30&lt;$BR30-$BS30*$BS$2),AVEDEV(ARRAYFORMULA(XLOOKUP(FILTER(INDIRECT(""'""&amp;DA$1&amp;""'!$C$4:$C$66""),INDIRECT(""'""&amp;DA$1&amp;""'!$D$4:$D$66"")=DA$2),$F$3:$BP$3,$F30:$BP30))),"""")"),"")</f>
        <v/>
      </c>
      <c r="DC30" s="251">
        <f>IFERROR(__xludf.DUMMYFUNCTION("AVERAGE(ARRAYFORMULA(XLOOKUP(FILTER(INDIRECT(""'""&amp;DC$1&amp;""'!$C$4:$C$66""),INDIRECT(""'""&amp;DC$1&amp;""'!$D$4:$D$66"")=DC$2),$F$3:$BP$3,$F30:$BP30)))"),-0.1813333333333333)</f>
        <v>-0.1813333333</v>
      </c>
      <c r="DD30" s="207" t="str">
        <f>IFERROR(__xludf.DUMMYFUNCTION("IF(OR(DC30&gt;$BR30+$BS30*$BS$2,DC30&lt;$BR30-$BS30*$BS$2),AVEDEV(ARRAYFORMULA(XLOOKUP(FILTER(INDIRECT(""'""&amp;DC$1&amp;""'!$C$4:$C$66""),INDIRECT(""'""&amp;DC$1&amp;""'!$D$4:$D$66"")=DC$2),$F$3:$BP$3,$F30:$BP30))),"""")"),"")</f>
        <v/>
      </c>
      <c r="DE30" s="251">
        <f>IFERROR(__xludf.DUMMYFUNCTION("AVERAGE(ARRAYFORMULA(XLOOKUP(FILTER(INDIRECT(""'""&amp;DE$1&amp;""'!$C$4:$C$66""),INDIRECT(""'""&amp;DE$1&amp;""'!$D$4:$D$66"")=DE$2),$F$3:$BP$3,$F30:$BP30)))"),-0.16000001249999998)</f>
        <v>-0.1600000125</v>
      </c>
      <c r="DF30" s="207" t="str">
        <f>IFERROR(__xludf.DUMMYFUNCTION("IF(OR(DE30&gt;$BR30+$BS30*$BS$2,DE30&lt;$BR30-$BS30*$BS$2),AVEDEV(ARRAYFORMULA(XLOOKUP(FILTER(INDIRECT(""'""&amp;DE$1&amp;""'!$C$4:$C$66""),INDIRECT(""'""&amp;DE$1&amp;""'!$D$4:$D$66"")=DE$2),$F$3:$BP$3,$F30:$BP30))),"""")"),"")</f>
        <v/>
      </c>
      <c r="DG30" s="251">
        <f>IFERROR(__xludf.DUMMYFUNCTION("AVERAGE(ARRAYFORMULA(XLOOKUP(FILTER(INDIRECT(""'""&amp;DG$1&amp;""'!$C$4:$C$66""),INDIRECT(""'""&amp;DG$1&amp;""'!$D$4:$D$66"")=DG$2),$F$3:$BP$3,$F30:$BP30)))"),-0.005333342222222222)</f>
        <v>-0.005333342222</v>
      </c>
      <c r="DH30" s="207" t="str">
        <f>IFERROR(__xludf.DUMMYFUNCTION("IF(OR(DG30&gt;$BR30+$BS30*$BS$2,DG30&lt;$BR30-$BS30*$BS$2),AVEDEV(ARRAYFORMULA(XLOOKUP(FILTER(INDIRECT(""'""&amp;DG$1&amp;""'!$C$4:$C$66""),INDIRECT(""'""&amp;DG$1&amp;""'!$D$4:$D$66"")=DG$2),$F$3:$BP$3,$F30:$BP30))),"""")"),"")</f>
        <v/>
      </c>
      <c r="DI30" s="252"/>
    </row>
    <row r="31">
      <c r="A31" s="2"/>
      <c r="B31" s="204" t="s">
        <v>442</v>
      </c>
      <c r="C31" s="204" t="s">
        <v>471</v>
      </c>
      <c r="D31" s="205" t="b">
        <f>VLOOKUP(C31,'Feature Set List'!A28:C246,2,0)</f>
        <v>1</v>
      </c>
      <c r="E31" s="205" t="b">
        <f>VLOOKUP(C31,'Feature Set List'!A28:C246,3,0)</f>
        <v>1</v>
      </c>
      <c r="F31" s="205">
        <v>-1.0</v>
      </c>
      <c r="G31" s="205">
        <v>-0.2865169</v>
      </c>
      <c r="H31" s="205">
        <v>0.76966292</v>
      </c>
      <c r="I31" s="205">
        <v>-0.3370787</v>
      </c>
      <c r="J31" s="205">
        <v>0.19662921</v>
      </c>
      <c r="K31" s="205">
        <v>-0.6460674</v>
      </c>
      <c r="L31" s="205">
        <v>-0.7359551</v>
      </c>
      <c r="M31" s="205">
        <v>0.06741573</v>
      </c>
      <c r="N31" s="205">
        <v>0.20224719</v>
      </c>
      <c r="O31" s="205">
        <v>0.1011236</v>
      </c>
      <c r="P31" s="205">
        <v>0.29213483</v>
      </c>
      <c r="Q31" s="205">
        <v>-0.6460674</v>
      </c>
      <c r="R31" s="205">
        <v>0.48876404</v>
      </c>
      <c r="S31" s="205">
        <v>0.90449438</v>
      </c>
      <c r="T31" s="205">
        <v>-0.6910112</v>
      </c>
      <c r="U31" s="205">
        <v>-0.1011236</v>
      </c>
      <c r="V31" s="205">
        <v>-0.3258427</v>
      </c>
      <c r="W31" s="205">
        <v>-0.4606742</v>
      </c>
      <c r="X31" s="205">
        <v>-0.2078652</v>
      </c>
      <c r="Y31" s="205">
        <v>-0.3651685</v>
      </c>
      <c r="Z31" s="205">
        <v>0.04494382</v>
      </c>
      <c r="AA31" s="205">
        <v>-1.3707865</v>
      </c>
      <c r="AB31" s="205">
        <v>-1.5337079</v>
      </c>
      <c r="AC31" s="205">
        <v>0.70786517</v>
      </c>
      <c r="AD31" s="205">
        <v>0.8988764</v>
      </c>
      <c r="AE31" s="205">
        <v>-0.1516854</v>
      </c>
      <c r="AF31" s="205">
        <v>0.21348315</v>
      </c>
      <c r="AG31" s="205">
        <v>-0.3539326</v>
      </c>
      <c r="AH31" s="205">
        <v>0.03932584</v>
      </c>
      <c r="AI31" s="205">
        <v>0.16853933</v>
      </c>
      <c r="AJ31" s="205">
        <v>-0.2865169</v>
      </c>
      <c r="AK31" s="205">
        <v>0.53370787</v>
      </c>
      <c r="AL31" s="205">
        <v>0.0</v>
      </c>
      <c r="AM31" s="205">
        <v>0.95505618</v>
      </c>
      <c r="AN31" s="205">
        <v>1.01685393</v>
      </c>
      <c r="AO31" s="205">
        <v>0.12921348</v>
      </c>
      <c r="AP31" s="205">
        <v>-0.505618</v>
      </c>
      <c r="AQ31" s="205">
        <v>-0.7865169</v>
      </c>
      <c r="AR31" s="205">
        <v>-0.1966292</v>
      </c>
      <c r="AS31" s="205">
        <v>-0.505618</v>
      </c>
      <c r="AT31" s="205">
        <v>0.46067416</v>
      </c>
      <c r="AU31" s="205">
        <v>2.48314607</v>
      </c>
      <c r="AV31" s="205">
        <v>-0.9382022</v>
      </c>
      <c r="AW31" s="205">
        <v>-0.1011236</v>
      </c>
      <c r="AX31" s="205">
        <v>2.57865169</v>
      </c>
      <c r="AY31" s="205">
        <v>-1.5168539</v>
      </c>
      <c r="AZ31" s="205">
        <v>-0.9157303</v>
      </c>
      <c r="BA31" s="205">
        <v>0.96067416</v>
      </c>
      <c r="BB31" s="205">
        <v>-0.6516854</v>
      </c>
      <c r="BC31" s="205">
        <v>0.5</v>
      </c>
      <c r="BD31" s="205">
        <v>6.21348315</v>
      </c>
      <c r="BE31" s="205">
        <v>-0.8651685</v>
      </c>
      <c r="BF31" s="205">
        <v>-0.3483146</v>
      </c>
      <c r="BG31" s="205">
        <v>0.6741573</v>
      </c>
      <c r="BH31" s="205">
        <v>0.57865169</v>
      </c>
      <c r="BI31" s="205">
        <v>-1.011236</v>
      </c>
      <c r="BJ31" s="205">
        <v>-0.3089888</v>
      </c>
      <c r="BK31" s="205">
        <v>13.4213483</v>
      </c>
      <c r="BL31" s="205">
        <v>0.03932584</v>
      </c>
      <c r="BM31" s="205">
        <v>2.15168539</v>
      </c>
      <c r="BN31" s="205">
        <v>0.64044944</v>
      </c>
      <c r="BO31" s="205">
        <v>-0.0842697</v>
      </c>
      <c r="BP31" s="205">
        <v>0.01685393</v>
      </c>
      <c r="BQ31" s="206"/>
      <c r="BR31" s="250">
        <f t="shared" si="1"/>
        <v>0.3208489348</v>
      </c>
      <c r="BS31" s="250">
        <f t="shared" si="2"/>
        <v>0.979113412</v>
      </c>
      <c r="BT31" s="206"/>
      <c r="BU31" s="207">
        <f>IFERROR(__xludf.DUMMYFUNCTION("AVERAGE(ARRAYFORMULA(XLOOKUP(FILTER(INDIRECT(""'""&amp;BU$1&amp;""'!$C$4:$C$66""),INDIRECT(""'""&amp;BU$1&amp;""'!$D$4:$D$66"")=BU$2),$F$3:$BP$3,$F31:$BP31)))"),3.291332261428572)</f>
        <v>3.291332261</v>
      </c>
      <c r="BV31" s="207">
        <f>IFERROR(__xludf.DUMMYFUNCTION("IF(OR(BU31&gt;$BR31+$BS31*$BS$2,BU31&lt;$BR31-$BS31*$BS$2),AVEDEV(ARRAYFORMULA(XLOOKUP(FILTER(INDIRECT(""'""&amp;BU$1&amp;""'!$C$4:$C$66""),INDIRECT(""'""&amp;BU$1&amp;""'!$D$4:$D$66"")=BU$2),$F$3:$BP$3,$F31:$BP31))),"""")"),3.7291905506122447)</f>
        <v>3.729190551</v>
      </c>
      <c r="BW31" s="207">
        <f>IFERROR(__xludf.DUMMYFUNCTION("AVERAGE(ARRAYFORMULA(XLOOKUP(FILTER(INDIRECT(""'""&amp;BW$1&amp;""'!$C$4:$C$66""),INDIRECT(""'""&amp;BW$1&amp;""'!$D$4:$D$66"")=BW$2),$F$3:$BP$3,$F31:$BP31)))"),-0.002407710476190478)</f>
        <v>-0.002407710476</v>
      </c>
      <c r="BX31" s="207" t="str">
        <f>IFERROR(__xludf.DUMMYFUNCTION("IF(OR(BW31&gt;$BR31+$BS31*$BS$2,BW31&lt;$BR31-$BS31*$BS$2),AVEDEV(ARRAYFORMULA(XLOOKUP(FILTER(INDIRECT(""'""&amp;BW$1&amp;""'!$C$4:$C$66""),INDIRECT(""'""&amp;BW$1&amp;""'!$D$4:$D$66"")=BW$2),$F$3:$BP$3,$F31:$BP31))),"""")"),"")</f>
        <v/>
      </c>
      <c r="BY31" s="207">
        <f>IFERROR(__xludf.DUMMYFUNCTION("AVERAGE(ARRAYFORMULA(XLOOKUP(FILTER(INDIRECT(""'""&amp;BY$1&amp;""'!$C$4:$C$66""),INDIRECT(""'""&amp;BY$1&amp;""'!$D$4:$D$66"")=BY$2),$F$3:$BP$3,$F31:$BP31)))"),-0.40500510727272715)</f>
        <v>-0.4050051073</v>
      </c>
      <c r="BZ31" s="207" t="str">
        <f>IFERROR(__xludf.DUMMYFUNCTION("IF(OR(BY31&gt;$BR31+$BS31*$BS$2,BY31&lt;$BR31-$BS31*$BS$2),AVEDEV(ARRAYFORMULA(XLOOKUP(FILTER(INDIRECT(""'""&amp;BY$1&amp;""'!$C$4:$C$66""),INDIRECT(""'""&amp;BY$1&amp;""'!$D$4:$D$66"")=BY$2),$F$3:$BP$3,$F31:$BP31))),"""")"),"")</f>
        <v/>
      </c>
      <c r="CA31" s="209"/>
      <c r="CB31" s="207">
        <f>IFERROR(__xludf.DUMMYFUNCTION("AVERAGE(ARRAYFORMULA(XLOOKUP(FILTER(INDIRECT(""'""&amp;CB$1&amp;""'!$C$4:$C$66""),INDIRECT(""'""&amp;CB$1&amp;""'!$D$4:$D$66"")=CB$2),$F$3:$BP$3,$F31:$BP31)))"),-0.125702251875)</f>
        <v>-0.1257022519</v>
      </c>
      <c r="CC31" s="207" t="str">
        <f>IFERROR(__xludf.DUMMYFUNCTION("IF(OR(CB31&gt;$BR31+$BS31*$BS$2,CB31&lt;$BR31-$BS31*$BS$2),AVEDEV(ARRAYFORMULA(XLOOKUP(FILTER(INDIRECT(""'""&amp;CB$1&amp;""'!$C$4:$C$66""),INDIRECT(""'""&amp;CB$1&amp;""'!$D$4:$D$66"")=CB$2),$F$3:$BP$3,$F31:$BP31))),"""")"),"")</f>
        <v/>
      </c>
      <c r="CD31" s="207">
        <f>IFERROR(__xludf.DUMMYFUNCTION("AVERAGE(ARRAYFORMULA(XLOOKUP(FILTER(INDIRECT(""'""&amp;CD$1&amp;""'!$C$4:$C$66""),INDIRECT(""'""&amp;CD$1&amp;""'!$D$4:$D$66"")=CD$2),$F$3:$BP$3,$F31:$BP31)))"),0.263863714516129)</f>
        <v>0.2638637145</v>
      </c>
      <c r="CE31" s="207" t="str">
        <f>IFERROR(__xludf.DUMMYFUNCTION("IF(OR(CD31&gt;$BR31+$BS31*$BS$2,CD31&lt;$BR31-$BS31*$BS$2),AVEDEV(ARRAYFORMULA(XLOOKUP(FILTER(INDIRECT(""'""&amp;CD$1&amp;""'!$C$4:$C$66""),INDIRECT(""'""&amp;CD$1&amp;""'!$D$4:$D$66"")=CD$2),$F$3:$BP$3,$F31:$BP31))),"""")"),"")</f>
        <v/>
      </c>
      <c r="CF31" s="207">
        <f>IFERROR(__xludf.DUMMYFUNCTION("AVERAGE(ARRAYFORMULA(XLOOKUP(FILTER(INDIRECT(""'""&amp;CF$1&amp;""'!$C$4:$C$66""),INDIRECT(""'""&amp;CF$1&amp;""'!$D$4:$D$66"")=CF$2),$F$3:$BP$3,$F31:$BP31)))"),-0.09101122399999997)</f>
        <v>-0.091011224</v>
      </c>
      <c r="CG31" s="207" t="str">
        <f>IFERROR(__xludf.DUMMYFUNCTION("IF(OR(CF31&gt;$BR31+$BS31*$BS$2,CF31&lt;$BR31-$BS31*$BS$2),AVEDEV(ARRAYFORMULA(XLOOKUP(FILTER(INDIRECT(""'""&amp;CF$1&amp;""'!$C$4:$C$66""),INDIRECT(""'""&amp;CF$1&amp;""'!$D$4:$D$66"")=CF$2),$F$3:$BP$3,$F31:$BP31))),"""")"),"")</f>
        <v/>
      </c>
      <c r="CH31" s="206"/>
      <c r="CI31" s="251">
        <f>IFERROR(__xludf.DUMMYFUNCTION("AVERAGE(ARRAYFORMULA(XLOOKUP(FILTER(INDIRECT(""'""&amp;CI$1&amp;""'!$C$4:$C$66""),INDIRECT(""'""&amp;CI$1&amp;""'!$D$4:$D$66"")=CI$2),$F$3:$BP$3,$F31:$BP31)))"),0.18277152933333335)</f>
        <v>0.1827715293</v>
      </c>
      <c r="CJ31" s="207" t="str">
        <f>IFERROR(__xludf.DUMMYFUNCTION("IF(OR(CI31&gt;$BR31+$BS31*$BS$2,CI31&lt;$BR31-$BS31*$BS$2),AVEDEV(ARRAYFORMULA(XLOOKUP(FILTER(INDIRECT(""'""&amp;CI$1&amp;""'!$C$4:$C$66""),INDIRECT(""'""&amp;CI$1&amp;""'!$D$4:$D$66"")=CI$2),$F$3:$BP$3,$F31:$BP31))),"""")"),"")</f>
        <v/>
      </c>
      <c r="CK31" s="251">
        <f>IFERROR(__xludf.DUMMYFUNCTION("AVERAGE(ARRAYFORMULA(XLOOKUP(FILTER(INDIRECT(""'""&amp;CK$1&amp;""'!$C$4:$C$66""),INDIRECT(""'""&amp;CK$1&amp;""'!$D$4:$D$66"")=CK$2),$F$3:$BP$3,$F31:$BP31)))"),0.07116104333333333)</f>
        <v>0.07116104333</v>
      </c>
      <c r="CL31" s="207" t="str">
        <f>IFERROR(__xludf.DUMMYFUNCTION("IF(OR(CK31&gt;$BR31+$BS31*$BS$2,CK31&lt;$BR31-$BS31*$BS$2),AVEDEV(ARRAYFORMULA(XLOOKUP(FILTER(INDIRECT(""'""&amp;CK$1&amp;""'!$C$4:$C$66""),INDIRECT(""'""&amp;CK$1&amp;""'!$D$4:$D$66"")=CK$2),$F$3:$BP$3,$F31:$BP31))),"""")"),"")</f>
        <v/>
      </c>
      <c r="CM31" s="251">
        <f>IFERROR(__xludf.DUMMYFUNCTION("AVERAGE(ARRAYFORMULA(XLOOKUP(FILTER(INDIRECT(""'""&amp;CM$1&amp;""'!$C$4:$C$66""),INDIRECT(""'""&amp;CM$1&amp;""'!$D$4:$D$66"")=CM$2),$F$3:$BP$3,$F31:$BP31)))"),-0.09101122399999997)</f>
        <v>-0.091011224</v>
      </c>
      <c r="CN31" s="207" t="str">
        <f>IFERROR(__xludf.DUMMYFUNCTION("IF(OR(CM31&gt;$BR31+$BS31*$BS$2,CM31&lt;$BR31-$BS31*$BS$2),AVEDEV(ARRAYFORMULA(XLOOKUP(FILTER(INDIRECT(""'""&amp;CM$1&amp;""'!$C$4:$C$66""),INDIRECT(""'""&amp;CM$1&amp;""'!$D$4:$D$66"")=CM$2),$F$3:$BP$3,$F31:$BP31))),"""")"),"")</f>
        <v/>
      </c>
      <c r="CO31" s="252"/>
      <c r="CP31" s="251">
        <f>IFERROR(__xludf.DUMMYFUNCTION("AVERAGE(ARRAYFORMULA(XLOOKUP(FILTER(INDIRECT(""'""&amp;CP$1&amp;""'!$C$4:$C$66""),INDIRECT(""'""&amp;CP$1&amp;""'!$D$4:$D$66"")=CP$2),$F$3:$BP$3,$F31:$BP31)))"),-0.12479936642857141)</f>
        <v>-0.1247993664</v>
      </c>
      <c r="CQ31" s="207" t="str">
        <f>IFERROR(__xludf.DUMMYFUNCTION("IF(OR(CP31&gt;$BR31+$BS31*$BS$2,CP31&lt;$BR31-$BS31*$BS$2),AVEDEV(ARRAYFORMULA(XLOOKUP(FILTER(INDIRECT(""'""&amp;CP$1&amp;""'!$C$4:$C$66""),INDIRECT(""'""&amp;CP$1&amp;""'!$D$4:$D$66"")=CP$2),$F$3:$BP$3,$F31:$BP31))),"""")"),"")</f>
        <v/>
      </c>
      <c r="CR31" s="251">
        <f>IFERROR(__xludf.DUMMYFUNCTION("AVERAGE(ARRAYFORMULA(XLOOKUP(FILTER(INDIRECT(""'""&amp;CR$1&amp;""'!$C$4:$C$66""),INDIRECT(""'""&amp;CR$1&amp;""'!$D$4:$D$66"")=CR$2),$F$3:$BP$3,$F31:$BP31)))"),-0.3308364577777778)</f>
        <v>-0.3308364578</v>
      </c>
      <c r="CS31" s="207" t="str">
        <f>IFERROR(__xludf.DUMMYFUNCTION("IF(OR(CR31&gt;$BR31+$BS31*$BS$2,CR31&lt;$BR31-$BS31*$BS$2),AVEDEV(ARRAYFORMULA(XLOOKUP(FILTER(INDIRECT(""'""&amp;CR$1&amp;""'!$C$4:$C$66""),INDIRECT(""'""&amp;CR$1&amp;""'!$D$4:$D$66"")=CR$2),$F$3:$BP$3,$F31:$BP31))),"""")"),"")</f>
        <v/>
      </c>
      <c r="CT31" s="251">
        <f>IFERROR(__xludf.DUMMYFUNCTION("AVERAGE(ARRAYFORMULA(XLOOKUP(FILTER(INDIRECT(""'""&amp;CT$1&amp;""'!$C$4:$C$66""),INDIRECT(""'""&amp;CT$1&amp;""'!$D$4:$D$66"")=CT$2),$F$3:$BP$3,$F31:$BP31)))"),-0.17926455727272728)</f>
        <v>-0.1792645573</v>
      </c>
      <c r="CU31" s="207" t="str">
        <f>IFERROR(__xludf.DUMMYFUNCTION("IF(OR(CT31&gt;$BR31+$BS31*$BS$2,CT31&lt;$BR31-$BS31*$BS$2),AVEDEV(ARRAYFORMULA(XLOOKUP(FILTER(INDIRECT(""'""&amp;CT$1&amp;""'!$C$4:$C$66""),INDIRECT(""'""&amp;CT$1&amp;""'!$D$4:$D$66"")=CT$2),$F$3:$BP$3,$F31:$BP31))),"""")"),"")</f>
        <v/>
      </c>
      <c r="CV31" s="251">
        <f>IFERROR(__xludf.DUMMYFUNCTION("AVERAGE(ARRAYFORMULA(XLOOKUP(FILTER(INDIRECT(""'""&amp;CV$1&amp;""'!$C$4:$C$66""),INDIRECT(""'""&amp;CV$1&amp;""'!$D$4:$D$66"")=CV$2),$F$3:$BP$3,$F31:$BP31)))"),0.691011235)</f>
        <v>0.691011235</v>
      </c>
      <c r="CW31" s="207" t="str">
        <f>IFERROR(__xludf.DUMMYFUNCTION("IF(OR(CV31&gt;$BR31+$BS31*$BS$2,CV31&lt;$BR31-$BS31*$BS$2),AVEDEV(ARRAYFORMULA(XLOOKUP(FILTER(INDIRECT(""'""&amp;CV$1&amp;""'!$C$4:$C$66""),INDIRECT(""'""&amp;CV$1&amp;""'!$D$4:$D$66"")=CV$2),$F$3:$BP$3,$F31:$BP31))),"""")"),"")</f>
        <v/>
      </c>
      <c r="CX31" s="251">
        <f>IFERROR(__xludf.DUMMYFUNCTION("AVERAGE(ARRAYFORMULA(XLOOKUP(FILTER(INDIRECT(""'""&amp;CX$1&amp;""'!$C$4:$C$66""),INDIRECT(""'""&amp;CX$1&amp;""'!$D$4:$D$66"")=CX$2),$F$3:$BP$3,$F31:$BP31)))"),0.051364360000000005)</f>
        <v>0.05136436</v>
      </c>
      <c r="CY31" s="207" t="str">
        <f>IFERROR(__xludf.DUMMYFUNCTION("IF(OR(CX31&gt;$BR31+$BS31*$BS$2,CX31&lt;$BR31-$BS31*$BS$2),AVEDEV(ARRAYFORMULA(XLOOKUP(FILTER(INDIRECT(""'""&amp;CX$1&amp;""'!$C$4:$C$66""),INDIRECT(""'""&amp;CX$1&amp;""'!$D$4:$D$66"")=CX$2),$F$3:$BP$3,$F31:$BP31))),"""")"),"")</f>
        <v/>
      </c>
      <c r="CZ31" s="252"/>
      <c r="DA31" s="251">
        <f>IFERROR(__xludf.DUMMYFUNCTION("AVERAGE(ARRAYFORMULA(XLOOKUP(FILTER(INDIRECT(""'""&amp;DA$1&amp;""'!$C$4:$C$66""),INDIRECT(""'""&amp;DA$1&amp;""'!$D$4:$D$66"")=DA$2),$F$3:$BP$3,$F31:$BP31)))"),0.06928838066666669)</f>
        <v>0.06928838067</v>
      </c>
      <c r="DB31" s="207" t="str">
        <f>IFERROR(__xludf.DUMMYFUNCTION("IF(OR(DA31&gt;$BR31+$BS31*$BS$2,DA31&lt;$BR31-$BS31*$BS$2),AVEDEV(ARRAYFORMULA(XLOOKUP(FILTER(INDIRECT(""'""&amp;DA$1&amp;""'!$C$4:$C$66""),INDIRECT(""'""&amp;DA$1&amp;""'!$D$4:$D$66"")=DA$2),$F$3:$BP$3,$F31:$BP31))),"""")"),"")</f>
        <v/>
      </c>
      <c r="DC31" s="251">
        <f>IFERROR(__xludf.DUMMYFUNCTION("AVERAGE(ARRAYFORMULA(XLOOKUP(FILTER(INDIRECT(""'""&amp;DC$1&amp;""'!$C$4:$C$66""),INDIRECT(""'""&amp;DC$1&amp;""'!$D$4:$D$66"")=DC$2),$F$3:$BP$3,$F31:$BP31)))"),-0.010611734444444446)</f>
        <v>-0.01061173444</v>
      </c>
      <c r="DD31" s="207" t="str">
        <f>IFERROR(__xludf.DUMMYFUNCTION("IF(OR(DC31&gt;$BR31+$BS31*$BS$2,DC31&lt;$BR31-$BS31*$BS$2),AVEDEV(ARRAYFORMULA(XLOOKUP(FILTER(INDIRECT(""'""&amp;DC$1&amp;""'!$C$4:$C$66""),INDIRECT(""'""&amp;DC$1&amp;""'!$D$4:$D$66"")=DC$2),$F$3:$BP$3,$F31:$BP31))),"""")"),"")</f>
        <v/>
      </c>
      <c r="DE31" s="251">
        <f>IFERROR(__xludf.DUMMYFUNCTION("AVERAGE(ARRAYFORMULA(XLOOKUP(FILTER(INDIRECT(""'""&amp;DE$1&amp;""'!$C$4:$C$66""),INDIRECT(""'""&amp;DE$1&amp;""'!$D$4:$D$66"")=DE$2),$F$3:$BP$3,$F31:$BP31)))"),0.07865169624999999)</f>
        <v>0.07865169625</v>
      </c>
      <c r="DF31" s="207" t="str">
        <f>IFERROR(__xludf.DUMMYFUNCTION("IF(OR(DE31&gt;$BR31+$BS31*$BS$2,DE31&lt;$BR31-$BS31*$BS$2),AVEDEV(ARRAYFORMULA(XLOOKUP(FILTER(INDIRECT(""'""&amp;DE$1&amp;""'!$C$4:$C$66""),INDIRECT(""'""&amp;DE$1&amp;""'!$D$4:$D$66"")=DE$2),$F$3:$BP$3,$F31:$BP31))),"""")"),"")</f>
        <v/>
      </c>
      <c r="DG31" s="251">
        <f>IFERROR(__xludf.DUMMYFUNCTION("AVERAGE(ARRAYFORMULA(XLOOKUP(FILTER(INDIRECT(""'""&amp;DG$1&amp;""'!$C$4:$C$66""),INDIRECT(""'""&amp;DG$1&amp;""'!$D$4:$D$66"")=DG$2),$F$3:$BP$3,$F31:$BP31)))"),0.2977528111111111)</f>
        <v>0.2977528111</v>
      </c>
      <c r="DH31" s="207" t="str">
        <f>IFERROR(__xludf.DUMMYFUNCTION("IF(OR(DG31&gt;$BR31+$BS31*$BS$2,DG31&lt;$BR31-$BS31*$BS$2),AVEDEV(ARRAYFORMULA(XLOOKUP(FILTER(INDIRECT(""'""&amp;DG$1&amp;""'!$C$4:$C$66""),INDIRECT(""'""&amp;DG$1&amp;""'!$D$4:$D$66"")=DG$2),$F$3:$BP$3,$F31:$BP31))),"""")"),"")</f>
        <v/>
      </c>
      <c r="DI31" s="252"/>
    </row>
    <row r="32">
      <c r="A32" s="2"/>
      <c r="B32" s="204" t="s">
        <v>442</v>
      </c>
      <c r="C32" s="204" t="s">
        <v>472</v>
      </c>
      <c r="D32" s="205" t="b">
        <f>VLOOKUP(C32,'Feature Set List'!A29:C246,2,0)</f>
        <v>1</v>
      </c>
      <c r="E32" s="205" t="b">
        <f>VLOOKUP(C32,'Feature Set List'!A29:C246,3,0)</f>
        <v>1</v>
      </c>
      <c r="F32" s="205">
        <v>-0.1065472</v>
      </c>
      <c r="G32" s="205">
        <v>-0.5143142</v>
      </c>
      <c r="H32" s="205">
        <v>0.80308688</v>
      </c>
      <c r="I32" s="205">
        <v>-0.6069206</v>
      </c>
      <c r="J32" s="205">
        <v>-0.5187951</v>
      </c>
      <c r="K32" s="205">
        <v>-0.6950461</v>
      </c>
      <c r="L32" s="205">
        <v>0.23251182</v>
      </c>
      <c r="M32" s="205">
        <v>-0.1025641</v>
      </c>
      <c r="N32" s="205">
        <v>0.49290515</v>
      </c>
      <c r="O32" s="205">
        <v>-0.5078417</v>
      </c>
      <c r="P32" s="205">
        <v>0.48195171</v>
      </c>
      <c r="Q32" s="205">
        <v>1.18894698</v>
      </c>
      <c r="R32" s="205">
        <v>1.05850137</v>
      </c>
      <c r="S32" s="205">
        <v>0.35349764</v>
      </c>
      <c r="T32" s="205">
        <v>1.2442121</v>
      </c>
      <c r="U32" s="205">
        <v>-0.7084889</v>
      </c>
      <c r="V32" s="205">
        <v>0.42021409</v>
      </c>
      <c r="W32" s="205">
        <v>1.93079412</v>
      </c>
      <c r="X32" s="205">
        <v>-0.5073438</v>
      </c>
      <c r="Y32" s="205">
        <v>0.26885736</v>
      </c>
      <c r="Z32" s="205">
        <v>0.09708738</v>
      </c>
      <c r="AA32" s="205">
        <v>0.7776948</v>
      </c>
      <c r="AB32" s="205">
        <v>-0.1259647</v>
      </c>
      <c r="AC32" s="205">
        <v>0.13144137</v>
      </c>
      <c r="AD32" s="205">
        <v>-0.3181479</v>
      </c>
      <c r="AE32" s="205">
        <v>-0.7443366</v>
      </c>
      <c r="AF32" s="205">
        <v>-0.3813791</v>
      </c>
      <c r="AG32" s="205">
        <v>-0.0881255</v>
      </c>
      <c r="AH32" s="205">
        <v>-0.7851631</v>
      </c>
      <c r="AI32" s="205">
        <v>0.73039582</v>
      </c>
      <c r="AJ32" s="205">
        <v>-0.6163804</v>
      </c>
      <c r="AK32" s="205">
        <v>-0.510829</v>
      </c>
      <c r="AL32" s="205">
        <v>-0.6099079</v>
      </c>
      <c r="AM32" s="205">
        <v>0.69156087</v>
      </c>
      <c r="AN32" s="205">
        <v>-0.5715708</v>
      </c>
      <c r="AO32" s="205">
        <v>-0.6716455</v>
      </c>
      <c r="AP32" s="205">
        <v>-0.042818</v>
      </c>
      <c r="AQ32" s="205">
        <v>-0.2384864</v>
      </c>
      <c r="AR32" s="205">
        <v>-0.4809559</v>
      </c>
      <c r="AS32" s="205">
        <v>-0.0702016</v>
      </c>
      <c r="AT32" s="205">
        <v>0.68160319</v>
      </c>
      <c r="AU32" s="205">
        <v>-0.7876525</v>
      </c>
      <c r="AV32" s="205">
        <v>-0.8145382</v>
      </c>
      <c r="AW32" s="205">
        <v>0.14986308</v>
      </c>
      <c r="AX32" s="205">
        <v>0.54468509</v>
      </c>
      <c r="AY32" s="205">
        <v>1.1789893</v>
      </c>
      <c r="AZ32" s="205">
        <v>0.0527757</v>
      </c>
      <c r="BA32" s="205">
        <v>1.15658452</v>
      </c>
      <c r="BB32" s="205">
        <v>0.57804332</v>
      </c>
      <c r="BC32" s="205">
        <v>-0.5735624</v>
      </c>
      <c r="BD32" s="205">
        <v>0.33706746</v>
      </c>
      <c r="BE32" s="205">
        <v>0.03286034</v>
      </c>
      <c r="BF32" s="205">
        <v>-0.1175006</v>
      </c>
      <c r="BG32" s="205">
        <v>0.06572069</v>
      </c>
      <c r="BH32" s="205">
        <v>0.0592482</v>
      </c>
      <c r="BI32" s="205">
        <v>0.75529002</v>
      </c>
      <c r="BJ32" s="205">
        <v>-0.8090615</v>
      </c>
      <c r="BK32" s="205">
        <v>0.0</v>
      </c>
      <c r="BL32" s="205">
        <v>-0.6681603</v>
      </c>
      <c r="BM32" s="205">
        <v>0.36196166</v>
      </c>
      <c r="BN32" s="205">
        <v>1.107294</v>
      </c>
      <c r="BO32" s="205">
        <v>0.41075429</v>
      </c>
      <c r="BP32" s="205">
        <v>-0.1105302</v>
      </c>
      <c r="BQ32" s="206"/>
      <c r="BR32" s="250">
        <f t="shared" si="1"/>
        <v>0.06304159556</v>
      </c>
      <c r="BS32" s="250">
        <f t="shared" si="2"/>
        <v>0.5227413144</v>
      </c>
      <c r="BT32" s="206"/>
      <c r="BU32" s="207">
        <f>IFERROR(__xludf.DUMMYFUNCTION("AVERAGE(ARRAYFORMULA(XLOOKUP(FILTER(INDIRECT(""'""&amp;BU$1&amp;""'!$C$4:$C$66""),INDIRECT(""'""&amp;BU$1&amp;""'!$D$4:$D$66"")=BU$2),$F$3:$BP$3,$F32:$BP32)))"),0.6631103557142858)</f>
        <v>0.6631103557</v>
      </c>
      <c r="BV32" s="207">
        <f>IFERROR(__xludf.DUMMYFUNCTION("IF(OR(BU32&gt;$BR32+$BS32*$BS$2,BU32&lt;$BR32-$BS32*$BS$2),AVEDEV(ARRAYFORMULA(XLOOKUP(FILTER(INDIRECT(""'""&amp;BU$1&amp;""'!$C$4:$C$66""),INDIRECT(""'""&amp;BU$1&amp;""'!$D$4:$D$66"")=BU$2),$F$3:$BP$3,$F32:$BP32))),"""")"),0.6692170493877551)</f>
        <v>0.6692170494</v>
      </c>
      <c r="BW32" s="207">
        <f>IFERROR(__xludf.DUMMYFUNCTION("AVERAGE(ARRAYFORMULA(XLOOKUP(FILTER(INDIRECT(""'""&amp;BW$1&amp;""'!$C$4:$C$66""),INDIRECT(""'""&amp;BW$1&amp;""'!$D$4:$D$66"")=BW$2),$F$3:$BP$3,$F32:$BP32)))"),-0.014047440238095243)</f>
        <v>-0.01404744024</v>
      </c>
      <c r="BX32" s="207" t="str">
        <f>IFERROR(__xludf.DUMMYFUNCTION("IF(OR(BW32&gt;$BR32+$BS32*$BS$2,BW32&lt;$BR32-$BS32*$BS$2),AVEDEV(ARRAYFORMULA(XLOOKUP(FILTER(INDIRECT(""'""&amp;BW$1&amp;""'!$C$4:$C$66""),INDIRECT(""'""&amp;BW$1&amp;""'!$D$4:$D$66"")=BW$2),$F$3:$BP$3,$F32:$BP32))),"""")"),"")</f>
        <v/>
      </c>
      <c r="BY32" s="207">
        <f>IFERROR(__xludf.DUMMYFUNCTION("AVERAGE(ARRAYFORMULA(XLOOKUP(FILTER(INDIRECT(""'""&amp;BY$1&amp;""'!$C$4:$C$66""),INDIRECT(""'""&amp;BY$1&amp;""'!$D$4:$D$66"")=BY$2),$F$3:$BP$3,$F32:$BP32)))"),-0.09011701363636364)</f>
        <v>-0.09011701364</v>
      </c>
      <c r="BZ32" s="207" t="str">
        <f>IFERROR(__xludf.DUMMYFUNCTION("IF(OR(BY32&gt;$BR32+$BS32*$BS$2,BY32&lt;$BR32-$BS32*$BS$2),AVEDEV(ARRAYFORMULA(XLOOKUP(FILTER(INDIRECT(""'""&amp;BY$1&amp;""'!$C$4:$C$66""),INDIRECT(""'""&amp;BY$1&amp;""'!$D$4:$D$66"")=BY$2),$F$3:$BP$3,$F32:$BP32))),"""")"),"")</f>
        <v/>
      </c>
      <c r="CA32" s="209"/>
      <c r="CB32" s="207">
        <f>IFERROR(__xludf.DUMMYFUNCTION("AVERAGE(ARRAYFORMULA(XLOOKUP(FILTER(INDIRECT(""'""&amp;CB$1&amp;""'!$C$4:$C$66""),INDIRECT(""'""&amp;CB$1&amp;""'!$D$4:$D$66"")=CB$2),$F$3:$BP$3,$F32:$BP32)))"),-0.23235623375000006)</f>
        <v>-0.2323562338</v>
      </c>
      <c r="CC32" s="207" t="str">
        <f>IFERROR(__xludf.DUMMYFUNCTION("IF(OR(CB32&gt;$BR32+$BS32*$BS$2,CB32&lt;$BR32-$BS32*$BS$2),AVEDEV(ARRAYFORMULA(XLOOKUP(FILTER(INDIRECT(""'""&amp;CB$1&amp;""'!$C$4:$C$66""),INDIRECT(""'""&amp;CB$1&amp;""'!$D$4:$D$66"")=CB$2),$F$3:$BP$3,$F32:$BP32))),"""")"),"")</f>
        <v/>
      </c>
      <c r="CD32" s="207">
        <f>IFERROR(__xludf.DUMMYFUNCTION("AVERAGE(ARRAYFORMULA(XLOOKUP(FILTER(INDIRECT(""'""&amp;CD$1&amp;""'!$C$4:$C$66""),INDIRECT(""'""&amp;CD$1&amp;""'!$D$4:$D$66"")=CD$2),$F$3:$BP$3,$F32:$BP32)))"),0.18951712741935486)</f>
        <v>0.1895171274</v>
      </c>
      <c r="CE32" s="207" t="str">
        <f>IFERROR(__xludf.DUMMYFUNCTION("IF(OR(CD32&gt;$BR32+$BS32*$BS$2,CD32&lt;$BR32-$BS32*$BS$2),AVEDEV(ARRAYFORMULA(XLOOKUP(FILTER(INDIRECT(""'""&amp;CD$1&amp;""'!$C$4:$C$66""),INDIRECT(""'""&amp;CD$1&amp;""'!$D$4:$D$66"")=CD$2),$F$3:$BP$3,$F32:$BP32))),"""")"),"")</f>
        <v/>
      </c>
      <c r="CF32" s="207">
        <f>IFERROR(__xludf.DUMMYFUNCTION("AVERAGE(ARRAYFORMULA(XLOOKUP(FILTER(INDIRECT(""'""&amp;CF$1&amp;""'!$C$4:$C$66""),INDIRECT(""'""&amp;CF$1&amp;""'!$D$4:$D$66"")=CF$2),$F$3:$BP$3,$F32:$BP32)))"),-0.140004972)</f>
        <v>-0.140004972</v>
      </c>
      <c r="CG32" s="207" t="str">
        <f>IFERROR(__xludf.DUMMYFUNCTION("IF(OR(CF32&gt;$BR32+$BS32*$BS$2,CF32&lt;$BR32-$BS32*$BS$2),AVEDEV(ARRAYFORMULA(XLOOKUP(FILTER(INDIRECT(""'""&amp;CF$1&amp;""'!$C$4:$C$66""),INDIRECT(""'""&amp;CF$1&amp;""'!$D$4:$D$66"")=CF$2),$F$3:$BP$3,$F32:$BP32))),"""")"),"")</f>
        <v/>
      </c>
      <c r="CH32" s="206"/>
      <c r="CI32" s="251">
        <f>IFERROR(__xludf.DUMMYFUNCTION("AVERAGE(ARRAYFORMULA(XLOOKUP(FILTER(INDIRECT(""'""&amp;CI$1&amp;""'!$C$4:$C$66""),INDIRECT(""'""&amp;CI$1&amp;""'!$D$4:$D$66"")=CI$2),$F$3:$BP$3,$F32:$BP32)))"),0.310911952)</f>
        <v>0.310911952</v>
      </c>
      <c r="CJ32" s="207" t="str">
        <f>IFERROR(__xludf.DUMMYFUNCTION("IF(OR(CI32&gt;$BR32+$BS32*$BS$2,CI32&lt;$BR32-$BS32*$BS$2),AVEDEV(ARRAYFORMULA(XLOOKUP(FILTER(INDIRECT(""'""&amp;CI$1&amp;""'!$C$4:$C$66""),INDIRECT(""'""&amp;CI$1&amp;""'!$D$4:$D$66"")=CI$2),$F$3:$BP$3,$F32:$BP32))),"""")"),"")</f>
        <v/>
      </c>
      <c r="CK32" s="251">
        <f>IFERROR(__xludf.DUMMYFUNCTION("AVERAGE(ARRAYFORMULA(XLOOKUP(FILTER(INDIRECT(""'""&amp;CK$1&amp;""'!$C$4:$C$66""),INDIRECT(""'""&amp;CK$1&amp;""'!$D$4:$D$66"")=CK$2),$F$3:$BP$3,$F32:$BP32)))"),-0.02315798897435897)</f>
        <v>-0.02315798897</v>
      </c>
      <c r="CL32" s="207" t="str">
        <f>IFERROR(__xludf.DUMMYFUNCTION("IF(OR(CK32&gt;$BR32+$BS32*$BS$2,CK32&lt;$BR32-$BS32*$BS$2),AVEDEV(ARRAYFORMULA(XLOOKUP(FILTER(INDIRECT(""'""&amp;CK$1&amp;""'!$C$4:$C$66""),INDIRECT(""'""&amp;CK$1&amp;""'!$D$4:$D$66"")=CK$2),$F$3:$BP$3,$F32:$BP32))),"""")"),"")</f>
        <v/>
      </c>
      <c r="CM32" s="251">
        <f>IFERROR(__xludf.DUMMYFUNCTION("AVERAGE(ARRAYFORMULA(XLOOKUP(FILTER(INDIRECT(""'""&amp;CM$1&amp;""'!$C$4:$C$66""),INDIRECT(""'""&amp;CM$1&amp;""'!$D$4:$D$66"")=CM$2),$F$3:$BP$3,$F32:$BP32)))"),-0.140004972)</f>
        <v>-0.140004972</v>
      </c>
      <c r="CN32" s="207" t="str">
        <f>IFERROR(__xludf.DUMMYFUNCTION("IF(OR(CM32&gt;$BR32+$BS32*$BS$2,CM32&lt;$BR32-$BS32*$BS$2),AVEDEV(ARRAYFORMULA(XLOOKUP(FILTER(INDIRECT(""'""&amp;CM$1&amp;""'!$C$4:$C$66""),INDIRECT(""'""&amp;CM$1&amp;""'!$D$4:$D$66"")=CM$2),$F$3:$BP$3,$F32:$BP32))),"""")"),"")</f>
        <v/>
      </c>
      <c r="CO32" s="252"/>
      <c r="CP32" s="251">
        <f>IFERROR(__xludf.DUMMYFUNCTION("AVERAGE(ARRAYFORMULA(XLOOKUP(FILTER(INDIRECT(""'""&amp;CP$1&amp;""'!$C$4:$C$66""),INDIRECT(""'""&amp;CP$1&amp;""'!$D$4:$D$66"")=CP$2),$F$3:$BP$3,$F32:$BP32)))"),-0.4892421542857143)</f>
        <v>-0.4892421543</v>
      </c>
      <c r="CQ32" s="207">
        <f>IFERROR(__xludf.DUMMYFUNCTION("IF(OR(CP32&gt;$BR32+$BS32*$BS$2,CP32&lt;$BR32-$BS32*$BS$2),AVEDEV(ARRAYFORMULA(XLOOKUP(FILTER(INDIRECT(""'""&amp;CP$1&amp;""'!$C$4:$C$66""),INDIRECT(""'""&amp;CP$1&amp;""'!$D$4:$D$66"")=CP$2),$F$3:$BP$3,$F32:$BP32))),"""")"),0.23345171591836736)</f>
        <v>0.2334517159</v>
      </c>
      <c r="CR32" s="251">
        <f>IFERROR(__xludf.DUMMYFUNCTION("AVERAGE(ARRAYFORMULA(XLOOKUP(FILTER(INDIRECT(""'""&amp;CR$1&amp;""'!$C$4:$C$66""),INDIRECT(""'""&amp;CR$1&amp;""'!$D$4:$D$66"")=CR$2),$F$3:$BP$3,$F32:$BP32)))"),-0.16690179444444445)</f>
        <v>-0.1669017944</v>
      </c>
      <c r="CS32" s="207" t="str">
        <f>IFERROR(__xludf.DUMMYFUNCTION("IF(OR(CR32&gt;$BR32+$BS32*$BS$2,CR32&lt;$BR32-$BS32*$BS$2),AVEDEV(ARRAYFORMULA(XLOOKUP(FILTER(INDIRECT(""'""&amp;CR$1&amp;""'!$C$4:$C$66""),INDIRECT(""'""&amp;CR$1&amp;""'!$D$4:$D$66"")=CR$2),$F$3:$BP$3,$F32:$BP32))),"""")"),"")</f>
        <v/>
      </c>
      <c r="CT32" s="251">
        <f>IFERROR(__xludf.DUMMYFUNCTION("AVERAGE(ARRAYFORMULA(XLOOKUP(FILTER(INDIRECT(""'""&amp;CT$1&amp;""'!$C$4:$C$66""),INDIRECT(""'""&amp;CT$1&amp;""'!$D$4:$D$66"")=CT$2),$F$3:$BP$3,$F32:$BP32)))"),0.22001945909090911)</f>
        <v>0.2200194591</v>
      </c>
      <c r="CU32" s="207" t="str">
        <f>IFERROR(__xludf.DUMMYFUNCTION("IF(OR(CT32&gt;$BR32+$BS32*$BS$2,CT32&lt;$BR32-$BS32*$BS$2),AVEDEV(ARRAYFORMULA(XLOOKUP(FILTER(INDIRECT(""'""&amp;CT$1&amp;""'!$C$4:$C$66""),INDIRECT(""'""&amp;CT$1&amp;""'!$D$4:$D$66"")=CT$2),$F$3:$BP$3,$F32:$BP32))),"""")"),"")</f>
        <v/>
      </c>
      <c r="CV32" s="251">
        <f>IFERROR(__xludf.DUMMYFUNCTION("AVERAGE(ARRAYFORMULA(XLOOKUP(FILTER(INDIRECT(""'""&amp;CV$1&amp;""'!$C$4:$C$66""),INDIRECT(""'""&amp;CV$1&amp;""'!$D$4:$D$66"")=CV$2),$F$3:$BP$3,$F32:$BP32)))"),0.09858103)</f>
        <v>0.09858103</v>
      </c>
      <c r="CW32" s="207" t="str">
        <f>IFERROR(__xludf.DUMMYFUNCTION("IF(OR(CV32&gt;$BR32+$BS32*$BS$2,CV32&lt;$BR32-$BS32*$BS$2),AVEDEV(ARRAYFORMULA(XLOOKUP(FILTER(INDIRECT(""'""&amp;CV$1&amp;""'!$C$4:$C$66""),INDIRECT(""'""&amp;CV$1&amp;""'!$D$4:$D$66"")=CV$2),$F$3:$BP$3,$F32:$BP32))),"""")"),"")</f>
        <v/>
      </c>
      <c r="CX32" s="251">
        <f>IFERROR(__xludf.DUMMYFUNCTION("AVERAGE(ARRAYFORMULA(XLOOKUP(FILTER(INDIRECT(""'""&amp;CX$1&amp;""'!$C$4:$C$66""),INDIRECT(""'""&amp;CX$1&amp;""'!$D$4:$D$66"")=CX$2),$F$3:$BP$3,$F32:$BP32)))"),0.4157687042857143)</f>
        <v>0.4157687043</v>
      </c>
      <c r="CY32" s="207" t="str">
        <f>IFERROR(__xludf.DUMMYFUNCTION("IF(OR(CX32&gt;$BR32+$BS32*$BS$2,CX32&lt;$BR32-$BS32*$BS$2),AVEDEV(ARRAYFORMULA(XLOOKUP(FILTER(INDIRECT(""'""&amp;CX$1&amp;""'!$C$4:$C$66""),INDIRECT(""'""&amp;CX$1&amp;""'!$D$4:$D$66"")=CX$2),$F$3:$BP$3,$F32:$BP32))),"""")"),"")</f>
        <v/>
      </c>
      <c r="CZ32" s="252"/>
      <c r="DA32" s="251">
        <f>IFERROR(__xludf.DUMMYFUNCTION("AVERAGE(ARRAYFORMULA(XLOOKUP(FILTER(INDIRECT(""'""&amp;DA$1&amp;""'!$C$4:$C$66""),INDIRECT(""'""&amp;DA$1&amp;""'!$D$4:$D$66"")=DA$2),$F$3:$BP$3,$F32:$BP32)))"),-0.046635134333333335)</f>
        <v>-0.04663513433</v>
      </c>
      <c r="DB32" s="207" t="str">
        <f>IFERROR(__xludf.DUMMYFUNCTION("IF(OR(DA32&gt;$BR32+$BS32*$BS$2,DA32&lt;$BR32-$BS32*$BS$2),AVEDEV(ARRAYFORMULA(XLOOKUP(FILTER(INDIRECT(""'""&amp;DA$1&amp;""'!$C$4:$C$66""),INDIRECT(""'""&amp;DA$1&amp;""'!$D$4:$D$66"")=DA$2),$F$3:$BP$3,$F32:$BP32))),"""")"),"")</f>
        <v/>
      </c>
      <c r="DC32" s="251">
        <f>IFERROR(__xludf.DUMMYFUNCTION("AVERAGE(ARRAYFORMULA(XLOOKUP(FILTER(INDIRECT(""'""&amp;DC$1&amp;""'!$C$4:$C$66""),INDIRECT(""'""&amp;DC$1&amp;""'!$D$4:$D$66"")=DC$2),$F$3:$BP$3,$F32:$BP32)))"),-0.1895831722222222)</f>
        <v>-0.1895831722</v>
      </c>
      <c r="DD32" s="207" t="str">
        <f>IFERROR(__xludf.DUMMYFUNCTION("IF(OR(DC32&gt;$BR32+$BS32*$BS$2,DC32&lt;$BR32-$BS32*$BS$2),AVEDEV(ARRAYFORMULA(XLOOKUP(FILTER(INDIRECT(""'""&amp;DC$1&amp;""'!$C$4:$C$66""),INDIRECT(""'""&amp;DC$1&amp;""'!$D$4:$D$66"")=DC$2),$F$3:$BP$3,$F32:$BP32))),"""")"),"")</f>
        <v/>
      </c>
      <c r="DE32" s="251">
        <f>IFERROR(__xludf.DUMMYFUNCTION("AVERAGE(ARRAYFORMULA(XLOOKUP(FILTER(INDIRECT(""'""&amp;DE$1&amp;""'!$C$4:$C$66""),INDIRECT(""'""&amp;DE$1&amp;""'!$D$4:$D$66"")=DE$2),$F$3:$BP$3,$F32:$BP32)))"),0.8169653987499998)</f>
        <v>0.8169653988</v>
      </c>
      <c r="DF32" s="207">
        <f>IFERROR(__xludf.DUMMYFUNCTION("IF(OR(DE32&gt;$BR32+$BS32*$BS$2,DE32&lt;$BR32-$BS32*$BS$2),AVEDEV(ARRAYFORMULA(XLOOKUP(FILTER(INDIRECT(""'""&amp;DE$1&amp;""'!$C$4:$C$66""),INDIRECT(""'""&amp;DE$1&amp;""'!$D$4:$D$66"")=DE$2),$F$3:$BP$3,$F32:$BP32))),"""")"),0.35069703875)</f>
        <v>0.3506970388</v>
      </c>
      <c r="DG32" s="251">
        <f>IFERROR(__xludf.DUMMYFUNCTION("AVERAGE(ARRAYFORMULA(XLOOKUP(FILTER(INDIRECT(""'""&amp;DG$1&amp;""'!$C$4:$C$66""),INDIRECT(""'""&amp;DG$1&amp;""'!$D$4:$D$66"")=DG$2),$F$3:$BP$3,$F32:$BP32)))"),-0.16562940888888888)</f>
        <v>-0.1656294089</v>
      </c>
      <c r="DH32" s="207" t="str">
        <f>IFERROR(__xludf.DUMMYFUNCTION("IF(OR(DG32&gt;$BR32+$BS32*$BS$2,DG32&lt;$BR32-$BS32*$BS$2),AVEDEV(ARRAYFORMULA(XLOOKUP(FILTER(INDIRECT(""'""&amp;DG$1&amp;""'!$C$4:$C$66""),INDIRECT(""'""&amp;DG$1&amp;""'!$D$4:$D$66"")=DG$2),$F$3:$BP$3,$F32:$BP32))),"""")"),"")</f>
        <v/>
      </c>
      <c r="DI32" s="252"/>
    </row>
    <row r="33">
      <c r="A33" s="2"/>
      <c r="B33" s="204" t="s">
        <v>442</v>
      </c>
      <c r="C33" s="204" t="s">
        <v>473</v>
      </c>
      <c r="D33" s="205" t="b">
        <f>VLOOKUP(C33,'Feature Set List'!A30:C246,2,0)</f>
        <v>1</v>
      </c>
      <c r="E33" s="205" t="b">
        <f>VLOOKUP(C33,'Feature Set List'!A30:C246,3,0)</f>
        <v>0</v>
      </c>
      <c r="F33" s="205">
        <v>0.0</v>
      </c>
      <c r="G33" s="205">
        <v>0.0</v>
      </c>
      <c r="H33" s="205">
        <v>0.0</v>
      </c>
      <c r="I33" s="205">
        <v>0.0</v>
      </c>
      <c r="J33" s="205">
        <v>0.0</v>
      </c>
      <c r="K33" s="205">
        <v>0.0</v>
      </c>
      <c r="L33" s="205">
        <v>0.0</v>
      </c>
      <c r="M33" s="205">
        <v>0.0</v>
      </c>
      <c r="N33" s="205">
        <v>0.0</v>
      </c>
      <c r="O33" s="205">
        <v>0.0</v>
      </c>
      <c r="P33" s="205">
        <v>0.0</v>
      </c>
      <c r="Q33" s="205">
        <v>0.0</v>
      </c>
      <c r="R33" s="205">
        <v>0.0</v>
      </c>
      <c r="S33" s="205">
        <v>0.0</v>
      </c>
      <c r="T33" s="205">
        <v>0.0</v>
      </c>
      <c r="U33" s="205">
        <v>0.0</v>
      </c>
      <c r="V33" s="205">
        <v>0.0</v>
      </c>
      <c r="W33" s="205">
        <v>0.0</v>
      </c>
      <c r="X33" s="205">
        <v>0.0</v>
      </c>
      <c r="Y33" s="205">
        <v>0.0</v>
      </c>
      <c r="Z33" s="205">
        <v>0.0</v>
      </c>
      <c r="AA33" s="205">
        <v>0.0</v>
      </c>
      <c r="AB33" s="205">
        <v>0.0</v>
      </c>
      <c r="AC33" s="205">
        <v>0.0</v>
      </c>
      <c r="AD33" s="205">
        <v>0.0</v>
      </c>
      <c r="AE33" s="205">
        <v>0.0</v>
      </c>
      <c r="AF33" s="205">
        <v>0.0</v>
      </c>
      <c r="AG33" s="205">
        <v>0.0</v>
      </c>
      <c r="AH33" s="205">
        <v>0.0</v>
      </c>
      <c r="AI33" s="205">
        <v>0.0</v>
      </c>
      <c r="AJ33" s="205">
        <v>0.0</v>
      </c>
      <c r="AK33" s="205">
        <v>0.0</v>
      </c>
      <c r="AL33" s="205">
        <v>0.0</v>
      </c>
      <c r="AM33" s="205">
        <v>0.0</v>
      </c>
      <c r="AN33" s="205">
        <v>0.0</v>
      </c>
      <c r="AO33" s="205">
        <v>0.0</v>
      </c>
      <c r="AP33" s="205">
        <v>0.0</v>
      </c>
      <c r="AQ33" s="205">
        <v>0.0</v>
      </c>
      <c r="AR33" s="205">
        <v>0.0</v>
      </c>
      <c r="AS33" s="205">
        <v>0.0</v>
      </c>
      <c r="AT33" s="205">
        <v>0.0</v>
      </c>
      <c r="AU33" s="205">
        <v>0.0</v>
      </c>
      <c r="AV33" s="205">
        <v>0.0</v>
      </c>
      <c r="AW33" s="205">
        <v>0.0</v>
      </c>
      <c r="AX33" s="205">
        <v>0.0</v>
      </c>
      <c r="AY33" s="205">
        <v>0.0</v>
      </c>
      <c r="AZ33" s="205">
        <v>0.0</v>
      </c>
      <c r="BA33" s="205">
        <v>0.0</v>
      </c>
      <c r="BB33" s="205">
        <v>0.0</v>
      </c>
      <c r="BC33" s="205">
        <v>0.0</v>
      </c>
      <c r="BD33" s="205">
        <v>0.0</v>
      </c>
      <c r="BE33" s="205">
        <v>0.0</v>
      </c>
      <c r="BF33" s="205">
        <v>0.0</v>
      </c>
      <c r="BG33" s="205">
        <v>0.0</v>
      </c>
      <c r="BH33" s="205">
        <v>0.0</v>
      </c>
      <c r="BI33" s="205">
        <v>0.0</v>
      </c>
      <c r="BJ33" s="205">
        <v>0.0</v>
      </c>
      <c r="BK33" s="205">
        <v>0.0</v>
      </c>
      <c r="BL33" s="205">
        <v>0.0</v>
      </c>
      <c r="BM33" s="205">
        <v>0.0</v>
      </c>
      <c r="BN33" s="205">
        <v>0.0</v>
      </c>
      <c r="BO33" s="205">
        <v>0.0</v>
      </c>
      <c r="BP33" s="205">
        <v>0.0</v>
      </c>
      <c r="BQ33" s="206"/>
      <c r="BR33" s="250">
        <f t="shared" si="1"/>
        <v>0</v>
      </c>
      <c r="BS33" s="250">
        <f t="shared" si="2"/>
        <v>0</v>
      </c>
      <c r="BT33" s="206"/>
      <c r="BU33" s="207">
        <f>IFERROR(__xludf.DUMMYFUNCTION("AVERAGE(ARRAYFORMULA(XLOOKUP(FILTER(INDIRECT(""'""&amp;BU$1&amp;""'!$C$4:$C$66""),INDIRECT(""'""&amp;BU$1&amp;""'!$D$4:$D$66"")=BU$2),$F$3:$BP$3,$F33:$BP33)))"),0.0)</f>
        <v>0</v>
      </c>
      <c r="BV33" s="207" t="str">
        <f>IFERROR(__xludf.DUMMYFUNCTION("IF(OR(BU33&gt;$BR33+$BS33*$BS$2,BU33&lt;$BR33-$BS33*$BS$2),AVEDEV(ARRAYFORMULA(XLOOKUP(FILTER(INDIRECT(""'""&amp;BU$1&amp;""'!$C$4:$C$66""),INDIRECT(""'""&amp;BU$1&amp;""'!$D$4:$D$66"")=BU$2),$F$3:$BP$3,$F33:$BP33))),"""")"),"")</f>
        <v/>
      </c>
      <c r="BW33" s="207">
        <f>IFERROR(__xludf.DUMMYFUNCTION("AVERAGE(ARRAYFORMULA(XLOOKUP(FILTER(INDIRECT(""'""&amp;BW$1&amp;""'!$C$4:$C$66""),INDIRECT(""'""&amp;BW$1&amp;""'!$D$4:$D$66"")=BW$2),$F$3:$BP$3,$F33:$BP33)))"),0.0)</f>
        <v>0</v>
      </c>
      <c r="BX33" s="207" t="str">
        <f>IFERROR(__xludf.DUMMYFUNCTION("IF(OR(BW33&gt;$BR33+$BS33*$BS$2,BW33&lt;$BR33-$BS33*$BS$2),AVEDEV(ARRAYFORMULA(XLOOKUP(FILTER(INDIRECT(""'""&amp;BW$1&amp;""'!$C$4:$C$66""),INDIRECT(""'""&amp;BW$1&amp;""'!$D$4:$D$66"")=BW$2),$F$3:$BP$3,$F33:$BP33))),"""")"),"")</f>
        <v/>
      </c>
      <c r="BY33" s="207">
        <f>IFERROR(__xludf.DUMMYFUNCTION("AVERAGE(ARRAYFORMULA(XLOOKUP(FILTER(INDIRECT(""'""&amp;BY$1&amp;""'!$C$4:$C$66""),INDIRECT(""'""&amp;BY$1&amp;""'!$D$4:$D$66"")=BY$2),$F$3:$BP$3,$F33:$BP33)))"),0.0)</f>
        <v>0</v>
      </c>
      <c r="BZ33" s="207" t="str">
        <f>IFERROR(__xludf.DUMMYFUNCTION("IF(OR(BY33&gt;$BR33+$BS33*$BS$2,BY33&lt;$BR33-$BS33*$BS$2),AVEDEV(ARRAYFORMULA(XLOOKUP(FILTER(INDIRECT(""'""&amp;BY$1&amp;""'!$C$4:$C$66""),INDIRECT(""'""&amp;BY$1&amp;""'!$D$4:$D$66"")=BY$2),$F$3:$BP$3,$F33:$BP33))),"""")"),"")</f>
        <v/>
      </c>
      <c r="CA33" s="209"/>
      <c r="CB33" s="207">
        <f>IFERROR(__xludf.DUMMYFUNCTION("AVERAGE(ARRAYFORMULA(XLOOKUP(FILTER(INDIRECT(""'""&amp;CB$1&amp;""'!$C$4:$C$66""),INDIRECT(""'""&amp;CB$1&amp;""'!$D$4:$D$66"")=CB$2),$F$3:$BP$3,$F33:$BP33)))"),0.0)</f>
        <v>0</v>
      </c>
      <c r="CC33" s="207" t="str">
        <f>IFERROR(__xludf.DUMMYFUNCTION("IF(OR(CB33&gt;$BR33+$BS33*$BS$2,CB33&lt;$BR33-$BS33*$BS$2),AVEDEV(ARRAYFORMULA(XLOOKUP(FILTER(INDIRECT(""'""&amp;CB$1&amp;""'!$C$4:$C$66""),INDIRECT(""'""&amp;CB$1&amp;""'!$D$4:$D$66"")=CB$2),$F$3:$BP$3,$F33:$BP33))),"""")"),"")</f>
        <v/>
      </c>
      <c r="CD33" s="207">
        <f>IFERROR(__xludf.DUMMYFUNCTION("AVERAGE(ARRAYFORMULA(XLOOKUP(FILTER(INDIRECT(""'""&amp;CD$1&amp;""'!$C$4:$C$66""),INDIRECT(""'""&amp;CD$1&amp;""'!$D$4:$D$66"")=CD$2),$F$3:$BP$3,$F33:$BP33)))"),0.0)</f>
        <v>0</v>
      </c>
      <c r="CE33" s="207" t="str">
        <f>IFERROR(__xludf.DUMMYFUNCTION("IF(OR(CD33&gt;$BR33+$BS33*$BS$2,CD33&lt;$BR33-$BS33*$BS$2),AVEDEV(ARRAYFORMULA(XLOOKUP(FILTER(INDIRECT(""'""&amp;CD$1&amp;""'!$C$4:$C$66""),INDIRECT(""'""&amp;CD$1&amp;""'!$D$4:$D$66"")=CD$2),$F$3:$BP$3,$F33:$BP33))),"""")"),"")</f>
        <v/>
      </c>
      <c r="CF33" s="207">
        <f>IFERROR(__xludf.DUMMYFUNCTION("AVERAGE(ARRAYFORMULA(XLOOKUP(FILTER(INDIRECT(""'""&amp;CF$1&amp;""'!$C$4:$C$66""),INDIRECT(""'""&amp;CF$1&amp;""'!$D$4:$D$66"")=CF$2),$F$3:$BP$3,$F33:$BP33)))"),0.0)</f>
        <v>0</v>
      </c>
      <c r="CG33" s="207" t="str">
        <f>IFERROR(__xludf.DUMMYFUNCTION("IF(OR(CF33&gt;$BR33+$BS33*$BS$2,CF33&lt;$BR33-$BS33*$BS$2),AVEDEV(ARRAYFORMULA(XLOOKUP(FILTER(INDIRECT(""'""&amp;CF$1&amp;""'!$C$4:$C$66""),INDIRECT(""'""&amp;CF$1&amp;""'!$D$4:$D$66"")=CF$2),$F$3:$BP$3,$F33:$BP33))),"""")"),"")</f>
        <v/>
      </c>
      <c r="CH33" s="206"/>
      <c r="CI33" s="251">
        <f>IFERROR(__xludf.DUMMYFUNCTION("AVERAGE(ARRAYFORMULA(XLOOKUP(FILTER(INDIRECT(""'""&amp;CI$1&amp;""'!$C$4:$C$66""),INDIRECT(""'""&amp;CI$1&amp;""'!$D$4:$D$66"")=CI$2),$F$3:$BP$3,$F33:$BP33)))"),0.0)</f>
        <v>0</v>
      </c>
      <c r="CJ33" s="207" t="str">
        <f>IFERROR(__xludf.DUMMYFUNCTION("IF(OR(CI33&gt;$BR33+$BS33*$BS$2,CI33&lt;$BR33-$BS33*$BS$2),AVEDEV(ARRAYFORMULA(XLOOKUP(FILTER(INDIRECT(""'""&amp;CI$1&amp;""'!$C$4:$C$66""),INDIRECT(""'""&amp;CI$1&amp;""'!$D$4:$D$66"")=CI$2),$F$3:$BP$3,$F33:$BP33))),"""")"),"")</f>
        <v/>
      </c>
      <c r="CK33" s="251">
        <f>IFERROR(__xludf.DUMMYFUNCTION("AVERAGE(ARRAYFORMULA(XLOOKUP(FILTER(INDIRECT(""'""&amp;CK$1&amp;""'!$C$4:$C$66""),INDIRECT(""'""&amp;CK$1&amp;""'!$D$4:$D$66"")=CK$2),$F$3:$BP$3,$F33:$BP33)))"),0.0)</f>
        <v>0</v>
      </c>
      <c r="CL33" s="207" t="str">
        <f>IFERROR(__xludf.DUMMYFUNCTION("IF(OR(CK33&gt;$BR33+$BS33*$BS$2,CK33&lt;$BR33-$BS33*$BS$2),AVEDEV(ARRAYFORMULA(XLOOKUP(FILTER(INDIRECT(""'""&amp;CK$1&amp;""'!$C$4:$C$66""),INDIRECT(""'""&amp;CK$1&amp;""'!$D$4:$D$66"")=CK$2),$F$3:$BP$3,$F33:$BP33))),"""")"),"")</f>
        <v/>
      </c>
      <c r="CM33" s="251">
        <f>IFERROR(__xludf.DUMMYFUNCTION("AVERAGE(ARRAYFORMULA(XLOOKUP(FILTER(INDIRECT(""'""&amp;CM$1&amp;""'!$C$4:$C$66""),INDIRECT(""'""&amp;CM$1&amp;""'!$D$4:$D$66"")=CM$2),$F$3:$BP$3,$F33:$BP33)))"),0.0)</f>
        <v>0</v>
      </c>
      <c r="CN33" s="207" t="str">
        <f>IFERROR(__xludf.DUMMYFUNCTION("IF(OR(CM33&gt;$BR33+$BS33*$BS$2,CM33&lt;$BR33-$BS33*$BS$2),AVEDEV(ARRAYFORMULA(XLOOKUP(FILTER(INDIRECT(""'""&amp;CM$1&amp;""'!$C$4:$C$66""),INDIRECT(""'""&amp;CM$1&amp;""'!$D$4:$D$66"")=CM$2),$F$3:$BP$3,$F33:$BP33))),"""")"),"")</f>
        <v/>
      </c>
      <c r="CO33" s="252"/>
      <c r="CP33" s="251">
        <f>IFERROR(__xludf.DUMMYFUNCTION("AVERAGE(ARRAYFORMULA(XLOOKUP(FILTER(INDIRECT(""'""&amp;CP$1&amp;""'!$C$4:$C$66""),INDIRECT(""'""&amp;CP$1&amp;""'!$D$4:$D$66"")=CP$2),$F$3:$BP$3,$F33:$BP33)))"),0.0)</f>
        <v>0</v>
      </c>
      <c r="CQ33" s="207" t="str">
        <f>IFERROR(__xludf.DUMMYFUNCTION("IF(OR(CP33&gt;$BR33+$BS33*$BS$2,CP33&lt;$BR33-$BS33*$BS$2),AVEDEV(ARRAYFORMULA(XLOOKUP(FILTER(INDIRECT(""'""&amp;CP$1&amp;""'!$C$4:$C$66""),INDIRECT(""'""&amp;CP$1&amp;""'!$D$4:$D$66"")=CP$2),$F$3:$BP$3,$F33:$BP33))),"""")"),"")</f>
        <v/>
      </c>
      <c r="CR33" s="251">
        <f>IFERROR(__xludf.DUMMYFUNCTION("AVERAGE(ARRAYFORMULA(XLOOKUP(FILTER(INDIRECT(""'""&amp;CR$1&amp;""'!$C$4:$C$66""),INDIRECT(""'""&amp;CR$1&amp;""'!$D$4:$D$66"")=CR$2),$F$3:$BP$3,$F33:$BP33)))"),0.0)</f>
        <v>0</v>
      </c>
      <c r="CS33" s="207" t="str">
        <f>IFERROR(__xludf.DUMMYFUNCTION("IF(OR(CR33&gt;$BR33+$BS33*$BS$2,CR33&lt;$BR33-$BS33*$BS$2),AVEDEV(ARRAYFORMULA(XLOOKUP(FILTER(INDIRECT(""'""&amp;CR$1&amp;""'!$C$4:$C$66""),INDIRECT(""'""&amp;CR$1&amp;""'!$D$4:$D$66"")=CR$2),$F$3:$BP$3,$F33:$BP33))),"""")"),"")</f>
        <v/>
      </c>
      <c r="CT33" s="251">
        <f>IFERROR(__xludf.DUMMYFUNCTION("AVERAGE(ARRAYFORMULA(XLOOKUP(FILTER(INDIRECT(""'""&amp;CT$1&amp;""'!$C$4:$C$66""),INDIRECT(""'""&amp;CT$1&amp;""'!$D$4:$D$66"")=CT$2),$F$3:$BP$3,$F33:$BP33)))"),0.0)</f>
        <v>0</v>
      </c>
      <c r="CU33" s="207" t="str">
        <f>IFERROR(__xludf.DUMMYFUNCTION("IF(OR(CT33&gt;$BR33+$BS33*$BS$2,CT33&lt;$BR33-$BS33*$BS$2),AVEDEV(ARRAYFORMULA(XLOOKUP(FILTER(INDIRECT(""'""&amp;CT$1&amp;""'!$C$4:$C$66""),INDIRECT(""'""&amp;CT$1&amp;""'!$D$4:$D$66"")=CT$2),$F$3:$BP$3,$F33:$BP33))),"""")"),"")</f>
        <v/>
      </c>
      <c r="CV33" s="251">
        <f>IFERROR(__xludf.DUMMYFUNCTION("AVERAGE(ARRAYFORMULA(XLOOKUP(FILTER(INDIRECT(""'""&amp;CV$1&amp;""'!$C$4:$C$66""),INDIRECT(""'""&amp;CV$1&amp;""'!$D$4:$D$66"")=CV$2),$F$3:$BP$3,$F33:$BP33)))"),0.0)</f>
        <v>0</v>
      </c>
      <c r="CW33" s="207" t="str">
        <f>IFERROR(__xludf.DUMMYFUNCTION("IF(OR(CV33&gt;$BR33+$BS33*$BS$2,CV33&lt;$BR33-$BS33*$BS$2),AVEDEV(ARRAYFORMULA(XLOOKUP(FILTER(INDIRECT(""'""&amp;CV$1&amp;""'!$C$4:$C$66""),INDIRECT(""'""&amp;CV$1&amp;""'!$D$4:$D$66"")=CV$2),$F$3:$BP$3,$F33:$BP33))),"""")"),"")</f>
        <v/>
      </c>
      <c r="CX33" s="251">
        <f>IFERROR(__xludf.DUMMYFUNCTION("AVERAGE(ARRAYFORMULA(XLOOKUP(FILTER(INDIRECT(""'""&amp;CX$1&amp;""'!$C$4:$C$66""),INDIRECT(""'""&amp;CX$1&amp;""'!$D$4:$D$66"")=CX$2),$F$3:$BP$3,$F33:$BP33)))"),0.0)</f>
        <v>0</v>
      </c>
      <c r="CY33" s="207" t="str">
        <f>IFERROR(__xludf.DUMMYFUNCTION("IF(OR(CX33&gt;$BR33+$BS33*$BS$2,CX33&lt;$BR33-$BS33*$BS$2),AVEDEV(ARRAYFORMULA(XLOOKUP(FILTER(INDIRECT(""'""&amp;CX$1&amp;""'!$C$4:$C$66""),INDIRECT(""'""&amp;CX$1&amp;""'!$D$4:$D$66"")=CX$2),$F$3:$BP$3,$F33:$BP33))),"""")"),"")</f>
        <v/>
      </c>
      <c r="CZ33" s="252"/>
      <c r="DA33" s="251">
        <f>IFERROR(__xludf.DUMMYFUNCTION("AVERAGE(ARRAYFORMULA(XLOOKUP(FILTER(INDIRECT(""'""&amp;DA$1&amp;""'!$C$4:$C$66""),INDIRECT(""'""&amp;DA$1&amp;""'!$D$4:$D$66"")=DA$2),$F$3:$BP$3,$F33:$BP33)))"),0.0)</f>
        <v>0</v>
      </c>
      <c r="DB33" s="207" t="str">
        <f>IFERROR(__xludf.DUMMYFUNCTION("IF(OR(DA33&gt;$BR33+$BS33*$BS$2,DA33&lt;$BR33-$BS33*$BS$2),AVEDEV(ARRAYFORMULA(XLOOKUP(FILTER(INDIRECT(""'""&amp;DA$1&amp;""'!$C$4:$C$66""),INDIRECT(""'""&amp;DA$1&amp;""'!$D$4:$D$66"")=DA$2),$F$3:$BP$3,$F33:$BP33))),"""")"),"")</f>
        <v/>
      </c>
      <c r="DC33" s="251">
        <f>IFERROR(__xludf.DUMMYFUNCTION("AVERAGE(ARRAYFORMULA(XLOOKUP(FILTER(INDIRECT(""'""&amp;DC$1&amp;""'!$C$4:$C$66""),INDIRECT(""'""&amp;DC$1&amp;""'!$D$4:$D$66"")=DC$2),$F$3:$BP$3,$F33:$BP33)))"),0.0)</f>
        <v>0</v>
      </c>
      <c r="DD33" s="207" t="str">
        <f>IFERROR(__xludf.DUMMYFUNCTION("IF(OR(DC33&gt;$BR33+$BS33*$BS$2,DC33&lt;$BR33-$BS33*$BS$2),AVEDEV(ARRAYFORMULA(XLOOKUP(FILTER(INDIRECT(""'""&amp;DC$1&amp;""'!$C$4:$C$66""),INDIRECT(""'""&amp;DC$1&amp;""'!$D$4:$D$66"")=DC$2),$F$3:$BP$3,$F33:$BP33))),"""")"),"")</f>
        <v/>
      </c>
      <c r="DE33" s="251">
        <f>IFERROR(__xludf.DUMMYFUNCTION("AVERAGE(ARRAYFORMULA(XLOOKUP(FILTER(INDIRECT(""'""&amp;DE$1&amp;""'!$C$4:$C$66""),INDIRECT(""'""&amp;DE$1&amp;""'!$D$4:$D$66"")=DE$2),$F$3:$BP$3,$F33:$BP33)))"),0.0)</f>
        <v>0</v>
      </c>
      <c r="DF33" s="207" t="str">
        <f>IFERROR(__xludf.DUMMYFUNCTION("IF(OR(DE33&gt;$BR33+$BS33*$BS$2,DE33&lt;$BR33-$BS33*$BS$2),AVEDEV(ARRAYFORMULA(XLOOKUP(FILTER(INDIRECT(""'""&amp;DE$1&amp;""'!$C$4:$C$66""),INDIRECT(""'""&amp;DE$1&amp;""'!$D$4:$D$66"")=DE$2),$F$3:$BP$3,$F33:$BP33))),"""")"),"")</f>
        <v/>
      </c>
      <c r="DG33" s="251">
        <f>IFERROR(__xludf.DUMMYFUNCTION("AVERAGE(ARRAYFORMULA(XLOOKUP(FILTER(INDIRECT(""'""&amp;DG$1&amp;""'!$C$4:$C$66""),INDIRECT(""'""&amp;DG$1&amp;""'!$D$4:$D$66"")=DG$2),$F$3:$BP$3,$F33:$BP33)))"),0.0)</f>
        <v>0</v>
      </c>
      <c r="DH33" s="207" t="str">
        <f>IFERROR(__xludf.DUMMYFUNCTION("IF(OR(DG33&gt;$BR33+$BS33*$BS$2,DG33&lt;$BR33-$BS33*$BS$2),AVEDEV(ARRAYFORMULA(XLOOKUP(FILTER(INDIRECT(""'""&amp;DG$1&amp;""'!$C$4:$C$66""),INDIRECT(""'""&amp;DG$1&amp;""'!$D$4:$D$66"")=DG$2),$F$3:$BP$3,$F33:$BP33))),"""")"),"")</f>
        <v/>
      </c>
      <c r="DI33" s="252"/>
    </row>
    <row r="34">
      <c r="A34" s="2"/>
      <c r="B34" s="204" t="s">
        <v>442</v>
      </c>
      <c r="C34" s="204" t="s">
        <v>474</v>
      </c>
      <c r="D34" s="205" t="b">
        <f>VLOOKUP(C34,'Feature Set List'!A31:C246,2,0)</f>
        <v>1</v>
      </c>
      <c r="E34" s="205" t="b">
        <f>VLOOKUP(C34,'Feature Set List'!A31:C246,3,0)</f>
        <v>0</v>
      </c>
      <c r="F34" s="205">
        <v>0.25641026</v>
      </c>
      <c r="G34" s="205">
        <v>-0.7179487</v>
      </c>
      <c r="H34" s="205">
        <v>-0.974359</v>
      </c>
      <c r="I34" s="205">
        <v>-0.3076923</v>
      </c>
      <c r="J34" s="205">
        <v>1.12820513</v>
      </c>
      <c r="K34" s="205">
        <v>0.66666667</v>
      </c>
      <c r="L34" s="205">
        <v>0.71794872</v>
      </c>
      <c r="M34" s="205">
        <v>0.56410256</v>
      </c>
      <c r="N34" s="205">
        <v>-0.6153846</v>
      </c>
      <c r="O34" s="205">
        <v>0.15384615</v>
      </c>
      <c r="P34" s="205">
        <v>-0.6153846</v>
      </c>
      <c r="Q34" s="205">
        <v>0.25641026</v>
      </c>
      <c r="R34" s="205">
        <v>1.12820513</v>
      </c>
      <c r="S34" s="205">
        <v>0.51282051</v>
      </c>
      <c r="T34" s="205">
        <v>-0.4615385</v>
      </c>
      <c r="U34" s="205">
        <v>-0.6666667</v>
      </c>
      <c r="V34" s="205">
        <v>0.25641026</v>
      </c>
      <c r="W34" s="205">
        <v>-1.3333333</v>
      </c>
      <c r="X34" s="205">
        <v>0.0</v>
      </c>
      <c r="Y34" s="205">
        <v>0.0</v>
      </c>
      <c r="Z34" s="205">
        <v>0.25641026</v>
      </c>
      <c r="AA34" s="205">
        <v>0.1025641</v>
      </c>
      <c r="AB34" s="205">
        <v>0.25641026</v>
      </c>
      <c r="AC34" s="205">
        <v>-0.8205128</v>
      </c>
      <c r="AD34" s="205">
        <v>-1.2307692</v>
      </c>
      <c r="AE34" s="205">
        <v>-0.8205128</v>
      </c>
      <c r="AF34" s="205">
        <v>-0.7179487</v>
      </c>
      <c r="AG34" s="205">
        <v>-0.5641026</v>
      </c>
      <c r="AH34" s="205">
        <v>0.15384615</v>
      </c>
      <c r="AI34" s="205">
        <v>0.25641026</v>
      </c>
      <c r="AJ34" s="205">
        <v>0.30769231</v>
      </c>
      <c r="AK34" s="205">
        <v>-0.4615385</v>
      </c>
      <c r="AL34" s="205">
        <v>-0.3589744</v>
      </c>
      <c r="AM34" s="205">
        <v>-0.8205128</v>
      </c>
      <c r="AN34" s="205">
        <v>-0.6666667</v>
      </c>
      <c r="AO34" s="205">
        <v>-0.5641026</v>
      </c>
      <c r="AP34" s="205">
        <v>0.51282051</v>
      </c>
      <c r="AQ34" s="205">
        <v>-0.3589744</v>
      </c>
      <c r="AR34" s="205">
        <v>0.41025641</v>
      </c>
      <c r="AS34" s="205">
        <v>0.51282051</v>
      </c>
      <c r="AT34" s="205">
        <v>-0.4615385</v>
      </c>
      <c r="AU34" s="205">
        <v>-1.1794872</v>
      </c>
      <c r="AV34" s="205">
        <v>-0.0512821</v>
      </c>
      <c r="AW34" s="205">
        <v>0.51282051</v>
      </c>
      <c r="AX34" s="205">
        <v>-1.2307692</v>
      </c>
      <c r="AY34" s="205">
        <v>0.51282051</v>
      </c>
      <c r="AZ34" s="205">
        <v>0.82051282</v>
      </c>
      <c r="BA34" s="205">
        <v>-0.7179487</v>
      </c>
      <c r="BB34" s="205">
        <v>1.12820513</v>
      </c>
      <c r="BC34" s="205">
        <v>-1.3333333</v>
      </c>
      <c r="BD34" s="205">
        <v>0.35897436</v>
      </c>
      <c r="BE34" s="205">
        <v>-0.2051282</v>
      </c>
      <c r="BF34" s="205">
        <v>0.1025641</v>
      </c>
      <c r="BG34" s="205">
        <v>-0.8205128</v>
      </c>
      <c r="BH34" s="205">
        <v>-0.4615385</v>
      </c>
      <c r="BI34" s="205">
        <v>-0.1025641</v>
      </c>
      <c r="BJ34" s="205">
        <v>0.15384615</v>
      </c>
      <c r="BK34" s="205">
        <v>-1.2307692</v>
      </c>
      <c r="BL34" s="205">
        <v>0.41025641</v>
      </c>
      <c r="BM34" s="205">
        <v>0.61538462</v>
      </c>
      <c r="BN34" s="205">
        <v>0.35897436</v>
      </c>
      <c r="BO34" s="205">
        <v>-0.2051282</v>
      </c>
      <c r="BP34" s="205">
        <v>0.0</v>
      </c>
      <c r="BQ34" s="206"/>
      <c r="BR34" s="250">
        <f t="shared" si="1"/>
        <v>-0.122100124</v>
      </c>
      <c r="BS34" s="250">
        <f t="shared" si="2"/>
        <v>0.5518150287</v>
      </c>
      <c r="BT34" s="206"/>
      <c r="BU34" s="207">
        <f>IFERROR(__xludf.DUMMYFUNCTION("AVERAGE(ARRAYFORMULA(XLOOKUP(FILTER(INDIRECT(""'""&amp;BU$1&amp;""'!$C$4:$C$66""),INDIRECT(""'""&amp;BU$1&amp;""'!$D$4:$D$66"")=BU$2),$F$3:$BP$3,$F34:$BP34)))"),-0.7545787485714285)</f>
        <v>-0.7545787486</v>
      </c>
      <c r="BV34" s="207">
        <f>IFERROR(__xludf.DUMMYFUNCTION("IF(OR(BU34&gt;$BR34+$BS34*$BS$2,BU34&lt;$BR34-$BS34*$BS$2),AVEDEV(ARRAYFORMULA(XLOOKUP(FILTER(INDIRECT(""'""&amp;BU$1&amp;""'!$C$4:$C$66""),INDIRECT(""'""&amp;BU$1&amp;""'!$D$4:$D$66"")=BU$2),$F$3:$BP$3,$F34:$BP34))),"""")"),0.4374672726530612)</f>
        <v>0.4374672727</v>
      </c>
      <c r="BW34" s="207">
        <f>IFERROR(__xludf.DUMMYFUNCTION("AVERAGE(ARRAYFORMULA(XLOOKUP(FILTER(INDIRECT(""'""&amp;BW$1&amp;""'!$C$4:$C$66""),INDIRECT(""'""&amp;BW$1&amp;""'!$D$4:$D$66"")=BW$2),$F$3:$BP$3,$F34:$BP34)))"),-0.0744810780952381)</f>
        <v>-0.0744810781</v>
      </c>
      <c r="BX34" s="207" t="str">
        <f>IFERROR(__xludf.DUMMYFUNCTION("IF(OR(BW34&gt;$BR34+$BS34*$BS$2,BW34&lt;$BR34-$BS34*$BS$2),AVEDEV(ARRAYFORMULA(XLOOKUP(FILTER(INDIRECT(""'""&amp;BW$1&amp;""'!$C$4:$C$66""),INDIRECT(""'""&amp;BW$1&amp;""'!$D$4:$D$66"")=BW$2),$F$3:$BP$3,$F34:$BP34))),"""")"),"")</f>
        <v/>
      </c>
      <c r="BY34" s="207">
        <f>IFERROR(__xludf.DUMMYFUNCTION("AVERAGE(ARRAYFORMULA(XLOOKUP(FILTER(INDIRECT(""'""&amp;BY$1&amp;""'!$C$4:$C$66""),INDIRECT(""'""&amp;BY$1&amp;""'!$D$4:$D$66"")=BY$2),$F$3:$BP$3,$F34:$BP34)))"),0.3170163190909091)</f>
        <v>0.3170163191</v>
      </c>
      <c r="BZ34" s="207" t="str">
        <f>IFERROR(__xludf.DUMMYFUNCTION("IF(OR(BY34&gt;$BR34+$BS34*$BS$2,BY34&lt;$BR34-$BS34*$BS$2),AVEDEV(ARRAYFORMULA(XLOOKUP(FILTER(INDIRECT(""'""&amp;BY$1&amp;""'!$C$4:$C$66""),INDIRECT(""'""&amp;BY$1&amp;""'!$D$4:$D$66"")=BY$2),$F$3:$BP$3,$F34:$BP34))),"""")"),"")</f>
        <v/>
      </c>
      <c r="CA34" s="209"/>
      <c r="CB34" s="207">
        <f>IFERROR(__xludf.DUMMYFUNCTION("AVERAGE(ARRAYFORMULA(XLOOKUP(FILTER(INDIRECT(""'""&amp;CB$1&amp;""'!$C$4:$C$66""),INDIRECT(""'""&amp;CB$1&amp;""'!$D$4:$D$66"")=CB$2),$F$3:$BP$3,$F34:$BP34)))"),-0.15384615812500002)</f>
        <v>-0.1538461581</v>
      </c>
      <c r="CC34" s="207" t="str">
        <f>IFERROR(__xludf.DUMMYFUNCTION("IF(OR(CB34&gt;$BR34+$BS34*$BS$2,CB34&lt;$BR34-$BS34*$BS$2),AVEDEV(ARRAYFORMULA(XLOOKUP(FILTER(INDIRECT(""'""&amp;CB$1&amp;""'!$C$4:$C$66""),INDIRECT(""'""&amp;CB$1&amp;""'!$D$4:$D$66"")=CB$2),$F$3:$BP$3,$F34:$BP34))),"""")"),"")</f>
        <v/>
      </c>
      <c r="CD34" s="207">
        <f>IFERROR(__xludf.DUMMYFUNCTION("AVERAGE(ARRAYFORMULA(XLOOKUP(FILTER(INDIRECT(""'""&amp;CD$1&amp;""'!$C$4:$C$66""),INDIRECT(""'""&amp;CD$1&amp;""'!$D$4:$D$66"")=CD$2),$F$3:$BP$3,$F34:$BP34)))"),-0.07775020677419356)</f>
        <v>-0.07775020677</v>
      </c>
      <c r="CE34" s="207" t="str">
        <f>IFERROR(__xludf.DUMMYFUNCTION("IF(OR(CD34&gt;$BR34+$BS34*$BS$2,CD34&lt;$BR34-$BS34*$BS$2),AVEDEV(ARRAYFORMULA(XLOOKUP(FILTER(INDIRECT(""'""&amp;CD$1&amp;""'!$C$4:$C$66""),INDIRECT(""'""&amp;CD$1&amp;""'!$D$4:$D$66"")=CD$2),$F$3:$BP$3,$F34:$BP34))),"""")"),"")</f>
        <v/>
      </c>
      <c r="CF34" s="207">
        <f>IFERROR(__xludf.DUMMYFUNCTION("AVERAGE(ARRAYFORMULA(XLOOKUP(FILTER(INDIRECT(""'""&amp;CF$1&amp;""'!$C$4:$C$66""),INDIRECT(""'""&amp;CF$1&amp;""'!$D$4:$D$66"")=CF$2),$F$3:$BP$3,$F34:$BP34)))"),0.399999998)</f>
        <v>0.399999998</v>
      </c>
      <c r="CG34" s="207" t="str">
        <f>IFERROR(__xludf.DUMMYFUNCTION("IF(OR(CF34&gt;$BR34+$BS34*$BS$2,CF34&lt;$BR34-$BS34*$BS$2),AVEDEV(ARRAYFORMULA(XLOOKUP(FILTER(INDIRECT(""'""&amp;CF$1&amp;""'!$C$4:$C$66""),INDIRECT(""'""&amp;CF$1&amp;""'!$D$4:$D$66"")=CF$2),$F$3:$BP$3,$F34:$BP34))),"""")"),"")</f>
        <v/>
      </c>
      <c r="CH34" s="206"/>
      <c r="CI34" s="251">
        <f>IFERROR(__xludf.DUMMYFUNCTION("AVERAGE(ARRAYFORMULA(XLOOKUP(FILTER(INDIRECT(""'""&amp;CI$1&amp;""'!$C$4:$C$66""),INDIRECT(""'""&amp;CI$1&amp;""'!$D$4:$D$66"")=CI$2),$F$3:$BP$3,$F34:$BP34)))"),-0.08205128133333334)</f>
        <v>-0.08205128133</v>
      </c>
      <c r="CJ34" s="207" t="str">
        <f>IFERROR(__xludf.DUMMYFUNCTION("IF(OR(CI34&gt;$BR34+$BS34*$BS$2,CI34&lt;$BR34-$BS34*$BS$2),AVEDEV(ARRAYFORMULA(XLOOKUP(FILTER(INDIRECT(""'""&amp;CI$1&amp;""'!$C$4:$C$66""),INDIRECT(""'""&amp;CI$1&amp;""'!$D$4:$D$66"")=CI$2),$F$3:$BP$3,$F34:$BP34))),"""")"),"")</f>
        <v/>
      </c>
      <c r="CK34" s="251">
        <f>IFERROR(__xludf.DUMMYFUNCTION("AVERAGE(ARRAYFORMULA(XLOOKUP(FILTER(INDIRECT(""'""&amp;CK$1&amp;""'!$C$4:$C$66""),INDIRECT(""'""&amp;CK$1&amp;""'!$D$4:$D$66"")=CK$2),$F$3:$BP$3,$F34:$BP34)))"),-0.11439842512820513)</f>
        <v>-0.1143984251</v>
      </c>
      <c r="CL34" s="207" t="str">
        <f>IFERROR(__xludf.DUMMYFUNCTION("IF(OR(CK34&gt;$BR34+$BS34*$BS$2,CK34&lt;$BR34-$BS34*$BS$2),AVEDEV(ARRAYFORMULA(XLOOKUP(FILTER(INDIRECT(""'""&amp;CK$1&amp;""'!$C$4:$C$66""),INDIRECT(""'""&amp;CK$1&amp;""'!$D$4:$D$66"")=CK$2),$F$3:$BP$3,$F34:$BP34))),"""")"),"")</f>
        <v/>
      </c>
      <c r="CM34" s="251">
        <f>IFERROR(__xludf.DUMMYFUNCTION("AVERAGE(ARRAYFORMULA(XLOOKUP(FILTER(INDIRECT(""'""&amp;CM$1&amp;""'!$C$4:$C$66""),INDIRECT(""'""&amp;CM$1&amp;""'!$D$4:$D$66"")=CM$2),$F$3:$BP$3,$F34:$BP34)))"),0.399999998)</f>
        <v>0.399999998</v>
      </c>
      <c r="CN34" s="207" t="str">
        <f>IFERROR(__xludf.DUMMYFUNCTION("IF(OR(CM34&gt;$BR34+$BS34*$BS$2,CM34&lt;$BR34-$BS34*$BS$2),AVEDEV(ARRAYFORMULA(XLOOKUP(FILTER(INDIRECT(""'""&amp;CM$1&amp;""'!$C$4:$C$66""),INDIRECT(""'""&amp;CM$1&amp;""'!$D$4:$D$66"")=CM$2),$F$3:$BP$3,$F34:$BP34))),"""")"),"")</f>
        <v/>
      </c>
      <c r="CO34" s="252"/>
      <c r="CP34" s="251">
        <f>IFERROR(__xludf.DUMMYFUNCTION("AVERAGE(ARRAYFORMULA(XLOOKUP(FILTER(INDIRECT(""'""&amp;CP$1&amp;""'!$C$4:$C$66""),INDIRECT(""'""&amp;CP$1&amp;""'!$D$4:$D$66"")=CP$2),$F$3:$BP$3,$F34:$BP34)))"),-0.23076923714285713)</f>
        <v>-0.2307692371</v>
      </c>
      <c r="CQ34" s="207" t="str">
        <f>IFERROR(__xludf.DUMMYFUNCTION("IF(OR(CP34&gt;$BR34+$BS34*$BS$2,CP34&lt;$BR34-$BS34*$BS$2),AVEDEV(ARRAYFORMULA(XLOOKUP(FILTER(INDIRECT(""'""&amp;CP$1&amp;""'!$C$4:$C$66""),INDIRECT(""'""&amp;CP$1&amp;""'!$D$4:$D$66"")=CP$2),$F$3:$BP$3,$F34:$BP34))),"""")"),"")</f>
        <v/>
      </c>
      <c r="CR34" s="251">
        <f>IFERROR(__xludf.DUMMYFUNCTION("AVERAGE(ARRAYFORMULA(XLOOKUP(FILTER(INDIRECT(""'""&amp;CR$1&amp;""'!$C$4:$C$66""),INDIRECT(""'""&amp;CR$1&amp;""'!$D$4:$D$66"")=CR$2),$F$3:$BP$3,$F34:$BP34)))"),0.28490028777777776)</f>
        <v>0.2849002878</v>
      </c>
      <c r="CS34" s="207" t="str">
        <f>IFERROR(__xludf.DUMMYFUNCTION("IF(OR(CR34&gt;$BR34+$BS34*$BS$2,CR34&lt;$BR34-$BS34*$BS$2),AVEDEV(ARRAYFORMULA(XLOOKUP(FILTER(INDIRECT(""'""&amp;CR$1&amp;""'!$C$4:$C$66""),INDIRECT(""'""&amp;CR$1&amp;""'!$D$4:$D$66"")=CR$2),$F$3:$BP$3,$F34:$BP34))),"""")"),"")</f>
        <v/>
      </c>
      <c r="CT34" s="251">
        <f>IFERROR(__xludf.DUMMYFUNCTION("AVERAGE(ARRAYFORMULA(XLOOKUP(FILTER(INDIRECT(""'""&amp;CT$1&amp;""'!$C$4:$C$66""),INDIRECT(""'""&amp;CT$1&amp;""'!$D$4:$D$66"")=CT$2),$F$3:$BP$3,$F34:$BP34)))"),0.10256409363636364)</f>
        <v>0.1025640936</v>
      </c>
      <c r="CU34" s="207" t="str">
        <f>IFERROR(__xludf.DUMMYFUNCTION("IF(OR(CT34&gt;$BR34+$BS34*$BS$2,CT34&lt;$BR34-$BS34*$BS$2),AVEDEV(ARRAYFORMULA(XLOOKUP(FILTER(INDIRECT(""'""&amp;CT$1&amp;""'!$C$4:$C$66""),INDIRECT(""'""&amp;CT$1&amp;""'!$D$4:$D$66"")=CT$2),$F$3:$BP$3,$F34:$BP34))),"""")"),"")</f>
        <v/>
      </c>
      <c r="CV34" s="251">
        <f>IFERROR(__xludf.DUMMYFUNCTION("AVERAGE(ARRAYFORMULA(XLOOKUP(FILTER(INDIRECT(""'""&amp;CV$1&amp;""'!$C$4:$C$66""),INDIRECT(""'""&amp;CV$1&amp;""'!$D$4:$D$66"")=CV$2),$F$3:$BP$3,$F34:$BP34)))"),-0.8205128)</f>
        <v>-0.8205128</v>
      </c>
      <c r="CW34" s="207">
        <f>IFERROR(__xludf.DUMMYFUNCTION("IF(OR(CV34&gt;$BR34+$BS34*$BS$2,CV34&lt;$BR34-$BS34*$BS$2),AVEDEV(ARRAYFORMULA(XLOOKUP(FILTER(INDIRECT(""'""&amp;CV$1&amp;""'!$C$4:$C$66""),INDIRECT(""'""&amp;CV$1&amp;""'!$D$4:$D$66"")=CV$2),$F$3:$BP$3,$F34:$BP34))),"""")"),0.0)</f>
        <v>0</v>
      </c>
      <c r="CX34" s="251">
        <f>IFERROR(__xludf.DUMMYFUNCTION("AVERAGE(ARRAYFORMULA(XLOOKUP(FILTER(INDIRECT(""'""&amp;CX$1&amp;""'!$C$4:$C$66""),INDIRECT(""'""&amp;CX$1&amp;""'!$D$4:$D$66"")=CX$2),$F$3:$BP$3,$F34:$BP34)))"),-0.029304030000000005)</f>
        <v>-0.02930403</v>
      </c>
      <c r="CY34" s="207" t="str">
        <f>IFERROR(__xludf.DUMMYFUNCTION("IF(OR(CX34&gt;$BR34+$BS34*$BS$2,CX34&lt;$BR34-$BS34*$BS$2),AVEDEV(ARRAYFORMULA(XLOOKUP(FILTER(INDIRECT(""'""&amp;CX$1&amp;""'!$C$4:$C$66""),INDIRECT(""'""&amp;CX$1&amp;""'!$D$4:$D$66"")=CX$2),$F$3:$BP$3,$F34:$BP34))),"""")"),"")</f>
        <v/>
      </c>
      <c r="CZ34" s="252"/>
      <c r="DA34" s="251">
        <f>IFERROR(__xludf.DUMMYFUNCTION("AVERAGE(ARRAYFORMULA(XLOOKUP(FILTER(INDIRECT(""'""&amp;DA$1&amp;""'!$C$4:$C$66""),INDIRECT(""'""&amp;DA$1&amp;""'!$D$4:$D$66"")=DA$2),$F$3:$BP$3,$F34:$BP34)))"),-0.08547008733333333)</f>
        <v>-0.08547008733</v>
      </c>
      <c r="DB34" s="207" t="str">
        <f>IFERROR(__xludf.DUMMYFUNCTION("IF(OR(DA34&gt;$BR34+$BS34*$BS$2,DA34&lt;$BR34-$BS34*$BS$2),AVEDEV(ARRAYFORMULA(XLOOKUP(FILTER(INDIRECT(""'""&amp;DA$1&amp;""'!$C$4:$C$66""),INDIRECT(""'""&amp;DA$1&amp;""'!$D$4:$D$66"")=DA$2),$F$3:$BP$3,$F34:$BP34))),"""")"),"")</f>
        <v/>
      </c>
      <c r="DC34" s="251">
        <f>IFERROR(__xludf.DUMMYFUNCTION("AVERAGE(ARRAYFORMULA(XLOOKUP(FILTER(INDIRECT(""'""&amp;DC$1&amp;""'!$C$4:$C$66""),INDIRECT(""'""&amp;DC$1&amp;""'!$D$4:$D$66"")=DC$2),$F$3:$BP$3,$F34:$BP34)))"),0.2905982888888889)</f>
        <v>0.2905982889</v>
      </c>
      <c r="DD34" s="207" t="str">
        <f>IFERROR(__xludf.DUMMYFUNCTION("IF(OR(DC34&gt;$BR34+$BS34*$BS$2,DC34&lt;$BR34-$BS34*$BS$2),AVEDEV(ARRAYFORMULA(XLOOKUP(FILTER(INDIRECT(""'""&amp;DC$1&amp;""'!$C$4:$C$66""),INDIRECT(""'""&amp;DC$1&amp;""'!$D$4:$D$66"")=DC$2),$F$3:$BP$3,$F34:$BP34))),"""")"),"")</f>
        <v/>
      </c>
      <c r="DE34" s="251">
        <f>IFERROR(__xludf.DUMMYFUNCTION("AVERAGE(ARRAYFORMULA(XLOOKUP(FILTER(INDIRECT(""'""&amp;DE$1&amp;""'!$C$4:$C$66""),INDIRECT(""'""&amp;DE$1&amp;""'!$D$4:$D$66"")=DE$2),$F$3:$BP$3,$F34:$BP34)))"),0.012820515000000005)</f>
        <v>0.012820515</v>
      </c>
      <c r="DF34" s="207" t="str">
        <f>IFERROR(__xludf.DUMMYFUNCTION("IF(OR(DE34&gt;$BR34+$BS34*$BS$2,DE34&lt;$BR34-$BS34*$BS$2),AVEDEV(ARRAYFORMULA(XLOOKUP(FILTER(INDIRECT(""'""&amp;DE$1&amp;""'!$C$4:$C$66""),INDIRECT(""'""&amp;DE$1&amp;""'!$D$4:$D$66"")=DE$2),$F$3:$BP$3,$F34:$BP34))),"""")"),"")</f>
        <v/>
      </c>
      <c r="DG34" s="251">
        <f>IFERROR(__xludf.DUMMYFUNCTION("AVERAGE(ARRAYFORMULA(XLOOKUP(FILTER(INDIRECT(""'""&amp;DG$1&amp;""'!$C$4:$C$66""),INDIRECT(""'""&amp;DG$1&amp;""'!$D$4:$D$66"")=DG$2),$F$3:$BP$3,$F34:$BP34)))"),-0.1652421677777778)</f>
        <v>-0.1652421678</v>
      </c>
      <c r="DH34" s="207" t="str">
        <f>IFERROR(__xludf.DUMMYFUNCTION("IF(OR(DG34&gt;$BR34+$BS34*$BS$2,DG34&lt;$BR34-$BS34*$BS$2),AVEDEV(ARRAYFORMULA(XLOOKUP(FILTER(INDIRECT(""'""&amp;DG$1&amp;""'!$C$4:$C$66""),INDIRECT(""'""&amp;DG$1&amp;""'!$D$4:$D$66"")=DG$2),$F$3:$BP$3,$F34:$BP34))),"""")"),"")</f>
        <v/>
      </c>
      <c r="DI34" s="252"/>
    </row>
    <row r="35">
      <c r="A35" s="2"/>
      <c r="B35" s="204" t="s">
        <v>442</v>
      </c>
      <c r="C35" s="204" t="s">
        <v>475</v>
      </c>
      <c r="D35" s="205" t="b">
        <f>VLOOKUP(C35,'Feature Set List'!A32:C246,2,0)</f>
        <v>1</v>
      </c>
      <c r="E35" s="205" t="b">
        <f>VLOOKUP(C35,'Feature Set List'!A32:C246,3,0)</f>
        <v>0</v>
      </c>
      <c r="F35" s="205">
        <v>1.0</v>
      </c>
      <c r="G35" s="205">
        <v>-0.4</v>
      </c>
      <c r="H35" s="205">
        <v>1.0</v>
      </c>
      <c r="I35" s="205">
        <v>1.2</v>
      </c>
      <c r="J35" s="205">
        <v>-0.4</v>
      </c>
      <c r="K35" s="205">
        <v>0.2</v>
      </c>
      <c r="L35" s="205">
        <v>0.4</v>
      </c>
      <c r="M35" s="205">
        <v>-0.2</v>
      </c>
      <c r="N35" s="205">
        <v>0.0</v>
      </c>
      <c r="O35" s="205">
        <v>0.6</v>
      </c>
      <c r="P35" s="205">
        <v>0.0</v>
      </c>
      <c r="Q35" s="205">
        <v>1.0</v>
      </c>
      <c r="R35" s="205">
        <v>-0.4</v>
      </c>
      <c r="S35" s="205">
        <v>-0.4</v>
      </c>
      <c r="T35" s="205">
        <v>0.6</v>
      </c>
      <c r="U35" s="205">
        <v>-0.2</v>
      </c>
      <c r="V35" s="205">
        <v>1.0</v>
      </c>
      <c r="W35" s="205">
        <v>-0.4</v>
      </c>
      <c r="X35" s="205">
        <v>0.0</v>
      </c>
      <c r="Y35" s="205">
        <v>0.0</v>
      </c>
      <c r="Z35" s="205">
        <v>1.0</v>
      </c>
      <c r="AA35" s="205">
        <v>0.4</v>
      </c>
      <c r="AB35" s="205">
        <v>1.0</v>
      </c>
      <c r="AC35" s="205">
        <v>-0.8</v>
      </c>
      <c r="AD35" s="205">
        <v>0.0</v>
      </c>
      <c r="AE35" s="205">
        <v>-0.8</v>
      </c>
      <c r="AF35" s="205">
        <v>-0.4</v>
      </c>
      <c r="AG35" s="205">
        <v>0.2</v>
      </c>
      <c r="AH35" s="205">
        <v>0.6</v>
      </c>
      <c r="AI35" s="205">
        <v>1.0</v>
      </c>
      <c r="AJ35" s="205">
        <v>1.2</v>
      </c>
      <c r="AK35" s="205">
        <v>0.6</v>
      </c>
      <c r="AL35" s="205">
        <v>1.0</v>
      </c>
      <c r="AM35" s="205">
        <v>-0.8</v>
      </c>
      <c r="AN35" s="205">
        <v>-0.2</v>
      </c>
      <c r="AO35" s="205">
        <v>0.2</v>
      </c>
      <c r="AP35" s="205">
        <v>-0.4</v>
      </c>
      <c r="AQ35" s="205">
        <v>1.0</v>
      </c>
      <c r="AR35" s="205">
        <v>-0.8</v>
      </c>
      <c r="AS35" s="205">
        <v>-0.4</v>
      </c>
      <c r="AT35" s="205">
        <v>0.6</v>
      </c>
      <c r="AU35" s="205">
        <v>0.2</v>
      </c>
      <c r="AV35" s="205">
        <v>-0.2</v>
      </c>
      <c r="AW35" s="205">
        <v>-0.4</v>
      </c>
      <c r="AX35" s="205">
        <v>0.0</v>
      </c>
      <c r="AY35" s="205">
        <v>-0.4</v>
      </c>
      <c r="AZ35" s="205">
        <v>0.8</v>
      </c>
      <c r="BA35" s="205">
        <v>-0.4</v>
      </c>
      <c r="BB35" s="205">
        <v>-0.4</v>
      </c>
      <c r="BC35" s="205">
        <v>-0.4</v>
      </c>
      <c r="BD35" s="205">
        <v>1.4</v>
      </c>
      <c r="BE35" s="205">
        <v>-0.8</v>
      </c>
      <c r="BF35" s="205">
        <v>0.4</v>
      </c>
      <c r="BG35" s="205">
        <v>-0.8</v>
      </c>
      <c r="BH35" s="205">
        <v>0.6</v>
      </c>
      <c r="BI35" s="205">
        <v>-0.4</v>
      </c>
      <c r="BJ35" s="205">
        <v>0.6</v>
      </c>
      <c r="BK35" s="205">
        <v>0.0</v>
      </c>
      <c r="BL35" s="205">
        <v>-0.8</v>
      </c>
      <c r="BM35" s="205">
        <v>0.0</v>
      </c>
      <c r="BN35" s="205">
        <v>1.4</v>
      </c>
      <c r="BO35" s="205">
        <v>-0.8</v>
      </c>
      <c r="BP35" s="205">
        <v>0.0</v>
      </c>
      <c r="BQ35" s="206"/>
      <c r="BR35" s="250">
        <f t="shared" si="1"/>
        <v>0.1333333333</v>
      </c>
      <c r="BS35" s="250">
        <f t="shared" si="2"/>
        <v>0.5544973545</v>
      </c>
      <c r="BT35" s="206"/>
      <c r="BU35" s="207">
        <f>IFERROR(__xludf.DUMMYFUNCTION("AVERAGE(ARRAYFORMULA(XLOOKUP(FILTER(INDIRECT(""'""&amp;BU$1&amp;""'!$C$4:$C$66""),INDIRECT(""'""&amp;BU$1&amp;""'!$D$4:$D$66"")=BU$2),$F$3:$BP$3,$F35:$BP35)))"),0.14285714285714285)</f>
        <v>0.1428571429</v>
      </c>
      <c r="BV35" s="207" t="str">
        <f>IFERROR(__xludf.DUMMYFUNCTION("IF(OR(BU35&gt;$BR35+$BS35*$BS$2,BU35&lt;$BR35-$BS35*$BS$2),AVEDEV(ARRAYFORMULA(XLOOKUP(FILTER(INDIRECT(""'""&amp;BU$1&amp;""'!$C$4:$C$66""),INDIRECT(""'""&amp;BU$1&amp;""'!$D$4:$D$66"")=BU$2),$F$3:$BP$3,$F35:$BP35))),"""")"),"")</f>
        <v/>
      </c>
      <c r="BW35" s="207">
        <f>IFERROR(__xludf.DUMMYFUNCTION("AVERAGE(ARRAYFORMULA(XLOOKUP(FILTER(INDIRECT(""'""&amp;BW$1&amp;""'!$C$4:$C$66""),INDIRECT(""'""&amp;BW$1&amp;""'!$D$4:$D$66"")=BW$2),$F$3:$BP$3,$F35:$BP35)))"),0.1095238095238095)</f>
        <v>0.1095238095</v>
      </c>
      <c r="BX35" s="207" t="str">
        <f>IFERROR(__xludf.DUMMYFUNCTION("IF(OR(BW35&gt;$BR35+$BS35*$BS$2,BW35&lt;$BR35-$BS35*$BS$2),AVEDEV(ARRAYFORMULA(XLOOKUP(FILTER(INDIRECT(""'""&amp;BW$1&amp;""'!$C$4:$C$66""),INDIRECT(""'""&amp;BW$1&amp;""'!$D$4:$D$66"")=BW$2),$F$3:$BP$3,$F35:$BP35))),"""")"),"")</f>
        <v/>
      </c>
      <c r="BY35" s="207">
        <f>IFERROR(__xludf.DUMMYFUNCTION("AVERAGE(ARRAYFORMULA(XLOOKUP(FILTER(INDIRECT(""'""&amp;BY$1&amp;""'!$C$4:$C$66""),INDIRECT(""'""&amp;BY$1&amp;""'!$D$4:$D$66"")=BY$2),$F$3:$BP$3,$F35:$BP35)))"),0.14545454545454548)</f>
        <v>0.1454545455</v>
      </c>
      <c r="BZ35" s="207" t="str">
        <f>IFERROR(__xludf.DUMMYFUNCTION("IF(OR(BY35&gt;$BR35+$BS35*$BS$2,BY35&lt;$BR35-$BS35*$BS$2),AVEDEV(ARRAYFORMULA(XLOOKUP(FILTER(INDIRECT(""'""&amp;BY$1&amp;""'!$C$4:$C$66""),INDIRECT(""'""&amp;BY$1&amp;""'!$D$4:$D$66"")=BY$2),$F$3:$BP$3,$F35:$BP35))),"""")"),"")</f>
        <v/>
      </c>
      <c r="CA35" s="209"/>
      <c r="CB35" s="207">
        <f>IFERROR(__xludf.DUMMYFUNCTION("AVERAGE(ARRAYFORMULA(XLOOKUP(FILTER(INDIRECT(""'""&amp;CB$1&amp;""'!$C$4:$C$66""),INDIRECT(""'""&amp;CB$1&amp;""'!$D$4:$D$66"")=CB$2),$F$3:$BP$3,$F35:$BP35)))"),-2.0816681711721685E-17)</f>
        <v>0</v>
      </c>
      <c r="CC35" s="207" t="str">
        <f>IFERROR(__xludf.DUMMYFUNCTION("IF(OR(CB35&gt;$BR35+$BS35*$BS$2,CB35&lt;$BR35-$BS35*$BS$2),AVEDEV(ARRAYFORMULA(XLOOKUP(FILTER(INDIRECT(""'""&amp;CB$1&amp;""'!$C$4:$C$66""),INDIRECT(""'""&amp;CB$1&amp;""'!$D$4:$D$66"")=CB$2),$F$3:$BP$3,$F35:$BP35))),"""")"),"")</f>
        <v/>
      </c>
      <c r="CD35" s="207">
        <f>IFERROR(__xludf.DUMMYFUNCTION("AVERAGE(ARRAYFORMULA(XLOOKUP(FILTER(INDIRECT(""'""&amp;CD$1&amp;""'!$C$4:$C$66""),INDIRECT(""'""&amp;CD$1&amp;""'!$D$4:$D$66"")=CD$2),$F$3:$BP$3,$F35:$BP35)))"),0.16129032258064516)</f>
        <v>0.1612903226</v>
      </c>
      <c r="CE35" s="207" t="str">
        <f>IFERROR(__xludf.DUMMYFUNCTION("IF(OR(CD35&gt;$BR35+$BS35*$BS$2,CD35&lt;$BR35-$BS35*$BS$2),AVEDEV(ARRAYFORMULA(XLOOKUP(FILTER(INDIRECT(""'""&amp;CD$1&amp;""'!$C$4:$C$66""),INDIRECT(""'""&amp;CD$1&amp;""'!$D$4:$D$66"")=CD$2),$F$3:$BP$3,$F35:$BP35))),"""")"),"")</f>
        <v/>
      </c>
      <c r="CF35" s="207">
        <f>IFERROR(__xludf.DUMMYFUNCTION("AVERAGE(ARRAYFORMULA(XLOOKUP(FILTER(INDIRECT(""'""&amp;CF$1&amp;""'!$C$4:$C$66""),INDIRECT(""'""&amp;CF$1&amp;""'!$D$4:$D$66"")=CF$2),$F$3:$BP$3,$F35:$BP35)))"),0.11999999999999997)</f>
        <v>0.12</v>
      </c>
      <c r="CG35" s="207" t="str">
        <f>IFERROR(__xludf.DUMMYFUNCTION("IF(OR(CF35&gt;$BR35+$BS35*$BS$2,CF35&lt;$BR35-$BS35*$BS$2),AVEDEV(ARRAYFORMULA(XLOOKUP(FILTER(INDIRECT(""'""&amp;CF$1&amp;""'!$C$4:$C$66""),INDIRECT(""'""&amp;CF$1&amp;""'!$D$4:$D$66"")=CF$2),$F$3:$BP$3,$F35:$BP35))),"""")"),"")</f>
        <v/>
      </c>
      <c r="CH35" s="206"/>
      <c r="CI35" s="251">
        <f>IFERROR(__xludf.DUMMYFUNCTION("AVERAGE(ARRAYFORMULA(XLOOKUP(FILTER(INDIRECT(""'""&amp;CI$1&amp;""'!$C$4:$C$66""),INDIRECT(""'""&amp;CI$1&amp;""'!$D$4:$D$66"")=CI$2),$F$3:$BP$3,$F35:$BP35)))"),0.32)</f>
        <v>0.32</v>
      </c>
      <c r="CJ35" s="207" t="str">
        <f>IFERROR(__xludf.DUMMYFUNCTION("IF(OR(CI35&gt;$BR35+$BS35*$BS$2,CI35&lt;$BR35-$BS35*$BS$2),AVEDEV(ARRAYFORMULA(XLOOKUP(FILTER(INDIRECT(""'""&amp;CI$1&amp;""'!$C$4:$C$66""),INDIRECT(""'""&amp;CI$1&amp;""'!$D$4:$D$66"")=CI$2),$F$3:$BP$3,$F35:$BP35))),"""")"),"")</f>
        <v/>
      </c>
      <c r="CK35" s="251">
        <f>IFERROR(__xludf.DUMMYFUNCTION("AVERAGE(ARRAYFORMULA(XLOOKUP(FILTER(INDIRECT(""'""&amp;CK$1&amp;""'!$C$4:$C$66""),INDIRECT(""'""&amp;CK$1&amp;""'!$D$4:$D$66"")=CK$2),$F$3:$BP$3,$F35:$BP35)))"),0.046153846153846136)</f>
        <v>0.04615384615</v>
      </c>
      <c r="CL35" s="207" t="str">
        <f>IFERROR(__xludf.DUMMYFUNCTION("IF(OR(CK35&gt;$BR35+$BS35*$BS$2,CK35&lt;$BR35-$BS35*$BS$2),AVEDEV(ARRAYFORMULA(XLOOKUP(FILTER(INDIRECT(""'""&amp;CK$1&amp;""'!$C$4:$C$66""),INDIRECT(""'""&amp;CK$1&amp;""'!$D$4:$D$66"")=CK$2),$F$3:$BP$3,$F35:$BP35))),"""")"),"")</f>
        <v/>
      </c>
      <c r="CM35" s="251">
        <f>IFERROR(__xludf.DUMMYFUNCTION("AVERAGE(ARRAYFORMULA(XLOOKUP(FILTER(INDIRECT(""'""&amp;CM$1&amp;""'!$C$4:$C$66""),INDIRECT(""'""&amp;CM$1&amp;""'!$D$4:$D$66"")=CM$2),$F$3:$BP$3,$F35:$BP35)))"),0.11999999999999997)</f>
        <v>0.12</v>
      </c>
      <c r="CN35" s="207" t="str">
        <f>IFERROR(__xludf.DUMMYFUNCTION("IF(OR(CM35&gt;$BR35+$BS35*$BS$2,CM35&lt;$BR35-$BS35*$BS$2),AVEDEV(ARRAYFORMULA(XLOOKUP(FILTER(INDIRECT(""'""&amp;CM$1&amp;""'!$C$4:$C$66""),INDIRECT(""'""&amp;CM$1&amp;""'!$D$4:$D$66"")=CM$2),$F$3:$BP$3,$F35:$BP35))),"""")"),"")</f>
        <v/>
      </c>
      <c r="CO35" s="252"/>
      <c r="CP35" s="251">
        <f>IFERROR(__xludf.DUMMYFUNCTION("AVERAGE(ARRAYFORMULA(XLOOKUP(FILTER(INDIRECT(""'""&amp;CP$1&amp;""'!$C$4:$C$66""),INDIRECT(""'""&amp;CP$1&amp;""'!$D$4:$D$66"")=CP$2),$F$3:$BP$3,$F35:$BP35)))"),0.12857142857142856)</f>
        <v>0.1285714286</v>
      </c>
      <c r="CQ35" s="207" t="str">
        <f>IFERROR(__xludf.DUMMYFUNCTION("IF(OR(CP35&gt;$BR35+$BS35*$BS$2,CP35&lt;$BR35-$BS35*$BS$2),AVEDEV(ARRAYFORMULA(XLOOKUP(FILTER(INDIRECT(""'""&amp;CP$1&amp;""'!$C$4:$C$66""),INDIRECT(""'""&amp;CP$1&amp;""'!$D$4:$D$66"")=CP$2),$F$3:$BP$3,$F35:$BP35))),"""")"),"")</f>
        <v/>
      </c>
      <c r="CR35" s="251">
        <f>IFERROR(__xludf.DUMMYFUNCTION("AVERAGE(ARRAYFORMULA(XLOOKUP(FILTER(INDIRECT(""'""&amp;CR$1&amp;""'!$C$4:$C$66""),INDIRECT(""'""&amp;CR$1&amp;""'!$D$4:$D$66"")=CR$2),$F$3:$BP$3,$F35:$BP35)))"),0.3111111111111111)</f>
        <v>0.3111111111</v>
      </c>
      <c r="CS35" s="207" t="str">
        <f>IFERROR(__xludf.DUMMYFUNCTION("IF(OR(CR35&gt;$BR35+$BS35*$BS$2,CR35&lt;$BR35-$BS35*$BS$2),AVEDEV(ARRAYFORMULA(XLOOKUP(FILTER(INDIRECT(""'""&amp;CR$1&amp;""'!$C$4:$C$66""),INDIRECT(""'""&amp;CR$1&amp;""'!$D$4:$D$66"")=CR$2),$F$3:$BP$3,$F35:$BP35))),"""")"),"")</f>
        <v/>
      </c>
      <c r="CT35" s="251">
        <f>IFERROR(__xludf.DUMMYFUNCTION("AVERAGE(ARRAYFORMULA(XLOOKUP(FILTER(INDIRECT(""'""&amp;CT$1&amp;""'!$C$4:$C$66""),INDIRECT(""'""&amp;CT$1&amp;""'!$D$4:$D$66"")=CT$2),$F$3:$BP$3,$F35:$BP35)))"),0.4)</f>
        <v>0.4</v>
      </c>
      <c r="CU35" s="207" t="str">
        <f>IFERROR(__xludf.DUMMYFUNCTION("IF(OR(CT35&gt;$BR35+$BS35*$BS$2,CT35&lt;$BR35-$BS35*$BS$2),AVEDEV(ARRAYFORMULA(XLOOKUP(FILTER(INDIRECT(""'""&amp;CT$1&amp;""'!$C$4:$C$66""),INDIRECT(""'""&amp;CT$1&amp;""'!$D$4:$D$66"")=CT$2),$F$3:$BP$3,$F35:$BP35))),"""")"),"")</f>
        <v/>
      </c>
      <c r="CV35" s="251">
        <f>IFERROR(__xludf.DUMMYFUNCTION("AVERAGE(ARRAYFORMULA(XLOOKUP(FILTER(INDIRECT(""'""&amp;CV$1&amp;""'!$C$4:$C$66""),INDIRECT(""'""&amp;CV$1&amp;""'!$D$4:$D$66"")=CV$2),$F$3:$BP$3,$F35:$BP35)))"),-0.8)</f>
        <v>-0.8</v>
      </c>
      <c r="CW35" s="207">
        <f>IFERROR(__xludf.DUMMYFUNCTION("IF(OR(CV35&gt;$BR35+$BS35*$BS$2,CV35&lt;$BR35-$BS35*$BS$2),AVEDEV(ARRAYFORMULA(XLOOKUP(FILTER(INDIRECT(""'""&amp;CV$1&amp;""'!$C$4:$C$66""),INDIRECT(""'""&amp;CV$1&amp;""'!$D$4:$D$66"")=CV$2),$F$3:$BP$3,$F35:$BP35))),"""")"),0.0)</f>
        <v>0</v>
      </c>
      <c r="CX35" s="251">
        <f>IFERROR(__xludf.DUMMYFUNCTION("AVERAGE(ARRAYFORMULA(XLOOKUP(FILTER(INDIRECT(""'""&amp;CX$1&amp;""'!$C$4:$C$66""),INDIRECT(""'""&amp;CX$1&amp;""'!$D$4:$D$66"")=CX$2),$F$3:$BP$3,$F35:$BP35)))"),0.05714285714285712)</f>
        <v>0.05714285714</v>
      </c>
      <c r="CY35" s="207" t="str">
        <f>IFERROR(__xludf.DUMMYFUNCTION("IF(OR(CX35&gt;$BR35+$BS35*$BS$2,CX35&lt;$BR35-$BS35*$BS$2),AVEDEV(ARRAYFORMULA(XLOOKUP(FILTER(INDIRECT(""'""&amp;CX$1&amp;""'!$C$4:$C$66""),INDIRECT(""'""&amp;CX$1&amp;""'!$D$4:$D$66"")=CX$2),$F$3:$BP$3,$F35:$BP35))),"""")"),"")</f>
        <v/>
      </c>
      <c r="CZ35" s="252"/>
      <c r="DA35" s="251">
        <f>IFERROR(__xludf.DUMMYFUNCTION("AVERAGE(ARRAYFORMULA(XLOOKUP(FILTER(INDIRECT(""'""&amp;DA$1&amp;""'!$C$4:$C$66""),INDIRECT(""'""&amp;DA$1&amp;""'!$D$4:$D$66"")=DA$2),$F$3:$BP$3,$F35:$BP35)))"),0.06666666666666665)</f>
        <v>0.06666666667</v>
      </c>
      <c r="DB35" s="207" t="str">
        <f>IFERROR(__xludf.DUMMYFUNCTION("IF(OR(DA35&gt;$BR35+$BS35*$BS$2,DA35&lt;$BR35-$BS35*$BS$2),AVEDEV(ARRAYFORMULA(XLOOKUP(FILTER(INDIRECT(""'""&amp;DA$1&amp;""'!$C$4:$C$66""),INDIRECT(""'""&amp;DA$1&amp;""'!$D$4:$D$66"")=DA$2),$F$3:$BP$3,$F35:$BP35))),"""")"),"")</f>
        <v/>
      </c>
      <c r="DC35" s="251">
        <f>IFERROR(__xludf.DUMMYFUNCTION("AVERAGE(ARRAYFORMULA(XLOOKUP(FILTER(INDIRECT(""'""&amp;DC$1&amp;""'!$C$4:$C$66""),INDIRECT(""'""&amp;DC$1&amp;""'!$D$4:$D$66"")=DC$2),$F$3:$BP$3,$F35:$BP35)))"),0.33333333333333337)</f>
        <v>0.3333333333</v>
      </c>
      <c r="DD35" s="207" t="str">
        <f>IFERROR(__xludf.DUMMYFUNCTION("IF(OR(DC35&gt;$BR35+$BS35*$BS$2,DC35&lt;$BR35-$BS35*$BS$2),AVEDEV(ARRAYFORMULA(XLOOKUP(FILTER(INDIRECT(""'""&amp;DC$1&amp;""'!$C$4:$C$66""),INDIRECT(""'""&amp;DC$1&amp;""'!$D$4:$D$66"")=DC$2),$F$3:$BP$3,$F35:$BP35))),"""")"),"")</f>
        <v/>
      </c>
      <c r="DE35" s="251">
        <f>IFERROR(__xludf.DUMMYFUNCTION("AVERAGE(ARRAYFORMULA(XLOOKUP(FILTER(INDIRECT(""'""&amp;DE$1&amp;""'!$C$4:$C$66""),INDIRECT(""'""&amp;DE$1&amp;""'!$D$4:$D$66"")=DE$2),$F$3:$BP$3,$F35:$BP35)))"),0.35)</f>
        <v>0.35</v>
      </c>
      <c r="DF35" s="207" t="str">
        <f>IFERROR(__xludf.DUMMYFUNCTION("IF(OR(DE35&gt;$BR35+$BS35*$BS$2,DE35&lt;$BR35-$BS35*$BS$2),AVEDEV(ARRAYFORMULA(XLOOKUP(FILTER(INDIRECT(""'""&amp;DE$1&amp;""'!$C$4:$C$66""),INDIRECT(""'""&amp;DE$1&amp;""'!$D$4:$D$66"")=DE$2),$F$3:$BP$3,$F35:$BP35))),"""")"),"")</f>
        <v/>
      </c>
      <c r="DG35" s="251">
        <f>IFERROR(__xludf.DUMMYFUNCTION("AVERAGE(ARRAYFORMULA(XLOOKUP(FILTER(INDIRECT(""'""&amp;DG$1&amp;""'!$C$4:$C$66""),INDIRECT(""'""&amp;DG$1&amp;""'!$D$4:$D$66"")=DG$2),$F$3:$BP$3,$F35:$BP35)))"),-0.11111111111111116)</f>
        <v>-0.1111111111</v>
      </c>
      <c r="DH35" s="207" t="str">
        <f>IFERROR(__xludf.DUMMYFUNCTION("IF(OR(DG35&gt;$BR35+$BS35*$BS$2,DG35&lt;$BR35-$BS35*$BS$2),AVEDEV(ARRAYFORMULA(XLOOKUP(FILTER(INDIRECT(""'""&amp;DG$1&amp;""'!$C$4:$C$66""),INDIRECT(""'""&amp;DG$1&amp;""'!$D$4:$D$66"")=DG$2),$F$3:$BP$3,$F35:$BP35))),"""")"),"")</f>
        <v/>
      </c>
      <c r="DI35" s="252"/>
    </row>
    <row r="36">
      <c r="A36" s="2"/>
      <c r="B36" s="204" t="s">
        <v>442</v>
      </c>
      <c r="C36" s="204" t="s">
        <v>476</v>
      </c>
      <c r="D36" s="205" t="b">
        <f>VLOOKUP(C36,'Feature Set List'!A33:C246,2,0)</f>
        <v>1</v>
      </c>
      <c r="E36" s="205" t="b">
        <f>VLOOKUP(C36,'Feature Set List'!A33:C246,3,0)</f>
        <v>0</v>
      </c>
      <c r="F36" s="205">
        <v>0.62222222</v>
      </c>
      <c r="G36" s="205">
        <v>-0.7555556</v>
      </c>
      <c r="H36" s="205">
        <v>-1.2888889</v>
      </c>
      <c r="I36" s="205">
        <v>-0.8</v>
      </c>
      <c r="J36" s="205">
        <v>-0.0888889</v>
      </c>
      <c r="K36" s="205">
        <v>1.2</v>
      </c>
      <c r="L36" s="205">
        <v>-0.0888889</v>
      </c>
      <c r="M36" s="205">
        <v>0.0</v>
      </c>
      <c r="N36" s="205">
        <v>0.08888889</v>
      </c>
      <c r="O36" s="205">
        <v>0.75555556</v>
      </c>
      <c r="P36" s="205">
        <v>0.31111111</v>
      </c>
      <c r="Q36" s="205">
        <v>-1.0666667</v>
      </c>
      <c r="R36" s="205">
        <v>0.53333333</v>
      </c>
      <c r="S36" s="205">
        <v>0.31111111</v>
      </c>
      <c r="T36" s="205">
        <v>0.62222222</v>
      </c>
      <c r="U36" s="205">
        <v>-0.4888889</v>
      </c>
      <c r="V36" s="205">
        <v>-0.2222222</v>
      </c>
      <c r="W36" s="205">
        <v>0.0</v>
      </c>
      <c r="X36" s="205">
        <v>0.66666667</v>
      </c>
      <c r="Y36" s="205">
        <v>-0.1333333</v>
      </c>
      <c r="Z36" s="205">
        <v>0.93333333</v>
      </c>
      <c r="AA36" s="205">
        <v>0.93333333</v>
      </c>
      <c r="AB36" s="205">
        <v>0.22222222</v>
      </c>
      <c r="AC36" s="205">
        <v>0.53333333</v>
      </c>
      <c r="AD36" s="205">
        <v>0.31111111</v>
      </c>
      <c r="AE36" s="205">
        <v>0.8</v>
      </c>
      <c r="AF36" s="205">
        <v>-0.4444444</v>
      </c>
      <c r="AG36" s="205">
        <v>0.93333333</v>
      </c>
      <c r="AH36" s="205">
        <v>1.11111111</v>
      </c>
      <c r="AI36" s="205">
        <v>0.17777778</v>
      </c>
      <c r="AJ36" s="205">
        <v>-0.0888889</v>
      </c>
      <c r="AK36" s="205">
        <v>-0.9777778</v>
      </c>
      <c r="AL36" s="205">
        <v>-0.8444444</v>
      </c>
      <c r="AM36" s="205">
        <v>1.15555556</v>
      </c>
      <c r="AN36" s="205">
        <v>-0.9333333</v>
      </c>
      <c r="AO36" s="205">
        <v>-0.4</v>
      </c>
      <c r="AP36" s="205">
        <v>-0.1333333</v>
      </c>
      <c r="AQ36" s="205">
        <v>-0.5333333</v>
      </c>
      <c r="AR36" s="205">
        <v>-0.7111111</v>
      </c>
      <c r="AS36" s="205">
        <v>0.71111111</v>
      </c>
      <c r="AT36" s="205">
        <v>-0.4444444</v>
      </c>
      <c r="AU36" s="205">
        <v>0.31111111</v>
      </c>
      <c r="AV36" s="205">
        <v>-0.3111111</v>
      </c>
      <c r="AW36" s="205">
        <v>0.0</v>
      </c>
      <c r="AX36" s="205">
        <v>1.15555556</v>
      </c>
      <c r="AY36" s="205">
        <v>0.0</v>
      </c>
      <c r="AZ36" s="205">
        <v>-0.2666667</v>
      </c>
      <c r="BA36" s="205">
        <v>0.08888889</v>
      </c>
      <c r="BB36" s="205">
        <v>-0.3555556</v>
      </c>
      <c r="BC36" s="205">
        <v>0.8</v>
      </c>
      <c r="BD36" s="205">
        <v>0.75555556</v>
      </c>
      <c r="BE36" s="205">
        <v>0.71111111</v>
      </c>
      <c r="BF36" s="205">
        <v>-0.6666667</v>
      </c>
      <c r="BG36" s="205">
        <v>0.53333333</v>
      </c>
      <c r="BH36" s="205">
        <v>-0.8444444</v>
      </c>
      <c r="BI36" s="205">
        <v>-0.2222222</v>
      </c>
      <c r="BJ36" s="205">
        <v>-0.4</v>
      </c>
      <c r="BK36" s="205">
        <v>0.08888889</v>
      </c>
      <c r="BL36" s="205">
        <v>-0.4</v>
      </c>
      <c r="BM36" s="205">
        <v>-0.1333333</v>
      </c>
      <c r="BN36" s="205">
        <v>-0.4444444</v>
      </c>
      <c r="BO36" s="205">
        <v>0.08888889</v>
      </c>
      <c r="BP36" s="205">
        <v>0.57777778</v>
      </c>
      <c r="BQ36" s="206"/>
      <c r="BR36" s="250">
        <f t="shared" si="1"/>
        <v>0.0564373927</v>
      </c>
      <c r="BS36" s="250">
        <f t="shared" si="2"/>
        <v>0.5190896082</v>
      </c>
      <c r="BT36" s="206"/>
      <c r="BU36" s="207">
        <f>IFERROR(__xludf.DUMMYFUNCTION("AVERAGE(ARRAYFORMULA(XLOOKUP(FILTER(INDIRECT(""'""&amp;BU$1&amp;""'!$C$4:$C$66""),INDIRECT(""'""&amp;BU$1&amp;""'!$D$4:$D$66"")=BU$2),$F$3:$BP$3,$F36:$BP36)))"),0.25396826)</f>
        <v>0.25396826</v>
      </c>
      <c r="BV36" s="207" t="str">
        <f>IFERROR(__xludf.DUMMYFUNCTION("IF(OR(BU36&gt;$BR36+$BS36*$BS$2,BU36&lt;$BR36-$BS36*$BS$2),AVEDEV(ARRAYFORMULA(XLOOKUP(FILTER(INDIRECT(""'""&amp;BU$1&amp;""'!$C$4:$C$66""),INDIRECT(""'""&amp;BU$1&amp;""'!$D$4:$D$66"")=BU$2),$F$3:$BP$3,$F36:$BP36))),"""")"),"")</f>
        <v/>
      </c>
      <c r="BW36" s="207">
        <f>IFERROR(__xludf.DUMMYFUNCTION("AVERAGE(ARRAYFORMULA(XLOOKUP(FILTER(INDIRECT(""'""&amp;BW$1&amp;""'!$C$4:$C$66""),INDIRECT(""'""&amp;BW$1&amp;""'!$D$4:$D$66"")=BW$2),$F$3:$BP$3,$F36:$BP36)))"),-0.01587301285714286)</f>
        <v>-0.01587301286</v>
      </c>
      <c r="BX36" s="207" t="str">
        <f>IFERROR(__xludf.DUMMYFUNCTION("IF(OR(BW36&gt;$BR36+$BS36*$BS$2,BW36&lt;$BR36-$BS36*$BS$2),AVEDEV(ARRAYFORMULA(XLOOKUP(FILTER(INDIRECT(""'""&amp;BW$1&amp;""'!$C$4:$C$66""),INDIRECT(""'""&amp;BW$1&amp;""'!$D$4:$D$66"")=BW$2),$F$3:$BP$3,$F36:$BP36))),"""")"),"")</f>
        <v/>
      </c>
      <c r="BY36" s="207">
        <f>IFERROR(__xludf.DUMMYFUNCTION("AVERAGE(ARRAYFORMULA(XLOOKUP(FILTER(INDIRECT(""'""&amp;BY$1&amp;""'!$C$4:$C$66""),INDIRECT(""'""&amp;BY$1&amp;""'!$D$4:$D$66"")=BY$2),$F$3:$BP$3,$F36:$BP36)))"),0.30707070545454546)</f>
        <v>0.3070707055</v>
      </c>
      <c r="BZ36" s="207" t="str">
        <f>IFERROR(__xludf.DUMMYFUNCTION("IF(OR(BY36&gt;$BR36+$BS36*$BS$2,BY36&lt;$BR36-$BS36*$BS$2),AVEDEV(ARRAYFORMULA(XLOOKUP(FILTER(INDIRECT(""'""&amp;BY$1&amp;""'!$C$4:$C$66""),INDIRECT(""'""&amp;BY$1&amp;""'!$D$4:$D$66"")=BY$2),$F$3:$BP$3,$F36:$BP36))),"""")"),"")</f>
        <v/>
      </c>
      <c r="CA36" s="209"/>
      <c r="CB36" s="207">
        <f>IFERROR(__xludf.DUMMYFUNCTION("AVERAGE(ARRAYFORMULA(XLOOKUP(FILTER(INDIRECT(""'""&amp;CB$1&amp;""'!$C$4:$C$66""),INDIRECT(""'""&amp;CB$1&amp;""'!$D$4:$D$66"")=CB$2),$F$3:$BP$3,$F36:$BP36)))"),0.002777778125000005)</f>
        <v>0.002777778125</v>
      </c>
      <c r="CC36" s="207" t="str">
        <f>IFERROR(__xludf.DUMMYFUNCTION("IF(OR(CB36&gt;$BR36+$BS36*$BS$2,CB36&lt;$BR36-$BS36*$BS$2),AVEDEV(ARRAYFORMULA(XLOOKUP(FILTER(INDIRECT(""'""&amp;CB$1&amp;""'!$C$4:$C$66""),INDIRECT(""'""&amp;CB$1&amp;""'!$D$4:$D$66"")=CB$2),$F$3:$BP$3,$F36:$BP36))),"""")"),"")</f>
        <v/>
      </c>
      <c r="CD36" s="207">
        <f>IFERROR(__xludf.DUMMYFUNCTION("AVERAGE(ARRAYFORMULA(XLOOKUP(FILTER(INDIRECT(""'""&amp;CD$1&amp;""'!$C$4:$C$66""),INDIRECT(""'""&amp;CD$1&amp;""'!$D$4:$D$66"")=CD$2),$F$3:$BP$3,$F36:$BP36)))"),0.21362007451612897)</f>
        <v>0.2136200745</v>
      </c>
      <c r="CE36" s="207" t="str">
        <f>IFERROR(__xludf.DUMMYFUNCTION("IF(OR(CD36&gt;$BR36+$BS36*$BS$2,CD36&lt;$BR36-$BS36*$BS$2),AVEDEV(ARRAYFORMULA(XLOOKUP(FILTER(INDIRECT(""'""&amp;CD$1&amp;""'!$C$4:$C$66""),INDIRECT(""'""&amp;CD$1&amp;""'!$D$4:$D$66"")=CD$2),$F$3:$BP$3,$F36:$BP36))),"""")"),"")</f>
        <v/>
      </c>
      <c r="CF36" s="207">
        <f>IFERROR(__xludf.DUMMYFUNCTION("AVERAGE(ARRAYFORMULA(XLOOKUP(FILTER(INDIRECT(""'""&amp;CF$1&amp;""'!$C$4:$C$66""),INDIRECT(""'""&amp;CF$1&amp;""'!$D$4:$D$66"")=CF$2),$F$3:$BP$3,$F36:$BP36)))"),-0.11555556599999997)</f>
        <v>-0.115555566</v>
      </c>
      <c r="CG36" s="207" t="str">
        <f>IFERROR(__xludf.DUMMYFUNCTION("IF(OR(CF36&gt;$BR36+$BS36*$BS$2,CF36&lt;$BR36-$BS36*$BS$2),AVEDEV(ARRAYFORMULA(XLOOKUP(FILTER(INDIRECT(""'""&amp;CF$1&amp;""'!$C$4:$C$66""),INDIRECT(""'""&amp;CF$1&amp;""'!$D$4:$D$66"")=CF$2),$F$3:$BP$3,$F36:$BP36))),"""")"),"")</f>
        <v/>
      </c>
      <c r="CH36" s="206"/>
      <c r="CI36" s="251">
        <f>IFERROR(__xludf.DUMMYFUNCTION("AVERAGE(ARRAYFORMULA(XLOOKUP(FILTER(INDIRECT(""'""&amp;CI$1&amp;""'!$C$4:$C$66""),INDIRECT(""'""&amp;CI$1&amp;""'!$D$4:$D$66"")=CI$2),$F$3:$BP$3,$F36:$BP36)))"),0.3970370393333333)</f>
        <v>0.3970370393</v>
      </c>
      <c r="CJ36" s="207" t="str">
        <f>IFERROR(__xludf.DUMMYFUNCTION("IF(OR(CI36&gt;$BR36+$BS36*$BS$2,CI36&lt;$BR36-$BS36*$BS$2),AVEDEV(ARRAYFORMULA(XLOOKUP(FILTER(INDIRECT(""'""&amp;CI$1&amp;""'!$C$4:$C$66""),INDIRECT(""'""&amp;CI$1&amp;""'!$D$4:$D$66"")=CI$2),$F$3:$BP$3,$F36:$BP36))),"""")"),"")</f>
        <v/>
      </c>
      <c r="CK36" s="251">
        <f>IFERROR(__xludf.DUMMYFUNCTION("AVERAGE(ARRAYFORMULA(XLOOKUP(FILTER(INDIRECT(""'""&amp;CK$1&amp;""'!$C$4:$C$66""),INDIRECT(""'""&amp;CK$1&amp;""'!$D$4:$D$66"")=CK$2),$F$3:$BP$3,$F36:$BP36)))"),-0.025071220769230768)</f>
        <v>-0.02507122077</v>
      </c>
      <c r="CL36" s="207" t="str">
        <f>IFERROR(__xludf.DUMMYFUNCTION("IF(OR(CK36&gt;$BR36+$BS36*$BS$2,CK36&lt;$BR36-$BS36*$BS$2),AVEDEV(ARRAYFORMULA(XLOOKUP(FILTER(INDIRECT(""'""&amp;CK$1&amp;""'!$C$4:$C$66""),INDIRECT(""'""&amp;CK$1&amp;""'!$D$4:$D$66"")=CK$2),$F$3:$BP$3,$F36:$BP36))),"""")"),"")</f>
        <v/>
      </c>
      <c r="CM36" s="251">
        <f>IFERROR(__xludf.DUMMYFUNCTION("AVERAGE(ARRAYFORMULA(XLOOKUP(FILTER(INDIRECT(""'""&amp;CM$1&amp;""'!$C$4:$C$66""),INDIRECT(""'""&amp;CM$1&amp;""'!$D$4:$D$66"")=CM$2),$F$3:$BP$3,$F36:$BP36)))"),-0.11555556599999997)</f>
        <v>-0.115555566</v>
      </c>
      <c r="CN36" s="207" t="str">
        <f>IFERROR(__xludf.DUMMYFUNCTION("IF(OR(CM36&gt;$BR36+$BS36*$BS$2,CM36&lt;$BR36-$BS36*$BS$2),AVEDEV(ARRAYFORMULA(XLOOKUP(FILTER(INDIRECT(""'""&amp;CM$1&amp;""'!$C$4:$C$66""),INDIRECT(""'""&amp;CM$1&amp;""'!$D$4:$D$66"")=CM$2),$F$3:$BP$3,$F36:$BP36))),"""")"),"")</f>
        <v/>
      </c>
      <c r="CO36" s="252"/>
      <c r="CP36" s="251">
        <f>IFERROR(__xludf.DUMMYFUNCTION("AVERAGE(ARRAYFORMULA(XLOOKUP(FILTER(INDIRECT(""'""&amp;CP$1&amp;""'!$C$4:$C$66""),INDIRECT(""'""&amp;CP$1&amp;""'!$D$4:$D$66"")=CP$2),$F$3:$BP$3,$F36:$BP36)))"),-0.19047619071428573)</f>
        <v>-0.1904761907</v>
      </c>
      <c r="CQ36" s="207" t="str">
        <f>IFERROR(__xludf.DUMMYFUNCTION("IF(OR(CP36&gt;$BR36+$BS36*$BS$2,CP36&lt;$BR36-$BS36*$BS$2),AVEDEV(ARRAYFORMULA(XLOOKUP(FILTER(INDIRECT(""'""&amp;CP$1&amp;""'!$C$4:$C$66""),INDIRECT(""'""&amp;CP$1&amp;""'!$D$4:$D$66"")=CP$2),$F$3:$BP$3,$F36:$BP36))),"""")"),"")</f>
        <v/>
      </c>
      <c r="CR36" s="251">
        <f>IFERROR(__xludf.DUMMYFUNCTION("AVERAGE(ARRAYFORMULA(XLOOKUP(FILTER(INDIRECT(""'""&amp;CR$1&amp;""'!$C$4:$C$66""),INDIRECT(""'""&amp;CR$1&amp;""'!$D$4:$D$66"")=CR$2),$F$3:$BP$3,$F36:$BP36)))"),0.4197530844444445)</f>
        <v>0.4197530844</v>
      </c>
      <c r="CS36" s="207" t="str">
        <f>IFERROR(__xludf.DUMMYFUNCTION("IF(OR(CR36&gt;$BR36+$BS36*$BS$2,CR36&lt;$BR36-$BS36*$BS$2),AVEDEV(ARRAYFORMULA(XLOOKUP(FILTER(INDIRECT(""'""&amp;CR$1&amp;""'!$C$4:$C$66""),INDIRECT(""'""&amp;CR$1&amp;""'!$D$4:$D$66"")=CR$2),$F$3:$BP$3,$F36:$BP36))),"""")"),"")</f>
        <v/>
      </c>
      <c r="CT36" s="251">
        <f>IFERROR(__xludf.DUMMYFUNCTION("AVERAGE(ARRAYFORMULA(XLOOKUP(FILTER(INDIRECT(""'""&amp;CT$1&amp;""'!$C$4:$C$66""),INDIRECT(""'""&amp;CT$1&amp;""'!$D$4:$D$66"")=CT$2),$F$3:$BP$3,$F36:$BP36)))"),0.2383838418181818)</f>
        <v>0.2383838418</v>
      </c>
      <c r="CU36" s="207" t="str">
        <f>IFERROR(__xludf.DUMMYFUNCTION("IF(OR(CT36&gt;$BR36+$BS36*$BS$2,CT36&lt;$BR36-$BS36*$BS$2),AVEDEV(ARRAYFORMULA(XLOOKUP(FILTER(INDIRECT(""'""&amp;CT$1&amp;""'!$C$4:$C$66""),INDIRECT(""'""&amp;CT$1&amp;""'!$D$4:$D$66"")=CT$2),$F$3:$BP$3,$F36:$BP36))),"""")"),"")</f>
        <v/>
      </c>
      <c r="CV36" s="251">
        <f>IFERROR(__xludf.DUMMYFUNCTION("AVERAGE(ARRAYFORMULA(XLOOKUP(FILTER(INDIRECT(""'""&amp;CV$1&amp;""'!$C$4:$C$66""),INDIRECT(""'""&amp;CV$1&amp;""'!$D$4:$D$66"")=CV$2),$F$3:$BP$3,$F36:$BP36)))"),0.53333333)</f>
        <v>0.53333333</v>
      </c>
      <c r="CW36" s="207" t="str">
        <f>IFERROR(__xludf.DUMMYFUNCTION("IF(OR(CV36&gt;$BR36+$BS36*$BS$2,CV36&lt;$BR36-$BS36*$BS$2),AVEDEV(ARRAYFORMULA(XLOOKUP(FILTER(INDIRECT(""'""&amp;CV$1&amp;""'!$C$4:$C$66""),INDIRECT(""'""&amp;CV$1&amp;""'!$D$4:$D$66"")=CV$2),$F$3:$BP$3,$F36:$BP36))),"""")"),"")</f>
        <v/>
      </c>
      <c r="CX36" s="251">
        <f>IFERROR(__xludf.DUMMYFUNCTION("AVERAGE(ARRAYFORMULA(XLOOKUP(FILTER(INDIRECT(""'""&amp;CX$1&amp;""'!$C$4:$C$66""),INDIRECT(""'""&amp;CX$1&amp;""'!$D$4:$D$66"")=CX$2),$F$3:$BP$3,$F36:$BP36)))"),-0.06349205642857143)</f>
        <v>-0.06349205643</v>
      </c>
      <c r="CY36" s="207" t="str">
        <f>IFERROR(__xludf.DUMMYFUNCTION("IF(OR(CX36&gt;$BR36+$BS36*$BS$2,CX36&lt;$BR36-$BS36*$BS$2),AVEDEV(ARRAYFORMULA(XLOOKUP(FILTER(INDIRECT(""'""&amp;CX$1&amp;""'!$C$4:$C$66""),INDIRECT(""'""&amp;CX$1&amp;""'!$D$4:$D$66"")=CX$2),$F$3:$BP$3,$F36:$BP36))),"""")"),"")</f>
        <v/>
      </c>
      <c r="CZ36" s="252"/>
      <c r="DA36" s="251">
        <f>IFERROR(__xludf.DUMMYFUNCTION("AVERAGE(ARRAYFORMULA(XLOOKUP(FILTER(INDIRECT(""'""&amp;DA$1&amp;""'!$C$4:$C$66""),INDIRECT(""'""&amp;DA$1&amp;""'!$D$4:$D$66"")=DA$2),$F$3:$BP$3,$F36:$BP36)))"),0.037037037)</f>
        <v>0.037037037</v>
      </c>
      <c r="DB36" s="207" t="str">
        <f>IFERROR(__xludf.DUMMYFUNCTION("IF(OR(DA36&gt;$BR36+$BS36*$BS$2,DA36&lt;$BR36-$BS36*$BS$2),AVEDEV(ARRAYFORMULA(XLOOKUP(FILTER(INDIRECT(""'""&amp;DA$1&amp;""'!$C$4:$C$66""),INDIRECT(""'""&amp;DA$1&amp;""'!$D$4:$D$66"")=DA$2),$F$3:$BP$3,$F36:$BP36))),"""")"),"")</f>
        <v/>
      </c>
      <c r="DC36" s="251">
        <f>IFERROR(__xludf.DUMMYFUNCTION("AVERAGE(ARRAYFORMULA(XLOOKUP(FILTER(INDIRECT(""'""&amp;DC$1&amp;""'!$C$4:$C$66""),INDIRECT(""'""&amp;DC$1&amp;""'!$D$4:$D$66"")=DC$2),$F$3:$BP$3,$F36:$BP36)))"),0.24691357777777778)</f>
        <v>0.2469135778</v>
      </c>
      <c r="DD36" s="207" t="str">
        <f>IFERROR(__xludf.DUMMYFUNCTION("IF(OR(DC36&gt;$BR36+$BS36*$BS$2,DC36&lt;$BR36-$BS36*$BS$2),AVEDEV(ARRAYFORMULA(XLOOKUP(FILTER(INDIRECT(""'""&amp;DC$1&amp;""'!$C$4:$C$66""),INDIRECT(""'""&amp;DC$1&amp;""'!$D$4:$D$66"")=DC$2),$F$3:$BP$3,$F36:$BP36))),"""")"),"")</f>
        <v/>
      </c>
      <c r="DE36" s="251">
        <f>IFERROR(__xludf.DUMMYFUNCTION("AVERAGE(ARRAYFORMULA(XLOOKUP(FILTER(INDIRECT(""'""&amp;DE$1&amp;""'!$C$4:$C$66""),INDIRECT(""'""&amp;DE$1&amp;""'!$D$4:$D$66"")=DE$2),$F$3:$BP$3,$F36:$BP36)))"),0.30555555125)</f>
        <v>0.3055555513</v>
      </c>
      <c r="DF36" s="207" t="str">
        <f>IFERROR(__xludf.DUMMYFUNCTION("IF(OR(DE36&gt;$BR36+$BS36*$BS$2,DE36&lt;$BR36-$BS36*$BS$2),AVEDEV(ARRAYFORMULA(XLOOKUP(FILTER(INDIRECT(""'""&amp;DE$1&amp;""'!$C$4:$C$66""),INDIRECT(""'""&amp;DE$1&amp;""'!$D$4:$D$66"")=DE$2),$F$3:$BP$3,$F36:$BP36))),"""")"),"")</f>
        <v/>
      </c>
      <c r="DG36" s="251">
        <f>IFERROR(__xludf.DUMMYFUNCTION("AVERAGE(ARRAYFORMULA(XLOOKUP(FILTER(INDIRECT(""'""&amp;DG$1&amp;""'!$C$4:$C$66""),INDIRECT(""'""&amp;DG$1&amp;""'!$D$4:$D$66"")=DG$2),$F$3:$BP$3,$F36:$BP36)))"),0.009876558888888923)</f>
        <v>0.009876558889</v>
      </c>
      <c r="DH36" s="207" t="str">
        <f>IFERROR(__xludf.DUMMYFUNCTION("IF(OR(DG36&gt;$BR36+$BS36*$BS$2,DG36&lt;$BR36-$BS36*$BS$2),AVEDEV(ARRAYFORMULA(XLOOKUP(FILTER(INDIRECT(""'""&amp;DG$1&amp;""'!$C$4:$C$66""),INDIRECT(""'""&amp;DG$1&amp;""'!$D$4:$D$66"")=DG$2),$F$3:$BP$3,$F36:$BP36))),"""")"),"")</f>
        <v/>
      </c>
      <c r="DI36" s="252"/>
    </row>
    <row r="37">
      <c r="A37" s="2"/>
      <c r="B37" s="204" t="s">
        <v>442</v>
      </c>
      <c r="C37" s="204" t="s">
        <v>477</v>
      </c>
      <c r="D37" s="205" t="b">
        <f>VLOOKUP(C37,'Feature Set List'!A34:C246,2,0)</f>
        <v>1</v>
      </c>
      <c r="E37" s="205" t="b">
        <f>VLOOKUP(C37,'Feature Set List'!A34:C246,3,0)</f>
        <v>0</v>
      </c>
      <c r="F37" s="205">
        <v>-0.2222222</v>
      </c>
      <c r="G37" s="205">
        <v>0.88888889</v>
      </c>
      <c r="H37" s="205">
        <v>0.88888889</v>
      </c>
      <c r="I37" s="205">
        <v>0.66666667</v>
      </c>
      <c r="J37" s="205">
        <v>-1.1111111</v>
      </c>
      <c r="K37" s="205">
        <v>0.0</v>
      </c>
      <c r="L37" s="205">
        <v>-1.1111111</v>
      </c>
      <c r="M37" s="205">
        <v>-0.6666667</v>
      </c>
      <c r="N37" s="205">
        <v>-0.2222222</v>
      </c>
      <c r="O37" s="205">
        <v>0.44444444</v>
      </c>
      <c r="P37" s="205">
        <v>0.88888889</v>
      </c>
      <c r="Q37" s="205">
        <v>-0.6666667</v>
      </c>
      <c r="R37" s="205">
        <v>-0.6666667</v>
      </c>
      <c r="S37" s="205">
        <v>0.88888889</v>
      </c>
      <c r="T37" s="205">
        <v>-0.2222222</v>
      </c>
      <c r="U37" s="205">
        <v>-0.4444444</v>
      </c>
      <c r="V37" s="205">
        <v>0.88888889</v>
      </c>
      <c r="W37" s="205">
        <v>-0.6666667</v>
      </c>
      <c r="X37" s="205">
        <v>0.0</v>
      </c>
      <c r="Y37" s="205">
        <v>1.33333333</v>
      </c>
      <c r="Z37" s="205">
        <v>1.33333333</v>
      </c>
      <c r="AA37" s="205">
        <v>1.33333333</v>
      </c>
      <c r="AB37" s="205">
        <v>0.44444444</v>
      </c>
      <c r="AC37" s="205">
        <v>-0.6666667</v>
      </c>
      <c r="AD37" s="205">
        <v>0.88888889</v>
      </c>
      <c r="AE37" s="205">
        <v>0.66666667</v>
      </c>
      <c r="AF37" s="205">
        <v>-0.2222222</v>
      </c>
      <c r="AG37" s="205">
        <v>1.33333333</v>
      </c>
      <c r="AH37" s="205">
        <v>-0.4444444</v>
      </c>
      <c r="AI37" s="205">
        <v>0.22222222</v>
      </c>
      <c r="AJ37" s="205">
        <v>-1.1111111</v>
      </c>
      <c r="AK37" s="205">
        <v>-0.2222222</v>
      </c>
      <c r="AL37" s="205">
        <v>0.44444444</v>
      </c>
      <c r="AM37" s="205">
        <v>-0.2222222</v>
      </c>
      <c r="AN37" s="205">
        <v>0.0</v>
      </c>
      <c r="AO37" s="205">
        <v>0.0</v>
      </c>
      <c r="AP37" s="205">
        <v>1.33333333</v>
      </c>
      <c r="AQ37" s="205">
        <v>-0.6666667</v>
      </c>
      <c r="AR37" s="205">
        <v>1.11111111</v>
      </c>
      <c r="AS37" s="205">
        <v>0.22222222</v>
      </c>
      <c r="AT37" s="205">
        <v>-0.2222222</v>
      </c>
      <c r="AU37" s="205">
        <v>0.88888889</v>
      </c>
      <c r="AV37" s="205">
        <v>0.44444444</v>
      </c>
      <c r="AW37" s="205">
        <v>-0.6666667</v>
      </c>
      <c r="AX37" s="205">
        <v>-0.2222222</v>
      </c>
      <c r="AY37" s="205">
        <v>-0.6666667</v>
      </c>
      <c r="AZ37" s="205">
        <v>0.66666667</v>
      </c>
      <c r="BA37" s="205">
        <v>-0.2222222</v>
      </c>
      <c r="BB37" s="205">
        <v>0.22222222</v>
      </c>
      <c r="BC37" s="205">
        <v>0.66666667</v>
      </c>
      <c r="BD37" s="205">
        <v>0.44444444</v>
      </c>
      <c r="BE37" s="205">
        <v>0.22222222</v>
      </c>
      <c r="BF37" s="205">
        <v>1.33333333</v>
      </c>
      <c r="BG37" s="205">
        <v>-0.6666667</v>
      </c>
      <c r="BH37" s="205">
        <v>0.44444444</v>
      </c>
      <c r="BI37" s="205">
        <v>0.88888889</v>
      </c>
      <c r="BJ37" s="205">
        <v>0.0</v>
      </c>
      <c r="BK37" s="205">
        <v>-0.2222222</v>
      </c>
      <c r="BL37" s="205">
        <v>0.0</v>
      </c>
      <c r="BM37" s="205">
        <v>1.33333333</v>
      </c>
      <c r="BN37" s="205">
        <v>-0.2222222</v>
      </c>
      <c r="BO37" s="205">
        <v>-0.2222222</v>
      </c>
      <c r="BP37" s="205">
        <v>-0.4444444</v>
      </c>
      <c r="BQ37" s="206"/>
      <c r="BR37" s="250">
        <f t="shared" si="1"/>
        <v>0.165784834</v>
      </c>
      <c r="BS37" s="250">
        <f t="shared" si="2"/>
        <v>0.5969597689</v>
      </c>
      <c r="BT37" s="206"/>
      <c r="BU37" s="207">
        <f>IFERROR(__xludf.DUMMYFUNCTION("AVERAGE(ARRAYFORMULA(XLOOKUP(FILTER(INDIRECT(""'""&amp;BU$1&amp;""'!$C$4:$C$66""),INDIRECT(""'""&amp;BU$1&amp;""'!$D$4:$D$66"")=BU$2),$F$3:$BP$3,$F37:$BP37)))"),-0.15873015142857144)</f>
        <v>-0.1587301514</v>
      </c>
      <c r="BV37" s="207" t="str">
        <f>IFERROR(__xludf.DUMMYFUNCTION("IF(OR(BU37&gt;$BR37+$BS37*$BS$2,BU37&lt;$BR37-$BS37*$BS$2),AVEDEV(ARRAYFORMULA(XLOOKUP(FILTER(INDIRECT(""'""&amp;BU$1&amp;""'!$C$4:$C$66""),INDIRECT(""'""&amp;BU$1&amp;""'!$D$4:$D$66"")=BU$2),$F$3:$BP$3,$F37:$BP37))),"""")"),"")</f>
        <v/>
      </c>
      <c r="BW37" s="207">
        <f>IFERROR(__xludf.DUMMYFUNCTION("AVERAGE(ARRAYFORMULA(XLOOKUP(FILTER(INDIRECT(""'""&amp;BW$1&amp;""'!$C$4:$C$66""),INDIRECT(""'""&amp;BW$1&amp;""'!$D$4:$D$66"")=BW$2),$F$3:$BP$3,$F37:$BP37)))"),0.20634920666666673)</f>
        <v>0.2063492067</v>
      </c>
      <c r="BX37" s="207" t="str">
        <f>IFERROR(__xludf.DUMMYFUNCTION("IF(OR(BW37&gt;$BR37+$BS37*$BS$2,BW37&lt;$BR37-$BS37*$BS$2),AVEDEV(ARRAYFORMULA(XLOOKUP(FILTER(INDIRECT(""'""&amp;BW$1&amp;""'!$C$4:$C$66""),INDIRECT(""'""&amp;BW$1&amp;""'!$D$4:$D$66"")=BW$2),$F$3:$BP$3,$F37:$BP37))),"""")"),"")</f>
        <v/>
      </c>
      <c r="BY37" s="207">
        <f>IFERROR(__xludf.DUMMYFUNCTION("AVERAGE(ARRAYFORMULA(XLOOKUP(FILTER(INDIRECT(""'""&amp;BY$1&amp;""'!$C$4:$C$66""),INDIRECT(""'""&amp;BY$1&amp;""'!$D$4:$D$66"")=BY$2),$F$3:$BP$3,$F37:$BP37)))"),0.14141414181818182)</f>
        <v>0.1414141418</v>
      </c>
      <c r="BZ37" s="207" t="str">
        <f>IFERROR(__xludf.DUMMYFUNCTION("IF(OR(BY37&gt;$BR37+$BS37*$BS$2,BY37&lt;$BR37-$BS37*$BS$2),AVEDEV(ARRAYFORMULA(XLOOKUP(FILTER(INDIRECT(""'""&amp;BY$1&amp;""'!$C$4:$C$66""),INDIRECT(""'""&amp;BY$1&amp;""'!$D$4:$D$66"")=BY$2),$F$3:$BP$3,$F37:$BP37))),"""")"),"")</f>
        <v/>
      </c>
      <c r="CA37" s="209"/>
      <c r="CB37" s="207">
        <f>IFERROR(__xludf.DUMMYFUNCTION("AVERAGE(ARRAYFORMULA(XLOOKUP(FILTER(INDIRECT(""'""&amp;CB$1&amp;""'!$C$4:$C$66""),INDIRECT(""'""&amp;CB$1&amp;""'!$D$4:$D$66"")=CB$2),$F$3:$BP$3,$F37:$BP37)))"),0.01388889750000002)</f>
        <v>0.0138888975</v>
      </c>
      <c r="CC37" s="207" t="str">
        <f>IFERROR(__xludf.DUMMYFUNCTION("IF(OR(CB37&gt;$BR37+$BS37*$BS$2,CB37&lt;$BR37-$BS37*$BS$2),AVEDEV(ARRAYFORMULA(XLOOKUP(FILTER(INDIRECT(""'""&amp;CB$1&amp;""'!$C$4:$C$66""),INDIRECT(""'""&amp;CB$1&amp;""'!$D$4:$D$66"")=CB$2),$F$3:$BP$3,$F37:$BP37))),"""")"),"")</f>
        <v/>
      </c>
      <c r="CD37" s="207">
        <f>IFERROR(__xludf.DUMMYFUNCTION("AVERAGE(ARRAYFORMULA(XLOOKUP(FILTER(INDIRECT(""'""&amp;CD$1&amp;""'!$C$4:$C$66""),INDIRECT(""'""&amp;CD$1&amp;""'!$D$4:$D$66"")=CD$2),$F$3:$BP$3,$F37:$BP37)))"),0.22939067999999999)</f>
        <v>0.22939068</v>
      </c>
      <c r="CE37" s="207" t="str">
        <f>IFERROR(__xludf.DUMMYFUNCTION("IF(OR(CD37&gt;$BR37+$BS37*$BS$2,CD37&lt;$BR37-$BS37*$BS$2),AVEDEV(ARRAYFORMULA(XLOOKUP(FILTER(INDIRECT(""'""&amp;CD$1&amp;""'!$C$4:$C$66""),INDIRECT(""'""&amp;CD$1&amp;""'!$D$4:$D$66"")=CD$2),$F$3:$BP$3,$F37:$BP37))),"""")"),"")</f>
        <v/>
      </c>
      <c r="CF37" s="207">
        <f>IFERROR(__xludf.DUMMYFUNCTION("AVERAGE(ARRAYFORMULA(XLOOKUP(FILTER(INDIRECT(""'""&amp;CF$1&amp;""'!$C$4:$C$66""),INDIRECT(""'""&amp;CF$1&amp;""'!$D$4:$D$66"")=CF$2),$F$3:$BP$3,$F37:$BP37)))"),0.888888888)</f>
        <v>0.888888888</v>
      </c>
      <c r="CG37" s="207">
        <f>IFERROR(__xludf.DUMMYFUNCTION("IF(OR(CF37&gt;$BR37+$BS37*$BS$2,CF37&lt;$BR37-$BS37*$BS$2),AVEDEV(ARRAYFORMULA(XLOOKUP(FILTER(INDIRECT(""'""&amp;CF$1&amp;""'!$C$4:$C$66""),INDIRECT(""'""&amp;CF$1&amp;""'!$D$4:$D$66"")=CF$2),$F$3:$BP$3,$F37:$BP37))),"""")"),0.26666666640000003)</f>
        <v>0.2666666664</v>
      </c>
      <c r="CH37" s="206"/>
      <c r="CI37" s="251">
        <f>IFERROR(__xludf.DUMMYFUNCTION("AVERAGE(ARRAYFORMULA(XLOOKUP(FILTER(INDIRECT(""'""&amp;CI$1&amp;""'!$C$4:$C$66""),INDIRECT(""'""&amp;CI$1&amp;""'!$D$4:$D$66"")=CI$2),$F$3:$BP$3,$F37:$BP37)))"),0.251851852)</f>
        <v>0.251851852</v>
      </c>
      <c r="CJ37" s="207" t="str">
        <f>IFERROR(__xludf.DUMMYFUNCTION("IF(OR(CI37&gt;$BR37+$BS37*$BS$2,CI37&lt;$BR37-$BS37*$BS$2),AVEDEV(ARRAYFORMULA(XLOOKUP(FILTER(INDIRECT(""'""&amp;CI$1&amp;""'!$C$4:$C$66""),INDIRECT(""'""&amp;CI$1&amp;""'!$D$4:$D$66"")=CI$2),$F$3:$BP$3,$F37:$BP37))),"""")"),"")</f>
        <v/>
      </c>
      <c r="CK37" s="251">
        <f>IFERROR(__xludf.DUMMYFUNCTION("AVERAGE(ARRAYFORMULA(XLOOKUP(FILTER(INDIRECT(""'""&amp;CK$1&amp;""'!$C$4:$C$66""),INDIRECT(""'""&amp;CK$1&amp;""'!$D$4:$D$66"")=CK$2),$F$3:$BP$3,$F37:$BP37)))"),0.028490029743589756)</f>
        <v>0.02849002974</v>
      </c>
      <c r="CL37" s="207" t="str">
        <f>IFERROR(__xludf.DUMMYFUNCTION("IF(OR(CK37&gt;$BR37+$BS37*$BS$2,CK37&lt;$BR37-$BS37*$BS$2),AVEDEV(ARRAYFORMULA(XLOOKUP(FILTER(INDIRECT(""'""&amp;CK$1&amp;""'!$C$4:$C$66""),INDIRECT(""'""&amp;CK$1&amp;""'!$D$4:$D$66"")=CK$2),$F$3:$BP$3,$F37:$BP37))),"""")"),"")</f>
        <v/>
      </c>
      <c r="CM37" s="251">
        <f>IFERROR(__xludf.DUMMYFUNCTION("AVERAGE(ARRAYFORMULA(XLOOKUP(FILTER(INDIRECT(""'""&amp;CM$1&amp;""'!$C$4:$C$66""),INDIRECT(""'""&amp;CM$1&amp;""'!$D$4:$D$66"")=CM$2),$F$3:$BP$3,$F37:$BP37)))"),0.888888888)</f>
        <v>0.888888888</v>
      </c>
      <c r="CN37" s="207">
        <f>IFERROR(__xludf.DUMMYFUNCTION("IF(OR(CM37&gt;$BR37+$BS37*$BS$2,CM37&lt;$BR37-$BS37*$BS$2),AVEDEV(ARRAYFORMULA(XLOOKUP(FILTER(INDIRECT(""'""&amp;CM$1&amp;""'!$C$4:$C$66""),INDIRECT(""'""&amp;CM$1&amp;""'!$D$4:$D$66"")=CM$2),$F$3:$BP$3,$F37:$BP37))),"""")"),0.26666666640000003)</f>
        <v>0.2666666664</v>
      </c>
      <c r="CO37" s="252"/>
      <c r="CP37" s="251">
        <f>IFERROR(__xludf.DUMMYFUNCTION("AVERAGE(ARRAYFORMULA(XLOOKUP(FILTER(INDIRECT(""'""&amp;CP$1&amp;""'!$C$4:$C$66""),INDIRECT(""'""&amp;CP$1&amp;""'!$D$4:$D$66"")=CP$2),$F$3:$BP$3,$F37:$BP37)))"),0.09523810285714286)</f>
        <v>0.09523810286</v>
      </c>
      <c r="CQ37" s="207" t="str">
        <f>IFERROR(__xludf.DUMMYFUNCTION("IF(OR(CP37&gt;$BR37+$BS37*$BS$2,CP37&lt;$BR37-$BS37*$BS$2),AVEDEV(ARRAYFORMULA(XLOOKUP(FILTER(INDIRECT(""'""&amp;CP$1&amp;""'!$C$4:$C$66""),INDIRECT(""'""&amp;CP$1&amp;""'!$D$4:$D$66"")=CP$2),$F$3:$BP$3,$F37:$BP37))),"""")"),"")</f>
        <v/>
      </c>
      <c r="CR37" s="251">
        <f>IFERROR(__xludf.DUMMYFUNCTION("AVERAGE(ARRAYFORMULA(XLOOKUP(FILTER(INDIRECT(""'""&amp;CR$1&amp;""'!$C$4:$C$66""),INDIRECT(""'""&amp;CR$1&amp;""'!$D$4:$D$66"")=CR$2),$F$3:$BP$3,$F37:$BP37)))"),0.24691358444444444)</f>
        <v>0.2469135844</v>
      </c>
      <c r="CS37" s="207" t="str">
        <f>IFERROR(__xludf.DUMMYFUNCTION("IF(OR(CR37&gt;$BR37+$BS37*$BS$2,CR37&lt;$BR37-$BS37*$BS$2),AVEDEV(ARRAYFORMULA(XLOOKUP(FILTER(INDIRECT(""'""&amp;CR$1&amp;""'!$C$4:$C$66""),INDIRECT(""'""&amp;CR$1&amp;""'!$D$4:$D$66"")=CR$2),$F$3:$BP$3,$F37:$BP37))),"""")"),"")</f>
        <v/>
      </c>
      <c r="CT37" s="251">
        <f>IFERROR(__xludf.DUMMYFUNCTION("AVERAGE(ARRAYFORMULA(XLOOKUP(FILTER(INDIRECT(""'""&amp;CT$1&amp;""'!$C$4:$C$66""),INDIRECT(""'""&amp;CT$1&amp;""'!$D$4:$D$66"")=CT$2),$F$3:$BP$3,$F37:$BP37)))"),0.5252525190909091)</f>
        <v>0.5252525191</v>
      </c>
      <c r="CU37" s="207" t="str">
        <f>IFERROR(__xludf.DUMMYFUNCTION("IF(OR(CT37&gt;$BR37+$BS37*$BS$2,CT37&lt;$BR37-$BS37*$BS$2),AVEDEV(ARRAYFORMULA(XLOOKUP(FILTER(INDIRECT(""'""&amp;CT$1&amp;""'!$C$4:$C$66""),INDIRECT(""'""&amp;CT$1&amp;""'!$D$4:$D$66"")=CT$2),$F$3:$BP$3,$F37:$BP37))),"""")"),"")</f>
        <v/>
      </c>
      <c r="CV37" s="251">
        <f>IFERROR(__xludf.DUMMYFUNCTION("AVERAGE(ARRAYFORMULA(XLOOKUP(FILTER(INDIRECT(""'""&amp;CV$1&amp;""'!$C$4:$C$66""),INDIRECT(""'""&amp;CV$1&amp;""'!$D$4:$D$66"")=CV$2),$F$3:$BP$3,$F37:$BP37)))"),-0.6666667)</f>
        <v>-0.6666667</v>
      </c>
      <c r="CW37" s="207">
        <f>IFERROR(__xludf.DUMMYFUNCTION("IF(OR(CV37&gt;$BR37+$BS37*$BS$2,CV37&lt;$BR37-$BS37*$BS$2),AVEDEV(ARRAYFORMULA(XLOOKUP(FILTER(INDIRECT(""'""&amp;CV$1&amp;""'!$C$4:$C$66""),INDIRECT(""'""&amp;CV$1&amp;""'!$D$4:$D$66"")=CV$2),$F$3:$BP$3,$F37:$BP37))),"""")"),0.0)</f>
        <v>0</v>
      </c>
      <c r="CX37" s="251">
        <f>IFERROR(__xludf.DUMMYFUNCTION("AVERAGE(ARRAYFORMULA(XLOOKUP(FILTER(INDIRECT(""'""&amp;CX$1&amp;""'!$C$4:$C$66""),INDIRECT(""'""&amp;CX$1&amp;""'!$D$4:$D$66"")=CX$2),$F$3:$BP$3,$F37:$BP37)))"),0.1587301585714286)</f>
        <v>0.1587301586</v>
      </c>
      <c r="CY37" s="207" t="str">
        <f>IFERROR(__xludf.DUMMYFUNCTION("IF(OR(CX37&gt;$BR37+$BS37*$BS$2,CX37&lt;$BR37-$BS37*$BS$2),AVEDEV(ARRAYFORMULA(XLOOKUP(FILTER(INDIRECT(""'""&amp;CX$1&amp;""'!$C$4:$C$66""),INDIRECT(""'""&amp;CX$1&amp;""'!$D$4:$D$66"")=CX$2),$F$3:$BP$3,$F37:$BP37))),"""")"),"")</f>
        <v/>
      </c>
      <c r="CZ37" s="252"/>
      <c r="DA37" s="251">
        <f>IFERROR(__xludf.DUMMYFUNCTION("AVERAGE(ARRAYFORMULA(XLOOKUP(FILTER(INDIRECT(""'""&amp;DA$1&amp;""'!$C$4:$C$66""),INDIRECT(""'""&amp;DA$1&amp;""'!$D$4:$D$66"")=DA$2),$F$3:$BP$3,$F37:$BP37)))"),0.2296296353333333)</f>
        <v>0.2296296353</v>
      </c>
      <c r="DB37" s="207" t="str">
        <f>IFERROR(__xludf.DUMMYFUNCTION("IF(OR(DA37&gt;$BR37+$BS37*$BS$2,DA37&lt;$BR37-$BS37*$BS$2),AVEDEV(ARRAYFORMULA(XLOOKUP(FILTER(INDIRECT(""'""&amp;DA$1&amp;""'!$C$4:$C$66""),INDIRECT(""'""&amp;DA$1&amp;""'!$D$4:$D$66"")=DA$2),$F$3:$BP$3,$F37:$BP37))),"""")"),"")</f>
        <v/>
      </c>
      <c r="DC37" s="251">
        <f>IFERROR(__xludf.DUMMYFUNCTION("AVERAGE(ARRAYFORMULA(XLOOKUP(FILTER(INDIRECT(""'""&amp;DC$1&amp;""'!$C$4:$C$66""),INDIRECT(""'""&amp;DC$1&amp;""'!$D$4:$D$66"")=DC$2),$F$3:$BP$3,$F37:$BP37)))"),0.2716049422222222)</f>
        <v>0.2716049422</v>
      </c>
      <c r="DD37" s="207" t="str">
        <f>IFERROR(__xludf.DUMMYFUNCTION("IF(OR(DC37&gt;$BR37+$BS37*$BS$2,DC37&lt;$BR37-$BS37*$BS$2),AVEDEV(ARRAYFORMULA(XLOOKUP(FILTER(INDIRECT(""'""&amp;DC$1&amp;""'!$C$4:$C$66""),INDIRECT(""'""&amp;DC$1&amp;""'!$D$4:$D$66"")=DC$2),$F$3:$BP$3,$F37:$BP37))),"""")"),"")</f>
        <v/>
      </c>
      <c r="DE37" s="251">
        <f>IFERROR(__xludf.DUMMYFUNCTION("AVERAGE(ARRAYFORMULA(XLOOKUP(FILTER(INDIRECT(""'""&amp;DE$1&amp;""'!$C$4:$C$66""),INDIRECT(""'""&amp;DE$1&amp;""'!$D$4:$D$66"")=DE$2),$F$3:$BP$3,$F37:$BP37)))"),-0.13888889375)</f>
        <v>-0.1388888938</v>
      </c>
      <c r="DF37" s="207" t="str">
        <f>IFERROR(__xludf.DUMMYFUNCTION("IF(OR(DE37&gt;$BR37+$BS37*$BS$2,DE37&lt;$BR37-$BS37*$BS$2),AVEDEV(ARRAYFORMULA(XLOOKUP(FILTER(INDIRECT(""'""&amp;DE$1&amp;""'!$C$4:$C$66""),INDIRECT(""'""&amp;DE$1&amp;""'!$D$4:$D$66"")=DE$2),$F$3:$BP$3,$F37:$BP37))),"""")"),"")</f>
        <v/>
      </c>
      <c r="DG37" s="251">
        <f>IFERROR(__xludf.DUMMYFUNCTION("AVERAGE(ARRAYFORMULA(XLOOKUP(FILTER(INDIRECT(""'""&amp;DG$1&amp;""'!$C$4:$C$66""),INDIRECT(""'""&amp;DG$1&amp;""'!$D$4:$D$66"")=DG$2),$F$3:$BP$3,$F37:$BP37)))"),0.2716049322222222)</f>
        <v>0.2716049322</v>
      </c>
      <c r="DH37" s="207" t="str">
        <f>IFERROR(__xludf.DUMMYFUNCTION("IF(OR(DG37&gt;$BR37+$BS37*$BS$2,DG37&lt;$BR37-$BS37*$BS$2),AVEDEV(ARRAYFORMULA(XLOOKUP(FILTER(INDIRECT(""'""&amp;DG$1&amp;""'!$C$4:$C$66""),INDIRECT(""'""&amp;DG$1&amp;""'!$D$4:$D$66"")=DG$2),$F$3:$BP$3,$F37:$BP37))),"""")"),"")</f>
        <v/>
      </c>
      <c r="DI37" s="252"/>
    </row>
    <row r="38">
      <c r="A38" s="2"/>
      <c r="B38" s="204" t="s">
        <v>442</v>
      </c>
      <c r="C38" s="204" t="s">
        <v>478</v>
      </c>
      <c r="D38" s="205" t="b">
        <f>VLOOKUP(C38,'Feature Set List'!A35:C246,2,0)</f>
        <v>1</v>
      </c>
      <c r="E38" s="205" t="b">
        <f>VLOOKUP(C38,'Feature Set List'!A35:C246,3,0)</f>
        <v>0</v>
      </c>
      <c r="F38" s="205">
        <v>0.31597948</v>
      </c>
      <c r="G38" s="205">
        <v>0.35370231</v>
      </c>
      <c r="H38" s="205">
        <v>-0.4162898</v>
      </c>
      <c r="I38" s="205">
        <v>0.12858215</v>
      </c>
      <c r="J38" s="205">
        <v>6.8116089</v>
      </c>
      <c r="K38" s="205">
        <v>-0.5601639</v>
      </c>
      <c r="L38" s="205">
        <v>0.98890624</v>
      </c>
      <c r="M38" s="205">
        <v>0.03772284</v>
      </c>
      <c r="N38" s="205">
        <v>-0.3192245</v>
      </c>
      <c r="O38" s="205">
        <v>0.58734054</v>
      </c>
      <c r="P38" s="205">
        <v>-0.6021457</v>
      </c>
      <c r="Q38" s="205">
        <v>0.31395137</v>
      </c>
      <c r="R38" s="205">
        <v>-0.2518912</v>
      </c>
      <c r="S38" s="205">
        <v>1.67075669</v>
      </c>
      <c r="T38" s="205">
        <v>-0.0048675</v>
      </c>
      <c r="U38" s="205">
        <v>0.76378607</v>
      </c>
      <c r="V38" s="205">
        <v>0.44740098</v>
      </c>
      <c r="W38" s="205">
        <v>-0.1241203</v>
      </c>
      <c r="X38" s="205">
        <v>1.33368487</v>
      </c>
      <c r="Y38" s="205">
        <v>0.63195895</v>
      </c>
      <c r="Z38" s="205">
        <v>-0.4435881</v>
      </c>
      <c r="AA38" s="205">
        <v>-0.4946965</v>
      </c>
      <c r="AB38" s="205">
        <v>0.12533717</v>
      </c>
      <c r="AC38" s="205">
        <v>-0.384124</v>
      </c>
      <c r="AD38" s="205">
        <v>0.26892733</v>
      </c>
      <c r="AE38" s="205">
        <v>0.02555418</v>
      </c>
      <c r="AF38" s="205">
        <v>-0.3707384</v>
      </c>
      <c r="AG38" s="205">
        <v>3.33948527</v>
      </c>
      <c r="AH38" s="205">
        <v>2.74889975</v>
      </c>
      <c r="AI38" s="205">
        <v>-0.8181394</v>
      </c>
      <c r="AJ38" s="205">
        <v>-0.3249032</v>
      </c>
      <c r="AK38" s="205">
        <v>0.4737664</v>
      </c>
      <c r="AL38" s="205">
        <v>0.23972255</v>
      </c>
      <c r="AM38" s="205">
        <v>0.0425903</v>
      </c>
      <c r="AN38" s="205">
        <v>-0.7785669</v>
      </c>
      <c r="AO38" s="205">
        <v>-0.5249153</v>
      </c>
      <c r="AP38" s="205">
        <v>-0.6055935</v>
      </c>
      <c r="AQ38" s="205">
        <v>-0.3999432</v>
      </c>
      <c r="AR38" s="205">
        <v>0.69483035</v>
      </c>
      <c r="AS38" s="205">
        <v>1.83787292</v>
      </c>
      <c r="AT38" s="205">
        <v>-0.8181394</v>
      </c>
      <c r="AU38" s="205">
        <v>0.28718032</v>
      </c>
      <c r="AV38" s="205">
        <v>-0.6768207</v>
      </c>
      <c r="AW38" s="205">
        <v>-0.4299998</v>
      </c>
      <c r="AX38" s="205">
        <v>-0.8181394</v>
      </c>
      <c r="AY38" s="205">
        <v>1.51215852</v>
      </c>
      <c r="AZ38" s="205">
        <v>0.16062628</v>
      </c>
      <c r="BA38" s="205">
        <v>-0.6068915</v>
      </c>
      <c r="BB38" s="205">
        <v>-0.4198592</v>
      </c>
      <c r="BC38" s="205">
        <v>-0.6147606</v>
      </c>
      <c r="BD38" s="205">
        <v>0.77879409</v>
      </c>
      <c r="BE38" s="205">
        <v>0.53907153</v>
      </c>
      <c r="BF38" s="205">
        <v>2.03906139</v>
      </c>
      <c r="BG38" s="205">
        <v>-0.2786623</v>
      </c>
      <c r="BH38" s="205">
        <v>-0.540329</v>
      </c>
      <c r="BI38" s="205">
        <v>-0.096538</v>
      </c>
      <c r="BJ38" s="205">
        <v>-0.5417486</v>
      </c>
      <c r="BK38" s="205">
        <v>4.39004604</v>
      </c>
      <c r="BL38" s="205">
        <v>0.0</v>
      </c>
      <c r="BM38" s="205">
        <v>-0.1537307</v>
      </c>
      <c r="BN38" s="205">
        <v>6.44654917</v>
      </c>
      <c r="BO38" s="205">
        <v>-0.2920478</v>
      </c>
      <c r="BP38" s="205">
        <v>-0.6414505</v>
      </c>
      <c r="BQ38" s="206"/>
      <c r="BR38" s="250">
        <f t="shared" si="1"/>
        <v>0.4124258103</v>
      </c>
      <c r="BS38" s="250">
        <f t="shared" si="2"/>
        <v>0.9587266119</v>
      </c>
      <c r="BT38" s="206"/>
      <c r="BU38" s="207">
        <f>IFERROR(__xludf.DUMMYFUNCTION("AVERAGE(ARRAYFORMULA(XLOOKUP(FILTER(INDIRECT(""'""&amp;BU$1&amp;""'!$C$4:$C$66""),INDIRECT(""'""&amp;BU$1&amp;""'!$D$4:$D$66"")=BU$2),$F$3:$BP$3,$F38:$BP38)))"),0.40517921857142847)</f>
        <v>0.4051792186</v>
      </c>
      <c r="BV38" s="207" t="str">
        <f>IFERROR(__xludf.DUMMYFUNCTION("IF(OR(BU38&gt;$BR38+$BS38*$BS$2,BU38&lt;$BR38-$BS38*$BS$2),AVEDEV(ARRAYFORMULA(XLOOKUP(FILTER(INDIRECT(""'""&amp;BU$1&amp;""'!$C$4:$C$66""),INDIRECT(""'""&amp;BU$1&amp;""'!$D$4:$D$66"")=BU$2),$F$3:$BP$3,$F38:$BP38))),"""")"),"")</f>
        <v/>
      </c>
      <c r="BW38" s="207">
        <f>IFERROR(__xludf.DUMMYFUNCTION("AVERAGE(ARRAYFORMULA(XLOOKUP(FILTER(INDIRECT(""'""&amp;BW$1&amp;""'!$C$4:$C$66""),INDIRECT(""'""&amp;BW$1&amp;""'!$D$4:$D$66"")=BW$2),$F$3:$BP$3,$F38:$BP38)))"),0.4407980342857144)</f>
        <v>0.4407980343</v>
      </c>
      <c r="BX38" s="207" t="str">
        <f>IFERROR(__xludf.DUMMYFUNCTION("IF(OR(BW38&gt;$BR38+$BS38*$BS$2,BW38&lt;$BR38-$BS38*$BS$2),AVEDEV(ARRAYFORMULA(XLOOKUP(FILTER(INDIRECT(""'""&amp;BW$1&amp;""'!$C$4:$C$66""),INDIRECT(""'""&amp;BW$1&amp;""'!$D$4:$D$66"")=BW$2),$F$3:$BP$3,$F38:$BP38))),"""")"),"")</f>
        <v/>
      </c>
      <c r="BY38" s="207">
        <f>IFERROR(__xludf.DUMMYFUNCTION("AVERAGE(ARRAYFORMULA(XLOOKUP(FILTER(INDIRECT(""'""&amp;BY$1&amp;""'!$C$4:$C$66""),INDIRECT(""'""&amp;BY$1&amp;""'!$D$4:$D$66"")=BY$2),$F$3:$BP$3,$F38:$BP38)))"),0.5892948981818181)</f>
        <v>0.5892948982</v>
      </c>
      <c r="BZ38" s="207" t="str">
        <f>IFERROR(__xludf.DUMMYFUNCTION("IF(OR(BY38&gt;$BR38+$BS38*$BS$2,BY38&lt;$BR38-$BS38*$BS$2),AVEDEV(ARRAYFORMULA(XLOOKUP(FILTER(INDIRECT(""'""&amp;BY$1&amp;""'!$C$4:$C$66""),INDIRECT(""'""&amp;BY$1&amp;""'!$D$4:$D$66"")=BY$2),$F$3:$BP$3,$F38:$BP38))),"""")"),"")</f>
        <v/>
      </c>
      <c r="CA38" s="209"/>
      <c r="CB38" s="207">
        <f>IFERROR(__xludf.DUMMYFUNCTION("AVERAGE(ARRAYFORMULA(XLOOKUP(FILTER(INDIRECT(""'""&amp;CB$1&amp;""'!$C$4:$C$66""),INDIRECT(""'""&amp;CB$1&amp;""'!$D$4:$D$66"")=CB$2),$F$3:$BP$3,$F38:$BP38)))"),0.64846523125)</f>
        <v>0.6484652313</v>
      </c>
      <c r="CC38" s="207" t="str">
        <f>IFERROR(__xludf.DUMMYFUNCTION("IF(OR(CB38&gt;$BR38+$BS38*$BS$2,CB38&lt;$BR38-$BS38*$BS$2),AVEDEV(ARRAYFORMULA(XLOOKUP(FILTER(INDIRECT(""'""&amp;CB$1&amp;""'!$C$4:$C$66""),INDIRECT(""'""&amp;CB$1&amp;""'!$D$4:$D$66"")=CB$2),$F$3:$BP$3,$F38:$BP38))),"""")"),"")</f>
        <v/>
      </c>
      <c r="CD38" s="207">
        <f>IFERROR(__xludf.DUMMYFUNCTION("AVERAGE(ARRAYFORMULA(XLOOKUP(FILTER(INDIRECT(""'""&amp;CD$1&amp;""'!$C$4:$C$66""),INDIRECT(""'""&amp;CD$1&amp;""'!$D$4:$D$66"")=CD$2),$F$3:$BP$3,$F38:$BP38)))"),0.09303265838709676)</f>
        <v>0.09303265839</v>
      </c>
      <c r="CE38" s="207" t="str">
        <f>IFERROR(__xludf.DUMMYFUNCTION("IF(OR(CD38&gt;$BR38+$BS38*$BS$2,CD38&lt;$BR38-$BS38*$BS$2),AVEDEV(ARRAYFORMULA(XLOOKUP(FILTER(INDIRECT(""'""&amp;CD$1&amp;""'!$C$4:$C$66""),INDIRECT(""'""&amp;CD$1&amp;""'!$D$4:$D$66"")=CD$2),$F$3:$BP$3,$F38:$BP38))),"""")"),"")</f>
        <v/>
      </c>
      <c r="CF38" s="207">
        <f>IFERROR(__xludf.DUMMYFUNCTION("AVERAGE(ARRAYFORMULA(XLOOKUP(FILTER(INDIRECT(""'""&amp;CF$1&amp;""'!$C$4:$C$66""),INDIRECT(""'""&amp;CF$1&amp;""'!$D$4:$D$66"")=CF$2),$F$3:$BP$3,$F38:$BP38)))"),1.03052305)</f>
        <v>1.03052305</v>
      </c>
      <c r="CG38" s="207" t="str">
        <f>IFERROR(__xludf.DUMMYFUNCTION("IF(OR(CF38&gt;$BR38+$BS38*$BS$2,CF38&lt;$BR38-$BS38*$BS$2),AVEDEV(ARRAYFORMULA(XLOOKUP(FILTER(INDIRECT(""'""&amp;CF$1&amp;""'!$C$4:$C$66""),INDIRECT(""'""&amp;CF$1&amp;""'!$D$4:$D$66"")=CF$2),$F$3:$BP$3,$F38:$BP38))),"""")"),"")</f>
        <v/>
      </c>
      <c r="CH38" s="206"/>
      <c r="CI38" s="251">
        <f>IFERROR(__xludf.DUMMYFUNCTION("AVERAGE(ARRAYFORMULA(XLOOKUP(FILTER(INDIRECT(""'""&amp;CI$1&amp;""'!$C$4:$C$66""),INDIRECT(""'""&amp;CI$1&amp;""'!$D$4:$D$66"")=CI$2),$F$3:$BP$3,$F38:$BP38)))"),0.854012616)</f>
        <v>0.854012616</v>
      </c>
      <c r="CJ38" s="207" t="str">
        <f>IFERROR(__xludf.DUMMYFUNCTION("IF(OR(CI38&gt;$BR38+$BS38*$BS$2,CI38&lt;$BR38-$BS38*$BS$2),AVEDEV(ARRAYFORMULA(XLOOKUP(FILTER(INDIRECT(""'""&amp;CI$1&amp;""'!$C$4:$C$66""),INDIRECT(""'""&amp;CI$1&amp;""'!$D$4:$D$66"")=CI$2),$F$3:$BP$3,$F38:$BP38))),"""")"),"")</f>
        <v/>
      </c>
      <c r="CK38" s="251">
        <f>IFERROR(__xludf.DUMMYFUNCTION("AVERAGE(ARRAYFORMULA(XLOOKUP(FILTER(INDIRECT(""'""&amp;CK$1&amp;""'!$C$4:$C$66""),INDIRECT(""'""&amp;CK$1&amp;""'!$D$4:$D$66"")=CK$2),$F$3:$BP$3,$F38:$BP38)))"),0.14049141846153843)</f>
        <v>0.1404914185</v>
      </c>
      <c r="CL38" s="207" t="str">
        <f>IFERROR(__xludf.DUMMYFUNCTION("IF(OR(CK38&gt;$BR38+$BS38*$BS$2,CK38&lt;$BR38-$BS38*$BS$2),AVEDEV(ARRAYFORMULA(XLOOKUP(FILTER(INDIRECT(""'""&amp;CK$1&amp;""'!$C$4:$C$66""),INDIRECT(""'""&amp;CK$1&amp;""'!$D$4:$D$66"")=CK$2),$F$3:$BP$3,$F38:$BP38))),"""")"),"")</f>
        <v/>
      </c>
      <c r="CM38" s="251">
        <f>IFERROR(__xludf.DUMMYFUNCTION("AVERAGE(ARRAYFORMULA(XLOOKUP(FILTER(INDIRECT(""'""&amp;CM$1&amp;""'!$C$4:$C$66""),INDIRECT(""'""&amp;CM$1&amp;""'!$D$4:$D$66"")=CM$2),$F$3:$BP$3,$F38:$BP38)))"),1.03052305)</f>
        <v>1.03052305</v>
      </c>
      <c r="CN38" s="207" t="str">
        <f>IFERROR(__xludf.DUMMYFUNCTION("IF(OR(CM38&gt;$BR38+$BS38*$BS$2,CM38&lt;$BR38-$BS38*$BS$2),AVEDEV(ARRAYFORMULA(XLOOKUP(FILTER(INDIRECT(""'""&amp;CM$1&amp;""'!$C$4:$C$66""),INDIRECT(""'""&amp;CM$1&amp;""'!$D$4:$D$66"")=CM$2),$F$3:$BP$3,$F38:$BP38))),"""")"),"")</f>
        <v/>
      </c>
      <c r="CO38" s="252"/>
      <c r="CP38" s="251">
        <f>IFERROR(__xludf.DUMMYFUNCTION("AVERAGE(ARRAYFORMULA(XLOOKUP(FILTER(INDIRECT(""'""&amp;CP$1&amp;""'!$C$4:$C$66""),INDIRECT(""'""&amp;CP$1&amp;""'!$D$4:$D$66"")=CP$2),$F$3:$BP$3,$F38:$BP38)))"),0.16212419142857143)</f>
        <v>0.1621241914</v>
      </c>
      <c r="CQ38" s="207" t="str">
        <f>IFERROR(__xludf.DUMMYFUNCTION("IF(OR(CP38&gt;$BR38+$BS38*$BS$2,CP38&lt;$BR38-$BS38*$BS$2),AVEDEV(ARRAYFORMULA(XLOOKUP(FILTER(INDIRECT(""'""&amp;CP$1&amp;""'!$C$4:$C$66""),INDIRECT(""'""&amp;CP$1&amp;""'!$D$4:$D$66"")=CP$2),$F$3:$BP$3,$F38:$BP38))),"""")"),"")</f>
        <v/>
      </c>
      <c r="CR38" s="251">
        <f>IFERROR(__xludf.DUMMYFUNCTION("AVERAGE(ARRAYFORMULA(XLOOKUP(FILTER(INDIRECT(""'""&amp;CR$1&amp;""'!$C$4:$C$66""),INDIRECT(""'""&amp;CR$1&amp;""'!$D$4:$D$66"")=CR$2),$F$3:$BP$3,$F38:$BP38)))"),0.5522317066666668)</f>
        <v>0.5522317067</v>
      </c>
      <c r="CS38" s="207" t="str">
        <f>IFERROR(__xludf.DUMMYFUNCTION("IF(OR(CR38&gt;$BR38+$BS38*$BS$2,CR38&lt;$BR38-$BS38*$BS$2),AVEDEV(ARRAYFORMULA(XLOOKUP(FILTER(INDIRECT(""'""&amp;CR$1&amp;""'!$C$4:$C$66""),INDIRECT(""'""&amp;CR$1&amp;""'!$D$4:$D$66"")=CR$2),$F$3:$BP$3,$F38:$BP38))),"""")"),"")</f>
        <v/>
      </c>
      <c r="CT38" s="251">
        <f>IFERROR(__xludf.DUMMYFUNCTION("AVERAGE(ARRAYFORMULA(XLOOKUP(FILTER(INDIRECT(""'""&amp;CT$1&amp;""'!$C$4:$C$66""),INDIRECT(""'""&amp;CT$1&amp;""'!$D$4:$D$66"")=CT$2),$F$3:$BP$3,$F38:$BP38)))"),1.3306537736363635)</f>
        <v>1.330653774</v>
      </c>
      <c r="CU38" s="207" t="str">
        <f>IFERROR(__xludf.DUMMYFUNCTION("IF(OR(CT38&gt;$BR38+$BS38*$BS$2,CT38&lt;$BR38-$BS38*$BS$2),AVEDEV(ARRAYFORMULA(XLOOKUP(FILTER(INDIRECT(""'""&amp;CT$1&amp;""'!$C$4:$C$66""),INDIRECT(""'""&amp;CT$1&amp;""'!$D$4:$D$66"")=CT$2),$F$3:$BP$3,$F38:$BP38))),"""")"),"")</f>
        <v/>
      </c>
      <c r="CV38" s="251">
        <f>IFERROR(__xludf.DUMMYFUNCTION("AVERAGE(ARRAYFORMULA(XLOOKUP(FILTER(INDIRECT(""'""&amp;CV$1&amp;""'!$C$4:$C$66""),INDIRECT(""'""&amp;CV$1&amp;""'!$D$4:$D$66"")=CV$2),$F$3:$BP$3,$F38:$BP38)))"),-0.33139315)</f>
        <v>-0.33139315</v>
      </c>
      <c r="CW38" s="207" t="str">
        <f>IFERROR(__xludf.DUMMYFUNCTION("IF(OR(CV38&gt;$BR38+$BS38*$BS$2,CV38&lt;$BR38-$BS38*$BS$2),AVEDEV(ARRAYFORMULA(XLOOKUP(FILTER(INDIRECT(""'""&amp;CV$1&amp;""'!$C$4:$C$66""),INDIRECT(""'""&amp;CV$1&amp;""'!$D$4:$D$66"")=CV$2),$F$3:$BP$3,$F38:$BP38))),"""")"),"")</f>
        <v/>
      </c>
      <c r="CX38" s="251">
        <f>IFERROR(__xludf.DUMMYFUNCTION("AVERAGE(ARRAYFORMULA(XLOOKUP(FILTER(INDIRECT(""'""&amp;CX$1&amp;""'!$C$4:$C$66""),INDIRECT(""'""&amp;CX$1&amp;""'!$D$4:$D$66"")=CX$2),$F$3:$BP$3,$F38:$BP38)))"),-0.26606479857142856)</f>
        <v>-0.2660647986</v>
      </c>
      <c r="CY38" s="207" t="str">
        <f>IFERROR(__xludf.DUMMYFUNCTION("IF(OR(CX38&gt;$BR38+$BS38*$BS$2,CX38&lt;$BR38-$BS38*$BS$2),AVEDEV(ARRAYFORMULA(XLOOKUP(FILTER(INDIRECT(""'""&amp;CX$1&amp;""'!$C$4:$C$66""),INDIRECT(""'""&amp;CX$1&amp;""'!$D$4:$D$66"")=CX$2),$F$3:$BP$3,$F38:$BP38))),"""")"),"")</f>
        <v/>
      </c>
      <c r="CZ38" s="252"/>
      <c r="DA38" s="251">
        <f>IFERROR(__xludf.DUMMYFUNCTION("AVERAGE(ARRAYFORMULA(XLOOKUP(FILTER(INDIRECT(""'""&amp;DA$1&amp;""'!$C$4:$C$66""),INDIRECT(""'""&amp;DA$1&amp;""'!$D$4:$D$66"")=DA$2),$F$3:$BP$3,$F38:$BP38)))"),0.48097701233333345)</f>
        <v>0.4809770123</v>
      </c>
      <c r="DB38" s="207" t="str">
        <f>IFERROR(__xludf.DUMMYFUNCTION("IF(OR(DA38&gt;$BR38+$BS38*$BS$2,DA38&lt;$BR38-$BS38*$BS$2),AVEDEV(ARRAYFORMULA(XLOOKUP(FILTER(INDIRECT(""'""&amp;DA$1&amp;""'!$C$4:$C$66""),INDIRECT(""'""&amp;DA$1&amp;""'!$D$4:$D$66"")=DA$2),$F$3:$BP$3,$F38:$BP38))),"""")"),"")</f>
        <v/>
      </c>
      <c r="DC38" s="251">
        <f>IFERROR(__xludf.DUMMYFUNCTION("AVERAGE(ARRAYFORMULA(XLOOKUP(FILTER(INDIRECT(""'""&amp;DC$1&amp;""'!$C$4:$C$66""),INDIRECT(""'""&amp;DC$1&amp;""'!$D$4:$D$66"")=DC$2),$F$3:$BP$3,$F38:$BP38)))"),0.43311407)</f>
        <v>0.43311407</v>
      </c>
      <c r="DD38" s="207" t="str">
        <f>IFERROR(__xludf.DUMMYFUNCTION("IF(OR(DC38&gt;$BR38+$BS38*$BS$2,DC38&lt;$BR38-$BS38*$BS$2),AVEDEV(ARRAYFORMULA(XLOOKUP(FILTER(INDIRECT(""'""&amp;DC$1&amp;""'!$C$4:$C$66""),INDIRECT(""'""&amp;DC$1&amp;""'!$D$4:$D$66"")=DC$2),$F$3:$BP$3,$F38:$BP38))),"""")"),"")</f>
        <v/>
      </c>
      <c r="DE38" s="251">
        <f>IFERROR(__xludf.DUMMYFUNCTION("AVERAGE(ARRAYFORMULA(XLOOKUP(FILTER(INDIRECT(""'""&amp;DE$1&amp;""'!$C$4:$C$66""),INDIRECT(""'""&amp;DE$1&amp;""'!$D$4:$D$66"")=DE$2),$F$3:$BP$3,$F38:$BP38)))"),-0.10371752624999997)</f>
        <v>-0.1037175263</v>
      </c>
      <c r="DF38" s="207" t="str">
        <f>IFERROR(__xludf.DUMMYFUNCTION("IF(OR(DE38&gt;$BR38+$BS38*$BS$2,DE38&lt;$BR38-$BS38*$BS$2),AVEDEV(ARRAYFORMULA(XLOOKUP(FILTER(INDIRECT(""'""&amp;DE$1&amp;""'!$C$4:$C$66""),INDIRECT(""'""&amp;DE$1&amp;""'!$D$4:$D$66"")=DE$2),$F$3:$BP$3,$F38:$BP38))),"""")"),"")</f>
        <v/>
      </c>
      <c r="DG38" s="251">
        <f>IFERROR(__xludf.DUMMYFUNCTION("AVERAGE(ARRAYFORMULA(XLOOKUP(FILTER(INDIRECT(""'""&amp;DG$1&amp;""'!$C$4:$C$66""),INDIRECT(""'""&amp;DG$1&amp;""'!$D$4:$D$66"")=DG$2),$F$3:$BP$3,$F38:$BP38)))"),0.8052226022222222)</f>
        <v>0.8052226022</v>
      </c>
      <c r="DH38" s="207" t="str">
        <f>IFERROR(__xludf.DUMMYFUNCTION("IF(OR(DG38&gt;$BR38+$BS38*$BS$2,DG38&lt;$BR38-$BS38*$BS$2),AVEDEV(ARRAYFORMULA(XLOOKUP(FILTER(INDIRECT(""'""&amp;DG$1&amp;""'!$C$4:$C$66""),INDIRECT(""'""&amp;DG$1&amp;""'!$D$4:$D$66"")=DG$2),$F$3:$BP$3,$F38:$BP38))),"""")"),"")</f>
        <v/>
      </c>
      <c r="DI38" s="252"/>
    </row>
    <row r="39">
      <c r="A39" s="2"/>
      <c r="B39" s="204" t="s">
        <v>442</v>
      </c>
      <c r="C39" s="204" t="s">
        <v>479</v>
      </c>
      <c r="D39" s="205" t="b">
        <f>VLOOKUP(C39,'Feature Set List'!A36:C246,2,0)</f>
        <v>1</v>
      </c>
      <c r="E39" s="205" t="b">
        <f>VLOOKUP(C39,'Feature Set List'!A36:C246,3,0)</f>
        <v>0</v>
      </c>
      <c r="F39" s="205">
        <v>0.12884391</v>
      </c>
      <c r="G39" s="205">
        <v>-0.5990658</v>
      </c>
      <c r="H39" s="205">
        <v>-1.0945893</v>
      </c>
      <c r="I39" s="205">
        <v>-0.6835344</v>
      </c>
      <c r="J39" s="205">
        <v>-0.5924484</v>
      </c>
      <c r="K39" s="205">
        <v>-0.3012845</v>
      </c>
      <c r="L39" s="205">
        <v>0.88127676</v>
      </c>
      <c r="M39" s="205">
        <v>0.015181</v>
      </c>
      <c r="N39" s="205">
        <v>-0.8389257</v>
      </c>
      <c r="O39" s="205">
        <v>0.552355</v>
      </c>
      <c r="P39" s="205">
        <v>0.20552744</v>
      </c>
      <c r="Q39" s="205">
        <v>-0.2386142</v>
      </c>
      <c r="R39" s="205">
        <v>-0.85761</v>
      </c>
      <c r="S39" s="205">
        <v>0.46594005</v>
      </c>
      <c r="T39" s="205">
        <v>0.27092254</v>
      </c>
      <c r="U39" s="205">
        <v>-0.7399766</v>
      </c>
      <c r="V39" s="205">
        <v>0.41884002</v>
      </c>
      <c r="W39" s="205">
        <v>-0.6052939</v>
      </c>
      <c r="X39" s="205">
        <v>0.35188789</v>
      </c>
      <c r="Y39" s="205">
        <v>-0.4725574</v>
      </c>
      <c r="Z39" s="205">
        <v>0.0</v>
      </c>
      <c r="AA39" s="205">
        <v>0.32074737</v>
      </c>
      <c r="AB39" s="205">
        <v>0.71195018</v>
      </c>
      <c r="AC39" s="205">
        <v>0.0688984</v>
      </c>
      <c r="AD39" s="205">
        <v>-0.717789</v>
      </c>
      <c r="AE39" s="205">
        <v>0.40132347</v>
      </c>
      <c r="AF39" s="205">
        <v>-0.2861035</v>
      </c>
      <c r="AG39" s="205">
        <v>-0.7224601</v>
      </c>
      <c r="AH39" s="205">
        <v>0.22460101</v>
      </c>
      <c r="AI39" s="205">
        <v>-1.1724406</v>
      </c>
      <c r="AJ39" s="205">
        <v>-0.493188</v>
      </c>
      <c r="AK39" s="205">
        <v>0.35655897</v>
      </c>
      <c r="AL39" s="205">
        <v>0.13974309</v>
      </c>
      <c r="AM39" s="205">
        <v>-0.2160374</v>
      </c>
      <c r="AN39" s="205">
        <v>-1.1724406</v>
      </c>
      <c r="AO39" s="205">
        <v>-1.1724406</v>
      </c>
      <c r="AP39" s="205">
        <v>0.51498638</v>
      </c>
      <c r="AQ39" s="205">
        <v>-0.1066563</v>
      </c>
      <c r="AR39" s="205">
        <v>0.55040872</v>
      </c>
      <c r="AS39" s="205">
        <v>0.35694823</v>
      </c>
      <c r="AT39" s="205">
        <v>-1.1724406</v>
      </c>
      <c r="AU39" s="205">
        <v>0.9435578</v>
      </c>
      <c r="AV39" s="205">
        <v>0.6239782</v>
      </c>
      <c r="AW39" s="205">
        <v>-0.6695212</v>
      </c>
      <c r="AX39" s="205">
        <v>-1.1724406</v>
      </c>
      <c r="AY39" s="205">
        <v>-0.8038536</v>
      </c>
      <c r="AZ39" s="205">
        <v>0.06617361</v>
      </c>
      <c r="BA39" s="205">
        <v>0.07318023</v>
      </c>
      <c r="BB39" s="205">
        <v>-0.7613858</v>
      </c>
      <c r="BC39" s="205">
        <v>-0.6317633</v>
      </c>
      <c r="BD39" s="205">
        <v>-0.6200856</v>
      </c>
      <c r="BE39" s="205">
        <v>-0.4927988</v>
      </c>
      <c r="BF39" s="205">
        <v>0.56948229</v>
      </c>
      <c r="BG39" s="205">
        <v>0.13818606</v>
      </c>
      <c r="BH39" s="205">
        <v>0.36395485</v>
      </c>
      <c r="BI39" s="205">
        <v>-0.6547295</v>
      </c>
      <c r="BJ39" s="205">
        <v>0.22226547</v>
      </c>
      <c r="BK39" s="205">
        <v>0.84235111</v>
      </c>
      <c r="BL39" s="205">
        <v>0.63020631</v>
      </c>
      <c r="BM39" s="205">
        <v>-0.4994161</v>
      </c>
      <c r="BN39" s="205">
        <v>0.11521993</v>
      </c>
      <c r="BO39" s="205">
        <v>0.98949007</v>
      </c>
      <c r="BP39" s="205">
        <v>-0.4857921</v>
      </c>
      <c r="BQ39" s="206"/>
      <c r="BR39" s="250">
        <f t="shared" si="1"/>
        <v>-0.1354396371</v>
      </c>
      <c r="BS39" s="250">
        <f t="shared" si="2"/>
        <v>0.5358043837</v>
      </c>
      <c r="BT39" s="206"/>
      <c r="BU39" s="207">
        <f>IFERROR(__xludf.DUMMYFUNCTION("AVERAGE(ARRAYFORMULA(XLOOKUP(FILTER(INDIRECT(""'""&amp;BU$1&amp;""'!$C$4:$C$66""),INDIRECT(""'""&amp;BU$1&amp;""'!$D$4:$D$66"")=BU$2),$F$3:$BP$3,$F39:$BP39)))"),-0.3405438314285715)</f>
        <v>-0.3405438314</v>
      </c>
      <c r="BV39" s="207" t="str">
        <f>IFERROR(__xludf.DUMMYFUNCTION("IF(OR(BU39&gt;$BR39+$BS39*$BS$2,BU39&lt;$BR39-$BS39*$BS$2),AVEDEV(ARRAYFORMULA(XLOOKUP(FILTER(INDIRECT(""'""&amp;BU$1&amp;""'!$C$4:$C$66""),INDIRECT(""'""&amp;BU$1&amp;""'!$D$4:$D$66"")=BU$2),$F$3:$BP$3,$F39:$BP39))),"""")"),"")</f>
        <v/>
      </c>
      <c r="BW39" s="207">
        <f>IFERROR(__xludf.DUMMYFUNCTION("AVERAGE(ARRAYFORMULA(XLOOKUP(FILTER(INDIRECT(""'""&amp;BW$1&amp;""'!$C$4:$C$66""),INDIRECT(""'""&amp;BW$1&amp;""'!$D$4:$D$66"")=BW$2),$F$3:$BP$3,$F39:$BP39)))"),-0.1438525247619048)</f>
        <v>-0.1438525248</v>
      </c>
      <c r="BX39" s="207" t="str">
        <f>IFERROR(__xludf.DUMMYFUNCTION("IF(OR(BW39&gt;$BR39+$BS39*$BS$2,BW39&lt;$BR39-$BS39*$BS$2),AVEDEV(ARRAYFORMULA(XLOOKUP(FILTER(INDIRECT(""'""&amp;BW$1&amp;""'!$C$4:$C$66""),INDIRECT(""'""&amp;BW$1&amp;""'!$D$4:$D$66"")=BW$2),$F$3:$BP$3,$F39:$BP39))),"""")"),"")</f>
        <v/>
      </c>
      <c r="BY39" s="207">
        <f>IFERROR(__xludf.DUMMYFUNCTION("AVERAGE(ARRAYFORMULA(XLOOKUP(FILTER(INDIRECT(""'""&amp;BY$1&amp;""'!$C$4:$C$66""),INDIRECT(""'""&amp;BY$1&amp;""'!$D$4:$D$66"")=BY$2),$F$3:$BP$3,$F39:$BP39)))"),0.25379172)</f>
        <v>0.25379172</v>
      </c>
      <c r="BZ39" s="207" t="str">
        <f>IFERROR(__xludf.DUMMYFUNCTION("IF(OR(BY39&gt;$BR39+$BS39*$BS$2,BY39&lt;$BR39-$BS39*$BS$2),AVEDEV(ARRAYFORMULA(XLOOKUP(FILTER(INDIRECT(""'""&amp;BY$1&amp;""'!$C$4:$C$66""),INDIRECT(""'""&amp;BY$1&amp;""'!$D$4:$D$66"")=BY$2),$F$3:$BP$3,$F39:$BP39))),"""")"),"")</f>
        <v/>
      </c>
      <c r="CA39" s="209"/>
      <c r="CB39" s="207">
        <f>IFERROR(__xludf.DUMMYFUNCTION("AVERAGE(ARRAYFORMULA(XLOOKUP(FILTER(INDIRECT(""'""&amp;CB$1&amp;""'!$C$4:$C$66""),INDIRECT(""'""&amp;CB$1&amp;""'!$D$4:$D$66"")=CB$2),$F$3:$BP$3,$F39:$BP39)))"),-0.231096719375)</f>
        <v>-0.2310967194</v>
      </c>
      <c r="CC39" s="207" t="str">
        <f>IFERROR(__xludf.DUMMYFUNCTION("IF(OR(CB39&gt;$BR39+$BS39*$BS$2,CB39&lt;$BR39-$BS39*$BS$2),AVEDEV(ARRAYFORMULA(XLOOKUP(FILTER(INDIRECT(""'""&amp;CB$1&amp;""'!$C$4:$C$66""),INDIRECT(""'""&amp;CB$1&amp;""'!$D$4:$D$66"")=CB$2),$F$3:$BP$3,$F39:$BP39))),"""")"),"")</f>
        <v/>
      </c>
      <c r="CD39" s="207">
        <f>IFERROR(__xludf.DUMMYFUNCTION("AVERAGE(ARRAYFORMULA(XLOOKUP(FILTER(INDIRECT(""'""&amp;CD$1&amp;""'!$C$4:$C$66""),INDIRECT(""'""&amp;CD$1&amp;""'!$D$4:$D$66"")=CD$2),$F$3:$BP$3,$F39:$BP39)))"),-0.10656210838709673)</f>
        <v>-0.1065621084</v>
      </c>
      <c r="CE39" s="207" t="str">
        <f>IFERROR(__xludf.DUMMYFUNCTION("IF(OR(CD39&gt;$BR39+$BS39*$BS$2,CD39&lt;$BR39-$BS39*$BS$2),AVEDEV(ARRAYFORMULA(XLOOKUP(FILTER(INDIRECT(""'""&amp;CD$1&amp;""'!$C$4:$C$66""),INDIRECT(""'""&amp;CD$1&amp;""'!$D$4:$D$66"")=CD$2),$F$3:$BP$3,$F39:$BP39))),"""")"),"")</f>
        <v/>
      </c>
      <c r="CF39" s="207">
        <f>IFERROR(__xludf.DUMMYFUNCTION("AVERAGE(ARRAYFORMULA(XLOOKUP(FILTER(INDIRECT(""'""&amp;CF$1&amp;""'!$C$4:$C$66""),INDIRECT(""'""&amp;CF$1&amp;""'!$D$4:$D$66"")=CF$2),$F$3:$BP$3,$F39:$BP39)))"),0.4408719339999999)</f>
        <v>0.440871934</v>
      </c>
      <c r="CG39" s="207">
        <f>IFERROR(__xludf.DUMMYFUNCTION("IF(OR(CF39&gt;$BR39+$BS39*$BS$2,CF39&lt;$BR39-$BS39*$BS$2),AVEDEV(ARRAYFORMULA(XLOOKUP(FILTER(INDIRECT(""'""&amp;CF$1&amp;""'!$C$4:$C$66""),INDIRECT(""'""&amp;CF$1&amp;""'!$D$4:$D$66"")=CF$2),$F$3:$BP$3,$F39:$BP39))),"""")"),0.14987932960000006)</f>
        <v>0.1498793296</v>
      </c>
      <c r="CH39" s="206"/>
      <c r="CI39" s="251">
        <f>IFERROR(__xludf.DUMMYFUNCTION("AVERAGE(ARRAYFORMULA(XLOOKUP(FILTER(INDIRECT(""'""&amp;CI$1&amp;""'!$C$4:$C$66""),INDIRECT(""'""&amp;CI$1&amp;""'!$D$4:$D$66"")=CI$2),$F$3:$BP$3,$F39:$BP39)))"),0.02063059933333332)</f>
        <v>0.02063059933</v>
      </c>
      <c r="CJ39" s="207" t="str">
        <f>IFERROR(__xludf.DUMMYFUNCTION("IF(OR(CI39&gt;$BR39+$BS39*$BS$2,CI39&lt;$BR39-$BS39*$BS$2),AVEDEV(ARRAYFORMULA(XLOOKUP(FILTER(INDIRECT(""'""&amp;CI$1&amp;""'!$C$4:$C$66""),INDIRECT(""'""&amp;CI$1&amp;""'!$D$4:$D$66"")=CI$2),$F$3:$BP$3,$F39:$BP39))),"""")"),"")</f>
        <v/>
      </c>
      <c r="CK39" s="251">
        <f>IFERROR(__xludf.DUMMYFUNCTION("AVERAGE(ARRAYFORMULA(XLOOKUP(FILTER(INDIRECT(""'""&amp;CK$1&amp;""'!$C$4:$C$66""),INDIRECT(""'""&amp;CK$1&amp;""'!$D$4:$D$66"")=CK$2),$F$3:$BP$3,$F39:$BP39)))"),-0.23051471051282052)</f>
        <v>-0.2305147105</v>
      </c>
      <c r="CL39" s="207" t="str">
        <f>IFERROR(__xludf.DUMMYFUNCTION("IF(OR(CK39&gt;$BR39+$BS39*$BS$2,CK39&lt;$BR39-$BS39*$BS$2),AVEDEV(ARRAYFORMULA(XLOOKUP(FILTER(INDIRECT(""'""&amp;CK$1&amp;""'!$C$4:$C$66""),INDIRECT(""'""&amp;CK$1&amp;""'!$D$4:$D$66"")=CK$2),$F$3:$BP$3,$F39:$BP39))),"""")"),"")</f>
        <v/>
      </c>
      <c r="CM39" s="253">
        <f>IFERROR(__xludf.DUMMYFUNCTION("AVERAGE(ARRAYFORMULA(XLOOKUP(FILTER(INDIRECT(""'""&amp;CM$1&amp;""'!$C$4:$C$66""),INDIRECT(""'""&amp;CM$1&amp;""'!$D$4:$D$66"")=CM$2),$F$3:$BP$3,$F39:$BP39)))"),0.4408719339999999)</f>
        <v>0.440871934</v>
      </c>
      <c r="CN39" s="207">
        <f>IFERROR(__xludf.DUMMYFUNCTION("IF(OR(CM39&gt;$BR39+$BS39*$BS$2,CM39&lt;$BR39-$BS39*$BS$2),AVEDEV(ARRAYFORMULA(XLOOKUP(FILTER(INDIRECT(""'""&amp;CM$1&amp;""'!$C$4:$C$66""),INDIRECT(""'""&amp;CM$1&amp;""'!$D$4:$D$66"")=CM$2),$F$3:$BP$3,$F39:$BP39))),"""")"),0.14987932960000006)</f>
        <v>0.1498793296</v>
      </c>
      <c r="CO39" s="252"/>
      <c r="CP39" s="251">
        <f>IFERROR(__xludf.DUMMYFUNCTION("AVERAGE(ARRAYFORMULA(XLOOKUP(FILTER(INDIRECT(""'""&amp;CP$1&amp;""'!$C$4:$C$66""),INDIRECT(""'""&amp;CP$1&amp;""'!$D$4:$D$66"")=CP$2),$F$3:$BP$3,$F39:$BP39)))"),-0.2305232621428571)</f>
        <v>-0.2305232621</v>
      </c>
      <c r="CQ39" s="207" t="str">
        <f>IFERROR(__xludf.DUMMYFUNCTION("IF(OR(CP39&gt;$BR39+$BS39*$BS$2,CP39&lt;$BR39-$BS39*$BS$2),AVEDEV(ARRAYFORMULA(XLOOKUP(FILTER(INDIRECT(""'""&amp;CP$1&amp;""'!$C$4:$C$66""),INDIRECT(""'""&amp;CP$1&amp;""'!$D$4:$D$66"")=CP$2),$F$3:$BP$3,$F39:$BP39))),"""")"),"")</f>
        <v/>
      </c>
      <c r="CR39" s="251">
        <f>IFERROR(__xludf.DUMMYFUNCTION("AVERAGE(ARRAYFORMULA(XLOOKUP(FILTER(INDIRECT(""'""&amp;CR$1&amp;""'!$C$4:$C$66""),INDIRECT(""'""&amp;CR$1&amp;""'!$D$4:$D$66"")=CR$2),$F$3:$BP$3,$F39:$BP39)))"),0.3294840233333333)</f>
        <v>0.3294840233</v>
      </c>
      <c r="CS39" s="207" t="str">
        <f>IFERROR(__xludf.DUMMYFUNCTION("IF(OR(CR39&gt;$BR39+$BS39*$BS$2,CR39&lt;$BR39-$BS39*$BS$2),AVEDEV(ARRAYFORMULA(XLOOKUP(FILTER(INDIRECT(""'""&amp;CR$1&amp;""'!$C$4:$C$66""),INDIRECT(""'""&amp;CR$1&amp;""'!$D$4:$D$66"")=CR$2),$F$3:$BP$3,$F39:$BP39))),"""")"),"")</f>
        <v/>
      </c>
      <c r="CT39" s="251">
        <f>IFERROR(__xludf.DUMMYFUNCTION("AVERAGE(ARRAYFORMULA(XLOOKUP(FILTER(INDIRECT(""'""&amp;CT$1&amp;""'!$C$4:$C$66""),INDIRECT(""'""&amp;CT$1&amp;""'!$D$4:$D$66"")=CT$2),$F$3:$BP$3,$F39:$BP39)))"),0.07033865363636362)</f>
        <v>0.07033865364</v>
      </c>
      <c r="CU39" s="207" t="str">
        <f>IFERROR(__xludf.DUMMYFUNCTION("IF(OR(CT39&gt;$BR39+$BS39*$BS$2,CT39&lt;$BR39-$BS39*$BS$2),AVEDEV(ARRAYFORMULA(XLOOKUP(FILTER(INDIRECT(""'""&amp;CT$1&amp;""'!$C$4:$C$66""),INDIRECT(""'""&amp;CT$1&amp;""'!$D$4:$D$66"")=CT$2),$F$3:$BP$3,$F39:$BP39))),"""")"),"")</f>
        <v/>
      </c>
      <c r="CV39" s="251">
        <f>IFERROR(__xludf.DUMMYFUNCTION("AVERAGE(ARRAYFORMULA(XLOOKUP(FILTER(INDIRECT(""'""&amp;CV$1&amp;""'!$C$4:$C$66""),INDIRECT(""'""&amp;CV$1&amp;""'!$D$4:$D$66"")=CV$2),$F$3:$BP$3,$F39:$BP39)))"),0.10354223)</f>
        <v>0.10354223</v>
      </c>
      <c r="CW39" s="207" t="str">
        <f>IFERROR(__xludf.DUMMYFUNCTION("IF(OR(CV39&gt;$BR39+$BS39*$BS$2,CV39&lt;$BR39-$BS39*$BS$2),AVEDEV(ARRAYFORMULA(XLOOKUP(FILTER(INDIRECT(""'""&amp;CV$1&amp;""'!$C$4:$C$66""),INDIRECT(""'""&amp;CV$1&amp;""'!$D$4:$D$66"")=CV$2),$F$3:$BP$3,$F39:$BP39))),"""")"),"")</f>
        <v/>
      </c>
      <c r="CX39" s="253">
        <f>IFERROR(__xludf.DUMMYFUNCTION("AVERAGE(ARRAYFORMULA(XLOOKUP(FILTER(INDIRECT(""'""&amp;CX$1&amp;""'!$C$4:$C$66""),INDIRECT(""'""&amp;CX$1&amp;""'!$D$4:$D$66"")=CX$2),$F$3:$BP$3,$F39:$BP39)))"),-0.3255074242857143)</f>
        <v>-0.3255074243</v>
      </c>
      <c r="CY39" s="207" t="str">
        <f>IFERROR(__xludf.DUMMYFUNCTION("IF(OR(CX39&gt;$BR39+$BS39*$BS$2,CX39&lt;$BR39-$BS39*$BS$2),AVEDEV(ARRAYFORMULA(XLOOKUP(FILTER(INDIRECT(""'""&amp;CX$1&amp;""'!$C$4:$C$66""),INDIRECT(""'""&amp;CX$1&amp;""'!$D$4:$D$66"")=CX$2),$F$3:$BP$3,$F39:$BP39))),"""")"),"")</f>
        <v/>
      </c>
      <c r="CZ39" s="252"/>
      <c r="DA39" s="251">
        <f>IFERROR(__xludf.DUMMYFUNCTION("AVERAGE(ARRAYFORMULA(XLOOKUP(FILTER(INDIRECT(""'""&amp;DA$1&amp;""'!$C$4:$C$66""),INDIRECT(""'""&amp;DA$1&amp;""'!$D$4:$D$66"")=DA$2),$F$3:$BP$3,$F39:$BP39)))"),-0.1818346903333334)</f>
        <v>-0.1818346903</v>
      </c>
      <c r="DB39" s="207" t="str">
        <f>IFERROR(__xludf.DUMMYFUNCTION("IF(OR(DA39&gt;$BR39+$BS39*$BS$2,DA39&lt;$BR39-$BS39*$BS$2),AVEDEV(ARRAYFORMULA(XLOOKUP(FILTER(INDIRECT(""'""&amp;DA$1&amp;""'!$C$4:$C$66""),INDIRECT(""'""&amp;DA$1&amp;""'!$D$4:$D$66"")=DA$2),$F$3:$BP$3,$F39:$BP39))),"""")"),"")</f>
        <v/>
      </c>
      <c r="DC39" s="251">
        <f>IFERROR(__xludf.DUMMYFUNCTION("AVERAGE(ARRAYFORMULA(XLOOKUP(FILTER(INDIRECT(""'""&amp;DC$1&amp;""'!$C$4:$C$66""),INDIRECT(""'""&amp;DC$1&amp;""'!$D$4:$D$66"")=DC$2),$F$3:$BP$3,$F39:$BP39)))"),0.42065655111111105)</f>
        <v>0.4206565511</v>
      </c>
      <c r="DD39" s="207">
        <f>IFERROR(__xludf.DUMMYFUNCTION("IF(OR(DC39&gt;$BR39+$BS39*$BS$2,DC39&lt;$BR39-$BS39*$BS$2),AVEDEV(ARRAYFORMULA(XLOOKUP(FILTER(INDIRECT(""'""&amp;DC$1&amp;""'!$C$4:$C$66""),INDIRECT(""'""&amp;DC$1&amp;""'!$D$4:$D$66"")=DC$2),$F$3:$BP$3,$F39:$BP39))),"""")"),0.3044562587654321)</f>
        <v>0.3044562588</v>
      </c>
      <c r="DE39" s="251">
        <f>IFERROR(__xludf.DUMMYFUNCTION("AVERAGE(ARRAYFORMULA(XLOOKUP(FILTER(INDIRECT(""'""&amp;DE$1&amp;""'!$C$4:$C$66""),INDIRECT(""'""&amp;DE$1&amp;""'!$D$4:$D$66"")=DE$2),$F$3:$BP$3,$F39:$BP39)))"),-0.60162027)</f>
        <v>-0.60162027</v>
      </c>
      <c r="DF39" s="207" t="str">
        <f>IFERROR(__xludf.DUMMYFUNCTION("IF(OR(DE39&gt;$BR39+$BS39*$BS$2,DE39&lt;$BR39-$BS39*$BS$2),AVEDEV(ARRAYFORMULA(XLOOKUP(FILTER(INDIRECT(""'""&amp;DE$1&amp;""'!$C$4:$C$66""),INDIRECT(""'""&amp;DE$1&amp;""'!$D$4:$D$66"")=DE$2),$F$3:$BP$3,$F39:$BP39))),"""")"),"")</f>
        <v/>
      </c>
      <c r="DG39" s="251">
        <f>IFERROR(__xludf.DUMMYFUNCTION("AVERAGE(ARRAYFORMULA(XLOOKUP(FILTER(INDIRECT(""'""&amp;DG$1&amp;""'!$C$4:$C$66""),INDIRECT(""'""&amp;DG$1&amp;""'!$D$4:$D$66"")=DG$2),$F$3:$BP$3,$F39:$BP39)))"),0.2100255177777778)</f>
        <v>0.2100255178</v>
      </c>
      <c r="DH39" s="207" t="str">
        <f>IFERROR(__xludf.DUMMYFUNCTION("IF(OR(DG39&gt;$BR39+$BS39*$BS$2,DG39&lt;$BR39-$BS39*$BS$2),AVEDEV(ARRAYFORMULA(XLOOKUP(FILTER(INDIRECT(""'""&amp;DG$1&amp;""'!$C$4:$C$66""),INDIRECT(""'""&amp;DG$1&amp;""'!$D$4:$D$66"")=DG$2),$F$3:$BP$3,$F39:$BP39))),"""")"),"")</f>
        <v/>
      </c>
      <c r="DI39" s="252"/>
    </row>
    <row r="40">
      <c r="A40" s="2"/>
      <c r="B40" s="204" t="s">
        <v>442</v>
      </c>
      <c r="C40" s="204" t="s">
        <v>480</v>
      </c>
      <c r="D40" s="205" t="b">
        <f>VLOOKUP(C40,'Feature Set List'!A37:C246,2,0)</f>
        <v>1</v>
      </c>
      <c r="E40" s="205" t="b">
        <f>VLOOKUP(C40,'Feature Set List'!A37:C246,3,0)</f>
        <v>0</v>
      </c>
      <c r="F40" s="205">
        <v>28.1428333</v>
      </c>
      <c r="G40" s="205">
        <v>0.0</v>
      </c>
      <c r="H40" s="205">
        <v>6.20056733</v>
      </c>
      <c r="I40" s="205">
        <v>0.0</v>
      </c>
      <c r="J40" s="205">
        <v>3.30418822</v>
      </c>
      <c r="K40" s="205">
        <v>0.81628567</v>
      </c>
      <c r="L40" s="205">
        <v>0.95311196</v>
      </c>
      <c r="M40" s="205">
        <v>0.0</v>
      </c>
      <c r="N40" s="205">
        <v>0.0</v>
      </c>
      <c r="O40" s="205">
        <v>0.96379109</v>
      </c>
      <c r="P40" s="205">
        <v>0.0</v>
      </c>
      <c r="Q40" s="205">
        <v>0.0</v>
      </c>
      <c r="R40" s="205">
        <v>0.0</v>
      </c>
      <c r="S40" s="205">
        <v>0.0</v>
      </c>
      <c r="T40" s="205">
        <v>0.0</v>
      </c>
      <c r="U40" s="205">
        <v>0.0</v>
      </c>
      <c r="V40" s="205">
        <v>0.57200067</v>
      </c>
      <c r="W40" s="205">
        <v>0.0</v>
      </c>
      <c r="X40" s="205">
        <v>12.3510763</v>
      </c>
      <c r="Y40" s="205">
        <v>0.0</v>
      </c>
      <c r="Z40" s="205">
        <v>0.0</v>
      </c>
      <c r="AA40" s="205">
        <v>1.06457534</v>
      </c>
      <c r="AB40" s="205">
        <v>3.01451694</v>
      </c>
      <c r="AC40" s="205">
        <v>0.0</v>
      </c>
      <c r="AD40" s="205">
        <v>0.0</v>
      </c>
      <c r="AE40" s="205">
        <v>1.03620891</v>
      </c>
      <c r="AF40" s="205">
        <v>0.0</v>
      </c>
      <c r="AG40" s="205">
        <v>4.24828967</v>
      </c>
      <c r="AH40" s="205">
        <v>0.0</v>
      </c>
      <c r="AI40" s="205">
        <v>0.0</v>
      </c>
      <c r="AJ40" s="205">
        <v>0.0</v>
      </c>
      <c r="AK40" s="205">
        <v>4.57200067</v>
      </c>
      <c r="AL40" s="205">
        <v>3.14533623</v>
      </c>
      <c r="AM40" s="205">
        <v>0.0</v>
      </c>
      <c r="AN40" s="205">
        <v>0.0</v>
      </c>
      <c r="AO40" s="205">
        <v>0.0</v>
      </c>
      <c r="AP40" s="205">
        <v>0.0</v>
      </c>
      <c r="AQ40" s="205">
        <v>0.0</v>
      </c>
      <c r="AR40" s="205">
        <v>1.33856166</v>
      </c>
      <c r="AS40" s="205">
        <v>8.31303187</v>
      </c>
      <c r="AT40" s="205">
        <v>0.0</v>
      </c>
      <c r="AU40" s="205">
        <v>0.0</v>
      </c>
      <c r="AV40" s="205">
        <v>0.0</v>
      </c>
      <c r="AW40" s="205">
        <v>0.0</v>
      </c>
      <c r="AX40" s="205">
        <v>0.0</v>
      </c>
      <c r="AY40" s="205">
        <v>0.0</v>
      </c>
      <c r="AZ40" s="205">
        <v>0.0</v>
      </c>
      <c r="BA40" s="205">
        <v>0.0</v>
      </c>
      <c r="BB40" s="205">
        <v>0.0</v>
      </c>
      <c r="BC40" s="205">
        <v>0.0</v>
      </c>
      <c r="BD40" s="205">
        <v>0.0</v>
      </c>
      <c r="BE40" s="205">
        <v>0.0</v>
      </c>
      <c r="BF40" s="205">
        <v>1.85082596</v>
      </c>
      <c r="BG40" s="205">
        <v>0.0</v>
      </c>
      <c r="BH40" s="205">
        <v>0.0</v>
      </c>
      <c r="BI40" s="205">
        <v>0.0</v>
      </c>
      <c r="BJ40" s="205">
        <v>0.0</v>
      </c>
      <c r="BK40" s="205">
        <v>129.851493</v>
      </c>
      <c r="BL40" s="205">
        <v>7.47872518</v>
      </c>
      <c r="BM40" s="205">
        <v>0.0</v>
      </c>
      <c r="BN40" s="205">
        <v>6.11046221</v>
      </c>
      <c r="BO40" s="205">
        <v>0.0</v>
      </c>
      <c r="BP40" s="205">
        <v>0.0</v>
      </c>
      <c r="BQ40" s="206"/>
      <c r="BR40" s="250">
        <f t="shared" si="1"/>
        <v>3.57663305</v>
      </c>
      <c r="BS40" s="250">
        <f t="shared" si="2"/>
        <v>5.558056574</v>
      </c>
      <c r="BT40" s="206"/>
      <c r="BU40" s="207">
        <f>IFERROR(__xludf.DUMMYFUNCTION("AVERAGE(ARRAYFORMULA(XLOOKUP(FILTER(INDIRECT(""'""&amp;BU$1&amp;""'!$C$4:$C$66""),INDIRECT(""'""&amp;BU$1&amp;""'!$D$4:$D$66"")=BU$2),$F$3:$BP$3,$F40:$BP40)))"),18.550213285714285)</f>
        <v>18.55021329</v>
      </c>
      <c r="BV40" s="207">
        <f>IFERROR(__xludf.DUMMYFUNCTION("IF(OR(BU40&gt;$BR40+$BS40*$BS$2,BU40&lt;$BR40-$BS40*$BS$2),AVEDEV(ARRAYFORMULA(XLOOKUP(FILTER(INDIRECT(""'""&amp;BU$1&amp;""'!$C$4:$C$66""),INDIRECT(""'""&amp;BU$1&amp;""'!$D$4:$D$66"")=BU$2),$F$3:$BP$3,$F40:$BP40))),"""")"),31.800365632653058)</f>
        <v>31.80036563</v>
      </c>
      <c r="BW40" s="207">
        <f>IFERROR(__xludf.DUMMYFUNCTION("AVERAGE(ARRAYFORMULA(XLOOKUP(FILTER(INDIRECT(""'""&amp;BW$1&amp;""'!$C$4:$C$66""),INDIRECT(""'""&amp;BW$1&amp;""'!$D$4:$D$66"")=BW$2),$F$3:$BP$3,$F40:$BP40)))"),0.8800425897619049)</f>
        <v>0.8800425898</v>
      </c>
      <c r="BX40" s="207" t="str">
        <f>IFERROR(__xludf.DUMMYFUNCTION("IF(OR(BW40&gt;$BR40+$BS40*$BS$2,BW40&lt;$BR40-$BS40*$BS$2),AVEDEV(ARRAYFORMULA(XLOOKUP(FILTER(INDIRECT(""'""&amp;BW$1&amp;""'!$C$4:$C$66""),INDIRECT(""'""&amp;BW$1&amp;""'!$D$4:$D$66"")=BW$2),$F$3:$BP$3,$F40:$BP40))),"""")"),"")</f>
        <v/>
      </c>
      <c r="BY40" s="207">
        <f>IFERROR(__xludf.DUMMYFUNCTION("AVERAGE(ARRAYFORMULA(XLOOKUP(FILTER(INDIRECT(""'""&amp;BY$1&amp;""'!$C$4:$C$66""),INDIRECT(""'""&amp;BY$1&amp;""'!$D$4:$D$66"")=BY$2),$F$3:$BP$3,$F40:$BP40)))"),4.755821189090909)</f>
        <v>4.755821189</v>
      </c>
      <c r="BZ40" s="207" t="str">
        <f>IFERROR(__xludf.DUMMYFUNCTION("IF(OR(BY40&gt;$BR40+$BS40*$BS$2,BY40&lt;$BR40-$BS40*$BS$2),AVEDEV(ARRAYFORMULA(XLOOKUP(FILTER(INDIRECT(""'""&amp;BY$1&amp;""'!$C$4:$C$66""),INDIRECT(""'""&amp;BY$1&amp;""'!$D$4:$D$66"")=BY$2),$F$3:$BP$3,$F40:$BP40))),"""")"),"")</f>
        <v/>
      </c>
      <c r="CA40" s="209"/>
      <c r="CB40" s="207">
        <f>IFERROR(__xludf.DUMMYFUNCTION("AVERAGE(ARRAYFORMULA(XLOOKUP(FILTER(INDIRECT(""'""&amp;CB$1&amp;""'!$C$4:$C$66""),INDIRECT(""'""&amp;CB$1&amp;""'!$D$4:$D$66"")=CB$2),$F$3:$BP$3,$F40:$BP40)))"),0.726076255625)</f>
        <v>0.7260762556</v>
      </c>
      <c r="CC40" s="207" t="str">
        <f>IFERROR(__xludf.DUMMYFUNCTION("IF(OR(CB40&gt;$BR40+$BS40*$BS$2,CB40&lt;$BR40-$BS40*$BS$2),AVEDEV(ARRAYFORMULA(XLOOKUP(FILTER(INDIRECT(""'""&amp;CB$1&amp;""'!$C$4:$C$66""),INDIRECT(""'""&amp;CB$1&amp;""'!$D$4:$D$66"")=CB$2),$F$3:$BP$3,$F40:$BP40))),"""")"),"")</f>
        <v/>
      </c>
      <c r="CD40" s="207">
        <f>IFERROR(__xludf.DUMMYFUNCTION("AVERAGE(ARRAYFORMULA(XLOOKUP(FILTER(INDIRECT(""'""&amp;CD$1&amp;""'!$C$4:$C$66""),INDIRECT(""'""&amp;CD$1&amp;""'!$D$4:$D$66"")=CD$2),$F$3:$BP$3,$F40:$BP40)))"),1.0249484632258063)</f>
        <v>1.024948463</v>
      </c>
      <c r="CE40" s="207" t="str">
        <f>IFERROR(__xludf.DUMMYFUNCTION("IF(OR(CD40&gt;$BR40+$BS40*$BS$2,CD40&lt;$BR40-$BS40*$BS$2),AVEDEV(ARRAYFORMULA(XLOOKUP(FILTER(INDIRECT(""'""&amp;CD$1&amp;""'!$C$4:$C$66""),INDIRECT(""'""&amp;CD$1&amp;""'!$D$4:$D$66"")=CD$2),$F$3:$BP$3,$F40:$BP40))),"""")"),"")</f>
        <v/>
      </c>
      <c r="CF40" s="207">
        <f>IFERROR(__xludf.DUMMYFUNCTION("AVERAGE(ARRAYFORMULA(XLOOKUP(FILTER(INDIRECT(""'""&amp;CF$1&amp;""'!$C$4:$C$66""),INDIRECT(""'""&amp;CF$1&amp;""'!$D$4:$D$66"")=CF$2),$F$3:$BP$3,$F40:$BP40)))"),0.8306357419999999)</f>
        <v>0.830635742</v>
      </c>
      <c r="CG40" s="207" t="str">
        <f>IFERROR(__xludf.DUMMYFUNCTION("IF(OR(CF40&gt;$BR40+$BS40*$BS$2,CF40&lt;$BR40-$BS40*$BS$2),AVEDEV(ARRAYFORMULA(XLOOKUP(FILTER(INDIRECT(""'""&amp;CF$1&amp;""'!$C$4:$C$66""),INDIRECT(""'""&amp;CF$1&amp;""'!$D$4:$D$66"")=CF$2),$F$3:$BP$3,$F40:$BP40))),"""")"),"")</f>
        <v/>
      </c>
      <c r="CH40" s="206"/>
      <c r="CI40" s="251">
        <f>IFERROR(__xludf.DUMMYFUNCTION("AVERAGE(ARRAYFORMULA(XLOOKUP(FILTER(INDIRECT(""'""&amp;CI$1&amp;""'!$C$4:$C$66""),INDIRECT(""'""&amp;CI$1&amp;""'!$D$4:$D$66"")=CI$2),$F$3:$BP$3,$F40:$BP40)))"),4.714900720666667)</f>
        <v>4.714900721</v>
      </c>
      <c r="CJ40" s="207" t="str">
        <f>IFERROR(__xludf.DUMMYFUNCTION("IF(OR(CI40&gt;$BR40+$BS40*$BS$2,CI40&lt;$BR40-$BS40*$BS$2),AVEDEV(ARRAYFORMULA(XLOOKUP(FILTER(INDIRECT(""'""&amp;CI$1&amp;""'!$C$4:$C$66""),INDIRECT(""'""&amp;CI$1&amp;""'!$D$4:$D$66"")=CI$2),$F$3:$BP$3,$F40:$BP40))),"""")"),"")</f>
        <v/>
      </c>
      <c r="CK40" s="251">
        <f>IFERROR(__xludf.DUMMYFUNCTION("AVERAGE(ARRAYFORMULA(XLOOKUP(FILTER(INDIRECT(""'""&amp;CK$1&amp;""'!$C$4:$C$66""),INDIRECT(""'""&amp;CK$1&amp;""'!$D$4:$D$66"")=CK$2),$F$3:$BP$3,$F40:$BP40)))"),0.3692085212820512)</f>
        <v>0.3692085213</v>
      </c>
      <c r="CL40" s="207" t="str">
        <f>IFERROR(__xludf.DUMMYFUNCTION("IF(OR(CK40&gt;$BR40+$BS40*$BS$2,CK40&lt;$BR40-$BS40*$BS$2),AVEDEV(ARRAYFORMULA(XLOOKUP(FILTER(INDIRECT(""'""&amp;CK$1&amp;""'!$C$4:$C$66""),INDIRECT(""'""&amp;CK$1&amp;""'!$D$4:$D$66"")=CK$2),$F$3:$BP$3,$F40:$BP40))),"""")"),"")</f>
        <v/>
      </c>
      <c r="CM40" s="251">
        <f>IFERROR(__xludf.DUMMYFUNCTION("AVERAGE(ARRAYFORMULA(XLOOKUP(FILTER(INDIRECT(""'""&amp;CM$1&amp;""'!$C$4:$C$66""),INDIRECT(""'""&amp;CM$1&amp;""'!$D$4:$D$66"")=CM$2),$F$3:$BP$3,$F40:$BP40)))"),0.8306357419999999)</f>
        <v>0.830635742</v>
      </c>
      <c r="CN40" s="207" t="str">
        <f>IFERROR(__xludf.DUMMYFUNCTION("IF(OR(CM40&gt;$BR40+$BS40*$BS$2,CM40&lt;$BR40-$BS40*$BS$2),AVEDEV(ARRAYFORMULA(XLOOKUP(FILTER(INDIRECT(""'""&amp;CM$1&amp;""'!$C$4:$C$66""),INDIRECT(""'""&amp;CM$1&amp;""'!$D$4:$D$66"")=CM$2),$F$3:$BP$3,$F40:$BP40))),"""")"),"")</f>
        <v/>
      </c>
      <c r="CO40" s="252"/>
      <c r="CP40" s="251">
        <f>IFERROR(__xludf.DUMMYFUNCTION("AVERAGE(ARRAYFORMULA(XLOOKUP(FILTER(INDIRECT(""'""&amp;CP$1&amp;""'!$C$4:$C$66""),INDIRECT(""'""&amp;CP$1&amp;""'!$D$4:$D$66"")=CP$2),$F$3:$BP$3,$F40:$BP40)))"),0.3265714764285715)</f>
        <v>0.3265714764</v>
      </c>
      <c r="CQ40" s="207" t="str">
        <f>IFERROR(__xludf.DUMMYFUNCTION("IF(OR(CP40&gt;$BR40+$BS40*$BS$2,CP40&lt;$BR40-$BS40*$BS$2),AVEDEV(ARRAYFORMULA(XLOOKUP(FILTER(INDIRECT(""'""&amp;CP$1&amp;""'!$C$4:$C$66""),INDIRECT(""'""&amp;CP$1&amp;""'!$D$4:$D$66"")=CP$2),$F$3:$BP$3,$F40:$BP40))),"""")"),"")</f>
        <v/>
      </c>
      <c r="CR40" s="251">
        <f>IFERROR(__xludf.DUMMYFUNCTION("AVERAGE(ARRAYFORMULA(XLOOKUP(FILTER(INDIRECT(""'""&amp;CR$1&amp;""'!$C$4:$C$66""),INDIRECT(""'""&amp;CR$1&amp;""'!$D$4:$D$66"")=CR$2),$F$3:$BP$3,$F40:$BP40)))"),4.9817008777777785)</f>
        <v>4.981700878</v>
      </c>
      <c r="CS40" s="207" t="str">
        <f>IFERROR(__xludf.DUMMYFUNCTION("IF(OR(CR40&gt;$BR40+$BS40*$BS$2,CR40&lt;$BR40-$BS40*$BS$2),AVEDEV(ARRAYFORMULA(XLOOKUP(FILTER(INDIRECT(""'""&amp;CR$1&amp;""'!$C$4:$C$66""),INDIRECT(""'""&amp;CR$1&amp;""'!$D$4:$D$66"")=CR$2),$F$3:$BP$3,$F40:$BP40))),"""")"),"")</f>
        <v/>
      </c>
      <c r="CT40" s="251">
        <f>IFERROR(__xludf.DUMMYFUNCTION("AVERAGE(ARRAYFORMULA(XLOOKUP(FILTER(INDIRECT(""'""&amp;CT$1&amp;""'!$C$4:$C$66""),INDIRECT(""'""&amp;CT$1&amp;""'!$D$4:$D$66"")=CT$2),$F$3:$BP$3,$F40:$BP40)))"),2.52245802)</f>
        <v>2.52245802</v>
      </c>
      <c r="CU40" s="207" t="str">
        <f>IFERROR(__xludf.DUMMYFUNCTION("IF(OR(CT40&gt;$BR40+$BS40*$BS$2,CT40&lt;$BR40-$BS40*$BS$2),AVEDEV(ARRAYFORMULA(XLOOKUP(FILTER(INDIRECT(""'""&amp;CT$1&amp;""'!$C$4:$C$66""),INDIRECT(""'""&amp;CT$1&amp;""'!$D$4:$D$66"")=CT$2),$F$3:$BP$3,$F40:$BP40))),"""")"),"")</f>
        <v/>
      </c>
      <c r="CV40" s="251">
        <f>IFERROR(__xludf.DUMMYFUNCTION("AVERAGE(ARRAYFORMULA(XLOOKUP(FILTER(INDIRECT(""'""&amp;CV$1&amp;""'!$C$4:$C$66""),INDIRECT(""'""&amp;CV$1&amp;""'!$D$4:$D$66"")=CV$2),$F$3:$BP$3,$F40:$BP40)))"),0.0)</f>
        <v>0</v>
      </c>
      <c r="CW40" s="207" t="str">
        <f>IFERROR(__xludf.DUMMYFUNCTION("IF(OR(CV40&gt;$BR40+$BS40*$BS$2,CV40&lt;$BR40-$BS40*$BS$2),AVEDEV(ARRAYFORMULA(XLOOKUP(FILTER(INDIRECT(""'""&amp;CV$1&amp;""'!$C$4:$C$66""),INDIRECT(""'""&amp;CV$1&amp;""'!$D$4:$D$66"")=CV$2),$F$3:$BP$3,$F40:$BP40))),"""")"),"")</f>
        <v/>
      </c>
      <c r="CX40" s="251">
        <f>IFERROR(__xludf.DUMMYFUNCTION("AVERAGE(ARRAYFORMULA(XLOOKUP(FILTER(INDIRECT(""'""&amp;CX$1&amp;""'!$C$4:$C$66""),INDIRECT(""'""&amp;CX$1&amp;""'!$D$4:$D$66"")=CX$2),$F$3:$BP$3,$F40:$BP40)))"),0.0)</f>
        <v>0</v>
      </c>
      <c r="CY40" s="207" t="str">
        <f>IFERROR(__xludf.DUMMYFUNCTION("IF(OR(CX40&gt;$BR40+$BS40*$BS$2,CX40&lt;$BR40-$BS40*$BS$2),AVEDEV(ARRAYFORMULA(XLOOKUP(FILTER(INDIRECT(""'""&amp;CX$1&amp;""'!$C$4:$C$66""),INDIRECT(""'""&amp;CX$1&amp;""'!$D$4:$D$66"")=CX$2),$F$3:$BP$3,$F40:$BP40))),"""")"),"")</f>
        <v/>
      </c>
      <c r="CZ40" s="252"/>
      <c r="DA40" s="251">
        <f>IFERROR(__xludf.DUMMYFUNCTION("AVERAGE(ARRAYFORMULA(XLOOKUP(FILTER(INDIRECT(""'""&amp;DA$1&amp;""'!$C$4:$C$66""),INDIRECT(""'""&amp;DA$1&amp;""'!$D$4:$D$66"")=DA$2),$F$3:$BP$3,$F40:$BP40)))"),0.8789142890000001)</f>
        <v>0.878914289</v>
      </c>
      <c r="DB40" s="207" t="str">
        <f>IFERROR(__xludf.DUMMYFUNCTION("IF(OR(DA40&gt;$BR40+$BS40*$BS$2,DA40&lt;$BR40-$BS40*$BS$2),AVEDEV(ARRAYFORMULA(XLOOKUP(FILTER(INDIRECT(""'""&amp;DA$1&amp;""'!$C$4:$C$66""),INDIRECT(""'""&amp;DA$1&amp;""'!$D$4:$D$66"")=DA$2),$F$3:$BP$3,$F40:$BP40))),"""")"),"")</f>
        <v/>
      </c>
      <c r="DC40" s="251">
        <f>IFERROR(__xludf.DUMMYFUNCTION("AVERAGE(ARRAYFORMULA(XLOOKUP(FILTER(INDIRECT(""'""&amp;DC$1&amp;""'!$C$4:$C$66""),INDIRECT(""'""&amp;DC$1&amp;""'!$D$4:$D$66"")=DC$2),$F$3:$BP$3,$F40:$BP40)))"),4.325194207777778)</f>
        <v>4.325194208</v>
      </c>
      <c r="DD40" s="207" t="str">
        <f>IFERROR(__xludf.DUMMYFUNCTION("IF(OR(DC40&gt;$BR40+$BS40*$BS$2,DC40&lt;$BR40-$BS40*$BS$2),AVEDEV(ARRAYFORMULA(XLOOKUP(FILTER(INDIRECT(""'""&amp;DC$1&amp;""'!$C$4:$C$66""),INDIRECT(""'""&amp;DC$1&amp;""'!$D$4:$D$66"")=DC$2),$F$3:$BP$3,$F40:$BP40))),"""")"),"")</f>
        <v/>
      </c>
      <c r="DE40" s="251">
        <f>IFERROR(__xludf.DUMMYFUNCTION("AVERAGE(ARRAYFORMULA(XLOOKUP(FILTER(INDIRECT(""'""&amp;DE$1&amp;""'!$C$4:$C$66""),INDIRECT(""'""&amp;DE$1&amp;""'!$D$4:$D$66"")=DE$2),$F$3:$BP$3,$F40:$BP40)))"),0.0)</f>
        <v>0</v>
      </c>
      <c r="DF40" s="207" t="str">
        <f>IFERROR(__xludf.DUMMYFUNCTION("IF(OR(DE40&gt;$BR40+$BS40*$BS$2,DE40&lt;$BR40-$BS40*$BS$2),AVEDEV(ARRAYFORMULA(XLOOKUP(FILTER(INDIRECT(""'""&amp;DE$1&amp;""'!$C$4:$C$66""),INDIRECT(""'""&amp;DE$1&amp;""'!$D$4:$D$66"")=DE$2),$F$3:$BP$3,$F40:$BP40))),"""")"),"")</f>
        <v/>
      </c>
      <c r="DG40" s="251">
        <f>IFERROR(__xludf.DUMMYFUNCTION("AVERAGE(ARRAYFORMULA(XLOOKUP(FILTER(INDIRECT(""'""&amp;DG$1&amp;""'!$C$4:$C$66""),INDIRECT(""'""&amp;DG$1&amp;""'!$D$4:$D$66"")=DG$2),$F$3:$BP$3,$F40:$BP40)))"),2.6646272566666673)</f>
        <v>2.664627257</v>
      </c>
      <c r="DH40" s="207" t="str">
        <f>IFERROR(__xludf.DUMMYFUNCTION("IF(OR(DG40&gt;$BR40+$BS40*$BS$2,DG40&lt;$BR40-$BS40*$BS$2),AVEDEV(ARRAYFORMULA(XLOOKUP(FILTER(INDIRECT(""'""&amp;DG$1&amp;""'!$C$4:$C$66""),INDIRECT(""'""&amp;DG$1&amp;""'!$D$4:$D$66"")=DG$2),$F$3:$BP$3,$F40:$BP40))),"""")"),"")</f>
        <v/>
      </c>
      <c r="DI40" s="252"/>
    </row>
    <row r="41">
      <c r="A41" s="2"/>
      <c r="B41" s="204" t="s">
        <v>442</v>
      </c>
      <c r="C41" s="204" t="s">
        <v>481</v>
      </c>
      <c r="D41" s="205" t="b">
        <f>VLOOKUP(C41,'Feature Set List'!A38:C246,2,0)</f>
        <v>1</v>
      </c>
      <c r="E41" s="205" t="b">
        <f>VLOOKUP(C41,'Feature Set List'!A38:C246,3,0)</f>
        <v>0</v>
      </c>
      <c r="F41" s="205">
        <v>-0.0947564</v>
      </c>
      <c r="G41" s="205">
        <v>0.70241106</v>
      </c>
      <c r="H41" s="205">
        <v>-0.3053448</v>
      </c>
      <c r="I41" s="205">
        <v>1.48052605</v>
      </c>
      <c r="J41" s="205">
        <v>4.38897319</v>
      </c>
      <c r="K41" s="205">
        <v>0.0</v>
      </c>
      <c r="L41" s="205">
        <v>0.19979767</v>
      </c>
      <c r="M41" s="205">
        <v>0.43904906</v>
      </c>
      <c r="N41" s="205">
        <v>-0.1139774</v>
      </c>
      <c r="O41" s="205">
        <v>-0.2291351</v>
      </c>
      <c r="P41" s="205">
        <v>-0.6186141</v>
      </c>
      <c r="Q41" s="205">
        <v>2.76530096</v>
      </c>
      <c r="R41" s="205">
        <v>0.33097285</v>
      </c>
      <c r="S41" s="205">
        <v>1.1736638</v>
      </c>
      <c r="T41" s="205">
        <v>0.25392008</v>
      </c>
      <c r="U41" s="205">
        <v>1.37599056</v>
      </c>
      <c r="V41" s="205">
        <v>0.8263362</v>
      </c>
      <c r="W41" s="205">
        <v>-0.102175</v>
      </c>
      <c r="X41" s="205">
        <v>1.66936436</v>
      </c>
      <c r="Y41" s="205">
        <v>1.04029675</v>
      </c>
      <c r="Z41" s="205">
        <v>-0.1606812</v>
      </c>
      <c r="AA41" s="205">
        <v>-0.4572753</v>
      </c>
      <c r="AB41" s="205">
        <v>0.33333333</v>
      </c>
      <c r="AC41" s="205">
        <v>-0.2389142</v>
      </c>
      <c r="AD41" s="205">
        <v>1.04602934</v>
      </c>
      <c r="AE41" s="205">
        <v>-0.0950936</v>
      </c>
      <c r="AF41" s="205">
        <v>-0.1385938</v>
      </c>
      <c r="AG41" s="205">
        <v>1.52773563</v>
      </c>
      <c r="AH41" s="205">
        <v>0.88079582</v>
      </c>
      <c r="AI41" s="205">
        <v>-0.6186141</v>
      </c>
      <c r="AJ41" s="205">
        <v>1.22593155</v>
      </c>
      <c r="AK41" s="205">
        <v>-0.2721295</v>
      </c>
      <c r="AL41" s="205">
        <v>0.70561457</v>
      </c>
      <c r="AM41" s="205">
        <v>1.13657056</v>
      </c>
      <c r="AN41" s="205">
        <v>-0.4541224</v>
      </c>
      <c r="AO41" s="205">
        <v>0.60023605</v>
      </c>
      <c r="AP41" s="205">
        <v>-0.4147699</v>
      </c>
      <c r="AQ41" s="205">
        <v>0.12662283</v>
      </c>
      <c r="AR41" s="205">
        <v>0.66632946</v>
      </c>
      <c r="AS41" s="205">
        <v>-0.1385938</v>
      </c>
      <c r="AT41" s="205">
        <v>-0.6186141</v>
      </c>
      <c r="AU41" s="205">
        <v>-0.1279717</v>
      </c>
      <c r="AV41" s="205">
        <v>-0.6186141</v>
      </c>
      <c r="AW41" s="205">
        <v>0.00202327</v>
      </c>
      <c r="AX41" s="205">
        <v>-0.6186141</v>
      </c>
      <c r="AY41" s="205">
        <v>1.24785028</v>
      </c>
      <c r="AZ41" s="205">
        <v>-0.04232</v>
      </c>
      <c r="BA41" s="205">
        <v>-0.179565</v>
      </c>
      <c r="BB41" s="205">
        <v>0.10301804</v>
      </c>
      <c r="BC41" s="205">
        <v>-0.1488788</v>
      </c>
      <c r="BD41" s="205">
        <v>-0.0234362</v>
      </c>
      <c r="BE41" s="205">
        <v>0.19558253</v>
      </c>
      <c r="BF41" s="205">
        <v>1.25122239</v>
      </c>
      <c r="BG41" s="205">
        <v>-0.2448154</v>
      </c>
      <c r="BH41" s="205">
        <v>-0.3754847</v>
      </c>
      <c r="BI41" s="205">
        <v>-0.1347159</v>
      </c>
      <c r="BJ41" s="205">
        <v>-0.6186141</v>
      </c>
      <c r="BK41" s="205">
        <v>0.03743045</v>
      </c>
      <c r="BL41" s="205">
        <v>-0.5241612</v>
      </c>
      <c r="BM41" s="205">
        <v>0.18293711</v>
      </c>
      <c r="BN41" s="205">
        <v>24.773394</v>
      </c>
      <c r="BO41" s="205">
        <v>-0.4504299</v>
      </c>
      <c r="BP41" s="205">
        <v>-0.0898668</v>
      </c>
      <c r="BQ41" s="206"/>
      <c r="BR41" s="250">
        <f t="shared" si="1"/>
        <v>0.6892121778</v>
      </c>
      <c r="BS41" s="250">
        <f t="shared" si="2"/>
        <v>1.168640885</v>
      </c>
      <c r="BT41" s="206"/>
      <c r="BU41" s="207">
        <f>IFERROR(__xludf.DUMMYFUNCTION("AVERAGE(ARRAYFORMULA(XLOOKUP(FILTER(INDIRECT(""'""&amp;BU$1&amp;""'!$C$4:$C$66""),INDIRECT(""'""&amp;BU$1&amp;""'!$D$4:$D$66"")=BU$2),$F$3:$BP$3,$F41:$BP41)))"),-0.15522316714285714)</f>
        <v>-0.1552231671</v>
      </c>
      <c r="BV41" s="207" t="str">
        <f>IFERROR(__xludf.DUMMYFUNCTION("IF(OR(BU41&gt;$BR41+$BS41*$BS$2,BU41&lt;$BR41-$BS41*$BS$2),AVEDEV(ARRAYFORMULA(XLOOKUP(FILTER(INDIRECT(""'""&amp;BU$1&amp;""'!$C$4:$C$66""),INDIRECT(""'""&amp;BU$1&amp;""'!$D$4:$D$66"")=BU$2),$F$3:$BP$3,$F41:$BP41))),"""")"),"")</f>
        <v/>
      </c>
      <c r="BW41" s="207">
        <f>IFERROR(__xludf.DUMMYFUNCTION("AVERAGE(ARRAYFORMULA(XLOOKUP(FILTER(INDIRECT(""'""&amp;BW$1&amp;""'!$C$4:$C$66""),INDIRECT(""'""&amp;BW$1&amp;""'!$D$4:$D$66"")=BW$2),$F$3:$BP$3,$F41:$BP41)))"),0.986862406190476)</f>
        <v>0.9868624062</v>
      </c>
      <c r="BX41" s="207" t="str">
        <f>IFERROR(__xludf.DUMMYFUNCTION("IF(OR(BW41&gt;$BR41+$BS41*$BS$2,BW41&lt;$BR41-$BS41*$BS$2),AVEDEV(ARRAYFORMULA(XLOOKUP(FILTER(INDIRECT(""'""&amp;BW$1&amp;""'!$C$4:$C$66""),INDIRECT(""'""&amp;BW$1&amp;""'!$D$4:$D$66"")=BW$2),$F$3:$BP$3,$F41:$BP41))),"""")"),"")</f>
        <v/>
      </c>
      <c r="BY41" s="207">
        <f>IFERROR(__xludf.DUMMYFUNCTION("AVERAGE(ARRAYFORMULA(XLOOKUP(FILTER(INDIRECT(""'""&amp;BY$1&amp;""'!$C$4:$C$66""),INDIRECT(""'""&amp;BY$1&amp;""'!$D$4:$D$66"")=BY$2),$F$3:$BP$3,$F41:$BP41)))"),0.37559509181818185)</f>
        <v>0.3755950918</v>
      </c>
      <c r="BZ41" s="207" t="str">
        <f>IFERROR(__xludf.DUMMYFUNCTION("IF(OR(BY41&gt;$BR41+$BS41*$BS$2,BY41&lt;$BR41-$BS41*$BS$2),AVEDEV(ARRAYFORMULA(XLOOKUP(FILTER(INDIRECT(""'""&amp;BY$1&amp;""'!$C$4:$C$66""),INDIRECT(""'""&amp;BY$1&amp;""'!$D$4:$D$66"")=BY$2),$F$3:$BP$3,$F41:$BP41))),"""")"),"")</f>
        <v/>
      </c>
      <c r="CA41" s="209"/>
      <c r="CB41" s="207">
        <f>IFERROR(__xludf.DUMMYFUNCTION("AVERAGE(ARRAYFORMULA(XLOOKUP(FILTER(INDIRECT(""'""&amp;CB$1&amp;""'!$C$4:$C$66""),INDIRECT(""'""&amp;CB$1&amp;""'!$D$4:$D$66"")=CB$2),$F$3:$BP$3,$F41:$BP41)))"),0.6937067931249999)</f>
        <v>0.6937067931</v>
      </c>
      <c r="CC41" s="207" t="str">
        <f>IFERROR(__xludf.DUMMYFUNCTION("IF(OR(CB41&gt;$BR41+$BS41*$BS$2,CB41&lt;$BR41-$BS41*$BS$2),AVEDEV(ARRAYFORMULA(XLOOKUP(FILTER(INDIRECT(""'""&amp;CB$1&amp;""'!$C$4:$C$66""),INDIRECT(""'""&amp;CB$1&amp;""'!$D$4:$D$66"")=CB$2),$F$3:$BP$3,$F41:$BP41))),"""")"),"")</f>
        <v/>
      </c>
      <c r="CD41" s="207">
        <f>IFERROR(__xludf.DUMMYFUNCTION("AVERAGE(ARRAYFORMULA(XLOOKUP(FILTER(INDIRECT(""'""&amp;CD$1&amp;""'!$C$4:$C$66""),INDIRECT(""'""&amp;CD$1&amp;""'!$D$4:$D$66"")=CD$2),$F$3:$BP$3,$F41:$BP41)))"),0.21967355193548385)</f>
        <v>0.2196735519</v>
      </c>
      <c r="CE41" s="207" t="str">
        <f>IFERROR(__xludf.DUMMYFUNCTION("IF(OR(CD41&gt;$BR41+$BS41*$BS$2,CD41&lt;$BR41-$BS41*$BS$2),AVEDEV(ARRAYFORMULA(XLOOKUP(FILTER(INDIRECT(""'""&amp;CD$1&amp;""'!$C$4:$C$66""),INDIRECT(""'""&amp;CD$1&amp;""'!$D$4:$D$66"")=CD$2),$F$3:$BP$3,$F41:$BP41))),"""")"),"")</f>
        <v/>
      </c>
      <c r="CF41" s="207">
        <f>IFERROR(__xludf.DUMMYFUNCTION("AVERAGE(ARRAYFORMULA(XLOOKUP(FILTER(INDIRECT(""'""&amp;CF$1&amp;""'!$C$4:$C$66""),INDIRECT(""'""&amp;CF$1&amp;""'!$D$4:$D$66"")=CF$2),$F$3:$BP$3,$F41:$BP41)))"),0.56395211)</f>
        <v>0.56395211</v>
      </c>
      <c r="CG41" s="207" t="str">
        <f>IFERROR(__xludf.DUMMYFUNCTION("IF(OR(CF41&gt;$BR41+$BS41*$BS$2,CF41&lt;$BR41-$BS41*$BS$2),AVEDEV(ARRAYFORMULA(XLOOKUP(FILTER(INDIRECT(""'""&amp;CF$1&amp;""'!$C$4:$C$66""),INDIRECT(""'""&amp;CF$1&amp;""'!$D$4:$D$66"")=CF$2),$F$3:$BP$3,$F41:$BP41))),"""")"),"")</f>
        <v/>
      </c>
      <c r="CH41" s="206"/>
      <c r="CI41" s="251">
        <f>IFERROR(__xludf.DUMMYFUNCTION("AVERAGE(ARRAYFORMULA(XLOOKUP(FILTER(INDIRECT(""'""&amp;CI$1&amp;""'!$C$4:$C$66""),INDIRECT(""'""&amp;CI$1&amp;""'!$D$4:$D$66"")=CI$2),$F$3:$BP$3,$F41:$BP41)))"),1.8908121133333333)</f>
        <v>1.890812113</v>
      </c>
      <c r="CJ41" s="207">
        <f>IFERROR(__xludf.DUMMYFUNCTION("IF(OR(CI41&gt;$BR41+$BS41*$BS$2,CI41&lt;$BR41-$BS41*$BS$2),AVEDEV(ARRAYFORMULA(XLOOKUP(FILTER(INDIRECT(""'""&amp;CI$1&amp;""'!$C$4:$C$66""),INDIRECT(""'""&amp;CI$1&amp;""'!$D$4:$D$66"")=CI$2),$F$3:$BP$3,$F41:$BP41))),"""")"),3.0510109182222225)</f>
        <v>3.051010918</v>
      </c>
      <c r="CK41" s="251">
        <f>IFERROR(__xludf.DUMMYFUNCTION("AVERAGE(ARRAYFORMULA(XLOOKUP(FILTER(INDIRECT(""'""&amp;CK$1&amp;""'!$C$4:$C$66""),INDIRECT(""'""&amp;CK$1&amp;""'!$D$4:$D$66"")=CK$2),$F$3:$BP$3,$F41:$BP41)))"),0.3403546717948717)</f>
        <v>0.3403546718</v>
      </c>
      <c r="CL41" s="207" t="str">
        <f>IFERROR(__xludf.DUMMYFUNCTION("IF(OR(CK41&gt;$BR41+$BS41*$BS$2,CK41&lt;$BR41-$BS41*$BS$2),AVEDEV(ARRAYFORMULA(XLOOKUP(FILTER(INDIRECT(""'""&amp;CK$1&amp;""'!$C$4:$C$66""),INDIRECT(""'""&amp;CK$1&amp;""'!$D$4:$D$66"")=CK$2),$F$3:$BP$3,$F41:$BP41))),"""")"),"")</f>
        <v/>
      </c>
      <c r="CM41" s="251">
        <f>IFERROR(__xludf.DUMMYFUNCTION("AVERAGE(ARRAYFORMULA(XLOOKUP(FILTER(INDIRECT(""'""&amp;CM$1&amp;""'!$C$4:$C$66""),INDIRECT(""'""&amp;CM$1&amp;""'!$D$4:$D$66"")=CM$2),$F$3:$BP$3,$F41:$BP41)))"),0.56395211)</f>
        <v>0.56395211</v>
      </c>
      <c r="CN41" s="207" t="str">
        <f>IFERROR(__xludf.DUMMYFUNCTION("IF(OR(CM41&gt;$BR41+$BS41*$BS$2,CM41&lt;$BR41-$BS41*$BS$2),AVEDEV(ARRAYFORMULA(XLOOKUP(FILTER(INDIRECT(""'""&amp;CM$1&amp;""'!$C$4:$C$66""),INDIRECT(""'""&amp;CM$1&amp;""'!$D$4:$D$66"")=CM$2),$F$3:$BP$3,$F41:$BP41))),"""")"),"")</f>
        <v/>
      </c>
      <c r="CO41" s="252"/>
      <c r="CP41" s="251">
        <f>IFERROR(__xludf.DUMMYFUNCTION("AVERAGE(ARRAYFORMULA(XLOOKUP(FILTER(INDIRECT(""'""&amp;CP$1&amp;""'!$C$4:$C$66""),INDIRECT(""'""&amp;CP$1&amp;""'!$D$4:$D$66"")=CP$2),$F$3:$BP$3,$F41:$BP41)))"),0.42027361571428573)</f>
        <v>0.4202736157</v>
      </c>
      <c r="CQ41" s="207" t="str">
        <f>IFERROR(__xludf.DUMMYFUNCTION("IF(OR(CP41&gt;$BR41+$BS41*$BS$2,CP41&lt;$BR41-$BS41*$BS$2),AVEDEV(ARRAYFORMULA(XLOOKUP(FILTER(INDIRECT(""'""&amp;CP$1&amp;""'!$C$4:$C$66""),INDIRECT(""'""&amp;CP$1&amp;""'!$D$4:$D$66"")=CP$2),$F$3:$BP$3,$F41:$BP41))),"""")"),"")</f>
        <v/>
      </c>
      <c r="CR41" s="251">
        <f>IFERROR(__xludf.DUMMYFUNCTION("AVERAGE(ARRAYFORMULA(XLOOKUP(FILTER(INDIRECT(""'""&amp;CR$1&amp;""'!$C$4:$C$66""),INDIRECT(""'""&amp;CR$1&amp;""'!$D$4:$D$66"")=CR$2),$F$3:$BP$3,$F41:$BP41)))"),0.37865077)</f>
        <v>0.37865077</v>
      </c>
      <c r="CS41" s="207" t="str">
        <f>IFERROR(__xludf.DUMMYFUNCTION("IF(OR(CR41&gt;$BR41+$BS41*$BS$2,CR41&lt;$BR41-$BS41*$BS$2),AVEDEV(ARRAYFORMULA(XLOOKUP(FILTER(INDIRECT(""'""&amp;CR$1&amp;""'!$C$4:$C$66""),INDIRECT(""'""&amp;CR$1&amp;""'!$D$4:$D$66"")=CR$2),$F$3:$BP$3,$F41:$BP41))),"""")"),"")</f>
        <v/>
      </c>
      <c r="CT41" s="251">
        <f>IFERROR(__xludf.DUMMYFUNCTION("AVERAGE(ARRAYFORMULA(XLOOKUP(FILTER(INDIRECT(""'""&amp;CT$1&amp;""'!$C$4:$C$66""),INDIRECT(""'""&amp;CT$1&amp;""'!$D$4:$D$66"")=CT$2),$F$3:$BP$3,$F41:$BP41)))"),2.6623273681818183)</f>
        <v>2.662327368</v>
      </c>
      <c r="CU41" s="207">
        <f>IFERROR(__xludf.DUMMYFUNCTION("IF(OR(CT41&gt;$BR41+$BS41*$BS$2,CT41&lt;$BR41-$BS41*$BS$2),AVEDEV(ARRAYFORMULA(XLOOKUP(FILTER(INDIRECT(""'""&amp;CT$1&amp;""'!$C$4:$C$66""),INDIRECT(""'""&amp;CT$1&amp;""'!$D$4:$D$66"")=CT$2),$F$3:$BP$3,$F41:$BP41))),"""")"),4.020193933057851)</f>
        <v>4.020193933</v>
      </c>
      <c r="CV41" s="251">
        <f>IFERROR(__xludf.DUMMYFUNCTION("AVERAGE(ARRAYFORMULA(XLOOKUP(FILTER(INDIRECT(""'""&amp;CV$1&amp;""'!$C$4:$C$66""),INDIRECT(""'""&amp;CV$1&amp;""'!$D$4:$D$66"")=CV$2),$F$3:$BP$3,$F41:$BP41)))"),-0.2418648)</f>
        <v>-0.2418648</v>
      </c>
      <c r="CW41" s="207" t="str">
        <f>IFERROR(__xludf.DUMMYFUNCTION("IF(OR(CV41&gt;$BR41+$BS41*$BS$2,CV41&lt;$BR41-$BS41*$BS$2),AVEDEV(ARRAYFORMULA(XLOOKUP(FILTER(INDIRECT(""'""&amp;CV$1&amp;""'!$C$4:$C$66""),INDIRECT(""'""&amp;CV$1&amp;""'!$D$4:$D$66"")=CV$2),$F$3:$BP$3,$F41:$BP41))),"""")"),"")</f>
        <v/>
      </c>
      <c r="CX41" s="251">
        <f>IFERROR(__xludf.DUMMYFUNCTION("AVERAGE(ARRAYFORMULA(XLOOKUP(FILTER(INDIRECT(""'""&amp;CX$1&amp;""'!$C$4:$C$66""),INDIRECT(""'""&amp;CX$1&amp;""'!$D$4:$D$66"")=CX$2),$F$3:$BP$3,$F41:$BP41)))"),0.2110761871428572)</f>
        <v>0.2110761871</v>
      </c>
      <c r="CY41" s="207" t="str">
        <f>IFERROR(__xludf.DUMMYFUNCTION("IF(OR(CX41&gt;$BR41+$BS41*$BS$2,CX41&lt;$BR41-$BS41*$BS$2),AVEDEV(ARRAYFORMULA(XLOOKUP(FILTER(INDIRECT(""'""&amp;CX$1&amp;""'!$C$4:$C$66""),INDIRECT(""'""&amp;CX$1&amp;""'!$D$4:$D$66"")=CX$2),$F$3:$BP$3,$F41:$BP41))),"""")"),"")</f>
        <v/>
      </c>
      <c r="CZ41" s="252"/>
      <c r="DA41" s="251">
        <f>IFERROR(__xludf.DUMMYFUNCTION("AVERAGE(ARRAYFORMULA(XLOOKUP(FILTER(INDIRECT(""'""&amp;DA$1&amp;""'!$C$4:$C$66""),INDIRECT(""'""&amp;DA$1&amp;""'!$D$4:$D$66"")=DA$2),$F$3:$BP$3,$F41:$BP41)))"),0.46058787266666673)</f>
        <v>0.4605878727</v>
      </c>
      <c r="DB41" s="207" t="str">
        <f>IFERROR(__xludf.DUMMYFUNCTION("IF(OR(DA41&gt;$BR41+$BS41*$BS$2,DA41&lt;$BR41-$BS41*$BS$2),AVEDEV(ARRAYFORMULA(XLOOKUP(FILTER(INDIRECT(""'""&amp;DA$1&amp;""'!$C$4:$C$66""),INDIRECT(""'""&amp;DA$1&amp;""'!$D$4:$D$66"")=DA$2),$F$3:$BP$3,$F41:$BP41))),"""")"),"")</f>
        <v/>
      </c>
      <c r="DC41" s="251">
        <f>IFERROR(__xludf.DUMMYFUNCTION("AVERAGE(ARRAYFORMULA(XLOOKUP(FILTER(INDIRECT(""'""&amp;DC$1&amp;""'!$C$4:$C$66""),INDIRECT(""'""&amp;DC$1&amp;""'!$D$4:$D$66"")=DC$2),$F$3:$BP$3,$F41:$BP41)))"),0.13127258555555554)</f>
        <v>0.1312725856</v>
      </c>
      <c r="DD41" s="207" t="str">
        <f>IFERROR(__xludf.DUMMYFUNCTION("IF(OR(DC41&gt;$BR41+$BS41*$BS$2,DC41&lt;$BR41-$BS41*$BS$2),AVEDEV(ARRAYFORMULA(XLOOKUP(FILTER(INDIRECT(""'""&amp;DC$1&amp;""'!$C$4:$C$66""),INDIRECT(""'""&amp;DC$1&amp;""'!$D$4:$D$66"")=DC$2),$F$3:$BP$3,$F41:$BP41))),"""")"),"")</f>
        <v/>
      </c>
      <c r="DE41" s="251">
        <f>IFERROR(__xludf.DUMMYFUNCTION("AVERAGE(ARRAYFORMULA(XLOOKUP(FILTER(INDIRECT(""'""&amp;DE$1&amp;""'!$C$4:$C$66""),INDIRECT(""'""&amp;DE$1&amp;""'!$D$4:$D$66"")=DE$2),$F$3:$BP$3,$F41:$BP41)))"),0.38576967125000006)</f>
        <v>0.3857696713</v>
      </c>
      <c r="DF41" s="207" t="str">
        <f>IFERROR(__xludf.DUMMYFUNCTION("IF(OR(DE41&gt;$BR41+$BS41*$BS$2,DE41&lt;$BR41-$BS41*$BS$2),AVEDEV(ARRAYFORMULA(XLOOKUP(FILTER(INDIRECT(""'""&amp;DE$1&amp;""'!$C$4:$C$66""),INDIRECT(""'""&amp;DE$1&amp;""'!$D$4:$D$66"")=DE$2),$F$3:$BP$3,$F41:$BP41))),"""")"),"")</f>
        <v/>
      </c>
      <c r="DG41" s="251">
        <f>IFERROR(__xludf.DUMMYFUNCTION("AVERAGE(ARRAYFORMULA(XLOOKUP(FILTER(INDIRECT(""'""&amp;DG$1&amp;""'!$C$4:$C$66""),INDIRECT(""'""&amp;DG$1&amp;""'!$D$4:$D$66"")=DG$2),$F$3:$BP$3,$F41:$BP41)))"),2.9778002444444445)</f>
        <v>2.977800244</v>
      </c>
      <c r="DH41" s="207">
        <f>IFERROR(__xludf.DUMMYFUNCTION("IF(OR(DG41&gt;$BR41+$BS41*$BS$2,DG41&lt;$BR41-$BS41*$BS$2),AVEDEV(ARRAYFORMULA(XLOOKUP(FILTER(INDIRECT(""'""&amp;DG$1&amp;""'!$C$4:$C$66""),INDIRECT(""'""&amp;DG$1&amp;""'!$D$4:$D$66"")=DG$2),$F$3:$BP$3,$F41:$BP41))),"""")"),4.843465279012346)</f>
        <v>4.843465279</v>
      </c>
      <c r="DI41" s="252"/>
    </row>
    <row r="42">
      <c r="A42" s="2"/>
      <c r="B42" s="204" t="s">
        <v>482</v>
      </c>
      <c r="C42" s="204" t="s">
        <v>483</v>
      </c>
      <c r="D42" s="205" t="b">
        <f>VLOOKUP(C42,'Feature Set List'!A39:C246,2,0)</f>
        <v>1</v>
      </c>
      <c r="E42" s="205" t="b">
        <f>VLOOKUP(C42,'Feature Set List'!A39:C246,3,0)</f>
        <v>1</v>
      </c>
      <c r="F42" s="205">
        <v>0.0</v>
      </c>
      <c r="G42" s="205">
        <v>0.0</v>
      </c>
      <c r="H42" s="205">
        <v>0.0</v>
      </c>
      <c r="I42" s="205">
        <v>0.0</v>
      </c>
      <c r="J42" s="205">
        <v>1.0</v>
      </c>
      <c r="K42" s="205">
        <v>0.0</v>
      </c>
      <c r="L42" s="205">
        <v>0.0</v>
      </c>
      <c r="M42" s="205">
        <v>0.0</v>
      </c>
      <c r="N42" s="205">
        <v>0.0</v>
      </c>
      <c r="O42" s="205">
        <v>0.0</v>
      </c>
      <c r="P42" s="205">
        <v>2.5</v>
      </c>
      <c r="Q42" s="205">
        <v>0.0</v>
      </c>
      <c r="R42" s="205">
        <v>0.0</v>
      </c>
      <c r="S42" s="205">
        <v>0.0</v>
      </c>
      <c r="T42" s="205">
        <v>1.0</v>
      </c>
      <c r="U42" s="205">
        <v>1.0</v>
      </c>
      <c r="V42" s="205">
        <v>0.0</v>
      </c>
      <c r="W42" s="205">
        <v>0.0</v>
      </c>
      <c r="X42" s="205">
        <v>2.5</v>
      </c>
      <c r="Y42" s="205">
        <v>0.0</v>
      </c>
      <c r="Z42" s="205">
        <v>0.0</v>
      </c>
      <c r="AA42" s="205">
        <v>0.0</v>
      </c>
      <c r="AB42" s="205">
        <v>0.0</v>
      </c>
      <c r="AC42" s="205">
        <v>1.0</v>
      </c>
      <c r="AD42" s="205">
        <v>0.0</v>
      </c>
      <c r="AE42" s="205">
        <v>1.0</v>
      </c>
      <c r="AF42" s="205">
        <v>0.0</v>
      </c>
      <c r="AG42" s="205">
        <v>0.0</v>
      </c>
      <c r="AH42" s="205">
        <v>0.0</v>
      </c>
      <c r="AI42" s="205">
        <v>6.0</v>
      </c>
      <c r="AJ42" s="205">
        <v>1.0</v>
      </c>
      <c r="AK42" s="205">
        <v>0.0</v>
      </c>
      <c r="AL42" s="205">
        <v>1.0</v>
      </c>
      <c r="AM42" s="205">
        <v>0.0</v>
      </c>
      <c r="AN42" s="205">
        <v>1.5</v>
      </c>
      <c r="AO42" s="205">
        <v>1.0</v>
      </c>
      <c r="AP42" s="205">
        <v>0.0</v>
      </c>
      <c r="AQ42" s="205">
        <v>6.0</v>
      </c>
      <c r="AR42" s="205">
        <v>0.0</v>
      </c>
      <c r="AS42" s="205">
        <v>0.0</v>
      </c>
      <c r="AT42" s="205">
        <v>2.5</v>
      </c>
      <c r="AU42" s="205">
        <v>6.0</v>
      </c>
      <c r="AV42" s="205">
        <v>2.5</v>
      </c>
      <c r="AW42" s="205">
        <v>1.0</v>
      </c>
      <c r="AX42" s="205">
        <v>0.0</v>
      </c>
      <c r="AY42" s="205">
        <v>3.5</v>
      </c>
      <c r="AZ42" s="205">
        <v>0.0</v>
      </c>
      <c r="BA42" s="205">
        <v>0.0</v>
      </c>
      <c r="BB42" s="205">
        <v>0.0</v>
      </c>
      <c r="BC42" s="205">
        <v>1.0</v>
      </c>
      <c r="BD42" s="205">
        <v>0.0</v>
      </c>
      <c r="BE42" s="205">
        <v>1.0</v>
      </c>
      <c r="BF42" s="205">
        <v>0.0</v>
      </c>
      <c r="BG42" s="205">
        <v>1.0</v>
      </c>
      <c r="BH42" s="205">
        <v>1.0</v>
      </c>
      <c r="BI42" s="205">
        <v>0.0</v>
      </c>
      <c r="BJ42" s="205">
        <v>1.0</v>
      </c>
      <c r="BK42" s="205">
        <v>0.0</v>
      </c>
      <c r="BL42" s="205">
        <v>0.0</v>
      </c>
      <c r="BM42" s="205">
        <v>1.0</v>
      </c>
      <c r="BN42" s="205">
        <v>1.5</v>
      </c>
      <c r="BO42" s="205">
        <v>1.0</v>
      </c>
      <c r="BP42" s="205">
        <v>2.5</v>
      </c>
      <c r="BQ42" s="206"/>
      <c r="BR42" s="250">
        <f t="shared" si="1"/>
        <v>0.8412698413</v>
      </c>
      <c r="BS42" s="250">
        <f t="shared" si="2"/>
        <v>0.9614512472</v>
      </c>
      <c r="BT42" s="206"/>
      <c r="BU42" s="207">
        <f>IFERROR(__xludf.DUMMYFUNCTION("AVERAGE(ARRAYFORMULA(XLOOKUP(FILTER(INDIRECT(""'""&amp;BU$1&amp;""'!$C$4:$C$66""),INDIRECT(""'""&amp;BU$1&amp;""'!$D$4:$D$66"")=BU$2),$F$3:$BP$3,$F42:$BP42)))"),0.35714285714285715)</f>
        <v>0.3571428571</v>
      </c>
      <c r="BV42" s="207" t="str">
        <f>IFERROR(__xludf.DUMMYFUNCTION("IF(OR(BU42&gt;$BR42+$BS42*$BS$2,BU42&lt;$BR42-$BS42*$BS$2),AVEDEV(ARRAYFORMULA(XLOOKUP(FILTER(INDIRECT(""'""&amp;BU$1&amp;""'!$C$4:$C$66""),INDIRECT(""'""&amp;BU$1&amp;""'!$D$4:$D$66"")=BU$2),$F$3:$BP$3,$F42:$BP42))),"""")"),"")</f>
        <v/>
      </c>
      <c r="BW42" s="207">
        <f>IFERROR(__xludf.DUMMYFUNCTION("AVERAGE(ARRAYFORMULA(XLOOKUP(FILTER(INDIRECT(""'""&amp;BW$1&amp;""'!$C$4:$C$66""),INDIRECT(""'""&amp;BW$1&amp;""'!$D$4:$D$66"")=BW$2),$F$3:$BP$3,$F42:$BP42)))"),0.9523809523809523)</f>
        <v>0.9523809524</v>
      </c>
      <c r="BX42" s="207" t="str">
        <f>IFERROR(__xludf.DUMMYFUNCTION("IF(OR(BW42&gt;$BR42+$BS42*$BS$2,BW42&lt;$BR42-$BS42*$BS$2),AVEDEV(ARRAYFORMULA(XLOOKUP(FILTER(INDIRECT(""'""&amp;BW$1&amp;""'!$C$4:$C$66""),INDIRECT(""'""&amp;BW$1&amp;""'!$D$4:$D$66"")=BW$2),$F$3:$BP$3,$F42:$BP42))),"""")"),"")</f>
        <v/>
      </c>
      <c r="BY42" s="207">
        <f>IFERROR(__xludf.DUMMYFUNCTION("AVERAGE(ARRAYFORMULA(XLOOKUP(FILTER(INDIRECT(""'""&amp;BY$1&amp;""'!$C$4:$C$66""),INDIRECT(""'""&amp;BY$1&amp;""'!$D$4:$D$66"")=BY$2),$F$3:$BP$3,$F42:$BP42)))"),0.6363636363636364)</f>
        <v>0.6363636364</v>
      </c>
      <c r="BZ42" s="207" t="str">
        <f>IFERROR(__xludf.DUMMYFUNCTION("IF(OR(BY42&gt;$BR42+$BS42*$BS$2,BY42&lt;$BR42-$BS42*$BS$2),AVEDEV(ARRAYFORMULA(XLOOKUP(FILTER(INDIRECT(""'""&amp;BY$1&amp;""'!$C$4:$C$66""),INDIRECT(""'""&amp;BY$1&amp;""'!$D$4:$D$66"")=BY$2),$F$3:$BP$3,$F42:$BP42))),"""")"),"")</f>
        <v/>
      </c>
      <c r="CA42" s="209"/>
      <c r="CB42" s="207">
        <f>IFERROR(__xludf.DUMMYFUNCTION("AVERAGE(ARRAYFORMULA(XLOOKUP(FILTER(INDIRECT(""'""&amp;CB$1&amp;""'!$C$4:$C$66""),INDIRECT(""'""&amp;CB$1&amp;""'!$D$4:$D$66"")=CB$2),$F$3:$BP$3,$F42:$BP42)))"),0.53125)</f>
        <v>0.53125</v>
      </c>
      <c r="CC42" s="207" t="str">
        <f>IFERROR(__xludf.DUMMYFUNCTION("IF(OR(CB42&gt;$BR42+$BS42*$BS$2,CB42&lt;$BR42-$BS42*$BS$2),AVEDEV(ARRAYFORMULA(XLOOKUP(FILTER(INDIRECT(""'""&amp;CB$1&amp;""'!$C$4:$C$66""),INDIRECT(""'""&amp;CB$1&amp;""'!$D$4:$D$66"")=CB$2),$F$3:$BP$3,$F42:$BP42))),"""")"),"")</f>
        <v/>
      </c>
      <c r="CD42" s="207">
        <f>IFERROR(__xludf.DUMMYFUNCTION("AVERAGE(ARRAYFORMULA(XLOOKUP(FILTER(INDIRECT(""'""&amp;CD$1&amp;""'!$C$4:$C$66""),INDIRECT(""'""&amp;CD$1&amp;""'!$D$4:$D$66"")=CD$2),$F$3:$BP$3,$F42:$BP42)))"),1.0)</f>
        <v>1</v>
      </c>
      <c r="CE42" s="207" t="str">
        <f>IFERROR(__xludf.DUMMYFUNCTION("IF(OR(CD42&gt;$BR42+$BS42*$BS$2,CD42&lt;$BR42-$BS42*$BS$2),AVEDEV(ARRAYFORMULA(XLOOKUP(FILTER(INDIRECT(""'""&amp;CD$1&amp;""'!$C$4:$C$66""),INDIRECT(""'""&amp;CD$1&amp;""'!$D$4:$D$66"")=CD$2),$F$3:$BP$3,$F42:$BP42))),"""")"),"")</f>
        <v/>
      </c>
      <c r="CF42" s="207">
        <f>IFERROR(__xludf.DUMMYFUNCTION("AVERAGE(ARRAYFORMULA(XLOOKUP(FILTER(INDIRECT(""'""&amp;CF$1&amp;""'!$C$4:$C$66""),INDIRECT(""'""&amp;CF$1&amp;""'!$D$4:$D$66"")=CF$2),$F$3:$BP$3,$F42:$BP42)))"),0.0)</f>
        <v>0</v>
      </c>
      <c r="CG42" s="207" t="str">
        <f>IFERROR(__xludf.DUMMYFUNCTION("IF(OR(CF42&gt;$BR42+$BS42*$BS$2,CF42&lt;$BR42-$BS42*$BS$2),AVEDEV(ARRAYFORMULA(XLOOKUP(FILTER(INDIRECT(""'""&amp;CF$1&amp;""'!$C$4:$C$66""),INDIRECT(""'""&amp;CF$1&amp;""'!$D$4:$D$66"")=CF$2),$F$3:$BP$3,$F42:$BP42))),"""")"),"")</f>
        <v/>
      </c>
      <c r="CH42" s="206"/>
      <c r="CI42" s="251">
        <f>IFERROR(__xludf.DUMMYFUNCTION("AVERAGE(ARRAYFORMULA(XLOOKUP(FILTER(INDIRECT(""'""&amp;CI$1&amp;""'!$C$4:$C$66""),INDIRECT(""'""&amp;CI$1&amp;""'!$D$4:$D$66"")=CI$2),$F$3:$BP$3,$F42:$BP42)))"),0.3333333333333333)</f>
        <v>0.3333333333</v>
      </c>
      <c r="CJ42" s="207" t="str">
        <f>IFERROR(__xludf.DUMMYFUNCTION("IF(OR(CI42&gt;$BR42+$BS42*$BS$2,CI42&lt;$BR42-$BS42*$BS$2),AVEDEV(ARRAYFORMULA(XLOOKUP(FILTER(INDIRECT(""'""&amp;CI$1&amp;""'!$C$4:$C$66""),INDIRECT(""'""&amp;CI$1&amp;""'!$D$4:$D$66"")=CI$2),$F$3:$BP$3,$F42:$BP42))),"""")"),"")</f>
        <v/>
      </c>
      <c r="CK42" s="251">
        <f>IFERROR(__xludf.DUMMYFUNCTION("AVERAGE(ARRAYFORMULA(XLOOKUP(FILTER(INDIRECT(""'""&amp;CK$1&amp;""'!$C$4:$C$66""),INDIRECT(""'""&amp;CK$1&amp;""'!$D$4:$D$66"")=CK$2),$F$3:$BP$3,$F42:$BP42)))"),1.141025641025641)</f>
        <v>1.141025641</v>
      </c>
      <c r="CL42" s="207" t="str">
        <f>IFERROR(__xludf.DUMMYFUNCTION("IF(OR(CK42&gt;$BR42+$BS42*$BS$2,CK42&lt;$BR42-$BS42*$BS$2),AVEDEV(ARRAYFORMULA(XLOOKUP(FILTER(INDIRECT(""'""&amp;CK$1&amp;""'!$C$4:$C$66""),INDIRECT(""'""&amp;CK$1&amp;""'!$D$4:$D$66"")=CK$2),$F$3:$BP$3,$F42:$BP42))),"""")"),"")</f>
        <v/>
      </c>
      <c r="CM42" s="251">
        <f>IFERROR(__xludf.DUMMYFUNCTION("AVERAGE(ARRAYFORMULA(XLOOKUP(FILTER(INDIRECT(""'""&amp;CM$1&amp;""'!$C$4:$C$66""),INDIRECT(""'""&amp;CM$1&amp;""'!$D$4:$D$66"")=CM$2),$F$3:$BP$3,$F42:$BP42)))"),0.0)</f>
        <v>0</v>
      </c>
      <c r="CN42" s="207" t="str">
        <f>IFERROR(__xludf.DUMMYFUNCTION("IF(OR(CM42&gt;$BR42+$BS42*$BS$2,CM42&lt;$BR42-$BS42*$BS$2),AVEDEV(ARRAYFORMULA(XLOOKUP(FILTER(INDIRECT(""'""&amp;CM$1&amp;""'!$C$4:$C$66""),INDIRECT(""'""&amp;CM$1&amp;""'!$D$4:$D$66"")=CM$2),$F$3:$BP$3,$F42:$BP42))),"""")"),"")</f>
        <v/>
      </c>
      <c r="CO42" s="252"/>
      <c r="CP42" s="251">
        <f>IFERROR(__xludf.DUMMYFUNCTION("AVERAGE(ARRAYFORMULA(XLOOKUP(FILTER(INDIRECT(""'""&amp;CP$1&amp;""'!$C$4:$C$66""),INDIRECT(""'""&amp;CP$1&amp;""'!$D$4:$D$66"")=CP$2),$F$3:$BP$3,$F42:$BP42)))"),0.5357142857142857)</f>
        <v>0.5357142857</v>
      </c>
      <c r="CQ42" s="207" t="str">
        <f>IFERROR(__xludf.DUMMYFUNCTION("IF(OR(CP42&gt;$BR42+$BS42*$BS$2,CP42&lt;$BR42-$BS42*$BS$2),AVEDEV(ARRAYFORMULA(XLOOKUP(FILTER(INDIRECT(""'""&amp;CP$1&amp;""'!$C$4:$C$66""),INDIRECT(""'""&amp;CP$1&amp;""'!$D$4:$D$66"")=CP$2),$F$3:$BP$3,$F42:$BP42))),"""")"),"")</f>
        <v/>
      </c>
      <c r="CR42" s="251">
        <f>IFERROR(__xludf.DUMMYFUNCTION("AVERAGE(ARRAYFORMULA(XLOOKUP(FILTER(INDIRECT(""'""&amp;CR$1&amp;""'!$C$4:$C$66""),INDIRECT(""'""&amp;CR$1&amp;""'!$D$4:$D$66"")=CR$2),$F$3:$BP$3,$F42:$BP42)))"),0.3888888888888889)</f>
        <v>0.3888888889</v>
      </c>
      <c r="CS42" s="207" t="str">
        <f>IFERROR(__xludf.DUMMYFUNCTION("IF(OR(CR42&gt;$BR42+$BS42*$BS$2,CR42&lt;$BR42-$BS42*$BS$2),AVEDEV(ARRAYFORMULA(XLOOKUP(FILTER(INDIRECT(""'""&amp;CR$1&amp;""'!$C$4:$C$66""),INDIRECT(""'""&amp;CR$1&amp;""'!$D$4:$D$66"")=CR$2),$F$3:$BP$3,$F42:$BP42))),"""")"),"")</f>
        <v/>
      </c>
      <c r="CT42" s="251">
        <f>IFERROR(__xludf.DUMMYFUNCTION("AVERAGE(ARRAYFORMULA(XLOOKUP(FILTER(INDIRECT(""'""&amp;CT$1&amp;""'!$C$4:$C$66""),INDIRECT(""'""&amp;CT$1&amp;""'!$D$4:$D$66"")=CT$2),$F$3:$BP$3,$F42:$BP42)))"),1.0909090909090908)</f>
        <v>1.090909091</v>
      </c>
      <c r="CU42" s="207" t="str">
        <f>IFERROR(__xludf.DUMMYFUNCTION("IF(OR(CT42&gt;$BR42+$BS42*$BS$2,CT42&lt;$BR42-$BS42*$BS$2),AVEDEV(ARRAYFORMULA(XLOOKUP(FILTER(INDIRECT(""'""&amp;CT$1&amp;""'!$C$4:$C$66""),INDIRECT(""'""&amp;CT$1&amp;""'!$D$4:$D$66"")=CT$2),$F$3:$BP$3,$F42:$BP42))),"""")"),"")</f>
        <v/>
      </c>
      <c r="CV42" s="251">
        <f>IFERROR(__xludf.DUMMYFUNCTION("AVERAGE(ARRAYFORMULA(XLOOKUP(FILTER(INDIRECT(""'""&amp;CV$1&amp;""'!$C$4:$C$66""),INDIRECT(""'""&amp;CV$1&amp;""'!$D$4:$D$66"")=CV$2),$F$3:$BP$3,$F42:$BP42)))"),1.0)</f>
        <v>1</v>
      </c>
      <c r="CW42" s="207" t="str">
        <f>IFERROR(__xludf.DUMMYFUNCTION("IF(OR(CV42&gt;$BR42+$BS42*$BS$2,CV42&lt;$BR42-$BS42*$BS$2),AVEDEV(ARRAYFORMULA(XLOOKUP(FILTER(INDIRECT(""'""&amp;CV$1&amp;""'!$C$4:$C$66""),INDIRECT(""'""&amp;CV$1&amp;""'!$D$4:$D$66"")=CV$2),$F$3:$BP$3,$F42:$BP42))),"""")"),"")</f>
        <v/>
      </c>
      <c r="CX42" s="251">
        <f>IFERROR(__xludf.DUMMYFUNCTION("AVERAGE(ARRAYFORMULA(XLOOKUP(FILTER(INDIRECT(""'""&amp;CX$1&amp;""'!$C$4:$C$66""),INDIRECT(""'""&amp;CX$1&amp;""'!$D$4:$D$66"")=CX$2),$F$3:$BP$3,$F42:$BP42)))"),1.5)</f>
        <v>1.5</v>
      </c>
      <c r="CY42" s="207" t="str">
        <f>IFERROR(__xludf.DUMMYFUNCTION("IF(OR(CX42&gt;$BR42+$BS42*$BS$2,CX42&lt;$BR42-$BS42*$BS$2),AVEDEV(ARRAYFORMULA(XLOOKUP(FILTER(INDIRECT(""'""&amp;CX$1&amp;""'!$C$4:$C$66""),INDIRECT(""'""&amp;CX$1&amp;""'!$D$4:$D$66"")=CX$2),$F$3:$BP$3,$F42:$BP42))),"""")"),"")</f>
        <v/>
      </c>
      <c r="CZ42" s="252"/>
      <c r="DA42" s="251">
        <f>IFERROR(__xludf.DUMMYFUNCTION("AVERAGE(ARRAYFORMULA(XLOOKUP(FILTER(INDIRECT(""'""&amp;DA$1&amp;""'!$C$4:$C$66""),INDIRECT(""'""&amp;DA$1&amp;""'!$D$4:$D$66"")=DA$2),$F$3:$BP$3,$F42:$BP42)))"),0.4666666666666667)</f>
        <v>0.4666666667</v>
      </c>
      <c r="DB42" s="207" t="str">
        <f>IFERROR(__xludf.DUMMYFUNCTION("IF(OR(DA42&gt;$BR42+$BS42*$BS$2,DA42&lt;$BR42-$BS42*$BS$2),AVEDEV(ARRAYFORMULA(XLOOKUP(FILTER(INDIRECT(""'""&amp;DA$1&amp;""'!$C$4:$C$66""),INDIRECT(""'""&amp;DA$1&amp;""'!$D$4:$D$66"")=DA$2),$F$3:$BP$3,$F42:$BP42))),"""")"),"")</f>
        <v/>
      </c>
      <c r="DC42" s="251">
        <f>IFERROR(__xludf.DUMMYFUNCTION("AVERAGE(ARRAYFORMULA(XLOOKUP(FILTER(INDIRECT(""'""&amp;DC$1&amp;""'!$C$4:$C$66""),INDIRECT(""'""&amp;DC$1&amp;""'!$D$4:$D$66"")=DC$2),$F$3:$BP$3,$F42:$BP42)))"),0.6666666666666666)</f>
        <v>0.6666666667</v>
      </c>
      <c r="DD42" s="207" t="str">
        <f>IFERROR(__xludf.DUMMYFUNCTION("IF(OR(DC42&gt;$BR42+$BS42*$BS$2,DC42&lt;$BR42-$BS42*$BS$2),AVEDEV(ARRAYFORMULA(XLOOKUP(FILTER(INDIRECT(""'""&amp;DC$1&amp;""'!$C$4:$C$66""),INDIRECT(""'""&amp;DC$1&amp;""'!$D$4:$D$66"")=DC$2),$F$3:$BP$3,$F42:$BP42))),"""")"),"")</f>
        <v/>
      </c>
      <c r="DE42" s="251">
        <f>IFERROR(__xludf.DUMMYFUNCTION("AVERAGE(ARRAYFORMULA(XLOOKUP(FILTER(INDIRECT(""'""&amp;DE$1&amp;""'!$C$4:$C$66""),INDIRECT(""'""&amp;DE$1&amp;""'!$D$4:$D$66"")=DE$2),$F$3:$BP$3,$F42:$BP42)))"),1.3125)</f>
        <v>1.3125</v>
      </c>
      <c r="DF42" s="207" t="str">
        <f>IFERROR(__xludf.DUMMYFUNCTION("IF(OR(DE42&gt;$BR42+$BS42*$BS$2,DE42&lt;$BR42-$BS42*$BS$2),AVEDEV(ARRAYFORMULA(XLOOKUP(FILTER(INDIRECT(""'""&amp;DE$1&amp;""'!$C$4:$C$66""),INDIRECT(""'""&amp;DE$1&amp;""'!$D$4:$D$66"")=DE$2),$F$3:$BP$3,$F42:$BP42))),"""")"),"")</f>
        <v/>
      </c>
      <c r="DG42" s="251">
        <f>IFERROR(__xludf.DUMMYFUNCTION("AVERAGE(ARRAYFORMULA(XLOOKUP(FILTER(INDIRECT(""'""&amp;DG$1&amp;""'!$C$4:$C$66""),INDIRECT(""'""&amp;DG$1&amp;""'!$D$4:$D$66"")=DG$2),$F$3:$BP$3,$F42:$BP42)))"),1.2777777777777777)</f>
        <v>1.277777778</v>
      </c>
      <c r="DH42" s="207" t="str">
        <f>IFERROR(__xludf.DUMMYFUNCTION("IF(OR(DG42&gt;$BR42+$BS42*$BS$2,DG42&lt;$BR42-$BS42*$BS$2),AVEDEV(ARRAYFORMULA(XLOOKUP(FILTER(INDIRECT(""'""&amp;DG$1&amp;""'!$C$4:$C$66""),INDIRECT(""'""&amp;DG$1&amp;""'!$D$4:$D$66"")=DG$2),$F$3:$BP$3,$F42:$BP42))),"""")"),"")</f>
        <v/>
      </c>
      <c r="DI42" s="252"/>
    </row>
    <row r="43">
      <c r="A43" s="2"/>
      <c r="B43" s="204" t="s">
        <v>482</v>
      </c>
      <c r="C43" s="204" t="s">
        <v>484</v>
      </c>
      <c r="D43" s="205" t="b">
        <f>VLOOKUP(C43,'Feature Set List'!A40:C246,2,0)</f>
        <v>1</v>
      </c>
      <c r="E43" s="205" t="b">
        <f>VLOOKUP(C43,'Feature Set List'!A40:C246,3,0)</f>
        <v>1</v>
      </c>
      <c r="F43" s="205">
        <v>-0.5502559</v>
      </c>
      <c r="G43" s="205">
        <v>-0.2079836</v>
      </c>
      <c r="H43" s="205">
        <v>-0.7934493</v>
      </c>
      <c r="I43" s="205">
        <v>-0.0282497</v>
      </c>
      <c r="J43" s="205">
        <v>-0.6906858</v>
      </c>
      <c r="K43" s="205">
        <v>0.50726714</v>
      </c>
      <c r="L43" s="205">
        <v>0.0</v>
      </c>
      <c r="M43" s="205">
        <v>0.30010235</v>
      </c>
      <c r="N43" s="205">
        <v>0.55025589</v>
      </c>
      <c r="O43" s="205">
        <v>1.34042989</v>
      </c>
      <c r="P43" s="205">
        <v>-0.0376663</v>
      </c>
      <c r="Q43" s="205">
        <v>0.45813715</v>
      </c>
      <c r="R43" s="205">
        <v>0.5408393</v>
      </c>
      <c r="S43" s="205">
        <v>0.30747185</v>
      </c>
      <c r="T43" s="205">
        <v>-0.616172</v>
      </c>
      <c r="U43" s="205">
        <v>0.82497441</v>
      </c>
      <c r="V43" s="205">
        <v>0.25465711</v>
      </c>
      <c r="W43" s="205">
        <v>0.1383828</v>
      </c>
      <c r="X43" s="205">
        <v>-0.3443193</v>
      </c>
      <c r="Y43" s="205">
        <v>-0.6493347</v>
      </c>
      <c r="Z43" s="205">
        <v>-0.8945752</v>
      </c>
      <c r="AA43" s="205">
        <v>-0.2792221</v>
      </c>
      <c r="AB43" s="205">
        <v>-0.5121801</v>
      </c>
      <c r="AC43" s="205">
        <v>-0.3054248</v>
      </c>
      <c r="AD43" s="205">
        <v>-0.414739</v>
      </c>
      <c r="AE43" s="205">
        <v>0.55844422</v>
      </c>
      <c r="AF43" s="205">
        <v>-0.5019447</v>
      </c>
      <c r="AG43" s="205">
        <v>-0.5940635</v>
      </c>
      <c r="AH43" s="205">
        <v>0.55189355</v>
      </c>
      <c r="AI43" s="205">
        <v>0.58219038</v>
      </c>
      <c r="AJ43" s="205">
        <v>0.24032753</v>
      </c>
      <c r="AK43" s="205">
        <v>-0.2206755</v>
      </c>
      <c r="AL43" s="205">
        <v>-0.7291709</v>
      </c>
      <c r="AM43" s="205">
        <v>-0.0769703</v>
      </c>
      <c r="AN43" s="205">
        <v>0.72221085</v>
      </c>
      <c r="AO43" s="205">
        <v>0.35701126</v>
      </c>
      <c r="AP43" s="205">
        <v>-0.4929376</v>
      </c>
      <c r="AQ43" s="205">
        <v>2.02128966</v>
      </c>
      <c r="AR43" s="205">
        <v>0.42006141</v>
      </c>
      <c r="AS43" s="205">
        <v>-0.2501535</v>
      </c>
      <c r="AT43" s="205">
        <v>1.75148414</v>
      </c>
      <c r="AU43" s="205">
        <v>0.53183214</v>
      </c>
      <c r="AV43" s="205">
        <v>1.29498465</v>
      </c>
      <c r="AW43" s="205">
        <v>0.74145343</v>
      </c>
      <c r="AX43" s="205">
        <v>-0.7041965</v>
      </c>
      <c r="AY43" s="205">
        <v>0.18874104</v>
      </c>
      <c r="AZ43" s="205">
        <v>0.04708291</v>
      </c>
      <c r="BA43" s="205">
        <v>-1.0558854</v>
      </c>
      <c r="BB43" s="205">
        <v>0.27676561</v>
      </c>
      <c r="BC43" s="205">
        <v>-0.3934493</v>
      </c>
      <c r="BD43" s="205">
        <v>-1.0128966</v>
      </c>
      <c r="BE43" s="205">
        <v>-0.5543501</v>
      </c>
      <c r="BF43" s="205">
        <v>-0.223132</v>
      </c>
      <c r="BG43" s="205">
        <v>-0.4053224</v>
      </c>
      <c r="BH43" s="205">
        <v>0.63909928</v>
      </c>
      <c r="BI43" s="205">
        <v>1.14636643</v>
      </c>
      <c r="BJ43" s="205">
        <v>0.36724667</v>
      </c>
      <c r="BK43" s="205">
        <v>-0.5760491</v>
      </c>
      <c r="BL43" s="205">
        <v>-0.4024565</v>
      </c>
      <c r="BM43" s="205">
        <v>0.10440123</v>
      </c>
      <c r="BN43" s="205">
        <v>-0.7631525</v>
      </c>
      <c r="BO43" s="205">
        <v>0.47246673</v>
      </c>
      <c r="BP43" s="205">
        <v>0.49785056</v>
      </c>
      <c r="BQ43" s="206"/>
      <c r="BR43" s="250">
        <f t="shared" si="1"/>
        <v>0.05483583127</v>
      </c>
      <c r="BS43" s="250">
        <f t="shared" si="2"/>
        <v>0.541065515</v>
      </c>
      <c r="BT43" s="206"/>
      <c r="BU43" s="207">
        <f>IFERROR(__xludf.DUMMYFUNCTION("AVERAGE(ARRAYFORMULA(XLOOKUP(FILTER(INDIRECT(""'""&amp;BU$1&amp;""'!$C$4:$C$66""),INDIRECT(""'""&amp;BU$1&amp;""'!$D$4:$D$66"")=BU$2),$F$3:$BP$3,$F43:$BP43)))"),-0.4435151357142857)</f>
        <v>-0.4435151357</v>
      </c>
      <c r="BV43" s="207" t="str">
        <f>IFERROR(__xludf.DUMMYFUNCTION("IF(OR(BU43&gt;$BR43+$BS43*$BS$2,BU43&lt;$BR43-$BS43*$BS$2),AVEDEV(ARRAYFORMULA(XLOOKUP(FILTER(INDIRECT(""'""&amp;BU$1&amp;""'!$C$4:$C$66""),INDIRECT(""'""&amp;BU$1&amp;""'!$D$4:$D$66"")=BU$2),$F$3:$BP$3,$F43:$BP43))),"""")"),"")</f>
        <v/>
      </c>
      <c r="BW43" s="207">
        <f>IFERROR(__xludf.DUMMYFUNCTION("AVERAGE(ARRAYFORMULA(XLOOKUP(FILTER(INDIRECT(""'""&amp;BW$1&amp;""'!$C$4:$C$66""),INDIRECT(""'""&amp;BW$1&amp;""'!$D$4:$D$66"")=BW$2),$F$3:$BP$3,$F43:$BP43)))"),0.0973241742857143)</f>
        <v>0.09732417429</v>
      </c>
      <c r="BX43" s="207" t="str">
        <f>IFERROR(__xludf.DUMMYFUNCTION("IF(OR(BW43&gt;$BR43+$BS43*$BS$2,BW43&lt;$BR43-$BS43*$BS$2),AVEDEV(ARRAYFORMULA(XLOOKUP(FILTER(INDIRECT(""'""&amp;BW$1&amp;""'!$C$4:$C$66""),INDIRECT(""'""&amp;BW$1&amp;""'!$D$4:$D$66"")=BW$2),$F$3:$BP$3,$F43:$BP43))),"""")"),"")</f>
        <v/>
      </c>
      <c r="BY43" s="207">
        <f>IFERROR(__xludf.DUMMYFUNCTION("AVERAGE(ARRAYFORMULA(XLOOKUP(FILTER(INDIRECT(""'""&amp;BY$1&amp;""'!$C$4:$C$66""),INDIRECT(""'""&amp;BY$1&amp;""'!$D$4:$D$66"")=BY$2),$F$3:$BP$3,$F43:$BP43)))"),0.17336931454545457)</f>
        <v>0.1733693145</v>
      </c>
      <c r="BZ43" s="207" t="str">
        <f>IFERROR(__xludf.DUMMYFUNCTION("IF(OR(BY43&gt;$BR43+$BS43*$BS$2,BY43&lt;$BR43-$BS43*$BS$2),AVEDEV(ARRAYFORMULA(XLOOKUP(FILTER(INDIRECT(""'""&amp;BY$1&amp;""'!$C$4:$C$66""),INDIRECT(""'""&amp;BY$1&amp;""'!$D$4:$D$66"")=BY$2),$F$3:$BP$3,$F43:$BP43))),"""")"),"")</f>
        <v/>
      </c>
      <c r="CA43" s="209"/>
      <c r="CB43" s="207">
        <f>IFERROR(__xludf.DUMMYFUNCTION("AVERAGE(ARRAYFORMULA(XLOOKUP(FILTER(INDIRECT(""'""&amp;CB$1&amp;""'!$C$4:$C$66""),INDIRECT(""'""&amp;CB$1&amp;""'!$D$4:$D$66"")=CB$2),$F$3:$BP$3,$F43:$BP43)))"),-0.07773797812500001)</f>
        <v>-0.07773797813</v>
      </c>
      <c r="CC43" s="207" t="str">
        <f>IFERROR(__xludf.DUMMYFUNCTION("IF(OR(CB43&gt;$BR43+$BS43*$BS$2,CB43&lt;$BR43-$BS43*$BS$2),AVEDEV(ARRAYFORMULA(XLOOKUP(FILTER(INDIRECT(""'""&amp;CB$1&amp;""'!$C$4:$C$66""),INDIRECT(""'""&amp;CB$1&amp;""'!$D$4:$D$66"")=CB$2),$F$3:$BP$3,$F43:$BP43))),"""")"),"")</f>
        <v/>
      </c>
      <c r="CD43" s="207">
        <f>IFERROR(__xludf.DUMMYFUNCTION("AVERAGE(ARRAYFORMULA(XLOOKUP(FILTER(INDIRECT(""'""&amp;CD$1&amp;""'!$C$4:$C$66""),INDIRECT(""'""&amp;CD$1&amp;""'!$D$4:$D$66"")=CD$2),$F$3:$BP$3,$F43:$BP43)))"),0.029372344516129027)</f>
        <v>0.02937234452</v>
      </c>
      <c r="CE43" s="207" t="str">
        <f>IFERROR(__xludf.DUMMYFUNCTION("IF(OR(CD43&gt;$BR43+$BS43*$BS$2,CD43&lt;$BR43-$BS43*$BS$2),AVEDEV(ARRAYFORMULA(XLOOKUP(FILTER(INDIRECT(""'""&amp;CD$1&amp;""'!$C$4:$C$66""),INDIRECT(""'""&amp;CD$1&amp;""'!$D$4:$D$66"")=CD$2),$F$3:$BP$3,$F43:$BP43))),"""")"),"")</f>
        <v/>
      </c>
      <c r="CF43" s="207">
        <f>IFERROR(__xludf.DUMMYFUNCTION("AVERAGE(ARRAYFORMULA(XLOOKUP(FILTER(INDIRECT(""'""&amp;CF$1&amp;""'!$C$4:$C$66""),INDIRECT(""'""&amp;CF$1&amp;""'!$D$4:$D$66"")=CF$2),$F$3:$BP$3,$F43:$BP43)))"),0.378382812)</f>
        <v>0.378382812</v>
      </c>
      <c r="CG43" s="207" t="str">
        <f>IFERROR(__xludf.DUMMYFUNCTION("IF(OR(CF43&gt;$BR43+$BS43*$BS$2,CF43&lt;$BR43-$BS43*$BS$2),AVEDEV(ARRAYFORMULA(XLOOKUP(FILTER(INDIRECT(""'""&amp;CF$1&amp;""'!$C$4:$C$66""),INDIRECT(""'""&amp;CF$1&amp;""'!$D$4:$D$66"")=CF$2),$F$3:$BP$3,$F43:$BP43))),"""")"),"")</f>
        <v/>
      </c>
      <c r="CH43" s="206"/>
      <c r="CI43" s="251">
        <f>IFERROR(__xludf.DUMMYFUNCTION("AVERAGE(ARRAYFORMULA(XLOOKUP(FILTER(INDIRECT(""'""&amp;CI$1&amp;""'!$C$4:$C$66""),INDIRECT(""'""&amp;CI$1&amp;""'!$D$4:$D$66"")=CI$2),$F$3:$BP$3,$F43:$BP43)))"),-0.48343909666666673)</f>
        <v>-0.4834390967</v>
      </c>
      <c r="CJ43" s="207" t="str">
        <f>IFERROR(__xludf.DUMMYFUNCTION("IF(OR(CI43&gt;$BR43+$BS43*$BS$2,CI43&lt;$BR43-$BS43*$BS$2),AVEDEV(ARRAYFORMULA(XLOOKUP(FILTER(INDIRECT(""'""&amp;CI$1&amp;""'!$C$4:$C$66""),INDIRECT(""'""&amp;CI$1&amp;""'!$D$4:$D$66"")=CI$2),$F$3:$BP$3,$F43:$BP43))),"""")"),"")</f>
        <v/>
      </c>
      <c r="CK43" s="251">
        <f>IFERROR(__xludf.DUMMYFUNCTION("AVERAGE(ARRAYFORMULA(XLOOKUP(FILTER(INDIRECT(""'""&amp;CK$1&amp;""'!$C$4:$C$66""),INDIRECT(""'""&amp;CK$1&amp;""'!$D$4:$D$66"")=CK$2),$F$3:$BP$3,$F43:$BP43)))"),0.22630239282051287)</f>
        <v>0.2263023928</v>
      </c>
      <c r="CL43" s="207" t="str">
        <f>IFERROR(__xludf.DUMMYFUNCTION("IF(OR(CK43&gt;$BR43+$BS43*$BS$2,CK43&lt;$BR43-$BS43*$BS$2),AVEDEV(ARRAYFORMULA(XLOOKUP(FILTER(INDIRECT(""'""&amp;CK$1&amp;""'!$C$4:$C$66""),INDIRECT(""'""&amp;CK$1&amp;""'!$D$4:$D$66"")=CK$2),$F$3:$BP$3,$F43:$BP43))),"""")"),"")</f>
        <v/>
      </c>
      <c r="CM43" s="251">
        <f>IFERROR(__xludf.DUMMYFUNCTION("AVERAGE(ARRAYFORMULA(XLOOKUP(FILTER(INDIRECT(""'""&amp;CM$1&amp;""'!$C$4:$C$66""),INDIRECT(""'""&amp;CM$1&amp;""'!$D$4:$D$66"")=CM$2),$F$3:$BP$3,$F43:$BP43)))"),0.378382812)</f>
        <v>0.378382812</v>
      </c>
      <c r="CN43" s="207" t="str">
        <f>IFERROR(__xludf.DUMMYFUNCTION("IF(OR(CM43&gt;$BR43+$BS43*$BS$2,CM43&lt;$BR43-$BS43*$BS$2),AVEDEV(ARRAYFORMULA(XLOOKUP(FILTER(INDIRECT(""'""&amp;CM$1&amp;""'!$C$4:$C$66""),INDIRECT(""'""&amp;CM$1&amp;""'!$D$4:$D$66"")=CM$2),$F$3:$BP$3,$F43:$BP43))),"""")"),"")</f>
        <v/>
      </c>
      <c r="CO43" s="252"/>
      <c r="CP43" s="251">
        <f>IFERROR(__xludf.DUMMYFUNCTION("AVERAGE(ARRAYFORMULA(XLOOKUP(FILTER(INDIRECT(""'""&amp;CP$1&amp;""'!$C$4:$C$66""),INDIRECT(""'""&amp;CP$1&amp;""'!$D$4:$D$66"")=CP$2),$F$3:$BP$3,$F43:$BP43)))"),0.10826144428571428)</f>
        <v>0.1082614443</v>
      </c>
      <c r="CQ43" s="207" t="str">
        <f>IFERROR(__xludf.DUMMYFUNCTION("IF(OR(CP43&gt;$BR43+$BS43*$BS$2,CP43&lt;$BR43-$BS43*$BS$2),AVEDEV(ARRAYFORMULA(XLOOKUP(FILTER(INDIRECT(""'""&amp;CP$1&amp;""'!$C$4:$C$66""),INDIRECT(""'""&amp;CP$1&amp;""'!$D$4:$D$66"")=CP$2),$F$3:$BP$3,$F43:$BP43))),"""")"),"")</f>
        <v/>
      </c>
      <c r="CR43" s="251">
        <f>IFERROR(__xludf.DUMMYFUNCTION("AVERAGE(ARRAYFORMULA(XLOOKUP(FILTER(INDIRECT(""'""&amp;CR$1&amp;""'!$C$4:$C$66""),INDIRECT(""'""&amp;CR$1&amp;""'!$D$4:$D$66"")=CR$2),$F$3:$BP$3,$F43:$BP43)))"),0.23564199111111106)</f>
        <v>0.2356419911</v>
      </c>
      <c r="CS43" s="207" t="str">
        <f>IFERROR(__xludf.DUMMYFUNCTION("IF(OR(CR43&gt;$BR43+$BS43*$BS$2,CR43&lt;$BR43-$BS43*$BS$2),AVEDEV(ARRAYFORMULA(XLOOKUP(FILTER(INDIRECT(""'""&amp;CR$1&amp;""'!$C$4:$C$66""),INDIRECT(""'""&amp;CR$1&amp;""'!$D$4:$D$66"")=CR$2),$F$3:$BP$3,$F43:$BP43))),"""")"),"")</f>
        <v/>
      </c>
      <c r="CT43" s="251">
        <f>IFERROR(__xludf.DUMMYFUNCTION("AVERAGE(ARRAYFORMULA(XLOOKUP(FILTER(INDIRECT(""'""&amp;CT$1&amp;""'!$C$4:$C$66""),INDIRECT(""'""&amp;CT$1&amp;""'!$D$4:$D$66"")=CT$2),$F$3:$BP$3,$F43:$BP43)))"),-0.27129430181818176)</f>
        <v>-0.2712943018</v>
      </c>
      <c r="CU43" s="207" t="str">
        <f>IFERROR(__xludf.DUMMYFUNCTION("IF(OR(CT43&gt;$BR43+$BS43*$BS$2,CT43&lt;$BR43-$BS43*$BS$2),AVEDEV(ARRAYFORMULA(XLOOKUP(FILTER(INDIRECT(""'""&amp;CT$1&amp;""'!$C$4:$C$66""),INDIRECT(""'""&amp;CT$1&amp;""'!$D$4:$D$66"")=CT$2),$F$3:$BP$3,$F43:$BP43))),"""")"),"")</f>
        <v/>
      </c>
      <c r="CV43" s="251">
        <f>IFERROR(__xludf.DUMMYFUNCTION("AVERAGE(ARRAYFORMULA(XLOOKUP(FILTER(INDIRECT(""'""&amp;CV$1&amp;""'!$C$4:$C$66""),INDIRECT(""'""&amp;CV$1&amp;""'!$D$4:$D$66"")=CV$2),$F$3:$BP$3,$F43:$BP43)))"),-0.3553736)</f>
        <v>-0.3553736</v>
      </c>
      <c r="CW43" s="207" t="str">
        <f>IFERROR(__xludf.DUMMYFUNCTION("IF(OR(CV43&gt;$BR43+$BS43*$BS$2,CV43&lt;$BR43-$BS43*$BS$2),AVEDEV(ARRAYFORMULA(XLOOKUP(FILTER(INDIRECT(""'""&amp;CV$1&amp;""'!$C$4:$C$66""),INDIRECT(""'""&amp;CV$1&amp;""'!$D$4:$D$66"")=CV$2),$F$3:$BP$3,$F43:$BP43))),"""")"),"")</f>
        <v/>
      </c>
      <c r="CX43" s="251">
        <f>IFERROR(__xludf.DUMMYFUNCTION("AVERAGE(ARRAYFORMULA(XLOOKUP(FILTER(INDIRECT(""'""&amp;CX$1&amp;""'!$C$4:$C$66""),INDIRECT(""'""&amp;CX$1&amp;""'!$D$4:$D$66"")=CX$2),$F$3:$BP$3,$F43:$BP43)))"),0.48045036071428576)</f>
        <v>0.4804503607</v>
      </c>
      <c r="CY43" s="207" t="str">
        <f>IFERROR(__xludf.DUMMYFUNCTION("IF(OR(CX43&gt;$BR43+$BS43*$BS$2,CX43&lt;$BR43-$BS43*$BS$2),AVEDEV(ARRAYFORMULA(XLOOKUP(FILTER(INDIRECT(""'""&amp;CX$1&amp;""'!$C$4:$C$66""),INDIRECT(""'""&amp;CX$1&amp;""'!$D$4:$D$66"")=CX$2),$F$3:$BP$3,$F43:$BP43))),"""")"),"")</f>
        <v/>
      </c>
      <c r="CZ43" s="252"/>
      <c r="DA43" s="251">
        <f>IFERROR(__xludf.DUMMYFUNCTION("AVERAGE(ARRAYFORMULA(XLOOKUP(FILTER(INDIRECT(""'""&amp;DA$1&amp;""'!$C$4:$C$66""),INDIRECT(""'""&amp;DA$1&amp;""'!$D$4:$D$66"")=DA$2),$F$3:$BP$3,$F43:$BP43)))"),-0.04625042300000003)</f>
        <v>-0.046250423</v>
      </c>
      <c r="DB43" s="207" t="str">
        <f>IFERROR(__xludf.DUMMYFUNCTION("IF(OR(DA43&gt;$BR43+$BS43*$BS$2,DA43&lt;$BR43-$BS43*$BS$2),AVEDEV(ARRAYFORMULA(XLOOKUP(FILTER(INDIRECT(""'""&amp;DA$1&amp;""'!$C$4:$C$66""),INDIRECT(""'""&amp;DA$1&amp;""'!$D$4:$D$66"")=DA$2),$F$3:$BP$3,$F43:$BP43))),"""")"),"")</f>
        <v/>
      </c>
      <c r="DC43" s="251">
        <f>IFERROR(__xludf.DUMMYFUNCTION("AVERAGE(ARRAYFORMULA(XLOOKUP(FILTER(INDIRECT(""'""&amp;DC$1&amp;""'!$C$4:$C$66""),INDIRECT(""'""&amp;DC$1&amp;""'!$D$4:$D$66"")=DC$2),$F$3:$BP$3,$F43:$BP43)))"),0.22622540444444444)</f>
        <v>0.2262254044</v>
      </c>
      <c r="DD43" s="207" t="str">
        <f>IFERROR(__xludf.DUMMYFUNCTION("IF(OR(DC43&gt;$BR43+$BS43*$BS$2,DC43&lt;$BR43-$BS43*$BS$2),AVEDEV(ARRAYFORMULA(XLOOKUP(FILTER(INDIRECT(""'""&amp;DC$1&amp;""'!$C$4:$C$66""),INDIRECT(""'""&amp;DC$1&amp;""'!$D$4:$D$66"")=DC$2),$F$3:$BP$3,$F43:$BP43))),"""")"),"")</f>
        <v/>
      </c>
      <c r="DE43" s="251">
        <f>IFERROR(__xludf.DUMMYFUNCTION("AVERAGE(ARRAYFORMULA(XLOOKUP(FILTER(INDIRECT(""'""&amp;DE$1&amp;""'!$C$4:$C$66""),INDIRECT(""'""&amp;DE$1&amp;""'!$D$4:$D$66"")=DE$2),$F$3:$BP$3,$F43:$BP43)))"),0.013152507499999994)</f>
        <v>0.0131525075</v>
      </c>
      <c r="DF43" s="207" t="str">
        <f>IFERROR(__xludf.DUMMYFUNCTION("IF(OR(DE43&gt;$BR43+$BS43*$BS$2,DE43&lt;$BR43-$BS43*$BS$2),AVEDEV(ARRAYFORMULA(XLOOKUP(FILTER(INDIRECT(""'""&amp;DE$1&amp;""'!$C$4:$C$66""),INDIRECT(""'""&amp;DE$1&amp;""'!$D$4:$D$66"")=DE$2),$F$3:$BP$3,$F43:$BP43))),"""")"),"")</f>
        <v/>
      </c>
      <c r="DG43" s="251">
        <f>IFERROR(__xludf.DUMMYFUNCTION("AVERAGE(ARRAYFORMULA(XLOOKUP(FILTER(INDIRECT(""'""&amp;DG$1&amp;""'!$C$4:$C$66""),INDIRECT(""'""&amp;DG$1&amp;""'!$D$4:$D$66"")=DG$2),$F$3:$BP$3,$F43:$BP43)))"),-0.01883315444444443)</f>
        <v>-0.01883315444</v>
      </c>
      <c r="DH43" s="207" t="str">
        <f>IFERROR(__xludf.DUMMYFUNCTION("IF(OR(DG43&gt;$BR43+$BS43*$BS$2,DG43&lt;$BR43-$BS43*$BS$2),AVEDEV(ARRAYFORMULA(XLOOKUP(FILTER(INDIRECT(""'""&amp;DG$1&amp;""'!$C$4:$C$66""),INDIRECT(""'""&amp;DG$1&amp;""'!$D$4:$D$66"")=DG$2),$F$3:$BP$3,$F43:$BP43))),"""")"),"")</f>
        <v/>
      </c>
      <c r="DI43" s="252"/>
    </row>
    <row r="44">
      <c r="A44" s="2"/>
      <c r="B44" s="204" t="s">
        <v>482</v>
      </c>
      <c r="C44" s="204" t="s">
        <v>485</v>
      </c>
      <c r="D44" s="205" t="b">
        <f>VLOOKUP(C44,'Feature Set List'!A41:C246,2,0)</f>
        <v>1</v>
      </c>
      <c r="E44" s="205" t="b">
        <f>VLOOKUP(C44,'Feature Set List'!A41:C246,3,0)</f>
        <v>1</v>
      </c>
      <c r="F44" s="205">
        <v>0.0</v>
      </c>
      <c r="G44" s="205">
        <v>-1.0</v>
      </c>
      <c r="H44" s="205">
        <v>0.0</v>
      </c>
      <c r="I44" s="205">
        <v>0.0</v>
      </c>
      <c r="J44" s="205">
        <v>0.0</v>
      </c>
      <c r="K44" s="205">
        <v>1.0</v>
      </c>
      <c r="L44" s="205">
        <v>0.0</v>
      </c>
      <c r="M44" s="205">
        <v>-1.0</v>
      </c>
      <c r="N44" s="205">
        <v>-1.0</v>
      </c>
      <c r="O44" s="205">
        <v>-1.0</v>
      </c>
      <c r="P44" s="205">
        <v>1.0</v>
      </c>
      <c r="Q44" s="205">
        <v>-1.0</v>
      </c>
      <c r="R44" s="205">
        <v>0.0</v>
      </c>
      <c r="S44" s="205">
        <v>1.0</v>
      </c>
      <c r="T44" s="205">
        <v>-2.0</v>
      </c>
      <c r="U44" s="205">
        <v>-1.0</v>
      </c>
      <c r="V44" s="205">
        <v>-1.0</v>
      </c>
      <c r="W44" s="205">
        <v>-1.0</v>
      </c>
      <c r="X44" s="205">
        <v>1.0</v>
      </c>
      <c r="Y44" s="205">
        <v>-1.0</v>
      </c>
      <c r="Z44" s="205">
        <v>0.0</v>
      </c>
      <c r="AA44" s="205">
        <v>0.0</v>
      </c>
      <c r="AB44" s="205">
        <v>0.0</v>
      </c>
      <c r="AC44" s="205">
        <v>0.0</v>
      </c>
      <c r="AD44" s="205">
        <v>-1.0</v>
      </c>
      <c r="AE44" s="205">
        <v>0.0</v>
      </c>
      <c r="AF44" s="205">
        <v>0.0</v>
      </c>
      <c r="AG44" s="205">
        <v>-1.0</v>
      </c>
      <c r="AH44" s="205">
        <v>0.0</v>
      </c>
      <c r="AI44" s="205">
        <v>1.0</v>
      </c>
      <c r="AJ44" s="205">
        <v>1.0</v>
      </c>
      <c r="AK44" s="205">
        <v>1.0</v>
      </c>
      <c r="AL44" s="205">
        <v>-1.0</v>
      </c>
      <c r="AM44" s="205">
        <v>-2.0</v>
      </c>
      <c r="AN44" s="205">
        <v>-1.0</v>
      </c>
      <c r="AO44" s="205">
        <v>0.0</v>
      </c>
      <c r="AP44" s="205">
        <v>0.0</v>
      </c>
      <c r="AQ44" s="205">
        <v>0.0</v>
      </c>
      <c r="AR44" s="205">
        <v>0.0</v>
      </c>
      <c r="AS44" s="205">
        <v>-1.0</v>
      </c>
      <c r="AT44" s="205">
        <v>0.0</v>
      </c>
      <c r="AU44" s="205">
        <v>-1.0</v>
      </c>
      <c r="AV44" s="205">
        <v>0.0</v>
      </c>
      <c r="AW44" s="205">
        <v>0.0</v>
      </c>
      <c r="AX44" s="205">
        <v>-3.0</v>
      </c>
      <c r="AY44" s="205">
        <v>-1.0</v>
      </c>
      <c r="AZ44" s="205">
        <v>1.0</v>
      </c>
      <c r="BA44" s="205">
        <v>0.0</v>
      </c>
      <c r="BB44" s="205">
        <v>-1.0</v>
      </c>
      <c r="BC44" s="205">
        <v>0.0</v>
      </c>
      <c r="BD44" s="205">
        <v>-3.0</v>
      </c>
      <c r="BE44" s="205">
        <v>0.0</v>
      </c>
      <c r="BF44" s="205">
        <v>2.0</v>
      </c>
      <c r="BG44" s="205">
        <v>-1.0</v>
      </c>
      <c r="BH44" s="205">
        <v>-1.0</v>
      </c>
      <c r="BI44" s="205">
        <v>-2.0</v>
      </c>
      <c r="BJ44" s="205">
        <v>1.0</v>
      </c>
      <c r="BK44" s="205">
        <v>-2.0</v>
      </c>
      <c r="BL44" s="205">
        <v>0.0</v>
      </c>
      <c r="BM44" s="205">
        <v>0.0</v>
      </c>
      <c r="BN44" s="205">
        <v>0.0</v>
      </c>
      <c r="BO44" s="205">
        <v>-1.0</v>
      </c>
      <c r="BP44" s="205">
        <v>-1.0</v>
      </c>
      <c r="BQ44" s="206"/>
      <c r="BR44" s="250">
        <f t="shared" si="1"/>
        <v>-0.380952381</v>
      </c>
      <c r="BS44" s="250">
        <f t="shared" si="2"/>
        <v>0.7845804989</v>
      </c>
      <c r="BT44" s="206"/>
      <c r="BU44" s="207">
        <f>IFERROR(__xludf.DUMMYFUNCTION("AVERAGE(ARRAYFORMULA(XLOOKUP(FILTER(INDIRECT(""'""&amp;BU$1&amp;""'!$C$4:$C$66""),INDIRECT(""'""&amp;BU$1&amp;""'!$D$4:$D$66"")=BU$2),$F$3:$BP$3,$F44:$BP44)))"),-1.7142857142857142)</f>
        <v>-1.714285714</v>
      </c>
      <c r="BV44" s="207">
        <f>IFERROR(__xludf.DUMMYFUNCTION("IF(OR(BU44&gt;$BR44+$BS44*$BS$2,BU44&lt;$BR44-$BS44*$BS$2),AVEDEV(ARRAYFORMULA(XLOOKUP(FILTER(INDIRECT(""'""&amp;BU$1&amp;""'!$C$4:$C$66""),INDIRECT(""'""&amp;BU$1&amp;""'!$D$4:$D$66"")=BU$2),$F$3:$BP$3,$F44:$BP44))),"""")"),0.8979591836734694)</f>
        <v>0.8979591837</v>
      </c>
      <c r="BW44" s="207">
        <f>IFERROR(__xludf.DUMMYFUNCTION("AVERAGE(ARRAYFORMULA(XLOOKUP(FILTER(INDIRECT(""'""&amp;BW$1&amp;""'!$C$4:$C$66""),INDIRECT(""'""&amp;BW$1&amp;""'!$D$4:$D$66"")=BW$2),$F$3:$BP$3,$F44:$BP44)))"),-0.30952380952380953)</f>
        <v>-0.3095238095</v>
      </c>
      <c r="BX44" s="207" t="str">
        <f>IFERROR(__xludf.DUMMYFUNCTION("IF(OR(BW44&gt;$BR44+$BS44*$BS$2,BW44&lt;$BR44-$BS44*$BS$2),AVEDEV(ARRAYFORMULA(XLOOKUP(FILTER(INDIRECT(""'""&amp;BW$1&amp;""'!$C$4:$C$66""),INDIRECT(""'""&amp;BW$1&amp;""'!$D$4:$D$66"")=BW$2),$F$3:$BP$3,$F44:$BP44))),"""")"),"")</f>
        <v/>
      </c>
      <c r="BY44" s="207">
        <f>IFERROR(__xludf.DUMMYFUNCTION("AVERAGE(ARRAYFORMULA(XLOOKUP(FILTER(INDIRECT(""'""&amp;BY$1&amp;""'!$C$4:$C$66""),INDIRECT(""'""&amp;BY$1&amp;""'!$D$4:$D$66"")=BY$2),$F$3:$BP$3,$F44:$BP44)))"),0.09090909090909091)</f>
        <v>0.09090909091</v>
      </c>
      <c r="BZ44" s="207" t="str">
        <f>IFERROR(__xludf.DUMMYFUNCTION("IF(OR(BY44&gt;$BR44+$BS44*$BS$2,BY44&lt;$BR44-$BS44*$BS$2),AVEDEV(ARRAYFORMULA(XLOOKUP(FILTER(INDIRECT(""'""&amp;BY$1&amp;""'!$C$4:$C$66""),INDIRECT(""'""&amp;BY$1&amp;""'!$D$4:$D$66"")=BY$2),$F$3:$BP$3,$F44:$BP44))),"""")"),"")</f>
        <v/>
      </c>
      <c r="CA44" s="209"/>
      <c r="CB44" s="207">
        <f>IFERROR(__xludf.DUMMYFUNCTION("AVERAGE(ARRAYFORMULA(XLOOKUP(FILTER(INDIRECT(""'""&amp;CB$1&amp;""'!$C$4:$C$66""),INDIRECT(""'""&amp;CB$1&amp;""'!$D$4:$D$66"")=CB$2),$F$3:$BP$3,$F44:$BP44)))"),-0.375)</f>
        <v>-0.375</v>
      </c>
      <c r="CC44" s="207" t="str">
        <f>IFERROR(__xludf.DUMMYFUNCTION("IF(OR(CB44&gt;$BR44+$BS44*$BS$2,CB44&lt;$BR44-$BS44*$BS$2),AVEDEV(ARRAYFORMULA(XLOOKUP(FILTER(INDIRECT(""'""&amp;CB$1&amp;""'!$C$4:$C$66""),INDIRECT(""'""&amp;CB$1&amp;""'!$D$4:$D$66"")=CB$2),$F$3:$BP$3,$F44:$BP44))),"""")"),"")</f>
        <v/>
      </c>
      <c r="CD44" s="207">
        <f>IFERROR(__xludf.DUMMYFUNCTION("AVERAGE(ARRAYFORMULA(XLOOKUP(FILTER(INDIRECT(""'""&amp;CD$1&amp;""'!$C$4:$C$66""),INDIRECT(""'""&amp;CD$1&amp;""'!$D$4:$D$66"")=CD$2),$F$3:$BP$3,$F44:$BP44)))"),-0.5483870967741935)</f>
        <v>-0.5483870968</v>
      </c>
      <c r="CE44" s="207" t="str">
        <f>IFERROR(__xludf.DUMMYFUNCTION("IF(OR(CD44&gt;$BR44+$BS44*$BS$2,CD44&lt;$BR44-$BS44*$BS$2),AVEDEV(ARRAYFORMULA(XLOOKUP(FILTER(INDIRECT(""'""&amp;CD$1&amp;""'!$C$4:$C$66""),INDIRECT(""'""&amp;CD$1&amp;""'!$D$4:$D$66"")=CD$2),$F$3:$BP$3,$F44:$BP44))),"""")"),"")</f>
        <v/>
      </c>
      <c r="CF44" s="207">
        <f>IFERROR(__xludf.DUMMYFUNCTION("AVERAGE(ARRAYFORMULA(XLOOKUP(FILTER(INDIRECT(""'""&amp;CF$1&amp;""'!$C$4:$C$66""),INDIRECT(""'""&amp;CF$1&amp;""'!$D$4:$D$66"")=CF$2),$F$3:$BP$3,$F44:$BP44)))"),0.6)</f>
        <v>0.6</v>
      </c>
      <c r="CG44" s="207">
        <f>IFERROR(__xludf.DUMMYFUNCTION("IF(OR(CF44&gt;$BR44+$BS44*$BS$2,CF44&lt;$BR44-$BS44*$BS$2),AVEDEV(ARRAYFORMULA(XLOOKUP(FILTER(INDIRECT(""'""&amp;CF$1&amp;""'!$C$4:$C$66""),INDIRECT(""'""&amp;CF$1&amp;""'!$D$4:$D$66"")=CF$2),$F$3:$BP$3,$F44:$BP44))),"""")"),0.8800000000000001)</f>
        <v>0.88</v>
      </c>
      <c r="CH44" s="206"/>
      <c r="CI44" s="251">
        <f>IFERROR(__xludf.DUMMYFUNCTION("AVERAGE(ARRAYFORMULA(XLOOKUP(FILTER(INDIRECT(""'""&amp;CI$1&amp;""'!$C$4:$C$66""),INDIRECT(""'""&amp;CI$1&amp;""'!$D$4:$D$66"")=CI$2),$F$3:$BP$3,$F44:$BP44)))"),-0.6)</f>
        <v>-0.6</v>
      </c>
      <c r="CJ44" s="207" t="str">
        <f>IFERROR(__xludf.DUMMYFUNCTION("IF(OR(CI44&gt;$BR44+$BS44*$BS$2,CI44&lt;$BR44-$BS44*$BS$2),AVEDEV(ARRAYFORMULA(XLOOKUP(FILTER(INDIRECT(""'""&amp;CI$1&amp;""'!$C$4:$C$66""),INDIRECT(""'""&amp;CI$1&amp;""'!$D$4:$D$66"")=CI$2),$F$3:$BP$3,$F44:$BP44))),"""")"),"")</f>
        <v/>
      </c>
      <c r="CK44" s="251">
        <f>IFERROR(__xludf.DUMMYFUNCTION("AVERAGE(ARRAYFORMULA(XLOOKUP(FILTER(INDIRECT(""'""&amp;CK$1&amp;""'!$C$4:$C$66""),INDIRECT(""'""&amp;CK$1&amp;""'!$D$4:$D$66"")=CK$2),$F$3:$BP$3,$F44:$BP44)))"),-0.41025641025641024)</f>
        <v>-0.4102564103</v>
      </c>
      <c r="CL44" s="207" t="str">
        <f>IFERROR(__xludf.DUMMYFUNCTION("IF(OR(CK44&gt;$BR44+$BS44*$BS$2,CK44&lt;$BR44-$BS44*$BS$2),AVEDEV(ARRAYFORMULA(XLOOKUP(FILTER(INDIRECT(""'""&amp;CK$1&amp;""'!$C$4:$C$66""),INDIRECT(""'""&amp;CK$1&amp;""'!$D$4:$D$66"")=CK$2),$F$3:$BP$3,$F44:$BP44))),"""")"),"")</f>
        <v/>
      </c>
      <c r="CM44" s="251">
        <f>IFERROR(__xludf.DUMMYFUNCTION("AVERAGE(ARRAYFORMULA(XLOOKUP(FILTER(INDIRECT(""'""&amp;CM$1&amp;""'!$C$4:$C$66""),INDIRECT(""'""&amp;CM$1&amp;""'!$D$4:$D$66"")=CM$2),$F$3:$BP$3,$F44:$BP44)))"),0.6)</f>
        <v>0.6</v>
      </c>
      <c r="CN44" s="207">
        <f>IFERROR(__xludf.DUMMYFUNCTION("IF(OR(CM44&gt;$BR44+$BS44*$BS$2,CM44&lt;$BR44-$BS44*$BS$2),AVEDEV(ARRAYFORMULA(XLOOKUP(FILTER(INDIRECT(""'""&amp;CM$1&amp;""'!$C$4:$C$66""),INDIRECT(""'""&amp;CM$1&amp;""'!$D$4:$D$66"")=CM$2),$F$3:$BP$3,$F44:$BP44))),"""")"),0.8800000000000001)</f>
        <v>0.88</v>
      </c>
      <c r="CO44" s="252"/>
      <c r="CP44" s="251">
        <f>IFERROR(__xludf.DUMMYFUNCTION("AVERAGE(ARRAYFORMULA(XLOOKUP(FILTER(INDIRECT(""'""&amp;CP$1&amp;""'!$C$4:$C$66""),INDIRECT(""'""&amp;CP$1&amp;""'!$D$4:$D$66"")=CP$2),$F$3:$BP$3,$F44:$BP44)))"),-0.07142857142857142)</f>
        <v>-0.07142857143</v>
      </c>
      <c r="CQ44" s="207" t="str">
        <f>IFERROR(__xludf.DUMMYFUNCTION("IF(OR(CP44&gt;$BR44+$BS44*$BS$2,CP44&lt;$BR44-$BS44*$BS$2),AVEDEV(ARRAYFORMULA(XLOOKUP(FILTER(INDIRECT(""'""&amp;CP$1&amp;""'!$C$4:$C$66""),INDIRECT(""'""&amp;CP$1&amp;""'!$D$4:$D$66"")=CP$2),$F$3:$BP$3,$F44:$BP44))),"""")"),"")</f>
        <v/>
      </c>
      <c r="CR44" s="251">
        <f>IFERROR(__xludf.DUMMYFUNCTION("AVERAGE(ARRAYFORMULA(XLOOKUP(FILTER(INDIRECT(""'""&amp;CR$1&amp;""'!$C$4:$C$66""),INDIRECT(""'""&amp;CR$1&amp;""'!$D$4:$D$66"")=CR$2),$F$3:$BP$3,$F44:$BP44)))"),0.2222222222222222)</f>
        <v>0.2222222222</v>
      </c>
      <c r="CS44" s="207" t="str">
        <f>IFERROR(__xludf.DUMMYFUNCTION("IF(OR(CR44&gt;$BR44+$BS44*$BS$2,CR44&lt;$BR44-$BS44*$BS$2),AVEDEV(ARRAYFORMULA(XLOOKUP(FILTER(INDIRECT(""'""&amp;CR$1&amp;""'!$C$4:$C$66""),INDIRECT(""'""&amp;CR$1&amp;""'!$D$4:$D$66"")=CR$2),$F$3:$BP$3,$F44:$BP44))),"""")"),"")</f>
        <v/>
      </c>
      <c r="CT44" s="251">
        <f>IFERROR(__xludf.DUMMYFUNCTION("AVERAGE(ARRAYFORMULA(XLOOKUP(FILTER(INDIRECT(""'""&amp;CT$1&amp;""'!$C$4:$C$66""),INDIRECT(""'""&amp;CT$1&amp;""'!$D$4:$D$66"")=CT$2),$F$3:$BP$3,$F44:$BP44)))"),-0.2727272727272727)</f>
        <v>-0.2727272727</v>
      </c>
      <c r="CU44" s="207" t="str">
        <f>IFERROR(__xludf.DUMMYFUNCTION("IF(OR(CT44&gt;$BR44+$BS44*$BS$2,CT44&lt;$BR44-$BS44*$BS$2),AVEDEV(ARRAYFORMULA(XLOOKUP(FILTER(INDIRECT(""'""&amp;CT$1&amp;""'!$C$4:$C$66""),INDIRECT(""'""&amp;CT$1&amp;""'!$D$4:$D$66"")=CT$2),$F$3:$BP$3,$F44:$BP44))),"""")"),"")</f>
        <v/>
      </c>
      <c r="CV44" s="251">
        <f>IFERROR(__xludf.DUMMYFUNCTION("AVERAGE(ARRAYFORMULA(XLOOKUP(FILTER(INDIRECT(""'""&amp;CV$1&amp;""'!$C$4:$C$66""),INDIRECT(""'""&amp;CV$1&amp;""'!$D$4:$D$66"")=CV$2),$F$3:$BP$3,$F44:$BP44)))"),-0.5)</f>
        <v>-0.5</v>
      </c>
      <c r="CW44" s="207" t="str">
        <f>IFERROR(__xludf.DUMMYFUNCTION("IF(OR(CV44&gt;$BR44+$BS44*$BS$2,CV44&lt;$BR44-$BS44*$BS$2),AVEDEV(ARRAYFORMULA(XLOOKUP(FILTER(INDIRECT(""'""&amp;CV$1&amp;""'!$C$4:$C$66""),INDIRECT(""'""&amp;CV$1&amp;""'!$D$4:$D$66"")=CV$2),$F$3:$BP$3,$F44:$BP44))),"""")"),"")</f>
        <v/>
      </c>
      <c r="CX44" s="251">
        <f>IFERROR(__xludf.DUMMYFUNCTION("AVERAGE(ARRAYFORMULA(XLOOKUP(FILTER(INDIRECT(""'""&amp;CX$1&amp;""'!$C$4:$C$66""),INDIRECT(""'""&amp;CX$1&amp;""'!$D$4:$D$66"")=CX$2),$F$3:$BP$3,$F44:$BP44)))"),-0.6428571428571429)</f>
        <v>-0.6428571429</v>
      </c>
      <c r="CY44" s="207" t="str">
        <f>IFERROR(__xludf.DUMMYFUNCTION("IF(OR(CX44&gt;$BR44+$BS44*$BS$2,CX44&lt;$BR44-$BS44*$BS$2),AVEDEV(ARRAYFORMULA(XLOOKUP(FILTER(INDIRECT(""'""&amp;CX$1&amp;""'!$C$4:$C$66""),INDIRECT(""'""&amp;CX$1&amp;""'!$D$4:$D$66"")=CX$2),$F$3:$BP$3,$F44:$BP44))),"""")"),"")</f>
        <v/>
      </c>
      <c r="CZ44" s="252"/>
      <c r="DA44" s="251">
        <f>IFERROR(__xludf.DUMMYFUNCTION("AVERAGE(ARRAYFORMULA(XLOOKUP(FILTER(INDIRECT(""'""&amp;DA$1&amp;""'!$C$4:$C$66""),INDIRECT(""'""&amp;DA$1&amp;""'!$D$4:$D$66"")=DA$2),$F$3:$BP$3,$F44:$BP44)))"),-0.4)</f>
        <v>-0.4</v>
      </c>
      <c r="DB44" s="207" t="str">
        <f>IFERROR(__xludf.DUMMYFUNCTION("IF(OR(DA44&gt;$BR44+$BS44*$BS$2,DA44&lt;$BR44-$BS44*$BS$2),AVEDEV(ARRAYFORMULA(XLOOKUP(FILTER(INDIRECT(""'""&amp;DA$1&amp;""'!$C$4:$C$66""),INDIRECT(""'""&amp;DA$1&amp;""'!$D$4:$D$66"")=DA$2),$F$3:$BP$3,$F44:$BP44))),"""")"),"")</f>
        <v/>
      </c>
      <c r="DC44" s="251">
        <f>IFERROR(__xludf.DUMMYFUNCTION("AVERAGE(ARRAYFORMULA(XLOOKUP(FILTER(INDIRECT(""'""&amp;DC$1&amp;""'!$C$4:$C$66""),INDIRECT(""'""&amp;DC$1&amp;""'!$D$4:$D$66"")=DC$2),$F$3:$BP$3,$F44:$BP44)))"),0.0)</f>
        <v>0</v>
      </c>
      <c r="DD44" s="207" t="str">
        <f>IFERROR(__xludf.DUMMYFUNCTION("IF(OR(DC44&gt;$BR44+$BS44*$BS$2,DC44&lt;$BR44-$BS44*$BS$2),AVEDEV(ARRAYFORMULA(XLOOKUP(FILTER(INDIRECT(""'""&amp;DC$1&amp;""'!$C$4:$C$66""),INDIRECT(""'""&amp;DC$1&amp;""'!$D$4:$D$66"")=DC$2),$F$3:$BP$3,$F44:$BP44))),"""")"),"")</f>
        <v/>
      </c>
      <c r="DE44" s="251">
        <f>IFERROR(__xludf.DUMMYFUNCTION("AVERAGE(ARRAYFORMULA(XLOOKUP(FILTER(INDIRECT(""'""&amp;DE$1&amp;""'!$C$4:$C$66""),INDIRECT(""'""&amp;DE$1&amp;""'!$D$4:$D$66"")=DE$2),$F$3:$BP$3,$F44:$BP44)))"),-0.875)</f>
        <v>-0.875</v>
      </c>
      <c r="DF44" s="207" t="str">
        <f>IFERROR(__xludf.DUMMYFUNCTION("IF(OR(DE44&gt;$BR44+$BS44*$BS$2,DE44&lt;$BR44-$BS44*$BS$2),AVEDEV(ARRAYFORMULA(XLOOKUP(FILTER(INDIRECT(""'""&amp;DE$1&amp;""'!$C$4:$C$66""),INDIRECT(""'""&amp;DE$1&amp;""'!$D$4:$D$66"")=DE$2),$F$3:$BP$3,$F44:$BP44))),"""")"),"")</f>
        <v/>
      </c>
      <c r="DG44" s="251">
        <f>IFERROR(__xludf.DUMMYFUNCTION("AVERAGE(ARRAYFORMULA(XLOOKUP(FILTER(INDIRECT(""'""&amp;DG$1&amp;""'!$C$4:$C$66""),INDIRECT(""'""&amp;DG$1&amp;""'!$D$4:$D$66"")=DG$2),$F$3:$BP$3,$F44:$BP44)))"),-0.1111111111111111)</f>
        <v>-0.1111111111</v>
      </c>
      <c r="DH44" s="207" t="str">
        <f>IFERROR(__xludf.DUMMYFUNCTION("IF(OR(DG44&gt;$BR44+$BS44*$BS$2,DG44&lt;$BR44-$BS44*$BS$2),AVEDEV(ARRAYFORMULA(XLOOKUP(FILTER(INDIRECT(""'""&amp;DG$1&amp;""'!$C$4:$C$66""),INDIRECT(""'""&amp;DG$1&amp;""'!$D$4:$D$66"")=DG$2),$F$3:$BP$3,$F44:$BP44))),"""")"),"")</f>
        <v/>
      </c>
      <c r="DI44" s="252"/>
    </row>
    <row r="45">
      <c r="A45" s="2"/>
      <c r="B45" s="204" t="s">
        <v>482</v>
      </c>
      <c r="C45" s="204" t="s">
        <v>486</v>
      </c>
      <c r="D45" s="205" t="b">
        <f>VLOOKUP(C45,'Feature Set List'!A42:C246,2,0)</f>
        <v>1</v>
      </c>
      <c r="E45" s="205" t="b">
        <f>VLOOKUP(C45,'Feature Set List'!A42:C246,3,0)</f>
        <v>1</v>
      </c>
      <c r="F45" s="205">
        <v>0.0</v>
      </c>
      <c r="G45" s="205">
        <v>0.0</v>
      </c>
      <c r="H45" s="205">
        <v>0.33333333</v>
      </c>
      <c r="I45" s="205">
        <v>0.0</v>
      </c>
      <c r="J45" s="205">
        <v>-0.3333333</v>
      </c>
      <c r="K45" s="205">
        <v>0.0</v>
      </c>
      <c r="L45" s="205">
        <v>1.0</v>
      </c>
      <c r="M45" s="205">
        <v>1.0</v>
      </c>
      <c r="N45" s="205">
        <v>1.0</v>
      </c>
      <c r="O45" s="205">
        <v>0.0</v>
      </c>
      <c r="P45" s="205">
        <v>0.66666667</v>
      </c>
      <c r="Q45" s="205">
        <v>1.0</v>
      </c>
      <c r="R45" s="205">
        <v>3.33333333</v>
      </c>
      <c r="S45" s="205">
        <v>0.0</v>
      </c>
      <c r="T45" s="205">
        <v>0.0</v>
      </c>
      <c r="U45" s="205">
        <v>0.0</v>
      </c>
      <c r="V45" s="205">
        <v>1.0</v>
      </c>
      <c r="W45" s="205">
        <v>1.66666667</v>
      </c>
      <c r="X45" s="205">
        <v>-0.3333333</v>
      </c>
      <c r="Y45" s="205">
        <v>-0.3333333</v>
      </c>
      <c r="Z45" s="205">
        <v>0.0</v>
      </c>
      <c r="AA45" s="205">
        <v>1.66666667</v>
      </c>
      <c r="AB45" s="205">
        <v>1.0</v>
      </c>
      <c r="AC45" s="205">
        <v>0.0</v>
      </c>
      <c r="AD45" s="205">
        <v>-0.3333333</v>
      </c>
      <c r="AE45" s="205">
        <v>0.0</v>
      </c>
      <c r="AF45" s="205">
        <v>0.33333333</v>
      </c>
      <c r="AG45" s="205">
        <v>1.0</v>
      </c>
      <c r="AH45" s="205">
        <v>0.33333333</v>
      </c>
      <c r="AI45" s="205">
        <v>3.33333333</v>
      </c>
      <c r="AJ45" s="205">
        <v>0.33333333</v>
      </c>
      <c r="AK45" s="205">
        <v>0.33333333</v>
      </c>
      <c r="AL45" s="205">
        <v>-0.3333333</v>
      </c>
      <c r="AM45" s="205">
        <v>0.0</v>
      </c>
      <c r="AN45" s="205">
        <v>0.0</v>
      </c>
      <c r="AO45" s="205">
        <v>0.33333333</v>
      </c>
      <c r="AP45" s="205">
        <v>-0.3333333</v>
      </c>
      <c r="AQ45" s="205">
        <v>2.66666667</v>
      </c>
      <c r="AR45" s="205">
        <v>0.0</v>
      </c>
      <c r="AS45" s="205">
        <v>0.0</v>
      </c>
      <c r="AT45" s="205">
        <v>1.0</v>
      </c>
      <c r="AU45" s="205">
        <v>3.33333333</v>
      </c>
      <c r="AV45" s="205">
        <v>-0.3333333</v>
      </c>
      <c r="AW45" s="205">
        <v>0.33333333</v>
      </c>
      <c r="AX45" s="205">
        <v>0.0</v>
      </c>
      <c r="AY45" s="205">
        <v>1.66666667</v>
      </c>
      <c r="AZ45" s="205">
        <v>3.33333333</v>
      </c>
      <c r="BA45" s="205">
        <v>0.0</v>
      </c>
      <c r="BB45" s="205">
        <v>0.0</v>
      </c>
      <c r="BC45" s="205">
        <v>0.0</v>
      </c>
      <c r="BD45" s="205">
        <v>-0.3333333</v>
      </c>
      <c r="BE45" s="205">
        <v>0.0</v>
      </c>
      <c r="BF45" s="205">
        <v>0.0</v>
      </c>
      <c r="BG45" s="205">
        <v>0.0</v>
      </c>
      <c r="BH45" s="205">
        <v>0.0</v>
      </c>
      <c r="BI45" s="205">
        <v>0.0</v>
      </c>
      <c r="BJ45" s="205">
        <v>0.0</v>
      </c>
      <c r="BK45" s="205">
        <v>0.0</v>
      </c>
      <c r="BL45" s="205">
        <v>0.0</v>
      </c>
      <c r="BM45" s="205">
        <v>0.0</v>
      </c>
      <c r="BN45" s="205">
        <v>0.33333333</v>
      </c>
      <c r="BO45" s="205">
        <v>0.0</v>
      </c>
      <c r="BP45" s="205">
        <v>1.0</v>
      </c>
      <c r="BQ45" s="206"/>
      <c r="BR45" s="250">
        <f t="shared" si="1"/>
        <v>0.4867724906</v>
      </c>
      <c r="BS45" s="250">
        <f t="shared" si="2"/>
        <v>0.6953892647</v>
      </c>
      <c r="BT45" s="206"/>
      <c r="BU45" s="207">
        <f>IFERROR(__xludf.DUMMYFUNCTION("AVERAGE(ARRAYFORMULA(XLOOKUP(FILTER(INDIRECT(""'""&amp;BU$1&amp;""'!$C$4:$C$66""),INDIRECT(""'""&amp;BU$1&amp;""'!$D$4:$D$66"")=BU$2),$F$3:$BP$3,$F45:$BP45)))"),0.1904761957142857)</f>
        <v>0.1904761957</v>
      </c>
      <c r="BV45" s="207" t="str">
        <f>IFERROR(__xludf.DUMMYFUNCTION("IF(OR(BU45&gt;$BR45+$BS45*$BS$2,BU45&lt;$BR45-$BS45*$BS$2),AVEDEV(ARRAYFORMULA(XLOOKUP(FILTER(INDIRECT(""'""&amp;BU$1&amp;""'!$C$4:$C$66""),INDIRECT(""'""&amp;BU$1&amp;""'!$D$4:$D$66"")=BU$2),$F$3:$BP$3,$F45:$BP45))),"""")"),"")</f>
        <v/>
      </c>
      <c r="BW45" s="207">
        <f>IFERROR(__xludf.DUMMYFUNCTION("AVERAGE(ARRAYFORMULA(XLOOKUP(FILTER(INDIRECT(""'""&amp;BW$1&amp;""'!$C$4:$C$66""),INDIRECT(""'""&amp;BW$1&amp;""'!$D$4:$D$66"")=BW$2),$F$3:$BP$3,$F45:$BP45)))"),0.5079365121428572)</f>
        <v>0.5079365121</v>
      </c>
      <c r="BX45" s="207" t="str">
        <f>IFERROR(__xludf.DUMMYFUNCTION("IF(OR(BW45&gt;$BR45+$BS45*$BS$2,BW45&lt;$BR45-$BS45*$BS$2),AVEDEV(ARRAYFORMULA(XLOOKUP(FILTER(INDIRECT(""'""&amp;BW$1&amp;""'!$C$4:$C$66""),INDIRECT(""'""&amp;BW$1&amp;""'!$D$4:$D$66"")=BW$2),$F$3:$BP$3,$F45:$BP45))),"""")"),"")</f>
        <v/>
      </c>
      <c r="BY45" s="207">
        <f>IFERROR(__xludf.DUMMYFUNCTION("AVERAGE(ARRAYFORMULA(XLOOKUP(FILTER(INDIRECT(""'""&amp;BY$1&amp;""'!$C$4:$C$66""),INDIRECT(""'""&amp;BY$1&amp;""'!$D$4:$D$66"")=BY$2),$F$3:$BP$3,$F45:$BP45)))"),0.6060606090909091)</f>
        <v>0.6060606091</v>
      </c>
      <c r="BZ45" s="207" t="str">
        <f>IFERROR(__xludf.DUMMYFUNCTION("IF(OR(BY45&gt;$BR45+$BS45*$BS$2,BY45&lt;$BR45-$BS45*$BS$2),AVEDEV(ARRAYFORMULA(XLOOKUP(FILTER(INDIRECT(""'""&amp;BY$1&amp;""'!$C$4:$C$66""),INDIRECT(""'""&amp;BY$1&amp;""'!$D$4:$D$66"")=BY$2),$F$3:$BP$3,$F45:$BP45))),"""")"),"")</f>
        <v/>
      </c>
      <c r="CA45" s="209"/>
      <c r="CB45" s="207">
        <f>IFERROR(__xludf.DUMMYFUNCTION("AVERAGE(ARRAYFORMULA(XLOOKUP(FILTER(INDIRECT(""'""&amp;CB$1&amp;""'!$C$4:$C$66""),INDIRECT(""'""&amp;CB$1&amp;""'!$D$4:$D$66"")=CB$2),$F$3:$BP$3,$F45:$BP45)))"),0.06250000749999998)</f>
        <v>0.0625000075</v>
      </c>
      <c r="CC45" s="207" t="str">
        <f>IFERROR(__xludf.DUMMYFUNCTION("IF(OR(CB45&gt;$BR45+$BS45*$BS$2,CB45&lt;$BR45-$BS45*$BS$2),AVEDEV(ARRAYFORMULA(XLOOKUP(FILTER(INDIRECT(""'""&amp;CB$1&amp;""'!$C$4:$C$66""),INDIRECT(""'""&amp;CB$1&amp;""'!$D$4:$D$66"")=CB$2),$F$3:$BP$3,$F45:$BP45))),"""")"),"")</f>
        <v/>
      </c>
      <c r="CD45" s="207">
        <f>IFERROR(__xludf.DUMMYFUNCTION("AVERAGE(ARRAYFORMULA(XLOOKUP(FILTER(INDIRECT(""'""&amp;CD$1&amp;""'!$C$4:$C$66""),INDIRECT(""'""&amp;CD$1&amp;""'!$D$4:$D$66"")=CD$2),$F$3:$BP$3,$F45:$BP45)))"),0.645161294516129)</f>
        <v>0.6451612945</v>
      </c>
      <c r="CE45" s="207" t="str">
        <f>IFERROR(__xludf.DUMMYFUNCTION("IF(OR(CD45&gt;$BR45+$BS45*$BS$2,CD45&lt;$BR45-$BS45*$BS$2),AVEDEV(ARRAYFORMULA(XLOOKUP(FILTER(INDIRECT(""'""&amp;CD$1&amp;""'!$C$4:$C$66""),INDIRECT(""'""&amp;CD$1&amp;""'!$D$4:$D$66"")=CD$2),$F$3:$BP$3,$F45:$BP45))),"""")"),"")</f>
        <v/>
      </c>
      <c r="CF45" s="207">
        <f>IFERROR(__xludf.DUMMYFUNCTION("AVERAGE(ARRAYFORMULA(XLOOKUP(FILTER(INDIRECT(""'""&amp;CF$1&amp;""'!$C$4:$C$66""),INDIRECT(""'""&amp;CF$1&amp;""'!$D$4:$D$66"")=CF$2),$F$3:$BP$3,$F45:$BP45)))"),0.666666666)</f>
        <v>0.666666666</v>
      </c>
      <c r="CG45" s="207" t="str">
        <f>IFERROR(__xludf.DUMMYFUNCTION("IF(OR(CF45&gt;$BR45+$BS45*$BS$2,CF45&lt;$BR45-$BS45*$BS$2),AVEDEV(ARRAYFORMULA(XLOOKUP(FILTER(INDIRECT(""'""&amp;CF$1&amp;""'!$C$4:$C$66""),INDIRECT(""'""&amp;CF$1&amp;""'!$D$4:$D$66"")=CF$2),$F$3:$BP$3,$F45:$BP45))),"""")"),"")</f>
        <v/>
      </c>
      <c r="CH45" s="206"/>
      <c r="CI45" s="251">
        <f>IFERROR(__xludf.DUMMYFUNCTION("AVERAGE(ARRAYFORMULA(XLOOKUP(FILTER(INDIRECT(""'""&amp;CI$1&amp;""'!$C$4:$C$66""),INDIRECT(""'""&amp;CI$1&amp;""'!$D$4:$D$66"")=CI$2),$F$3:$BP$3,$F45:$BP45)))"),0.3777777846666667)</f>
        <v>0.3777777847</v>
      </c>
      <c r="CJ45" s="207" t="str">
        <f>IFERROR(__xludf.DUMMYFUNCTION("IF(OR(CI45&gt;$BR45+$BS45*$BS$2,CI45&lt;$BR45-$BS45*$BS$2),AVEDEV(ARRAYFORMULA(XLOOKUP(FILTER(INDIRECT(""'""&amp;CI$1&amp;""'!$C$4:$C$66""),INDIRECT(""'""&amp;CI$1&amp;""'!$D$4:$D$66"")=CI$2),$F$3:$BP$3,$F45:$BP45))),"""")"),"")</f>
        <v/>
      </c>
      <c r="CK45" s="251">
        <f>IFERROR(__xludf.DUMMYFUNCTION("AVERAGE(ARRAYFORMULA(XLOOKUP(FILTER(INDIRECT(""'""&amp;CK$1&amp;""'!$C$4:$C$66""),INDIRECT(""'""&amp;CK$1&amp;""'!$D$4:$D$66"")=CK$2),$F$3:$BP$3,$F45:$BP45)))"),0.5213675251282052)</f>
        <v>0.5213675251</v>
      </c>
      <c r="CL45" s="207" t="str">
        <f>IFERROR(__xludf.DUMMYFUNCTION("IF(OR(CK45&gt;$BR45+$BS45*$BS$2,CK45&lt;$BR45-$BS45*$BS$2),AVEDEV(ARRAYFORMULA(XLOOKUP(FILTER(INDIRECT(""'""&amp;CK$1&amp;""'!$C$4:$C$66""),INDIRECT(""'""&amp;CK$1&amp;""'!$D$4:$D$66"")=CK$2),$F$3:$BP$3,$F45:$BP45))),"""")"),"")</f>
        <v/>
      </c>
      <c r="CM45" s="251">
        <f>IFERROR(__xludf.DUMMYFUNCTION("AVERAGE(ARRAYFORMULA(XLOOKUP(FILTER(INDIRECT(""'""&amp;CM$1&amp;""'!$C$4:$C$66""),INDIRECT(""'""&amp;CM$1&amp;""'!$D$4:$D$66"")=CM$2),$F$3:$BP$3,$F45:$BP45)))"),0.666666666)</f>
        <v>0.666666666</v>
      </c>
      <c r="CN45" s="207" t="str">
        <f>IFERROR(__xludf.DUMMYFUNCTION("IF(OR(CM45&gt;$BR45+$BS45*$BS$2,CM45&lt;$BR45-$BS45*$BS$2),AVEDEV(ARRAYFORMULA(XLOOKUP(FILTER(INDIRECT(""'""&amp;CM$1&amp;""'!$C$4:$C$66""),INDIRECT(""'""&amp;CM$1&amp;""'!$D$4:$D$66"")=CM$2),$F$3:$BP$3,$F45:$BP45))),"""")"),"")</f>
        <v/>
      </c>
      <c r="CO45" s="252"/>
      <c r="CP45" s="251">
        <f>IFERROR(__xludf.DUMMYFUNCTION("AVERAGE(ARRAYFORMULA(XLOOKUP(FILTER(INDIRECT(""'""&amp;CP$1&amp;""'!$C$4:$C$66""),INDIRECT(""'""&amp;CP$1&amp;""'!$D$4:$D$66"")=CP$2),$F$3:$BP$3,$F45:$BP45)))"),0.11904762499999998)</f>
        <v>0.119047625</v>
      </c>
      <c r="CQ45" s="207" t="str">
        <f>IFERROR(__xludf.DUMMYFUNCTION("IF(OR(CP45&gt;$BR45+$BS45*$BS$2,CP45&lt;$BR45-$BS45*$BS$2),AVEDEV(ARRAYFORMULA(XLOOKUP(FILTER(INDIRECT(""'""&amp;CP$1&amp;""'!$C$4:$C$66""),INDIRECT(""'""&amp;CP$1&amp;""'!$D$4:$D$66"")=CP$2),$F$3:$BP$3,$F45:$BP45))),"""")"),"")</f>
        <v/>
      </c>
      <c r="CR45" s="251">
        <f>IFERROR(__xludf.DUMMYFUNCTION("AVERAGE(ARRAYFORMULA(XLOOKUP(FILTER(INDIRECT(""'""&amp;CR$1&amp;""'!$C$4:$C$66""),INDIRECT(""'""&amp;CR$1&amp;""'!$D$4:$D$66"")=CR$2),$F$3:$BP$3,$F45:$BP45)))"),0.555555558888889)</f>
        <v>0.5555555589</v>
      </c>
      <c r="CS45" s="207" t="str">
        <f>IFERROR(__xludf.DUMMYFUNCTION("IF(OR(CR45&gt;$BR45+$BS45*$BS$2,CR45&lt;$BR45-$BS45*$BS$2),AVEDEV(ARRAYFORMULA(XLOOKUP(FILTER(INDIRECT(""'""&amp;CR$1&amp;""'!$C$4:$C$66""),INDIRECT(""'""&amp;CR$1&amp;""'!$D$4:$D$66"")=CR$2),$F$3:$BP$3,$F45:$BP45))),"""")"),"")</f>
        <v/>
      </c>
      <c r="CT45" s="251">
        <f>IFERROR(__xludf.DUMMYFUNCTION("AVERAGE(ARRAYFORMULA(XLOOKUP(FILTER(INDIRECT(""'""&amp;CT$1&amp;""'!$C$4:$C$66""),INDIRECT(""'""&amp;CT$1&amp;""'!$D$4:$D$66"")=CT$2),$F$3:$BP$3,$F45:$BP45)))"),1.0909090936363637)</f>
        <v>1.090909094</v>
      </c>
      <c r="CU45" s="207" t="str">
        <f>IFERROR(__xludf.DUMMYFUNCTION("IF(OR(CT45&gt;$BR45+$BS45*$BS$2,CT45&lt;$BR45-$BS45*$BS$2),AVEDEV(ARRAYFORMULA(XLOOKUP(FILTER(INDIRECT(""'""&amp;CT$1&amp;""'!$C$4:$C$66""),INDIRECT(""'""&amp;CT$1&amp;""'!$D$4:$D$66"")=CT$2),$F$3:$BP$3,$F45:$BP45))),"""")"),"")</f>
        <v/>
      </c>
      <c r="CV45" s="251">
        <f>IFERROR(__xludf.DUMMYFUNCTION("AVERAGE(ARRAYFORMULA(XLOOKUP(FILTER(INDIRECT(""'""&amp;CV$1&amp;""'!$C$4:$C$66""),INDIRECT(""'""&amp;CV$1&amp;""'!$D$4:$D$66"")=CV$2),$F$3:$BP$3,$F45:$BP45)))"),0.0)</f>
        <v>0</v>
      </c>
      <c r="CW45" s="207" t="str">
        <f>IFERROR(__xludf.DUMMYFUNCTION("IF(OR(CV45&gt;$BR45+$BS45*$BS$2,CV45&lt;$BR45-$BS45*$BS$2),AVEDEV(ARRAYFORMULA(XLOOKUP(FILTER(INDIRECT(""'""&amp;CV$1&amp;""'!$C$4:$C$66""),INDIRECT(""'""&amp;CV$1&amp;""'!$D$4:$D$66"")=CV$2),$F$3:$BP$3,$F45:$BP45))),"""")"),"")</f>
        <v/>
      </c>
      <c r="CX45" s="251">
        <f>IFERROR(__xludf.DUMMYFUNCTION("AVERAGE(ARRAYFORMULA(XLOOKUP(FILTER(INDIRECT(""'""&amp;CX$1&amp;""'!$C$4:$C$66""),INDIRECT(""'""&amp;CX$1&amp;""'!$D$4:$D$66"")=CX$2),$F$3:$BP$3,$F45:$BP45)))"),0.6904761928571429)</f>
        <v>0.6904761929</v>
      </c>
      <c r="CY45" s="207" t="str">
        <f>IFERROR(__xludf.DUMMYFUNCTION("IF(OR(CX45&gt;$BR45+$BS45*$BS$2,CX45&lt;$BR45-$BS45*$BS$2),AVEDEV(ARRAYFORMULA(XLOOKUP(FILTER(INDIRECT(""'""&amp;CX$1&amp;""'!$C$4:$C$66""),INDIRECT(""'""&amp;CX$1&amp;""'!$D$4:$D$66"")=CX$2),$F$3:$BP$3,$F45:$BP45))),"""")"),"")</f>
        <v/>
      </c>
      <c r="CZ45" s="252"/>
      <c r="DA45" s="251">
        <f>IFERROR(__xludf.DUMMYFUNCTION("AVERAGE(ARRAYFORMULA(XLOOKUP(FILTER(INDIRECT(""'""&amp;DA$1&amp;""'!$C$4:$C$66""),INDIRECT(""'""&amp;DA$1&amp;""'!$D$4:$D$66"")=DA$2),$F$3:$BP$3,$F45:$BP45)))"),0.22222222733333338)</f>
        <v>0.2222222273</v>
      </c>
      <c r="DB45" s="207" t="str">
        <f>IFERROR(__xludf.DUMMYFUNCTION("IF(OR(DA45&gt;$BR45+$BS45*$BS$2,DA45&lt;$BR45-$BS45*$BS$2),AVEDEV(ARRAYFORMULA(XLOOKUP(FILTER(INDIRECT(""'""&amp;DA$1&amp;""'!$C$4:$C$66""),INDIRECT(""'""&amp;DA$1&amp;""'!$D$4:$D$66"")=DA$2),$F$3:$BP$3,$F45:$BP45))),"""")"),"")</f>
        <v/>
      </c>
      <c r="DC45" s="251">
        <f>IFERROR(__xludf.DUMMYFUNCTION("AVERAGE(ARRAYFORMULA(XLOOKUP(FILTER(INDIRECT(""'""&amp;DC$1&amp;""'!$C$4:$C$66""),INDIRECT(""'""&amp;DC$1&amp;""'!$D$4:$D$66"")=DC$2),$F$3:$BP$3,$F45:$BP45)))"),0.9629629622222223)</f>
        <v>0.9629629622</v>
      </c>
      <c r="DD45" s="207" t="str">
        <f>IFERROR(__xludf.DUMMYFUNCTION("IF(OR(DC45&gt;$BR45+$BS45*$BS$2,DC45&lt;$BR45-$BS45*$BS$2),AVEDEV(ARRAYFORMULA(XLOOKUP(FILTER(INDIRECT(""'""&amp;DC$1&amp;""'!$C$4:$C$66""),INDIRECT(""'""&amp;DC$1&amp;""'!$D$4:$D$66"")=DC$2),$F$3:$BP$3,$F45:$BP45))),"""")"),"")</f>
        <v/>
      </c>
      <c r="DE45" s="251">
        <f>IFERROR(__xludf.DUMMYFUNCTION("AVERAGE(ARRAYFORMULA(XLOOKUP(FILTER(INDIRECT(""'""&amp;DE$1&amp;""'!$C$4:$C$66""),INDIRECT(""'""&amp;DE$1&amp;""'!$D$4:$D$66"")=DE$2),$F$3:$BP$3,$F45:$BP45)))"),1.29166666625)</f>
        <v>1.291666666</v>
      </c>
      <c r="DF45" s="207">
        <f>IFERROR(__xludf.DUMMYFUNCTION("IF(OR(DE45&gt;$BR45+$BS45*$BS$2,DE45&lt;$BR45-$BS45*$BS$2),AVEDEV(ARRAYFORMULA(XLOOKUP(FILTER(INDIRECT(""'""&amp;DE$1&amp;""'!$C$4:$C$66""),INDIRECT(""'""&amp;DE$1&amp;""'!$D$4:$D$66"")=DE$2),$F$3:$BP$3,$F45:$BP45))),"""")"),1.1145833328125)</f>
        <v>1.114583333</v>
      </c>
      <c r="DG45" s="251">
        <f>IFERROR(__xludf.DUMMYFUNCTION("AVERAGE(ARRAYFORMULA(XLOOKUP(FILTER(INDIRECT(""'""&amp;DG$1&amp;""'!$C$4:$C$66""),INDIRECT(""'""&amp;DG$1&amp;""'!$D$4:$D$66"")=DG$2),$F$3:$BP$3,$F45:$BP45)))"),-0.07407406333333333)</f>
        <v>-0.07407406333</v>
      </c>
      <c r="DH45" s="207" t="str">
        <f>IFERROR(__xludf.DUMMYFUNCTION("IF(OR(DG45&gt;$BR45+$BS45*$BS$2,DG45&lt;$BR45-$BS45*$BS$2),AVEDEV(ARRAYFORMULA(XLOOKUP(FILTER(INDIRECT(""'""&amp;DG$1&amp;""'!$C$4:$C$66""),INDIRECT(""'""&amp;DG$1&amp;""'!$D$4:$D$66"")=DG$2),$F$3:$BP$3,$F45:$BP45))),"""")"),"")</f>
        <v/>
      </c>
      <c r="DI45" s="252"/>
    </row>
    <row r="46">
      <c r="A46" s="2"/>
      <c r="B46" s="204" t="s">
        <v>482</v>
      </c>
      <c r="C46" s="204" t="s">
        <v>487</v>
      </c>
      <c r="D46" s="205" t="b">
        <f>VLOOKUP(C46,'Feature Set List'!A43:C246,2,0)</f>
        <v>1</v>
      </c>
      <c r="E46" s="205" t="b">
        <f>VLOOKUP(C46,'Feature Set List'!A43:C246,3,0)</f>
        <v>1</v>
      </c>
      <c r="F46" s="205">
        <v>0.04647436</v>
      </c>
      <c r="G46" s="205">
        <v>0.08733974</v>
      </c>
      <c r="H46" s="205">
        <v>1.01201923</v>
      </c>
      <c r="I46" s="205">
        <v>0.11298077</v>
      </c>
      <c r="J46" s="205">
        <v>1.02884615</v>
      </c>
      <c r="K46" s="205">
        <v>-0.8798077</v>
      </c>
      <c r="L46" s="205">
        <v>-0.2924679</v>
      </c>
      <c r="M46" s="205">
        <v>-0.275641</v>
      </c>
      <c r="N46" s="205">
        <v>-0.181891</v>
      </c>
      <c r="O46" s="205">
        <v>-0.1362179</v>
      </c>
      <c r="P46" s="205">
        <v>-0.5144231</v>
      </c>
      <c r="Q46" s="205">
        <v>-0.5496795</v>
      </c>
      <c r="R46" s="205">
        <v>-0.2299679</v>
      </c>
      <c r="S46" s="205">
        <v>-0.3846154</v>
      </c>
      <c r="T46" s="205">
        <v>0.39983974</v>
      </c>
      <c r="U46" s="205">
        <v>-0.7283654</v>
      </c>
      <c r="V46" s="205">
        <v>-0.3453526</v>
      </c>
      <c r="W46" s="205">
        <v>0.64342949</v>
      </c>
      <c r="X46" s="205">
        <v>-0.443109</v>
      </c>
      <c r="Y46" s="205">
        <v>1.20192308</v>
      </c>
      <c r="Z46" s="205">
        <v>1.06490385</v>
      </c>
      <c r="AA46" s="205">
        <v>1.04967949</v>
      </c>
      <c r="AB46" s="205">
        <v>1.13621795</v>
      </c>
      <c r="AC46" s="205">
        <v>0.4150641</v>
      </c>
      <c r="AD46" s="205">
        <v>0.65705128</v>
      </c>
      <c r="AE46" s="205">
        <v>-0.6418269</v>
      </c>
      <c r="AF46" s="205">
        <v>0.39423077</v>
      </c>
      <c r="AG46" s="205">
        <v>1.40865385</v>
      </c>
      <c r="AH46" s="205">
        <v>-0.0785256</v>
      </c>
      <c r="AI46" s="205">
        <v>1.07692308</v>
      </c>
      <c r="AJ46" s="205">
        <v>-0.5849359</v>
      </c>
      <c r="AK46" s="205">
        <v>-0.2540064</v>
      </c>
      <c r="AL46" s="205">
        <v>0.48317308</v>
      </c>
      <c r="AM46" s="205">
        <v>0.75400641</v>
      </c>
      <c r="AN46" s="205">
        <v>-0.5649038</v>
      </c>
      <c r="AO46" s="205">
        <v>-0.6450321</v>
      </c>
      <c r="AP46" s="205">
        <v>-0.0849359</v>
      </c>
      <c r="AQ46" s="205">
        <v>-0.8862179</v>
      </c>
      <c r="AR46" s="205">
        <v>-0.3950321</v>
      </c>
      <c r="AS46" s="205">
        <v>0.32532051</v>
      </c>
      <c r="AT46" s="205">
        <v>-0.1338141</v>
      </c>
      <c r="AU46" s="205">
        <v>1.02083333</v>
      </c>
      <c r="AV46" s="205">
        <v>-0.3966346</v>
      </c>
      <c r="AW46" s="205">
        <v>-0.5849359</v>
      </c>
      <c r="AX46" s="205">
        <v>4.27884615</v>
      </c>
      <c r="AY46" s="205">
        <v>0.32852564</v>
      </c>
      <c r="AZ46" s="205">
        <v>-0.2572115</v>
      </c>
      <c r="BA46" s="205">
        <v>1.10016026</v>
      </c>
      <c r="BB46" s="205">
        <v>0.39022436</v>
      </c>
      <c r="BC46" s="205">
        <v>0.0</v>
      </c>
      <c r="BD46" s="205">
        <v>3.28766026</v>
      </c>
      <c r="BE46" s="205">
        <v>0.05128205</v>
      </c>
      <c r="BF46" s="205">
        <v>-0.4951923</v>
      </c>
      <c r="BG46" s="205">
        <v>0.56169872</v>
      </c>
      <c r="BH46" s="205">
        <v>-0.2996795</v>
      </c>
      <c r="BI46" s="205">
        <v>0.56570513</v>
      </c>
      <c r="BJ46" s="205">
        <v>-0.6963141</v>
      </c>
      <c r="BK46" s="205">
        <v>1.11378205</v>
      </c>
      <c r="BL46" s="205">
        <v>0.02724359</v>
      </c>
      <c r="BM46" s="205">
        <v>-0.3958333</v>
      </c>
      <c r="BN46" s="205">
        <v>0.39503205</v>
      </c>
      <c r="BO46" s="205">
        <v>-0.5024038</v>
      </c>
      <c r="BP46" s="205">
        <v>-0.2916667</v>
      </c>
      <c r="BQ46" s="206"/>
      <c r="BR46" s="250">
        <f t="shared" si="1"/>
        <v>0.2106099956</v>
      </c>
      <c r="BS46" s="250">
        <f t="shared" si="2"/>
        <v>0.6545361945</v>
      </c>
      <c r="BT46" s="206"/>
      <c r="BU46" s="207">
        <f>IFERROR(__xludf.DUMMYFUNCTION("AVERAGE(ARRAYFORMULA(XLOOKUP(FILTER(INDIRECT(""'""&amp;BU$1&amp;""'!$C$4:$C$66""),INDIRECT(""'""&amp;BU$1&amp;""'!$D$4:$D$66"")=BU$2),$F$3:$BP$3,$F46:$BP46)))"),1.4655448785714287)</f>
        <v>1.465544879</v>
      </c>
      <c r="BV46" s="207">
        <f>IFERROR(__xludf.DUMMYFUNCTION("IF(OR(BU46&gt;$BR46+$BS46*$BS$2,BU46&lt;$BR46-$BS46*$BS$2),AVEDEV(ARRAYFORMULA(XLOOKUP(FILTER(INDIRECT(""'""&amp;BU$1&amp;""'!$C$4:$C$66""),INDIRECT(""'""&amp;BU$1&amp;""'!$D$4:$D$66"")=BU$2),$F$3:$BP$3,$F46:$BP46))),"""")"),1.324404757959184)</f>
        <v>1.324404758</v>
      </c>
      <c r="BW46" s="207">
        <f>IFERROR(__xludf.DUMMYFUNCTION("AVERAGE(ARRAYFORMULA(XLOOKUP(FILTER(INDIRECT(""'""&amp;BW$1&amp;""'!$C$4:$C$66""),INDIRECT(""'""&amp;BW$1&amp;""'!$D$4:$D$66"")=BW$2),$F$3:$BP$3,$F46:$BP46)))"),0.1216613273809524)</f>
        <v>0.1216613274</v>
      </c>
      <c r="BX46" s="207" t="str">
        <f>IFERROR(__xludf.DUMMYFUNCTION("IF(OR(BW46&gt;$BR46+$BS46*$BS$2,BW46&lt;$BR46-$BS46*$BS$2),AVEDEV(ARRAYFORMULA(XLOOKUP(FILTER(INDIRECT(""'""&amp;BW$1&amp;""'!$C$4:$C$66""),INDIRECT(""'""&amp;BW$1&amp;""'!$D$4:$D$66"")=BW$2),$F$3:$BP$3,$F46:$BP46))),"""")"),"")</f>
        <v/>
      </c>
      <c r="BY46" s="207">
        <f>IFERROR(__xludf.DUMMYFUNCTION("AVERAGE(ARRAYFORMULA(XLOOKUP(FILTER(INDIRECT(""'""&amp;BY$1&amp;""'!$C$4:$C$66""),INDIRECT(""'""&amp;BY$1&amp;""'!$D$4:$D$66"")=BY$2),$F$3:$BP$3,$F46:$BP46)))"),-0.2707604827272727)</f>
        <v>-0.2707604827</v>
      </c>
      <c r="BZ46" s="207" t="str">
        <f>IFERROR(__xludf.DUMMYFUNCTION("IF(OR(BY46&gt;$BR46+$BS46*$BS$2,BY46&lt;$BR46-$BS46*$BS$2),AVEDEV(ARRAYFORMULA(XLOOKUP(FILTER(INDIRECT(""'""&amp;BY$1&amp;""'!$C$4:$C$66""),INDIRECT(""'""&amp;BY$1&amp;""'!$D$4:$D$66"")=BY$2),$F$3:$BP$3,$F46:$BP46))),"""")"),"")</f>
        <v/>
      </c>
      <c r="CA46" s="209"/>
      <c r="CB46" s="207">
        <f>IFERROR(__xludf.DUMMYFUNCTION("AVERAGE(ARRAYFORMULA(XLOOKUP(FILTER(INDIRECT(""'""&amp;CB$1&amp;""'!$C$4:$C$66""),INDIRECT(""'""&amp;CB$1&amp;""'!$D$4:$D$66"")=CB$2),$F$3:$BP$3,$F46:$BP46)))"),0.08518629812499999)</f>
        <v>0.08518629813</v>
      </c>
      <c r="CC46" s="207" t="str">
        <f>IFERROR(__xludf.DUMMYFUNCTION("IF(OR(CB46&gt;$BR46+$BS46*$BS$2,CB46&lt;$BR46-$BS46*$BS$2),AVEDEV(ARRAYFORMULA(XLOOKUP(FILTER(INDIRECT(""'""&amp;CB$1&amp;""'!$C$4:$C$66""),INDIRECT(""'""&amp;CB$1&amp;""'!$D$4:$D$66"")=CB$2),$F$3:$BP$3,$F46:$BP46))),"""")"),"")</f>
        <v/>
      </c>
      <c r="CD46" s="207">
        <f>IFERROR(__xludf.DUMMYFUNCTION("AVERAGE(ARRAYFORMULA(XLOOKUP(FILTER(INDIRECT(""'""&amp;CD$1&amp;""'!$C$4:$C$66""),INDIRECT(""'""&amp;CD$1&amp;""'!$D$4:$D$66"")=CD$2),$F$3:$BP$3,$F46:$BP46)))"),0.4034067445161292)</f>
        <v>0.4034067445</v>
      </c>
      <c r="CE46" s="207" t="str">
        <f>IFERROR(__xludf.DUMMYFUNCTION("IF(OR(CD46&gt;$BR46+$BS46*$BS$2,CD46&lt;$BR46-$BS46*$BS$2),AVEDEV(ARRAYFORMULA(XLOOKUP(FILTER(INDIRECT(""'""&amp;CD$1&amp;""'!$C$4:$C$66""),INDIRECT(""'""&amp;CD$1&amp;""'!$D$4:$D$66"")=CD$2),$F$3:$BP$3,$F46:$BP46))),"""")"),"")</f>
        <v/>
      </c>
      <c r="CF46" s="207">
        <f>IFERROR(__xludf.DUMMYFUNCTION("AVERAGE(ARRAYFORMULA(XLOOKUP(FILTER(INDIRECT(""'""&amp;CF$1&amp;""'!$C$4:$C$66""),INDIRECT(""'""&amp;CF$1&amp;""'!$D$4:$D$66"")=CF$2),$F$3:$BP$3,$F46:$BP46)))"),-0.33365384)</f>
        <v>-0.33365384</v>
      </c>
      <c r="CG46" s="207" t="str">
        <f>IFERROR(__xludf.DUMMYFUNCTION("IF(OR(CF46&gt;$BR46+$BS46*$BS$2,CF46&lt;$BR46-$BS46*$BS$2),AVEDEV(ARRAYFORMULA(XLOOKUP(FILTER(INDIRECT(""'""&amp;CF$1&amp;""'!$C$4:$C$66""),INDIRECT(""'""&amp;CF$1&amp;""'!$D$4:$D$66"")=CF$2),$F$3:$BP$3,$F46:$BP46))),"""")"),"")</f>
        <v/>
      </c>
      <c r="CH46" s="206"/>
      <c r="CI46" s="251">
        <f>IFERROR(__xludf.DUMMYFUNCTION("AVERAGE(ARRAYFORMULA(XLOOKUP(FILTER(INDIRECT(""'""&amp;CI$1&amp;""'!$C$4:$C$66""),INDIRECT(""'""&amp;CI$1&amp;""'!$D$4:$D$66"")=CI$2),$F$3:$BP$3,$F46:$BP46)))"),0.7215277786666667)</f>
        <v>0.7215277787</v>
      </c>
      <c r="CJ46" s="207" t="str">
        <f>IFERROR(__xludf.DUMMYFUNCTION("IF(OR(CI46&gt;$BR46+$BS46*$BS$2,CI46&lt;$BR46-$BS46*$BS$2),AVEDEV(ARRAYFORMULA(XLOOKUP(FILTER(INDIRECT(""'""&amp;CI$1&amp;""'!$C$4:$C$66""),INDIRECT(""'""&amp;CI$1&amp;""'!$D$4:$D$66"")=CI$2),$F$3:$BP$3,$F46:$BP46))),"""")"),"")</f>
        <v/>
      </c>
      <c r="CK46" s="251">
        <f>IFERROR(__xludf.DUMMYFUNCTION("AVERAGE(ARRAYFORMULA(XLOOKUP(FILTER(INDIRECT(""'""&amp;CK$1&amp;""'!$C$4:$C$66""),INDIRECT(""'""&amp;CK$1&amp;""'!$D$4:$D$66"")=CK$2),$F$3:$BP$3,$F46:$BP46)))"),0.05440500153846161)</f>
        <v>0.05440500154</v>
      </c>
      <c r="CL46" s="207" t="str">
        <f>IFERROR(__xludf.DUMMYFUNCTION("IF(OR(CK46&gt;$BR46+$BS46*$BS$2,CK46&lt;$BR46-$BS46*$BS$2),AVEDEV(ARRAYFORMULA(XLOOKUP(FILTER(INDIRECT(""'""&amp;CK$1&amp;""'!$C$4:$C$66""),INDIRECT(""'""&amp;CK$1&amp;""'!$D$4:$D$66"")=CK$2),$F$3:$BP$3,$F46:$BP46))),"""")"),"")</f>
        <v/>
      </c>
      <c r="CM46" s="251">
        <f>IFERROR(__xludf.DUMMYFUNCTION("AVERAGE(ARRAYFORMULA(XLOOKUP(FILTER(INDIRECT(""'""&amp;CM$1&amp;""'!$C$4:$C$66""),INDIRECT(""'""&amp;CM$1&amp;""'!$D$4:$D$66"")=CM$2),$F$3:$BP$3,$F46:$BP46)))"),-0.33365384)</f>
        <v>-0.33365384</v>
      </c>
      <c r="CN46" s="207" t="str">
        <f>IFERROR(__xludf.DUMMYFUNCTION("IF(OR(CM46&gt;$BR46+$BS46*$BS$2,CM46&lt;$BR46-$BS46*$BS$2),AVEDEV(ARRAYFORMULA(XLOOKUP(FILTER(INDIRECT(""'""&amp;CM$1&amp;""'!$C$4:$C$66""),INDIRECT(""'""&amp;CM$1&amp;""'!$D$4:$D$66"")=CM$2),$F$3:$BP$3,$F46:$BP46))),"""")"),"")</f>
        <v/>
      </c>
      <c r="CO46" s="252"/>
      <c r="CP46" s="251">
        <f>IFERROR(__xludf.DUMMYFUNCTION("AVERAGE(ARRAYFORMULA(XLOOKUP(FILTER(INDIRECT(""'""&amp;CP$1&amp;""'!$C$4:$C$66""),INDIRECT(""'""&amp;CP$1&amp;""'!$D$4:$D$66"")=CP$2),$F$3:$BP$3,$F46:$BP46)))"),-0.17439331357142857)</f>
        <v>-0.1743933136</v>
      </c>
      <c r="CQ46" s="207" t="str">
        <f>IFERROR(__xludf.DUMMYFUNCTION("IF(OR(CP46&gt;$BR46+$BS46*$BS$2,CP46&lt;$BR46-$BS46*$BS$2),AVEDEV(ARRAYFORMULA(XLOOKUP(FILTER(INDIRECT(""'""&amp;CP$1&amp;""'!$C$4:$C$66""),INDIRECT(""'""&amp;CP$1&amp;""'!$D$4:$D$66"")=CP$2),$F$3:$BP$3,$F46:$BP46))),"""")"),"")</f>
        <v/>
      </c>
      <c r="CR46" s="251">
        <f>IFERROR(__xludf.DUMMYFUNCTION("AVERAGE(ARRAYFORMULA(XLOOKUP(FILTER(INDIRECT(""'""&amp;CR$1&amp;""'!$C$4:$C$66""),INDIRECT(""'""&amp;CR$1&amp;""'!$D$4:$D$66"")=CR$2),$F$3:$BP$3,$F46:$BP46)))"),-0.37045939333333333)</f>
        <v>-0.3704593933</v>
      </c>
      <c r="CS46" s="207" t="str">
        <f>IFERROR(__xludf.DUMMYFUNCTION("IF(OR(CR46&gt;$BR46+$BS46*$BS$2,CR46&lt;$BR46-$BS46*$BS$2),AVEDEV(ARRAYFORMULA(XLOOKUP(FILTER(INDIRECT(""'""&amp;CR$1&amp;""'!$C$4:$C$66""),INDIRECT(""'""&amp;CR$1&amp;""'!$D$4:$D$66"")=CR$2),$F$3:$BP$3,$F46:$BP46))),"""")"),"")</f>
        <v/>
      </c>
      <c r="CT46" s="251">
        <f>IFERROR(__xludf.DUMMYFUNCTION("AVERAGE(ARRAYFORMULA(XLOOKUP(FILTER(INDIRECT(""'""&amp;CT$1&amp;""'!$C$4:$C$66""),INDIRECT(""'""&amp;CT$1&amp;""'!$D$4:$D$66"")=CT$2),$F$3:$BP$3,$F46:$BP46)))"),0.5897435954545455)</f>
        <v>0.5897435955</v>
      </c>
      <c r="CU46" s="207" t="str">
        <f>IFERROR(__xludf.DUMMYFUNCTION("IF(OR(CT46&gt;$BR46+$BS46*$BS$2,CT46&lt;$BR46-$BS46*$BS$2),AVEDEV(ARRAYFORMULA(XLOOKUP(FILTER(INDIRECT(""'""&amp;CT$1&amp;""'!$C$4:$C$66""),INDIRECT(""'""&amp;CT$1&amp;""'!$D$4:$D$66"")=CT$2),$F$3:$BP$3,$F46:$BP46))),"""")"),"")</f>
        <v/>
      </c>
      <c r="CV46" s="251">
        <f>IFERROR(__xludf.DUMMYFUNCTION("AVERAGE(ARRAYFORMULA(XLOOKUP(FILTER(INDIRECT(""'""&amp;CV$1&amp;""'!$C$4:$C$66""),INDIRECT(""'""&amp;CV$1&amp;""'!$D$4:$D$66"")=CV$2),$F$3:$BP$3,$F46:$BP46)))"),0.48838141)</f>
        <v>0.48838141</v>
      </c>
      <c r="CW46" s="207" t="str">
        <f>IFERROR(__xludf.DUMMYFUNCTION("IF(OR(CV46&gt;$BR46+$BS46*$BS$2,CV46&lt;$BR46-$BS46*$BS$2),AVEDEV(ARRAYFORMULA(XLOOKUP(FILTER(INDIRECT(""'""&amp;CV$1&amp;""'!$C$4:$C$66""),INDIRECT(""'""&amp;CV$1&amp;""'!$D$4:$D$66"")=CV$2),$F$3:$BP$3,$F46:$BP46))),"""")"),"")</f>
        <v/>
      </c>
      <c r="CX46" s="251">
        <f>IFERROR(__xludf.DUMMYFUNCTION("AVERAGE(ARRAYFORMULA(XLOOKUP(FILTER(INDIRECT(""'""&amp;CX$1&amp;""'!$C$4:$C$66""),INDIRECT(""'""&amp;CX$1&amp;""'!$D$4:$D$66"")=CX$2),$F$3:$BP$3,$F46:$BP46)))"),-0.01556776000000001)</f>
        <v>-0.01556776</v>
      </c>
      <c r="CY46" s="207" t="str">
        <f>IFERROR(__xludf.DUMMYFUNCTION("IF(OR(CX46&gt;$BR46+$BS46*$BS$2,CX46&lt;$BR46-$BS46*$BS$2),AVEDEV(ARRAYFORMULA(XLOOKUP(FILTER(INDIRECT(""'""&amp;CX$1&amp;""'!$C$4:$C$66""),INDIRECT(""'""&amp;CX$1&amp;""'!$D$4:$D$66"")=CX$2),$F$3:$BP$3,$F46:$BP46))),"""")"),"")</f>
        <v/>
      </c>
      <c r="CZ46" s="252"/>
      <c r="DA46" s="251">
        <f>IFERROR(__xludf.DUMMYFUNCTION("AVERAGE(ARRAYFORMULA(XLOOKUP(FILTER(INDIRECT(""'""&amp;DA$1&amp;""'!$C$4:$C$66""),INDIRECT(""'""&amp;DA$1&amp;""'!$D$4:$D$66"")=DA$2),$F$3:$BP$3,$F46:$BP46)))"),0.25050747866666667)</f>
        <v>0.2505074787</v>
      </c>
      <c r="DB46" s="207" t="str">
        <f>IFERROR(__xludf.DUMMYFUNCTION("IF(OR(DA46&gt;$BR46+$BS46*$BS$2,DA46&lt;$BR46-$BS46*$BS$2),AVEDEV(ARRAYFORMULA(XLOOKUP(FILTER(INDIRECT(""'""&amp;DA$1&amp;""'!$C$4:$C$66""),INDIRECT(""'""&amp;DA$1&amp;""'!$D$4:$D$66"")=DA$2),$F$3:$BP$3,$F46:$BP46))),"""")"),"")</f>
        <v/>
      </c>
      <c r="DC46" s="251">
        <f>IFERROR(__xludf.DUMMYFUNCTION("AVERAGE(ARRAYFORMULA(XLOOKUP(FILTER(INDIRECT(""'""&amp;DC$1&amp;""'!$C$4:$C$66""),INDIRECT(""'""&amp;DC$1&amp;""'!$D$4:$D$66"")=DC$2),$F$3:$BP$3,$F46:$BP46)))"),-0.1334579688888889)</f>
        <v>-0.1334579689</v>
      </c>
      <c r="DD46" s="207" t="str">
        <f>IFERROR(__xludf.DUMMYFUNCTION("IF(OR(DC46&gt;$BR46+$BS46*$BS$2,DC46&lt;$BR46-$BS46*$BS$2),AVEDEV(ARRAYFORMULA(XLOOKUP(FILTER(INDIRECT(""'""&amp;DC$1&amp;""'!$C$4:$C$66""),INDIRECT(""'""&amp;DC$1&amp;""'!$D$4:$D$66"")=DC$2),$F$3:$BP$3,$F46:$BP46))),"""")"),"")</f>
        <v/>
      </c>
      <c r="DE46" s="251">
        <f>IFERROR(__xludf.DUMMYFUNCTION("AVERAGE(ARRAYFORMULA(XLOOKUP(FILTER(INDIRECT(""'""&amp;DE$1&amp;""'!$C$4:$C$66""),INDIRECT(""'""&amp;DE$1&amp;""'!$D$4:$D$66"")=DE$2),$F$3:$BP$3,$F46:$BP46)))"),0.7734375075)</f>
        <v>0.7734375075</v>
      </c>
      <c r="DF46" s="207" t="str">
        <f>IFERROR(__xludf.DUMMYFUNCTION("IF(OR(DE46&gt;$BR46+$BS46*$BS$2,DE46&lt;$BR46-$BS46*$BS$2),AVEDEV(ARRAYFORMULA(XLOOKUP(FILTER(INDIRECT(""'""&amp;DE$1&amp;""'!$C$4:$C$66""),INDIRECT(""'""&amp;DE$1&amp;""'!$D$4:$D$66"")=DE$2),$F$3:$BP$3,$F46:$BP46))),"""")"),"")</f>
        <v/>
      </c>
      <c r="DG46" s="251">
        <f>IFERROR(__xludf.DUMMYFUNCTION("AVERAGE(ARRAYFORMULA(XLOOKUP(FILTER(INDIRECT(""'""&amp;DG$1&amp;""'!$C$4:$C$66""),INDIRECT(""'""&amp;DG$1&amp;""'!$D$4:$D$66"")=DG$2),$F$3:$BP$3,$F46:$BP46)))"),-0.0463853277777778)</f>
        <v>-0.04638532778</v>
      </c>
      <c r="DH46" s="207" t="str">
        <f>IFERROR(__xludf.DUMMYFUNCTION("IF(OR(DG46&gt;$BR46+$BS46*$BS$2,DG46&lt;$BR46-$BS46*$BS$2),AVEDEV(ARRAYFORMULA(XLOOKUP(FILTER(INDIRECT(""'""&amp;DG$1&amp;""'!$C$4:$C$66""),INDIRECT(""'""&amp;DG$1&amp;""'!$D$4:$D$66"")=DG$2),$F$3:$BP$3,$F46:$BP46))),"""")"),"")</f>
        <v/>
      </c>
      <c r="DI46" s="252"/>
    </row>
    <row r="47">
      <c r="A47" s="2"/>
      <c r="B47" s="204" t="s">
        <v>482</v>
      </c>
      <c r="C47" s="204" t="s">
        <v>488</v>
      </c>
      <c r="D47" s="205" t="b">
        <f>VLOOKUP(C47,'Feature Set List'!A44:C246,2,0)</f>
        <v>1</v>
      </c>
      <c r="E47" s="205" t="b">
        <f>VLOOKUP(C47,'Feature Set List'!A44:C246,3,0)</f>
        <v>1</v>
      </c>
      <c r="F47" s="205">
        <v>0.86307448</v>
      </c>
      <c r="G47" s="205">
        <v>0.28240887</v>
      </c>
      <c r="H47" s="205">
        <v>-0.9318542</v>
      </c>
      <c r="I47" s="205">
        <v>-0.7350238</v>
      </c>
      <c r="J47" s="205">
        <v>-0.399683</v>
      </c>
      <c r="K47" s="205">
        <v>0.75530903</v>
      </c>
      <c r="L47" s="205">
        <v>0.55467512</v>
      </c>
      <c r="M47" s="205">
        <v>-0.1613312</v>
      </c>
      <c r="N47" s="205">
        <v>-0.0383518</v>
      </c>
      <c r="O47" s="205">
        <v>-0.6399366</v>
      </c>
      <c r="P47" s="205">
        <v>0.6503962</v>
      </c>
      <c r="Q47" s="205">
        <v>0.45388273</v>
      </c>
      <c r="R47" s="205">
        <v>0.06339144</v>
      </c>
      <c r="S47" s="205">
        <v>0.10998415</v>
      </c>
      <c r="T47" s="205">
        <v>0.68684628</v>
      </c>
      <c r="U47" s="205">
        <v>0.59175911</v>
      </c>
      <c r="V47" s="205">
        <v>0.0</v>
      </c>
      <c r="W47" s="205">
        <v>-0.3645008</v>
      </c>
      <c r="X47" s="205">
        <v>0.8703645</v>
      </c>
      <c r="Y47" s="205">
        <v>-1.1515055</v>
      </c>
      <c r="Z47" s="205">
        <v>-0.6992076</v>
      </c>
      <c r="AA47" s="205">
        <v>-0.451981</v>
      </c>
      <c r="AB47" s="205">
        <v>-1.3011094</v>
      </c>
      <c r="AC47" s="205">
        <v>-0.3007924</v>
      </c>
      <c r="AD47" s="205">
        <v>-0.5524564</v>
      </c>
      <c r="AE47" s="205">
        <v>0.25103011</v>
      </c>
      <c r="AF47" s="205">
        <v>-0.6098257</v>
      </c>
      <c r="AG47" s="205">
        <v>-0.9438986</v>
      </c>
      <c r="AH47" s="205">
        <v>-0.4779715</v>
      </c>
      <c r="AI47" s="205">
        <v>-0.5546751</v>
      </c>
      <c r="AJ47" s="205">
        <v>0.30839937</v>
      </c>
      <c r="AK47" s="205">
        <v>-0.1797147</v>
      </c>
      <c r="AL47" s="205">
        <v>-0.4234548</v>
      </c>
      <c r="AM47" s="205">
        <v>-1.2231379</v>
      </c>
      <c r="AN47" s="205">
        <v>0.35721078</v>
      </c>
      <c r="AO47" s="205">
        <v>0.76259905</v>
      </c>
      <c r="AP47" s="205">
        <v>0.19429477</v>
      </c>
      <c r="AQ47" s="205">
        <v>0.67638669</v>
      </c>
      <c r="AR47" s="205">
        <v>0.22377179</v>
      </c>
      <c r="AS47" s="205">
        <v>-0.592393</v>
      </c>
      <c r="AT47" s="205">
        <v>-0.4700475</v>
      </c>
      <c r="AU47" s="205">
        <v>0.42282092</v>
      </c>
      <c r="AV47" s="205">
        <v>0.18351823</v>
      </c>
      <c r="AW47" s="205">
        <v>0.16513471</v>
      </c>
      <c r="AX47" s="205">
        <v>-2.1000951</v>
      </c>
      <c r="AY47" s="205">
        <v>0.04310618</v>
      </c>
      <c r="AZ47" s="205">
        <v>-0.3362916</v>
      </c>
      <c r="BA47" s="205">
        <v>-0.4323296</v>
      </c>
      <c r="BB47" s="205">
        <v>-0.8858954</v>
      </c>
      <c r="BC47" s="205">
        <v>0.43898574</v>
      </c>
      <c r="BD47" s="205">
        <v>-1.9518225</v>
      </c>
      <c r="BE47" s="205">
        <v>0.60412044</v>
      </c>
      <c r="BF47" s="205">
        <v>0.5163233</v>
      </c>
      <c r="BG47" s="205">
        <v>-0.3194929</v>
      </c>
      <c r="BH47" s="205">
        <v>0.80792393</v>
      </c>
      <c r="BI47" s="205">
        <v>-0.844374</v>
      </c>
      <c r="BJ47" s="205">
        <v>0.43391442</v>
      </c>
      <c r="BK47" s="205">
        <v>-0.5721078</v>
      </c>
      <c r="BL47" s="205">
        <v>0.78066561</v>
      </c>
      <c r="BM47" s="205">
        <v>0.56038035</v>
      </c>
      <c r="BN47" s="205">
        <v>0.21489699</v>
      </c>
      <c r="BO47" s="205">
        <v>0.82916006</v>
      </c>
      <c r="BP47" s="205">
        <v>-0.1004754</v>
      </c>
      <c r="BQ47" s="206"/>
      <c r="BR47" s="250">
        <f t="shared" si="1"/>
        <v>-0.09665081667</v>
      </c>
      <c r="BS47" s="250">
        <f t="shared" si="2"/>
        <v>0.5653289048</v>
      </c>
      <c r="BT47" s="206"/>
      <c r="BU47" s="207">
        <f>IFERROR(__xludf.DUMMYFUNCTION("AVERAGE(ARRAYFORMULA(XLOOKUP(FILTER(INDIRECT(""'""&amp;BU$1&amp;""'!$C$4:$C$66""),INDIRECT(""'""&amp;BU$1&amp;""'!$D$4:$D$66"")=BU$2),$F$3:$BP$3,$F47:$BP47)))"),-0.6252569628571428)</f>
        <v>-0.6252569629</v>
      </c>
      <c r="BV47" s="207" t="str">
        <f>IFERROR(__xludf.DUMMYFUNCTION("IF(OR(BU47&gt;$BR47+$BS47*$BS$2,BU47&lt;$BR47-$BS47*$BS$2),AVEDEV(ARRAYFORMULA(XLOOKUP(FILTER(INDIRECT(""'""&amp;BU$1&amp;""'!$C$4:$C$66""),INDIRECT(""'""&amp;BU$1&amp;""'!$D$4:$D$66"")=BU$2),$F$3:$BP$3,$F47:$BP47))),"""")"),"")</f>
        <v/>
      </c>
      <c r="BW47" s="207">
        <f>IFERROR(__xludf.DUMMYFUNCTION("AVERAGE(ARRAYFORMULA(XLOOKUP(FILTER(INDIRECT(""'""&amp;BW$1&amp;""'!$C$4:$C$66""),INDIRECT(""'""&amp;BW$1&amp;""'!$D$4:$D$66"")=BW$2),$F$3:$BP$3,$F47:$BP47)))"),-0.0952682792857143)</f>
        <v>-0.09526827929</v>
      </c>
      <c r="BX47" s="207" t="str">
        <f>IFERROR(__xludf.DUMMYFUNCTION("IF(OR(BW47&gt;$BR47+$BS47*$BS$2,BW47&lt;$BR47-$BS47*$BS$2),AVEDEV(ARRAYFORMULA(XLOOKUP(FILTER(INDIRECT(""'""&amp;BW$1&amp;""'!$C$4:$C$66""),INDIRECT(""'""&amp;BW$1&amp;""'!$D$4:$D$66"")=BW$2),$F$3:$BP$3,$F47:$BP47))),"""")"),"")</f>
        <v/>
      </c>
      <c r="BY47" s="207">
        <f>IFERROR(__xludf.DUMMYFUNCTION("AVERAGE(ARRAYFORMULA(XLOOKUP(FILTER(INDIRECT(""'""&amp;BY$1&amp;""'!$C$4:$C$66""),INDIRECT(""'""&amp;BY$1&amp;""'!$D$4:$D$66"")=BY$2),$F$3:$BP$3,$F47:$BP47)))"),0.2956346345454545)</f>
        <v>0.2956346345</v>
      </c>
      <c r="BZ47" s="207" t="str">
        <f>IFERROR(__xludf.DUMMYFUNCTION("IF(OR(BY47&gt;$BR47+$BS47*$BS$2,BY47&lt;$BR47-$BS47*$BS$2),AVEDEV(ARRAYFORMULA(XLOOKUP(FILTER(INDIRECT(""'""&amp;BY$1&amp;""'!$C$4:$C$66""),INDIRECT(""'""&amp;BY$1&amp;""'!$D$4:$D$66"")=BY$2),$F$3:$BP$3,$F47:$BP47))),"""")"),"")</f>
        <v/>
      </c>
      <c r="CA47" s="209"/>
      <c r="CB47" s="207">
        <f>IFERROR(__xludf.DUMMYFUNCTION("AVERAGE(ARRAYFORMULA(XLOOKUP(FILTER(INDIRECT(""'""&amp;CB$1&amp;""'!$C$4:$C$66""),INDIRECT(""'""&amp;CB$1&amp;""'!$D$4:$D$66"")=CB$2),$F$3:$BP$3,$F47:$BP47)))"),-0.021691755)</f>
        <v>-0.021691755</v>
      </c>
      <c r="CC47" s="207" t="str">
        <f>IFERROR(__xludf.DUMMYFUNCTION("IF(OR(CB47&gt;$BR47+$BS47*$BS$2,CB47&lt;$BR47-$BS47*$BS$2),AVEDEV(ARRAYFORMULA(XLOOKUP(FILTER(INDIRECT(""'""&amp;CB$1&amp;""'!$C$4:$C$66""),INDIRECT(""'""&amp;CB$1&amp;""'!$D$4:$D$66"")=CB$2),$F$3:$BP$3,$F47:$BP47))),"""")"),"")</f>
        <v/>
      </c>
      <c r="CD47" s="207">
        <f>IFERROR(__xludf.DUMMYFUNCTION("AVERAGE(ARRAYFORMULA(XLOOKUP(FILTER(INDIRECT(""'""&amp;CD$1&amp;""'!$C$4:$C$66""),INDIRECT(""'""&amp;CD$1&amp;""'!$D$4:$D$66"")=CD$2),$F$3:$BP$3,$F47:$BP47)))"),-0.2185041648387097)</f>
        <v>-0.2185041648</v>
      </c>
      <c r="CE47" s="207" t="str">
        <f>IFERROR(__xludf.DUMMYFUNCTION("IF(OR(CD47&gt;$BR47+$BS47*$BS$2,CD47&lt;$BR47-$BS47*$BS$2),AVEDEV(ARRAYFORMULA(XLOOKUP(FILTER(INDIRECT(""'""&amp;CD$1&amp;""'!$C$4:$C$66""),INDIRECT(""'""&amp;CD$1&amp;""'!$D$4:$D$66"")=CD$2),$F$3:$BP$3,$F47:$BP47))),"""")"),"")</f>
        <v/>
      </c>
      <c r="CF47" s="207">
        <f>IFERROR(__xludf.DUMMYFUNCTION("AVERAGE(ARRAYFORMULA(XLOOKUP(FILTER(INDIRECT(""'""&amp;CF$1&amp;""'!$C$4:$C$66""),INDIRECT(""'""&amp;CF$1&amp;""'!$D$4:$D$66"")=CF$2),$F$3:$BP$3,$F47:$BP47)))"),-0.025229791999999973)</f>
        <v>-0.025229792</v>
      </c>
      <c r="CG47" s="207" t="str">
        <f>IFERROR(__xludf.DUMMYFUNCTION("IF(OR(CF47&gt;$BR47+$BS47*$BS$2,CF47&lt;$BR47-$BS47*$BS$2),AVEDEV(ARRAYFORMULA(XLOOKUP(FILTER(INDIRECT(""'""&amp;CF$1&amp;""'!$C$4:$C$66""),INDIRECT(""'""&amp;CF$1&amp;""'!$D$4:$D$66"")=CF$2),$F$3:$BP$3,$F47:$BP47))),"""")"),"")</f>
        <v/>
      </c>
      <c r="CH47" s="206"/>
      <c r="CI47" s="251">
        <f>IFERROR(__xludf.DUMMYFUNCTION("AVERAGE(ARRAYFORMULA(XLOOKUP(FILTER(INDIRECT(""'""&amp;CI$1&amp;""'!$C$4:$C$66""),INDIRECT(""'""&amp;CI$1&amp;""'!$D$4:$D$66"")=CI$2),$F$3:$BP$3,$F47:$BP47)))"),-0.2690121493333334)</f>
        <v>-0.2690121493</v>
      </c>
      <c r="CJ47" s="207" t="str">
        <f>IFERROR(__xludf.DUMMYFUNCTION("IF(OR(CI47&gt;$BR47+$BS47*$BS$2,CI47&lt;$BR47-$BS47*$BS$2),AVEDEV(ARRAYFORMULA(XLOOKUP(FILTER(INDIRECT(""'""&amp;CI$1&amp;""'!$C$4:$C$66""),INDIRECT(""'""&amp;CI$1&amp;""'!$D$4:$D$66"")=CI$2),$F$3:$BP$3,$F47:$BP47))),"""")"),"")</f>
        <v/>
      </c>
      <c r="CK47" s="251">
        <f>IFERROR(__xludf.DUMMYFUNCTION("AVERAGE(ARRAYFORMULA(XLOOKUP(FILTER(INDIRECT(""'""&amp;CK$1&amp;""'!$C$4:$C$66""),INDIRECT(""'""&amp;CK$1&amp;""'!$D$4:$D$66"")=CK$2),$F$3:$BP$3,$F47:$BP47)))"),-0.01006785871794874)</f>
        <v>-0.01006785872</v>
      </c>
      <c r="CL47" s="207" t="str">
        <f>IFERROR(__xludf.DUMMYFUNCTION("IF(OR(CK47&gt;$BR47+$BS47*$BS$2,CK47&lt;$BR47-$BS47*$BS$2),AVEDEV(ARRAYFORMULA(XLOOKUP(FILTER(INDIRECT(""'""&amp;CK$1&amp;""'!$C$4:$C$66""),INDIRECT(""'""&amp;CK$1&amp;""'!$D$4:$D$66"")=CK$2),$F$3:$BP$3,$F47:$BP47))),"""")"),"")</f>
        <v/>
      </c>
      <c r="CM47" s="251">
        <f>IFERROR(__xludf.DUMMYFUNCTION("AVERAGE(ARRAYFORMULA(XLOOKUP(FILTER(INDIRECT(""'""&amp;CM$1&amp;""'!$C$4:$C$66""),INDIRECT(""'""&amp;CM$1&amp;""'!$D$4:$D$66"")=CM$2),$F$3:$BP$3,$F47:$BP47)))"),-0.025229791999999973)</f>
        <v>-0.025229792</v>
      </c>
      <c r="CN47" s="207" t="str">
        <f>IFERROR(__xludf.DUMMYFUNCTION("IF(OR(CM47&gt;$BR47+$BS47*$BS$2,CM47&lt;$BR47-$BS47*$BS$2),AVEDEV(ARRAYFORMULA(XLOOKUP(FILTER(INDIRECT(""'""&amp;CM$1&amp;""'!$C$4:$C$66""),INDIRECT(""'""&amp;CM$1&amp;""'!$D$4:$D$66"")=CM$2),$F$3:$BP$3,$F47:$BP47))),"""")"),"")</f>
        <v/>
      </c>
      <c r="CO47" s="252"/>
      <c r="CP47" s="251">
        <f>IFERROR(__xludf.DUMMYFUNCTION("AVERAGE(ARRAYFORMULA(XLOOKUP(FILTER(INDIRECT(""'""&amp;CP$1&amp;""'!$C$4:$C$66""),INDIRECT(""'""&amp;CP$1&amp;""'!$D$4:$D$66"")=CP$2),$F$3:$BP$3,$F47:$BP47)))"),0.046049354285714286)</f>
        <v>0.04604935429</v>
      </c>
      <c r="CQ47" s="207" t="str">
        <f>IFERROR(__xludf.DUMMYFUNCTION("IF(OR(CP47&gt;$BR47+$BS47*$BS$2,CP47&lt;$BR47-$BS47*$BS$2),AVEDEV(ARRAYFORMULA(XLOOKUP(FILTER(INDIRECT(""'""&amp;CP$1&amp;""'!$C$4:$C$66""),INDIRECT(""'""&amp;CP$1&amp;""'!$D$4:$D$66"")=CP$2),$F$3:$BP$3,$F47:$BP47))),"""")"),"")</f>
        <v/>
      </c>
      <c r="CR47" s="251">
        <f>IFERROR(__xludf.DUMMYFUNCTION("AVERAGE(ARRAYFORMULA(XLOOKUP(FILTER(INDIRECT(""'""&amp;CR$1&amp;""'!$C$4:$C$66""),INDIRECT(""'""&amp;CR$1&amp;""'!$D$4:$D$66"")=CR$2),$F$3:$BP$3,$F47:$BP47)))"),0.2698010211111111)</f>
        <v>0.2698010211</v>
      </c>
      <c r="CS47" s="207" t="str">
        <f>IFERROR(__xludf.DUMMYFUNCTION("IF(OR(CR47&gt;$BR47+$BS47*$BS$2,CR47&lt;$BR47-$BS47*$BS$2),AVEDEV(ARRAYFORMULA(XLOOKUP(FILTER(INDIRECT(""'""&amp;CR$1&amp;""'!$C$4:$C$66""),INDIRECT(""'""&amp;CR$1&amp;""'!$D$4:$D$66"")=CR$2),$F$3:$BP$3,$F47:$BP47))),"""")"),"")</f>
        <v/>
      </c>
      <c r="CT47" s="251">
        <f>IFERROR(__xludf.DUMMYFUNCTION("AVERAGE(ARRAYFORMULA(XLOOKUP(FILTER(INDIRECT(""'""&amp;CT$1&amp;""'!$C$4:$C$66""),INDIRECT(""'""&amp;CT$1&amp;""'!$D$4:$D$66"")=CT$2),$F$3:$BP$3,$F47:$BP47)))"),-0.28650050636363633)</f>
        <v>-0.2865005064</v>
      </c>
      <c r="CU47" s="207" t="str">
        <f>IFERROR(__xludf.DUMMYFUNCTION("IF(OR(CT47&gt;$BR47+$BS47*$BS$2,CT47&lt;$BR47-$BS47*$BS$2),AVEDEV(ARRAYFORMULA(XLOOKUP(FILTER(INDIRECT(""'""&amp;CT$1&amp;""'!$C$4:$C$66""),INDIRECT(""'""&amp;CT$1&amp;""'!$D$4:$D$66"")=CT$2),$F$3:$BP$3,$F47:$BP47))),"""")"),"")</f>
        <v/>
      </c>
      <c r="CV47" s="251">
        <f>IFERROR(__xludf.DUMMYFUNCTION("AVERAGE(ARRAYFORMULA(XLOOKUP(FILTER(INDIRECT(""'""&amp;CV$1&amp;""'!$C$4:$C$66""),INDIRECT(""'""&amp;CV$1&amp;""'!$D$4:$D$66"")=CV$2),$F$3:$BP$3,$F47:$BP47)))"),-0.31014265)</f>
        <v>-0.31014265</v>
      </c>
      <c r="CW47" s="207" t="str">
        <f>IFERROR(__xludf.DUMMYFUNCTION("IF(OR(CV47&gt;$BR47+$BS47*$BS$2,CV47&lt;$BR47-$BS47*$BS$2),AVEDEV(ARRAYFORMULA(XLOOKUP(FILTER(INDIRECT(""'""&amp;CV$1&amp;""'!$C$4:$C$66""),INDIRECT(""'""&amp;CV$1&amp;""'!$D$4:$D$66"")=CV$2),$F$3:$BP$3,$F47:$BP47))),"""")"),"")</f>
        <v/>
      </c>
      <c r="CX47" s="251">
        <f>IFERROR(__xludf.DUMMYFUNCTION("AVERAGE(ARRAYFORMULA(XLOOKUP(FILTER(INDIRECT(""'""&amp;CX$1&amp;""'!$C$4:$C$66""),INDIRECT(""'""&amp;CX$1&amp;""'!$D$4:$D$66"")=CX$2),$F$3:$BP$3,$F47:$BP47)))"),-0.0467964592857143)</f>
        <v>-0.04679645929</v>
      </c>
      <c r="CY47" s="207" t="str">
        <f>IFERROR(__xludf.DUMMYFUNCTION("IF(OR(CX47&gt;$BR47+$BS47*$BS$2,CX47&lt;$BR47-$BS47*$BS$2),AVEDEV(ARRAYFORMULA(XLOOKUP(FILTER(INDIRECT(""'""&amp;CX$1&amp;""'!$C$4:$C$66""),INDIRECT(""'""&amp;CX$1&amp;""'!$D$4:$D$66"")=CX$2),$F$3:$BP$3,$F47:$BP47))),"""")"),"")</f>
        <v/>
      </c>
      <c r="CZ47" s="252"/>
      <c r="DA47" s="251">
        <f>IFERROR(__xludf.DUMMYFUNCTION("AVERAGE(ARRAYFORMULA(XLOOKUP(FILTER(INDIRECT(""'""&amp;DA$1&amp;""'!$C$4:$C$66""),INDIRECT(""'""&amp;DA$1&amp;""'!$D$4:$D$66"")=DA$2),$F$3:$BP$3,$F47:$BP47)))"),-0.2282831456666667)</f>
        <v>-0.2282831457</v>
      </c>
      <c r="DB47" s="207" t="str">
        <f>IFERROR(__xludf.DUMMYFUNCTION("IF(OR(DA47&gt;$BR47+$BS47*$BS$2,DA47&lt;$BR47-$BS47*$BS$2),AVEDEV(ARRAYFORMULA(XLOOKUP(FILTER(INDIRECT(""'""&amp;DA$1&amp;""'!$C$4:$C$66""),INDIRECT(""'""&amp;DA$1&amp;""'!$D$4:$D$66"")=DA$2),$F$3:$BP$3,$F47:$BP47))),"""")"),"")</f>
        <v/>
      </c>
      <c r="DC47" s="251">
        <f>IFERROR(__xludf.DUMMYFUNCTION("AVERAGE(ARRAYFORMULA(XLOOKUP(FILTER(INDIRECT(""'""&amp;DC$1&amp;""'!$C$4:$C$66""),INDIRECT(""'""&amp;DC$1&amp;""'!$D$4:$D$66"")=DC$2),$F$3:$BP$3,$F47:$BP47)))"),0.27892234555555556)</f>
        <v>0.2789223456</v>
      </c>
      <c r="DD47" s="207" t="str">
        <f>IFERROR(__xludf.DUMMYFUNCTION("IF(OR(DC47&gt;$BR47+$BS47*$BS$2,DC47&lt;$BR47-$BS47*$BS$2),AVEDEV(ARRAYFORMULA(XLOOKUP(FILTER(INDIRECT(""'""&amp;DC$1&amp;""'!$C$4:$C$66""),INDIRECT(""'""&amp;DC$1&amp;""'!$D$4:$D$66"")=DC$2),$F$3:$BP$3,$F47:$BP47))),"""")"),"")</f>
        <v/>
      </c>
      <c r="DE47" s="251">
        <f>IFERROR(__xludf.DUMMYFUNCTION("AVERAGE(ARRAYFORMULA(XLOOKUP(FILTER(INDIRECT(""'""&amp;DE$1&amp;""'!$C$4:$C$66""),INDIRECT(""'""&amp;DE$1&amp;""'!$D$4:$D$66"")=DE$2),$F$3:$BP$3,$F47:$BP47)))"),-0.26813787125)</f>
        <v>-0.2681378713</v>
      </c>
      <c r="DF47" s="207" t="str">
        <f>IFERROR(__xludf.DUMMYFUNCTION("IF(OR(DE47&gt;$BR47+$BS47*$BS$2,DE47&lt;$BR47-$BS47*$BS$2),AVEDEV(ARRAYFORMULA(XLOOKUP(FILTER(INDIRECT(""'""&amp;DE$1&amp;""'!$C$4:$C$66""),INDIRECT(""'""&amp;DE$1&amp;""'!$D$4:$D$66"")=DE$2),$F$3:$BP$3,$F47:$BP47))),"""")"),"")</f>
        <v/>
      </c>
      <c r="DG47" s="251">
        <f>IFERROR(__xludf.DUMMYFUNCTION("AVERAGE(ARRAYFORMULA(XLOOKUP(FILTER(INDIRECT(""'""&amp;DG$1&amp;""'!$C$4:$C$66""),INDIRECT(""'""&amp;DG$1&amp;""'!$D$4:$D$66"")=DG$2),$F$3:$BP$3,$F47:$BP47)))"),0.1400246522222222)</f>
        <v>0.1400246522</v>
      </c>
      <c r="DH47" s="207" t="str">
        <f>IFERROR(__xludf.DUMMYFUNCTION("IF(OR(DG47&gt;$BR47+$BS47*$BS$2,DG47&lt;$BR47-$BS47*$BS$2),AVEDEV(ARRAYFORMULA(XLOOKUP(FILTER(INDIRECT(""'""&amp;DG$1&amp;""'!$C$4:$C$66""),INDIRECT(""'""&amp;DG$1&amp;""'!$D$4:$D$66"")=DG$2),$F$3:$BP$3,$F47:$BP47))),"""")"),"")</f>
        <v/>
      </c>
      <c r="DI47" s="252"/>
    </row>
    <row r="48">
      <c r="A48" s="2"/>
      <c r="B48" s="204" t="s">
        <v>482</v>
      </c>
      <c r="C48" s="204" t="s">
        <v>489</v>
      </c>
      <c r="D48" s="205" t="b">
        <f>VLOOKUP(C48,'Feature Set List'!A45:C246,2,0)</f>
        <v>1</v>
      </c>
      <c r="E48" s="205" t="b">
        <f>VLOOKUP(C48,'Feature Set List'!A45:C246,3,0)</f>
        <v>1</v>
      </c>
      <c r="F48" s="205">
        <v>-0.2794872</v>
      </c>
      <c r="G48" s="205">
        <v>-0.2846154</v>
      </c>
      <c r="H48" s="205">
        <v>0.51880342</v>
      </c>
      <c r="I48" s="205">
        <v>0.72649573</v>
      </c>
      <c r="J48" s="205">
        <v>-2.4025641</v>
      </c>
      <c r="K48" s="205">
        <v>-0.1957265</v>
      </c>
      <c r="L48" s="205">
        <v>0.4008547</v>
      </c>
      <c r="M48" s="205">
        <v>-0.1786325</v>
      </c>
      <c r="N48" s="205">
        <v>0.67948718</v>
      </c>
      <c r="O48" s="205">
        <v>-0.0760684</v>
      </c>
      <c r="P48" s="205">
        <v>-0.7247863</v>
      </c>
      <c r="Q48" s="205">
        <v>0.0</v>
      </c>
      <c r="R48" s="205">
        <v>0.33076923</v>
      </c>
      <c r="S48" s="205">
        <v>-0.3333333</v>
      </c>
      <c r="T48" s="205">
        <v>-0.7991453</v>
      </c>
      <c r="U48" s="205">
        <v>-0.6974359</v>
      </c>
      <c r="V48" s="205">
        <v>0.31111111</v>
      </c>
      <c r="W48" s="205">
        <v>2.03589744</v>
      </c>
      <c r="X48" s="205">
        <v>0.14273504</v>
      </c>
      <c r="Y48" s="205">
        <v>0.63760684</v>
      </c>
      <c r="Z48" s="205">
        <v>0.92905983</v>
      </c>
      <c r="AA48" s="205">
        <v>1.87948718</v>
      </c>
      <c r="AB48" s="205">
        <v>0.99316239</v>
      </c>
      <c r="AC48" s="205">
        <v>-0.9555556</v>
      </c>
      <c r="AD48" s="205">
        <v>-0.365812</v>
      </c>
      <c r="AE48" s="205">
        <v>-0.6179487</v>
      </c>
      <c r="AF48" s="205">
        <v>1.36239316</v>
      </c>
      <c r="AG48" s="205">
        <v>1.00683761</v>
      </c>
      <c r="AH48" s="205">
        <v>-0.1068376</v>
      </c>
      <c r="AI48" s="205">
        <v>2.17863248</v>
      </c>
      <c r="AJ48" s="205">
        <v>-0.3205128</v>
      </c>
      <c r="AK48" s="205">
        <v>0.05897436</v>
      </c>
      <c r="AL48" s="205">
        <v>-1.3307692</v>
      </c>
      <c r="AM48" s="205">
        <v>0.66324786</v>
      </c>
      <c r="AN48" s="205">
        <v>-0.7076923</v>
      </c>
      <c r="AO48" s="205">
        <v>-0.0495726</v>
      </c>
      <c r="AP48" s="205">
        <v>0.27264957</v>
      </c>
      <c r="AQ48" s="205">
        <v>-0.4717949</v>
      </c>
      <c r="AR48" s="205">
        <v>-0.1786325</v>
      </c>
      <c r="AS48" s="205">
        <v>0.1008547</v>
      </c>
      <c r="AT48" s="205">
        <v>-1.5153846</v>
      </c>
      <c r="AU48" s="205">
        <v>1.87606838</v>
      </c>
      <c r="AV48" s="205">
        <v>-1.3111111</v>
      </c>
      <c r="AW48" s="205">
        <v>-0.9529915</v>
      </c>
      <c r="AX48" s="205">
        <v>2.4025641</v>
      </c>
      <c r="AY48" s="205">
        <v>0.37606838</v>
      </c>
      <c r="AZ48" s="205">
        <v>0.76495726</v>
      </c>
      <c r="BA48" s="205">
        <v>0.36752137</v>
      </c>
      <c r="BB48" s="205">
        <v>0.00512821</v>
      </c>
      <c r="BC48" s="205">
        <v>-0.6452991</v>
      </c>
      <c r="BD48" s="205">
        <v>2.15555556</v>
      </c>
      <c r="BE48" s="205">
        <v>-0.2623932</v>
      </c>
      <c r="BF48" s="205">
        <v>-0.0128205</v>
      </c>
      <c r="BG48" s="205">
        <v>-1.0290598</v>
      </c>
      <c r="BH48" s="205">
        <v>-0.8854701</v>
      </c>
      <c r="BI48" s="205">
        <v>-0.2803419</v>
      </c>
      <c r="BJ48" s="205">
        <v>0.03418803</v>
      </c>
      <c r="BK48" s="205">
        <v>0.38205128</v>
      </c>
      <c r="BL48" s="205">
        <v>0.96666667</v>
      </c>
      <c r="BM48" s="205">
        <v>-0.2923077</v>
      </c>
      <c r="BN48" s="205">
        <v>0.88632479</v>
      </c>
      <c r="BO48" s="205">
        <v>-0.2564103</v>
      </c>
      <c r="BP48" s="205">
        <v>0.12222222</v>
      </c>
      <c r="BQ48" s="206"/>
      <c r="BR48" s="250">
        <f t="shared" si="1"/>
        <v>0.1118708441</v>
      </c>
      <c r="BS48" s="250">
        <f t="shared" si="2"/>
        <v>0.7094831107</v>
      </c>
      <c r="BT48" s="206"/>
      <c r="BU48" s="207">
        <f>IFERROR(__xludf.DUMMYFUNCTION("AVERAGE(ARRAYFORMULA(XLOOKUP(FILTER(INDIRECT(""'""&amp;BU$1&amp;""'!$C$4:$C$66""),INDIRECT(""'""&amp;BU$1&amp;""'!$D$4:$D$66"")=BU$2),$F$3:$BP$3,$F48:$BP48)))"),0.8338217357142857)</f>
        <v>0.8338217357</v>
      </c>
      <c r="BV48" s="207">
        <f>IFERROR(__xludf.DUMMYFUNCTION("IF(OR(BU48&gt;$BR48+$BS48*$BS$2,BU48&lt;$BR48-$BS48*$BS$2),AVEDEV(ARRAYFORMULA(XLOOKUP(FILTER(INDIRECT(""'""&amp;BU$1&amp;""'!$C$4:$C$66""),INDIRECT(""'""&amp;BU$1&amp;""'!$D$4:$D$66"")=BU$2),$F$3:$BP$3,$F48:$BP48))),"""")"),1.1693005408163266)</f>
        <v>1.169300541</v>
      </c>
      <c r="BW48" s="207">
        <f>IFERROR(__xludf.DUMMYFUNCTION("AVERAGE(ARRAYFORMULA(XLOOKUP(FILTER(INDIRECT(""'""&amp;BW$1&amp;""'!$C$4:$C$66""),INDIRECT(""'""&amp;BW$1&amp;""'!$D$4:$D$66"")=BW$2),$F$3:$BP$3,$F48:$BP48)))"),0.03317052976190477)</f>
        <v>0.03317052976</v>
      </c>
      <c r="BX48" s="207" t="str">
        <f>IFERROR(__xludf.DUMMYFUNCTION("IF(OR(BW48&gt;$BR48+$BS48*$BS$2,BW48&lt;$BR48-$BS48*$BS$2),AVEDEV(ARRAYFORMULA(XLOOKUP(FILTER(INDIRECT(""'""&amp;BW$1&amp;""'!$C$4:$C$66""),INDIRECT(""'""&amp;BW$1&amp;""'!$D$4:$D$66"")=BW$2),$F$3:$BP$3,$F48:$BP48))),"""")"),"")</f>
        <v/>
      </c>
      <c r="BY48" s="207">
        <f>IFERROR(__xludf.DUMMYFUNCTION("AVERAGE(ARRAYFORMULA(XLOOKUP(FILTER(INDIRECT(""'""&amp;BY$1&amp;""'!$C$4:$C$66""),INDIRECT(""'""&amp;BY$1&amp;""'!$D$4:$D$66"")=BY$2),$F$3:$BP$3,$F48:$BP48)))"),0.13271173272727274)</f>
        <v>0.1327117327</v>
      </c>
      <c r="BZ48" s="207" t="str">
        <f>IFERROR(__xludf.DUMMYFUNCTION("IF(OR(BY48&gt;$BR48+$BS48*$BS$2,BY48&lt;$BR48-$BS48*$BS$2),AVEDEV(ARRAYFORMULA(XLOOKUP(FILTER(INDIRECT(""'""&amp;BY$1&amp;""'!$C$4:$C$66""),INDIRECT(""'""&amp;BY$1&amp;""'!$D$4:$D$66"")=BY$2),$F$3:$BP$3,$F48:$BP48))),"""")"),"")</f>
        <v/>
      </c>
      <c r="CA48" s="209"/>
      <c r="CB48" s="207">
        <f>IFERROR(__xludf.DUMMYFUNCTION("AVERAGE(ARRAYFORMULA(XLOOKUP(FILTER(INDIRECT(""'""&amp;CB$1&amp;""'!$C$4:$C$66""),INDIRECT(""'""&amp;CB$1&amp;""'!$D$4:$D$66"")=CB$2),$F$3:$BP$3,$F48:$BP48)))"),-0.24679487312500004)</f>
        <v>-0.2467948731</v>
      </c>
      <c r="CC48" s="207" t="str">
        <f>IFERROR(__xludf.DUMMYFUNCTION("IF(OR(CB48&gt;$BR48+$BS48*$BS$2,CB48&lt;$BR48-$BS48*$BS$2),AVEDEV(ARRAYFORMULA(XLOOKUP(FILTER(INDIRECT(""'""&amp;CB$1&amp;""'!$C$4:$C$66""),INDIRECT(""'""&amp;CB$1&amp;""'!$D$4:$D$66"")=CB$2),$F$3:$BP$3,$F48:$BP48))),"""")"),"")</f>
        <v/>
      </c>
      <c r="CD48" s="207">
        <f>IFERROR(__xludf.DUMMYFUNCTION("AVERAGE(ARRAYFORMULA(XLOOKUP(FILTER(INDIRECT(""'""&amp;CD$1&amp;""'!$C$4:$C$66""),INDIRECT(""'""&amp;CD$1&amp;""'!$D$4:$D$66"")=CD$2),$F$3:$BP$3,$F48:$BP48)))"),0.34243176096774197)</f>
        <v>0.342431761</v>
      </c>
      <c r="CE48" s="207" t="str">
        <f>IFERROR(__xludf.DUMMYFUNCTION("IF(OR(CD48&gt;$BR48+$BS48*$BS$2,CD48&lt;$BR48-$BS48*$BS$2),AVEDEV(ARRAYFORMULA(XLOOKUP(FILTER(INDIRECT(""'""&amp;CD$1&amp;""'!$C$4:$C$66""),INDIRECT(""'""&amp;CD$1&amp;""'!$D$4:$D$66"")=CD$2),$F$3:$BP$3,$F48:$BP48))),"""")"),"")</f>
        <v/>
      </c>
      <c r="CF48" s="207">
        <f>IFERROR(__xludf.DUMMYFUNCTION("AVERAGE(ARRAYFORMULA(XLOOKUP(FILTER(INDIRECT(""'""&amp;CF$1&amp;""'!$C$4:$C$66""),INDIRECT(""'""&amp;CF$1&amp;""'!$D$4:$D$66"")=CF$2),$F$3:$BP$3,$F48:$BP48)))"),0.03282051199999999)</f>
        <v>0.032820512</v>
      </c>
      <c r="CG48" s="207" t="str">
        <f>IFERROR(__xludf.DUMMYFUNCTION("IF(OR(CF48&gt;$BR48+$BS48*$BS$2,CF48&lt;$BR48-$BS48*$BS$2),AVEDEV(ARRAYFORMULA(XLOOKUP(FILTER(INDIRECT(""'""&amp;CF$1&amp;""'!$C$4:$C$66""),INDIRECT(""'""&amp;CF$1&amp;""'!$D$4:$D$66"")=CF$2),$F$3:$BP$3,$F48:$BP48))),"""")"),"")</f>
        <v/>
      </c>
      <c r="CH48" s="206"/>
      <c r="CI48" s="251">
        <f>IFERROR(__xludf.DUMMYFUNCTION("AVERAGE(ARRAYFORMULA(XLOOKUP(FILTER(INDIRECT(""'""&amp;CI$1&amp;""'!$C$4:$C$66""),INDIRECT(""'""&amp;CI$1&amp;""'!$D$4:$D$66"")=CI$2),$F$3:$BP$3,$F48:$BP48)))"),0.6560683719999999)</f>
        <v>0.656068372</v>
      </c>
      <c r="CJ48" s="207" t="str">
        <f>IFERROR(__xludf.DUMMYFUNCTION("IF(OR(CI48&gt;$BR48+$BS48*$BS$2,CI48&lt;$BR48-$BS48*$BS$2),AVEDEV(ARRAYFORMULA(XLOOKUP(FILTER(INDIRECT(""'""&amp;CI$1&amp;""'!$C$4:$C$66""),INDIRECT(""'""&amp;CI$1&amp;""'!$D$4:$D$66"")=CI$2),$F$3:$BP$3,$F48:$BP48))),"""")"),"")</f>
        <v/>
      </c>
      <c r="CK48" s="251">
        <f>IFERROR(__xludf.DUMMYFUNCTION("AVERAGE(ARRAYFORMULA(XLOOKUP(FILTER(INDIRECT(""'""&amp;CK$1&amp;""'!$C$4:$C$66""),INDIRECT(""'""&amp;CK$1&amp;""'!$D$4:$D$66"")=CK$2),$F$3:$BP$3,$F48:$BP48)))"),-0.04352399897435895)</f>
        <v>-0.04352399897</v>
      </c>
      <c r="CL48" s="207" t="str">
        <f>IFERROR(__xludf.DUMMYFUNCTION("IF(OR(CK48&gt;$BR48+$BS48*$BS$2,CK48&lt;$BR48-$BS48*$BS$2),AVEDEV(ARRAYFORMULA(XLOOKUP(FILTER(INDIRECT(""'""&amp;CK$1&amp;""'!$C$4:$C$66""),INDIRECT(""'""&amp;CK$1&amp;""'!$D$4:$D$66"")=CK$2),$F$3:$BP$3,$F48:$BP48))),"""")"),"")</f>
        <v/>
      </c>
      <c r="CM48" s="251">
        <f>IFERROR(__xludf.DUMMYFUNCTION("AVERAGE(ARRAYFORMULA(XLOOKUP(FILTER(INDIRECT(""'""&amp;CM$1&amp;""'!$C$4:$C$66""),INDIRECT(""'""&amp;CM$1&amp;""'!$D$4:$D$66"")=CM$2),$F$3:$BP$3,$F48:$BP48)))"),0.03282051199999999)</f>
        <v>0.032820512</v>
      </c>
      <c r="CN48" s="207" t="str">
        <f>IFERROR(__xludf.DUMMYFUNCTION("IF(OR(CM48&gt;$BR48+$BS48*$BS$2,CM48&lt;$BR48-$BS48*$BS$2),AVEDEV(ARRAYFORMULA(XLOOKUP(FILTER(INDIRECT(""'""&amp;CM$1&amp;""'!$C$4:$C$66""),INDIRECT(""'""&amp;CM$1&amp;""'!$D$4:$D$66"")=CM$2),$F$3:$BP$3,$F48:$BP48))),"""")"),"")</f>
        <v/>
      </c>
      <c r="CO48" s="252"/>
      <c r="CP48" s="251">
        <f>IFERROR(__xludf.DUMMYFUNCTION("AVERAGE(ARRAYFORMULA(XLOOKUP(FILTER(INDIRECT(""'""&amp;CP$1&amp;""'!$C$4:$C$66""),INDIRECT(""'""&amp;CP$1&amp;""'!$D$4:$D$66"")=CP$2),$F$3:$BP$3,$F48:$BP48)))"),-0.08015873214285715)</f>
        <v>-0.08015873214</v>
      </c>
      <c r="CQ48" s="207" t="str">
        <f>IFERROR(__xludf.DUMMYFUNCTION("IF(OR(CP48&gt;$BR48+$BS48*$BS$2,CP48&lt;$BR48-$BS48*$BS$2),AVEDEV(ARRAYFORMULA(XLOOKUP(FILTER(INDIRECT(""'""&amp;CP$1&amp;""'!$C$4:$C$66""),INDIRECT(""'""&amp;CP$1&amp;""'!$D$4:$D$66"")=CP$2),$F$3:$BP$3,$F48:$BP48))),"""")"),"")</f>
        <v/>
      </c>
      <c r="CR48" s="251">
        <f>IFERROR(__xludf.DUMMYFUNCTION("AVERAGE(ARRAYFORMULA(XLOOKUP(FILTER(INDIRECT(""'""&amp;CR$1&amp;""'!$C$4:$C$66""),INDIRECT(""'""&amp;CR$1&amp;""'!$D$4:$D$66"")=CR$2),$F$3:$BP$3,$F48:$BP48)))"),0.013010445555555562)</f>
        <v>0.01301044556</v>
      </c>
      <c r="CS48" s="207" t="str">
        <f>IFERROR(__xludf.DUMMYFUNCTION("IF(OR(CR48&gt;$BR48+$BS48*$BS$2,CR48&lt;$BR48-$BS48*$BS$2),AVEDEV(ARRAYFORMULA(XLOOKUP(FILTER(INDIRECT(""'""&amp;CR$1&amp;""'!$C$4:$C$66""),INDIRECT(""'""&amp;CR$1&amp;""'!$D$4:$D$66"")=CR$2),$F$3:$BP$3,$F48:$BP48))),"""")"),"")</f>
        <v/>
      </c>
      <c r="CT48" s="251">
        <f>IFERROR(__xludf.DUMMYFUNCTION("AVERAGE(ARRAYFORMULA(XLOOKUP(FILTER(INDIRECT(""'""&amp;CT$1&amp;""'!$C$4:$C$66""),INDIRECT(""'""&amp;CT$1&amp;""'!$D$4:$D$66"")=CT$2),$F$3:$BP$3,$F48:$BP48)))"),0.6395493445454545)</f>
        <v>0.6395493445</v>
      </c>
      <c r="CU48" s="207" t="str">
        <f>IFERROR(__xludf.DUMMYFUNCTION("IF(OR(CT48&gt;$BR48+$BS48*$BS$2,CT48&lt;$BR48-$BS48*$BS$2),AVEDEV(ARRAYFORMULA(XLOOKUP(FILTER(INDIRECT(""'""&amp;CT$1&amp;""'!$C$4:$C$66""),INDIRECT(""'""&amp;CT$1&amp;""'!$D$4:$D$66"")=CT$2),$F$3:$BP$3,$F48:$BP48))),"""")"),"")</f>
        <v/>
      </c>
      <c r="CV48" s="251">
        <f>IFERROR(__xludf.DUMMYFUNCTION("AVERAGE(ARRAYFORMULA(XLOOKUP(FILTER(INDIRECT(""'""&amp;CV$1&amp;""'!$C$4:$C$66""),INDIRECT(""'""&amp;CV$1&amp;""'!$D$4:$D$66"")=CV$2),$F$3:$BP$3,$F48:$BP48)))"),-0.9923077)</f>
        <v>-0.9923077</v>
      </c>
      <c r="CW48" s="207">
        <f>IFERROR(__xludf.DUMMYFUNCTION("IF(OR(CV48&gt;$BR48+$BS48*$BS$2,CV48&lt;$BR48-$BS48*$BS$2),AVEDEV(ARRAYFORMULA(XLOOKUP(FILTER(INDIRECT(""'""&amp;CV$1&amp;""'!$C$4:$C$66""),INDIRECT(""'""&amp;CV$1&amp;""'!$D$4:$D$66"")=CV$2),$F$3:$BP$3,$F48:$BP48))),"""")"),0.03675210000000001)</f>
        <v>0.0367521</v>
      </c>
      <c r="CX48" s="251">
        <f>IFERROR(__xludf.DUMMYFUNCTION("AVERAGE(ARRAYFORMULA(XLOOKUP(FILTER(INDIRECT(""'""&amp;CX$1&amp;""'!$C$4:$C$66""),INDIRECT(""'""&amp;CX$1&amp;""'!$D$4:$D$66"")=CX$2),$F$3:$BP$3,$F48:$BP48)))"),0.03015872071428573)</f>
        <v>0.03015872071</v>
      </c>
      <c r="CY48" s="207" t="str">
        <f>IFERROR(__xludf.DUMMYFUNCTION("IF(OR(CX48&gt;$BR48+$BS48*$BS$2,CX48&lt;$BR48-$BS48*$BS$2),AVEDEV(ARRAYFORMULA(XLOOKUP(FILTER(INDIRECT(""'""&amp;CX$1&amp;""'!$C$4:$C$66""),INDIRECT(""'""&amp;CX$1&amp;""'!$D$4:$D$66"")=CX$2),$F$3:$BP$3,$F48:$BP48))),"""")"),"")</f>
        <v/>
      </c>
      <c r="CZ48" s="252"/>
      <c r="DA48" s="251">
        <f>IFERROR(__xludf.DUMMYFUNCTION("AVERAGE(ARRAYFORMULA(XLOOKUP(FILTER(INDIRECT(""'""&amp;DA$1&amp;""'!$C$4:$C$66""),INDIRECT(""'""&amp;DA$1&amp;""'!$D$4:$D$66"")=DA$2),$F$3:$BP$3,$F48:$BP48)))"),0.086837603)</f>
        <v>0.086837603</v>
      </c>
      <c r="DB48" s="207" t="str">
        <f>IFERROR(__xludf.DUMMYFUNCTION("IF(OR(DA48&gt;$BR48+$BS48*$BS$2,DA48&lt;$BR48-$BS48*$BS$2),AVEDEV(ARRAYFORMULA(XLOOKUP(FILTER(INDIRECT(""'""&amp;DA$1&amp;""'!$C$4:$C$66""),INDIRECT(""'""&amp;DA$1&amp;""'!$D$4:$D$66"")=DA$2),$F$3:$BP$3,$F48:$BP48))),"""")"),"")</f>
        <v/>
      </c>
      <c r="DC48" s="251">
        <f>IFERROR(__xludf.DUMMYFUNCTION("AVERAGE(ARRAYFORMULA(XLOOKUP(FILTER(INDIRECT(""'""&amp;DC$1&amp;""'!$C$4:$C$66""),INDIRECT(""'""&amp;DC$1&amp;""'!$D$4:$D$66"")=DC$2),$F$3:$BP$3,$F48:$BP48)))"),0.3816714133333333)</f>
        <v>0.3816714133</v>
      </c>
      <c r="DD48" s="207" t="str">
        <f>IFERROR(__xludf.DUMMYFUNCTION("IF(OR(DC48&gt;$BR48+$BS48*$BS$2,DC48&lt;$BR48-$BS48*$BS$2),AVEDEV(ARRAYFORMULA(XLOOKUP(FILTER(INDIRECT(""'""&amp;DC$1&amp;""'!$C$4:$C$66""),INDIRECT(""'""&amp;DC$1&amp;""'!$D$4:$D$66"")=DC$2),$F$3:$BP$3,$F48:$BP48))),"""")"),"")</f>
        <v/>
      </c>
      <c r="DE48" s="251">
        <f>IFERROR(__xludf.DUMMYFUNCTION("AVERAGE(ARRAYFORMULA(XLOOKUP(FILTER(INDIRECT(""'""&amp;DE$1&amp;""'!$C$4:$C$66""),INDIRECT(""'""&amp;DE$1&amp;""'!$D$4:$D$66"")=DE$2),$F$3:$BP$3,$F48:$BP48)))"),0.7621794875000001)</f>
        <v>0.7621794875</v>
      </c>
      <c r="DF48" s="207" t="str">
        <f>IFERROR(__xludf.DUMMYFUNCTION("IF(OR(DE48&gt;$BR48+$BS48*$BS$2,DE48&lt;$BR48-$BS48*$BS$2),AVEDEV(ARRAYFORMULA(XLOOKUP(FILTER(INDIRECT(""'""&amp;DE$1&amp;""'!$C$4:$C$66""),INDIRECT(""'""&amp;DE$1&amp;""'!$D$4:$D$66"")=DE$2),$F$3:$BP$3,$F48:$BP48))),"""")"),"")</f>
        <v/>
      </c>
      <c r="DG48" s="251">
        <f>IFERROR(__xludf.DUMMYFUNCTION("AVERAGE(ARRAYFORMULA(XLOOKUP(FILTER(INDIRECT(""'""&amp;DG$1&amp;""'!$C$4:$C$66""),INDIRECT(""'""&amp;DG$1&amp;""'!$D$4:$D$66"")=DG$2),$F$3:$BP$3,$F48:$BP48)))"),-0.5207027522222222)</f>
        <v>-0.5207027522</v>
      </c>
      <c r="DH48" s="207" t="str">
        <f>IFERROR(__xludf.DUMMYFUNCTION("IF(OR(DG48&gt;$BR48+$BS48*$BS$2,DG48&lt;$BR48-$BS48*$BS$2),AVEDEV(ARRAYFORMULA(XLOOKUP(FILTER(INDIRECT(""'""&amp;DG$1&amp;""'!$C$4:$C$66""),INDIRECT(""'""&amp;DG$1&amp;""'!$D$4:$D$66"")=DG$2),$F$3:$BP$3,$F48:$BP48))),"""")"),"")</f>
        <v/>
      </c>
      <c r="DI48" s="252"/>
    </row>
    <row r="49">
      <c r="A49" s="2"/>
      <c r="B49" s="204" t="s">
        <v>482</v>
      </c>
      <c r="C49" s="204" t="s">
        <v>490</v>
      </c>
      <c r="D49" s="205" t="b">
        <f>VLOOKUP(C49,'Feature Set List'!A46:C246,2,0)</f>
        <v>1</v>
      </c>
      <c r="E49" s="205" t="b">
        <f>VLOOKUP(C49,'Feature Set List'!A46:C246,3,0)</f>
        <v>1</v>
      </c>
      <c r="F49" s="205">
        <v>0.32186837</v>
      </c>
      <c r="G49" s="205">
        <v>0.36518047</v>
      </c>
      <c r="H49" s="205">
        <v>1.34522293</v>
      </c>
      <c r="I49" s="205">
        <v>0.39235669</v>
      </c>
      <c r="J49" s="205">
        <v>-0.9078556</v>
      </c>
      <c r="K49" s="205">
        <v>-0.6598726</v>
      </c>
      <c r="L49" s="205">
        <v>-0.0373673</v>
      </c>
      <c r="M49" s="205">
        <v>-0.0195329</v>
      </c>
      <c r="N49" s="205">
        <v>0.07983015</v>
      </c>
      <c r="O49" s="205">
        <v>0.12823779</v>
      </c>
      <c r="P49" s="205">
        <v>-0.7464968</v>
      </c>
      <c r="Q49" s="205">
        <v>-0.3099788</v>
      </c>
      <c r="R49" s="205">
        <v>0.02887473</v>
      </c>
      <c r="S49" s="205">
        <v>-0.1350318</v>
      </c>
      <c r="T49" s="205">
        <v>0.53503185</v>
      </c>
      <c r="U49" s="205">
        <v>-0.6157113</v>
      </c>
      <c r="V49" s="205">
        <v>-0.0934183</v>
      </c>
      <c r="W49" s="205">
        <v>0.95456476</v>
      </c>
      <c r="X49" s="205">
        <v>-0.3566879</v>
      </c>
      <c r="Y49" s="205">
        <v>1.54649682</v>
      </c>
      <c r="Z49" s="205">
        <v>1.40127389</v>
      </c>
      <c r="AA49" s="205">
        <v>1.385138</v>
      </c>
      <c r="AB49" s="205">
        <v>1.47685775</v>
      </c>
      <c r="AC49" s="205">
        <v>-0.1995754</v>
      </c>
      <c r="AD49" s="205">
        <v>0.96900212</v>
      </c>
      <c r="AE49" s="205">
        <v>-0.6717622</v>
      </c>
      <c r="AF49" s="205">
        <v>0.69044586</v>
      </c>
      <c r="AG49" s="205">
        <v>1.7656051</v>
      </c>
      <c r="AH49" s="205">
        <v>0.18938429</v>
      </c>
      <c r="AI49" s="205">
        <v>-0.0135881</v>
      </c>
      <c r="AJ49" s="205">
        <v>-0.8144374</v>
      </c>
      <c r="AK49" s="205">
        <v>0.00339703</v>
      </c>
      <c r="AL49" s="205">
        <v>-0.2666667</v>
      </c>
      <c r="AM49" s="205">
        <v>1.07176221</v>
      </c>
      <c r="AN49" s="205">
        <v>-1.1480255</v>
      </c>
      <c r="AO49" s="205">
        <v>-0.9836093</v>
      </c>
      <c r="AP49" s="205">
        <v>0.18259023</v>
      </c>
      <c r="AQ49" s="205">
        <v>-1.1242463</v>
      </c>
      <c r="AR49" s="205">
        <v>-0.1460722</v>
      </c>
      <c r="AS49" s="205">
        <v>0.61740977</v>
      </c>
      <c r="AT49" s="205">
        <v>-0.6590234</v>
      </c>
      <c r="AU49" s="205">
        <v>0.89511677</v>
      </c>
      <c r="AV49" s="205">
        <v>-1.597707</v>
      </c>
      <c r="AW49" s="205">
        <v>-0.8480679</v>
      </c>
      <c r="AX49" s="205">
        <v>4.80764331</v>
      </c>
      <c r="AY49" s="205">
        <v>-0.0059448</v>
      </c>
      <c r="AZ49" s="205">
        <v>0.0</v>
      </c>
      <c r="BA49" s="205">
        <v>1.43864119</v>
      </c>
      <c r="BB49" s="205">
        <v>0.68619958</v>
      </c>
      <c r="BC49" s="205">
        <v>-0.0144374</v>
      </c>
      <c r="BD49" s="205">
        <v>3.75711253</v>
      </c>
      <c r="BE49" s="205">
        <v>0.13757962</v>
      </c>
      <c r="BF49" s="205">
        <v>-0.2522293</v>
      </c>
      <c r="BG49" s="205">
        <v>-0.118896</v>
      </c>
      <c r="BH49" s="205">
        <v>-0.0934183</v>
      </c>
      <c r="BI49" s="205">
        <v>0.87218684</v>
      </c>
      <c r="BJ49" s="205">
        <v>-0.6462845</v>
      </c>
      <c r="BK49" s="205">
        <v>1.45307856</v>
      </c>
      <c r="BL49" s="205">
        <v>0.3014862</v>
      </c>
      <c r="BM49" s="205">
        <v>-0.3133758</v>
      </c>
      <c r="BN49" s="205">
        <v>0.17494692</v>
      </c>
      <c r="BO49" s="205">
        <v>-0.2921444</v>
      </c>
      <c r="BP49" s="205">
        <v>-0.5605096</v>
      </c>
      <c r="BQ49" s="206"/>
      <c r="BR49" s="250">
        <f t="shared" si="1"/>
        <v>0.2432150402</v>
      </c>
      <c r="BS49" s="250">
        <f t="shared" si="2"/>
        <v>0.7446265285</v>
      </c>
      <c r="BT49" s="206"/>
      <c r="BU49" s="207">
        <f>IFERROR(__xludf.DUMMYFUNCTION("AVERAGE(ARRAYFORMULA(XLOOKUP(FILTER(INDIRECT(""'""&amp;BU$1&amp;""'!$C$4:$C$66""),INDIRECT(""'""&amp;BU$1&amp;""'!$D$4:$D$66"")=BU$2),$F$3:$BP$3,$F49:$BP49)))"),1.6854352428571429)</f>
        <v>1.685435243</v>
      </c>
      <c r="BV49" s="207">
        <f>IFERROR(__xludf.DUMMYFUNCTION("IF(OR(BU49&gt;$BR49+$BS49*$BS$2,BU49&lt;$BR49-$BS49*$BS$2),AVEDEV(ARRAYFORMULA(XLOOKUP(FILTER(INDIRECT(""'""&amp;BU$1&amp;""'!$C$4:$C$66""),INDIRECT(""'""&amp;BU$1&amp;""'!$D$4:$D$66"")=BU$2),$F$3:$BP$3,$F49:$BP49))),"""")"),1.4839672440816325)</f>
        <v>1.483967244</v>
      </c>
      <c r="BW49" s="207">
        <f>IFERROR(__xludf.DUMMYFUNCTION("AVERAGE(ARRAYFORMULA(XLOOKUP(FILTER(INDIRECT(""'""&amp;BW$1&amp;""'!$C$4:$C$66""),INDIRECT(""'""&amp;BW$1&amp;""'!$D$4:$D$66"")=BW$2),$F$3:$BP$3,$F49:$BP49)))"),0.09669598190476189)</f>
        <v>0.0966959819</v>
      </c>
      <c r="BX49" s="207" t="str">
        <f>IFERROR(__xludf.DUMMYFUNCTION("IF(OR(BW49&gt;$BR49+$BS49*$BS$2,BW49&lt;$BR49-$BS49*$BS$2),AVEDEV(ARRAYFORMULA(XLOOKUP(FILTER(INDIRECT(""'""&amp;BW$1&amp;""'!$C$4:$C$66""),INDIRECT(""'""&amp;BW$1&amp;""'!$D$4:$D$66"")=BW$2),$F$3:$BP$3,$F49:$BP49))),"""")"),"")</f>
        <v/>
      </c>
      <c r="BY49" s="207">
        <f>IFERROR(__xludf.DUMMYFUNCTION("AVERAGE(ARRAYFORMULA(XLOOKUP(FILTER(INDIRECT(""'""&amp;BY$1&amp;""'!$C$4:$C$66""),INDIRECT(""'""&amp;BY$1&amp;""'!$D$4:$D$66"")=BY$2),$F$3:$BP$3,$F49:$BP49)))"),-0.10986295818181818)</f>
        <v>-0.1098629582</v>
      </c>
      <c r="BZ49" s="207" t="str">
        <f>IFERROR(__xludf.DUMMYFUNCTION("IF(OR(BY49&gt;$BR49+$BS49*$BS$2,BY49&lt;$BR49-$BS49*$BS$2),AVEDEV(ARRAYFORMULA(XLOOKUP(FILTER(INDIRECT(""'""&amp;BY$1&amp;""'!$C$4:$C$66""),INDIRECT(""'""&amp;BY$1&amp;""'!$D$4:$D$66"")=BY$2),$F$3:$BP$3,$F49:$BP49))),"""")"),"")</f>
        <v/>
      </c>
      <c r="CA49" s="209"/>
      <c r="CB49" s="207">
        <f>IFERROR(__xludf.DUMMYFUNCTION("AVERAGE(ARRAYFORMULA(XLOOKUP(FILTER(INDIRECT(""'""&amp;CB$1&amp;""'!$C$4:$C$66""),INDIRECT(""'""&amp;CB$1&amp;""'!$D$4:$D$66"")=CB$2),$F$3:$BP$3,$F49:$BP49)))"),0.036173036874999995)</f>
        <v>0.03617303688</v>
      </c>
      <c r="CC49" s="207" t="str">
        <f>IFERROR(__xludf.DUMMYFUNCTION("IF(OR(CB49&gt;$BR49+$BS49*$BS$2,CB49&lt;$BR49-$BS49*$BS$2),AVEDEV(ARRAYFORMULA(XLOOKUP(FILTER(INDIRECT(""'""&amp;CB$1&amp;""'!$C$4:$C$66""),INDIRECT(""'""&amp;CB$1&amp;""'!$D$4:$D$66"")=CB$2),$F$3:$BP$3,$F49:$BP49))),"""")"),"")</f>
        <v/>
      </c>
      <c r="CD49" s="207">
        <f>IFERROR(__xludf.DUMMYFUNCTION("AVERAGE(ARRAYFORMULA(XLOOKUP(FILTER(INDIRECT(""'""&amp;CD$1&amp;""'!$C$4:$C$66""),INDIRECT(""'""&amp;CD$1&amp;""'!$D$4:$D$66"")=CD$2),$F$3:$BP$3,$F49:$BP49)))"),0.4642421680645162)</f>
        <v>0.4642421681</v>
      </c>
      <c r="CE49" s="207" t="str">
        <f>IFERROR(__xludf.DUMMYFUNCTION("IF(OR(CD49&gt;$BR49+$BS49*$BS$2,CD49&lt;$BR49-$BS49*$BS$2),AVEDEV(ARRAYFORMULA(XLOOKUP(FILTER(INDIRECT(""'""&amp;CD$1&amp;""'!$C$4:$C$66""),INDIRECT(""'""&amp;CD$1&amp;""'!$D$4:$D$66"")=CD$2),$F$3:$BP$3,$F49:$BP49))),"""")"),"")</f>
        <v/>
      </c>
      <c r="CF49" s="207">
        <f>IFERROR(__xludf.DUMMYFUNCTION("AVERAGE(ARRAYFORMULA(XLOOKUP(FILTER(INDIRECT(""'""&amp;CF$1&amp;""'!$C$4:$C$66""),INDIRECT(""'""&amp;CF$1&amp;""'!$D$4:$D$66"")=CF$2),$F$3:$BP$3,$F49:$BP49)))"),-0.081019102)</f>
        <v>-0.081019102</v>
      </c>
      <c r="CG49" s="207" t="str">
        <f>IFERROR(__xludf.DUMMYFUNCTION("IF(OR(CF49&gt;$BR49+$BS49*$BS$2,CF49&lt;$BR49-$BS49*$BS$2),AVEDEV(ARRAYFORMULA(XLOOKUP(FILTER(INDIRECT(""'""&amp;CF$1&amp;""'!$C$4:$C$66""),INDIRECT(""'""&amp;CF$1&amp;""'!$D$4:$D$66"")=CF$2),$F$3:$BP$3,$F49:$BP49))),"""")"),"")</f>
        <v/>
      </c>
      <c r="CH49" s="206"/>
      <c r="CI49" s="251">
        <f>IFERROR(__xludf.DUMMYFUNCTION("AVERAGE(ARRAYFORMULA(XLOOKUP(FILTER(INDIRECT(""'""&amp;CI$1&amp;""'!$C$4:$C$66""),INDIRECT(""'""&amp;CI$1&amp;""'!$D$4:$D$66"")=CI$2),$F$3:$BP$3,$F49:$BP49)))"),0.98151451)</f>
        <v>0.98151451</v>
      </c>
      <c r="CJ49" s="207" t="str">
        <f>IFERROR(__xludf.DUMMYFUNCTION("IF(OR(CI49&gt;$BR49+$BS49*$BS$2,CI49&lt;$BR49-$BS49*$BS$2),AVEDEV(ARRAYFORMULA(XLOOKUP(FILTER(INDIRECT(""'""&amp;CI$1&amp;""'!$C$4:$C$66""),INDIRECT(""'""&amp;CI$1&amp;""'!$D$4:$D$66"")=CI$2),$F$3:$BP$3,$F49:$BP49))),"""")"),"")</f>
        <v/>
      </c>
      <c r="CK49" s="251">
        <f>IFERROR(__xludf.DUMMYFUNCTION("AVERAGE(ARRAYFORMULA(XLOOKUP(FILTER(INDIRECT(""'""&amp;CK$1&amp;""'!$C$4:$C$66""),INDIRECT(""'""&amp;CK$1&amp;""'!$D$4:$D$66"")=CK$2),$F$3:$BP$3,$F49:$BP49)))"),-0.028715776923076922)</f>
        <v>-0.02871577692</v>
      </c>
      <c r="CL49" s="207" t="str">
        <f>IFERROR(__xludf.DUMMYFUNCTION("IF(OR(CK49&gt;$BR49+$BS49*$BS$2,CK49&lt;$BR49-$BS49*$BS$2),AVEDEV(ARRAYFORMULA(XLOOKUP(FILTER(INDIRECT(""'""&amp;CK$1&amp;""'!$C$4:$C$66""),INDIRECT(""'""&amp;CK$1&amp;""'!$D$4:$D$66"")=CK$2),$F$3:$BP$3,$F49:$BP49))),"""")"),"")</f>
        <v/>
      </c>
      <c r="CM49" s="251">
        <f>IFERROR(__xludf.DUMMYFUNCTION("AVERAGE(ARRAYFORMULA(XLOOKUP(FILTER(INDIRECT(""'""&amp;CM$1&amp;""'!$C$4:$C$66""),INDIRECT(""'""&amp;CM$1&amp;""'!$D$4:$D$66"")=CM$2),$F$3:$BP$3,$F49:$BP49)))"),-0.081019102)</f>
        <v>-0.081019102</v>
      </c>
      <c r="CN49" s="207" t="str">
        <f>IFERROR(__xludf.DUMMYFUNCTION("IF(OR(CM49&gt;$BR49+$BS49*$BS$2,CM49&lt;$BR49-$BS49*$BS$2),AVEDEV(ARRAYFORMULA(XLOOKUP(FILTER(INDIRECT(""'""&amp;CM$1&amp;""'!$C$4:$C$66""),INDIRECT(""'""&amp;CM$1&amp;""'!$D$4:$D$66"")=CM$2),$F$3:$BP$3,$F49:$BP49))),"""")"),"")</f>
        <v/>
      </c>
      <c r="CO49" s="252"/>
      <c r="CP49" s="251">
        <f>IFERROR(__xludf.DUMMYFUNCTION("AVERAGE(ARRAYFORMULA(XLOOKUP(FILTER(INDIRECT(""'""&amp;CP$1&amp;""'!$C$4:$C$66""),INDIRECT(""'""&amp;CP$1&amp;""'!$D$4:$D$66"")=CP$2),$F$3:$BP$3,$F49:$BP49)))"),-0.12481043500000004)</f>
        <v>-0.124810435</v>
      </c>
      <c r="CQ49" s="207" t="str">
        <f>IFERROR(__xludf.DUMMYFUNCTION("IF(OR(CP49&gt;$BR49+$BS49*$BS$2,CP49&lt;$BR49-$BS49*$BS$2),AVEDEV(ARRAYFORMULA(XLOOKUP(FILTER(INDIRECT(""'""&amp;CP$1&amp;""'!$C$4:$C$66""),INDIRECT(""'""&amp;CP$1&amp;""'!$D$4:$D$66"")=CP$2),$F$3:$BP$3,$F49:$BP49))),"""")"),"")</f>
        <v/>
      </c>
      <c r="CR49" s="251">
        <f>IFERROR(__xludf.DUMMYFUNCTION("AVERAGE(ARRAYFORMULA(XLOOKUP(FILTER(INDIRECT(""'""&amp;CR$1&amp;""'!$C$4:$C$66""),INDIRECT(""'""&amp;CR$1&amp;""'!$D$4:$D$66"")=CR$2),$F$3:$BP$3,$F49:$BP49)))"),-0.16711488222222223)</f>
        <v>-0.1671148822</v>
      </c>
      <c r="CS49" s="207" t="str">
        <f>IFERROR(__xludf.DUMMYFUNCTION("IF(OR(CR49&gt;$BR49+$BS49*$BS$2,CR49&lt;$BR49-$BS49*$BS$2),AVEDEV(ARRAYFORMULA(XLOOKUP(FILTER(INDIRECT(""'""&amp;CR$1&amp;""'!$C$4:$C$66""),INDIRECT(""'""&amp;CR$1&amp;""'!$D$4:$D$66"")=CR$2),$F$3:$BP$3,$F49:$BP49))),"""")"),"")</f>
        <v/>
      </c>
      <c r="CT49" s="251">
        <f>IFERROR(__xludf.DUMMYFUNCTION("AVERAGE(ARRAYFORMULA(XLOOKUP(FILTER(INDIRECT(""'""&amp;CT$1&amp;""'!$C$4:$C$66""),INDIRECT(""'""&amp;CT$1&amp;""'!$D$4:$D$66"")=CT$2),$F$3:$BP$3,$F49:$BP49)))"),0.6563983754545454)</f>
        <v>0.6563983755</v>
      </c>
      <c r="CU49" s="207" t="str">
        <f>IFERROR(__xludf.DUMMYFUNCTION("IF(OR(CT49&gt;$BR49+$BS49*$BS$2,CT49&lt;$BR49-$BS49*$BS$2),AVEDEV(ARRAYFORMULA(XLOOKUP(FILTER(INDIRECT(""'""&amp;CT$1&amp;""'!$C$4:$C$66""),INDIRECT(""'""&amp;CT$1&amp;""'!$D$4:$D$66"")=CT$2),$F$3:$BP$3,$F49:$BP49))),"""")"),"")</f>
        <v/>
      </c>
      <c r="CV49" s="251">
        <f>IFERROR(__xludf.DUMMYFUNCTION("AVERAGE(ARRAYFORMULA(XLOOKUP(FILTER(INDIRECT(""'""&amp;CV$1&amp;""'!$C$4:$C$66""),INDIRECT(""'""&amp;CV$1&amp;""'!$D$4:$D$66"")=CV$2),$F$3:$BP$3,$F49:$BP49)))"),-0.15923569999999998)</f>
        <v>-0.1592357</v>
      </c>
      <c r="CW49" s="207" t="str">
        <f>IFERROR(__xludf.DUMMYFUNCTION("IF(OR(CV49&gt;$BR49+$BS49*$BS$2,CV49&lt;$BR49-$BS49*$BS$2),AVEDEV(ARRAYFORMULA(XLOOKUP(FILTER(INDIRECT(""'""&amp;CV$1&amp;""'!$C$4:$C$66""),INDIRECT(""'""&amp;CV$1&amp;""'!$D$4:$D$66"")=CV$2),$F$3:$BP$3,$F49:$BP49))),"""")"),"")</f>
        <v/>
      </c>
      <c r="CX49" s="251">
        <f>IFERROR(__xludf.DUMMYFUNCTION("AVERAGE(ARRAYFORMULA(XLOOKUP(FILTER(INDIRECT(""'""&amp;CX$1&amp;""'!$C$4:$C$66""),INDIRECT(""'""&amp;CX$1&amp;""'!$D$4:$D$66"")=CX$2),$F$3:$BP$3,$F49:$BP49)))"),-0.0032393142857142744)</f>
        <v>-0.003239314286</v>
      </c>
      <c r="CY49" s="207" t="str">
        <f>IFERROR(__xludf.DUMMYFUNCTION("IF(OR(CX49&gt;$BR49+$BS49*$BS$2,CX49&lt;$BR49-$BS49*$BS$2),AVEDEV(ARRAYFORMULA(XLOOKUP(FILTER(INDIRECT(""'""&amp;CX$1&amp;""'!$C$4:$C$66""),INDIRECT(""'""&amp;CX$1&amp;""'!$D$4:$D$66"")=CX$2),$F$3:$BP$3,$F49:$BP49))),"""")"),"")</f>
        <v/>
      </c>
      <c r="CZ49" s="252"/>
      <c r="DA49" s="251">
        <f>IFERROR(__xludf.DUMMYFUNCTION("AVERAGE(ARRAYFORMULA(XLOOKUP(FILTER(INDIRECT(""'""&amp;DA$1&amp;""'!$C$4:$C$66""),INDIRECT(""'""&amp;DA$1&amp;""'!$D$4:$D$66"")=DA$2),$F$3:$BP$3,$F49:$BP49)))"),0.3589016266666667)</f>
        <v>0.3589016267</v>
      </c>
      <c r="DB49" s="207" t="str">
        <f>IFERROR(__xludf.DUMMYFUNCTION("IF(OR(DA49&gt;$BR49+$BS49*$BS$2,DA49&lt;$BR49-$BS49*$BS$2),AVEDEV(ARRAYFORMULA(XLOOKUP(FILTER(INDIRECT(""'""&amp;DA$1&amp;""'!$C$4:$C$66""),INDIRECT(""'""&amp;DA$1&amp;""'!$D$4:$D$66"")=DA$2),$F$3:$BP$3,$F49:$BP49))),"""")"),"")</f>
        <v/>
      </c>
      <c r="DC49" s="251">
        <f>IFERROR(__xludf.DUMMYFUNCTION("AVERAGE(ARRAYFORMULA(XLOOKUP(FILTER(INDIRECT(""'""&amp;DC$1&amp;""'!$C$4:$C$66""),INDIRECT(""'""&amp;DC$1&amp;""'!$D$4:$D$66"")=DC$2),$F$3:$BP$3,$F49:$BP49)))"),0.08011323666666664)</f>
        <v>0.08011323667</v>
      </c>
      <c r="DD49" s="207" t="str">
        <f>IFERROR(__xludf.DUMMYFUNCTION("IF(OR(DC49&gt;$BR49+$BS49*$BS$2,DC49&lt;$BR49-$BS49*$BS$2),AVEDEV(ARRAYFORMULA(XLOOKUP(FILTER(INDIRECT(""'""&amp;DC$1&amp;""'!$C$4:$C$66""),INDIRECT(""'""&amp;DC$1&amp;""'!$D$4:$D$66"")=DC$2),$F$3:$BP$3,$F49:$BP49))),"""")"),"")</f>
        <v/>
      </c>
      <c r="DE49" s="251">
        <f>IFERROR(__xludf.DUMMYFUNCTION("AVERAGE(ARRAYFORMULA(XLOOKUP(FILTER(INDIRECT(""'""&amp;DE$1&amp;""'!$C$4:$C$66""),INDIRECT(""'""&amp;DE$1&amp;""'!$D$4:$D$66"")=DE$2),$F$3:$BP$3,$F49:$BP49)))"),0.8153927787499999)</f>
        <v>0.8153927788</v>
      </c>
      <c r="DF49" s="207" t="str">
        <f>IFERROR(__xludf.DUMMYFUNCTION("IF(OR(DE49&gt;$BR49+$BS49*$BS$2,DE49&lt;$BR49-$BS49*$BS$2),AVEDEV(ARRAYFORMULA(XLOOKUP(FILTER(INDIRECT(""'""&amp;DE$1&amp;""'!$C$4:$C$66""),INDIRECT(""'""&amp;DE$1&amp;""'!$D$4:$D$66"")=DE$2),$F$3:$BP$3,$F49:$BP49))),"""")"),"")</f>
        <v/>
      </c>
      <c r="DG49" s="251">
        <f>IFERROR(__xludf.DUMMYFUNCTION("AVERAGE(ARRAYFORMULA(XLOOKUP(FILTER(INDIRECT(""'""&amp;DG$1&amp;""'!$C$4:$C$66""),INDIRECT(""'""&amp;DG$1&amp;""'!$D$4:$D$66"")=DG$2),$F$3:$BP$3,$F49:$BP49)))"),-0.3884218088888889)</f>
        <v>-0.3884218089</v>
      </c>
      <c r="DH49" s="207" t="str">
        <f>IFERROR(__xludf.DUMMYFUNCTION("IF(OR(DG49&gt;$BR49+$BS49*$BS$2,DG49&lt;$BR49-$BS49*$BS$2),AVEDEV(ARRAYFORMULA(XLOOKUP(FILTER(INDIRECT(""'""&amp;DG$1&amp;""'!$C$4:$C$66""),INDIRECT(""'""&amp;DG$1&amp;""'!$D$4:$D$66"")=DG$2),$F$3:$BP$3,$F49:$BP49))),"""")"),"")</f>
        <v/>
      </c>
      <c r="DI49" s="252"/>
    </row>
    <row r="50">
      <c r="A50" s="2"/>
      <c r="B50" s="204" t="s">
        <v>482</v>
      </c>
      <c r="C50" s="204" t="s">
        <v>491</v>
      </c>
      <c r="D50" s="205" t="b">
        <f>VLOOKUP(C50,'Feature Set List'!A47:C246,2,0)</f>
        <v>1</v>
      </c>
      <c r="E50" s="205" t="b">
        <f>VLOOKUP(C50,'Feature Set List'!A47:C246,3,0)</f>
        <v>1</v>
      </c>
      <c r="F50" s="205">
        <v>-0.4100355</v>
      </c>
      <c r="G50" s="205">
        <v>0.50413921</v>
      </c>
      <c r="H50" s="205">
        <v>0.39483021</v>
      </c>
      <c r="I50" s="205">
        <v>0.04696739</v>
      </c>
      <c r="J50" s="205">
        <v>2.34904545</v>
      </c>
      <c r="K50" s="205">
        <v>0.0993411</v>
      </c>
      <c r="L50" s="205">
        <v>-0.7962494</v>
      </c>
      <c r="M50" s="205">
        <v>0.12654165</v>
      </c>
      <c r="N50" s="205">
        <v>-1.0236526</v>
      </c>
      <c r="O50" s="205">
        <v>-0.2169285</v>
      </c>
      <c r="P50" s="205">
        <v>1.36746072</v>
      </c>
      <c r="Q50" s="205">
        <v>0.24548066</v>
      </c>
      <c r="R50" s="205">
        <v>-0.6019598</v>
      </c>
      <c r="S50" s="205">
        <v>0.53454976</v>
      </c>
      <c r="T50" s="205">
        <v>0.11691164</v>
      </c>
      <c r="U50" s="205">
        <v>0.86061835</v>
      </c>
      <c r="V50" s="205">
        <v>-0.3492144</v>
      </c>
      <c r="W50" s="205">
        <v>-0.871431</v>
      </c>
      <c r="X50" s="205">
        <v>-0.6639635</v>
      </c>
      <c r="Y50" s="205">
        <v>1.03294475</v>
      </c>
      <c r="Z50" s="205">
        <v>-0.7366109</v>
      </c>
      <c r="AA50" s="205">
        <v>-0.7788478</v>
      </c>
      <c r="AB50" s="205">
        <v>-0.2691333</v>
      </c>
      <c r="AC50" s="205">
        <v>0.49907079</v>
      </c>
      <c r="AD50" s="205">
        <v>1.62932928</v>
      </c>
      <c r="AE50" s="205">
        <v>0.72714986</v>
      </c>
      <c r="AF50" s="205">
        <v>0.11792533</v>
      </c>
      <c r="AG50" s="205">
        <v>-0.6729177</v>
      </c>
      <c r="AH50" s="205">
        <v>-0.3091738</v>
      </c>
      <c r="AI50" s="205">
        <v>-0.8045278</v>
      </c>
      <c r="AJ50" s="205">
        <v>-0.1353269</v>
      </c>
      <c r="AK50" s="205">
        <v>0.16117587</v>
      </c>
      <c r="AL50" s="205">
        <v>1.63270823</v>
      </c>
      <c r="AM50" s="205">
        <v>-0.6416624</v>
      </c>
      <c r="AN50" s="205">
        <v>1.01605001</v>
      </c>
      <c r="AO50" s="205">
        <v>-0.4075013</v>
      </c>
      <c r="AP50" s="205">
        <v>1.66311877</v>
      </c>
      <c r="AQ50" s="205">
        <v>-0.620713</v>
      </c>
      <c r="AR50" s="205">
        <v>0.38249704</v>
      </c>
      <c r="AS50" s="205">
        <v>0.3524244</v>
      </c>
      <c r="AT50" s="205">
        <v>-0.7499578</v>
      </c>
      <c r="AU50" s="205">
        <v>-0.7514783</v>
      </c>
      <c r="AV50" s="205">
        <v>0.26203751</v>
      </c>
      <c r="AW50" s="205">
        <v>0.15526271</v>
      </c>
      <c r="AX50" s="205">
        <v>-1.0718027</v>
      </c>
      <c r="AY50" s="205">
        <v>-0.4362223</v>
      </c>
      <c r="AZ50" s="205">
        <v>-0.5475587</v>
      </c>
      <c r="BA50" s="205">
        <v>-0.0466295</v>
      </c>
      <c r="BB50" s="205">
        <v>-0.0799121</v>
      </c>
      <c r="BC50" s="205">
        <v>0.3684744</v>
      </c>
      <c r="BD50" s="205">
        <v>-0.1557696</v>
      </c>
      <c r="BE50" s="205">
        <v>0.32961649</v>
      </c>
      <c r="BF50" s="205">
        <v>0.17671904</v>
      </c>
      <c r="BG50" s="205">
        <v>0.66970772</v>
      </c>
      <c r="BH50" s="205">
        <v>0.67984457</v>
      </c>
      <c r="BI50" s="205">
        <v>-0.3654334</v>
      </c>
      <c r="BJ50" s="205">
        <v>0.21557696</v>
      </c>
      <c r="BK50" s="205">
        <v>-0.3039365</v>
      </c>
      <c r="BL50" s="205">
        <v>-1.0155432</v>
      </c>
      <c r="BM50" s="205">
        <v>0.71870248</v>
      </c>
      <c r="BN50" s="205">
        <v>-0.7580672</v>
      </c>
      <c r="BO50" s="205">
        <v>0.0</v>
      </c>
      <c r="BP50" s="205">
        <v>-0.8291941</v>
      </c>
      <c r="BQ50" s="206"/>
      <c r="BR50" s="250">
        <f t="shared" si="1"/>
        <v>0.03198202143</v>
      </c>
      <c r="BS50" s="250">
        <f t="shared" si="2"/>
        <v>0.5855485615</v>
      </c>
      <c r="BT50" s="206"/>
      <c r="BU50" s="207">
        <f>IFERROR(__xludf.DUMMYFUNCTION("AVERAGE(ARRAYFORMULA(XLOOKUP(FILTER(INDIRECT(""'""&amp;BU$1&amp;""'!$C$4:$C$66""),INDIRECT(""'""&amp;BU$1&amp;""'!$D$4:$D$66"")=BU$2),$F$3:$BP$3,$F50:$BP50)))"),-0.18808680714285714)</f>
        <v>-0.1880868071</v>
      </c>
      <c r="BV50" s="207" t="str">
        <f>IFERROR(__xludf.DUMMYFUNCTION("IF(OR(BU50&gt;$BR50+$BS50*$BS$2,BU50&lt;$BR50-$BS50*$BS$2),AVEDEV(ARRAYFORMULA(XLOOKUP(FILTER(INDIRECT(""'""&amp;BU$1&amp;""'!$C$4:$C$66""),INDIRECT(""'""&amp;BU$1&amp;""'!$D$4:$D$66"")=BU$2),$F$3:$BP$3,$F50:$BP50))),"""")"),"")</f>
        <v/>
      </c>
      <c r="BW50" s="207">
        <f>IFERROR(__xludf.DUMMYFUNCTION("AVERAGE(ARRAYFORMULA(XLOOKUP(FILTER(INDIRECT(""'""&amp;BW$1&amp;""'!$C$4:$C$66""),INDIRECT(""'""&amp;BW$1&amp;""'!$D$4:$D$66"")=BW$2),$F$3:$BP$3,$F50:$BP50)))"),0.15220959452380955)</f>
        <v>0.1522095945</v>
      </c>
      <c r="BX50" s="207" t="str">
        <f>IFERROR(__xludf.DUMMYFUNCTION("IF(OR(BW50&gt;$BR50+$BS50*$BS$2,BW50&lt;$BR50-$BS50*$BS$2),AVEDEV(ARRAYFORMULA(XLOOKUP(FILTER(INDIRECT(""'""&amp;BW$1&amp;""'!$C$4:$C$66""),INDIRECT(""'""&amp;BW$1&amp;""'!$D$4:$D$66"")=BW$2),$F$3:$BP$3,$F50:$BP50))),"""")"),"")</f>
        <v/>
      </c>
      <c r="BY50" s="207">
        <f>IFERROR(__xludf.DUMMYFUNCTION("AVERAGE(ARRAYFORMULA(XLOOKUP(FILTER(INDIRECT(""'""&amp;BY$1&amp;""'!$C$4:$C$66""),INDIRECT(""'""&amp;BY$1&amp;""'!$D$4:$D$66"")=BY$2),$F$3:$BP$3,$F50:$BP50)))"),-0.2795158890909091)</f>
        <v>-0.2795158891</v>
      </c>
      <c r="BZ50" s="207" t="str">
        <f>IFERROR(__xludf.DUMMYFUNCTION("IF(OR(BY50&gt;$BR50+$BS50*$BS$2,BY50&lt;$BR50-$BS50*$BS$2),AVEDEV(ARRAYFORMULA(XLOOKUP(FILTER(INDIRECT(""'""&amp;BY$1&amp;""'!$C$4:$C$66""),INDIRECT(""'""&amp;BY$1&amp;""'!$D$4:$D$66"")=BY$2),$F$3:$BP$3,$F50:$BP50))),"""")"),"")</f>
        <v/>
      </c>
      <c r="CA50" s="209"/>
      <c r="CB50" s="207">
        <f>IFERROR(__xludf.DUMMYFUNCTION("AVERAGE(ARRAYFORMULA(XLOOKUP(FILTER(INDIRECT(""'""&amp;CB$1&amp;""'!$C$4:$C$66""),INDIRECT(""'""&amp;CB$1&amp;""'!$D$4:$D$66"")=CB$2),$F$3:$BP$3,$F50:$BP50)))"),0.46625274812500006)</f>
        <v>0.4662527481</v>
      </c>
      <c r="CC50" s="207" t="str">
        <f>IFERROR(__xludf.DUMMYFUNCTION("IF(OR(CB50&gt;$BR50+$BS50*$BS$2,CB50&lt;$BR50-$BS50*$BS$2),AVEDEV(ARRAYFORMULA(XLOOKUP(FILTER(INDIRECT(""'""&amp;CB$1&amp;""'!$C$4:$C$66""),INDIRECT(""'""&amp;CB$1&amp;""'!$D$4:$D$66"")=CB$2),$F$3:$BP$3,$F50:$BP50))),"""")"),"")</f>
        <v/>
      </c>
      <c r="CD50" s="207">
        <f>IFERROR(__xludf.DUMMYFUNCTION("AVERAGE(ARRAYFORMULA(XLOOKUP(FILTER(INDIRECT(""'""&amp;CD$1&amp;""'!$C$4:$C$66""),INDIRECT(""'""&amp;CD$1&amp;""'!$D$4:$D$66"")=CD$2),$F$3:$BP$3,$F50:$BP50)))"),-0.09610930290322577)</f>
        <v>-0.0961093029</v>
      </c>
      <c r="CE50" s="207" t="str">
        <f>IFERROR(__xludf.DUMMYFUNCTION("IF(OR(CD50&gt;$BR50+$BS50*$BS$2,CD50&lt;$BR50-$BS50*$BS$2),AVEDEV(ARRAYFORMULA(XLOOKUP(FILTER(INDIRECT(""'""&amp;CD$1&amp;""'!$C$4:$C$66""),INDIRECT(""'""&amp;CD$1&amp;""'!$D$4:$D$66"")=CD$2),$F$3:$BP$3,$F50:$BP50))),"""")"),"")</f>
        <v/>
      </c>
      <c r="CF50" s="207">
        <f>IFERROR(__xludf.DUMMYFUNCTION("AVERAGE(ARRAYFORMULA(XLOOKUP(FILTER(INDIRECT(""'""&amp;CF$1&amp;""'!$C$4:$C$66""),INDIRECT(""'""&amp;CF$1&amp;""'!$D$4:$D$66"")=CF$2),$F$3:$BP$3,$F50:$BP50)))"),0.06585572800000002)</f>
        <v>0.065855728</v>
      </c>
      <c r="CG50" s="207" t="str">
        <f>IFERROR(__xludf.DUMMYFUNCTION("IF(OR(CF50&gt;$BR50+$BS50*$BS$2,CF50&lt;$BR50-$BS50*$BS$2),AVEDEV(ARRAYFORMULA(XLOOKUP(FILTER(INDIRECT(""'""&amp;CF$1&amp;""'!$C$4:$C$66""),INDIRECT(""'""&amp;CF$1&amp;""'!$D$4:$D$66"")=CF$2),$F$3:$BP$3,$F50:$BP50))),"""")"),"")</f>
        <v/>
      </c>
      <c r="CH50" s="206"/>
      <c r="CI50" s="251">
        <f>IFERROR(__xludf.DUMMYFUNCTION("AVERAGE(ARRAYFORMULA(XLOOKUP(FILTER(INDIRECT(""'""&amp;CI$1&amp;""'!$C$4:$C$66""),INDIRECT(""'""&amp;CI$1&amp;""'!$D$4:$D$66"")=CI$2),$F$3:$BP$3,$F50:$BP50)))"),-0.27691614866666664)</f>
        <v>-0.2769161487</v>
      </c>
      <c r="CJ50" s="207" t="str">
        <f>IFERROR(__xludf.DUMMYFUNCTION("IF(OR(CI50&gt;$BR50+$BS50*$BS$2,CI50&lt;$BR50-$BS50*$BS$2),AVEDEV(ARRAYFORMULA(XLOOKUP(FILTER(INDIRECT(""'""&amp;CI$1&amp;""'!$C$4:$C$66""),INDIRECT(""'""&amp;CI$1&amp;""'!$D$4:$D$66"")=CI$2),$F$3:$BP$3,$F50:$BP50))),"""")"),"")</f>
        <v/>
      </c>
      <c r="CK50" s="251">
        <f>IFERROR(__xludf.DUMMYFUNCTION("AVERAGE(ARRAYFORMULA(XLOOKUP(FILTER(INDIRECT(""'""&amp;CK$1&amp;""'!$C$4:$C$66""),INDIRECT(""'""&amp;CK$1&amp;""'!$D$4:$D$66"")=CK$2),$F$3:$BP$3,$F50:$BP50)))"),0.15717745205128208)</f>
        <v>0.1571774521</v>
      </c>
      <c r="CL50" s="207" t="str">
        <f>IFERROR(__xludf.DUMMYFUNCTION("IF(OR(CK50&gt;$BR50+$BS50*$BS$2,CK50&lt;$BR50-$BS50*$BS$2),AVEDEV(ARRAYFORMULA(XLOOKUP(FILTER(INDIRECT(""'""&amp;CK$1&amp;""'!$C$4:$C$66""),INDIRECT(""'""&amp;CK$1&amp;""'!$D$4:$D$66"")=CK$2),$F$3:$BP$3,$F50:$BP50))),"""")"),"")</f>
        <v/>
      </c>
      <c r="CM50" s="251">
        <f>IFERROR(__xludf.DUMMYFUNCTION("AVERAGE(ARRAYFORMULA(XLOOKUP(FILTER(INDIRECT(""'""&amp;CM$1&amp;""'!$C$4:$C$66""),INDIRECT(""'""&amp;CM$1&amp;""'!$D$4:$D$66"")=CM$2),$F$3:$BP$3,$F50:$BP50)))"),0.06585572800000002)</f>
        <v>0.065855728</v>
      </c>
      <c r="CN50" s="207" t="str">
        <f>IFERROR(__xludf.DUMMYFUNCTION("IF(OR(CM50&gt;$BR50+$BS50*$BS$2,CM50&lt;$BR50-$BS50*$BS$2),AVEDEV(ARRAYFORMULA(XLOOKUP(FILTER(INDIRECT(""'""&amp;CM$1&amp;""'!$C$4:$C$66""),INDIRECT(""'""&amp;CM$1&amp;""'!$D$4:$D$66"")=CM$2),$F$3:$BP$3,$F50:$BP50))),"""")"),"")</f>
        <v/>
      </c>
      <c r="CO50" s="252"/>
      <c r="CP50" s="251">
        <f>IFERROR(__xludf.DUMMYFUNCTION("AVERAGE(ARRAYFORMULA(XLOOKUP(FILTER(INDIRECT(""'""&amp;CP$1&amp;""'!$C$4:$C$66""),INDIRECT(""'""&amp;CP$1&amp;""'!$D$4:$D$66"")=CP$2),$F$3:$BP$3,$F50:$BP50)))"),0.361788915)</f>
        <v>0.361788915</v>
      </c>
      <c r="CQ50" s="207" t="str">
        <f>IFERROR(__xludf.DUMMYFUNCTION("IF(OR(CP50&gt;$BR50+$BS50*$BS$2,CP50&lt;$BR50-$BS50*$BS$2),AVEDEV(ARRAYFORMULA(XLOOKUP(FILTER(INDIRECT(""'""&amp;CP$1&amp;""'!$C$4:$C$66""),INDIRECT(""'""&amp;CP$1&amp;""'!$D$4:$D$66"")=CP$2),$F$3:$BP$3,$F50:$BP50))),"""")"),"")</f>
        <v/>
      </c>
      <c r="CR50" s="251">
        <f>IFERROR(__xludf.DUMMYFUNCTION("AVERAGE(ARRAYFORMULA(XLOOKUP(FILTER(INDIRECT(""'""&amp;CR$1&amp;""'!$C$4:$C$66""),INDIRECT(""'""&amp;CR$1&amp;""'!$D$4:$D$66"")=CR$2),$F$3:$BP$3,$F50:$BP50)))"),-0.18032325333333332)</f>
        <v>-0.1803232533</v>
      </c>
      <c r="CS50" s="207" t="str">
        <f>IFERROR(__xludf.DUMMYFUNCTION("IF(OR(CR50&gt;$BR50+$BS50*$BS$2,CR50&lt;$BR50-$BS50*$BS$2),AVEDEV(ARRAYFORMULA(XLOOKUP(FILTER(INDIRECT(""'""&amp;CR$1&amp;""'!$C$4:$C$66""),INDIRECT(""'""&amp;CR$1&amp;""'!$D$4:$D$66"")=CR$2),$F$3:$BP$3,$F50:$BP50))),"""")"),"")</f>
        <v/>
      </c>
      <c r="CT50" s="251">
        <f>IFERROR(__xludf.DUMMYFUNCTION("AVERAGE(ARRAYFORMULA(XLOOKUP(FILTER(INDIRECT(""'""&amp;CT$1&amp;""'!$C$4:$C$66""),INDIRECT(""'""&amp;CT$1&amp;""'!$D$4:$D$66"")=CT$2),$F$3:$BP$3,$F50:$BP50)))"),-0.2584896027272727)</f>
        <v>-0.2584896027</v>
      </c>
      <c r="CU50" s="207" t="str">
        <f>IFERROR(__xludf.DUMMYFUNCTION("IF(OR(CT50&gt;$BR50+$BS50*$BS$2,CT50&lt;$BR50-$BS50*$BS$2),AVEDEV(ARRAYFORMULA(XLOOKUP(FILTER(INDIRECT(""'""&amp;CT$1&amp;""'!$C$4:$C$66""),INDIRECT(""'""&amp;CT$1&amp;""'!$D$4:$D$66"")=CT$2),$F$3:$BP$3,$F50:$BP50))),"""")"),"")</f>
        <v/>
      </c>
      <c r="CV50" s="251">
        <f>IFERROR(__xludf.DUMMYFUNCTION("AVERAGE(ARRAYFORMULA(XLOOKUP(FILTER(INDIRECT(""'""&amp;CV$1&amp;""'!$C$4:$C$66""),INDIRECT(""'""&amp;CV$1&amp;""'!$D$4:$D$66"")=CV$2),$F$3:$BP$3,$F50:$BP50)))"),0.584389255)</f>
        <v>0.584389255</v>
      </c>
      <c r="CW50" s="207" t="str">
        <f>IFERROR(__xludf.DUMMYFUNCTION("IF(OR(CV50&gt;$BR50+$BS50*$BS$2,CV50&lt;$BR50-$BS50*$BS$2),AVEDEV(ARRAYFORMULA(XLOOKUP(FILTER(INDIRECT(""'""&amp;CV$1&amp;""'!$C$4:$C$66""),INDIRECT(""'""&amp;CV$1&amp;""'!$D$4:$D$66"")=CV$2),$F$3:$BP$3,$F50:$BP50))),"""")"),"")</f>
        <v/>
      </c>
      <c r="CX50" s="251">
        <f>IFERROR(__xludf.DUMMYFUNCTION("AVERAGE(ARRAYFORMULA(XLOOKUP(FILTER(INDIRECT(""'""&amp;CX$1&amp;""'!$C$4:$C$66""),INDIRECT(""'""&amp;CX$1&amp;""'!$D$4:$D$66"")=CX$2),$F$3:$BP$3,$F50:$BP50)))"),-0.011814250714285704)</f>
        <v>-0.01181425071</v>
      </c>
      <c r="CY50" s="207" t="str">
        <f>IFERROR(__xludf.DUMMYFUNCTION("IF(OR(CX50&gt;$BR50+$BS50*$BS$2,CX50&lt;$BR50-$BS50*$BS$2),AVEDEV(ARRAYFORMULA(XLOOKUP(FILTER(INDIRECT(""'""&amp;CX$1&amp;""'!$C$4:$C$66""),INDIRECT(""'""&amp;CX$1&amp;""'!$D$4:$D$66"")=CX$2),$F$3:$BP$3,$F50:$BP50))),"""")"),"")</f>
        <v/>
      </c>
      <c r="CZ50" s="252"/>
      <c r="DA50" s="251">
        <f>IFERROR(__xludf.DUMMYFUNCTION("AVERAGE(ARRAYFORMULA(XLOOKUP(FILTER(INDIRECT(""'""&amp;DA$1&amp;""'!$C$4:$C$66""),INDIRECT(""'""&amp;DA$1&amp;""'!$D$4:$D$66"")=DA$2),$F$3:$BP$3,$F50:$BP50)))"),0.23590696800000005)</f>
        <v>0.235906968</v>
      </c>
      <c r="DB50" s="207" t="str">
        <f>IFERROR(__xludf.DUMMYFUNCTION("IF(OR(DA50&gt;$BR50+$BS50*$BS$2,DA50&lt;$BR50-$BS50*$BS$2),AVEDEV(ARRAYFORMULA(XLOOKUP(FILTER(INDIRECT(""'""&amp;DA$1&amp;""'!$C$4:$C$66""),INDIRECT(""'""&amp;DA$1&amp;""'!$D$4:$D$66"")=DA$2),$F$3:$BP$3,$F50:$BP50))),"""")"),"")</f>
        <v/>
      </c>
      <c r="DC50" s="251">
        <f>IFERROR(__xludf.DUMMYFUNCTION("AVERAGE(ARRAYFORMULA(XLOOKUP(FILTER(INDIRECT(""'""&amp;DC$1&amp;""'!$C$4:$C$66""),INDIRECT(""'""&amp;DC$1&amp;""'!$D$4:$D$66"")=DC$2),$F$3:$BP$3,$F50:$BP50)))"),-0.3836796822222222)</f>
        <v>-0.3836796822</v>
      </c>
      <c r="DD50" s="207" t="str">
        <f>IFERROR(__xludf.DUMMYFUNCTION("IF(OR(DC50&gt;$BR50+$BS50*$BS$2,DC50&lt;$BR50-$BS50*$BS$2),AVEDEV(ARRAYFORMULA(XLOOKUP(FILTER(INDIRECT(""'""&amp;DC$1&amp;""'!$C$4:$C$66""),INDIRECT(""'""&amp;DC$1&amp;""'!$D$4:$D$66"")=DC$2),$F$3:$BP$3,$F50:$BP50))),"""")"),"")</f>
        <v/>
      </c>
      <c r="DE50" s="251">
        <f>IFERROR(__xludf.DUMMYFUNCTION("AVERAGE(ARRAYFORMULA(XLOOKUP(FILTER(INDIRECT(""'""&amp;DE$1&amp;""'!$C$4:$C$66""),INDIRECT(""'""&amp;DE$1&amp;""'!$D$4:$D$66"")=DE$2),$F$3:$BP$3,$F50:$BP50)))"),-0.539047975)</f>
        <v>-0.539047975</v>
      </c>
      <c r="DF50" s="207" t="str">
        <f>IFERROR(__xludf.DUMMYFUNCTION("IF(OR(DE50&gt;$BR50+$BS50*$BS$2,DE50&lt;$BR50-$BS50*$BS$2),AVEDEV(ARRAYFORMULA(XLOOKUP(FILTER(INDIRECT(""'""&amp;DE$1&amp;""'!$C$4:$C$66""),INDIRECT(""'""&amp;DE$1&amp;""'!$D$4:$D$66"")=DE$2),$F$3:$BP$3,$F50:$BP50))),"""")"),"")</f>
        <v/>
      </c>
      <c r="DG50" s="251">
        <f>IFERROR(__xludf.DUMMYFUNCTION("AVERAGE(ARRAYFORMULA(XLOOKUP(FILTER(INDIRECT(""'""&amp;DG$1&amp;""'!$C$4:$C$66""),INDIRECT(""'""&amp;DG$1&amp;""'!$D$4:$D$66"")=DG$2),$F$3:$BP$3,$F50:$BP50)))"),0.38553810333333327)</f>
        <v>0.3855381033</v>
      </c>
      <c r="DH50" s="207" t="str">
        <f>IFERROR(__xludf.DUMMYFUNCTION("IF(OR(DG50&gt;$BR50+$BS50*$BS$2,DG50&lt;$BR50-$BS50*$BS$2),AVEDEV(ARRAYFORMULA(XLOOKUP(FILTER(INDIRECT(""'""&amp;DG$1&amp;""'!$C$4:$C$66""),INDIRECT(""'""&amp;DG$1&amp;""'!$D$4:$D$66"")=DG$2),$F$3:$BP$3,$F50:$BP50))),"""")"),"")</f>
        <v/>
      </c>
      <c r="DI50" s="252"/>
    </row>
    <row r="51">
      <c r="A51" s="2"/>
      <c r="B51" s="204" t="s">
        <v>482</v>
      </c>
      <c r="C51" s="204" t="s">
        <v>492</v>
      </c>
      <c r="D51" s="205" t="b">
        <f>VLOOKUP(C51,'Feature Set List'!A48:C246,2,0)</f>
        <v>1</v>
      </c>
      <c r="E51" s="205" t="b">
        <f>VLOOKUP(C51,'Feature Set List'!A48:C246,3,0)</f>
        <v>1</v>
      </c>
      <c r="F51" s="205">
        <v>0.51554404</v>
      </c>
      <c r="G51" s="205">
        <v>0.64162349</v>
      </c>
      <c r="H51" s="205">
        <v>0.10276339</v>
      </c>
      <c r="I51" s="205">
        <v>-0.2504318</v>
      </c>
      <c r="J51" s="205">
        <v>3.00777202</v>
      </c>
      <c r="K51" s="205">
        <v>-0.2469775</v>
      </c>
      <c r="L51" s="205">
        <v>-1.052677</v>
      </c>
      <c r="M51" s="205">
        <v>-0.2962003</v>
      </c>
      <c r="N51" s="205">
        <v>-1.182038</v>
      </c>
      <c r="O51" s="205">
        <v>-0.4602763</v>
      </c>
      <c r="P51" s="205">
        <v>0.4507772</v>
      </c>
      <c r="Q51" s="205">
        <v>-0.552677</v>
      </c>
      <c r="R51" s="205">
        <v>-0.4974093</v>
      </c>
      <c r="S51" s="205">
        <v>0.16234888</v>
      </c>
      <c r="T51" s="205">
        <v>1.18998273</v>
      </c>
      <c r="U51" s="205">
        <v>0.35405872</v>
      </c>
      <c r="V51" s="205">
        <v>-0.8048359</v>
      </c>
      <c r="W51" s="205">
        <v>-1.2417098</v>
      </c>
      <c r="X51" s="205">
        <v>-0.3290155</v>
      </c>
      <c r="Y51" s="205">
        <v>0.29533679</v>
      </c>
      <c r="Z51" s="205">
        <v>-0.119171</v>
      </c>
      <c r="AA51" s="205">
        <v>-1.1018998</v>
      </c>
      <c r="AB51" s="205">
        <v>-0.619171</v>
      </c>
      <c r="AC51" s="205">
        <v>1.4015544</v>
      </c>
      <c r="AD51" s="205">
        <v>0.99050086</v>
      </c>
      <c r="AE51" s="205">
        <v>0.3791019</v>
      </c>
      <c r="AF51" s="205">
        <v>-0.9188256</v>
      </c>
      <c r="AG51" s="205">
        <v>-0.9041451</v>
      </c>
      <c r="AH51" s="205">
        <v>-0.4231434</v>
      </c>
      <c r="AI51" s="205">
        <v>-1.4104491</v>
      </c>
      <c r="AJ51" s="205">
        <v>0.0</v>
      </c>
      <c r="AK51" s="205">
        <v>-0.3411054</v>
      </c>
      <c r="AL51" s="205">
        <v>2.05440415</v>
      </c>
      <c r="AM51" s="205">
        <v>-0.7020725</v>
      </c>
      <c r="AN51" s="205">
        <v>0.07944732</v>
      </c>
      <c r="AO51" s="205">
        <v>-0.2037997</v>
      </c>
      <c r="AP51" s="205">
        <v>0.51468048</v>
      </c>
      <c r="AQ51" s="205">
        <v>-0.6476684</v>
      </c>
      <c r="AR51" s="205">
        <v>0.13212435</v>
      </c>
      <c r="AS51" s="205">
        <v>0.12176166</v>
      </c>
      <c r="AT51" s="205">
        <v>-0.7322971</v>
      </c>
      <c r="AU51" s="205">
        <v>-0.9058722</v>
      </c>
      <c r="AV51" s="205">
        <v>0.01468048</v>
      </c>
      <c r="AW51" s="205">
        <v>0.14766839</v>
      </c>
      <c r="AX51" s="205">
        <v>-1.4978411</v>
      </c>
      <c r="AY51" s="205">
        <v>-0.4611399</v>
      </c>
      <c r="AZ51" s="205">
        <v>-0.6614853</v>
      </c>
      <c r="BA51" s="205">
        <v>0.52072539</v>
      </c>
      <c r="BB51" s="205">
        <v>-0.2858377</v>
      </c>
      <c r="BC51" s="205">
        <v>0.88773748</v>
      </c>
      <c r="BD51" s="205">
        <v>-0.8618307</v>
      </c>
      <c r="BE51" s="205">
        <v>0.92314335</v>
      </c>
      <c r="BF51" s="205">
        <v>0.07772021</v>
      </c>
      <c r="BG51" s="205">
        <v>1.64594128</v>
      </c>
      <c r="BH51" s="205">
        <v>0.72366149</v>
      </c>
      <c r="BI51" s="205">
        <v>-0.3151986</v>
      </c>
      <c r="BJ51" s="205">
        <v>0.05872193</v>
      </c>
      <c r="BK51" s="205">
        <v>0.25647668</v>
      </c>
      <c r="BL51" s="205">
        <v>0.13298791</v>
      </c>
      <c r="BM51" s="205">
        <v>0.63989637</v>
      </c>
      <c r="BN51" s="205">
        <v>0.11830743</v>
      </c>
      <c r="BO51" s="205">
        <v>0.15803109</v>
      </c>
      <c r="BP51" s="205">
        <v>-1.1850604</v>
      </c>
      <c r="BQ51" s="206"/>
      <c r="BR51" s="250">
        <f t="shared" si="1"/>
        <v>-0.0398854054</v>
      </c>
      <c r="BS51" s="250">
        <f t="shared" si="2"/>
        <v>0.6341528518</v>
      </c>
      <c r="BT51" s="206"/>
      <c r="BU51" s="207">
        <f>IFERROR(__xludf.DUMMYFUNCTION("AVERAGE(ARRAYFORMULA(XLOOKUP(FILTER(INDIRECT(""'""&amp;BU$1&amp;""'!$C$4:$C$66""),INDIRECT(""'""&amp;BU$1&amp;""'!$D$4:$D$66"")=BU$2),$F$3:$BP$3,$F51:$BP51)))"),-0.22210706857142856)</f>
        <v>-0.2221070686</v>
      </c>
      <c r="BV51" s="207" t="str">
        <f>IFERROR(__xludf.DUMMYFUNCTION("IF(OR(BU51&gt;$BR51+$BS51*$BS$2,BU51&lt;$BR51-$BS51*$BS$2),AVEDEV(ARRAYFORMULA(XLOOKUP(FILTER(INDIRECT(""'""&amp;BU$1&amp;""'!$C$4:$C$66""),INDIRECT(""'""&amp;BU$1&amp;""'!$D$4:$D$66"")=BU$2),$F$3:$BP$3,$F51:$BP51))),"""")"),"")</f>
        <v/>
      </c>
      <c r="BW51" s="207">
        <f>IFERROR(__xludf.DUMMYFUNCTION("AVERAGE(ARRAYFORMULA(XLOOKUP(FILTER(INDIRECT(""'""&amp;BW$1&amp;""'!$C$4:$C$66""),INDIRECT(""'""&amp;BW$1&amp;""'!$D$4:$D$66"")=BW$2),$F$3:$BP$3,$F51:$BP51)))"),0.03833785333333334)</f>
        <v>0.03833785333</v>
      </c>
      <c r="BX51" s="207" t="str">
        <f>IFERROR(__xludf.DUMMYFUNCTION("IF(OR(BW51&gt;$BR51+$BS51*$BS$2,BW51&lt;$BR51-$BS51*$BS$2),AVEDEV(ARRAYFORMULA(XLOOKUP(FILTER(INDIRECT(""'""&amp;BW$1&amp;""'!$C$4:$C$66""),INDIRECT(""'""&amp;BW$1&amp;""'!$D$4:$D$66"")=BW$2),$F$3:$BP$3,$F51:$BP51))),"""")"),"")</f>
        <v/>
      </c>
      <c r="BY51" s="207">
        <f>IFERROR(__xludf.DUMMYFUNCTION("AVERAGE(ARRAYFORMULA(XLOOKUP(FILTER(INDIRECT(""'""&amp;BY$1&amp;""'!$C$4:$C$66""),INDIRECT(""'""&amp;BY$1&amp;""'!$D$4:$D$66"")=BY$2),$F$3:$BP$3,$F51:$BP51)))"),-0.2569476972727273)</f>
        <v>-0.2569476973</v>
      </c>
      <c r="BZ51" s="207" t="str">
        <f>IFERROR(__xludf.DUMMYFUNCTION("IF(OR(BY51&gt;$BR51+$BS51*$BS$2,BY51&lt;$BR51-$BS51*$BS$2),AVEDEV(ARRAYFORMULA(XLOOKUP(FILTER(INDIRECT(""'""&amp;BY$1&amp;""'!$C$4:$C$66""),INDIRECT(""'""&amp;BY$1&amp;""'!$D$4:$D$66"")=BY$2),$F$3:$BP$3,$F51:$BP51))),"""")"),"")</f>
        <v/>
      </c>
      <c r="CA51" s="209"/>
      <c r="CB51" s="207">
        <f>IFERROR(__xludf.DUMMYFUNCTION("AVERAGE(ARRAYFORMULA(XLOOKUP(FILTER(INDIRECT(""'""&amp;CB$1&amp;""'!$C$4:$C$66""),INDIRECT(""'""&amp;CB$1&amp;""'!$D$4:$D$66"")=CB$2),$F$3:$BP$3,$F51:$BP51)))"),0.38665802375)</f>
        <v>0.3866580238</v>
      </c>
      <c r="CC51" s="207" t="str">
        <f>IFERROR(__xludf.DUMMYFUNCTION("IF(OR(CB51&gt;$BR51+$BS51*$BS$2,CB51&lt;$BR51-$BS51*$BS$2),AVEDEV(ARRAYFORMULA(XLOOKUP(FILTER(INDIRECT(""'""&amp;CB$1&amp;""'!$C$4:$C$66""),INDIRECT(""'""&amp;CB$1&amp;""'!$D$4:$D$66"")=CB$2),$F$3:$BP$3,$F51:$BP51))),"""")"),"")</f>
        <v/>
      </c>
      <c r="CD51" s="207">
        <f>IFERROR(__xludf.DUMMYFUNCTION("AVERAGE(ARRAYFORMULA(XLOOKUP(FILTER(INDIRECT(""'""&amp;CD$1&amp;""'!$C$4:$C$66""),INDIRECT(""'""&amp;CD$1&amp;""'!$D$4:$D$66"")=CD$2),$F$3:$BP$3,$F51:$BP51)))"),-0.24416122903225815)</f>
        <v>-0.244161229</v>
      </c>
      <c r="CE51" s="207" t="str">
        <f>IFERROR(__xludf.DUMMYFUNCTION("IF(OR(CD51&gt;$BR51+$BS51*$BS$2,CD51&lt;$BR51-$BS51*$BS$2),AVEDEV(ARRAYFORMULA(XLOOKUP(FILTER(INDIRECT(""'""&amp;CD$1&amp;""'!$C$4:$C$66""),INDIRECT(""'""&amp;CD$1&amp;""'!$D$4:$D$66"")=CD$2),$F$3:$BP$3,$F51:$BP51))),"""")"),"")</f>
        <v/>
      </c>
      <c r="CF51" s="207">
        <f>IFERROR(__xludf.DUMMYFUNCTION("AVERAGE(ARRAYFORMULA(XLOOKUP(FILTER(INDIRECT(""'""&amp;CF$1&amp;""'!$C$4:$C$66""),INDIRECT(""'""&amp;CF$1&amp;""'!$D$4:$D$66"")=CF$2),$F$3:$BP$3,$F51:$BP51)))"),-0.14991363200000002)</f>
        <v>-0.149913632</v>
      </c>
      <c r="CG51" s="207" t="str">
        <f>IFERROR(__xludf.DUMMYFUNCTION("IF(OR(CF51&gt;$BR51+$BS51*$BS$2,CF51&lt;$BR51-$BS51*$BS$2),AVEDEV(ARRAYFORMULA(XLOOKUP(FILTER(INDIRECT(""'""&amp;CF$1&amp;""'!$C$4:$C$66""),INDIRECT(""'""&amp;CF$1&amp;""'!$D$4:$D$66"")=CF$2),$F$3:$BP$3,$F51:$BP51))),"""")"),"")</f>
        <v/>
      </c>
      <c r="CH51" s="206"/>
      <c r="CI51" s="251">
        <f>IFERROR(__xludf.DUMMYFUNCTION("AVERAGE(ARRAYFORMULA(XLOOKUP(FILTER(INDIRECT(""'""&amp;CI$1&amp;""'!$C$4:$C$66""),INDIRECT(""'""&amp;CI$1&amp;""'!$D$4:$D$66"")=CI$2),$F$3:$BP$3,$F51:$BP51)))"),-0.12555554533333332)</f>
        <v>-0.1255555453</v>
      </c>
      <c r="CJ51" s="207" t="str">
        <f>IFERROR(__xludf.DUMMYFUNCTION("IF(OR(CI51&gt;$BR51+$BS51*$BS$2,CI51&lt;$BR51-$BS51*$BS$2),AVEDEV(ARRAYFORMULA(XLOOKUP(FILTER(INDIRECT(""'""&amp;CI$1&amp;""'!$C$4:$C$66""),INDIRECT(""'""&amp;CI$1&amp;""'!$D$4:$D$66"")=CI$2),$F$3:$BP$3,$F51:$BP51))),"""")"),"")</f>
        <v/>
      </c>
      <c r="CK51" s="251">
        <f>IFERROR(__xludf.DUMMYFUNCTION("AVERAGE(ARRAYFORMULA(XLOOKUP(FILTER(INDIRECT(""'""&amp;CK$1&amp;""'!$C$4:$C$66""),INDIRECT(""'""&amp;CK$1&amp;""'!$D$4:$D$66"")=CK$2),$F$3:$BP$3,$F51:$BP51)))"),-0.010116914102564113)</f>
        <v>-0.0101169141</v>
      </c>
      <c r="CL51" s="207" t="str">
        <f>IFERROR(__xludf.DUMMYFUNCTION("IF(OR(CK51&gt;$BR51+$BS51*$BS$2,CK51&lt;$BR51-$BS51*$BS$2),AVEDEV(ARRAYFORMULA(XLOOKUP(FILTER(INDIRECT(""'""&amp;CK$1&amp;""'!$C$4:$C$66""),INDIRECT(""'""&amp;CK$1&amp;""'!$D$4:$D$66"")=CK$2),$F$3:$BP$3,$F51:$BP51))),"""")"),"")</f>
        <v/>
      </c>
      <c r="CM51" s="251">
        <f>IFERROR(__xludf.DUMMYFUNCTION("AVERAGE(ARRAYFORMULA(XLOOKUP(FILTER(INDIRECT(""'""&amp;CM$1&amp;""'!$C$4:$C$66""),INDIRECT(""'""&amp;CM$1&amp;""'!$D$4:$D$66"")=CM$2),$F$3:$BP$3,$F51:$BP51)))"),-0.14991363200000002)</f>
        <v>-0.149913632</v>
      </c>
      <c r="CN51" s="207" t="str">
        <f>IFERROR(__xludf.DUMMYFUNCTION("IF(OR(CM51&gt;$BR51+$BS51*$BS$2,CM51&lt;$BR51-$BS51*$BS$2),AVEDEV(ARRAYFORMULA(XLOOKUP(FILTER(INDIRECT(""'""&amp;CM$1&amp;""'!$C$4:$C$66""),INDIRECT(""'""&amp;CM$1&amp;""'!$D$4:$D$66"")=CM$2),$F$3:$BP$3,$F51:$BP51))),"""")"),"")</f>
        <v/>
      </c>
      <c r="CO51" s="252"/>
      <c r="CP51" s="251">
        <f>IFERROR(__xludf.DUMMYFUNCTION("AVERAGE(ARRAYFORMULA(XLOOKUP(FILTER(INDIRECT(""'""&amp;CP$1&amp;""'!$C$4:$C$66""),INDIRECT(""'""&amp;CP$1&amp;""'!$D$4:$D$66"")=CP$2),$F$3:$BP$3,$F51:$BP51)))"),0.07599307928571429)</f>
        <v>0.07599307929</v>
      </c>
      <c r="CQ51" s="207" t="str">
        <f>IFERROR(__xludf.DUMMYFUNCTION("IF(OR(CP51&gt;$BR51+$BS51*$BS$2,CP51&lt;$BR51-$BS51*$BS$2),AVEDEV(ARRAYFORMULA(XLOOKUP(FILTER(INDIRECT(""'""&amp;CP$1&amp;""'!$C$4:$C$66""),INDIRECT(""'""&amp;CP$1&amp;""'!$D$4:$D$66"")=CP$2),$F$3:$BP$3,$F51:$BP51))),"""")"),"")</f>
        <v/>
      </c>
      <c r="CR51" s="251">
        <f>IFERROR(__xludf.DUMMYFUNCTION("AVERAGE(ARRAYFORMULA(XLOOKUP(FILTER(INDIRECT(""'""&amp;CR$1&amp;""'!$C$4:$C$66""),INDIRECT(""'""&amp;CR$1&amp;""'!$D$4:$D$66"")=CR$2),$F$3:$BP$3,$F51:$BP51)))"),-0.27758585333333335)</f>
        <v>-0.2775858533</v>
      </c>
      <c r="CS51" s="207" t="str">
        <f>IFERROR(__xludf.DUMMYFUNCTION("IF(OR(CR51&gt;$BR51+$BS51*$BS$2,CR51&lt;$BR51-$BS51*$BS$2),AVEDEV(ARRAYFORMULA(XLOOKUP(FILTER(INDIRECT(""'""&amp;CR$1&amp;""'!$C$4:$C$66""),INDIRECT(""'""&amp;CR$1&amp;""'!$D$4:$D$66"")=CR$2),$F$3:$BP$3,$F51:$BP51))),"""")"),"")</f>
        <v/>
      </c>
      <c r="CT51" s="251">
        <f>IFERROR(__xludf.DUMMYFUNCTION("AVERAGE(ARRAYFORMULA(XLOOKUP(FILTER(INDIRECT(""'""&amp;CT$1&amp;""'!$C$4:$C$66""),INDIRECT(""'""&amp;CT$1&amp;""'!$D$4:$D$66"")=CT$2),$F$3:$BP$3,$F51:$BP51)))"),-0.2033286227272728)</f>
        <v>-0.2033286227</v>
      </c>
      <c r="CU51" s="207" t="str">
        <f>IFERROR(__xludf.DUMMYFUNCTION("IF(OR(CT51&gt;$BR51+$BS51*$BS$2,CT51&lt;$BR51-$BS51*$BS$2),AVEDEV(ARRAYFORMULA(XLOOKUP(FILTER(INDIRECT(""'""&amp;CT$1&amp;""'!$C$4:$C$66""),INDIRECT(""'""&amp;CT$1&amp;""'!$D$4:$D$66"")=CT$2),$F$3:$BP$3,$F51:$BP51))),"""")"),"")</f>
        <v/>
      </c>
      <c r="CV51" s="251">
        <f>IFERROR(__xludf.DUMMYFUNCTION("AVERAGE(ARRAYFORMULA(XLOOKUP(FILTER(INDIRECT(""'""&amp;CV$1&amp;""'!$C$4:$C$66""),INDIRECT(""'""&amp;CV$1&amp;""'!$D$4:$D$66"")=CV$2),$F$3:$BP$3,$F51:$BP51)))"),1.52374784)</f>
        <v>1.52374784</v>
      </c>
      <c r="CW51" s="207">
        <f>IFERROR(__xludf.DUMMYFUNCTION("IF(OR(CV51&gt;$BR51+$BS51*$BS$2,CV51&lt;$BR51-$BS51*$BS$2),AVEDEV(ARRAYFORMULA(XLOOKUP(FILTER(INDIRECT(""'""&amp;CV$1&amp;""'!$C$4:$C$66""),INDIRECT(""'""&amp;CV$1&amp;""'!$D$4:$D$66"")=CV$2),$F$3:$BP$3,$F51:$BP51))),"""")"),0.12219343999999999)</f>
        <v>0.12219344</v>
      </c>
      <c r="CX51" s="251">
        <f>IFERROR(__xludf.DUMMYFUNCTION("AVERAGE(ARRAYFORMULA(XLOOKUP(FILTER(INDIRECT(""'""&amp;CX$1&amp;""'!$C$4:$C$66""),INDIRECT(""'""&amp;CX$1&amp;""'!$D$4:$D$66"")=CX$2),$F$3:$BP$3,$F51:$BP51)))"),-0.276116455)</f>
        <v>-0.276116455</v>
      </c>
      <c r="CY51" s="207" t="str">
        <f>IFERROR(__xludf.DUMMYFUNCTION("IF(OR(CX51&gt;$BR51+$BS51*$BS$2,CX51&lt;$BR51-$BS51*$BS$2),AVEDEV(ARRAYFORMULA(XLOOKUP(FILTER(INDIRECT(""'""&amp;CX$1&amp;""'!$C$4:$C$66""),INDIRECT(""'""&amp;CX$1&amp;""'!$D$4:$D$66"")=CX$2),$F$3:$BP$3,$F51:$BP51))),"""")"),"")</f>
        <v/>
      </c>
      <c r="CZ51" s="252"/>
      <c r="DA51" s="251">
        <f>IFERROR(__xludf.DUMMYFUNCTION("AVERAGE(ARRAYFORMULA(XLOOKUP(FILTER(INDIRECT(""'""&amp;DA$1&amp;""'!$C$4:$C$66""),INDIRECT(""'""&amp;DA$1&amp;""'!$D$4:$D$66"")=DA$2),$F$3:$BP$3,$F51:$BP51)))"),0.019248702333333357)</f>
        <v>0.01924870233</v>
      </c>
      <c r="DB51" s="207" t="str">
        <f>IFERROR(__xludf.DUMMYFUNCTION("IF(OR(DA51&gt;$BR51+$BS51*$BS$2,DA51&lt;$BR51-$BS51*$BS$2),AVEDEV(ARRAYFORMULA(XLOOKUP(FILTER(INDIRECT(""'""&amp;DA$1&amp;""'!$C$4:$C$66""),INDIRECT(""'""&amp;DA$1&amp;""'!$D$4:$D$66"")=DA$2),$F$3:$BP$3,$F51:$BP51))),"""")"),"")</f>
        <v/>
      </c>
      <c r="DC51" s="251">
        <f>IFERROR(__xludf.DUMMYFUNCTION("AVERAGE(ARRAYFORMULA(XLOOKUP(FILTER(INDIRECT(""'""&amp;DC$1&amp;""'!$C$4:$C$66""),INDIRECT(""'""&amp;DC$1&amp;""'!$D$4:$D$66"")=DC$2),$F$3:$BP$3,$F51:$BP51)))"),-0.3690270411111112)</f>
        <v>-0.3690270411</v>
      </c>
      <c r="DD51" s="207" t="str">
        <f>IFERROR(__xludf.DUMMYFUNCTION("IF(OR(DC51&gt;$BR51+$BS51*$BS$2,DC51&lt;$BR51-$BS51*$BS$2),AVEDEV(ARRAYFORMULA(XLOOKUP(FILTER(INDIRECT(""'""&amp;DC$1&amp;""'!$C$4:$C$66""),INDIRECT(""'""&amp;DC$1&amp;""'!$D$4:$D$66"")=DC$2),$F$3:$BP$3,$F51:$BP51))),"""")"),"")</f>
        <v/>
      </c>
      <c r="DE51" s="251">
        <f>IFERROR(__xludf.DUMMYFUNCTION("AVERAGE(ARRAYFORMULA(XLOOKUP(FILTER(INDIRECT(""'""&amp;DE$1&amp;""'!$C$4:$C$66""),INDIRECT(""'""&amp;DE$1&amp;""'!$D$4:$D$66"")=DE$2),$F$3:$BP$3,$F51:$BP51)))"),-0.56634283375)</f>
        <v>-0.5663428338</v>
      </c>
      <c r="DF51" s="207" t="str">
        <f>IFERROR(__xludf.DUMMYFUNCTION("IF(OR(DE51&gt;$BR51+$BS51*$BS$2,DE51&lt;$BR51-$BS51*$BS$2),AVEDEV(ARRAYFORMULA(XLOOKUP(FILTER(INDIRECT(""'""&amp;DE$1&amp;""'!$C$4:$C$66""),INDIRECT(""'""&amp;DE$1&amp;""'!$D$4:$D$66"")=DE$2),$F$3:$BP$3,$F51:$BP51))),"""")"),"")</f>
        <v/>
      </c>
      <c r="DG51" s="251">
        <f>IFERROR(__xludf.DUMMYFUNCTION("AVERAGE(ARRAYFORMULA(XLOOKUP(FILTER(INDIRECT(""'""&amp;DG$1&amp;""'!$C$4:$C$66""),INDIRECT(""'""&amp;DG$1&amp;""'!$D$4:$D$66"")=DG$2),$F$3:$BP$3,$F51:$BP51)))"),0.6729994288888889)</f>
        <v>0.6729994289</v>
      </c>
      <c r="DH51" s="207">
        <f>IFERROR(__xludf.DUMMYFUNCTION("IF(OR(DG51&gt;$BR51+$BS51*$BS$2,DG51&lt;$BR51-$BS51*$BS$2),AVEDEV(ARRAYFORMULA(XLOOKUP(FILTER(INDIRECT(""'""&amp;DG$1&amp;""'!$C$4:$C$66""),INDIRECT(""'""&amp;DG$1&amp;""'!$D$4:$D$66"")=DG$2),$F$3:$BP$3,$F51:$BP51))),"""")"),0.6850892318518519)</f>
        <v>0.6850892319</v>
      </c>
      <c r="DI51" s="252"/>
    </row>
    <row r="52">
      <c r="A52" s="2"/>
      <c r="B52" s="204" t="s">
        <v>482</v>
      </c>
      <c r="C52" s="204" t="s">
        <v>493</v>
      </c>
      <c r="D52" s="205" t="b">
        <f>VLOOKUP(C52,'Feature Set List'!A49:C246,2,0)</f>
        <v>1</v>
      </c>
      <c r="E52" s="205" t="b">
        <f>VLOOKUP(C52,'Feature Set List'!A49:C246,3,0)</f>
        <v>1</v>
      </c>
      <c r="F52" s="205">
        <v>0.26633137</v>
      </c>
      <c r="G52" s="205">
        <v>0.01485969</v>
      </c>
      <c r="H52" s="205">
        <v>0.19317597</v>
      </c>
      <c r="I52" s="205">
        <v>0.46750872</v>
      </c>
      <c r="J52" s="205">
        <v>-0.6804595</v>
      </c>
      <c r="K52" s="205">
        <v>0.22975367</v>
      </c>
      <c r="L52" s="205">
        <v>0.52351832</v>
      </c>
      <c r="M52" s="205">
        <v>-0.0777276</v>
      </c>
      <c r="N52" s="205">
        <v>-0.0560096</v>
      </c>
      <c r="O52" s="205">
        <v>-0.1840315</v>
      </c>
      <c r="P52" s="205">
        <v>0.09030119</v>
      </c>
      <c r="Q52" s="205">
        <v>-0.1303081</v>
      </c>
      <c r="R52" s="205">
        <v>-0.2766188</v>
      </c>
      <c r="S52" s="205">
        <v>0.14973996</v>
      </c>
      <c r="T52" s="205">
        <v>-0.7720181</v>
      </c>
      <c r="U52" s="205">
        <v>-0.0045722</v>
      </c>
      <c r="V52" s="205">
        <v>0.07086929</v>
      </c>
      <c r="W52" s="205">
        <v>-0.7204664</v>
      </c>
      <c r="X52" s="205">
        <v>1.80259473</v>
      </c>
      <c r="Y52" s="205">
        <v>-0.761502</v>
      </c>
      <c r="Z52" s="205">
        <v>0.51551695</v>
      </c>
      <c r="AA52" s="205">
        <v>-0.779105</v>
      </c>
      <c r="AB52" s="205">
        <v>-0.2731897</v>
      </c>
      <c r="AC52" s="205">
        <v>-0.7900783</v>
      </c>
      <c r="AD52" s="205">
        <v>-0.7025204</v>
      </c>
      <c r="AE52" s="205">
        <v>0.18174544</v>
      </c>
      <c r="AF52" s="205">
        <v>1.67457278</v>
      </c>
      <c r="AG52" s="205">
        <v>-0.6949763</v>
      </c>
      <c r="AH52" s="205">
        <v>0.41149911</v>
      </c>
      <c r="AI52" s="205">
        <v>0.70526376</v>
      </c>
      <c r="AJ52" s="205">
        <v>0.42750186</v>
      </c>
      <c r="AK52" s="205">
        <v>0.93273133</v>
      </c>
      <c r="AL52" s="205">
        <v>0.0</v>
      </c>
      <c r="AM52" s="205">
        <v>0.17717323</v>
      </c>
      <c r="AN52" s="205">
        <v>1.13390867</v>
      </c>
      <c r="AO52" s="205">
        <v>1.01274504</v>
      </c>
      <c r="AP52" s="205">
        <v>-0.1806024</v>
      </c>
      <c r="AQ52" s="205">
        <v>-0.0342916</v>
      </c>
      <c r="AR52" s="205">
        <v>0.06401097</v>
      </c>
      <c r="AS52" s="205">
        <v>-0.2514717</v>
      </c>
      <c r="AT52" s="205">
        <v>-0.5276333</v>
      </c>
      <c r="AU52" s="205">
        <v>-1.1368806</v>
      </c>
      <c r="AV52" s="205">
        <v>1.09961708</v>
      </c>
      <c r="AW52" s="205">
        <v>-0.0480082</v>
      </c>
      <c r="AX52" s="205">
        <v>-1.2479854</v>
      </c>
      <c r="AY52" s="205">
        <v>-0.856604</v>
      </c>
      <c r="AZ52" s="205">
        <v>0.53837801</v>
      </c>
      <c r="BA52" s="205">
        <v>-0.0068583</v>
      </c>
      <c r="BB52" s="205">
        <v>-0.6459393</v>
      </c>
      <c r="BC52" s="205">
        <v>0.15202606</v>
      </c>
      <c r="BD52" s="205">
        <v>-1.1029319</v>
      </c>
      <c r="BE52" s="205">
        <v>0.20346345</v>
      </c>
      <c r="BF52" s="205">
        <v>0.8504315</v>
      </c>
      <c r="BG52" s="205">
        <v>-0.7800194</v>
      </c>
      <c r="BH52" s="205">
        <v>-0.7736183</v>
      </c>
      <c r="BI52" s="205">
        <v>-0.5052295</v>
      </c>
      <c r="BJ52" s="205">
        <v>0.41492827</v>
      </c>
      <c r="BK52" s="205">
        <v>-1.1567697</v>
      </c>
      <c r="BL52" s="205">
        <v>0.10058867</v>
      </c>
      <c r="BM52" s="205">
        <v>-0.1234497</v>
      </c>
      <c r="BN52" s="205">
        <v>2.63588044</v>
      </c>
      <c r="BO52" s="205">
        <v>0.32577013</v>
      </c>
      <c r="BP52" s="205">
        <v>0.77384695</v>
      </c>
      <c r="BQ52" s="206"/>
      <c r="BR52" s="250">
        <f t="shared" si="1"/>
        <v>0.02949802873</v>
      </c>
      <c r="BS52" s="250">
        <f t="shared" si="2"/>
        <v>0.5473159384</v>
      </c>
      <c r="BT52" s="206"/>
      <c r="BU52" s="207">
        <f>IFERROR(__xludf.DUMMYFUNCTION("AVERAGE(ARRAYFORMULA(XLOOKUP(FILTER(INDIRECT(""'""&amp;BU$1&amp;""'!$C$4:$C$66""),INDIRECT(""'""&amp;BU$1&amp;""'!$D$4:$D$66"")=BU$2),$F$3:$BP$3,$F52:$BP52)))"),-0.5533030185714286)</f>
        <v>-0.5533030186</v>
      </c>
      <c r="BV52" s="207">
        <f>IFERROR(__xludf.DUMMYFUNCTION("IF(OR(BU52&gt;$BR52+$BS52*$BS$2,BU52&lt;$BR52-$BS52*$BS$2),AVEDEV(ARRAYFORMULA(XLOOKUP(FILTER(INDIRECT(""'""&amp;BU$1&amp;""'!$C$4:$C$66""),INDIRECT(""'""&amp;BU$1&amp;""'!$D$4:$D$66"")=BU$2),$F$3:$BP$3,$F52:$BP52))),"""")"),0.6381875448979591)</f>
        <v>0.6381875449</v>
      </c>
      <c r="BW52" s="207">
        <f>IFERROR(__xludf.DUMMYFUNCTION("AVERAGE(ARRAYFORMULA(XLOOKUP(FILTER(INDIRECT(""'""&amp;BW$1&amp;""'!$C$4:$C$66""),INDIRECT(""'""&amp;BW$1&amp;""'!$D$4:$D$66"")=BW$2),$F$3:$BP$3,$F52:$BP52)))"),0.07359629166666667)</f>
        <v>0.07359629167</v>
      </c>
      <c r="BX52" s="207" t="str">
        <f>IFERROR(__xludf.DUMMYFUNCTION("IF(OR(BW52&gt;$BR52+$BS52*$BS$2,BW52&lt;$BR52-$BS52*$BS$2),AVEDEV(ARRAYFORMULA(XLOOKUP(FILTER(INDIRECT(""'""&amp;BW$1&amp;""'!$C$4:$C$66""),INDIRECT(""'""&amp;BW$1&amp;""'!$D$4:$D$66"")=BW$2),$F$3:$BP$3,$F52:$BP52))),"""")"),"")</f>
        <v/>
      </c>
      <c r="BY52" s="207">
        <f>IFERROR(__xludf.DUMMYFUNCTION("AVERAGE(ARRAYFORMULA(XLOOKUP(FILTER(INDIRECT(""'""&amp;BY$1&amp;""'!$C$4:$C$66""),INDIRECT(""'""&amp;BY$1&amp;""'!$D$4:$D$66"")=BY$2),$F$3:$BP$3,$F52:$BP52)))"),0.2566258145454545)</f>
        <v>0.2566258145</v>
      </c>
      <c r="BZ52" s="207" t="str">
        <f>IFERROR(__xludf.DUMMYFUNCTION("IF(OR(BY52&gt;$BR52+$BS52*$BS$2,BY52&lt;$BR52-$BS52*$BS$2),AVEDEV(ARRAYFORMULA(XLOOKUP(FILTER(INDIRECT(""'""&amp;BY$1&amp;""'!$C$4:$C$66""),INDIRECT(""'""&amp;BY$1&amp;""'!$D$4:$D$66"")=BY$2),$F$3:$BP$3,$F52:$BP52))),"""")"),"")</f>
        <v/>
      </c>
      <c r="CA52" s="209"/>
      <c r="CB52" s="207">
        <f>IFERROR(__xludf.DUMMYFUNCTION("AVERAGE(ARRAYFORMULA(XLOOKUP(FILTER(INDIRECT(""'""&amp;CB$1&amp;""'!$C$4:$C$66""),INDIRECT(""'""&amp;CB$1&amp;""'!$D$4:$D$66"")=CB$2),$F$3:$BP$3,$F52:$BP52)))"),0.16472109562500004)</f>
        <v>0.1647210956</v>
      </c>
      <c r="CC52" s="207" t="str">
        <f>IFERROR(__xludf.DUMMYFUNCTION("IF(OR(CB52&gt;$BR52+$BS52*$BS$2,CB52&lt;$BR52-$BS52*$BS$2),AVEDEV(ARRAYFORMULA(XLOOKUP(FILTER(INDIRECT(""'""&amp;CB$1&amp;""'!$C$4:$C$66""),INDIRECT(""'""&amp;CB$1&amp;""'!$D$4:$D$66"")=CB$2),$F$3:$BP$3,$F52:$BP52))),"""")"),"")</f>
        <v/>
      </c>
      <c r="CD52" s="207">
        <f>IFERROR(__xludf.DUMMYFUNCTION("AVERAGE(ARRAYFORMULA(XLOOKUP(FILTER(INDIRECT(""'""&amp;CD$1&amp;""'!$C$4:$C$66""),INDIRECT(""'""&amp;CD$1&amp;""'!$D$4:$D$66"")=CD$2),$F$3:$BP$3,$F52:$BP52)))"),-0.1351752464516129)</f>
        <v>-0.1351752465</v>
      </c>
      <c r="CE52" s="207" t="str">
        <f>IFERROR(__xludf.DUMMYFUNCTION("IF(OR(CD52&gt;$BR52+$BS52*$BS$2,CD52&lt;$BR52-$BS52*$BS$2),AVEDEV(ARRAYFORMULA(XLOOKUP(FILTER(INDIRECT(""'""&amp;CD$1&amp;""'!$C$4:$C$66""),INDIRECT(""'""&amp;CD$1&amp;""'!$D$4:$D$66"")=CD$2),$F$3:$BP$3,$F52:$BP52))),"""")"),"")</f>
        <v/>
      </c>
      <c r="CF52" s="207">
        <f>IFERROR(__xludf.DUMMYFUNCTION("AVERAGE(ARRAYFORMULA(XLOOKUP(FILTER(INDIRECT(""'""&amp;CF$1&amp;""'!$C$4:$C$66""),INDIRECT(""'""&amp;CF$1&amp;""'!$D$4:$D$66"")=CF$2),$F$3:$BP$3,$F52:$BP52)))"),0.28370578799999996)</f>
        <v>0.283705788</v>
      </c>
      <c r="CG52" s="207" t="str">
        <f>IFERROR(__xludf.DUMMYFUNCTION("IF(OR(CF52&gt;$BR52+$BS52*$BS$2,CF52&lt;$BR52-$BS52*$BS$2),AVEDEV(ARRAYFORMULA(XLOOKUP(FILTER(INDIRECT(""'""&amp;CF$1&amp;""'!$C$4:$C$66""),INDIRECT(""'""&amp;CF$1&amp;""'!$D$4:$D$66"")=CF$2),$F$3:$BP$3,$F52:$BP52))),"""")"),"")</f>
        <v/>
      </c>
      <c r="CH52" s="206"/>
      <c r="CI52" s="251">
        <f>IFERROR(__xludf.DUMMYFUNCTION("AVERAGE(ARRAYFORMULA(XLOOKUP(FILTER(INDIRECT(""'""&amp;CI$1&amp;""'!$C$4:$C$66""),INDIRECT(""'""&amp;CI$1&amp;""'!$D$4:$D$66"")=CI$2),$F$3:$BP$3,$F52:$BP52)))"),-0.004023549333333332)</f>
        <v>-0.004023549333</v>
      </c>
      <c r="CJ52" s="207" t="str">
        <f>IFERROR(__xludf.DUMMYFUNCTION("IF(OR(CI52&gt;$BR52+$BS52*$BS$2,CI52&lt;$BR52-$BS52*$BS$2),AVEDEV(ARRAYFORMULA(XLOOKUP(FILTER(INDIRECT(""'""&amp;CI$1&amp;""'!$C$4:$C$66""),INDIRECT(""'""&amp;CI$1&amp;""'!$D$4:$D$66"")=CI$2),$F$3:$BP$3,$F52:$BP52))),"""")"),"")</f>
        <v/>
      </c>
      <c r="CK52" s="251">
        <f>IFERROR(__xludf.DUMMYFUNCTION("AVERAGE(ARRAYFORMULA(XLOOKUP(FILTER(INDIRECT(""'""&amp;CK$1&amp;""'!$C$4:$C$66""),INDIRECT(""'""&amp;CK$1&amp;""'!$D$4:$D$66"")=CK$2),$F$3:$BP$3,$F52:$BP52)))"),0.04716413025641023)</f>
        <v>0.04716413026</v>
      </c>
      <c r="CL52" s="207" t="str">
        <f>IFERROR(__xludf.DUMMYFUNCTION("IF(OR(CK52&gt;$BR52+$BS52*$BS$2,CK52&lt;$BR52-$BS52*$BS$2),AVEDEV(ARRAYFORMULA(XLOOKUP(FILTER(INDIRECT(""'""&amp;CK$1&amp;""'!$C$4:$C$66""),INDIRECT(""'""&amp;CK$1&amp;""'!$D$4:$D$66"")=CK$2),$F$3:$BP$3,$F52:$BP52))),"""")"),"")</f>
        <v/>
      </c>
      <c r="CM52" s="253">
        <f>IFERROR(__xludf.DUMMYFUNCTION("AVERAGE(ARRAYFORMULA(XLOOKUP(FILTER(INDIRECT(""'""&amp;CM$1&amp;""'!$C$4:$C$66""),INDIRECT(""'""&amp;CM$1&amp;""'!$D$4:$D$66"")=CM$2),$F$3:$BP$3,$F52:$BP52)))"),0.28370578799999996)</f>
        <v>0.283705788</v>
      </c>
      <c r="CN52" s="207" t="str">
        <f>IFERROR(__xludf.DUMMYFUNCTION("IF(OR(CM52&gt;$BR52+$BS52*$BS$2,CM52&lt;$BR52-$BS52*$BS$2),AVEDEV(ARRAYFORMULA(XLOOKUP(FILTER(INDIRECT(""'""&amp;CM$1&amp;""'!$C$4:$C$66""),INDIRECT(""'""&amp;CM$1&amp;""'!$D$4:$D$66"")=CM$2),$F$3:$BP$3,$F52:$BP52))),"""")"),"")</f>
        <v/>
      </c>
      <c r="CO52" s="252"/>
      <c r="CP52" s="251">
        <f>IFERROR(__xludf.DUMMYFUNCTION("AVERAGE(ARRAYFORMULA(XLOOKUP(FILTER(INDIRECT(""'""&amp;CP$1&amp;""'!$C$4:$C$66""),INDIRECT(""'""&amp;CP$1&amp;""'!$D$4:$D$66"")=CP$2),$F$3:$BP$3,$F52:$BP52)))"),0.4067146235714286)</f>
        <v>0.4067146236</v>
      </c>
      <c r="CQ52" s="207" t="str">
        <f>IFERROR(__xludf.DUMMYFUNCTION("IF(OR(CP52&gt;$BR52+$BS52*$BS$2,CP52&lt;$BR52-$BS52*$BS$2),AVEDEV(ARRAYFORMULA(XLOOKUP(FILTER(INDIRECT(""'""&amp;CP$1&amp;""'!$C$4:$C$66""),INDIRECT(""'""&amp;CP$1&amp;""'!$D$4:$D$66"")=CP$2),$F$3:$BP$3,$F52:$BP52))),"""")"),"")</f>
        <v/>
      </c>
      <c r="CR52" s="251">
        <f>IFERROR(__xludf.DUMMYFUNCTION("AVERAGE(ARRAYFORMULA(XLOOKUP(FILTER(INDIRECT(""'""&amp;CR$1&amp;""'!$C$4:$C$66""),INDIRECT(""'""&amp;CR$1&amp;""'!$D$4:$D$66"")=CR$2),$F$3:$BP$3,$F52:$BP52)))"),0.3976554766666667)</f>
        <v>0.3976554767</v>
      </c>
      <c r="CS52" s="207" t="str">
        <f>IFERROR(__xludf.DUMMYFUNCTION("IF(OR(CR52&gt;$BR52+$BS52*$BS$2,CR52&lt;$BR52-$BS52*$BS$2),AVEDEV(ARRAYFORMULA(XLOOKUP(FILTER(INDIRECT(""'""&amp;CR$1&amp;""'!$C$4:$C$66""),INDIRECT(""'""&amp;CR$1&amp;""'!$D$4:$D$66"")=CR$2),$F$3:$BP$3,$F52:$BP52))),"""")"),"")</f>
        <v/>
      </c>
      <c r="CT52" s="251">
        <f>IFERROR(__xludf.DUMMYFUNCTION("AVERAGE(ARRAYFORMULA(XLOOKUP(FILTER(INDIRECT(""'""&amp;CT$1&amp;""'!$C$4:$C$66""),INDIRECT(""'""&amp;CT$1&amp;""'!$D$4:$D$66"")=CT$2),$F$3:$BP$3,$F52:$BP52)))"),-0.024274291818181828)</f>
        <v>-0.02427429182</v>
      </c>
      <c r="CU52" s="207" t="str">
        <f>IFERROR(__xludf.DUMMYFUNCTION("IF(OR(CT52&gt;$BR52+$BS52*$BS$2,CT52&lt;$BR52-$BS52*$BS$2),AVEDEV(ARRAYFORMULA(XLOOKUP(FILTER(INDIRECT(""'""&amp;CT$1&amp;""'!$C$4:$C$66""),INDIRECT(""'""&amp;CT$1&amp;""'!$D$4:$D$66"")=CT$2),$F$3:$BP$3,$F52:$BP52))),"""")"),"")</f>
        <v/>
      </c>
      <c r="CV52" s="251">
        <f>IFERROR(__xludf.DUMMYFUNCTION("AVERAGE(ARRAYFORMULA(XLOOKUP(FILTER(INDIRECT(""'""&amp;CV$1&amp;""'!$C$4:$C$66""),INDIRECT(""'""&amp;CV$1&amp;""'!$D$4:$D$66"")=CV$2),$F$3:$BP$3,$F52:$BP52)))"),-0.78504885)</f>
        <v>-0.78504885</v>
      </c>
      <c r="CW52" s="207">
        <f>IFERROR(__xludf.DUMMYFUNCTION("IF(OR(CV52&gt;$BR52+$BS52*$BS$2,CV52&lt;$BR52-$BS52*$BS$2),AVEDEV(ARRAYFORMULA(XLOOKUP(FILTER(INDIRECT(""'""&amp;CV$1&amp;""'!$C$4:$C$66""),INDIRECT(""'""&amp;CV$1&amp;""'!$D$4:$D$66"")=CV$2),$F$3:$BP$3,$F52:$BP52))),"""")"),0.005029449999999991)</f>
        <v>0.00502945</v>
      </c>
      <c r="CX52" s="253">
        <f>IFERROR(__xludf.DUMMYFUNCTION("AVERAGE(ARRAYFORMULA(XLOOKUP(FILTER(INDIRECT(""'""&amp;CX$1&amp;""'!$C$4:$C$66""),INDIRECT(""'""&amp;CX$1&amp;""'!$D$4:$D$66"")=CX$2),$F$3:$BP$3,$F52:$BP52)))"),-0.07185721714285717)</f>
        <v>-0.07185721714</v>
      </c>
      <c r="CY52" s="207" t="str">
        <f>IFERROR(__xludf.DUMMYFUNCTION("IF(OR(CX52&gt;$BR52+$BS52*$BS$2,CX52&lt;$BR52-$BS52*$BS$2),AVEDEV(ARRAYFORMULA(XLOOKUP(FILTER(INDIRECT(""'""&amp;CX$1&amp;""'!$C$4:$C$66""),INDIRECT(""'""&amp;CX$1&amp;""'!$D$4:$D$66"")=CX$2),$F$3:$BP$3,$F52:$BP52))),"""")"),"")</f>
        <v/>
      </c>
      <c r="CZ52" s="252"/>
      <c r="DA52" s="251">
        <f>IFERROR(__xludf.DUMMYFUNCTION("AVERAGE(ARRAYFORMULA(XLOOKUP(FILTER(INDIRECT(""'""&amp;DA$1&amp;""'!$C$4:$C$66""),INDIRECT(""'""&amp;DA$1&amp;""'!$D$4:$D$66"")=DA$2),$F$3:$BP$3,$F52:$BP52)))"),0.009620698333333347)</f>
        <v>0.009620698333</v>
      </c>
      <c r="DB52" s="207" t="str">
        <f>IFERROR(__xludf.DUMMYFUNCTION("IF(OR(DA52&gt;$BR52+$BS52*$BS$2,DA52&lt;$BR52-$BS52*$BS$2),AVEDEV(ARRAYFORMULA(XLOOKUP(FILTER(INDIRECT(""'""&amp;DA$1&amp;""'!$C$4:$C$66""),INDIRECT(""'""&amp;DA$1&amp;""'!$D$4:$D$66"")=DA$2),$F$3:$BP$3,$F52:$BP52))),"""")"),"")</f>
        <v/>
      </c>
      <c r="DC52" s="251">
        <f>IFERROR(__xludf.DUMMYFUNCTION("AVERAGE(ARRAYFORMULA(XLOOKUP(FILTER(INDIRECT(""'""&amp;DC$1&amp;""'!$C$4:$C$66""),INDIRECT(""'""&amp;DC$1&amp;""'!$D$4:$D$66"")=DC$2),$F$3:$BP$3,$F52:$BP52)))"),0.06202968777777781)</f>
        <v>0.06202968778</v>
      </c>
      <c r="DD52" s="207" t="str">
        <f>IFERROR(__xludf.DUMMYFUNCTION("IF(OR(DC52&gt;$BR52+$BS52*$BS$2,DC52&lt;$BR52-$BS52*$BS$2),AVEDEV(ARRAYFORMULA(XLOOKUP(FILTER(INDIRECT(""'""&amp;DC$1&amp;""'!$C$4:$C$66""),INDIRECT(""'""&amp;DC$1&amp;""'!$D$4:$D$66"")=DC$2),$F$3:$BP$3,$F52:$BP52))),"""")"),"")</f>
        <v/>
      </c>
      <c r="DE52" s="251">
        <f>IFERROR(__xludf.DUMMYFUNCTION("AVERAGE(ARRAYFORMULA(XLOOKUP(FILTER(INDIRECT(""'""&amp;DE$1&amp;""'!$C$4:$C$66""),INDIRECT(""'""&amp;DE$1&amp;""'!$D$4:$D$66"")=DE$2),$F$3:$BP$3,$F52:$BP52)))"),-0.26484541124999994)</f>
        <v>-0.2648454113</v>
      </c>
      <c r="DF52" s="207" t="str">
        <f>IFERROR(__xludf.DUMMYFUNCTION("IF(OR(DE52&gt;$BR52+$BS52*$BS$2,DE52&lt;$BR52-$BS52*$BS$2),AVEDEV(ARRAYFORMULA(XLOOKUP(FILTER(INDIRECT(""'""&amp;DE$1&amp;""'!$C$4:$C$66""),INDIRECT(""'""&amp;DE$1&amp;""'!$D$4:$D$66"")=DE$2),$F$3:$BP$3,$F52:$BP52))),"""")"),"")</f>
        <v/>
      </c>
      <c r="DG52" s="251">
        <f>IFERROR(__xludf.DUMMYFUNCTION("AVERAGE(ARRAYFORMULA(XLOOKUP(FILTER(INDIRECT(""'""&amp;DG$1&amp;""'!$C$4:$C$66""),INDIRECT(""'""&amp;DG$1&amp;""'!$D$4:$D$66"")=DG$2),$F$3:$BP$3,$F52:$BP52)))"),0.4544779177777778)</f>
        <v>0.4544779178</v>
      </c>
      <c r="DH52" s="207" t="str">
        <f>IFERROR(__xludf.DUMMYFUNCTION("IF(OR(DG52&gt;$BR52+$BS52*$BS$2,DG52&lt;$BR52-$BS52*$BS$2),AVEDEV(ARRAYFORMULA(XLOOKUP(FILTER(INDIRECT(""'""&amp;DG$1&amp;""'!$C$4:$C$66""),INDIRECT(""'""&amp;DG$1&amp;""'!$D$4:$D$66"")=DG$2),$F$3:$BP$3,$F52:$BP52))),"""")"),"")</f>
        <v/>
      </c>
      <c r="DI52" s="252"/>
    </row>
    <row r="53">
      <c r="A53" s="2"/>
      <c r="B53" s="204" t="s">
        <v>482</v>
      </c>
      <c r="C53" s="204" t="s">
        <v>494</v>
      </c>
      <c r="D53" s="205" t="b">
        <f>VLOOKUP(C53,'Feature Set List'!A50:C246,2,0)</f>
        <v>1</v>
      </c>
      <c r="E53" s="205" t="b">
        <f>VLOOKUP(C53,'Feature Set List'!A50:C246,3,0)</f>
        <v>1</v>
      </c>
      <c r="F53" s="205">
        <v>0.64708025</v>
      </c>
      <c r="G53" s="205">
        <v>-0.6902999</v>
      </c>
      <c r="H53" s="205">
        <v>-0.3914046</v>
      </c>
      <c r="I53" s="205">
        <v>-0.6390676</v>
      </c>
      <c r="J53" s="205">
        <v>0.1561248</v>
      </c>
      <c r="K53" s="205">
        <v>0.3969892</v>
      </c>
      <c r="L53" s="205">
        <v>2.00922666</v>
      </c>
      <c r="M53" s="205">
        <v>0.97244142</v>
      </c>
      <c r="N53" s="205">
        <v>1.35850431</v>
      </c>
      <c r="O53" s="205">
        <v>-0.8313706</v>
      </c>
      <c r="P53" s="205">
        <v>1.85383028</v>
      </c>
      <c r="Q53" s="205">
        <v>1.18853952</v>
      </c>
      <c r="R53" s="205">
        <v>0.47954352</v>
      </c>
      <c r="S53" s="205">
        <v>0.0</v>
      </c>
      <c r="T53" s="205">
        <v>-0.1575816</v>
      </c>
      <c r="U53" s="205">
        <v>-0.3052082</v>
      </c>
      <c r="V53" s="205">
        <v>1.06470802</v>
      </c>
      <c r="W53" s="205">
        <v>-1.1176399</v>
      </c>
      <c r="X53" s="205">
        <v>2.06992837</v>
      </c>
      <c r="Y53" s="205">
        <v>-0.3583829</v>
      </c>
      <c r="Z53" s="205">
        <v>0.59123467</v>
      </c>
      <c r="AA53" s="205">
        <v>0.17797742</v>
      </c>
      <c r="AB53" s="205">
        <v>0.55481365</v>
      </c>
      <c r="AC53" s="205">
        <v>-0.2415928</v>
      </c>
      <c r="AD53" s="205">
        <v>-1.1865971</v>
      </c>
      <c r="AE53" s="205">
        <v>0.18283356</v>
      </c>
      <c r="AF53" s="205">
        <v>0.39213306</v>
      </c>
      <c r="AG53" s="205">
        <v>1.9218162</v>
      </c>
      <c r="AH53" s="205">
        <v>0.05268909</v>
      </c>
      <c r="AI53" s="205">
        <v>0.50382421</v>
      </c>
      <c r="AJ53" s="205">
        <v>0.91902392</v>
      </c>
      <c r="AK53" s="205">
        <v>0.85589414</v>
      </c>
      <c r="AL53" s="205">
        <v>-0.1978876</v>
      </c>
      <c r="AM53" s="205">
        <v>-0.0949375</v>
      </c>
      <c r="AN53" s="205">
        <v>-0.0895957</v>
      </c>
      <c r="AO53" s="205">
        <v>1.2978026</v>
      </c>
      <c r="AP53" s="205">
        <v>-0.505281</v>
      </c>
      <c r="AQ53" s="205">
        <v>-0.0162681</v>
      </c>
      <c r="AR53" s="205">
        <v>-0.5285905</v>
      </c>
      <c r="AS53" s="205">
        <v>-0.2384363</v>
      </c>
      <c r="AT53" s="205">
        <v>3.0071628</v>
      </c>
      <c r="AU53" s="205">
        <v>-0.6303266</v>
      </c>
      <c r="AV53" s="205">
        <v>2.21075634</v>
      </c>
      <c r="AW53" s="205">
        <v>0.74420299</v>
      </c>
      <c r="AX53" s="205">
        <v>-2.0285541</v>
      </c>
      <c r="AY53" s="205">
        <v>-0.1743353</v>
      </c>
      <c r="AZ53" s="205">
        <v>0.32657521</v>
      </c>
      <c r="BA53" s="205">
        <v>0.21488406</v>
      </c>
      <c r="BB53" s="205">
        <v>0.35085589</v>
      </c>
      <c r="BC53" s="205">
        <v>-0.3940755</v>
      </c>
      <c r="BD53" s="205">
        <v>-1.937113</v>
      </c>
      <c r="BE53" s="205">
        <v>-0.0725992</v>
      </c>
      <c r="BF53" s="205">
        <v>0.21488406</v>
      </c>
      <c r="BG53" s="205">
        <v>-0.3518271</v>
      </c>
      <c r="BH53" s="205">
        <v>-0.504067</v>
      </c>
      <c r="BI53" s="205">
        <v>-0.3537696</v>
      </c>
      <c r="BJ53" s="205">
        <v>0.35328396</v>
      </c>
      <c r="BK53" s="205">
        <v>-1.5066165</v>
      </c>
      <c r="BL53" s="205">
        <v>-0.9654</v>
      </c>
      <c r="BM53" s="205">
        <v>-0.3151633</v>
      </c>
      <c r="BN53" s="205">
        <v>-0.4547772</v>
      </c>
      <c r="BO53" s="205">
        <v>-0.3702804</v>
      </c>
      <c r="BP53" s="205">
        <v>2.52883331</v>
      </c>
      <c r="BQ53" s="206"/>
      <c r="BR53" s="250">
        <f t="shared" si="1"/>
        <v>0.1896722348</v>
      </c>
      <c r="BS53" s="250">
        <f t="shared" si="2"/>
        <v>0.7589721359</v>
      </c>
      <c r="BT53" s="206"/>
      <c r="BU53" s="207">
        <f>IFERROR(__xludf.DUMMYFUNCTION("AVERAGE(ARRAYFORMULA(XLOOKUP(FILTER(INDIRECT(""'""&amp;BU$1&amp;""'!$C$4:$C$66""),INDIRECT(""'""&amp;BU$1&amp;""'!$D$4:$D$66"")=BU$2),$F$3:$BP$3,$F53:$BP53)))"),-0.9460309628571429)</f>
        <v>-0.9460309629</v>
      </c>
      <c r="BV53" s="207">
        <f>IFERROR(__xludf.DUMMYFUNCTION("IF(OR(BU53&gt;$BR53+$BS53*$BS$2,BU53&lt;$BR53-$BS53*$BS$2),AVEDEV(ARRAYFORMULA(XLOOKUP(FILTER(INDIRECT(""'""&amp;BU$1&amp;""'!$C$4:$C$66""),INDIRECT(""'""&amp;BU$1&amp;""'!$D$4:$D$66"")=BU$2),$F$3:$BP$3,$F53:$BP53))),"""")"),0.8016570424489796)</f>
        <v>0.8016570424</v>
      </c>
      <c r="BW53" s="207">
        <f>IFERROR(__xludf.DUMMYFUNCTION("AVERAGE(ARRAYFORMULA(XLOOKUP(FILTER(INDIRECT(""'""&amp;BW$1&amp;""'!$C$4:$C$66""),INDIRECT(""'""&amp;BW$1&amp;""'!$D$4:$D$66"")=BW$2),$F$3:$BP$3,$F53:$BP53)))"),0.27675355857142864)</f>
        <v>0.2767535586</v>
      </c>
      <c r="BX53" s="207" t="str">
        <f>IFERROR(__xludf.DUMMYFUNCTION("IF(OR(BW53&gt;$BR53+$BS53*$BS$2,BW53&lt;$BR53-$BS53*$BS$2),AVEDEV(ARRAYFORMULA(XLOOKUP(FILTER(INDIRECT(""'""&amp;BW$1&amp;""'!$C$4:$C$66""),INDIRECT(""'""&amp;BW$1&amp;""'!$D$4:$D$66"")=BW$2),$F$3:$BP$3,$F53:$BP53))),"""")"),"")</f>
        <v/>
      </c>
      <c r="BY53" s="207">
        <f>IFERROR(__xludf.DUMMYFUNCTION("AVERAGE(ARRAYFORMULA(XLOOKUP(FILTER(INDIRECT(""'""&amp;BY$1&amp;""'!$C$4:$C$66""),INDIRECT(""'""&amp;BY$1&amp;""'!$D$4:$D$66"")=BY$2),$F$3:$BP$3,$F53:$BP53)))"),0.42965776090909086)</f>
        <v>0.4296577609</v>
      </c>
      <c r="BZ53" s="207" t="str">
        <f>IFERROR(__xludf.DUMMYFUNCTION("IF(OR(BY53&gt;$BR53+$BS53*$BS$2,BY53&lt;$BR53-$BS53*$BS$2),AVEDEV(ARRAYFORMULA(XLOOKUP(FILTER(INDIRECT(""'""&amp;BY$1&amp;""'!$C$4:$C$66""),INDIRECT(""'""&amp;BY$1&amp;""'!$D$4:$D$66"")=BY$2),$F$3:$BP$3,$F53:$BP53))),"""")"),"")</f>
        <v/>
      </c>
      <c r="CA53" s="209"/>
      <c r="CB53" s="207">
        <f>IFERROR(__xludf.DUMMYFUNCTION("AVERAGE(ARRAYFORMULA(XLOOKUP(FILTER(INDIRECT(""'""&amp;CB$1&amp;""'!$C$4:$C$66""),INDIRECT(""'""&amp;CB$1&amp;""'!$D$4:$D$66"")=CB$2),$F$3:$BP$3,$F53:$BP53)))"),0.15129902437500004)</f>
        <v>0.1512990244</v>
      </c>
      <c r="CC53" s="207" t="str">
        <f>IFERROR(__xludf.DUMMYFUNCTION("IF(OR(CB53&gt;$BR53+$BS53*$BS$2,CB53&lt;$BR53-$BS53*$BS$2),AVEDEV(ARRAYFORMULA(XLOOKUP(FILTER(INDIRECT(""'""&amp;CB$1&amp;""'!$C$4:$C$66""),INDIRECT(""'""&amp;CB$1&amp;""'!$D$4:$D$66"")=CB$2),$F$3:$BP$3,$F53:$BP53))),"""")"),"")</f>
        <v/>
      </c>
      <c r="CD53" s="207">
        <f>IFERROR(__xludf.DUMMYFUNCTION("AVERAGE(ARRAYFORMULA(XLOOKUP(FILTER(INDIRECT(""'""&amp;CD$1&amp;""'!$C$4:$C$66""),INDIRECT(""'""&amp;CD$1&amp;""'!$D$4:$D$66"")=CD$2),$F$3:$BP$3,$F53:$BP53)))"),0.35110966741935484)</f>
        <v>0.3511096674</v>
      </c>
      <c r="CE53" s="207" t="str">
        <f>IFERROR(__xludf.DUMMYFUNCTION("IF(OR(CD53&gt;$BR53+$BS53*$BS$2,CD53&lt;$BR53-$BS53*$BS$2),AVEDEV(ARRAYFORMULA(XLOOKUP(FILTER(INDIRECT(""'""&amp;CD$1&amp;""'!$C$4:$C$66""),INDIRECT(""'""&amp;CD$1&amp;""'!$D$4:$D$66"")=CD$2),$F$3:$BP$3,$F53:$BP53))),"""")"),"")</f>
        <v/>
      </c>
      <c r="CF53" s="207">
        <f>IFERROR(__xludf.DUMMYFUNCTION("AVERAGE(ARRAYFORMULA(XLOOKUP(FILTER(INDIRECT(""'""&amp;CF$1&amp;""'!$C$4:$C$66""),INDIRECT(""'""&amp;CF$1&amp;""'!$D$4:$D$66"")=CF$2),$F$3:$BP$3,$F53:$BP53)))"),-0.16370036599999999)</f>
        <v>-0.163700366</v>
      </c>
      <c r="CG53" s="207" t="str">
        <f>IFERROR(__xludf.DUMMYFUNCTION("IF(OR(CF53&gt;$BR53+$BS53*$BS$2,CF53&lt;$BR53-$BS53*$BS$2),AVEDEV(ARRAYFORMULA(XLOOKUP(FILTER(INDIRECT(""'""&amp;CF$1&amp;""'!$C$4:$C$66""),INDIRECT(""'""&amp;CF$1&amp;""'!$D$4:$D$66"")=CF$2),$F$3:$BP$3,$F53:$BP53))),"""")"),"")</f>
        <v/>
      </c>
      <c r="CH53" s="206"/>
      <c r="CI53" s="251">
        <f>IFERROR(__xludf.DUMMYFUNCTION("AVERAGE(ARRAYFORMULA(XLOOKUP(FILTER(INDIRECT(""'""&amp;CI$1&amp;""'!$C$4:$C$66""),INDIRECT(""'""&amp;CI$1&amp;""'!$D$4:$D$66"")=CI$2),$F$3:$BP$3,$F53:$BP53)))"),0.07284206266666665)</f>
        <v>0.07284206267</v>
      </c>
      <c r="CJ53" s="207" t="str">
        <f>IFERROR(__xludf.DUMMYFUNCTION("IF(OR(CI53&gt;$BR53+$BS53*$BS$2,CI53&lt;$BR53-$BS53*$BS$2),AVEDEV(ARRAYFORMULA(XLOOKUP(FILTER(INDIRECT(""'""&amp;CI$1&amp;""'!$C$4:$C$66""),INDIRECT(""'""&amp;CI$1&amp;""'!$D$4:$D$66"")=CI$2),$F$3:$BP$3,$F53:$BP53))),"""")"),"")</f>
        <v/>
      </c>
      <c r="CK53" s="251">
        <f>IFERROR(__xludf.DUMMYFUNCTION("AVERAGE(ARRAYFORMULA(XLOOKUP(FILTER(INDIRECT(""'""&amp;CK$1&amp;""'!$C$4:$C$66""),INDIRECT(""'""&amp;CK$1&amp;""'!$D$4:$D$66"")=CK$2),$F$3:$BP$3,$F53:$BP53)))"),0.28102962769230766)</f>
        <v>0.2810296277</v>
      </c>
      <c r="CL53" s="207" t="str">
        <f>IFERROR(__xludf.DUMMYFUNCTION("IF(OR(CK53&gt;$BR53+$BS53*$BS$2,CK53&lt;$BR53-$BS53*$BS$2),AVEDEV(ARRAYFORMULA(XLOOKUP(FILTER(INDIRECT(""'""&amp;CK$1&amp;""'!$C$4:$C$66""),INDIRECT(""'""&amp;CK$1&amp;""'!$D$4:$D$66"")=CK$2),$F$3:$BP$3,$F53:$BP53))),"""")"),"")</f>
        <v/>
      </c>
      <c r="CM53" s="251">
        <f>IFERROR(__xludf.DUMMYFUNCTION("AVERAGE(ARRAYFORMULA(XLOOKUP(FILTER(INDIRECT(""'""&amp;CM$1&amp;""'!$C$4:$C$66""),INDIRECT(""'""&amp;CM$1&amp;""'!$D$4:$D$66"")=CM$2),$F$3:$BP$3,$F53:$BP53)))"),-0.16370036599999999)</f>
        <v>-0.163700366</v>
      </c>
      <c r="CN53" s="207" t="str">
        <f>IFERROR(__xludf.DUMMYFUNCTION("IF(OR(CM53&gt;$BR53+$BS53*$BS$2,CM53&lt;$BR53-$BS53*$BS$2),AVEDEV(ARRAYFORMULA(XLOOKUP(FILTER(INDIRECT(""'""&amp;CM$1&amp;""'!$C$4:$C$66""),INDIRECT(""'""&amp;CM$1&amp;""'!$D$4:$D$66"")=CM$2),$F$3:$BP$3,$F53:$BP53))),"""")"),"")</f>
        <v/>
      </c>
      <c r="CO53" s="252"/>
      <c r="CP53" s="251">
        <f>IFERROR(__xludf.DUMMYFUNCTION("AVERAGE(ARRAYFORMULA(XLOOKUP(FILTER(INDIRECT(""'""&amp;CP$1&amp;""'!$C$4:$C$66""),INDIRECT(""'""&amp;CP$1&amp;""'!$D$4:$D$66"")=CP$2),$F$3:$BP$3,$F53:$BP53)))"),0.2610693950000001)</f>
        <v>0.261069395</v>
      </c>
      <c r="CQ53" s="207" t="str">
        <f>IFERROR(__xludf.DUMMYFUNCTION("IF(OR(CP53&gt;$BR53+$BS53*$BS$2,CP53&lt;$BR53-$BS53*$BS$2),AVEDEV(ARRAYFORMULA(XLOOKUP(FILTER(INDIRECT(""'""&amp;CP$1&amp;""'!$C$4:$C$66""),INDIRECT(""'""&amp;CP$1&amp;""'!$D$4:$D$66"")=CP$2),$F$3:$BP$3,$F53:$BP53))),"""")"),"")</f>
        <v/>
      </c>
      <c r="CR53" s="251">
        <f>IFERROR(__xludf.DUMMYFUNCTION("AVERAGE(ARRAYFORMULA(XLOOKUP(FILTER(INDIRECT(""'""&amp;CR$1&amp;""'!$C$4:$C$66""),INDIRECT(""'""&amp;CR$1&amp;""'!$D$4:$D$66"")=CR$2),$F$3:$BP$3,$F53:$BP53)))"),0.6517745188888889)</f>
        <v>0.6517745189</v>
      </c>
      <c r="CS53" s="207" t="str">
        <f>IFERROR(__xludf.DUMMYFUNCTION("IF(OR(CR53&gt;$BR53+$BS53*$BS$2,CR53&lt;$BR53-$BS53*$BS$2),AVEDEV(ARRAYFORMULA(XLOOKUP(FILTER(INDIRECT(""'""&amp;CR$1&amp;""'!$C$4:$C$66""),INDIRECT(""'""&amp;CR$1&amp;""'!$D$4:$D$66"")=CR$2),$F$3:$BP$3,$F53:$BP53))),"""")"),"")</f>
        <v/>
      </c>
      <c r="CT53" s="251">
        <f>IFERROR(__xludf.DUMMYFUNCTION("AVERAGE(ARRAYFORMULA(XLOOKUP(FILTER(INDIRECT(""'""&amp;CT$1&amp;""'!$C$4:$C$66""),INDIRECT(""'""&amp;CT$1&amp;""'!$D$4:$D$66"")=CT$2),$F$3:$BP$3,$F53:$BP53)))"),0.20404604727272727)</f>
        <v>0.2040460473</v>
      </c>
      <c r="CU53" s="207" t="str">
        <f>IFERROR(__xludf.DUMMYFUNCTION("IF(OR(CT53&gt;$BR53+$BS53*$BS$2,CT53&lt;$BR53-$BS53*$BS$2),AVEDEV(ARRAYFORMULA(XLOOKUP(FILTER(INDIRECT(""'""&amp;CT$1&amp;""'!$C$4:$C$66""),INDIRECT(""'""&amp;CT$1&amp;""'!$D$4:$D$66"")=CT$2),$F$3:$BP$3,$F53:$BP53))),"""")"),"")</f>
        <v/>
      </c>
      <c r="CV53" s="251">
        <f>IFERROR(__xludf.DUMMYFUNCTION("AVERAGE(ARRAYFORMULA(XLOOKUP(FILTER(INDIRECT(""'""&amp;CV$1&amp;""'!$C$4:$C$66""),INDIRECT(""'""&amp;CV$1&amp;""'!$D$4:$D$66"")=CV$2),$F$3:$BP$3,$F53:$BP53)))"),-0.29670995)</f>
        <v>-0.29670995</v>
      </c>
      <c r="CW53" s="207" t="str">
        <f>IFERROR(__xludf.DUMMYFUNCTION("IF(OR(CV53&gt;$BR53+$BS53*$BS$2,CV53&lt;$BR53-$BS53*$BS$2),AVEDEV(ARRAYFORMULA(XLOOKUP(FILTER(INDIRECT(""'""&amp;CV$1&amp;""'!$C$4:$C$66""),INDIRECT(""'""&amp;CV$1&amp;""'!$D$4:$D$66"")=CV$2),$F$3:$BP$3,$F53:$BP53))),"""")"),"")</f>
        <v/>
      </c>
      <c r="CX53" s="251">
        <f>IFERROR(__xludf.DUMMYFUNCTION("AVERAGE(ARRAYFORMULA(XLOOKUP(FILTER(INDIRECT(""'""&amp;CX$1&amp;""'!$C$4:$C$66""),INDIRECT(""'""&amp;CX$1&amp;""'!$D$4:$D$66"")=CX$2),$F$3:$BP$3,$F53:$BP53)))"),0.4654086935714286)</f>
        <v>0.4654086936</v>
      </c>
      <c r="CY53" s="207" t="str">
        <f>IFERROR(__xludf.DUMMYFUNCTION("IF(OR(CX53&gt;$BR53+$BS53*$BS$2,CX53&lt;$BR53-$BS53*$BS$2),AVEDEV(ARRAYFORMULA(XLOOKUP(FILTER(INDIRECT(""'""&amp;CX$1&amp;""'!$C$4:$C$66""),INDIRECT(""'""&amp;CX$1&amp;""'!$D$4:$D$66"")=CX$2),$F$3:$BP$3,$F53:$BP53))),"""")"),"")</f>
        <v/>
      </c>
      <c r="CZ53" s="252"/>
      <c r="DA53" s="251">
        <f>IFERROR(__xludf.DUMMYFUNCTION("AVERAGE(ARRAYFORMULA(XLOOKUP(FILTER(INDIRECT(""'""&amp;DA$1&amp;""'!$C$4:$C$66""),INDIRECT(""'""&amp;DA$1&amp;""'!$D$4:$D$66"")=DA$2),$F$3:$BP$3,$F53:$BP53)))"),0.210181705)</f>
        <v>0.210181705</v>
      </c>
      <c r="DB53" s="207" t="str">
        <f>IFERROR(__xludf.DUMMYFUNCTION("IF(OR(DA53&gt;$BR53+$BS53*$BS$2,DA53&lt;$BR53-$BS53*$BS$2),AVEDEV(ARRAYFORMULA(XLOOKUP(FILTER(INDIRECT(""'""&amp;DA$1&amp;""'!$C$4:$C$66""),INDIRECT(""'""&amp;DA$1&amp;""'!$D$4:$D$66"")=DA$2),$F$3:$BP$3,$F53:$BP53))),"""")"),"")</f>
        <v/>
      </c>
      <c r="DC53" s="251">
        <f>IFERROR(__xludf.DUMMYFUNCTION("AVERAGE(ARRAYFORMULA(XLOOKUP(FILTER(INDIRECT(""'""&amp;DC$1&amp;""'!$C$4:$C$66""),INDIRECT(""'""&amp;DC$1&amp;""'!$D$4:$D$66"")=DC$2),$F$3:$BP$3,$F53:$BP53)))"),0.22416468222222224)</f>
        <v>0.2241646822</v>
      </c>
      <c r="DD53" s="207" t="str">
        <f>IFERROR(__xludf.DUMMYFUNCTION("IF(OR(DC53&gt;$BR53+$BS53*$BS$2,DC53&lt;$BR53-$BS53*$BS$2),AVEDEV(ARRAYFORMULA(XLOOKUP(FILTER(INDIRECT(""'""&amp;DC$1&amp;""'!$C$4:$C$66""),INDIRECT(""'""&amp;DC$1&amp;""'!$D$4:$D$66"")=DC$2),$F$3:$BP$3,$F53:$BP53))),"""")"),"")</f>
        <v/>
      </c>
      <c r="DE53" s="251">
        <f>IFERROR(__xludf.DUMMYFUNCTION("AVERAGE(ARRAYFORMULA(XLOOKUP(FILTER(INDIRECT(""'""&amp;DE$1&amp;""'!$C$4:$C$66""),INDIRECT(""'""&amp;DE$1&amp;""'!$D$4:$D$66"")=DE$2),$F$3:$BP$3,$F53:$BP53)))"),0.22014690374999996)</f>
        <v>0.2201469038</v>
      </c>
      <c r="DF53" s="207" t="str">
        <f>IFERROR(__xludf.DUMMYFUNCTION("IF(OR(DE53&gt;$BR53+$BS53*$BS$2,DE53&lt;$BR53-$BS53*$BS$2),AVEDEV(ARRAYFORMULA(XLOOKUP(FILTER(INDIRECT(""'""&amp;DE$1&amp;""'!$C$4:$C$66""),INDIRECT(""'""&amp;DE$1&amp;""'!$D$4:$D$66"")=DE$2),$F$3:$BP$3,$F53:$BP53))),"""")"),"")</f>
        <v/>
      </c>
      <c r="DG53" s="251">
        <f>IFERROR(__xludf.DUMMYFUNCTION("AVERAGE(ARRAYFORMULA(XLOOKUP(FILTER(INDIRECT(""'""&amp;DG$1&amp;""'!$C$4:$C$66""),INDIRECT(""'""&amp;DG$1&amp;""'!$D$4:$D$66"")=DG$2),$F$3:$BP$3,$F53:$BP53)))"),0.26374219666666665)</f>
        <v>0.2637421967</v>
      </c>
      <c r="DH53" s="207" t="str">
        <f>IFERROR(__xludf.DUMMYFUNCTION("IF(OR(DG53&gt;$BR53+$BS53*$BS$2,DG53&lt;$BR53-$BS53*$BS$2),AVEDEV(ARRAYFORMULA(XLOOKUP(FILTER(INDIRECT(""'""&amp;DG$1&amp;""'!$C$4:$C$66""),INDIRECT(""'""&amp;DG$1&amp;""'!$D$4:$D$66"")=DG$2),$F$3:$BP$3,$F53:$BP53))),"""")"),"")</f>
        <v/>
      </c>
      <c r="DI53" s="252"/>
    </row>
    <row r="54">
      <c r="A54" s="2"/>
      <c r="B54" s="204" t="s">
        <v>482</v>
      </c>
      <c r="C54" s="204" t="s">
        <v>495</v>
      </c>
      <c r="D54" s="205" t="b">
        <f>VLOOKUP(C54,'Feature Set List'!A51:C246,2,0)</f>
        <v>1</v>
      </c>
      <c r="E54" s="205" t="b">
        <f>VLOOKUP(C54,'Feature Set List'!A51:C246,3,0)</f>
        <v>1</v>
      </c>
      <c r="F54" s="205">
        <v>-0.0686617</v>
      </c>
      <c r="G54" s="205">
        <v>-0.0124368</v>
      </c>
      <c r="H54" s="205">
        <v>-0.7928488</v>
      </c>
      <c r="I54" s="205">
        <v>1.37323487</v>
      </c>
      <c r="J54" s="205">
        <v>0.47260008</v>
      </c>
      <c r="K54" s="205">
        <v>0.9586734</v>
      </c>
      <c r="L54" s="205">
        <v>-0.3329447</v>
      </c>
      <c r="M54" s="205">
        <v>3.42790517</v>
      </c>
      <c r="N54" s="205">
        <v>-0.1007903</v>
      </c>
      <c r="O54" s="205">
        <v>0.03925379</v>
      </c>
      <c r="P54" s="205">
        <v>-0.030833</v>
      </c>
      <c r="Q54" s="205">
        <v>1.76188625</v>
      </c>
      <c r="R54" s="205">
        <v>-0.1393963</v>
      </c>
      <c r="S54" s="205">
        <v>1.05972276</v>
      </c>
      <c r="T54" s="205">
        <v>2.09483094</v>
      </c>
      <c r="U54" s="205">
        <v>0.155331</v>
      </c>
      <c r="V54" s="205">
        <v>-0.3858013</v>
      </c>
      <c r="W54" s="205">
        <v>-0.5661355</v>
      </c>
      <c r="X54" s="205">
        <v>0.16167897</v>
      </c>
      <c r="Y54" s="205">
        <v>-0.5472211</v>
      </c>
      <c r="Z54" s="205">
        <v>-0.7928488</v>
      </c>
      <c r="AA54" s="205">
        <v>0.03264672</v>
      </c>
      <c r="AB54" s="205">
        <v>-0.3873559</v>
      </c>
      <c r="AC54" s="205">
        <v>1.43023708</v>
      </c>
      <c r="AD54" s="205">
        <v>-0.0010364</v>
      </c>
      <c r="AE54" s="205">
        <v>0.35742972</v>
      </c>
      <c r="AF54" s="205">
        <v>2.63376085</v>
      </c>
      <c r="AG54" s="205">
        <v>-0.0721596</v>
      </c>
      <c r="AH54" s="205">
        <v>0.5907501</v>
      </c>
      <c r="AI54" s="205">
        <v>-0.4358077</v>
      </c>
      <c r="AJ54" s="205">
        <v>0.11154295</v>
      </c>
      <c r="AK54" s="205">
        <v>2.112968</v>
      </c>
      <c r="AL54" s="205">
        <v>-0.5638036</v>
      </c>
      <c r="AM54" s="205">
        <v>-0.1563674</v>
      </c>
      <c r="AN54" s="205">
        <v>0.40121777</v>
      </c>
      <c r="AO54" s="205">
        <v>-0.1536468</v>
      </c>
      <c r="AP54" s="205">
        <v>0.24731183</v>
      </c>
      <c r="AQ54" s="205">
        <v>0.0</v>
      </c>
      <c r="AR54" s="205">
        <v>1.47817075</v>
      </c>
      <c r="AS54" s="205">
        <v>1.63622231</v>
      </c>
      <c r="AT54" s="205">
        <v>1.46651121</v>
      </c>
      <c r="AU54" s="205">
        <v>-0.5452779</v>
      </c>
      <c r="AV54" s="205">
        <v>-0.7928488</v>
      </c>
      <c r="AW54" s="205">
        <v>0.05531805</v>
      </c>
      <c r="AX54" s="205">
        <v>-0.7928488</v>
      </c>
      <c r="AY54" s="205">
        <v>-0.4903485</v>
      </c>
      <c r="AZ54" s="205">
        <v>1.34214276</v>
      </c>
      <c r="BA54" s="205">
        <v>0.21621972</v>
      </c>
      <c r="BB54" s="205">
        <v>-0.2363</v>
      </c>
      <c r="BC54" s="205">
        <v>0.56743101</v>
      </c>
      <c r="BD54" s="205">
        <v>-0.1983418</v>
      </c>
      <c r="BE54" s="205">
        <v>1.59347066</v>
      </c>
      <c r="BF54" s="205">
        <v>2.78274388</v>
      </c>
      <c r="BG54" s="205">
        <v>0.55058945</v>
      </c>
      <c r="BH54" s="205">
        <v>-0.4982511</v>
      </c>
      <c r="BI54" s="205">
        <v>-0.1029926</v>
      </c>
      <c r="BJ54" s="205">
        <v>-0.4473377</v>
      </c>
      <c r="BK54" s="205">
        <v>-0.7928488</v>
      </c>
      <c r="BL54" s="205">
        <v>-0.5457961</v>
      </c>
      <c r="BM54" s="205">
        <v>0.29356134</v>
      </c>
      <c r="BN54" s="205">
        <v>-0.7538671</v>
      </c>
      <c r="BO54" s="205">
        <v>-0.1365462</v>
      </c>
      <c r="BP54" s="205">
        <v>0.63609276</v>
      </c>
      <c r="BQ54" s="206"/>
      <c r="BR54" s="250">
        <f t="shared" si="1"/>
        <v>0.320123096</v>
      </c>
      <c r="BS54" s="250">
        <f t="shared" si="2"/>
        <v>0.7519328148</v>
      </c>
      <c r="BT54" s="206"/>
      <c r="BU54" s="207">
        <f>IFERROR(__xludf.DUMMYFUNCTION("AVERAGE(ARRAYFORMULA(XLOOKUP(FILTER(INDIRECT(""'""&amp;BU$1&amp;""'!$C$4:$C$66""),INDIRECT(""'""&amp;BU$1&amp;""'!$D$4:$D$66"")=BU$2),$F$3:$BP$3,$F54:$BP54)))"),0.051727647142857124)</f>
        <v>0.05172764714</v>
      </c>
      <c r="BV54" s="207" t="str">
        <f>IFERROR(__xludf.DUMMYFUNCTION("IF(OR(BU54&gt;$BR54+$BS54*$BS$2,BU54&lt;$BR54-$BS54*$BS$2),AVEDEV(ARRAYFORMULA(XLOOKUP(FILTER(INDIRECT(""'""&amp;BU$1&amp;""'!$C$4:$C$66""),INDIRECT(""'""&amp;BU$1&amp;""'!$D$4:$D$66"")=BU$2),$F$3:$BP$3,$F54:$BP54))),"""")"),"")</f>
        <v/>
      </c>
      <c r="BW54" s="207">
        <f>IFERROR(__xludf.DUMMYFUNCTION("AVERAGE(ARRAYFORMULA(XLOOKUP(FILTER(INDIRECT(""'""&amp;BW$1&amp;""'!$C$4:$C$66""),INDIRECT(""'""&amp;BW$1&amp;""'!$D$4:$D$66"")=BW$2),$F$3:$BP$3,$F54:$BP54)))"),0.3921242619047619)</f>
        <v>0.3921242619</v>
      </c>
      <c r="BX54" s="207" t="str">
        <f>IFERROR(__xludf.DUMMYFUNCTION("IF(OR(BW54&gt;$BR54+$BS54*$BS$2,BW54&lt;$BR54-$BS54*$BS$2),AVEDEV(ARRAYFORMULA(XLOOKUP(FILTER(INDIRECT(""'""&amp;BW$1&amp;""'!$C$4:$C$66""),INDIRECT(""'""&amp;BW$1&amp;""'!$D$4:$D$66"")=BW$2),$F$3:$BP$3,$F54:$BP54))),"""")"),"")</f>
        <v/>
      </c>
      <c r="BY54" s="207">
        <f>IFERROR(__xludf.DUMMYFUNCTION("AVERAGE(ARRAYFORMULA(XLOOKUP(FILTER(INDIRECT(""'""&amp;BY$1&amp;""'!$C$4:$C$66""),INDIRECT(""'""&amp;BY$1&amp;""'!$D$4:$D$66"")=BY$2),$F$3:$BP$3,$F54:$BP54)))"),0.1904862818181818)</f>
        <v>0.1904862818</v>
      </c>
      <c r="BZ54" s="207" t="str">
        <f>IFERROR(__xludf.DUMMYFUNCTION("IF(OR(BY54&gt;$BR54+$BS54*$BS$2,BY54&lt;$BR54-$BS54*$BS$2),AVEDEV(ARRAYFORMULA(XLOOKUP(FILTER(INDIRECT(""'""&amp;BY$1&amp;""'!$C$4:$C$66""),INDIRECT(""'""&amp;BY$1&amp;""'!$D$4:$D$66"")=BY$2),$F$3:$BP$3,$F54:$BP54))),"""")"),"")</f>
        <v/>
      </c>
      <c r="CA54" s="209"/>
      <c r="CB54" s="207">
        <f>IFERROR(__xludf.DUMMYFUNCTION("AVERAGE(ARRAYFORMULA(XLOOKUP(FILTER(INDIRECT(""'""&amp;CB$1&amp;""'!$C$4:$C$66""),INDIRECT(""'""&amp;CB$1&amp;""'!$D$4:$D$66"")=CB$2),$F$3:$BP$3,$F54:$BP54)))"),0.8495757299999999)</f>
        <v>0.84957573</v>
      </c>
      <c r="CC54" s="207" t="str">
        <f>IFERROR(__xludf.DUMMYFUNCTION("IF(OR(CB54&gt;$BR54+$BS54*$BS$2,CB54&lt;$BR54-$BS54*$BS$2),AVEDEV(ARRAYFORMULA(XLOOKUP(FILTER(INDIRECT(""'""&amp;CB$1&amp;""'!$C$4:$C$66""),INDIRECT(""'""&amp;CB$1&amp;""'!$D$4:$D$66"")=CB$2),$F$3:$BP$3,$F54:$BP54))),"""")"),"")</f>
        <v/>
      </c>
      <c r="CD54" s="207">
        <f>IFERROR(__xludf.DUMMYFUNCTION("AVERAGE(ARRAYFORMULA(XLOOKUP(FILTER(INDIRECT(""'""&amp;CD$1&amp;""'!$C$4:$C$66""),INDIRECT(""'""&amp;CD$1&amp;""'!$D$4:$D$66"")=CD$2),$F$3:$BP$3,$F54:$BP54)))"),0.029102883548387103)</f>
        <v>0.02910288355</v>
      </c>
      <c r="CE54" s="207" t="str">
        <f>IFERROR(__xludf.DUMMYFUNCTION("IF(OR(CD54&gt;$BR54+$BS54*$BS$2,CD54&lt;$BR54-$BS54*$BS$2),AVEDEV(ARRAYFORMULA(XLOOKUP(FILTER(INDIRECT(""'""&amp;CD$1&amp;""'!$C$4:$C$66""),INDIRECT(""'""&amp;CD$1&amp;""'!$D$4:$D$66"")=CD$2),$F$3:$BP$3,$F54:$BP54))),"""")"),"")</f>
        <v/>
      </c>
      <c r="CF54" s="207">
        <f>IFERROR(__xludf.DUMMYFUNCTION("AVERAGE(ARRAYFORMULA(XLOOKUP(FILTER(INDIRECT(""'""&amp;CF$1&amp;""'!$C$4:$C$66""),INDIRECT(""'""&amp;CF$1&amp;""'!$D$4:$D$66"")=CF$2),$F$3:$BP$3,$F54:$BP54)))"),1.340406788)</f>
        <v>1.340406788</v>
      </c>
      <c r="CG54" s="207">
        <f>IFERROR(__xludf.DUMMYFUNCTION("IF(OR(CF54&gt;$BR54+$BS54*$BS$2,CF54&lt;$BR54-$BS54*$BS$2),AVEDEV(ARRAYFORMULA(XLOOKUP(FILTER(INDIRECT(""'""&amp;CF$1&amp;""'!$C$4:$C$66""),INDIRECT(""'""&amp;CF$1&amp;""'!$D$4:$D$66"")=CF$2),$F$3:$BP$3,$F54:$BP54))),"""")"),0.6327348104)</f>
        <v>0.6327348104</v>
      </c>
      <c r="CH54" s="206"/>
      <c r="CI54" s="251">
        <f>IFERROR(__xludf.DUMMYFUNCTION("AVERAGE(ARRAYFORMULA(XLOOKUP(FILTER(INDIRECT(""'""&amp;CI$1&amp;""'!$C$4:$C$66""),INDIRECT(""'""&amp;CI$1&amp;""'!$D$4:$D$66"")=CI$2),$F$3:$BP$3,$F54:$BP54)))"),0.27888672866666664)</f>
        <v>0.2788867287</v>
      </c>
      <c r="CJ54" s="207" t="str">
        <f>IFERROR(__xludf.DUMMYFUNCTION("IF(OR(CI54&gt;$BR54+$BS54*$BS$2,CI54&lt;$BR54-$BS54*$BS$2),AVEDEV(ARRAYFORMULA(XLOOKUP(FILTER(INDIRECT(""'""&amp;CI$1&amp;""'!$C$4:$C$66""),INDIRECT(""'""&amp;CI$1&amp;""'!$D$4:$D$66"")=CI$2),$F$3:$BP$3,$F54:$BP54))),"""")"),"")</f>
        <v/>
      </c>
      <c r="CK54" s="251">
        <f>IFERROR(__xludf.DUMMYFUNCTION("AVERAGE(ARRAYFORMULA(XLOOKUP(FILTER(INDIRECT(""'""&amp;CK$1&amp;""'!$C$4:$C$66""),INDIRECT(""'""&amp;CK$1&amp;""'!$D$4:$D$66"")=CK$2),$F$3:$BP$3,$F54:$BP54)))"),0.2265173220512821)</f>
        <v>0.2265173221</v>
      </c>
      <c r="CL54" s="207" t="str">
        <f>IFERROR(__xludf.DUMMYFUNCTION("IF(OR(CK54&gt;$BR54+$BS54*$BS$2,CK54&lt;$BR54-$BS54*$BS$2),AVEDEV(ARRAYFORMULA(XLOOKUP(FILTER(INDIRECT(""'""&amp;CK$1&amp;""'!$C$4:$C$66""),INDIRECT(""'""&amp;CK$1&amp;""'!$D$4:$D$66"")=CK$2),$F$3:$BP$3,$F54:$BP54))),"""")"),"")</f>
        <v/>
      </c>
      <c r="CM54" s="253">
        <f>IFERROR(__xludf.DUMMYFUNCTION("AVERAGE(ARRAYFORMULA(XLOOKUP(FILTER(INDIRECT(""'""&amp;CM$1&amp;""'!$C$4:$C$66""),INDIRECT(""'""&amp;CM$1&amp;""'!$D$4:$D$66"")=CM$2),$F$3:$BP$3,$F54:$BP54)))"),1.340406788)</f>
        <v>1.340406788</v>
      </c>
      <c r="CN54" s="207">
        <f>IFERROR(__xludf.DUMMYFUNCTION("IF(OR(CM54&gt;$BR54+$BS54*$BS$2,CM54&lt;$BR54-$BS54*$BS$2),AVEDEV(ARRAYFORMULA(XLOOKUP(FILTER(INDIRECT(""'""&amp;CM$1&amp;""'!$C$4:$C$66""),INDIRECT(""'""&amp;CM$1&amp;""'!$D$4:$D$66"")=CM$2),$F$3:$BP$3,$F54:$BP54))),"""")"),0.6327348104)</f>
        <v>0.6327348104</v>
      </c>
      <c r="CO54" s="252"/>
      <c r="CP54" s="251">
        <f>IFERROR(__xludf.DUMMYFUNCTION("AVERAGE(ARRAYFORMULA(XLOOKUP(FILTER(INDIRECT(""'""&amp;CP$1&amp;""'!$C$4:$C$66""),INDIRECT(""'""&amp;CP$1&amp;""'!$D$4:$D$66"")=CP$2),$F$3:$BP$3,$F54:$BP54)))"),0.7742120664285714)</f>
        <v>0.7742120664</v>
      </c>
      <c r="CQ54" s="207" t="str">
        <f>IFERROR(__xludf.DUMMYFUNCTION("IF(OR(CP54&gt;$BR54+$BS54*$BS$2,CP54&lt;$BR54-$BS54*$BS$2),AVEDEV(ARRAYFORMULA(XLOOKUP(FILTER(INDIRECT(""'""&amp;CP$1&amp;""'!$C$4:$C$66""),INDIRECT(""'""&amp;CP$1&amp;""'!$D$4:$D$66"")=CP$2),$F$3:$BP$3,$F54:$BP54))),"""")"),"")</f>
        <v/>
      </c>
      <c r="CR54" s="251">
        <f>IFERROR(__xludf.DUMMYFUNCTION("AVERAGE(ARRAYFORMULA(XLOOKUP(FILTER(INDIRECT(""'""&amp;CR$1&amp;""'!$C$4:$C$66""),INDIRECT(""'""&amp;CR$1&amp;""'!$D$4:$D$66"")=CR$2),$F$3:$BP$3,$F54:$BP54)))"),0.3479437444444445)</f>
        <v>0.3479437444</v>
      </c>
      <c r="CS54" s="207" t="str">
        <f>IFERROR(__xludf.DUMMYFUNCTION("IF(OR(CR54&gt;$BR54+$BS54*$BS$2,CR54&lt;$BR54-$BS54*$BS$2),AVEDEV(ARRAYFORMULA(XLOOKUP(FILTER(INDIRECT(""'""&amp;CR$1&amp;""'!$C$4:$C$66""),INDIRECT(""'""&amp;CR$1&amp;""'!$D$4:$D$66"")=CR$2),$F$3:$BP$3,$F54:$BP54))),"""")"),"")</f>
        <v/>
      </c>
      <c r="CT54" s="251">
        <f>IFERROR(__xludf.DUMMYFUNCTION("AVERAGE(ARRAYFORMULA(XLOOKUP(FILTER(INDIRECT(""'""&amp;CT$1&amp;""'!$C$4:$C$66""),INDIRECT(""'""&amp;CT$1&amp;""'!$D$4:$D$66"")=CT$2),$F$3:$BP$3,$F54:$BP54)))"),0.06423229181818176)</f>
        <v>0.06423229182</v>
      </c>
      <c r="CU54" s="207" t="str">
        <f>IFERROR(__xludf.DUMMYFUNCTION("IF(OR(CT54&gt;$BR54+$BS54*$BS$2,CT54&lt;$BR54-$BS54*$BS$2),AVEDEV(ARRAYFORMULA(XLOOKUP(FILTER(INDIRECT(""'""&amp;CT$1&amp;""'!$C$4:$C$66""),INDIRECT(""'""&amp;CT$1&amp;""'!$D$4:$D$66"")=CT$2),$F$3:$BP$3,$F54:$BP54))),"""")"),"")</f>
        <v/>
      </c>
      <c r="CV54" s="251">
        <f>IFERROR(__xludf.DUMMYFUNCTION("AVERAGE(ARRAYFORMULA(XLOOKUP(FILTER(INDIRECT(""'""&amp;CV$1&amp;""'!$C$4:$C$66""),INDIRECT(""'""&amp;CV$1&amp;""'!$D$4:$D$66"")=CV$2),$F$3:$BP$3,$F54:$BP54)))"),0.9904132649999999)</f>
        <v>0.990413265</v>
      </c>
      <c r="CW54" s="207" t="str">
        <f>IFERROR(__xludf.DUMMYFUNCTION("IF(OR(CV54&gt;$BR54+$BS54*$BS$2,CV54&lt;$BR54-$BS54*$BS$2),AVEDEV(ARRAYFORMULA(XLOOKUP(FILTER(INDIRECT(""'""&amp;CV$1&amp;""'!$C$4:$C$66""),INDIRECT(""'""&amp;CV$1&amp;""'!$D$4:$D$66"")=CV$2),$F$3:$BP$3,$F54:$BP54))),"""")"),"")</f>
        <v/>
      </c>
      <c r="CX54" s="253">
        <f>IFERROR(__xludf.DUMMYFUNCTION("AVERAGE(ARRAYFORMULA(XLOOKUP(FILTER(INDIRECT(""'""&amp;CX$1&amp;""'!$C$4:$C$66""),INDIRECT(""'""&amp;CX$1&amp;""'!$D$4:$D$66"")=CX$2),$F$3:$BP$3,$F54:$BP54)))"),0.03583921428571429)</f>
        <v>0.03583921429</v>
      </c>
      <c r="CY54" s="207" t="str">
        <f>IFERROR(__xludf.DUMMYFUNCTION("IF(OR(CX54&gt;$BR54+$BS54*$BS$2,CX54&lt;$BR54-$BS54*$BS$2),AVEDEV(ARRAYFORMULA(XLOOKUP(FILTER(INDIRECT(""'""&amp;CX$1&amp;""'!$C$4:$C$66""),INDIRECT(""'""&amp;CX$1&amp;""'!$D$4:$D$66"")=CX$2),$F$3:$BP$3,$F54:$BP54))),"""")"),"")</f>
        <v/>
      </c>
      <c r="CZ54" s="252"/>
      <c r="DA54" s="251">
        <f>IFERROR(__xludf.DUMMYFUNCTION("AVERAGE(ARRAYFORMULA(XLOOKUP(FILTER(INDIRECT(""'""&amp;DA$1&amp;""'!$C$4:$C$66""),INDIRECT(""'""&amp;DA$1&amp;""'!$D$4:$D$66"")=DA$2),$F$3:$BP$3,$F54:$BP54)))"),0.503243085)</f>
        <v>0.503243085</v>
      </c>
      <c r="DB54" s="207" t="str">
        <f>IFERROR(__xludf.DUMMYFUNCTION("IF(OR(DA54&gt;$BR54+$BS54*$BS$2,DA54&lt;$BR54-$BS54*$BS$2),AVEDEV(ARRAYFORMULA(XLOOKUP(FILTER(INDIRECT(""'""&amp;DA$1&amp;""'!$C$4:$C$66""),INDIRECT(""'""&amp;DA$1&amp;""'!$D$4:$D$66"")=DA$2),$F$3:$BP$3,$F54:$BP54))),"""")"),"")</f>
        <v/>
      </c>
      <c r="DC54" s="251">
        <f>IFERROR(__xludf.DUMMYFUNCTION("AVERAGE(ARRAYFORMULA(XLOOKUP(FILTER(INDIRECT(""'""&amp;DC$1&amp;""'!$C$4:$C$66""),INDIRECT(""'""&amp;DC$1&amp;""'!$D$4:$D$66"")=DC$2),$F$3:$BP$3,$F54:$BP54)))"),0.1690345566666667)</f>
        <v>0.1690345567</v>
      </c>
      <c r="DD54" s="207" t="str">
        <f>IFERROR(__xludf.DUMMYFUNCTION("IF(OR(DC54&gt;$BR54+$BS54*$BS$2,DC54&lt;$BR54-$BS54*$BS$2),AVEDEV(ARRAYFORMULA(XLOOKUP(FILTER(INDIRECT(""'""&amp;DC$1&amp;""'!$C$4:$C$66""),INDIRECT(""'""&amp;DC$1&amp;""'!$D$4:$D$66"")=DC$2),$F$3:$BP$3,$F54:$BP54))),"""")"),"")</f>
        <v/>
      </c>
      <c r="DE54" s="251">
        <f>IFERROR(__xludf.DUMMYFUNCTION("AVERAGE(ARRAYFORMULA(XLOOKUP(FILTER(INDIRECT(""'""&amp;DE$1&amp;""'!$C$4:$C$66""),INDIRECT(""'""&amp;DE$1&amp;""'!$D$4:$D$66"")=DE$2),$F$3:$BP$3,$F54:$BP54)))"),0.13808459875000006)</f>
        <v>0.1380845988</v>
      </c>
      <c r="DF54" s="207" t="str">
        <f>IFERROR(__xludf.DUMMYFUNCTION("IF(OR(DE54&gt;$BR54+$BS54*$BS$2,DE54&lt;$BR54-$BS54*$BS$2),AVEDEV(ARRAYFORMULA(XLOOKUP(FILTER(INDIRECT(""'""&amp;DE$1&amp;""'!$C$4:$C$66""),INDIRECT(""'""&amp;DE$1&amp;""'!$D$4:$D$66"")=DE$2),$F$3:$BP$3,$F54:$BP54))),"""")"),"")</f>
        <v/>
      </c>
      <c r="DG54" s="251">
        <f>IFERROR(__xludf.DUMMYFUNCTION("AVERAGE(ARRAYFORMULA(XLOOKUP(FILTER(INDIRECT(""'""&amp;DG$1&amp;""'!$C$4:$C$66""),INDIRECT(""'""&amp;DG$1&amp;""'!$D$4:$D$66"")=DG$2),$F$3:$BP$3,$F54:$BP54)))"),0.24012753444444446)</f>
        <v>0.2401275344</v>
      </c>
      <c r="DH54" s="207" t="str">
        <f>IFERROR(__xludf.DUMMYFUNCTION("IF(OR(DG54&gt;$BR54+$BS54*$BS$2,DG54&lt;$BR54-$BS54*$BS$2),AVEDEV(ARRAYFORMULA(XLOOKUP(FILTER(INDIRECT(""'""&amp;DG$1&amp;""'!$C$4:$C$66""),INDIRECT(""'""&amp;DG$1&amp;""'!$D$4:$D$66"")=DG$2),$F$3:$BP$3,$F54:$BP54))),"""")"),"")</f>
        <v/>
      </c>
      <c r="DI54" s="252"/>
    </row>
    <row r="55">
      <c r="A55" s="2"/>
      <c r="B55" s="204" t="s">
        <v>482</v>
      </c>
      <c r="C55" s="204" t="s">
        <v>496</v>
      </c>
      <c r="D55" s="205" t="b">
        <f>VLOOKUP(C55,'Feature Set List'!A52:C246,2,0)</f>
        <v>1</v>
      </c>
      <c r="E55" s="205" t="b">
        <f>VLOOKUP(C55,'Feature Set List'!A52:C246,3,0)</f>
        <v>1</v>
      </c>
      <c r="F55" s="205">
        <v>-0.5845354</v>
      </c>
      <c r="G55" s="205">
        <v>-0.1565382</v>
      </c>
      <c r="H55" s="205">
        <v>-0.8524474</v>
      </c>
      <c r="I55" s="205">
        <v>-0.4904233</v>
      </c>
      <c r="J55" s="205">
        <v>-0.6025065</v>
      </c>
      <c r="K55" s="205">
        <v>0.49822653</v>
      </c>
      <c r="L55" s="205">
        <v>1.7299598</v>
      </c>
      <c r="M55" s="205">
        <v>-0.2414282</v>
      </c>
      <c r="N55" s="205">
        <v>0.35634902</v>
      </c>
      <c r="O55" s="205">
        <v>-0.5124143</v>
      </c>
      <c r="P55" s="205">
        <v>0.82667297</v>
      </c>
      <c r="Q55" s="205">
        <v>0.16244975</v>
      </c>
      <c r="R55" s="205">
        <v>0.03854339</v>
      </c>
      <c r="S55" s="205">
        <v>0.07826909</v>
      </c>
      <c r="T55" s="205">
        <v>-0.1215417</v>
      </c>
      <c r="U55" s="205">
        <v>0.08867345</v>
      </c>
      <c r="V55" s="205">
        <v>0.69094349</v>
      </c>
      <c r="W55" s="205">
        <v>2.79404114</v>
      </c>
      <c r="X55" s="205">
        <v>-0.4462048</v>
      </c>
      <c r="Y55" s="205">
        <v>-0.2071412</v>
      </c>
      <c r="Z55" s="205">
        <v>-0.4802554</v>
      </c>
      <c r="AA55" s="205">
        <v>3.27642469</v>
      </c>
      <c r="AB55" s="205">
        <v>0.58950106</v>
      </c>
      <c r="AC55" s="205">
        <v>0.72972334</v>
      </c>
      <c r="AD55" s="205">
        <v>-0.7169544</v>
      </c>
      <c r="AE55" s="205">
        <v>0.18633247</v>
      </c>
      <c r="AF55" s="205">
        <v>-1.0165524</v>
      </c>
      <c r="AG55" s="205">
        <v>0.82667297</v>
      </c>
      <c r="AH55" s="205">
        <v>-0.3901632</v>
      </c>
      <c r="AI55" s="205">
        <v>-1.242847</v>
      </c>
      <c r="AJ55" s="205">
        <v>0.91652873</v>
      </c>
      <c r="AK55" s="205">
        <v>-0.0508394</v>
      </c>
      <c r="AL55" s="205">
        <v>-0.8727832</v>
      </c>
      <c r="AM55" s="205">
        <v>-0.299598</v>
      </c>
      <c r="AN55" s="205">
        <v>-0.2979428</v>
      </c>
      <c r="AO55" s="205">
        <v>0.34145188</v>
      </c>
      <c r="AP55" s="205">
        <v>2.39678411</v>
      </c>
      <c r="AQ55" s="205">
        <v>0.67344526</v>
      </c>
      <c r="AR55" s="205">
        <v>0.63040908</v>
      </c>
      <c r="AS55" s="205">
        <v>0.07566801</v>
      </c>
      <c r="AT55" s="205">
        <v>-1.2296051</v>
      </c>
      <c r="AU55" s="205">
        <v>-0.8061007</v>
      </c>
      <c r="AV55" s="205">
        <v>0.0</v>
      </c>
      <c r="AW55" s="205">
        <v>0.56396311</v>
      </c>
      <c r="AX55" s="205">
        <v>-1.3504375</v>
      </c>
      <c r="AY55" s="205">
        <v>4.80870182</v>
      </c>
      <c r="AZ55" s="205">
        <v>0.20690471</v>
      </c>
      <c r="BA55" s="205">
        <v>-0.7493497</v>
      </c>
      <c r="BB55" s="205">
        <v>0.00354694</v>
      </c>
      <c r="BC55" s="205">
        <v>-0.400331</v>
      </c>
      <c r="BD55" s="205">
        <v>-1.1537006</v>
      </c>
      <c r="BE55" s="205">
        <v>-0.5580515</v>
      </c>
      <c r="BF55" s="205">
        <v>0.49893592</v>
      </c>
      <c r="BG55" s="205">
        <v>0.29581461</v>
      </c>
      <c r="BH55" s="205">
        <v>-0.1631591</v>
      </c>
      <c r="BI55" s="205">
        <v>-0.8110664</v>
      </c>
      <c r="BJ55" s="205">
        <v>0.22865926</v>
      </c>
      <c r="BK55" s="205">
        <v>0.01489714</v>
      </c>
      <c r="BL55" s="205">
        <v>3.12272405</v>
      </c>
      <c r="BM55" s="205">
        <v>-0.3861433</v>
      </c>
      <c r="BN55" s="205">
        <v>-0.9945614</v>
      </c>
      <c r="BO55" s="205">
        <v>-0.3542209</v>
      </c>
      <c r="BP55" s="205">
        <v>0.36675337</v>
      </c>
      <c r="BQ55" s="206"/>
      <c r="BR55" s="250">
        <f t="shared" si="1"/>
        <v>0.1504464629</v>
      </c>
      <c r="BS55" s="250">
        <f t="shared" si="2"/>
        <v>0.760546399</v>
      </c>
      <c r="BT55" s="206"/>
      <c r="BU55" s="207">
        <f>IFERROR(__xludf.DUMMYFUNCTION("AVERAGE(ARRAYFORMULA(XLOOKUP(FILTER(INDIRECT(""'""&amp;BU$1&amp;""'!$C$4:$C$66""),INDIRECT(""'""&amp;BU$1&amp;""'!$D$4:$D$66"")=BU$2),$F$3:$BP$3,$F55:$BP55)))"),-0.12343343142857144)</f>
        <v>-0.1234334314</v>
      </c>
      <c r="BV55" s="207" t="str">
        <f>IFERROR(__xludf.DUMMYFUNCTION("IF(OR(BU55&gt;$BR55+$BS55*$BS$2,BU55&lt;$BR55-$BS55*$BS$2),AVEDEV(ARRAYFORMULA(XLOOKUP(FILTER(INDIRECT(""'""&amp;BU$1&amp;""'!$C$4:$C$66""),INDIRECT(""'""&amp;BU$1&amp;""'!$D$4:$D$66"")=BU$2),$F$3:$BP$3,$F55:$BP55))),"""")"),"")</f>
        <v/>
      </c>
      <c r="BW55" s="207">
        <f>IFERROR(__xludf.DUMMYFUNCTION("AVERAGE(ARRAYFORMULA(XLOOKUP(FILTER(INDIRECT(""'""&amp;BW$1&amp;""'!$C$4:$C$66""),INDIRECT(""'""&amp;BW$1&amp;""'!$D$4:$D$66"")=BW$2),$F$3:$BP$3,$F55:$BP55)))"),0.07251517190476184)</f>
        <v>0.0725151719</v>
      </c>
      <c r="BX55" s="207" t="str">
        <f>IFERROR(__xludf.DUMMYFUNCTION("IF(OR(BW55&gt;$BR55+$BS55*$BS$2,BW55&lt;$BR55-$BS55*$BS$2),AVEDEV(ARRAYFORMULA(XLOOKUP(FILTER(INDIRECT(""'""&amp;BW$1&amp;""'!$C$4:$C$66""),INDIRECT(""'""&amp;BW$1&amp;""'!$D$4:$D$66"")=BW$2),$F$3:$BP$3,$F55:$BP55))),"""")"),"")</f>
        <v/>
      </c>
      <c r="BY55" s="207">
        <f>IFERROR(__xludf.DUMMYFUNCTION("AVERAGE(ARRAYFORMULA(XLOOKUP(FILTER(INDIRECT(""'""&amp;BY$1&amp;""'!$C$4:$C$66""),INDIRECT(""'""&amp;BY$1&amp;""'!$D$4:$D$66"")=BY$2),$F$3:$BP$3,$F55:$BP55)))"),0.8889915872727272)</f>
        <v>0.8889915873</v>
      </c>
      <c r="BZ55" s="207" t="str">
        <f>IFERROR(__xludf.DUMMYFUNCTION("IF(OR(BY55&gt;$BR55+$BS55*$BS$2,BY55&lt;$BR55-$BS55*$BS$2),AVEDEV(ARRAYFORMULA(XLOOKUP(FILTER(INDIRECT(""'""&amp;BY$1&amp;""'!$C$4:$C$66""),INDIRECT(""'""&amp;BY$1&amp;""'!$D$4:$D$66"")=BY$2),$F$3:$BP$3,$F55:$BP55))),"""")"),"")</f>
        <v/>
      </c>
      <c r="CA55" s="209"/>
      <c r="CB55" s="207">
        <f>IFERROR(__xludf.DUMMYFUNCTION("AVERAGE(ARRAYFORMULA(XLOOKUP(FILTER(INDIRECT(""'""&amp;CB$1&amp;""'!$C$4:$C$66""),INDIRECT(""'""&amp;CB$1&amp;""'!$D$4:$D$66"")=CB$2),$F$3:$BP$3,$F55:$BP55)))"),-0.07652518250000001)</f>
        <v>-0.0765251825</v>
      </c>
      <c r="CC55" s="207" t="str">
        <f>IFERROR(__xludf.DUMMYFUNCTION("IF(OR(CB55&gt;$BR55+$BS55*$BS$2,CB55&lt;$BR55-$BS55*$BS$2),AVEDEV(ARRAYFORMULA(XLOOKUP(FILTER(INDIRECT(""'""&amp;CB$1&amp;""'!$C$4:$C$66""),INDIRECT(""'""&amp;CB$1&amp;""'!$D$4:$D$66"")=CB$2),$F$3:$BP$3,$F55:$BP55))),"""")"),"")</f>
        <v/>
      </c>
      <c r="CD55" s="207">
        <f>IFERROR(__xludf.DUMMYFUNCTION("AVERAGE(ARRAYFORMULA(XLOOKUP(FILTER(INDIRECT(""'""&amp;CD$1&amp;""'!$C$4:$C$66""),INDIRECT(""'""&amp;CD$1&amp;""'!$D$4:$D$66"")=CD$2),$F$3:$BP$3,$F55:$BP55)))"),0.22550896709677418)</f>
        <v>0.2255089671</v>
      </c>
      <c r="CE55" s="207" t="str">
        <f>IFERROR(__xludf.DUMMYFUNCTION("IF(OR(CD55&gt;$BR55+$BS55*$BS$2,CD55&lt;$BR55-$BS55*$BS$2),AVEDEV(ARRAYFORMULA(XLOOKUP(FILTER(INDIRECT(""'""&amp;CD$1&amp;""'!$C$4:$C$66""),INDIRECT(""'""&amp;CD$1&amp;""'!$D$4:$D$66"")=CD$2),$F$3:$BP$3,$F55:$BP55))),"""")"),"")</f>
        <v/>
      </c>
      <c r="CF55" s="207">
        <f>IFERROR(__xludf.DUMMYFUNCTION("AVERAGE(ARRAYFORMULA(XLOOKUP(FILTER(INDIRECT(""'""&amp;CF$1&amp;""'!$C$4:$C$66""),INDIRECT(""'""&amp;CF$1&amp;""'!$D$4:$D$66"")=CF$2),$F$3:$BP$3,$F55:$BP55)))"),0.18042089999999997)</f>
        <v>0.1804209</v>
      </c>
      <c r="CG55" s="207" t="str">
        <f>IFERROR(__xludf.DUMMYFUNCTION("IF(OR(CF55&gt;$BR55+$BS55*$BS$2,CF55&lt;$BR55-$BS55*$BS$2),AVEDEV(ARRAYFORMULA(XLOOKUP(FILTER(INDIRECT(""'""&amp;CF$1&amp;""'!$C$4:$C$66""),INDIRECT(""'""&amp;CF$1&amp;""'!$D$4:$D$66"")=CF$2),$F$3:$BP$3,$F55:$BP55))),"""")"),"")</f>
        <v/>
      </c>
      <c r="CH55" s="206"/>
      <c r="CI55" s="251">
        <f>IFERROR(__xludf.DUMMYFUNCTION("AVERAGE(ARRAYFORMULA(XLOOKUP(FILTER(INDIRECT(""'""&amp;CI$1&amp;""'!$C$4:$C$66""),INDIRECT(""'""&amp;CI$1&amp;""'!$D$4:$D$66"")=CI$2),$F$3:$BP$3,$F55:$BP55)))"),0.34643335466666664)</f>
        <v>0.3464333547</v>
      </c>
      <c r="CJ55" s="207" t="str">
        <f>IFERROR(__xludf.DUMMYFUNCTION("IF(OR(CI55&gt;$BR55+$BS55*$BS$2,CI55&lt;$BR55-$BS55*$BS$2),AVEDEV(ARRAYFORMULA(XLOOKUP(FILTER(INDIRECT(""'""&amp;CI$1&amp;""'!$C$4:$C$66""),INDIRECT(""'""&amp;CI$1&amp;""'!$D$4:$D$66"")=CI$2),$F$3:$BP$3,$F55:$BP55))),"""")"),"")</f>
        <v/>
      </c>
      <c r="CK55" s="251">
        <f>IFERROR(__xludf.DUMMYFUNCTION("AVERAGE(ARRAYFORMULA(XLOOKUP(FILTER(INDIRECT(""'""&amp;CK$1&amp;""'!$C$4:$C$66""),INDIRECT(""'""&amp;CK$1&amp;""'!$D$4:$D$66"")=CK$2),$F$3:$BP$3,$F55:$BP55)))"),0.14992330000000004)</f>
        <v>0.1499233</v>
      </c>
      <c r="CL55" s="207" t="str">
        <f>IFERROR(__xludf.DUMMYFUNCTION("IF(OR(CK55&gt;$BR55+$BS55*$BS$2,CK55&lt;$BR55-$BS55*$BS$2),AVEDEV(ARRAYFORMULA(XLOOKUP(FILTER(INDIRECT(""'""&amp;CK$1&amp;""'!$C$4:$C$66""),INDIRECT(""'""&amp;CK$1&amp;""'!$D$4:$D$66"")=CK$2),$F$3:$BP$3,$F55:$BP55))),"""")"),"")</f>
        <v/>
      </c>
      <c r="CM55" s="251">
        <f>IFERROR(__xludf.DUMMYFUNCTION("AVERAGE(ARRAYFORMULA(XLOOKUP(FILTER(INDIRECT(""'""&amp;CM$1&amp;""'!$C$4:$C$66""),INDIRECT(""'""&amp;CM$1&amp;""'!$D$4:$D$66"")=CM$2),$F$3:$BP$3,$F55:$BP55)))"),0.18042089999999997)</f>
        <v>0.1804209</v>
      </c>
      <c r="CN55" s="207" t="str">
        <f>IFERROR(__xludf.DUMMYFUNCTION("IF(OR(CM55&gt;$BR55+$BS55*$BS$2,CM55&lt;$BR55-$BS55*$BS$2),AVEDEV(ARRAYFORMULA(XLOOKUP(FILTER(INDIRECT(""'""&amp;CM$1&amp;""'!$C$4:$C$66""),INDIRECT(""'""&amp;CM$1&amp;""'!$D$4:$D$66"")=CM$2),$F$3:$BP$3,$F55:$BP55))),"""")"),"")</f>
        <v/>
      </c>
      <c r="CO55" s="252"/>
      <c r="CP55" s="251">
        <f>IFERROR(__xludf.DUMMYFUNCTION("AVERAGE(ARRAYFORMULA(XLOOKUP(FILTER(INDIRECT(""'""&amp;CP$1&amp;""'!$C$4:$C$66""),INDIRECT(""'""&amp;CP$1&amp;""'!$D$4:$D$66"")=CP$2),$F$3:$BP$3,$F55:$BP55)))"),0.025081916428571407)</f>
        <v>0.02508191643</v>
      </c>
      <c r="CQ55" s="207" t="str">
        <f>IFERROR(__xludf.DUMMYFUNCTION("IF(OR(CP55&gt;$BR55+$BS55*$BS$2,CP55&lt;$BR55-$BS55*$BS$2),AVEDEV(ARRAYFORMULA(XLOOKUP(FILTER(INDIRECT(""'""&amp;CP$1&amp;""'!$C$4:$C$66""),INDIRECT(""'""&amp;CP$1&amp;""'!$D$4:$D$66"")=CP$2),$F$3:$BP$3,$F55:$BP55))),"""")"),"")</f>
        <v/>
      </c>
      <c r="CR55" s="251">
        <f>IFERROR(__xludf.DUMMYFUNCTION("AVERAGE(ARRAYFORMULA(XLOOKUP(FILTER(INDIRECT(""'""&amp;CR$1&amp;""'!$C$4:$C$66""),INDIRECT(""'""&amp;CR$1&amp;""'!$D$4:$D$66"")=CR$2),$F$3:$BP$3,$F55:$BP55)))"),0.2052757322222222)</f>
        <v>0.2052757322</v>
      </c>
      <c r="CS55" s="207" t="str">
        <f>IFERROR(__xludf.DUMMYFUNCTION("IF(OR(CR55&gt;$BR55+$BS55*$BS$2,CR55&lt;$BR55-$BS55*$BS$2),AVEDEV(ARRAYFORMULA(XLOOKUP(FILTER(INDIRECT(""'""&amp;CR$1&amp;""'!$C$4:$C$66""),INDIRECT(""'""&amp;CR$1&amp;""'!$D$4:$D$66"")=CR$2),$F$3:$BP$3,$F55:$BP55))),"""")"),"")</f>
        <v/>
      </c>
      <c r="CT55" s="251">
        <f>IFERROR(__xludf.DUMMYFUNCTION("AVERAGE(ARRAYFORMULA(XLOOKUP(FILTER(INDIRECT(""'""&amp;CT$1&amp;""'!$C$4:$C$66""),INDIRECT(""'""&amp;CT$1&amp;""'!$D$4:$D$66"")=CT$2),$F$3:$BP$3,$F55:$BP55)))"),0.6327951963636363)</f>
        <v>0.6327951964</v>
      </c>
      <c r="CU55" s="207" t="str">
        <f>IFERROR(__xludf.DUMMYFUNCTION("IF(OR(CT55&gt;$BR55+$BS55*$BS$2,CT55&lt;$BR55-$BS55*$BS$2),AVEDEV(ARRAYFORMULA(XLOOKUP(FILTER(INDIRECT(""'""&amp;CT$1&amp;""'!$C$4:$C$66""),INDIRECT(""'""&amp;CT$1&amp;""'!$D$4:$D$66"")=CT$2),$F$3:$BP$3,$F55:$BP55))),"""")"),"")</f>
        <v/>
      </c>
      <c r="CV55" s="251">
        <f>IFERROR(__xludf.DUMMYFUNCTION("AVERAGE(ARRAYFORMULA(XLOOKUP(FILTER(INDIRECT(""'""&amp;CV$1&amp;""'!$C$4:$C$66""),INDIRECT(""'""&amp;CV$1&amp;""'!$D$4:$D$66"")=CV$2),$F$3:$BP$3,$F55:$BP55)))"),0.512768975)</f>
        <v>0.512768975</v>
      </c>
      <c r="CW55" s="207" t="str">
        <f>IFERROR(__xludf.DUMMYFUNCTION("IF(OR(CV55&gt;$BR55+$BS55*$BS$2,CV55&lt;$BR55-$BS55*$BS$2),AVEDEV(ARRAYFORMULA(XLOOKUP(FILTER(INDIRECT(""'""&amp;CV$1&amp;""'!$C$4:$C$66""),INDIRECT(""'""&amp;CV$1&amp;""'!$D$4:$D$66"")=CV$2),$F$3:$BP$3,$F55:$BP55))),"""")"),"")</f>
        <v/>
      </c>
      <c r="CX55" s="251">
        <f>IFERROR(__xludf.DUMMYFUNCTION("AVERAGE(ARRAYFORMULA(XLOOKUP(FILTER(INDIRECT(""'""&amp;CX$1&amp;""'!$C$4:$C$66""),INDIRECT(""'""&amp;CX$1&amp;""'!$D$4:$D$66"")=CX$2),$F$3:$BP$3,$F55:$BP55)))"),-0.03649967714285714)</f>
        <v>-0.03649967714</v>
      </c>
      <c r="CY55" s="207" t="str">
        <f>IFERROR(__xludf.DUMMYFUNCTION("IF(OR(CX55&gt;$BR55+$BS55*$BS$2,CX55&lt;$BR55-$BS55*$BS$2),AVEDEV(ARRAYFORMULA(XLOOKUP(FILTER(INDIRECT(""'""&amp;CX$1&amp;""'!$C$4:$C$66""),INDIRECT(""'""&amp;CX$1&amp;""'!$D$4:$D$66"")=CX$2),$F$3:$BP$3,$F55:$BP55))),"""")"),"")</f>
        <v/>
      </c>
      <c r="CZ55" s="252"/>
      <c r="DA55" s="251">
        <f>IFERROR(__xludf.DUMMYFUNCTION("AVERAGE(ARRAYFORMULA(XLOOKUP(FILTER(INDIRECT(""'""&amp;DA$1&amp;""'!$C$4:$C$66""),INDIRECT(""'""&amp;DA$1&amp;""'!$D$4:$D$66"")=DA$2),$F$3:$BP$3,$F55:$BP55)))"),0.10128478233333335)</f>
        <v>0.1012847823</v>
      </c>
      <c r="DB55" s="207" t="str">
        <f>IFERROR(__xludf.DUMMYFUNCTION("IF(OR(DA55&gt;$BR55+$BS55*$BS$2,DA55&lt;$BR55-$BS55*$BS$2),AVEDEV(ARRAYFORMULA(XLOOKUP(FILTER(INDIRECT(""'""&amp;DA$1&amp;""'!$C$4:$C$66""),INDIRECT(""'""&amp;DA$1&amp;""'!$D$4:$D$66"")=DA$2),$F$3:$BP$3,$F55:$BP55))),"""")"),"")</f>
        <v/>
      </c>
      <c r="DC55" s="251">
        <f>IFERROR(__xludf.DUMMYFUNCTION("AVERAGE(ARRAYFORMULA(XLOOKUP(FILTER(INDIRECT(""'""&amp;DC$1&amp;""'!$C$4:$C$66""),INDIRECT(""'""&amp;DC$1&amp;""'!$D$4:$D$66"")=DC$2),$F$3:$BP$3,$F55:$BP55)))"),0.4915530300000001)</f>
        <v>0.49155303</v>
      </c>
      <c r="DD55" s="207" t="str">
        <f>IFERROR(__xludf.DUMMYFUNCTION("IF(OR(DC55&gt;$BR55+$BS55*$BS$2,DC55&lt;$BR55-$BS55*$BS$2),AVEDEV(ARRAYFORMULA(XLOOKUP(FILTER(INDIRECT(""'""&amp;DC$1&amp;""'!$C$4:$C$66""),INDIRECT(""'""&amp;DC$1&amp;""'!$D$4:$D$66"")=DC$2),$F$3:$BP$3,$F55:$BP55))),"""")"),"")</f>
        <v/>
      </c>
      <c r="DE55" s="251">
        <f>IFERROR(__xludf.DUMMYFUNCTION("AVERAGE(ARRAYFORMULA(XLOOKUP(FILTER(INDIRECT(""'""&amp;DE$1&amp;""'!$C$4:$C$66""),INDIRECT(""'""&amp;DE$1&amp;""'!$D$4:$D$66"")=DE$2),$F$3:$BP$3,$F55:$BP55)))"),0.27137029749999997)</f>
        <v>0.2713702975</v>
      </c>
      <c r="DF55" s="207" t="str">
        <f>IFERROR(__xludf.DUMMYFUNCTION("IF(OR(DE55&gt;$BR55+$BS55*$BS$2,DE55&lt;$BR55-$BS55*$BS$2),AVEDEV(ARRAYFORMULA(XLOOKUP(FILTER(INDIRECT(""'""&amp;DE$1&amp;""'!$C$4:$C$66""),INDIRECT(""'""&amp;DE$1&amp;""'!$D$4:$D$66"")=DE$2),$F$3:$BP$3,$F55:$BP55))),"""")"),"")</f>
        <v/>
      </c>
      <c r="DG55" s="251">
        <f>IFERROR(__xludf.DUMMYFUNCTION("AVERAGE(ARRAYFORMULA(XLOOKUP(FILTER(INDIRECT(""'""&amp;DG$1&amp;""'!$C$4:$C$66""),INDIRECT(""'""&amp;DG$1&amp;""'!$D$4:$D$66"")=DG$2),$F$3:$BP$3,$F55:$BP55)))"),-0.09526813333333334)</f>
        <v>-0.09526813333</v>
      </c>
      <c r="DH55" s="207" t="str">
        <f>IFERROR(__xludf.DUMMYFUNCTION("IF(OR(DG55&gt;$BR55+$BS55*$BS$2,DG55&lt;$BR55-$BS55*$BS$2),AVEDEV(ARRAYFORMULA(XLOOKUP(FILTER(INDIRECT(""'""&amp;DG$1&amp;""'!$C$4:$C$66""),INDIRECT(""'""&amp;DG$1&amp;""'!$D$4:$D$66"")=DG$2),$F$3:$BP$3,$F55:$BP55))),"""")"),"")</f>
        <v/>
      </c>
      <c r="DI55" s="252"/>
    </row>
    <row r="56">
      <c r="A56" s="2"/>
      <c r="B56" s="204" t="s">
        <v>482</v>
      </c>
      <c r="C56" s="204" t="s">
        <v>497</v>
      </c>
      <c r="D56" s="205" t="b">
        <f>VLOOKUP(C56,'Feature Set List'!A53:C246,2,0)</f>
        <v>1</v>
      </c>
      <c r="E56" s="205" t="b">
        <f>VLOOKUP(C56,'Feature Set List'!A53:C246,3,0)</f>
        <v>1</v>
      </c>
      <c r="F56" s="205">
        <v>0.28702602</v>
      </c>
      <c r="G56" s="205">
        <v>-0.7196055</v>
      </c>
      <c r="H56" s="205">
        <v>0.73354872</v>
      </c>
      <c r="I56" s="205">
        <v>-0.1258289</v>
      </c>
      <c r="J56" s="205">
        <v>-0.4424418</v>
      </c>
      <c r="K56" s="205">
        <v>1.13756164</v>
      </c>
      <c r="L56" s="205">
        <v>2.13093011</v>
      </c>
      <c r="M56" s="205">
        <v>-0.5573882</v>
      </c>
      <c r="N56" s="205">
        <v>0.41047441</v>
      </c>
      <c r="O56" s="205">
        <v>-0.3611631</v>
      </c>
      <c r="P56" s="205">
        <v>-0.3805475</v>
      </c>
      <c r="Q56" s="205">
        <v>0.7665363</v>
      </c>
      <c r="R56" s="205">
        <v>-0.4125149</v>
      </c>
      <c r="S56" s="205">
        <v>0.22105084</v>
      </c>
      <c r="T56" s="205">
        <v>0.19656521</v>
      </c>
      <c r="U56" s="205">
        <v>0.19962591</v>
      </c>
      <c r="V56" s="205">
        <v>2.00170039</v>
      </c>
      <c r="W56" s="205">
        <v>0.49345349</v>
      </c>
      <c r="X56" s="205">
        <v>0.0</v>
      </c>
      <c r="Y56" s="205">
        <v>-0.8141473</v>
      </c>
      <c r="Z56" s="205">
        <v>-1.1465397</v>
      </c>
      <c r="AA56" s="205">
        <v>-0.8178881</v>
      </c>
      <c r="AB56" s="205">
        <v>-0.2363544</v>
      </c>
      <c r="AC56" s="205">
        <v>0.02448563</v>
      </c>
      <c r="AD56" s="205">
        <v>0.04353001</v>
      </c>
      <c r="AE56" s="205">
        <v>0.36864479</v>
      </c>
      <c r="AF56" s="205">
        <v>-0.3751063</v>
      </c>
      <c r="AG56" s="205">
        <v>-0.930454</v>
      </c>
      <c r="AH56" s="205">
        <v>0.24383608</v>
      </c>
      <c r="AI56" s="205">
        <v>-1.2581194</v>
      </c>
      <c r="AJ56" s="205">
        <v>0.86379867</v>
      </c>
      <c r="AK56" s="205">
        <v>1.21986057</v>
      </c>
      <c r="AL56" s="205">
        <v>0.16663833</v>
      </c>
      <c r="AM56" s="205">
        <v>0.59853766</v>
      </c>
      <c r="AN56" s="205">
        <v>1.07906819</v>
      </c>
      <c r="AO56" s="205">
        <v>0.08535963</v>
      </c>
      <c r="AP56" s="205">
        <v>0.15779629</v>
      </c>
      <c r="AQ56" s="205">
        <v>-0.6481891</v>
      </c>
      <c r="AR56" s="205">
        <v>-0.0673355</v>
      </c>
      <c r="AS56" s="205">
        <v>0.29246727</v>
      </c>
      <c r="AT56" s="205">
        <v>-0.4920932</v>
      </c>
      <c r="AU56" s="205">
        <v>-0.8634586</v>
      </c>
      <c r="AV56" s="205">
        <v>-0.9273933</v>
      </c>
      <c r="AW56" s="205">
        <v>0.63424588</v>
      </c>
      <c r="AX56" s="205">
        <v>-1.3235164</v>
      </c>
      <c r="AY56" s="205">
        <v>1.61673185</v>
      </c>
      <c r="AZ56" s="205">
        <v>0.95051862</v>
      </c>
      <c r="BA56" s="205">
        <v>-1.1140962</v>
      </c>
      <c r="BB56" s="205">
        <v>-0.7502125</v>
      </c>
      <c r="BC56" s="205">
        <v>1.42764836</v>
      </c>
      <c r="BD56" s="205">
        <v>-0.5665703</v>
      </c>
      <c r="BE56" s="205">
        <v>-0.504336</v>
      </c>
      <c r="BF56" s="205">
        <v>0.43427988</v>
      </c>
      <c r="BG56" s="205">
        <v>-0.1754804</v>
      </c>
      <c r="BH56" s="205">
        <v>-0.0887604</v>
      </c>
      <c r="BI56" s="205">
        <v>-0.5148784</v>
      </c>
      <c r="BJ56" s="205">
        <v>-0.6342459</v>
      </c>
      <c r="BK56" s="205">
        <v>2.04250978</v>
      </c>
      <c r="BL56" s="205">
        <v>-0.2700221</v>
      </c>
      <c r="BM56" s="205">
        <v>-0.4111546</v>
      </c>
      <c r="BN56" s="205">
        <v>-0.7849005</v>
      </c>
      <c r="BO56" s="205">
        <v>0.22071076</v>
      </c>
      <c r="BP56" s="205">
        <v>1.02635606</v>
      </c>
      <c r="BQ56" s="206"/>
      <c r="BR56" s="250">
        <f t="shared" si="1"/>
        <v>0.05334531508</v>
      </c>
      <c r="BS56" s="250">
        <f t="shared" si="2"/>
        <v>0.6495386531</v>
      </c>
      <c r="BT56" s="206"/>
      <c r="BU56" s="207">
        <f>IFERROR(__xludf.DUMMYFUNCTION("AVERAGE(ARRAYFORMULA(XLOOKUP(FILTER(INDIRECT(""'""&amp;BU$1&amp;""'!$C$4:$C$66""),INDIRECT(""'""&amp;BU$1&amp;""'!$D$4:$D$66"")=BU$2),$F$3:$BP$3,$F56:$BP56)))"),0.11534482428571434)</f>
        <v>0.1153448243</v>
      </c>
      <c r="BV56" s="207" t="str">
        <f>IFERROR(__xludf.DUMMYFUNCTION("IF(OR(BU56&gt;$BR56+$BS56*$BS$2,BU56&lt;$BR56-$BS56*$BS$2),AVEDEV(ARRAYFORMULA(XLOOKUP(FILTER(INDIRECT(""'""&amp;BU$1&amp;""'!$C$4:$C$66""),INDIRECT(""'""&amp;BU$1&amp;""'!$D$4:$D$66"")=BU$2),$F$3:$BP$3,$F56:$BP56))),"""")"),"")</f>
        <v/>
      </c>
      <c r="BW56" s="207">
        <f>IFERROR(__xludf.DUMMYFUNCTION("AVERAGE(ARRAYFORMULA(XLOOKUP(FILTER(INDIRECT(""'""&amp;BW$1&amp;""'!$C$4:$C$66""),INDIRECT(""'""&amp;BW$1&amp;""'!$D$4:$D$66"")=BW$2),$F$3:$BP$3,$F56:$BP56)))"),-0.17139861571428572)</f>
        <v>-0.1713986157</v>
      </c>
      <c r="BX56" s="207" t="str">
        <f>IFERROR(__xludf.DUMMYFUNCTION("IF(OR(BW56&gt;$BR56+$BS56*$BS$2,BW56&lt;$BR56-$BS56*$BS$2),AVEDEV(ARRAYFORMULA(XLOOKUP(FILTER(INDIRECT(""'""&amp;BW$1&amp;""'!$C$4:$C$66""),INDIRECT(""'""&amp;BW$1&amp;""'!$D$4:$D$66"")=BW$2),$F$3:$BP$3,$F56:$BP56))),"""")"),"")</f>
        <v/>
      </c>
      <c r="BY56" s="207">
        <f>IFERROR(__xludf.DUMMYFUNCTION("AVERAGE(ARRAYFORMULA(XLOOKUP(FILTER(INDIRECT(""'""&amp;BY$1&amp;""'!$C$4:$C$66""),INDIRECT(""'""&amp;BY$1&amp;""'!$D$4:$D$66"")=BY$2),$F$3:$BP$3,$F56:$BP56)))"),0.7348162781818182)</f>
        <v>0.7348162782</v>
      </c>
      <c r="BZ56" s="207">
        <f>IFERROR(__xludf.DUMMYFUNCTION("IF(OR(BY56&gt;$BR56+$BS56*$BS$2,BY56&lt;$BR56-$BS56*$BS$2),AVEDEV(ARRAYFORMULA(XLOOKUP(FILTER(INDIRECT(""'""&amp;BY$1&amp;""'!$C$4:$C$66""),INDIRECT(""'""&amp;BY$1&amp;""'!$D$4:$D$66"")=BY$2),$F$3:$BP$3,$F56:$BP56))),"""")"),0.756974767107438)</f>
        <v>0.7569747671</v>
      </c>
      <c r="CA56" s="209"/>
      <c r="CB56" s="207">
        <f>IFERROR(__xludf.DUMMYFUNCTION("AVERAGE(ARRAYFORMULA(XLOOKUP(FILTER(INDIRECT(""'""&amp;CB$1&amp;""'!$C$4:$C$66""),INDIRECT(""'""&amp;CB$1&amp;""'!$D$4:$D$66"")=CB$2),$F$3:$BP$3,$F56:$BP56)))"),-0.16770107062500003)</f>
        <v>-0.1677010706</v>
      </c>
      <c r="CC56" s="207" t="str">
        <f>IFERROR(__xludf.DUMMYFUNCTION("IF(OR(CB56&gt;$BR56+$BS56*$BS$2,CB56&lt;$BR56-$BS56*$BS$2),AVEDEV(ARRAYFORMULA(XLOOKUP(FILTER(INDIRECT(""'""&amp;CB$1&amp;""'!$C$4:$C$66""),INDIRECT(""'""&amp;CB$1&amp;""'!$D$4:$D$66"")=CB$2),$F$3:$BP$3,$F56:$BP56))),"""")"),"")</f>
        <v/>
      </c>
      <c r="CD56" s="207">
        <f>IFERROR(__xludf.DUMMYFUNCTION("AVERAGE(ARRAYFORMULA(XLOOKUP(FILTER(INDIRECT(""'""&amp;CD$1&amp;""'!$C$4:$C$66""),INDIRECT(""'""&amp;CD$1&amp;""'!$D$4:$D$66"")=CD$2),$F$3:$BP$3,$F56:$BP56)))"),0.011752441935483892)</f>
        <v>0.01175244194</v>
      </c>
      <c r="CE56" s="207" t="str">
        <f>IFERROR(__xludf.DUMMYFUNCTION("IF(OR(CD56&gt;$BR56+$BS56*$BS$2,CD56&lt;$BR56-$BS56*$BS$2),AVEDEV(ARRAYFORMULA(XLOOKUP(FILTER(INDIRECT(""'""&amp;CD$1&amp;""'!$C$4:$C$66""),INDIRECT(""'""&amp;CD$1&amp;""'!$D$4:$D$66"")=CD$2),$F$3:$BP$3,$F56:$BP56))),"""")"),"")</f>
        <v/>
      </c>
      <c r="CF56" s="207">
        <f>IFERROR(__xludf.DUMMYFUNCTION("AVERAGE(ARRAYFORMULA(XLOOKUP(FILTER(INDIRECT(""'""&amp;CF$1&amp;""'!$C$4:$C$66""),INDIRECT(""'""&amp;CF$1&amp;""'!$D$4:$D$66"")=CF$2),$F$3:$BP$3,$F56:$BP56)))"),0.23547014800000002)</f>
        <v>0.235470148</v>
      </c>
      <c r="CG56" s="207" t="str">
        <f>IFERROR(__xludf.DUMMYFUNCTION("IF(OR(CF56&gt;$BR56+$BS56*$BS$2,CF56&lt;$BR56-$BS56*$BS$2),AVEDEV(ARRAYFORMULA(XLOOKUP(FILTER(INDIRECT(""'""&amp;CF$1&amp;""'!$C$4:$C$66""),INDIRECT(""'""&amp;CF$1&amp;""'!$D$4:$D$66"")=CF$2),$F$3:$BP$3,$F56:$BP56))),"""")"),"")</f>
        <v/>
      </c>
      <c r="CH56" s="206"/>
      <c r="CI56" s="251">
        <f>IFERROR(__xludf.DUMMYFUNCTION("AVERAGE(ARRAYFORMULA(XLOOKUP(FILTER(INDIRECT(""'""&amp;CI$1&amp;""'!$C$4:$C$66""),INDIRECT(""'""&amp;CI$1&amp;""'!$D$4:$D$66"")=CI$2),$F$3:$BP$3,$F56:$BP56)))"),-0.3407447666666667)</f>
        <v>-0.3407447667</v>
      </c>
      <c r="CJ56" s="207" t="str">
        <f>IFERROR(__xludf.DUMMYFUNCTION("IF(OR(CI56&gt;$BR56+$BS56*$BS$2,CI56&lt;$BR56-$BS56*$BS$2),AVEDEV(ARRAYFORMULA(XLOOKUP(FILTER(INDIRECT(""'""&amp;CI$1&amp;""'!$C$4:$C$66""),INDIRECT(""'""&amp;CI$1&amp;""'!$D$4:$D$66"")=CI$2),$F$3:$BP$3,$F56:$BP56))),"""")"),"")</f>
        <v/>
      </c>
      <c r="CK56" s="251">
        <f>IFERROR(__xludf.DUMMYFUNCTION("AVERAGE(ARRAYFORMULA(XLOOKUP(FILTER(INDIRECT(""'""&amp;CK$1&amp;""'!$C$4:$C$66""),INDIRECT(""'""&amp;CK$1&amp;""'!$D$4:$D$66"")=CK$2),$F$3:$BP$3,$F56:$BP56)))"),0.0918708192307692)</f>
        <v>0.09187081923</v>
      </c>
      <c r="CL56" s="207" t="str">
        <f>IFERROR(__xludf.DUMMYFUNCTION("IF(OR(CK56&gt;$BR56+$BS56*$BS$2,CK56&lt;$BR56-$BS56*$BS$2),AVEDEV(ARRAYFORMULA(XLOOKUP(FILTER(INDIRECT(""'""&amp;CK$1&amp;""'!$C$4:$C$66""),INDIRECT(""'""&amp;CK$1&amp;""'!$D$4:$D$66"")=CK$2),$F$3:$BP$3,$F56:$BP56))),"""")"),"")</f>
        <v/>
      </c>
      <c r="CM56" s="251">
        <f>IFERROR(__xludf.DUMMYFUNCTION("AVERAGE(ARRAYFORMULA(XLOOKUP(FILTER(INDIRECT(""'""&amp;CM$1&amp;""'!$C$4:$C$66""),INDIRECT(""'""&amp;CM$1&amp;""'!$D$4:$D$66"")=CM$2),$F$3:$BP$3,$F56:$BP56)))"),0.23547014800000002)</f>
        <v>0.235470148</v>
      </c>
      <c r="CN56" s="207" t="str">
        <f>IFERROR(__xludf.DUMMYFUNCTION("IF(OR(CM56&gt;$BR56+$BS56*$BS$2,CM56&lt;$BR56-$BS56*$BS$2),AVEDEV(ARRAYFORMULA(XLOOKUP(FILTER(INDIRECT(""'""&amp;CM$1&amp;""'!$C$4:$C$66""),INDIRECT(""'""&amp;CM$1&amp;""'!$D$4:$D$66"")=CM$2),$F$3:$BP$3,$F56:$BP56))),"""")"),"")</f>
        <v/>
      </c>
      <c r="CO56" s="252"/>
      <c r="CP56" s="251">
        <f>IFERROR(__xludf.DUMMYFUNCTION("AVERAGE(ARRAYFORMULA(XLOOKUP(FILTER(INDIRECT(""'""&amp;CP$1&amp;""'!$C$4:$C$66""),INDIRECT(""'""&amp;CP$1&amp;""'!$D$4:$D$66"")=CP$2),$F$3:$BP$3,$F56:$BP56)))"),-0.07357835285714287)</f>
        <v>-0.07357835286</v>
      </c>
      <c r="CQ56" s="207" t="str">
        <f>IFERROR(__xludf.DUMMYFUNCTION("IF(OR(CP56&gt;$BR56+$BS56*$BS$2,CP56&lt;$BR56-$BS56*$BS$2),AVEDEV(ARRAYFORMULA(XLOOKUP(FILTER(INDIRECT(""'""&amp;CP$1&amp;""'!$C$4:$C$66""),INDIRECT(""'""&amp;CP$1&amp;""'!$D$4:$D$66"")=CP$2),$F$3:$BP$3,$F56:$BP56))),"""")"),"")</f>
        <v/>
      </c>
      <c r="CR56" s="251">
        <f>IFERROR(__xludf.DUMMYFUNCTION("AVERAGE(ARRAYFORMULA(XLOOKUP(FILTER(INDIRECT(""'""&amp;CR$1&amp;""'!$C$4:$C$66""),INDIRECT(""'""&amp;CR$1&amp;""'!$D$4:$D$66"")=CR$2),$F$3:$BP$3,$F56:$BP56)))"),0.7484743677777778)</f>
        <v>0.7484743678</v>
      </c>
      <c r="CS56" s="207">
        <f>IFERROR(__xludf.DUMMYFUNCTION("IF(OR(CR56&gt;$BR56+$BS56*$BS$2,CR56&lt;$BR56-$BS56*$BS$2),AVEDEV(ARRAYFORMULA(XLOOKUP(FILTER(INDIRECT(""'""&amp;CR$1&amp;""'!$C$4:$C$66""),INDIRECT(""'""&amp;CR$1&amp;""'!$D$4:$D$66"")=CR$2),$F$3:$BP$3,$F56:$BP56))),"""")"),0.7170696197530864)</f>
        <v>0.7170696198</v>
      </c>
      <c r="CT56" s="251">
        <f>IFERROR(__xludf.DUMMYFUNCTION("AVERAGE(ARRAYFORMULA(XLOOKUP(FILTER(INDIRECT(""'""&amp;CT$1&amp;""'!$C$4:$C$66""),INDIRECT(""'""&amp;CT$1&amp;""'!$D$4:$D$66"")=CT$2),$F$3:$BP$3,$F56:$BP56)))"),-0.24381753363636366)</f>
        <v>-0.2438175336</v>
      </c>
      <c r="CU56" s="207" t="str">
        <f>IFERROR(__xludf.DUMMYFUNCTION("IF(OR(CT56&gt;$BR56+$BS56*$BS$2,CT56&lt;$BR56-$BS56*$BS$2),AVEDEV(ARRAYFORMULA(XLOOKUP(FILTER(INDIRECT(""'""&amp;CT$1&amp;""'!$C$4:$C$66""),INDIRECT(""'""&amp;CT$1&amp;""'!$D$4:$D$66"")=CT$2),$F$3:$BP$3,$F56:$BP56))),"""")"),"")</f>
        <v/>
      </c>
      <c r="CV56" s="251">
        <f>IFERROR(__xludf.DUMMYFUNCTION("AVERAGE(ARRAYFORMULA(XLOOKUP(FILTER(INDIRECT(""'""&amp;CV$1&amp;""'!$C$4:$C$66""),INDIRECT(""'""&amp;CV$1&amp;""'!$D$4:$D$66"")=CV$2),$F$3:$BP$3,$F56:$BP56)))"),-0.075497385)</f>
        <v>-0.075497385</v>
      </c>
      <c r="CW56" s="207" t="str">
        <f>IFERROR(__xludf.DUMMYFUNCTION("IF(OR(CV56&gt;$BR56+$BS56*$BS$2,CV56&lt;$BR56-$BS56*$BS$2),AVEDEV(ARRAYFORMULA(XLOOKUP(FILTER(INDIRECT(""'""&amp;CV$1&amp;""'!$C$4:$C$66""),INDIRECT(""'""&amp;CV$1&amp;""'!$D$4:$D$66"")=CV$2),$F$3:$BP$3,$F56:$BP56))),"""")"),"")</f>
        <v/>
      </c>
      <c r="CX56" s="251">
        <f>IFERROR(__xludf.DUMMYFUNCTION("AVERAGE(ARRAYFORMULA(XLOOKUP(FILTER(INDIRECT(""'""&amp;CX$1&amp;""'!$C$4:$C$66""),INDIRECT(""'""&amp;CX$1&amp;""'!$D$4:$D$66"")=CX$2),$F$3:$BP$3,$F56:$BP56)))"),-0.08636772357142856)</f>
        <v>-0.08636772357</v>
      </c>
      <c r="CY56" s="207" t="str">
        <f>IFERROR(__xludf.DUMMYFUNCTION("IF(OR(CX56&gt;$BR56+$BS56*$BS$2,CX56&lt;$BR56-$BS56*$BS$2),AVEDEV(ARRAYFORMULA(XLOOKUP(FILTER(INDIRECT(""'""&amp;CX$1&amp;""'!$C$4:$C$66""),INDIRECT(""'""&amp;CX$1&amp;""'!$D$4:$D$66"")=CX$2),$F$3:$BP$3,$F56:$BP56))),"""")"),"")</f>
        <v/>
      </c>
      <c r="CZ56" s="252"/>
      <c r="DA56" s="251">
        <f>IFERROR(__xludf.DUMMYFUNCTION("AVERAGE(ARRAYFORMULA(XLOOKUP(FILTER(INDIRECT(""'""&amp;DA$1&amp;""'!$C$4:$C$66""),INDIRECT(""'""&amp;DA$1&amp;""'!$D$4:$D$66"")=DA$2),$F$3:$BP$3,$F56:$BP56)))"),-0.11841523433333334)</f>
        <v>-0.1184152343</v>
      </c>
      <c r="DB56" s="207" t="str">
        <f>IFERROR(__xludf.DUMMYFUNCTION("IF(OR(DA56&gt;$BR56+$BS56*$BS$2,DA56&lt;$BR56-$BS56*$BS$2),AVEDEV(ARRAYFORMULA(XLOOKUP(FILTER(INDIRECT(""'""&amp;DA$1&amp;""'!$C$4:$C$66""),INDIRECT(""'""&amp;DA$1&amp;""'!$D$4:$D$66"")=DA$2),$F$3:$BP$3,$F56:$BP56))),"""")"),"")</f>
        <v/>
      </c>
      <c r="DC56" s="251">
        <f>IFERROR(__xludf.DUMMYFUNCTION("AVERAGE(ARRAYFORMULA(XLOOKUP(FILTER(INDIRECT(""'""&amp;DC$1&amp;""'!$C$4:$C$66""),INDIRECT(""'""&amp;DC$1&amp;""'!$D$4:$D$66"")=DC$2),$F$3:$BP$3,$F56:$BP56)))"),0.5815715355555556)</f>
        <v>0.5815715356</v>
      </c>
      <c r="DD56" s="207" t="str">
        <f>IFERROR(__xludf.DUMMYFUNCTION("IF(OR(DC56&gt;$BR56+$BS56*$BS$2,DC56&lt;$BR56-$BS56*$BS$2),AVEDEV(ARRAYFORMULA(XLOOKUP(FILTER(INDIRECT(""'""&amp;DC$1&amp;""'!$C$4:$C$66""),INDIRECT(""'""&amp;DC$1&amp;""'!$D$4:$D$66"")=DC$2),$F$3:$BP$3,$F56:$BP56))),"""")"),"")</f>
        <v/>
      </c>
      <c r="DE56" s="251">
        <f>IFERROR(__xludf.DUMMYFUNCTION("AVERAGE(ARRAYFORMULA(XLOOKUP(FILTER(INDIRECT(""'""&amp;DE$1&amp;""'!$C$4:$C$66""),INDIRECT(""'""&amp;DE$1&amp;""'!$D$4:$D$66"")=DE$2),$F$3:$BP$3,$F56:$BP56)))"),-0.14379782874999997)</f>
        <v>-0.1437978288</v>
      </c>
      <c r="DF56" s="207" t="str">
        <f>IFERROR(__xludf.DUMMYFUNCTION("IF(OR(DE56&gt;$BR56+$BS56*$BS$2,DE56&lt;$BR56-$BS56*$BS$2),AVEDEV(ARRAYFORMULA(XLOOKUP(FILTER(INDIRECT(""'""&amp;DE$1&amp;""'!$C$4:$C$66""),INDIRECT(""'""&amp;DE$1&amp;""'!$D$4:$D$66"")=DE$2),$F$3:$BP$3,$F56:$BP56))),"""")"),"")</f>
        <v/>
      </c>
      <c r="DG56" s="251">
        <f>IFERROR(__xludf.DUMMYFUNCTION("AVERAGE(ARRAYFORMULA(XLOOKUP(FILTER(INDIRECT(""'""&amp;DG$1&amp;""'!$C$4:$C$66""),INDIRECT(""'""&amp;DG$1&amp;""'!$D$4:$D$66"")=DG$2),$F$3:$BP$3,$F56:$BP56)))"),-0.20072172777777778)</f>
        <v>-0.2007217278</v>
      </c>
      <c r="DH56" s="207" t="str">
        <f>IFERROR(__xludf.DUMMYFUNCTION("IF(OR(DG56&gt;$BR56+$BS56*$BS$2,DG56&lt;$BR56-$BS56*$BS$2),AVEDEV(ARRAYFORMULA(XLOOKUP(FILTER(INDIRECT(""'""&amp;DG$1&amp;""'!$C$4:$C$66""),INDIRECT(""'""&amp;DG$1&amp;""'!$D$4:$D$66"")=DG$2),$F$3:$BP$3,$F56:$BP56))),"""")"),"")</f>
        <v/>
      </c>
      <c r="DI56" s="252"/>
    </row>
    <row r="57">
      <c r="A57" s="2"/>
      <c r="B57" s="204" t="s">
        <v>482</v>
      </c>
      <c r="C57" s="204" t="s">
        <v>498</v>
      </c>
      <c r="D57" s="205" t="b">
        <f>VLOOKUP(C57,'Feature Set List'!A54:C246,2,0)</f>
        <v>1</v>
      </c>
      <c r="E57" s="205" t="b">
        <f>VLOOKUP(C57,'Feature Set List'!A54:C246,3,0)</f>
        <v>1</v>
      </c>
      <c r="F57" s="205">
        <v>1.23630548</v>
      </c>
      <c r="G57" s="205">
        <v>-0.0663735</v>
      </c>
      <c r="H57" s="205">
        <v>-0.4454218</v>
      </c>
      <c r="I57" s="205">
        <v>0.42622951</v>
      </c>
      <c r="J57" s="205">
        <v>0.07996801</v>
      </c>
      <c r="K57" s="205">
        <v>-0.6869252</v>
      </c>
      <c r="L57" s="205">
        <v>-1.3672131</v>
      </c>
      <c r="M57" s="205">
        <v>-0.1983207</v>
      </c>
      <c r="N57" s="205">
        <v>0.45901639</v>
      </c>
      <c r="O57" s="205">
        <v>0.41023591</v>
      </c>
      <c r="P57" s="205">
        <v>0.8892443</v>
      </c>
      <c r="Q57" s="205">
        <v>0.55097961</v>
      </c>
      <c r="R57" s="205">
        <v>0.10635746</v>
      </c>
      <c r="S57" s="205">
        <v>0.0</v>
      </c>
      <c r="T57" s="205">
        <v>1.13714514</v>
      </c>
      <c r="U57" s="205">
        <v>0.02958816</v>
      </c>
      <c r="V57" s="205">
        <v>1.03318673</v>
      </c>
      <c r="W57" s="205">
        <v>0.79888045</v>
      </c>
      <c r="X57" s="205">
        <v>-0.0271891</v>
      </c>
      <c r="Y57" s="205">
        <v>0.23990404</v>
      </c>
      <c r="Z57" s="205">
        <v>-0.6429428</v>
      </c>
      <c r="AA57" s="205">
        <v>-0.9507397</v>
      </c>
      <c r="AB57" s="205">
        <v>-0.6757297</v>
      </c>
      <c r="AC57" s="205">
        <v>0.08156737</v>
      </c>
      <c r="AD57" s="205">
        <v>-0.8307077</v>
      </c>
      <c r="AE57" s="205">
        <v>-0.1303479</v>
      </c>
      <c r="AF57" s="205">
        <v>-0.0823671</v>
      </c>
      <c r="AG57" s="205">
        <v>-0.8118353</v>
      </c>
      <c r="AH57" s="205">
        <v>-0.335066</v>
      </c>
      <c r="AI57" s="205">
        <v>-0.9741703</v>
      </c>
      <c r="AJ57" s="205">
        <v>1.35065974</v>
      </c>
      <c r="AK57" s="205">
        <v>0.32147141</v>
      </c>
      <c r="AL57" s="205">
        <v>-1.1277089</v>
      </c>
      <c r="AM57" s="205">
        <v>-0.3142743</v>
      </c>
      <c r="AN57" s="205">
        <v>0.01679328</v>
      </c>
      <c r="AO57" s="205">
        <v>0.12954818</v>
      </c>
      <c r="AP57" s="205">
        <v>-0.4422231</v>
      </c>
      <c r="AQ57" s="205">
        <v>0.47501</v>
      </c>
      <c r="AR57" s="205">
        <v>0.49660136</v>
      </c>
      <c r="AS57" s="205">
        <v>0.48140744</v>
      </c>
      <c r="AT57" s="205">
        <v>0.27988804</v>
      </c>
      <c r="AU57" s="205">
        <v>-0.4854058</v>
      </c>
      <c r="AV57" s="205">
        <v>0.41503399</v>
      </c>
      <c r="AW57" s="205">
        <v>0.64454218</v>
      </c>
      <c r="AX57" s="205">
        <v>-1.1489004</v>
      </c>
      <c r="AY57" s="205">
        <v>-0.7213115</v>
      </c>
      <c r="AZ57" s="205">
        <v>0.54138345</v>
      </c>
      <c r="BA57" s="205">
        <v>-0.0951619</v>
      </c>
      <c r="BB57" s="205">
        <v>0.0</v>
      </c>
      <c r="BC57" s="205">
        <v>-0.3806477</v>
      </c>
      <c r="BD57" s="205">
        <v>1.11955218</v>
      </c>
      <c r="BE57" s="205">
        <v>0.74930028</v>
      </c>
      <c r="BF57" s="205">
        <v>-0.6085566</v>
      </c>
      <c r="BG57" s="205">
        <v>-0.0871651</v>
      </c>
      <c r="BH57" s="205">
        <v>-0.2159136</v>
      </c>
      <c r="BI57" s="205">
        <v>-0.5581767</v>
      </c>
      <c r="BJ57" s="205">
        <v>1.97361056</v>
      </c>
      <c r="BK57" s="205">
        <v>2.97241104</v>
      </c>
      <c r="BL57" s="205">
        <v>-0.2079168</v>
      </c>
      <c r="BM57" s="205">
        <v>1.66093563</v>
      </c>
      <c r="BN57" s="205">
        <v>-0.9544982</v>
      </c>
      <c r="BO57" s="205">
        <v>-0.6685326</v>
      </c>
      <c r="BP57" s="205">
        <v>-0.5901639</v>
      </c>
      <c r="BQ57" s="206"/>
      <c r="BR57" s="250">
        <f t="shared" si="1"/>
        <v>0.06785476698</v>
      </c>
      <c r="BS57" s="250">
        <f t="shared" si="2"/>
        <v>0.6082680128</v>
      </c>
      <c r="BT57" s="206"/>
      <c r="BU57" s="207">
        <f>IFERROR(__xludf.DUMMYFUNCTION("AVERAGE(ARRAYFORMULA(XLOOKUP(FILTER(INDIRECT(""'""&amp;BU$1&amp;""'!$C$4:$C$66""),INDIRECT(""'""&amp;BU$1&amp;""'!$D$4:$D$66"")=BU$2),$F$3:$BP$3,$F57:$BP57)))"),0.685817112857143)</f>
        <v>0.6858171129</v>
      </c>
      <c r="BV57" s="207">
        <f>IFERROR(__xludf.DUMMYFUNCTION("IF(OR(BU57&gt;$BR57+$BS57*$BS$2,BU57&lt;$BR57-$BS57*$BS$2),AVEDEV(ARRAYFORMULA(XLOOKUP(FILTER(INDIRECT(""'""&amp;BU$1&amp;""'!$C$4:$C$66""),INDIRECT(""'""&amp;BU$1&amp;""'!$D$4:$D$66"")=BU$2),$F$3:$BP$3,$F57:$BP57))),"""")"),0.9384915310204082)</f>
        <v>0.938491531</v>
      </c>
      <c r="BW57" s="207">
        <f>IFERROR(__xludf.DUMMYFUNCTION("AVERAGE(ARRAYFORMULA(XLOOKUP(FILTER(INDIRECT(""'""&amp;BW$1&amp;""'!$C$4:$C$66""),INDIRECT(""'""&amp;BW$1&amp;""'!$D$4:$D$66"")=BW$2),$F$3:$BP$3,$F57:$BP57)))"),-0.0014260947619047662)</f>
        <v>-0.001426094762</v>
      </c>
      <c r="BX57" s="207" t="str">
        <f>IFERROR(__xludf.DUMMYFUNCTION("IF(OR(BW57&gt;$BR57+$BS57*$BS$2,BW57&lt;$BR57-$BS57*$BS$2),AVEDEV(ARRAYFORMULA(XLOOKUP(FILTER(INDIRECT(""'""&amp;BW$1&amp;""'!$C$4:$C$66""),INDIRECT(""'""&amp;BW$1&amp;""'!$D$4:$D$66"")=BW$2),$F$3:$BP$3,$F57:$BP57))),"""")"),"")</f>
        <v/>
      </c>
      <c r="BY57" s="207">
        <f>IFERROR(__xludf.DUMMYFUNCTION("AVERAGE(ARRAYFORMULA(XLOOKUP(FILTER(INDIRECT(""'""&amp;BY$1&amp;""'!$C$4:$C$66""),INDIRECT(""'""&amp;BY$1&amp;""'!$D$4:$D$66"")=BY$2),$F$3:$BP$3,$F57:$BP57)))"),0.007291633636363575)</f>
        <v>0.007291633636</v>
      </c>
      <c r="BZ57" s="207" t="str">
        <f>IFERROR(__xludf.DUMMYFUNCTION("IF(OR(BY57&gt;$BR57+$BS57*$BS$2,BY57&lt;$BR57-$BS57*$BS$2),AVEDEV(ARRAYFORMULA(XLOOKUP(FILTER(INDIRECT(""'""&amp;BY$1&amp;""'!$C$4:$C$66""),INDIRECT(""'""&amp;BY$1&amp;""'!$D$4:$D$66"")=BY$2),$F$3:$BP$3,$F57:$BP57))),"""")"),"")</f>
        <v/>
      </c>
      <c r="CA57" s="209"/>
      <c r="CB57" s="207">
        <f>IFERROR(__xludf.DUMMYFUNCTION("AVERAGE(ARRAYFORMULA(XLOOKUP(FILTER(INDIRECT(""'""&amp;CB$1&amp;""'!$C$4:$C$66""),INDIRECT(""'""&amp;CB$1&amp;""'!$D$4:$D$66"")=CB$2),$F$3:$BP$3,$F57:$BP57)))"),0.171791278125)</f>
        <v>0.1717912781</v>
      </c>
      <c r="CC57" s="207" t="str">
        <f>IFERROR(__xludf.DUMMYFUNCTION("IF(OR(CB57&gt;$BR57+$BS57*$BS$2,CB57&lt;$BR57-$BS57*$BS$2),AVEDEV(ARRAYFORMULA(XLOOKUP(FILTER(INDIRECT(""'""&amp;CB$1&amp;""'!$C$4:$C$66""),INDIRECT(""'""&amp;CB$1&amp;""'!$D$4:$D$66"")=CB$2),$F$3:$BP$3,$F57:$BP57))),"""")"),"")</f>
        <v/>
      </c>
      <c r="CD57" s="207">
        <f>IFERROR(__xludf.DUMMYFUNCTION("AVERAGE(ARRAYFORMULA(XLOOKUP(FILTER(INDIRECT(""'""&amp;CD$1&amp;""'!$C$4:$C$66""),INDIRECT(""'""&amp;CD$1&amp;""'!$D$4:$D$66"")=CD$2),$F$3:$BP$3,$F57:$BP57)))"),-0.12092968451612902)</f>
        <v>-0.1209296845</v>
      </c>
      <c r="CE57" s="207" t="str">
        <f>IFERROR(__xludf.DUMMYFUNCTION("IF(OR(CD57&gt;$BR57+$BS57*$BS$2,CD57&lt;$BR57-$BS57*$BS$2),AVEDEV(ARRAYFORMULA(XLOOKUP(FILTER(INDIRECT(""'""&amp;CD$1&amp;""'!$C$4:$C$66""),INDIRECT(""'""&amp;CD$1&amp;""'!$D$4:$D$66"")=CD$2),$F$3:$BP$3,$F57:$BP57))),"""")"),"")</f>
        <v/>
      </c>
      <c r="CF57" s="207">
        <f>IFERROR(__xludf.DUMMYFUNCTION("AVERAGE(ARRAYFORMULA(XLOOKUP(FILTER(INDIRECT(""'""&amp;CF$1&amp;""'!$C$4:$C$66""),INDIRECT(""'""&amp;CF$1&amp;""'!$D$4:$D$66"")=CF$2),$F$3:$BP$3,$F57:$BP57)))"),0.16793282400000004)</f>
        <v>0.167932824</v>
      </c>
      <c r="CG57" s="207" t="str">
        <f>IFERROR(__xludf.DUMMYFUNCTION("IF(OR(CF57&gt;$BR57+$BS57*$BS$2,CF57&lt;$BR57-$BS57*$BS$2),AVEDEV(ARRAYFORMULA(XLOOKUP(FILTER(INDIRECT(""'""&amp;CF$1&amp;""'!$C$4:$C$66""),INDIRECT(""'""&amp;CF$1&amp;""'!$D$4:$D$66"")=CF$2),$F$3:$BP$3,$F57:$BP57))),"""")"),"")</f>
        <v/>
      </c>
      <c r="CH57" s="206"/>
      <c r="CI57" s="251">
        <f>IFERROR(__xludf.DUMMYFUNCTION("AVERAGE(ARRAYFORMULA(XLOOKUP(FILTER(INDIRECT(""'""&amp;CI$1&amp;""'!$C$4:$C$66""),INDIRECT(""'""&amp;CI$1&amp;""'!$D$4:$D$66"")=CI$2),$F$3:$BP$3,$F57:$BP57)))"),-0.04145008066666667)</f>
        <v>-0.04145008067</v>
      </c>
      <c r="CJ57" s="207" t="str">
        <f>IFERROR(__xludf.DUMMYFUNCTION("IF(OR(CI57&gt;$BR57+$BS57*$BS$2,CI57&lt;$BR57-$BS57*$BS$2),AVEDEV(ARRAYFORMULA(XLOOKUP(FILTER(INDIRECT(""'""&amp;CI$1&amp;""'!$C$4:$C$66""),INDIRECT(""'""&amp;CI$1&amp;""'!$D$4:$D$66"")=CI$2),$F$3:$BP$3,$F57:$BP57))),"""")"),"")</f>
        <v/>
      </c>
      <c r="CK57" s="251">
        <f>IFERROR(__xludf.DUMMYFUNCTION("AVERAGE(ARRAYFORMULA(XLOOKUP(FILTER(INDIRECT(""'""&amp;CK$1&amp;""'!$C$4:$C$66""),INDIRECT(""'""&amp;CK$1&amp;""'!$D$4:$D$66"")=CK$2),$F$3:$BP$3,$F57:$BP57)))"),0.041813021282051284)</f>
        <v>0.04181302128</v>
      </c>
      <c r="CL57" s="207" t="str">
        <f>IFERROR(__xludf.DUMMYFUNCTION("IF(OR(CK57&gt;$BR57+$BS57*$BS$2,CK57&lt;$BR57-$BS57*$BS$2),AVEDEV(ARRAYFORMULA(XLOOKUP(FILTER(INDIRECT(""'""&amp;CK$1&amp;""'!$C$4:$C$66""),INDIRECT(""'""&amp;CK$1&amp;""'!$D$4:$D$66"")=CK$2),$F$3:$BP$3,$F57:$BP57))),"""")"),"")</f>
        <v/>
      </c>
      <c r="CM57" s="251">
        <f>IFERROR(__xludf.DUMMYFUNCTION("AVERAGE(ARRAYFORMULA(XLOOKUP(FILTER(INDIRECT(""'""&amp;CM$1&amp;""'!$C$4:$C$66""),INDIRECT(""'""&amp;CM$1&amp;""'!$D$4:$D$66"")=CM$2),$F$3:$BP$3,$F57:$BP57)))"),0.16793282400000004)</f>
        <v>0.167932824</v>
      </c>
      <c r="CN57" s="207" t="str">
        <f>IFERROR(__xludf.DUMMYFUNCTION("IF(OR(CM57&gt;$BR57+$BS57*$BS$2,CM57&lt;$BR57-$BS57*$BS$2),AVEDEV(ARRAYFORMULA(XLOOKUP(FILTER(INDIRECT(""'""&amp;CM$1&amp;""'!$C$4:$C$66""),INDIRECT(""'""&amp;CM$1&amp;""'!$D$4:$D$66"")=CM$2),$F$3:$BP$3,$F57:$BP57))),"""")"),"")</f>
        <v/>
      </c>
      <c r="CO57" s="252"/>
      <c r="CP57" s="251">
        <f>IFERROR(__xludf.DUMMYFUNCTION("AVERAGE(ARRAYFORMULA(XLOOKUP(FILTER(INDIRECT(""'""&amp;CP$1&amp;""'!$C$4:$C$66""),INDIRECT(""'""&amp;CP$1&amp;""'!$D$4:$D$66"")=CP$2),$F$3:$BP$3,$F57:$BP57)))"),0.245741695)</f>
        <v>0.245741695</v>
      </c>
      <c r="CQ57" s="207" t="str">
        <f>IFERROR(__xludf.DUMMYFUNCTION("IF(OR(CP57&gt;$BR57+$BS57*$BS$2,CP57&lt;$BR57-$BS57*$BS$2),AVEDEV(ARRAYFORMULA(XLOOKUP(FILTER(INDIRECT(""'""&amp;CP$1&amp;""'!$C$4:$C$66""),INDIRECT(""'""&amp;CP$1&amp;""'!$D$4:$D$66"")=CP$2),$F$3:$BP$3,$F57:$BP57))),"""")"),"")</f>
        <v/>
      </c>
      <c r="CR57" s="251">
        <f>IFERROR(__xludf.DUMMYFUNCTION("AVERAGE(ARRAYFORMULA(XLOOKUP(FILTER(INDIRECT(""'""&amp;CR$1&amp;""'!$C$4:$C$66""),INDIRECT(""'""&amp;CR$1&amp;""'!$D$4:$D$66"")=CR$2),$F$3:$BP$3,$F57:$BP57)))"),0.11215958555555552)</f>
        <v>0.1121595856</v>
      </c>
      <c r="CS57" s="207" t="str">
        <f>IFERROR(__xludf.DUMMYFUNCTION("IF(OR(CR57&gt;$BR57+$BS57*$BS$2,CR57&lt;$BR57-$BS57*$BS$2),AVEDEV(ARRAYFORMULA(XLOOKUP(FILTER(INDIRECT(""'""&amp;CR$1&amp;""'!$C$4:$C$66""),INDIRECT(""'""&amp;CR$1&amp;""'!$D$4:$D$66"")=CR$2),$F$3:$BP$3,$F57:$BP57))),"""")"),"")</f>
        <v/>
      </c>
      <c r="CT57" s="251">
        <f>IFERROR(__xludf.DUMMYFUNCTION("AVERAGE(ARRAYFORMULA(XLOOKUP(FILTER(INDIRECT(""'""&amp;CT$1&amp;""'!$C$4:$C$66""),INDIRECT(""'""&amp;CT$1&amp;""'!$D$4:$D$66"")=CT$2),$F$3:$BP$3,$F57:$BP57)))"),-0.5809966909090909)</f>
        <v>-0.5809966909</v>
      </c>
      <c r="CU57" s="207">
        <f>IFERROR(__xludf.DUMMYFUNCTION("IF(OR(CT57&gt;$BR57+$BS57*$BS$2,CT57&lt;$BR57-$BS57*$BS$2),AVEDEV(ARRAYFORMULA(XLOOKUP(FILTER(INDIRECT(""'""&amp;CT$1&amp;""'!$C$4:$C$66""),INDIRECT(""'""&amp;CT$1&amp;""'!$D$4:$D$66"")=CT$2),$F$3:$BP$3,$F57:$BP57))),"""")"),0.3355180314049587)</f>
        <v>0.3355180314</v>
      </c>
      <c r="CV57" s="251">
        <f>IFERROR(__xludf.DUMMYFUNCTION("AVERAGE(ARRAYFORMULA(XLOOKUP(FILTER(INDIRECT(""'""&amp;CV$1&amp;""'!$C$4:$C$66""),INDIRECT(""'""&amp;CV$1&amp;""'!$D$4:$D$66"")=CV$2),$F$3:$BP$3,$F57:$BP57)))"),-0.0027988649999999976)</f>
        <v>-0.002798865</v>
      </c>
      <c r="CW57" s="207" t="str">
        <f>IFERROR(__xludf.DUMMYFUNCTION("IF(OR(CV57&gt;$BR57+$BS57*$BS$2,CV57&lt;$BR57-$BS57*$BS$2),AVEDEV(ARRAYFORMULA(XLOOKUP(FILTER(INDIRECT(""'""&amp;CV$1&amp;""'!$C$4:$C$66""),INDIRECT(""'""&amp;CV$1&amp;""'!$D$4:$D$66"")=CV$2),$F$3:$BP$3,$F57:$BP57))),"""")"),"")</f>
        <v/>
      </c>
      <c r="CX57" s="251">
        <f>IFERROR(__xludf.DUMMYFUNCTION("AVERAGE(ARRAYFORMULA(XLOOKUP(FILTER(INDIRECT(""'""&amp;CX$1&amp;""'!$C$4:$C$66""),INDIRECT(""'""&amp;CX$1&amp;""'!$D$4:$D$66"")=CX$2),$F$3:$BP$3,$F57:$BP57)))"),0.11417148214285712)</f>
        <v>0.1141714821</v>
      </c>
      <c r="CY57" s="207" t="str">
        <f>IFERROR(__xludf.DUMMYFUNCTION("IF(OR(CX57&gt;$BR57+$BS57*$BS$2,CX57&lt;$BR57-$BS57*$BS$2),AVEDEV(ARRAYFORMULA(XLOOKUP(FILTER(INDIRECT(""'""&amp;CX$1&amp;""'!$C$4:$C$66""),INDIRECT(""'""&amp;CX$1&amp;""'!$D$4:$D$66"")=CX$2),$F$3:$BP$3,$F57:$BP57))),"""")"),"")</f>
        <v/>
      </c>
      <c r="CZ57" s="252"/>
      <c r="DA57" s="251">
        <f>IFERROR(__xludf.DUMMYFUNCTION("AVERAGE(ARRAYFORMULA(XLOOKUP(FILTER(INDIRECT(""'""&amp;DA$1&amp;""'!$C$4:$C$66""),INDIRECT(""'""&amp;DA$1&amp;""'!$D$4:$D$66"")=DA$2),$F$3:$BP$3,$F57:$BP57)))"),0.033029453)</f>
        <v>0.033029453</v>
      </c>
      <c r="DB57" s="207" t="str">
        <f>IFERROR(__xludf.DUMMYFUNCTION("IF(OR(DA57&gt;$BR57+$BS57*$BS$2,DA57&lt;$BR57-$BS57*$BS$2),AVEDEV(ARRAYFORMULA(XLOOKUP(FILTER(INDIRECT(""'""&amp;DA$1&amp;""'!$C$4:$C$66""),INDIRECT(""'""&amp;DA$1&amp;""'!$D$4:$D$66"")=DA$2),$F$3:$BP$3,$F57:$BP57))),"""")"),"")</f>
        <v/>
      </c>
      <c r="DC57" s="251">
        <f>IFERROR(__xludf.DUMMYFUNCTION("AVERAGE(ARRAYFORMULA(XLOOKUP(FILTER(INDIRECT(""'""&amp;DC$1&amp;""'!$C$4:$C$66""),INDIRECT(""'""&amp;DC$1&amp;""'!$D$4:$D$66"")=DC$2),$F$3:$BP$3,$F57:$BP57)))"),0.05262785222222219)</f>
        <v>0.05262785222</v>
      </c>
      <c r="DD57" s="207" t="str">
        <f>IFERROR(__xludf.DUMMYFUNCTION("IF(OR(DC57&gt;$BR57+$BS57*$BS$2,DC57&lt;$BR57-$BS57*$BS$2),AVEDEV(ARRAYFORMULA(XLOOKUP(FILTER(INDIRECT(""'""&amp;DC$1&amp;""'!$C$4:$C$66""),INDIRECT(""'""&amp;DC$1&amp;""'!$D$4:$D$66"")=DC$2),$F$3:$BP$3,$F57:$BP57))),"""")"),"")</f>
        <v/>
      </c>
      <c r="DE57" s="251">
        <f>IFERROR(__xludf.DUMMYFUNCTION("AVERAGE(ARRAYFORMULA(XLOOKUP(FILTER(INDIRECT(""'""&amp;DE$1&amp;""'!$C$4:$C$66""),INDIRECT(""'""&amp;DE$1&amp;""'!$D$4:$D$66"")=DE$2),$F$3:$BP$3,$F57:$BP57)))"),-0.1542283)</f>
        <v>-0.1542283</v>
      </c>
      <c r="DF57" s="207" t="str">
        <f>IFERROR(__xludf.DUMMYFUNCTION("IF(OR(DE57&gt;$BR57+$BS57*$BS$2,DE57&lt;$BR57-$BS57*$BS$2),AVEDEV(ARRAYFORMULA(XLOOKUP(FILTER(INDIRECT(""'""&amp;DE$1&amp;""'!$C$4:$C$66""),INDIRECT(""'""&amp;DE$1&amp;""'!$D$4:$D$66"")=DE$2),$F$3:$BP$3,$F57:$BP57))),"""")"),"")</f>
        <v/>
      </c>
      <c r="DG57" s="251">
        <f>IFERROR(__xludf.DUMMYFUNCTION("AVERAGE(ARRAYFORMULA(XLOOKUP(FILTER(INDIRECT(""'""&amp;DG$1&amp;""'!$C$4:$C$66""),INDIRECT(""'""&amp;DG$1&amp;""'!$D$4:$D$66"")=DG$2),$F$3:$BP$3,$F57:$BP57)))"),0.03635879444444442)</f>
        <v>0.03635879444</v>
      </c>
      <c r="DH57" s="207" t="str">
        <f>IFERROR(__xludf.DUMMYFUNCTION("IF(OR(DG57&gt;$BR57+$BS57*$BS$2,DG57&lt;$BR57-$BS57*$BS$2),AVEDEV(ARRAYFORMULA(XLOOKUP(FILTER(INDIRECT(""'""&amp;DG$1&amp;""'!$C$4:$C$66""),INDIRECT(""'""&amp;DG$1&amp;""'!$D$4:$D$66"")=DG$2),$F$3:$BP$3,$F57:$BP57))),"""")"),"")</f>
        <v/>
      </c>
      <c r="DI57" s="252"/>
    </row>
    <row r="58">
      <c r="A58" s="2"/>
      <c r="B58" s="204" t="s">
        <v>482</v>
      </c>
      <c r="C58" s="204" t="s">
        <v>499</v>
      </c>
      <c r="D58" s="205" t="b">
        <f>VLOOKUP(C58,'Feature Set List'!A55:C246,2,0)</f>
        <v>1</v>
      </c>
      <c r="E58" s="205" t="b">
        <f>VLOOKUP(C58,'Feature Set List'!A55:C246,3,0)</f>
        <v>1</v>
      </c>
      <c r="F58" s="205">
        <v>-0.5636245</v>
      </c>
      <c r="G58" s="205">
        <v>-0.3178894</v>
      </c>
      <c r="H58" s="205">
        <v>-0.3682297</v>
      </c>
      <c r="I58" s="205">
        <v>0.72788291</v>
      </c>
      <c r="J58" s="205">
        <v>-0.7092384</v>
      </c>
      <c r="K58" s="205">
        <v>1.00177123</v>
      </c>
      <c r="L58" s="205">
        <v>-0.3141605</v>
      </c>
      <c r="M58" s="205">
        <v>0.66001678</v>
      </c>
      <c r="N58" s="205">
        <v>1.1453342</v>
      </c>
      <c r="O58" s="205">
        <v>0.79929151</v>
      </c>
      <c r="P58" s="205">
        <v>-0.2192598</v>
      </c>
      <c r="Q58" s="205">
        <v>0.59233709</v>
      </c>
      <c r="R58" s="205">
        <v>1.82772443</v>
      </c>
      <c r="S58" s="205">
        <v>0.0283397</v>
      </c>
      <c r="T58" s="205">
        <v>-0.7825301</v>
      </c>
      <c r="U58" s="205">
        <v>0.49035145</v>
      </c>
      <c r="V58" s="205">
        <v>0.38780647</v>
      </c>
      <c r="W58" s="205">
        <v>1.93399832</v>
      </c>
      <c r="X58" s="205">
        <v>-0.4976228</v>
      </c>
      <c r="Y58" s="205">
        <v>-0.6885429</v>
      </c>
      <c r="Z58" s="205">
        <v>-0.3395171</v>
      </c>
      <c r="AA58" s="205">
        <v>1.03906032</v>
      </c>
      <c r="AB58" s="205">
        <v>0.02778037</v>
      </c>
      <c r="AC58" s="205">
        <v>-0.4375874</v>
      </c>
      <c r="AD58" s="205">
        <v>-0.1086977</v>
      </c>
      <c r="AE58" s="205">
        <v>0.42677356</v>
      </c>
      <c r="AF58" s="205">
        <v>0.59159131</v>
      </c>
      <c r="AG58" s="205">
        <v>-0.0922905</v>
      </c>
      <c r="AH58" s="205">
        <v>-0.1551226</v>
      </c>
      <c r="AI58" s="205">
        <v>5.86799664</v>
      </c>
      <c r="AJ58" s="205">
        <v>0.1629533</v>
      </c>
      <c r="AK58" s="205">
        <v>-0.4493335</v>
      </c>
      <c r="AL58" s="205">
        <v>-0.5904726</v>
      </c>
      <c r="AM58" s="205">
        <v>-0.2166496</v>
      </c>
      <c r="AN58" s="205">
        <v>0.15735993</v>
      </c>
      <c r="AO58" s="205">
        <v>0.69637364</v>
      </c>
      <c r="AP58" s="205">
        <v>-0.4832665</v>
      </c>
      <c r="AQ58" s="205">
        <v>1.3000839</v>
      </c>
      <c r="AR58" s="205">
        <v>0.00894938</v>
      </c>
      <c r="AS58" s="205">
        <v>-0.0093223</v>
      </c>
      <c r="AT58" s="205">
        <v>0.77468071</v>
      </c>
      <c r="AU58" s="205">
        <v>5.73748485</v>
      </c>
      <c r="AV58" s="205">
        <v>-0.3865014</v>
      </c>
      <c r="AW58" s="205">
        <v>-0.0594761</v>
      </c>
      <c r="AX58" s="205">
        <v>-0.9380815</v>
      </c>
      <c r="AY58" s="205">
        <v>-0.4372145</v>
      </c>
      <c r="AZ58" s="205">
        <v>1.31127063</v>
      </c>
      <c r="BA58" s="205">
        <v>-0.6691526</v>
      </c>
      <c r="BB58" s="205">
        <v>0.2175818</v>
      </c>
      <c r="BC58" s="205">
        <v>-0.2183276</v>
      </c>
      <c r="BD58" s="205">
        <v>-0.0246108</v>
      </c>
      <c r="BE58" s="205">
        <v>0.0467978</v>
      </c>
      <c r="BF58" s="205">
        <v>-0.2597185</v>
      </c>
      <c r="BG58" s="205">
        <v>-0.3794164</v>
      </c>
      <c r="BH58" s="205">
        <v>0.32292346</v>
      </c>
      <c r="BI58" s="205">
        <v>0.0</v>
      </c>
      <c r="BJ58" s="205">
        <v>0.94583761</v>
      </c>
      <c r="BK58" s="205">
        <v>-0.1430036</v>
      </c>
      <c r="BL58" s="205">
        <v>-0.3907896</v>
      </c>
      <c r="BM58" s="205">
        <v>0.9035145</v>
      </c>
      <c r="BN58" s="205">
        <v>-0.7800876</v>
      </c>
      <c r="BO58" s="205">
        <v>0.5045213</v>
      </c>
      <c r="BP58" s="205">
        <v>0.54833597</v>
      </c>
      <c r="BQ58" s="206"/>
      <c r="BR58" s="250">
        <f t="shared" si="1"/>
        <v>0.3040791583</v>
      </c>
      <c r="BS58" s="250">
        <f t="shared" si="2"/>
        <v>0.7377480315</v>
      </c>
      <c r="BT58" s="206"/>
      <c r="BU58" s="207">
        <f>IFERROR(__xludf.DUMMYFUNCTION("AVERAGE(ARRAYFORMULA(XLOOKUP(FILTER(INDIRECT(""'""&amp;BU$1&amp;""'!$C$4:$C$66""),INDIRECT(""'""&amp;BU$1&amp;""'!$D$4:$D$66"")=BU$2),$F$3:$BP$3,$F58:$BP58)))"),-0.06657433571428574)</f>
        <v>-0.06657433571</v>
      </c>
      <c r="BV58" s="207" t="str">
        <f>IFERROR(__xludf.DUMMYFUNCTION("IF(OR(BU58&gt;$BR58+$BS58*$BS$2,BU58&lt;$BR58-$BS58*$BS$2),AVEDEV(ARRAYFORMULA(XLOOKUP(FILTER(INDIRECT(""'""&amp;BU$1&amp;""'!$C$4:$C$66""),INDIRECT(""'""&amp;BU$1&amp;""'!$D$4:$D$66"")=BU$2),$F$3:$BP$3,$F58:$BP58))),"""")"),"")</f>
        <v/>
      </c>
      <c r="BW58" s="207">
        <f>IFERROR(__xludf.DUMMYFUNCTION("AVERAGE(ARRAYFORMULA(XLOOKUP(FILTER(INDIRECT(""'""&amp;BW$1&amp;""'!$C$4:$C$66""),INDIRECT(""'""&amp;BW$1&amp;""'!$D$4:$D$66"")=BW$2),$F$3:$BP$3,$F58:$BP58)))"),0.4210248264285714)</f>
        <v>0.4210248264</v>
      </c>
      <c r="BX58" s="207" t="str">
        <f>IFERROR(__xludf.DUMMYFUNCTION("IF(OR(BW58&gt;$BR58+$BS58*$BS$2,BW58&lt;$BR58-$BS58*$BS$2),AVEDEV(ARRAYFORMULA(XLOOKUP(FILTER(INDIRECT(""'""&amp;BW$1&amp;""'!$C$4:$C$66""),INDIRECT(""'""&amp;BW$1&amp;""'!$D$4:$D$66"")=BW$2),$F$3:$BP$3,$F58:$BP58))),"""")"),"")</f>
        <v/>
      </c>
      <c r="BY58" s="207">
        <f>IFERROR(__xludf.DUMMYFUNCTION("AVERAGE(ARRAYFORMULA(XLOOKUP(FILTER(INDIRECT(""'""&amp;BY$1&amp;""'!$C$4:$C$66""),INDIRECT(""'""&amp;BY$1&amp;""'!$D$4:$D$66"")=BY$2),$F$3:$BP$3,$F58:$BP58)))"),0.15925829090909088)</f>
        <v>0.1592582909</v>
      </c>
      <c r="BZ58" s="207" t="str">
        <f>IFERROR(__xludf.DUMMYFUNCTION("IF(OR(BY58&gt;$BR58+$BS58*$BS$2,BY58&lt;$BR58-$BS58*$BS$2),AVEDEV(ARRAYFORMULA(XLOOKUP(FILTER(INDIRECT(""'""&amp;BY$1&amp;""'!$C$4:$C$66""),INDIRECT(""'""&amp;BY$1&amp;""'!$D$4:$D$66"")=BY$2),$F$3:$BP$3,$F58:$BP58))),"""")"),"")</f>
        <v/>
      </c>
      <c r="CA58" s="209"/>
      <c r="CB58" s="207">
        <f>IFERROR(__xludf.DUMMYFUNCTION("AVERAGE(ARRAYFORMULA(XLOOKUP(FILTER(INDIRECT(""'""&amp;CB$1&amp;""'!$C$4:$C$66""),INDIRECT(""'""&amp;CB$1&amp;""'!$D$4:$D$66"")=CB$2),$F$3:$BP$3,$F58:$BP58)))"),-0.015359613125000005)</f>
        <v>-0.01535961313</v>
      </c>
      <c r="CC58" s="207" t="str">
        <f>IFERROR(__xludf.DUMMYFUNCTION("IF(OR(CB58&gt;$BR58+$BS58*$BS$2,CB58&lt;$BR58-$BS58*$BS$2),AVEDEV(ARRAYFORMULA(XLOOKUP(FILTER(INDIRECT(""'""&amp;CB$1&amp;""'!$C$4:$C$66""),INDIRECT(""'""&amp;CB$1&amp;""'!$D$4:$D$66"")=CB$2),$F$3:$BP$3,$F58:$BP58))),"""")"),"")</f>
        <v/>
      </c>
      <c r="CD58" s="207">
        <f>IFERROR(__xludf.DUMMYFUNCTION("AVERAGE(ARRAYFORMULA(XLOOKUP(FILTER(INDIRECT(""'""&amp;CD$1&amp;""'!$C$4:$C$66""),INDIRECT(""'""&amp;CD$1&amp;""'!$D$4:$D$66"")=CD$2),$F$3:$BP$3,$F58:$BP58)))"),0.5120007709677419)</f>
        <v>0.512000771</v>
      </c>
      <c r="CE58" s="207" t="str">
        <f>IFERROR(__xludf.DUMMYFUNCTION("IF(OR(CD58&gt;$BR58+$BS58*$BS$2,CD58&lt;$BR58-$BS58*$BS$2),AVEDEV(ARRAYFORMULA(XLOOKUP(FILTER(INDIRECT(""'""&amp;CD$1&amp;""'!$C$4:$C$66""),INDIRECT(""'""&amp;CD$1&amp;""'!$D$4:$D$66"")=CD$2),$F$3:$BP$3,$F58:$BP58))),"""")"),"")</f>
        <v/>
      </c>
      <c r="CF58" s="207">
        <f>IFERROR(__xludf.DUMMYFUNCTION("AVERAGE(ARRAYFORMULA(XLOOKUP(FILTER(INDIRECT(""'""&amp;CF$1&amp;""'!$C$4:$C$66""),INDIRECT(""'""&amp;CF$1&amp;""'!$D$4:$D$66"")=CF$2),$F$3:$BP$3,$F58:$BP58)))"),0.37762654399999995)</f>
        <v>0.377626544</v>
      </c>
      <c r="CG58" s="207" t="str">
        <f>IFERROR(__xludf.DUMMYFUNCTION("IF(OR(CF58&gt;$BR58+$BS58*$BS$2,CF58&lt;$BR58-$BS58*$BS$2),AVEDEV(ARRAYFORMULA(XLOOKUP(FILTER(INDIRECT(""'""&amp;CF$1&amp;""'!$C$4:$C$66""),INDIRECT(""'""&amp;CF$1&amp;""'!$D$4:$D$66"")=CF$2),$F$3:$BP$3,$F58:$BP58))),"""")"),"")</f>
        <v/>
      </c>
      <c r="CH58" s="206"/>
      <c r="CI58" s="251">
        <f>IFERROR(__xludf.DUMMYFUNCTION("AVERAGE(ARRAYFORMULA(XLOOKUP(FILTER(INDIRECT(""'""&amp;CI$1&amp;""'!$C$4:$C$66""),INDIRECT(""'""&amp;CI$1&amp;""'!$D$4:$D$66"")=CI$2),$F$3:$BP$3,$F58:$BP58)))"),-0.03982598733333334)</f>
        <v>-0.03982598733</v>
      </c>
      <c r="CJ58" s="207" t="str">
        <f>IFERROR(__xludf.DUMMYFUNCTION("IF(OR(CI58&gt;$BR58+$BS58*$BS$2,CI58&lt;$BR58-$BS58*$BS$2),AVEDEV(ARRAYFORMULA(XLOOKUP(FILTER(INDIRECT(""'""&amp;CI$1&amp;""'!$C$4:$C$66""),INDIRECT(""'""&amp;CI$1&amp;""'!$D$4:$D$66"")=CI$2),$F$3:$BP$3,$F58:$BP58))),"""")"),"")</f>
        <v/>
      </c>
      <c r="CK58" s="251">
        <f>IFERROR(__xludf.DUMMYFUNCTION("AVERAGE(ARRAYFORMULA(XLOOKUP(FILTER(INDIRECT(""'""&amp;CK$1&amp;""'!$C$4:$C$66""),INDIRECT(""'""&amp;CK$1&amp;""'!$D$4:$D$66"")=CK$2),$F$3:$BP$3,$F58:$BP58)))"),0.456951903846154)</f>
        <v>0.4569519038</v>
      </c>
      <c r="CL58" s="207" t="str">
        <f>IFERROR(__xludf.DUMMYFUNCTION("IF(OR(CK58&gt;$BR58+$BS58*$BS$2,CK58&lt;$BR58-$BS58*$BS$2),AVEDEV(ARRAYFORMULA(XLOOKUP(FILTER(INDIRECT(""'""&amp;CK$1&amp;""'!$C$4:$C$66""),INDIRECT(""'""&amp;CK$1&amp;""'!$D$4:$D$66"")=CK$2),$F$3:$BP$3,$F58:$BP58))),"""")"),"")</f>
        <v/>
      </c>
      <c r="CM58" s="251">
        <f>IFERROR(__xludf.DUMMYFUNCTION("AVERAGE(ARRAYFORMULA(XLOOKUP(FILTER(INDIRECT(""'""&amp;CM$1&amp;""'!$C$4:$C$66""),INDIRECT(""'""&amp;CM$1&amp;""'!$D$4:$D$66"")=CM$2),$F$3:$BP$3,$F58:$BP58)))"),0.37762654399999995)</f>
        <v>0.377626544</v>
      </c>
      <c r="CN58" s="207" t="str">
        <f>IFERROR(__xludf.DUMMYFUNCTION("IF(OR(CM58&gt;$BR58+$BS58*$BS$2,CM58&lt;$BR58-$BS58*$BS$2),AVEDEV(ARRAYFORMULA(XLOOKUP(FILTER(INDIRECT(""'""&amp;CM$1&amp;""'!$C$4:$C$66""),INDIRECT(""'""&amp;CM$1&amp;""'!$D$4:$D$66"")=CM$2),$F$3:$BP$3,$F58:$BP58))),"""")"),"")</f>
        <v/>
      </c>
      <c r="CO58" s="252"/>
      <c r="CP58" s="251">
        <f>IFERROR(__xludf.DUMMYFUNCTION("AVERAGE(ARRAYFORMULA(XLOOKUP(FILTER(INDIRECT(""'""&amp;CP$1&amp;""'!$C$4:$C$66""),INDIRECT(""'""&amp;CP$1&amp;""'!$D$4:$D$66"")=CP$2),$F$3:$BP$3,$F58:$BP58)))"),0.17292812142857145)</f>
        <v>0.1729281214</v>
      </c>
      <c r="CQ58" s="207" t="str">
        <f>IFERROR(__xludf.DUMMYFUNCTION("IF(OR(CP58&gt;$BR58+$BS58*$BS$2,CP58&lt;$BR58-$BS58*$BS$2),AVEDEV(ARRAYFORMULA(XLOOKUP(FILTER(INDIRECT(""'""&amp;CP$1&amp;""'!$C$4:$C$66""),INDIRECT(""'""&amp;CP$1&amp;""'!$D$4:$D$66"")=CP$2),$F$3:$BP$3,$F58:$BP58))),"""")"),"")</f>
        <v/>
      </c>
      <c r="CR58" s="251">
        <f>IFERROR(__xludf.DUMMYFUNCTION("AVERAGE(ARRAYFORMULA(XLOOKUP(FILTER(INDIRECT(""'""&amp;CR$1&amp;""'!$C$4:$C$66""),INDIRECT(""'""&amp;CR$1&amp;""'!$D$4:$D$66"")=CR$2),$F$3:$BP$3,$F58:$BP58)))"),0.28664947777777783)</f>
        <v>0.2866494778</v>
      </c>
      <c r="CS58" s="207" t="str">
        <f>IFERROR(__xludf.DUMMYFUNCTION("IF(OR(CR58&gt;$BR58+$BS58*$BS$2,CR58&lt;$BR58-$BS58*$BS$2),AVEDEV(ARRAYFORMULA(XLOOKUP(FILTER(INDIRECT(""'""&amp;CR$1&amp;""'!$C$4:$C$66""),INDIRECT(""'""&amp;CR$1&amp;""'!$D$4:$D$66"")=CR$2),$F$3:$BP$3,$F58:$BP58))),"""")"),"")</f>
        <v/>
      </c>
      <c r="CT58" s="251">
        <f>IFERROR(__xludf.DUMMYFUNCTION("AVERAGE(ARRAYFORMULA(XLOOKUP(FILTER(INDIRECT(""'""&amp;CT$1&amp;""'!$C$4:$C$66""),INDIRECT(""'""&amp;CT$1&amp;""'!$D$4:$D$66"")=CT$2),$F$3:$BP$3,$F58:$BP58)))"),0.5566751700000001)</f>
        <v>0.55667517</v>
      </c>
      <c r="CU58" s="207" t="str">
        <f>IFERROR(__xludf.DUMMYFUNCTION("IF(OR(CT58&gt;$BR58+$BS58*$BS$2,CT58&lt;$BR58-$BS58*$BS$2),AVEDEV(ARRAYFORMULA(XLOOKUP(FILTER(INDIRECT(""'""&amp;CT$1&amp;""'!$C$4:$C$66""),INDIRECT(""'""&amp;CT$1&amp;""'!$D$4:$D$66"")=CT$2),$F$3:$BP$3,$F58:$BP58))),"""")"),"")</f>
        <v/>
      </c>
      <c r="CV58" s="251">
        <f>IFERROR(__xludf.DUMMYFUNCTION("AVERAGE(ARRAYFORMULA(XLOOKUP(FILTER(INDIRECT(""'""&amp;CV$1&amp;""'!$C$4:$C$66""),INDIRECT(""'""&amp;CV$1&amp;""'!$D$4:$D$66"")=CV$2),$F$3:$BP$3,$F58:$BP58)))"),-0.4085019)</f>
        <v>-0.4085019</v>
      </c>
      <c r="CW58" s="207" t="str">
        <f>IFERROR(__xludf.DUMMYFUNCTION("IF(OR(CV58&gt;$BR58+$BS58*$BS$2,CV58&lt;$BR58-$BS58*$BS$2),AVEDEV(ARRAYFORMULA(XLOOKUP(FILTER(INDIRECT(""'""&amp;CV$1&amp;""'!$C$4:$C$66""),INDIRECT(""'""&amp;CV$1&amp;""'!$D$4:$D$66"")=CV$2),$F$3:$BP$3,$F58:$BP58))),"""")"),"")</f>
        <v/>
      </c>
      <c r="CX58" s="251">
        <f>IFERROR(__xludf.DUMMYFUNCTION("AVERAGE(ARRAYFORMULA(XLOOKUP(FILTER(INDIRECT(""'""&amp;CX$1&amp;""'!$C$4:$C$66""),INDIRECT(""'""&amp;CX$1&amp;""'!$D$4:$D$66"")=CX$2),$F$3:$BP$3,$F58:$BP58)))"),0.7299071757142858)</f>
        <v>0.7299071757</v>
      </c>
      <c r="CY58" s="207" t="str">
        <f>IFERROR(__xludf.DUMMYFUNCTION("IF(OR(CX58&gt;$BR58+$BS58*$BS$2,CX58&lt;$BR58-$BS58*$BS$2),AVEDEV(ARRAYFORMULA(XLOOKUP(FILTER(INDIRECT(""'""&amp;CX$1&amp;""'!$C$4:$C$66""),INDIRECT(""'""&amp;CX$1&amp;""'!$D$4:$D$66"")=CX$2),$F$3:$BP$3,$F58:$BP58))),"""")"),"")</f>
        <v/>
      </c>
      <c r="CZ58" s="252"/>
      <c r="DA58" s="251">
        <f>IFERROR(__xludf.DUMMYFUNCTION("AVERAGE(ARRAYFORMULA(XLOOKUP(FILTER(INDIRECT(""'""&amp;DA$1&amp;""'!$C$4:$C$66""),INDIRECT(""'""&amp;DA$1&amp;""'!$D$4:$D$66"")=DA$2),$F$3:$BP$3,$F58:$BP58)))"),0.08398122733333334)</f>
        <v>0.08398122733</v>
      </c>
      <c r="DB58" s="207" t="str">
        <f>IFERROR(__xludf.DUMMYFUNCTION("IF(OR(DA58&gt;$BR58+$BS58*$BS$2,DA58&lt;$BR58-$BS58*$BS$2),AVEDEV(ARRAYFORMULA(XLOOKUP(FILTER(INDIRECT(""'""&amp;DA$1&amp;""'!$C$4:$C$66""),INDIRECT(""'""&amp;DA$1&amp;""'!$D$4:$D$66"")=DA$2),$F$3:$BP$3,$F58:$BP58))),"""")"),"")</f>
        <v/>
      </c>
      <c r="DC58" s="251">
        <f>IFERROR(__xludf.DUMMYFUNCTION("AVERAGE(ARRAYFORMULA(XLOOKUP(FILTER(INDIRECT(""'""&amp;DC$1&amp;""'!$C$4:$C$66""),INDIRECT(""'""&amp;DC$1&amp;""'!$D$4:$D$66"")=DC$2),$F$3:$BP$3,$F58:$BP58)))"),0.8885988655555557)</f>
        <v>0.8885988656</v>
      </c>
      <c r="DD58" s="207" t="str">
        <f>IFERROR(__xludf.DUMMYFUNCTION("IF(OR(DC58&gt;$BR58+$BS58*$BS$2,DC58&lt;$BR58-$BS58*$BS$2),AVEDEV(ARRAYFORMULA(XLOOKUP(FILTER(INDIRECT(""'""&amp;DC$1&amp;""'!$C$4:$C$66""),INDIRECT(""'""&amp;DC$1&amp;""'!$D$4:$D$66"")=DC$2),$F$3:$BP$3,$F58:$BP58))),"""")"),"")</f>
        <v/>
      </c>
      <c r="DE58" s="251">
        <f>IFERROR(__xludf.DUMMYFUNCTION("AVERAGE(ARRAYFORMULA(XLOOKUP(FILTER(INDIRECT(""'""&amp;DE$1&amp;""'!$C$4:$C$66""),INDIRECT(""'""&amp;DE$1&amp;""'!$D$4:$D$66"")=DE$2),$F$3:$BP$3,$F58:$BP58)))"),0.8670061450000001)</f>
        <v>0.867006145</v>
      </c>
      <c r="DF58" s="207" t="str">
        <f>IFERROR(__xludf.DUMMYFUNCTION("IF(OR(DE58&gt;$BR58+$BS58*$BS$2,DE58&lt;$BR58-$BS58*$BS$2),AVEDEV(ARRAYFORMULA(XLOOKUP(FILTER(INDIRECT(""'""&amp;DE$1&amp;""'!$C$4:$C$66""),INDIRECT(""'""&amp;DE$1&amp;""'!$D$4:$D$66"")=DE$2),$F$3:$BP$3,$F58:$BP58))),"""")"),"")</f>
        <v/>
      </c>
      <c r="DG58" s="251">
        <f>IFERROR(__xludf.DUMMYFUNCTION("AVERAGE(ARRAYFORMULA(XLOOKUP(FILTER(INDIRECT(""'""&amp;DG$1&amp;""'!$C$4:$C$66""),INDIRECT(""'""&amp;DG$1&amp;""'!$D$4:$D$66"")=DG$2),$F$3:$BP$3,$F58:$BP58)))"),-0.19249452888888888)</f>
        <v>-0.1924945289</v>
      </c>
      <c r="DH58" s="207" t="str">
        <f>IFERROR(__xludf.DUMMYFUNCTION("IF(OR(DG58&gt;$BR58+$BS58*$BS$2,DG58&lt;$BR58-$BS58*$BS$2),AVEDEV(ARRAYFORMULA(XLOOKUP(FILTER(INDIRECT(""'""&amp;DG$1&amp;""'!$C$4:$C$66""),INDIRECT(""'""&amp;DG$1&amp;""'!$D$4:$D$66"")=DG$2),$F$3:$BP$3,$F58:$BP58))),"""")"),"")</f>
        <v/>
      </c>
      <c r="DI58" s="252"/>
    </row>
    <row r="59">
      <c r="A59" s="2"/>
      <c r="B59" s="204" t="s">
        <v>482</v>
      </c>
      <c r="C59" s="204" t="s">
        <v>500</v>
      </c>
      <c r="D59" s="205" t="b">
        <f>VLOOKUP(C59,'Feature Set List'!A56:C246,2,0)</f>
        <v>1</v>
      </c>
      <c r="E59" s="205" t="b">
        <f>VLOOKUP(C59,'Feature Set List'!A56:C246,3,0)</f>
        <v>1</v>
      </c>
      <c r="F59" s="205">
        <v>-0.5199368</v>
      </c>
      <c r="G59" s="205">
        <v>0.31688038</v>
      </c>
      <c r="H59" s="205">
        <v>-0.6291937</v>
      </c>
      <c r="I59" s="205">
        <v>0.10679782</v>
      </c>
      <c r="J59" s="205">
        <v>-0.5266116</v>
      </c>
      <c r="K59" s="205">
        <v>0.40236548</v>
      </c>
      <c r="L59" s="205">
        <v>-0.3514257</v>
      </c>
      <c r="M59" s="205">
        <v>0.49136366</v>
      </c>
      <c r="N59" s="205">
        <v>0.63657123</v>
      </c>
      <c r="O59" s="205">
        <v>1.68698402</v>
      </c>
      <c r="P59" s="205">
        <v>0.0</v>
      </c>
      <c r="Q59" s="205">
        <v>0.61783477</v>
      </c>
      <c r="R59" s="205">
        <v>0.49721881</v>
      </c>
      <c r="S59" s="205">
        <v>0.42227297</v>
      </c>
      <c r="T59" s="205">
        <v>-0.519117</v>
      </c>
      <c r="U59" s="205">
        <v>0.91996019</v>
      </c>
      <c r="V59" s="205">
        <v>0.07834182</v>
      </c>
      <c r="W59" s="205">
        <v>-0.3524797</v>
      </c>
      <c r="X59" s="205">
        <v>-0.5479244</v>
      </c>
      <c r="Y59" s="205">
        <v>0.08665613</v>
      </c>
      <c r="Z59" s="205">
        <v>-0.7356403</v>
      </c>
      <c r="AA59" s="205">
        <v>-0.72393</v>
      </c>
      <c r="AB59" s="205">
        <v>-0.4419462</v>
      </c>
      <c r="AC59" s="205">
        <v>-0.0981322</v>
      </c>
      <c r="AD59" s="205">
        <v>-0.0203759</v>
      </c>
      <c r="AE59" s="205">
        <v>0.47379823</v>
      </c>
      <c r="AF59" s="205">
        <v>-0.7384507</v>
      </c>
      <c r="AG59" s="205">
        <v>-0.4923005</v>
      </c>
      <c r="AH59" s="205">
        <v>0.90473681</v>
      </c>
      <c r="AI59" s="205">
        <v>-0.6505065</v>
      </c>
      <c r="AJ59" s="205">
        <v>0.01721412</v>
      </c>
      <c r="AK59" s="205">
        <v>-0.4241466</v>
      </c>
      <c r="AL59" s="205">
        <v>-0.5234499</v>
      </c>
      <c r="AM59" s="205">
        <v>0.31453832</v>
      </c>
      <c r="AN59" s="205">
        <v>0.83213303</v>
      </c>
      <c r="AO59" s="205">
        <v>0.16593477</v>
      </c>
      <c r="AP59" s="205">
        <v>-0.5793079</v>
      </c>
      <c r="AQ59" s="205">
        <v>2.31231337</v>
      </c>
      <c r="AR59" s="205">
        <v>0.54757304</v>
      </c>
      <c r="AS59" s="205">
        <v>-0.1580889</v>
      </c>
      <c r="AT59" s="205">
        <v>1.9469524</v>
      </c>
      <c r="AU59" s="205">
        <v>-0.4874993</v>
      </c>
      <c r="AV59" s="205">
        <v>1.40008197</v>
      </c>
      <c r="AW59" s="205">
        <v>0.93635459</v>
      </c>
      <c r="AX59" s="205">
        <v>0.44920663</v>
      </c>
      <c r="AY59" s="205">
        <v>-0.0813865</v>
      </c>
      <c r="AZ59" s="205">
        <v>-0.4287136</v>
      </c>
      <c r="BA59" s="205">
        <v>-0.7794367</v>
      </c>
      <c r="BB59" s="205">
        <v>0.91293401</v>
      </c>
      <c r="BC59" s="205">
        <v>-0.4646642</v>
      </c>
      <c r="BD59" s="205">
        <v>-0.4752035</v>
      </c>
      <c r="BE59" s="205">
        <v>-0.6116283</v>
      </c>
      <c r="BF59" s="205">
        <v>-0.2920546</v>
      </c>
      <c r="BG59" s="205">
        <v>-0.1474325</v>
      </c>
      <c r="BH59" s="205">
        <v>1.00427425</v>
      </c>
      <c r="BI59" s="205">
        <v>1.41881843</v>
      </c>
      <c r="BJ59" s="205">
        <v>0.31570935</v>
      </c>
      <c r="BK59" s="205">
        <v>-0.5878564</v>
      </c>
      <c r="BL59" s="205">
        <v>-0.5255577</v>
      </c>
      <c r="BM59" s="205">
        <v>0.17565431</v>
      </c>
      <c r="BN59" s="205">
        <v>-0.5849289</v>
      </c>
      <c r="BO59" s="205">
        <v>0.76304233</v>
      </c>
      <c r="BP59" s="205">
        <v>0.3543533</v>
      </c>
      <c r="BQ59" s="206"/>
      <c r="BR59" s="250">
        <f t="shared" si="1"/>
        <v>0.1112626006</v>
      </c>
      <c r="BS59" s="250">
        <f t="shared" si="2"/>
        <v>0.5782784264</v>
      </c>
      <c r="BT59" s="206"/>
      <c r="BU59" s="207">
        <f>IFERROR(__xludf.DUMMYFUNCTION("AVERAGE(ARRAYFORMULA(XLOOKUP(FILTER(INDIRECT(""'""&amp;BU$1&amp;""'!$C$4:$C$66""),INDIRECT(""'""&amp;BU$1&amp;""'!$D$4:$D$66"")=BU$2),$F$3:$BP$3,$F59:$BP59)))"),-0.20467909142857144)</f>
        <v>-0.2046790914</v>
      </c>
      <c r="BV59" s="207" t="str">
        <f>IFERROR(__xludf.DUMMYFUNCTION("IF(OR(BU59&gt;$BR59+$BS59*$BS$2,BU59&lt;$BR59-$BS59*$BS$2),AVEDEV(ARRAYFORMULA(XLOOKUP(FILTER(INDIRECT(""'""&amp;BU$1&amp;""'!$C$4:$C$66""),INDIRECT(""'""&amp;BU$1&amp;""'!$D$4:$D$66"")=BU$2),$F$3:$BP$3,$F59:$BP59))),"""")"),"")</f>
        <v/>
      </c>
      <c r="BW59" s="207">
        <f>IFERROR(__xludf.DUMMYFUNCTION("AVERAGE(ARRAYFORMULA(XLOOKUP(FILTER(INDIRECT(""'""&amp;BW$1&amp;""'!$C$4:$C$66""),INDIRECT(""'""&amp;BW$1&amp;""'!$D$4:$D$66"")=BW$2),$F$3:$BP$3,$F59:$BP59)))"),0.16619964666666662)</f>
        <v>0.1661996467</v>
      </c>
      <c r="BX59" s="207" t="str">
        <f>IFERROR(__xludf.DUMMYFUNCTION("IF(OR(BW59&gt;$BR59+$BS59*$BS$2,BW59&lt;$BR59-$BS59*$BS$2),AVEDEV(ARRAYFORMULA(XLOOKUP(FILTER(INDIRECT(""'""&amp;BW$1&amp;""'!$C$4:$C$66""),INDIRECT(""'""&amp;BW$1&amp;""'!$D$4:$D$66"")=BW$2),$F$3:$BP$3,$F59:$BP59))),"""")"),"")</f>
        <v/>
      </c>
      <c r="BY59" s="207">
        <f>IFERROR(__xludf.DUMMYFUNCTION("AVERAGE(ARRAYFORMULA(XLOOKUP(FILTER(INDIRECT(""'""&amp;BY$1&amp;""'!$C$4:$C$66""),INDIRECT(""'""&amp;BY$1&amp;""'!$D$4:$D$66"")=BY$2),$F$3:$BP$3,$F59:$BP59)))"),0.05534707454545454)</f>
        <v>0.05534707455</v>
      </c>
      <c r="BZ59" s="207" t="str">
        <f>IFERROR(__xludf.DUMMYFUNCTION("IF(OR(BY59&gt;$BR59+$BS59*$BS$2,BY59&lt;$BR59-$BS59*$BS$2),AVEDEV(ARRAYFORMULA(XLOOKUP(FILTER(INDIRECT(""'""&amp;BY$1&amp;""'!$C$4:$C$66""),INDIRECT(""'""&amp;BY$1&amp;""'!$D$4:$D$66"")=BY$2),$F$3:$BP$3,$F59:$BP59))),"""")"),"")</f>
        <v/>
      </c>
      <c r="CA59" s="209"/>
      <c r="CB59" s="207">
        <f>IFERROR(__xludf.DUMMYFUNCTION("AVERAGE(ARRAYFORMULA(XLOOKUP(FILTER(INDIRECT(""'""&amp;CB$1&amp;""'!$C$4:$C$66""),INDIRECT(""'""&amp;CB$1&amp;""'!$D$4:$D$66"")=CB$2),$F$3:$BP$3,$F59:$BP59)))"),0.02437204499999998)</f>
        <v>0.024372045</v>
      </c>
      <c r="CC59" s="207" t="str">
        <f>IFERROR(__xludf.DUMMYFUNCTION("IF(OR(CB59&gt;$BR59+$BS59*$BS$2,CB59&lt;$BR59-$BS59*$BS$2),AVEDEV(ARRAYFORMULA(XLOOKUP(FILTER(INDIRECT(""'""&amp;CB$1&amp;""'!$C$4:$C$66""),INDIRECT(""'""&amp;CB$1&amp;""'!$D$4:$D$66"")=CB$2),$F$3:$BP$3,$F59:$BP59))),"""")"),"")</f>
        <v/>
      </c>
      <c r="CD59" s="207">
        <f>IFERROR(__xludf.DUMMYFUNCTION("AVERAGE(ARRAYFORMULA(XLOOKUP(FILTER(INDIRECT(""'""&amp;CD$1&amp;""'!$C$4:$C$66""),INDIRECT(""'""&amp;CD$1&amp;""'!$D$4:$D$66"")=CD$2),$F$3:$BP$3,$F59:$BP59)))"),0.07485139677419356)</f>
        <v>0.07485139677</v>
      </c>
      <c r="CE59" s="207" t="str">
        <f>IFERROR(__xludf.DUMMYFUNCTION("IF(OR(CD59&gt;$BR59+$BS59*$BS$2,CD59&lt;$BR59-$BS59*$BS$2),AVEDEV(ARRAYFORMULA(XLOOKUP(FILTER(INDIRECT(""'""&amp;CD$1&amp;""'!$C$4:$C$66""),INDIRECT(""'""&amp;CD$1&amp;""'!$D$4:$D$66"")=CD$2),$F$3:$BP$3,$F59:$BP59))),"""")"),"")</f>
        <v/>
      </c>
      <c r="CF59" s="207">
        <f>IFERROR(__xludf.DUMMYFUNCTION("AVERAGE(ARRAYFORMULA(XLOOKUP(FILTER(INDIRECT(""'""&amp;CF$1&amp;""'!$C$4:$C$66""),INDIRECT(""'""&amp;CF$1&amp;""'!$D$4:$D$66"")=CF$2),$F$3:$BP$3,$F59:$BP59)))"),0.3872123659999999)</f>
        <v>0.387212366</v>
      </c>
      <c r="CG59" s="207" t="str">
        <f>IFERROR(__xludf.DUMMYFUNCTION("IF(OR(CF59&gt;$BR59+$BS59*$BS$2,CF59&lt;$BR59-$BS59*$BS$2),AVEDEV(ARRAYFORMULA(XLOOKUP(FILTER(INDIRECT(""'""&amp;CF$1&amp;""'!$C$4:$C$66""),INDIRECT(""'""&amp;CF$1&amp;""'!$D$4:$D$66"")=CF$2),$F$3:$BP$3,$F59:$BP59))),"""")"),"")</f>
        <v/>
      </c>
      <c r="CH59" s="206"/>
      <c r="CI59" s="251">
        <f>IFERROR(__xludf.DUMMYFUNCTION("AVERAGE(ARRAYFORMULA(XLOOKUP(FILTER(INDIRECT(""'""&amp;CI$1&amp;""'!$C$4:$C$66""),INDIRECT(""'""&amp;CI$1&amp;""'!$D$4:$D$66"")=CI$2),$F$3:$BP$3,$F59:$BP59)))"),-0.42570018933333337)</f>
        <v>-0.4257001893</v>
      </c>
      <c r="CJ59" s="207" t="str">
        <f>IFERROR(__xludf.DUMMYFUNCTION("IF(OR(CI59&gt;$BR59+$BS59*$BS$2,CI59&lt;$BR59-$BS59*$BS$2),AVEDEV(ARRAYFORMULA(XLOOKUP(FILTER(INDIRECT(""'""&amp;CI$1&amp;""'!$C$4:$C$66""),INDIRECT(""'""&amp;CI$1&amp;""'!$D$4:$D$66"")=CI$2),$F$3:$BP$3,$F59:$BP59))),"""")"),"")</f>
        <v/>
      </c>
      <c r="CK59" s="251">
        <f>IFERROR(__xludf.DUMMYFUNCTION("AVERAGE(ARRAYFORMULA(XLOOKUP(FILTER(INDIRECT(""'""&amp;CK$1&amp;""'!$C$4:$C$66""),INDIRECT(""'""&amp;CK$1&amp;""'!$D$4:$D$66"")=CK$2),$F$3:$BP$3,$F59:$BP59)))"),0.28701914743589746)</f>
        <v>0.2870191474</v>
      </c>
      <c r="CL59" s="207" t="str">
        <f>IFERROR(__xludf.DUMMYFUNCTION("IF(OR(CK59&gt;$BR59+$BS59*$BS$2,CK59&lt;$BR59-$BS59*$BS$2),AVEDEV(ARRAYFORMULA(XLOOKUP(FILTER(INDIRECT(""'""&amp;CK$1&amp;""'!$C$4:$C$66""),INDIRECT(""'""&amp;CK$1&amp;""'!$D$4:$D$66"")=CK$2),$F$3:$BP$3,$F59:$BP59))),"""")"),"")</f>
        <v/>
      </c>
      <c r="CM59" s="251">
        <f>IFERROR(__xludf.DUMMYFUNCTION("AVERAGE(ARRAYFORMULA(XLOOKUP(FILTER(INDIRECT(""'""&amp;CM$1&amp;""'!$C$4:$C$66""),INDIRECT(""'""&amp;CM$1&amp;""'!$D$4:$D$66"")=CM$2),$F$3:$BP$3,$F59:$BP59)))"),0.3872123659999999)</f>
        <v>0.387212366</v>
      </c>
      <c r="CN59" s="207" t="str">
        <f>IFERROR(__xludf.DUMMYFUNCTION("IF(OR(CM59&gt;$BR59+$BS59*$BS$2,CM59&lt;$BR59-$BS59*$BS$2),AVEDEV(ARRAYFORMULA(XLOOKUP(FILTER(INDIRECT(""'""&amp;CM$1&amp;""'!$C$4:$C$66""),INDIRECT(""'""&amp;CM$1&amp;""'!$D$4:$D$66"")=CM$2),$F$3:$BP$3,$F59:$BP59))),"""")"),"")</f>
        <v/>
      </c>
      <c r="CO59" s="252"/>
      <c r="CP59" s="251">
        <f>IFERROR(__xludf.DUMMYFUNCTION("AVERAGE(ARRAYFORMULA(XLOOKUP(FILTER(INDIRECT(""'""&amp;CP$1&amp;""'!$C$4:$C$66""),INDIRECT(""'""&amp;CP$1&amp;""'!$D$4:$D$66"")=CP$2),$F$3:$BP$3,$F59:$BP59)))"),0.1617692621428572)</f>
        <v>0.1617692621</v>
      </c>
      <c r="CQ59" s="207" t="str">
        <f>IFERROR(__xludf.DUMMYFUNCTION("IF(OR(CP59&gt;$BR59+$BS59*$BS$2,CP59&lt;$BR59-$BS59*$BS$2),AVEDEV(ARRAYFORMULA(XLOOKUP(FILTER(INDIRECT(""'""&amp;CP$1&amp;""'!$C$4:$C$66""),INDIRECT(""'""&amp;CP$1&amp;""'!$D$4:$D$66"")=CP$2),$F$3:$BP$3,$F59:$BP59))),"""")"),"")</f>
        <v/>
      </c>
      <c r="CR59" s="251">
        <f>IFERROR(__xludf.DUMMYFUNCTION("AVERAGE(ARRAYFORMULA(XLOOKUP(FILTER(INDIRECT(""'""&amp;CR$1&amp;""'!$C$4:$C$66""),INDIRECT(""'""&amp;CR$1&amp;""'!$D$4:$D$66"")=CR$2),$F$3:$BP$3,$F59:$BP59)))"),0.13508466888888884)</f>
        <v>0.1350846689</v>
      </c>
      <c r="CS59" s="207" t="str">
        <f>IFERROR(__xludf.DUMMYFUNCTION("IF(OR(CR59&gt;$BR59+$BS59*$BS$2,CR59&lt;$BR59-$BS59*$BS$2),AVEDEV(ARRAYFORMULA(XLOOKUP(FILTER(INDIRECT(""'""&amp;CR$1&amp;""'!$C$4:$C$66""),INDIRECT(""'""&amp;CR$1&amp;""'!$D$4:$D$66"")=CR$2),$F$3:$BP$3,$F59:$BP59))),"""")"),"")</f>
        <v/>
      </c>
      <c r="CT59" s="251">
        <f>IFERROR(__xludf.DUMMYFUNCTION("AVERAGE(ARRAYFORMULA(XLOOKUP(FILTER(INDIRECT(""'""&amp;CT$1&amp;""'!$C$4:$C$66""),INDIRECT(""'""&amp;CT$1&amp;""'!$D$4:$D$66"")=CT$2),$F$3:$BP$3,$F59:$BP59)))"),-0.3658187536363636)</f>
        <v>-0.3658187536</v>
      </c>
      <c r="CU59" s="207" t="str">
        <f>IFERROR(__xludf.DUMMYFUNCTION("IF(OR(CT59&gt;$BR59+$BS59*$BS$2,CT59&lt;$BR59-$BS59*$BS$2),AVEDEV(ARRAYFORMULA(XLOOKUP(FILTER(INDIRECT(""'""&amp;CT$1&amp;""'!$C$4:$C$66""),INDIRECT(""'""&amp;CT$1&amp;""'!$D$4:$D$66"")=CT$2),$F$3:$BP$3,$F59:$BP59))),"""")"),"")</f>
        <v/>
      </c>
      <c r="CV59" s="251">
        <f>IFERROR(__xludf.DUMMYFUNCTION("AVERAGE(ARRAYFORMULA(XLOOKUP(FILTER(INDIRECT(""'""&amp;CV$1&amp;""'!$C$4:$C$66""),INDIRECT(""'""&amp;CV$1&amp;""'!$D$4:$D$66"")=CV$2),$F$3:$BP$3,$F59:$BP59)))"),-0.12278235)</f>
        <v>-0.12278235</v>
      </c>
      <c r="CW59" s="207" t="str">
        <f>IFERROR(__xludf.DUMMYFUNCTION("IF(OR(CV59&gt;$BR59+$BS59*$BS$2,CV59&lt;$BR59-$BS59*$BS$2),AVEDEV(ARRAYFORMULA(XLOOKUP(FILTER(INDIRECT(""'""&amp;CV$1&amp;""'!$C$4:$C$66""),INDIRECT(""'""&amp;CV$1&amp;""'!$D$4:$D$66"")=CV$2),$F$3:$BP$3,$F59:$BP59))),"""")"),"")</f>
        <v/>
      </c>
      <c r="CX59" s="251">
        <f>IFERROR(__xludf.DUMMYFUNCTION("AVERAGE(ARRAYFORMULA(XLOOKUP(FILTER(INDIRECT(""'""&amp;CX$1&amp;""'!$C$4:$C$66""),INDIRECT(""'""&amp;CX$1&amp;""'!$D$4:$D$66"")=CX$2),$F$3:$BP$3,$F59:$BP59)))"),0.6344884671428571)</f>
        <v>0.6344884671</v>
      </c>
      <c r="CY59" s="207" t="str">
        <f>IFERROR(__xludf.DUMMYFUNCTION("IF(OR(CX59&gt;$BR59+$BS59*$BS$2,CX59&lt;$BR59-$BS59*$BS$2),AVEDEV(ARRAYFORMULA(XLOOKUP(FILTER(INDIRECT(""'""&amp;CX$1&amp;""'!$C$4:$C$66""),INDIRECT(""'""&amp;CX$1&amp;""'!$D$4:$D$66"")=CX$2),$F$3:$BP$3,$F59:$BP59))),"""")"),"")</f>
        <v/>
      </c>
      <c r="CZ59" s="252"/>
      <c r="DA59" s="251">
        <f>IFERROR(__xludf.DUMMYFUNCTION("AVERAGE(ARRAYFORMULA(XLOOKUP(FILTER(INDIRECT(""'""&amp;DA$1&amp;""'!$C$4:$C$66""),INDIRECT(""'""&amp;DA$1&amp;""'!$D$4:$D$66"")=DA$2),$F$3:$BP$3,$F59:$BP59)))"),0.09220290199999999)</f>
        <v>0.092202902</v>
      </c>
      <c r="DB59" s="207" t="str">
        <f>IFERROR(__xludf.DUMMYFUNCTION("IF(OR(DA59&gt;$BR59+$BS59*$BS$2,DA59&lt;$BR59-$BS59*$BS$2),AVEDEV(ARRAYFORMULA(XLOOKUP(FILTER(INDIRECT(""'""&amp;DA$1&amp;""'!$C$4:$C$66""),INDIRECT(""'""&amp;DA$1&amp;""'!$D$4:$D$66"")=DA$2),$F$3:$BP$3,$F59:$BP59))),"""")"),"")</f>
        <v/>
      </c>
      <c r="DC59" s="251">
        <f>IFERROR(__xludf.DUMMYFUNCTION("AVERAGE(ARRAYFORMULA(XLOOKUP(FILTER(INDIRECT(""'""&amp;DC$1&amp;""'!$C$4:$C$66""),INDIRECT(""'""&amp;DC$1&amp;""'!$D$4:$D$66"")=DC$2),$F$3:$BP$3,$F59:$BP59)))"),0.0307590211111111)</f>
        <v>0.03075902111</v>
      </c>
      <c r="DD59" s="207" t="str">
        <f>IFERROR(__xludf.DUMMYFUNCTION("IF(OR(DC59&gt;$BR59+$BS59*$BS$2,DC59&lt;$BR59-$BS59*$BS$2),AVEDEV(ARRAYFORMULA(XLOOKUP(FILTER(INDIRECT(""'""&amp;DC$1&amp;""'!$C$4:$C$66""),INDIRECT(""'""&amp;DC$1&amp;""'!$D$4:$D$66"")=DC$2),$F$3:$BP$3,$F59:$BP59))),"""")"),"")</f>
        <v/>
      </c>
      <c r="DE59" s="251">
        <f>IFERROR(__xludf.DUMMYFUNCTION("AVERAGE(ARRAYFORMULA(XLOOKUP(FILTER(INDIRECT(""'""&amp;DE$1&amp;""'!$C$4:$C$66""),INDIRECT(""'""&amp;DE$1&amp;""'!$D$4:$D$66"")=DE$2),$F$3:$BP$3,$F59:$BP59)))"),0.026772642499999985)</f>
        <v>0.0267726425</v>
      </c>
      <c r="DF59" s="207" t="str">
        <f>IFERROR(__xludf.DUMMYFUNCTION("IF(OR(DE59&gt;$BR59+$BS59*$BS$2,DE59&lt;$BR59-$BS59*$BS$2),AVEDEV(ARRAYFORMULA(XLOOKUP(FILTER(INDIRECT(""'""&amp;DE$1&amp;""'!$C$4:$C$66""),INDIRECT(""'""&amp;DE$1&amp;""'!$D$4:$D$66"")=DE$2),$F$3:$BP$3,$F59:$BP59))),"""")"),"")</f>
        <v/>
      </c>
      <c r="DG59" s="251">
        <f>IFERROR(__xludf.DUMMYFUNCTION("AVERAGE(ARRAYFORMULA(XLOOKUP(FILTER(INDIRECT(""'""&amp;DG$1&amp;""'!$C$4:$C$66""),INDIRECT(""'""&amp;DG$1&amp;""'!$D$4:$D$66"")=DG$2),$F$3:$BP$3,$F59:$BP59)))"),0.07724885000000005)</f>
        <v>0.07724885</v>
      </c>
      <c r="DH59" s="207" t="str">
        <f>IFERROR(__xludf.DUMMYFUNCTION("IF(OR(DG59&gt;$BR59+$BS59*$BS$2,DG59&lt;$BR59-$BS59*$BS$2),AVEDEV(ARRAYFORMULA(XLOOKUP(FILTER(INDIRECT(""'""&amp;DG$1&amp;""'!$C$4:$C$66""),INDIRECT(""'""&amp;DG$1&amp;""'!$D$4:$D$66"")=DG$2),$F$3:$BP$3,$F59:$BP59))),"""")"),"")</f>
        <v/>
      </c>
      <c r="DI59" s="252"/>
    </row>
    <row r="60">
      <c r="A60" s="2"/>
      <c r="B60" s="204" t="s">
        <v>482</v>
      </c>
      <c r="C60" s="204" t="s">
        <v>501</v>
      </c>
      <c r="D60" s="205" t="b">
        <f>VLOOKUP(C60,'Feature Set List'!A57:C246,2,0)</f>
        <v>1</v>
      </c>
      <c r="E60" s="205" t="b">
        <f>VLOOKUP(C60,'Feature Set List'!A57:C246,3,0)</f>
        <v>1</v>
      </c>
      <c r="F60" s="205">
        <v>4.84342608</v>
      </c>
      <c r="G60" s="205">
        <v>0.14729951</v>
      </c>
      <c r="H60" s="205">
        <v>13.6584834</v>
      </c>
      <c r="I60" s="205">
        <v>-0.3295145</v>
      </c>
      <c r="J60" s="205">
        <v>0.10692853</v>
      </c>
      <c r="K60" s="205">
        <v>-0.3066012</v>
      </c>
      <c r="L60" s="205">
        <v>-1.1546099</v>
      </c>
      <c r="M60" s="205">
        <v>-0.4693944</v>
      </c>
      <c r="N60" s="205">
        <v>0.29350791</v>
      </c>
      <c r="O60" s="205">
        <v>-0.4721222</v>
      </c>
      <c r="P60" s="205">
        <v>-0.557665</v>
      </c>
      <c r="Q60" s="205">
        <v>-1.1686852</v>
      </c>
      <c r="R60" s="205">
        <v>0.66448445</v>
      </c>
      <c r="S60" s="205">
        <v>0.00872886</v>
      </c>
      <c r="T60" s="205">
        <v>8.3938898</v>
      </c>
      <c r="U60" s="205">
        <v>0.03164212</v>
      </c>
      <c r="V60" s="205">
        <v>-0.5087834</v>
      </c>
      <c r="W60" s="205">
        <v>1.69776323</v>
      </c>
      <c r="X60" s="205">
        <v>-0.7312602</v>
      </c>
      <c r="Y60" s="205">
        <v>0.08510638</v>
      </c>
      <c r="Z60" s="205">
        <v>-0.0196399</v>
      </c>
      <c r="AA60" s="205">
        <v>-0.4277141</v>
      </c>
      <c r="AB60" s="205">
        <v>-0.1265685</v>
      </c>
      <c r="AC60" s="205">
        <v>1.96181124</v>
      </c>
      <c r="AD60" s="205">
        <v>-0.1080196</v>
      </c>
      <c r="AE60" s="205">
        <v>-0.4535734</v>
      </c>
      <c r="AF60" s="205">
        <v>-0.4178942</v>
      </c>
      <c r="AG60" s="205">
        <v>0.40698309</v>
      </c>
      <c r="AH60" s="205">
        <v>0.93180578</v>
      </c>
      <c r="AI60" s="205">
        <v>-0.3076923</v>
      </c>
      <c r="AJ60" s="205">
        <v>0.0</v>
      </c>
      <c r="AK60" s="205">
        <v>-0.00982</v>
      </c>
      <c r="AL60" s="205">
        <v>-0.162575</v>
      </c>
      <c r="AM60" s="205">
        <v>-0.4080742</v>
      </c>
      <c r="AN60" s="205">
        <v>0.59138025</v>
      </c>
      <c r="AO60" s="205">
        <v>0.1462084</v>
      </c>
      <c r="AP60" s="205">
        <v>0.3502455</v>
      </c>
      <c r="AQ60" s="205">
        <v>-0.7595199</v>
      </c>
      <c r="AR60" s="205">
        <v>-0.2989634</v>
      </c>
      <c r="AS60" s="205">
        <v>-0.0752864</v>
      </c>
      <c r="AT60" s="205">
        <v>-0.3022368</v>
      </c>
      <c r="AU60" s="205">
        <v>0.56301146</v>
      </c>
      <c r="AV60" s="205">
        <v>-0.754719</v>
      </c>
      <c r="AW60" s="205">
        <v>-0.5809056</v>
      </c>
      <c r="AX60" s="205">
        <v>-1.1502455</v>
      </c>
      <c r="AY60" s="205">
        <v>0.71903983</v>
      </c>
      <c r="AZ60" s="205">
        <v>-0.1593017</v>
      </c>
      <c r="BA60" s="205">
        <v>10.5270049</v>
      </c>
      <c r="BB60" s="205">
        <v>0.41680306</v>
      </c>
      <c r="BC60" s="205">
        <v>0.22149482</v>
      </c>
      <c r="BD60" s="205">
        <v>5.45335516</v>
      </c>
      <c r="BE60" s="205">
        <v>0.18112384</v>
      </c>
      <c r="BF60" s="205">
        <v>-0.488707</v>
      </c>
      <c r="BG60" s="205">
        <v>2.12875068</v>
      </c>
      <c r="BH60" s="205">
        <v>0.67648663</v>
      </c>
      <c r="BI60" s="205">
        <v>-0.4837971</v>
      </c>
      <c r="BJ60" s="205">
        <v>0.12765957</v>
      </c>
      <c r="BK60" s="205">
        <v>13.745772</v>
      </c>
      <c r="BL60" s="205">
        <v>5.89634479</v>
      </c>
      <c r="BM60" s="205">
        <v>-0.212766</v>
      </c>
      <c r="BN60" s="205">
        <v>1.71631206</v>
      </c>
      <c r="BO60" s="205">
        <v>0.22695035</v>
      </c>
      <c r="BP60" s="205">
        <v>-0.8855428</v>
      </c>
      <c r="BQ60" s="206"/>
      <c r="BR60" s="250">
        <f t="shared" si="1"/>
        <v>0.9940889727</v>
      </c>
      <c r="BS60" s="250">
        <f t="shared" si="2"/>
        <v>1.875807449</v>
      </c>
      <c r="BT60" s="206"/>
      <c r="BU60" s="207">
        <f>IFERROR(__xludf.DUMMYFUNCTION("AVERAGE(ARRAYFORMULA(XLOOKUP(FILTER(INDIRECT(""'""&amp;BU$1&amp;""'!$C$4:$C$66""),INDIRECT(""'""&amp;BU$1&amp;""'!$D$4:$D$66"")=BU$2),$F$3:$BP$3,$F60:$BP60)))"),5.60841712)</f>
        <v>5.60841712</v>
      </c>
      <c r="BV60" s="207">
        <f>IFERROR(__xludf.DUMMYFUNCTION("IF(OR(BU60&gt;$BR60+$BS60*$BS$2,BU60&lt;$BR60-$BS60*$BS$2),AVEDEV(ARRAYFORMULA(XLOOKUP(FILTER(INDIRECT(""'""&amp;BU$1&amp;""'!$C$4:$C$66""),INDIRECT(""'""&amp;BU$1&amp;""'!$D$4:$D$66"")=BU$2),$F$3:$BP$3,$F60:$BP60))),"""")"),4.526118668571429)</f>
        <v>4.526118669</v>
      </c>
      <c r="BW60" s="207">
        <f>IFERROR(__xludf.DUMMYFUNCTION("AVERAGE(ARRAYFORMULA(XLOOKUP(FILTER(INDIRECT(""'""&amp;BW$1&amp;""'!$C$4:$C$66""),INDIRECT(""'""&amp;BW$1&amp;""'!$D$4:$D$66"")=BW$2),$F$3:$BP$3,$F60:$BP60)))"),0.050229915714285735)</f>
        <v>0.05022991571</v>
      </c>
      <c r="BX60" s="207" t="str">
        <f>IFERROR(__xludf.DUMMYFUNCTION("IF(OR(BW60&gt;$BR60+$BS60*$BS$2,BW60&lt;$BR60-$BS60*$BS$2),AVEDEV(ARRAYFORMULA(XLOOKUP(FILTER(INDIRECT(""'""&amp;BW$1&amp;""'!$C$4:$C$66""),INDIRECT(""'""&amp;BW$1&amp;""'!$D$4:$D$66"")=BW$2),$F$3:$BP$3,$F60:$BP60))),"""")"),"")</f>
        <v/>
      </c>
      <c r="BY60" s="207">
        <f>IFERROR(__xludf.DUMMYFUNCTION("AVERAGE(ARRAYFORMULA(XLOOKUP(FILTER(INDIRECT(""'""&amp;BY$1&amp;""'!$C$4:$C$66""),INDIRECT(""'""&amp;BY$1&amp;""'!$D$4:$D$66"")=BY$2),$F$3:$BP$3,$F60:$BP60)))"),0.698298869090909)</f>
        <v>0.6982988691</v>
      </c>
      <c r="BZ60" s="207" t="str">
        <f>IFERROR(__xludf.DUMMYFUNCTION("IF(OR(BY60&gt;$BR60+$BS60*$BS$2,BY60&lt;$BR60-$BS60*$BS$2),AVEDEV(ARRAYFORMULA(XLOOKUP(FILTER(INDIRECT(""'""&amp;BY$1&amp;""'!$C$4:$C$66""),INDIRECT(""'""&amp;BY$1&amp;""'!$D$4:$D$66"")=BY$2),$F$3:$BP$3,$F60:$BP60))),"""")"),"")</f>
        <v/>
      </c>
      <c r="CA60" s="209"/>
      <c r="CB60" s="207">
        <f>IFERROR(__xludf.DUMMYFUNCTION("AVERAGE(ARRAYFORMULA(XLOOKUP(FILTER(INDIRECT(""'""&amp;CB$1&amp;""'!$C$4:$C$66""),INDIRECT(""'""&amp;CB$1&amp;""'!$D$4:$D$66"")=CB$2),$F$3:$BP$3,$F60:$BP60)))"),1.1663325175000003)</f>
        <v>1.166332518</v>
      </c>
      <c r="CC60" s="207" t="str">
        <f>IFERROR(__xludf.DUMMYFUNCTION("IF(OR(CB60&gt;$BR60+$BS60*$BS$2,CB60&lt;$BR60-$BS60*$BS$2),AVEDEV(ARRAYFORMULA(XLOOKUP(FILTER(INDIRECT(""'""&amp;CB$1&amp;""'!$C$4:$C$66""),INDIRECT(""'""&amp;CB$1&amp;""'!$D$4:$D$66"")=CB$2),$F$3:$BP$3,$F60:$BP60))),"""")"),"")</f>
        <v/>
      </c>
      <c r="CD60" s="207">
        <f>IFERROR(__xludf.DUMMYFUNCTION("AVERAGE(ARRAYFORMULA(XLOOKUP(FILTER(INDIRECT(""'""&amp;CD$1&amp;""'!$C$4:$C$66""),INDIRECT(""'""&amp;CD$1&amp;""'!$D$4:$D$66"")=CD$2),$F$3:$BP$3,$F60:$BP60)))"),0.14994632612903225)</f>
        <v>0.1499463261</v>
      </c>
      <c r="CE60" s="207" t="str">
        <f>IFERROR(__xludf.DUMMYFUNCTION("IF(OR(CD60&gt;$BR60+$BS60*$BS$2,CD60&lt;$BR60-$BS60*$BS$2),AVEDEV(ARRAYFORMULA(XLOOKUP(FILTER(INDIRECT(""'""&amp;CD$1&amp;""'!$C$4:$C$66""),INDIRECT(""'""&amp;CD$1&amp;""'!$D$4:$D$66"")=CD$2),$F$3:$BP$3,$F60:$BP60))),"""")"),"")</f>
        <v/>
      </c>
      <c r="CF60" s="207">
        <f>IFERROR(__xludf.DUMMYFUNCTION("AVERAGE(ARRAYFORMULA(XLOOKUP(FILTER(INDIRECT(""'""&amp;CF$1&amp;""'!$C$4:$C$66""),INDIRECT(""'""&amp;CF$1&amp;""'!$D$4:$D$66"")=CF$2),$F$3:$BP$3,$F60:$BP60)))"),-0.282073088)</f>
        <v>-0.282073088</v>
      </c>
      <c r="CG60" s="207" t="str">
        <f>IFERROR(__xludf.DUMMYFUNCTION("IF(OR(CF60&gt;$BR60+$BS60*$BS$2,CF60&lt;$BR60-$BS60*$BS$2),AVEDEV(ARRAYFORMULA(XLOOKUP(FILTER(INDIRECT(""'""&amp;CF$1&amp;""'!$C$4:$C$66""),INDIRECT(""'""&amp;CF$1&amp;""'!$D$4:$D$66"")=CF$2),$F$3:$BP$3,$F60:$BP60))),"""")"),"")</f>
        <v/>
      </c>
      <c r="CH60" s="206"/>
      <c r="CI60" s="251">
        <f>IFERROR(__xludf.DUMMYFUNCTION("AVERAGE(ARRAYFORMULA(XLOOKUP(FILTER(INDIRECT(""'""&amp;CI$1&amp;""'!$C$4:$C$66""),INDIRECT(""'""&amp;CI$1&amp;""'!$D$4:$D$66"")=CI$2),$F$3:$BP$3,$F60:$BP60)))"),2.465146400666667)</f>
        <v>2.465146401</v>
      </c>
      <c r="CJ60" s="207" t="str">
        <f>IFERROR(__xludf.DUMMYFUNCTION("IF(OR(CI60&gt;$BR60+$BS60*$BS$2,CI60&lt;$BR60-$BS60*$BS$2),AVEDEV(ARRAYFORMULA(XLOOKUP(FILTER(INDIRECT(""'""&amp;CI$1&amp;""'!$C$4:$C$66""),INDIRECT(""'""&amp;CI$1&amp;""'!$D$4:$D$66"")=CI$2),$F$3:$BP$3,$F60:$BP60))),"""")"),"")</f>
        <v/>
      </c>
      <c r="CK60" s="251">
        <f>IFERROR(__xludf.DUMMYFUNCTION("AVERAGE(ARRAYFORMULA(XLOOKUP(FILTER(INDIRECT(""'""&amp;CK$1&amp;""'!$C$4:$C$66""),INDIRECT(""'""&amp;CK$1&amp;""'!$D$4:$D$66"")=CK$2),$F$3:$BP$3,$F60:$BP60)))"),-0.00673689000000002)</f>
        <v>-0.00673689</v>
      </c>
      <c r="CL60" s="207" t="str">
        <f>IFERROR(__xludf.DUMMYFUNCTION("IF(OR(CK60&gt;$BR60+$BS60*$BS$2,CK60&lt;$BR60-$BS60*$BS$2),AVEDEV(ARRAYFORMULA(XLOOKUP(FILTER(INDIRECT(""'""&amp;CK$1&amp;""'!$C$4:$C$66""),INDIRECT(""'""&amp;CK$1&amp;""'!$D$4:$D$66"")=CK$2),$F$3:$BP$3,$F60:$BP60))),"""")"),"")</f>
        <v/>
      </c>
      <c r="CM60" s="251">
        <f>IFERROR(__xludf.DUMMYFUNCTION("AVERAGE(ARRAYFORMULA(XLOOKUP(FILTER(INDIRECT(""'""&amp;CM$1&amp;""'!$C$4:$C$66""),INDIRECT(""'""&amp;CM$1&amp;""'!$D$4:$D$66"")=CM$2),$F$3:$BP$3,$F60:$BP60)))"),-0.282073088)</f>
        <v>-0.282073088</v>
      </c>
      <c r="CN60" s="207" t="str">
        <f>IFERROR(__xludf.DUMMYFUNCTION("IF(OR(CM60&gt;$BR60+$BS60*$BS$2,CM60&lt;$BR60-$BS60*$BS$2),AVEDEV(ARRAYFORMULA(XLOOKUP(FILTER(INDIRECT(""'""&amp;CM$1&amp;""'!$C$4:$C$66""),INDIRECT(""'""&amp;CM$1&amp;""'!$D$4:$D$66"")=CM$2),$F$3:$BP$3,$F60:$BP60))),"""")"),"")</f>
        <v/>
      </c>
      <c r="CO60" s="252"/>
      <c r="CP60" s="251">
        <f>IFERROR(__xludf.DUMMYFUNCTION("AVERAGE(ARRAYFORMULA(XLOOKUP(FILTER(INDIRECT(""'""&amp;CP$1&amp;""'!$C$4:$C$66""),INDIRECT(""'""&amp;CP$1&amp;""'!$D$4:$D$66"")=CP$2),$F$3:$BP$3,$F60:$BP60)))"),-0.012384069999999988)</f>
        <v>-0.01238407</v>
      </c>
      <c r="CQ60" s="207" t="str">
        <f>IFERROR(__xludf.DUMMYFUNCTION("IF(OR(CP60&gt;$BR60+$BS60*$BS$2,CP60&lt;$BR60-$BS60*$BS$2),AVEDEV(ARRAYFORMULA(XLOOKUP(FILTER(INDIRECT(""'""&amp;CP$1&amp;""'!$C$4:$C$66""),INDIRECT(""'""&amp;CP$1&amp;""'!$D$4:$D$66"")=CP$2),$F$3:$BP$3,$F60:$BP60))),"""")"),"")</f>
        <v/>
      </c>
      <c r="CR60" s="251">
        <f>IFERROR(__xludf.DUMMYFUNCTION("AVERAGE(ARRAYFORMULA(XLOOKUP(FILTER(INDIRECT(""'""&amp;CR$1&amp;""'!$C$4:$C$66""),INDIRECT(""'""&amp;CR$1&amp;""'!$D$4:$D$66"")=CR$2),$F$3:$BP$3,$F60:$BP60)))"),0.11843366000000005)</f>
        <v>0.11843366</v>
      </c>
      <c r="CS60" s="207" t="str">
        <f>IFERROR(__xludf.DUMMYFUNCTION("IF(OR(CR60&gt;$BR60+$BS60*$BS$2,CR60&lt;$BR60-$BS60*$BS$2),AVEDEV(ARRAYFORMULA(XLOOKUP(FILTER(INDIRECT(""'""&amp;CR$1&amp;""'!$C$4:$C$66""),INDIRECT(""'""&amp;CR$1&amp;""'!$D$4:$D$66"")=CR$2),$F$3:$BP$3,$F60:$BP60))),"""")"),"")</f>
        <v/>
      </c>
      <c r="CT60" s="251">
        <f>IFERROR(__xludf.DUMMYFUNCTION("AVERAGE(ARRAYFORMULA(XLOOKUP(FILTER(INDIRECT(""'""&amp;CT$1&amp;""'!$C$4:$C$66""),INDIRECT(""'""&amp;CT$1&amp;""'!$D$4:$D$66"")=CT$2),$F$3:$BP$3,$F60:$BP60)))"),0.2517581809090909)</f>
        <v>0.2517581809</v>
      </c>
      <c r="CU60" s="207" t="str">
        <f>IFERROR(__xludf.DUMMYFUNCTION("IF(OR(CT60&gt;$BR60+$BS60*$BS$2,CT60&lt;$BR60-$BS60*$BS$2),AVEDEV(ARRAYFORMULA(XLOOKUP(FILTER(INDIRECT(""'""&amp;CT$1&amp;""'!$C$4:$C$66""),INDIRECT(""'""&amp;CT$1&amp;""'!$D$4:$D$66"")=CT$2),$F$3:$BP$3,$F60:$BP60))),"""")"),"")</f>
        <v/>
      </c>
      <c r="CV60" s="251">
        <f>IFERROR(__xludf.DUMMYFUNCTION("AVERAGE(ARRAYFORMULA(XLOOKUP(FILTER(INDIRECT(""'""&amp;CV$1&amp;""'!$C$4:$C$66""),INDIRECT(""'""&amp;CV$1&amp;""'!$D$4:$D$66"")=CV$2),$F$3:$BP$3,$F60:$BP60)))"),2.04528096)</f>
        <v>2.04528096</v>
      </c>
      <c r="CW60" s="207" t="str">
        <f>IFERROR(__xludf.DUMMYFUNCTION("IF(OR(CV60&gt;$BR60+$BS60*$BS$2,CV60&lt;$BR60-$BS60*$BS$2),AVEDEV(ARRAYFORMULA(XLOOKUP(FILTER(INDIRECT(""'""&amp;CV$1&amp;""'!$C$4:$C$66""),INDIRECT(""'""&amp;CV$1&amp;""'!$D$4:$D$66"")=CV$2),$F$3:$BP$3,$F60:$BP60))),"""")"),"")</f>
        <v/>
      </c>
      <c r="CX60" s="251">
        <f>IFERROR(__xludf.DUMMYFUNCTION("AVERAGE(ARRAYFORMULA(XLOOKUP(FILTER(INDIRECT(""'""&amp;CX$1&amp;""'!$C$4:$C$66""),INDIRECT(""'""&amp;CX$1&amp;""'!$D$4:$D$66"")=CX$2),$F$3:$BP$3,$F60:$BP60)))"),-0.26184241214285714)</f>
        <v>-0.2618424121</v>
      </c>
      <c r="CY60" s="207" t="str">
        <f>IFERROR(__xludf.DUMMYFUNCTION("IF(OR(CX60&gt;$BR60+$BS60*$BS$2,CX60&lt;$BR60-$BS60*$BS$2),AVEDEV(ARRAYFORMULA(XLOOKUP(FILTER(INDIRECT(""'""&amp;CX$1&amp;""'!$C$4:$C$66""),INDIRECT(""'""&amp;CX$1&amp;""'!$D$4:$D$66"")=CX$2),$F$3:$BP$3,$F60:$BP60))),"""")"),"")</f>
        <v/>
      </c>
      <c r="CZ60" s="252"/>
      <c r="DA60" s="251">
        <f>IFERROR(__xludf.DUMMYFUNCTION("AVERAGE(ARRAYFORMULA(XLOOKUP(FILTER(INDIRECT(""'""&amp;DA$1&amp;""'!$C$4:$C$66""),INDIRECT(""'""&amp;DA$1&amp;""'!$D$4:$D$66"")=DA$2),$F$3:$BP$3,$F60:$BP60)))"),0.4815566473333333)</f>
        <v>0.4815566473</v>
      </c>
      <c r="DB60" s="207" t="str">
        <f>IFERROR(__xludf.DUMMYFUNCTION("IF(OR(DA60&gt;$BR60+$BS60*$BS$2,DA60&lt;$BR60-$BS60*$BS$2),AVEDEV(ARRAYFORMULA(XLOOKUP(FILTER(INDIRECT(""'""&amp;DA$1&amp;""'!$C$4:$C$66""),INDIRECT(""'""&amp;DA$1&amp;""'!$D$4:$D$66"")=DA$2),$F$3:$BP$3,$F60:$BP60))),"""")"),"")</f>
        <v/>
      </c>
      <c r="DC60" s="251">
        <f>IFERROR(__xludf.DUMMYFUNCTION("AVERAGE(ARRAYFORMULA(XLOOKUP(FILTER(INDIRECT(""'""&amp;DC$1&amp;""'!$C$4:$C$66""),INDIRECT(""'""&amp;DC$1&amp;""'!$D$4:$D$66"")=DC$2),$F$3:$BP$3,$F60:$BP60)))"),0.9677880877777777)</f>
        <v>0.9677880878</v>
      </c>
      <c r="DD60" s="207" t="str">
        <f>IFERROR(__xludf.DUMMYFUNCTION("IF(OR(DC60&gt;$BR60+$BS60*$BS$2,DC60&lt;$BR60-$BS60*$BS$2),AVEDEV(ARRAYFORMULA(XLOOKUP(FILTER(INDIRECT(""'""&amp;DC$1&amp;""'!$C$4:$C$66""),INDIRECT(""'""&amp;DC$1&amp;""'!$D$4:$D$66"")=DC$2),$F$3:$BP$3,$F60:$BP60))),"""")"),"")</f>
        <v/>
      </c>
      <c r="DE60" s="251">
        <f>IFERROR(__xludf.DUMMYFUNCTION("AVERAGE(ARRAYFORMULA(XLOOKUP(FILTER(INDIRECT(""'""&amp;DE$1&amp;""'!$C$4:$C$66""),INDIRECT(""'""&amp;DE$1&amp;""'!$D$4:$D$66"")=DE$2),$F$3:$BP$3,$F60:$BP60)))"),0.92808238625)</f>
        <v>0.9280823863</v>
      </c>
      <c r="DF60" s="207" t="str">
        <f>IFERROR(__xludf.DUMMYFUNCTION("IF(OR(DE60&gt;$BR60+$BS60*$BS$2,DE60&lt;$BR60-$BS60*$BS$2),AVEDEV(ARRAYFORMULA(XLOOKUP(FILTER(INDIRECT(""'""&amp;DE$1&amp;""'!$C$4:$C$66""),INDIRECT(""'""&amp;DE$1&amp;""'!$D$4:$D$66"")=DE$2),$F$3:$BP$3,$F60:$BP60))),"""")"),"")</f>
        <v/>
      </c>
      <c r="DG60" s="251">
        <f>IFERROR(__xludf.DUMMYFUNCTION("AVERAGE(ARRAYFORMULA(XLOOKUP(FILTER(INDIRECT(""'""&amp;DG$1&amp;""'!$C$4:$C$66""),INDIRECT(""'""&amp;DG$1&amp;""'!$D$4:$D$66"")=DG$2),$F$3:$BP$3,$F60:$BP60)))"),0.3547796644444444)</f>
        <v>0.3547796644</v>
      </c>
      <c r="DH60" s="207" t="str">
        <f>IFERROR(__xludf.DUMMYFUNCTION("IF(OR(DG60&gt;$BR60+$BS60*$BS$2,DG60&lt;$BR60-$BS60*$BS$2),AVEDEV(ARRAYFORMULA(XLOOKUP(FILTER(INDIRECT(""'""&amp;DG$1&amp;""'!$C$4:$C$66""),INDIRECT(""'""&amp;DG$1&amp;""'!$D$4:$D$66"")=DG$2),$F$3:$BP$3,$F60:$BP60))),"""")"),"")</f>
        <v/>
      </c>
      <c r="DI60" s="252"/>
    </row>
    <row r="61">
      <c r="A61" s="2"/>
      <c r="B61" s="204" t="s">
        <v>482</v>
      </c>
      <c r="C61" s="204" t="s">
        <v>502</v>
      </c>
      <c r="D61" s="205" t="b">
        <f>VLOOKUP(C61,'Feature Set List'!A58:C246,2,0)</f>
        <v>1</v>
      </c>
      <c r="E61" s="205" t="b">
        <f>VLOOKUP(C61,'Feature Set List'!A58:C246,3,0)</f>
        <v>1</v>
      </c>
      <c r="F61" s="205">
        <v>-0.112396</v>
      </c>
      <c r="G61" s="205">
        <v>0.0</v>
      </c>
      <c r="H61" s="205">
        <v>-0.1168919</v>
      </c>
      <c r="I61" s="205">
        <v>-0.197867</v>
      </c>
      <c r="J61" s="205">
        <v>-0.0599446</v>
      </c>
      <c r="K61" s="205">
        <v>-0.1044034</v>
      </c>
      <c r="L61" s="205">
        <v>-0.2028124</v>
      </c>
      <c r="M61" s="205">
        <v>2.39678298</v>
      </c>
      <c r="N61" s="205">
        <v>-0.1873267</v>
      </c>
      <c r="O61" s="205">
        <v>0.10440343</v>
      </c>
      <c r="P61" s="205">
        <v>1.50161101</v>
      </c>
      <c r="Q61" s="205">
        <v>1.79933561</v>
      </c>
      <c r="R61" s="205">
        <v>0.57646677</v>
      </c>
      <c r="S61" s="205">
        <v>0.28123985</v>
      </c>
      <c r="T61" s="205">
        <v>-0.3359892</v>
      </c>
      <c r="U61" s="205">
        <v>-0.2462722</v>
      </c>
      <c r="V61" s="205">
        <v>-0.1389715</v>
      </c>
      <c r="W61" s="205">
        <v>-0.2644554</v>
      </c>
      <c r="X61" s="205">
        <v>0.19032395</v>
      </c>
      <c r="Y61" s="205">
        <v>-0.1609511</v>
      </c>
      <c r="Z61" s="205">
        <v>-0.5021355</v>
      </c>
      <c r="AA61" s="205">
        <v>-0.5585833</v>
      </c>
      <c r="AB61" s="205">
        <v>0.02197967</v>
      </c>
      <c r="AC61" s="205">
        <v>-0.2525164</v>
      </c>
      <c r="AD61" s="205">
        <v>-0.0094912</v>
      </c>
      <c r="AE61" s="205">
        <v>0.56447786</v>
      </c>
      <c r="AF61" s="205">
        <v>-0.51887</v>
      </c>
      <c r="AG61" s="205">
        <v>-0.456228</v>
      </c>
      <c r="AH61" s="205">
        <v>1.79983515</v>
      </c>
      <c r="AI61" s="205">
        <v>-0.6221046</v>
      </c>
      <c r="AJ61" s="205">
        <v>0.57646677</v>
      </c>
      <c r="AK61" s="205">
        <v>1.52758698</v>
      </c>
      <c r="AL61" s="205">
        <v>-0.1397208</v>
      </c>
      <c r="AM61" s="205">
        <v>-0.1074007</v>
      </c>
      <c r="AN61" s="205">
        <v>-0.5171217</v>
      </c>
      <c r="AO61" s="205">
        <v>1.10747559</v>
      </c>
      <c r="AP61" s="205">
        <v>0.36266454</v>
      </c>
      <c r="AQ61" s="205">
        <v>1.88026076</v>
      </c>
      <c r="AR61" s="205">
        <v>0.94212853</v>
      </c>
      <c r="AS61" s="205">
        <v>0.3661613</v>
      </c>
      <c r="AT61" s="205">
        <v>2.43075155</v>
      </c>
      <c r="AU61" s="205">
        <v>0.46706796</v>
      </c>
      <c r="AV61" s="205">
        <v>0.99757724</v>
      </c>
      <c r="AW61" s="205">
        <v>-0.2643055</v>
      </c>
      <c r="AX61" s="205">
        <v>-0.6339136</v>
      </c>
      <c r="AY61" s="205">
        <v>0.98159203</v>
      </c>
      <c r="AZ61" s="205">
        <v>0.53850189</v>
      </c>
      <c r="BA61" s="205">
        <v>-0.6191673</v>
      </c>
      <c r="BB61" s="205">
        <v>1.24984389</v>
      </c>
      <c r="BC61" s="205">
        <v>2.16849414</v>
      </c>
      <c r="BD61" s="205">
        <v>-0.5917776</v>
      </c>
      <c r="BE61" s="205">
        <v>-0.4293528</v>
      </c>
      <c r="BF61" s="205">
        <v>0.30671629</v>
      </c>
      <c r="BG61" s="205">
        <v>-0.2156505</v>
      </c>
      <c r="BH61" s="205">
        <v>0.48255364</v>
      </c>
      <c r="BI61" s="205">
        <v>-0.0044958</v>
      </c>
      <c r="BJ61" s="205">
        <v>1.42618078</v>
      </c>
      <c r="BK61" s="205">
        <v>-0.3950346</v>
      </c>
      <c r="BL61" s="205">
        <v>0.07193346</v>
      </c>
      <c r="BM61" s="205">
        <v>0.79726253</v>
      </c>
      <c r="BN61" s="205">
        <v>-0.0839224</v>
      </c>
      <c r="BO61" s="205">
        <v>1.83330419</v>
      </c>
      <c r="BP61" s="205">
        <v>0.74081475</v>
      </c>
      <c r="BQ61" s="206"/>
      <c r="BR61" s="250">
        <f t="shared" si="1"/>
        <v>0.340344784</v>
      </c>
      <c r="BS61" s="250">
        <f t="shared" si="2"/>
        <v>0.6668755188</v>
      </c>
      <c r="BT61" s="206"/>
      <c r="BU61" s="207">
        <f>IFERROR(__xludf.DUMMYFUNCTION("AVERAGE(ARRAYFORMULA(XLOOKUP(FILTER(INDIRECT(""'""&amp;BU$1&amp;""'!$C$4:$C$66""),INDIRECT(""'""&amp;BU$1&amp;""'!$D$4:$D$66"")=BU$2),$F$3:$BP$3,$F61:$BP61)))"),-0.47963705714285715)</f>
        <v>-0.4796370571</v>
      </c>
      <c r="BV61" s="207">
        <f>IFERROR(__xludf.DUMMYFUNCTION("IF(OR(BU61&gt;$BR61+$BS61*$BS$2,BU61&lt;$BR61-$BS61*$BS$2),AVEDEV(ARRAYFORMULA(XLOOKUP(FILTER(INDIRECT(""'""&amp;BU$1&amp;""'!$C$4:$C$66""),INDIRECT(""'""&amp;BU$1&amp;""'!$D$4:$D$66"")=BU$2),$F$3:$BP$3,$F61:$BP61))),"""")"),0.12669484897959182)</f>
        <v>0.126694849</v>
      </c>
      <c r="BW61" s="207">
        <f>IFERROR(__xludf.DUMMYFUNCTION("AVERAGE(ARRAYFORMULA(XLOOKUP(FILTER(INDIRECT(""'""&amp;BW$1&amp;""'!$C$4:$C$66""),INDIRECT(""'""&amp;BW$1&amp;""'!$D$4:$D$66"")=BW$2),$F$3:$BP$3,$F61:$BP61)))"),0.43197471023809525)</f>
        <v>0.4319747102</v>
      </c>
      <c r="BX61" s="207" t="str">
        <f>IFERROR(__xludf.DUMMYFUNCTION("IF(OR(BW61&gt;$BR61+$BS61*$BS$2,BW61&lt;$BR61-$BS61*$BS$2),AVEDEV(ARRAYFORMULA(XLOOKUP(FILTER(INDIRECT(""'""&amp;BW$1&amp;""'!$C$4:$C$66""),INDIRECT(""'""&amp;BW$1&amp;""'!$D$4:$D$66"")=BW$2),$F$3:$BP$3,$F61:$BP61))),"""")"),"")</f>
        <v/>
      </c>
      <c r="BY61" s="207">
        <f>IFERROR(__xludf.DUMMYFUNCTION("AVERAGE(ARRAYFORMULA(XLOOKUP(FILTER(INDIRECT(""'""&amp;BY$1&amp;""'!$C$4:$C$66""),INDIRECT(""'""&amp;BY$1&amp;""'!$D$4:$D$66"")=BY$2),$F$3:$BP$3,$F61:$BP61)))"),0.19762628818181815)</f>
        <v>0.1976262882</v>
      </c>
      <c r="BZ61" s="207" t="str">
        <f>IFERROR(__xludf.DUMMYFUNCTION("IF(OR(BY61&gt;$BR61+$BS61*$BS$2,BY61&lt;$BR61-$BS61*$BS$2),AVEDEV(ARRAYFORMULA(XLOOKUP(FILTER(INDIRECT(""'""&amp;BY$1&amp;""'!$C$4:$C$66""),INDIRECT(""'""&amp;BY$1&amp;""'!$D$4:$D$66"")=BY$2),$F$3:$BP$3,$F61:$BP61))),"""")"),"")</f>
        <v/>
      </c>
      <c r="CA61" s="209"/>
      <c r="CB61" s="207">
        <f>IFERROR(__xludf.DUMMYFUNCTION("AVERAGE(ARRAYFORMULA(XLOOKUP(FILTER(INDIRECT(""'""&amp;CB$1&amp;""'!$C$4:$C$66""),INDIRECT(""'""&amp;CB$1&amp;""'!$D$4:$D$66"")=CB$2),$F$3:$BP$3,$F61:$BP61)))"),0.32437557937499994)</f>
        <v>0.3243755794</v>
      </c>
      <c r="CC61" s="207" t="str">
        <f>IFERROR(__xludf.DUMMYFUNCTION("IF(OR(CB61&gt;$BR61+$BS61*$BS$2,CB61&lt;$BR61-$BS61*$BS$2),AVEDEV(ARRAYFORMULA(XLOOKUP(FILTER(INDIRECT(""'""&amp;CB$1&amp;""'!$C$4:$C$66""),INDIRECT(""'""&amp;CB$1&amp;""'!$D$4:$D$66"")=CB$2),$F$3:$BP$3,$F61:$BP61))),"""")"),"")</f>
        <v/>
      </c>
      <c r="CD61" s="207">
        <f>IFERROR(__xludf.DUMMYFUNCTION("AVERAGE(ARRAYFORMULA(XLOOKUP(FILTER(INDIRECT(""'""&amp;CD$1&amp;""'!$C$4:$C$66""),INDIRECT(""'""&amp;CD$1&amp;""'!$D$4:$D$66"")=CD$2),$F$3:$BP$3,$F61:$BP61)))"),0.2994003135483872)</f>
        <v>0.2994003135</v>
      </c>
      <c r="CE61" s="207" t="str">
        <f>IFERROR(__xludf.DUMMYFUNCTION("IF(OR(CD61&gt;$BR61+$BS61*$BS$2,CD61&lt;$BR61-$BS61*$BS$2),AVEDEV(ARRAYFORMULA(XLOOKUP(FILTER(INDIRECT(""'""&amp;CD$1&amp;""'!$C$4:$C$66""),INDIRECT(""'""&amp;CD$1&amp;""'!$D$4:$D$66"")=CD$2),$F$3:$BP$3,$F61:$BP61))),"""")"),"")</f>
        <v/>
      </c>
      <c r="CF61" s="207">
        <f>IFERROR(__xludf.DUMMYFUNCTION("AVERAGE(ARRAYFORMULA(XLOOKUP(FILTER(INDIRECT(""'""&amp;CF$1&amp;""'!$C$4:$C$66""),INDIRECT(""'""&amp;CF$1&amp;""'!$D$4:$D$66"")=CF$2),$F$3:$BP$3,$F61:$BP61)))"),0.43459799799999993)</f>
        <v>0.434597998</v>
      </c>
      <c r="CG61" s="207" t="str">
        <f>IFERROR(__xludf.DUMMYFUNCTION("IF(OR(CF61&gt;$BR61+$BS61*$BS$2,CF61&lt;$BR61-$BS61*$BS$2),AVEDEV(ARRAYFORMULA(XLOOKUP(FILTER(INDIRECT(""'""&amp;CF$1&amp;""'!$C$4:$C$66""),INDIRECT(""'""&amp;CF$1&amp;""'!$D$4:$D$66"")=CF$2),$F$3:$BP$3,$F61:$BP61))),"""")"),"")</f>
        <v/>
      </c>
      <c r="CH61" s="206"/>
      <c r="CI61" s="251">
        <f>IFERROR(__xludf.DUMMYFUNCTION("AVERAGE(ARRAYFORMULA(XLOOKUP(FILTER(INDIRECT(""'""&amp;CI$1&amp;""'!$C$4:$C$66""),INDIRECT(""'""&amp;CI$1&amp;""'!$D$4:$D$66"")=CI$2),$F$3:$BP$3,$F61:$BP61)))"),-0.03246430266666668)</f>
        <v>-0.03246430267</v>
      </c>
      <c r="CJ61" s="207" t="str">
        <f>IFERROR(__xludf.DUMMYFUNCTION("IF(OR(CI61&gt;$BR61+$BS61*$BS$2,CI61&lt;$BR61-$BS61*$BS$2),AVEDEV(ARRAYFORMULA(XLOOKUP(FILTER(INDIRECT(""'""&amp;CI$1&amp;""'!$C$4:$C$66""),INDIRECT(""'""&amp;CI$1&amp;""'!$D$4:$D$66"")=CI$2),$F$3:$BP$3,$F61:$BP61))),"""")"),"")</f>
        <v/>
      </c>
      <c r="CK61" s="251">
        <f>IFERROR(__xludf.DUMMYFUNCTION("AVERAGE(ARRAYFORMULA(XLOOKUP(FILTER(INDIRECT(""'""&amp;CK$1&amp;""'!$C$4:$C$66""),INDIRECT(""'""&amp;CK$1&amp;""'!$D$4:$D$66"")=CK$2),$F$3:$BP$3,$F61:$BP61)))"),0.4017532499999999)</f>
        <v>0.40175325</v>
      </c>
      <c r="CL61" s="207" t="str">
        <f>IFERROR(__xludf.DUMMYFUNCTION("IF(OR(CK61&gt;$BR61+$BS61*$BS$2,CK61&lt;$BR61-$BS61*$BS$2),AVEDEV(ARRAYFORMULA(XLOOKUP(FILTER(INDIRECT(""'""&amp;CK$1&amp;""'!$C$4:$C$66""),INDIRECT(""'""&amp;CK$1&amp;""'!$D$4:$D$66"")=CK$2),$F$3:$BP$3,$F61:$BP61))),"""")"),"")</f>
        <v/>
      </c>
      <c r="CM61" s="251">
        <f>IFERROR(__xludf.DUMMYFUNCTION("AVERAGE(ARRAYFORMULA(XLOOKUP(FILTER(INDIRECT(""'""&amp;CM$1&amp;""'!$C$4:$C$66""),INDIRECT(""'""&amp;CM$1&amp;""'!$D$4:$D$66"")=CM$2),$F$3:$BP$3,$F61:$BP61)))"),0.43459799799999993)</f>
        <v>0.434597998</v>
      </c>
      <c r="CN61" s="207" t="str">
        <f>IFERROR(__xludf.DUMMYFUNCTION("IF(OR(CM61&gt;$BR61+$BS61*$BS$2,CM61&lt;$BR61-$BS61*$BS$2),AVEDEV(ARRAYFORMULA(XLOOKUP(FILTER(INDIRECT(""'""&amp;CM$1&amp;""'!$C$4:$C$66""),INDIRECT(""'""&amp;CM$1&amp;""'!$D$4:$D$66"")=CM$2),$F$3:$BP$3,$F61:$BP61))),"""")"),"")</f>
        <v/>
      </c>
      <c r="CO61" s="252"/>
      <c r="CP61" s="251">
        <f>IFERROR(__xludf.DUMMYFUNCTION("AVERAGE(ARRAYFORMULA(XLOOKUP(FILTER(INDIRECT(""'""&amp;CP$1&amp;""'!$C$4:$C$66""),INDIRECT(""'""&amp;CP$1&amp;""'!$D$4:$D$66"")=CP$2),$F$3:$BP$3,$F61:$BP61)))"),0.6280512021428571)</f>
        <v>0.6280512021</v>
      </c>
      <c r="CQ61" s="207" t="str">
        <f>IFERROR(__xludf.DUMMYFUNCTION("IF(OR(CP61&gt;$BR61+$BS61*$BS$2,CP61&lt;$BR61-$BS61*$BS$2),AVEDEV(ARRAYFORMULA(XLOOKUP(FILTER(INDIRECT(""'""&amp;CP$1&amp;""'!$C$4:$C$66""),INDIRECT(""'""&amp;CP$1&amp;""'!$D$4:$D$66"")=CP$2),$F$3:$BP$3,$F61:$BP61))),"""")"),"")</f>
        <v/>
      </c>
      <c r="CR61" s="251">
        <f>IFERROR(__xludf.DUMMYFUNCTION("AVERAGE(ARRAYFORMULA(XLOOKUP(FILTER(INDIRECT(""'""&amp;CR$1&amp;""'!$C$4:$C$66""),INDIRECT(""'""&amp;CR$1&amp;""'!$D$4:$D$66"")=CR$2),$F$3:$BP$3,$F61:$BP61)))"),0.12448485333333334)</f>
        <v>0.1244848533</v>
      </c>
      <c r="CS61" s="207" t="str">
        <f>IFERROR(__xludf.DUMMYFUNCTION("IF(OR(CR61&gt;$BR61+$BS61*$BS$2,CR61&lt;$BR61-$BS61*$BS$2),AVEDEV(ARRAYFORMULA(XLOOKUP(FILTER(INDIRECT(""'""&amp;CR$1&amp;""'!$C$4:$C$66""),INDIRECT(""'""&amp;CR$1&amp;""'!$D$4:$D$66"")=CR$2),$F$3:$BP$3,$F61:$BP61))),"""")"),"")</f>
        <v/>
      </c>
      <c r="CT61" s="251">
        <f>IFERROR(__xludf.DUMMYFUNCTION("AVERAGE(ARRAYFORMULA(XLOOKUP(FILTER(INDIRECT(""'""&amp;CT$1&amp;""'!$C$4:$C$66""),INDIRECT(""'""&amp;CT$1&amp;""'!$D$4:$D$66"")=CT$2),$F$3:$BP$3,$F61:$BP61)))"),0.08903582)</f>
        <v>0.08903582</v>
      </c>
      <c r="CU61" s="207" t="str">
        <f>IFERROR(__xludf.DUMMYFUNCTION("IF(OR(CT61&gt;$BR61+$BS61*$BS$2,CT61&lt;$BR61-$BS61*$BS$2),AVEDEV(ARRAYFORMULA(XLOOKUP(FILTER(INDIRECT(""'""&amp;CT$1&amp;""'!$C$4:$C$66""),INDIRECT(""'""&amp;CT$1&amp;""'!$D$4:$D$66"")=CT$2),$F$3:$BP$3,$F61:$BP61))),"""")"),"")</f>
        <v/>
      </c>
      <c r="CV61" s="251">
        <f>IFERROR(__xludf.DUMMYFUNCTION("AVERAGE(ARRAYFORMULA(XLOOKUP(FILTER(INDIRECT(""'""&amp;CV$1&amp;""'!$C$4:$C$66""),INDIRECT(""'""&amp;CV$1&amp;""'!$D$4:$D$66"")=CV$2),$F$3:$BP$3,$F61:$BP61)))"),-0.23408344999999997)</f>
        <v>-0.23408345</v>
      </c>
      <c r="CW61" s="207" t="str">
        <f>IFERROR(__xludf.DUMMYFUNCTION("IF(OR(CV61&gt;$BR61+$BS61*$BS$2,CV61&lt;$BR61-$BS61*$BS$2),AVEDEV(ARRAYFORMULA(XLOOKUP(FILTER(INDIRECT(""'""&amp;CV$1&amp;""'!$C$4:$C$66""),INDIRECT(""'""&amp;CV$1&amp;""'!$D$4:$D$66"")=CV$2),$F$3:$BP$3,$F61:$BP61))),"""")"),"")</f>
        <v/>
      </c>
      <c r="CX61" s="251">
        <f>IFERROR(__xludf.DUMMYFUNCTION("AVERAGE(ARRAYFORMULA(XLOOKUP(FILTER(INDIRECT(""'""&amp;CX$1&amp;""'!$C$4:$C$66""),INDIRECT(""'""&amp;CX$1&amp;""'!$D$4:$D$66"")=CX$2),$F$3:$BP$3,$F61:$BP61)))"),0.6384572842857145)</f>
        <v>0.6384572843</v>
      </c>
      <c r="CY61" s="207" t="str">
        <f>IFERROR(__xludf.DUMMYFUNCTION("IF(OR(CX61&gt;$BR61+$BS61*$BS$2,CX61&lt;$BR61-$BS61*$BS$2),AVEDEV(ARRAYFORMULA(XLOOKUP(FILTER(INDIRECT(""'""&amp;CX$1&amp;""'!$C$4:$C$66""),INDIRECT(""'""&amp;CX$1&amp;""'!$D$4:$D$66"")=CX$2),$F$3:$BP$3,$F61:$BP61))),"""")"),"")</f>
        <v/>
      </c>
      <c r="CZ61" s="252"/>
      <c r="DA61" s="251">
        <f>IFERROR(__xludf.DUMMYFUNCTION("AVERAGE(ARRAYFORMULA(XLOOKUP(FILTER(INDIRECT(""'""&amp;DA$1&amp;""'!$C$4:$C$66""),INDIRECT(""'""&amp;DA$1&amp;""'!$D$4:$D$66"")=DA$2),$F$3:$BP$3,$F61:$BP61)))"),0.3825090143333333)</f>
        <v>0.3825090143</v>
      </c>
      <c r="DB61" s="207" t="str">
        <f>IFERROR(__xludf.DUMMYFUNCTION("IF(OR(DA61&gt;$BR61+$BS61*$BS$2,DA61&lt;$BR61-$BS61*$BS$2),AVEDEV(ARRAYFORMULA(XLOOKUP(FILTER(INDIRECT(""'""&amp;DA$1&amp;""'!$C$4:$C$66""),INDIRECT(""'""&amp;DA$1&amp;""'!$D$4:$D$66"")=DA$2),$F$3:$BP$3,$F61:$BP61))),"""")"),"")</f>
        <v/>
      </c>
      <c r="DC61" s="251">
        <f>IFERROR(__xludf.DUMMYFUNCTION("AVERAGE(ARRAYFORMULA(XLOOKUP(FILTER(INDIRECT(""'""&amp;DC$1&amp;""'!$C$4:$C$66""),INDIRECT(""'""&amp;DC$1&amp;""'!$D$4:$D$66"")=DC$2),$F$3:$BP$3,$F61:$BP61)))"),0.10050703222222222)</f>
        <v>0.1005070322</v>
      </c>
      <c r="DD61" s="207" t="str">
        <f>IFERROR(__xludf.DUMMYFUNCTION("IF(OR(DC61&gt;$BR61+$BS61*$BS$2,DC61&lt;$BR61-$BS61*$BS$2),AVEDEV(ARRAYFORMULA(XLOOKUP(FILTER(INDIRECT(""'""&amp;DC$1&amp;""'!$C$4:$C$66""),INDIRECT(""'""&amp;DC$1&amp;""'!$D$4:$D$66"")=DC$2),$F$3:$BP$3,$F61:$BP61))),"""")"),"")</f>
        <v/>
      </c>
      <c r="DE61" s="251">
        <f>IFERROR(__xludf.DUMMYFUNCTION("AVERAGE(ARRAYFORMULA(XLOOKUP(FILTER(INDIRECT(""'""&amp;DE$1&amp;""'!$C$4:$C$66""),INDIRECT(""'""&amp;DE$1&amp;""'!$D$4:$D$66"")=DE$2),$F$3:$BP$3,$F61:$BP61)))"),0.13449060125)</f>
        <v>0.1344906013</v>
      </c>
      <c r="DF61" s="207" t="str">
        <f>IFERROR(__xludf.DUMMYFUNCTION("IF(OR(DE61&gt;$BR61+$BS61*$BS$2,DE61&lt;$BR61-$BS61*$BS$2),AVEDEV(ARRAYFORMULA(XLOOKUP(FILTER(INDIRECT(""'""&amp;DE$1&amp;""'!$C$4:$C$66""),INDIRECT(""'""&amp;DE$1&amp;""'!$D$4:$D$66"")=DE$2),$F$3:$BP$3,$F61:$BP61))),"""")"),"")</f>
        <v/>
      </c>
      <c r="DG61" s="251">
        <f>IFERROR(__xludf.DUMMYFUNCTION("AVERAGE(ARRAYFORMULA(XLOOKUP(FILTER(INDIRECT(""'""&amp;DG$1&amp;""'!$C$4:$C$66""),INDIRECT(""'""&amp;DG$1&amp;""'!$D$4:$D$66"")=DG$2),$F$3:$BP$3,$F61:$BP61)))"),0.31110666777777773)</f>
        <v>0.3111066678</v>
      </c>
      <c r="DH61" s="207" t="str">
        <f>IFERROR(__xludf.DUMMYFUNCTION("IF(OR(DG61&gt;$BR61+$BS61*$BS$2,DG61&lt;$BR61-$BS61*$BS$2),AVEDEV(ARRAYFORMULA(XLOOKUP(FILTER(INDIRECT(""'""&amp;DG$1&amp;""'!$C$4:$C$66""),INDIRECT(""'""&amp;DG$1&amp;""'!$D$4:$D$66"")=DG$2),$F$3:$BP$3,$F61:$BP61))),"""")"),"")</f>
        <v/>
      </c>
      <c r="DI61" s="252"/>
    </row>
    <row r="62">
      <c r="A62" s="2"/>
      <c r="B62" s="204" t="s">
        <v>482</v>
      </c>
      <c r="C62" s="204" t="s">
        <v>503</v>
      </c>
      <c r="D62" s="205" t="b">
        <f>VLOOKUP(C62,'Feature Set List'!A59:C246,2,0)</f>
        <v>1</v>
      </c>
      <c r="E62" s="205" t="b">
        <f>VLOOKUP(C62,'Feature Set List'!A59:C246,3,0)</f>
        <v>1</v>
      </c>
      <c r="F62" s="205">
        <v>-1.4800995</v>
      </c>
      <c r="G62" s="205">
        <v>-0.4676617</v>
      </c>
      <c r="H62" s="205">
        <v>-0.8768657</v>
      </c>
      <c r="I62" s="205">
        <v>-0.5099502</v>
      </c>
      <c r="J62" s="205">
        <v>0.1119403</v>
      </c>
      <c r="K62" s="205">
        <v>-0.641791</v>
      </c>
      <c r="L62" s="205">
        <v>-0.8308458</v>
      </c>
      <c r="M62" s="205">
        <v>0.88059701</v>
      </c>
      <c r="N62" s="205">
        <v>0.42661692</v>
      </c>
      <c r="O62" s="205">
        <v>-0.6803483</v>
      </c>
      <c r="P62" s="205">
        <v>-0.0945274</v>
      </c>
      <c r="Q62" s="205">
        <v>-2.6766169</v>
      </c>
      <c r="R62" s="205">
        <v>0.48134328</v>
      </c>
      <c r="S62" s="205">
        <v>0.51492537</v>
      </c>
      <c r="T62" s="205">
        <v>0.6119403</v>
      </c>
      <c r="U62" s="205">
        <v>1.32089552</v>
      </c>
      <c r="V62" s="205">
        <v>0.20273632</v>
      </c>
      <c r="W62" s="205">
        <v>1.91044776</v>
      </c>
      <c r="X62" s="205">
        <v>0.16169154</v>
      </c>
      <c r="Y62" s="205">
        <v>0.3619403</v>
      </c>
      <c r="Z62" s="205">
        <v>-1.028607</v>
      </c>
      <c r="AA62" s="205">
        <v>-1.5771144</v>
      </c>
      <c r="AB62" s="205">
        <v>-0.130597</v>
      </c>
      <c r="AC62" s="205">
        <v>0.12437811</v>
      </c>
      <c r="AD62" s="205">
        <v>0.29850746</v>
      </c>
      <c r="AE62" s="205">
        <v>0.20273632</v>
      </c>
      <c r="AF62" s="205">
        <v>-1.7263682</v>
      </c>
      <c r="AG62" s="205">
        <v>-0.1343284</v>
      </c>
      <c r="AH62" s="205">
        <v>0.05845771</v>
      </c>
      <c r="AI62" s="205">
        <v>0.0</v>
      </c>
      <c r="AJ62" s="205">
        <v>0.85074627</v>
      </c>
      <c r="AK62" s="205">
        <v>0.15671642</v>
      </c>
      <c r="AL62" s="205">
        <v>-0.3109453</v>
      </c>
      <c r="AM62" s="205">
        <v>-0.2475124</v>
      </c>
      <c r="AN62" s="205">
        <v>0.32462687</v>
      </c>
      <c r="AO62" s="205">
        <v>0.72885572</v>
      </c>
      <c r="AP62" s="205">
        <v>0.88557214</v>
      </c>
      <c r="AQ62" s="205">
        <v>-1.3171642</v>
      </c>
      <c r="AR62" s="205">
        <v>-0.1728856</v>
      </c>
      <c r="AS62" s="205">
        <v>-0.4614428</v>
      </c>
      <c r="AT62" s="205">
        <v>-3.10199</v>
      </c>
      <c r="AU62" s="205">
        <v>0.22885572</v>
      </c>
      <c r="AV62" s="205">
        <v>0.10820896</v>
      </c>
      <c r="AW62" s="205">
        <v>0.90671642</v>
      </c>
      <c r="AX62" s="205">
        <v>0.21268657</v>
      </c>
      <c r="AY62" s="205">
        <v>-3.2699005</v>
      </c>
      <c r="AZ62" s="205">
        <v>-0.0870647</v>
      </c>
      <c r="BA62" s="205">
        <v>-0.7512438</v>
      </c>
      <c r="BB62" s="205">
        <v>0.59328358</v>
      </c>
      <c r="BC62" s="205">
        <v>-0.1691542</v>
      </c>
      <c r="BD62" s="205">
        <v>-0.420398</v>
      </c>
      <c r="BE62" s="205">
        <v>0.08955224</v>
      </c>
      <c r="BF62" s="205">
        <v>0.60199005</v>
      </c>
      <c r="BG62" s="205">
        <v>-0.3507463</v>
      </c>
      <c r="BH62" s="205">
        <v>-1.8781095</v>
      </c>
      <c r="BI62" s="205">
        <v>-2.699005</v>
      </c>
      <c r="BJ62" s="205">
        <v>0.3221393</v>
      </c>
      <c r="BK62" s="205">
        <v>-1.2437811</v>
      </c>
      <c r="BL62" s="205">
        <v>0.1579602</v>
      </c>
      <c r="BM62" s="205">
        <v>-0.2935323</v>
      </c>
      <c r="BN62" s="205">
        <v>-0.9452736</v>
      </c>
      <c r="BO62" s="205">
        <v>0.35323383</v>
      </c>
      <c r="BP62" s="205">
        <v>0.55721393</v>
      </c>
      <c r="BQ62" s="206"/>
      <c r="BR62" s="250">
        <f t="shared" si="1"/>
        <v>-0.2512437835</v>
      </c>
      <c r="BS62" s="250">
        <f t="shared" si="2"/>
        <v>0.7463476285</v>
      </c>
      <c r="BT62" s="206"/>
      <c r="BU62" s="207">
        <f>IFERROR(__xludf.DUMMYFUNCTION("AVERAGE(ARRAYFORMULA(XLOOKUP(FILTER(INDIRECT(""'""&amp;BU$1&amp;""'!$C$4:$C$66""),INDIRECT(""'""&amp;BU$1&amp;""'!$D$4:$D$66"")=BU$2),$F$3:$BP$3,$F62:$BP62)))"),0.09203979999999998)</f>
        <v>0.0920398</v>
      </c>
      <c r="BV62" s="207" t="str">
        <f>IFERROR(__xludf.DUMMYFUNCTION("IF(OR(BU62&gt;$BR62+$BS62*$BS$2,BU62&lt;$BR62-$BS62*$BS$2),AVEDEV(ARRAYFORMULA(XLOOKUP(FILTER(INDIRECT(""'""&amp;BU$1&amp;""'!$C$4:$C$66""),INDIRECT(""'""&amp;BU$1&amp;""'!$D$4:$D$66"")=BU$2),$F$3:$BP$3,$F62:$BP62))),"""")"),"")</f>
        <v/>
      </c>
      <c r="BW62" s="207">
        <f>IFERROR(__xludf.DUMMYFUNCTION("AVERAGE(ARRAYFORMULA(XLOOKUP(FILTER(INDIRECT(""'""&amp;BW$1&amp;""'!$C$4:$C$66""),INDIRECT(""'""&amp;BW$1&amp;""'!$D$4:$D$66"")=BW$2),$F$3:$BP$3,$F62:$BP62)))"),-0.15653873833333337)</f>
        <v>-0.1565387383</v>
      </c>
      <c r="BX62" s="207" t="str">
        <f>IFERROR(__xludf.DUMMYFUNCTION("IF(OR(BW62&gt;$BR62+$BS62*$BS$2,BW62&lt;$BR62-$BS62*$BS$2),AVEDEV(ARRAYFORMULA(XLOOKUP(FILTER(INDIRECT(""'""&amp;BW$1&amp;""'!$C$4:$C$66""),INDIRECT(""'""&amp;BW$1&amp;""'!$D$4:$D$66"")=BW$2),$F$3:$BP$3,$F62:$BP62))),"""")"),"")</f>
        <v/>
      </c>
      <c r="BY62" s="207">
        <f>IFERROR(__xludf.DUMMYFUNCTION("AVERAGE(ARRAYFORMULA(XLOOKUP(FILTER(INDIRECT(""'""&amp;BY$1&amp;""'!$C$4:$C$66""),INDIRECT(""'""&amp;BY$1&amp;""'!$D$4:$D$66"")=BY$2),$F$3:$BP$3,$F62:$BP62)))"),-0.5227272772727273)</f>
        <v>-0.5227272773</v>
      </c>
      <c r="BZ62" s="207" t="str">
        <f>IFERROR(__xludf.DUMMYFUNCTION("IF(OR(BY62&gt;$BR62+$BS62*$BS$2,BY62&lt;$BR62-$BS62*$BS$2),AVEDEV(ARRAYFORMULA(XLOOKUP(FILTER(INDIRECT(""'""&amp;BY$1&amp;""'!$C$4:$C$66""),INDIRECT(""'""&amp;BY$1&amp;""'!$D$4:$D$66"")=BY$2),$F$3:$BP$3,$F62:$BP62))),"""")"),"")</f>
        <v/>
      </c>
      <c r="CA62" s="209"/>
      <c r="CB62" s="207">
        <f>IFERROR(__xludf.DUMMYFUNCTION("AVERAGE(ARRAYFORMULA(XLOOKUP(FILTER(INDIRECT(""'""&amp;CB$1&amp;""'!$C$4:$C$66""),INDIRECT(""'""&amp;CB$1&amp;""'!$D$4:$D$66"")=CB$2),$F$3:$BP$3,$F62:$BP62)))"),0.126787933125)</f>
        <v>0.1267879331</v>
      </c>
      <c r="CC62" s="207" t="str">
        <f>IFERROR(__xludf.DUMMYFUNCTION("IF(OR(CB62&gt;$BR62+$BS62*$BS$2,CB62&lt;$BR62-$BS62*$BS$2),AVEDEV(ARRAYFORMULA(XLOOKUP(FILTER(INDIRECT(""'""&amp;CB$1&amp;""'!$C$4:$C$66""),INDIRECT(""'""&amp;CB$1&amp;""'!$D$4:$D$66"")=CB$2),$F$3:$BP$3,$F62:$BP62))),"""")"),"")</f>
        <v/>
      </c>
      <c r="CD62" s="207">
        <f>IFERROR(__xludf.DUMMYFUNCTION("AVERAGE(ARRAYFORMULA(XLOOKUP(FILTER(INDIRECT(""'""&amp;CD$1&amp;""'!$C$4:$C$66""),INDIRECT(""'""&amp;CD$1&amp;""'!$D$4:$D$66"")=CD$2),$F$3:$BP$3,$F62:$BP62)))"),-0.3935162922580646)</f>
        <v>-0.3935162923</v>
      </c>
      <c r="CE62" s="207" t="str">
        <f>IFERROR(__xludf.DUMMYFUNCTION("IF(OR(CD62&gt;$BR62+$BS62*$BS$2,CD62&lt;$BR62-$BS62*$BS$2),AVEDEV(ARRAYFORMULA(XLOOKUP(FILTER(INDIRECT(""'""&amp;CD$1&amp;""'!$C$4:$C$66""),INDIRECT(""'""&amp;CD$1&amp;""'!$D$4:$D$66"")=CD$2),$F$3:$BP$3,$F62:$BP62))),"""")"),"")</f>
        <v/>
      </c>
      <c r="CF62" s="207">
        <f>IFERROR(__xludf.DUMMYFUNCTION("AVERAGE(ARRAYFORMULA(XLOOKUP(FILTER(INDIRECT(""'""&amp;CF$1&amp;""'!$C$4:$C$66""),INDIRECT(""'""&amp;CF$1&amp;""'!$D$4:$D$66"")=CF$2),$F$3:$BP$3,$F62:$BP62)))"),0.035323364000000024)</f>
        <v>0.035323364</v>
      </c>
      <c r="CG62" s="207" t="str">
        <f>IFERROR(__xludf.DUMMYFUNCTION("IF(OR(CF62&gt;$BR62+$BS62*$BS$2,CF62&lt;$BR62-$BS62*$BS$2),AVEDEV(ARRAYFORMULA(XLOOKUP(FILTER(INDIRECT(""'""&amp;CF$1&amp;""'!$C$4:$C$66""),INDIRECT(""'""&amp;CF$1&amp;""'!$D$4:$D$66"")=CF$2),$F$3:$BP$3,$F62:$BP62))),"""")"),"")</f>
        <v/>
      </c>
      <c r="CH62" s="206"/>
      <c r="CI62" s="251">
        <f>IFERROR(__xludf.DUMMYFUNCTION("AVERAGE(ARRAYFORMULA(XLOOKUP(FILTER(INDIRECT(""'""&amp;CI$1&amp;""'!$C$4:$C$66""),INDIRECT(""'""&amp;CI$1&amp;""'!$D$4:$D$66"")=CI$2),$F$3:$BP$3,$F62:$BP62)))"),-0.19386401533333333)</f>
        <v>-0.1938640153</v>
      </c>
      <c r="CJ62" s="207" t="str">
        <f>IFERROR(__xludf.DUMMYFUNCTION("IF(OR(CI62&gt;$BR62+$BS62*$BS$2,CI62&lt;$BR62-$BS62*$BS$2),AVEDEV(ARRAYFORMULA(XLOOKUP(FILTER(INDIRECT(""'""&amp;CI$1&amp;""'!$C$4:$C$66""),INDIRECT(""'""&amp;CI$1&amp;""'!$D$4:$D$66"")=CI$2),$F$3:$BP$3,$F62:$BP62))),"""")"),"")</f>
        <v/>
      </c>
      <c r="CK62" s="251">
        <f>IFERROR(__xludf.DUMMYFUNCTION("AVERAGE(ARRAYFORMULA(XLOOKUP(FILTER(INDIRECT(""'""&amp;CK$1&amp;""'!$C$4:$C$66""),INDIRECT(""'""&amp;CK$1&amp;""'!$D$4:$D$66"")=CK$2),$F$3:$BP$3,$F62:$BP62)))"),-0.19756984487179485)</f>
        <v>-0.1975698449</v>
      </c>
      <c r="CL62" s="207" t="str">
        <f>IFERROR(__xludf.DUMMYFUNCTION("IF(OR(CK62&gt;$BR62+$BS62*$BS$2,CK62&lt;$BR62-$BS62*$BS$2),AVEDEV(ARRAYFORMULA(XLOOKUP(FILTER(INDIRECT(""'""&amp;CK$1&amp;""'!$C$4:$C$66""),INDIRECT(""'""&amp;CK$1&amp;""'!$D$4:$D$66"")=CK$2),$F$3:$BP$3,$F62:$BP62))),"""")"),"")</f>
        <v/>
      </c>
      <c r="CM62" s="251">
        <f>IFERROR(__xludf.DUMMYFUNCTION("AVERAGE(ARRAYFORMULA(XLOOKUP(FILTER(INDIRECT(""'""&amp;CM$1&amp;""'!$C$4:$C$66""),INDIRECT(""'""&amp;CM$1&amp;""'!$D$4:$D$66"")=CM$2),$F$3:$BP$3,$F62:$BP62)))"),0.035323364000000024)</f>
        <v>0.035323364</v>
      </c>
      <c r="CN62" s="207" t="str">
        <f>IFERROR(__xludf.DUMMYFUNCTION("IF(OR(CM62&gt;$BR62+$BS62*$BS$2,CM62&lt;$BR62-$BS62*$BS$2),AVEDEV(ARRAYFORMULA(XLOOKUP(FILTER(INDIRECT(""'""&amp;CM$1&amp;""'!$C$4:$C$66""),INDIRECT(""'""&amp;CM$1&amp;""'!$D$4:$D$66"")=CM$2),$F$3:$BP$3,$F62:$BP62))),"""")"),"")</f>
        <v/>
      </c>
      <c r="CO62" s="252"/>
      <c r="CP62" s="251">
        <f>IFERROR(__xludf.DUMMYFUNCTION("AVERAGE(ARRAYFORMULA(XLOOKUP(FILTER(INDIRECT(""'""&amp;CP$1&amp;""'!$C$4:$C$66""),INDIRECT(""'""&amp;CP$1&amp;""'!$D$4:$D$66"")=CP$2),$F$3:$BP$3,$F62:$BP62)))"),0.21401918928571417)</f>
        <v>0.2140191893</v>
      </c>
      <c r="CQ62" s="207" t="str">
        <f>IFERROR(__xludf.DUMMYFUNCTION("IF(OR(CP62&gt;$BR62+$BS62*$BS$2,CP62&lt;$BR62-$BS62*$BS$2),AVEDEV(ARRAYFORMULA(XLOOKUP(FILTER(INDIRECT(""'""&amp;CP$1&amp;""'!$C$4:$C$66""),INDIRECT(""'""&amp;CP$1&amp;""'!$D$4:$D$66"")=CP$2),$F$3:$BP$3,$F62:$BP62))),"""")"),"")</f>
        <v/>
      </c>
      <c r="CR62" s="251">
        <f>IFERROR(__xludf.DUMMYFUNCTION("AVERAGE(ARRAYFORMULA(XLOOKUP(FILTER(INDIRECT(""'""&amp;CR$1&amp;""'!$C$4:$C$66""),INDIRECT(""'""&amp;CR$1&amp;""'!$D$4:$D$66"")=CR$2),$F$3:$BP$3,$F62:$BP62)))"),-0.29311774999999995)</f>
        <v>-0.29311775</v>
      </c>
      <c r="CS62" s="207" t="str">
        <f>IFERROR(__xludf.DUMMYFUNCTION("IF(OR(CR62&gt;$BR62+$BS62*$BS$2,CR62&lt;$BR62-$BS62*$BS$2),AVEDEV(ARRAYFORMULA(XLOOKUP(FILTER(INDIRECT(""'""&amp;CR$1&amp;""'!$C$4:$C$66""),INDIRECT(""'""&amp;CR$1&amp;""'!$D$4:$D$66"")=CR$2),$F$3:$BP$3,$F62:$BP62))),"""")"),"")</f>
        <v/>
      </c>
      <c r="CT62" s="251">
        <f>IFERROR(__xludf.DUMMYFUNCTION("AVERAGE(ARRAYFORMULA(XLOOKUP(FILTER(INDIRECT(""'""&amp;CT$1&amp;""'!$C$4:$C$66""),INDIRECT(""'""&amp;CT$1&amp;""'!$D$4:$D$66"")=CT$2),$F$3:$BP$3,$F62:$BP62)))"),-0.5950927227272728)</f>
        <v>-0.5950927227</v>
      </c>
      <c r="CU62" s="207" t="str">
        <f>IFERROR(__xludf.DUMMYFUNCTION("IF(OR(CT62&gt;$BR62+$BS62*$BS$2,CT62&lt;$BR62-$BS62*$BS$2),AVEDEV(ARRAYFORMULA(XLOOKUP(FILTER(INDIRECT(""'""&amp;CT$1&amp;""'!$C$4:$C$66""),INDIRECT(""'""&amp;CT$1&amp;""'!$D$4:$D$66"")=CT$2),$F$3:$BP$3,$F62:$BP62))),"""")"),"")</f>
        <v/>
      </c>
      <c r="CV62" s="251">
        <f>IFERROR(__xludf.DUMMYFUNCTION("AVERAGE(ARRAYFORMULA(XLOOKUP(FILTER(INDIRECT(""'""&amp;CV$1&amp;""'!$C$4:$C$66""),INDIRECT(""'""&amp;CV$1&amp;""'!$D$4:$D$66"")=CV$2),$F$3:$BP$3,$F62:$BP62)))"),-0.11318409500000001)</f>
        <v>-0.113184095</v>
      </c>
      <c r="CW62" s="207" t="str">
        <f>IFERROR(__xludf.DUMMYFUNCTION("IF(OR(CV62&gt;$BR62+$BS62*$BS$2,CV62&lt;$BR62-$BS62*$BS$2),AVEDEV(ARRAYFORMULA(XLOOKUP(FILTER(INDIRECT(""'""&amp;CV$1&amp;""'!$C$4:$C$66""),INDIRECT(""'""&amp;CV$1&amp;""'!$D$4:$D$66"")=CV$2),$F$3:$BP$3,$F62:$BP62))),"""")"),"")</f>
        <v/>
      </c>
      <c r="CX62" s="251">
        <f>IFERROR(__xludf.DUMMYFUNCTION("AVERAGE(ARRAYFORMULA(XLOOKUP(FILTER(INDIRECT(""'""&amp;CX$1&amp;""'!$C$4:$C$66""),INDIRECT(""'""&amp;CX$1&amp;""'!$D$4:$D$66"")=CX$2),$F$3:$BP$3,$F62:$BP62)))"),-0.42910447999999995)</f>
        <v>-0.42910448</v>
      </c>
      <c r="CY62" s="207" t="str">
        <f>IFERROR(__xludf.DUMMYFUNCTION("IF(OR(CX62&gt;$BR62+$BS62*$BS$2,CX62&lt;$BR62-$BS62*$BS$2),AVEDEV(ARRAYFORMULA(XLOOKUP(FILTER(INDIRECT(""'""&amp;CX$1&amp;""'!$C$4:$C$66""),INDIRECT(""'""&amp;CX$1&amp;""'!$D$4:$D$66"")=CX$2),$F$3:$BP$3,$F62:$BP62))),"""")"),"")</f>
        <v/>
      </c>
      <c r="CZ62" s="252"/>
      <c r="DA62" s="251">
        <f>IFERROR(__xludf.DUMMYFUNCTION("AVERAGE(ARRAYFORMULA(XLOOKUP(FILTER(INDIRECT(""'""&amp;DA$1&amp;""'!$C$4:$C$66""),INDIRECT(""'""&amp;DA$1&amp;""'!$D$4:$D$66"")=DA$2),$F$3:$BP$3,$F62:$BP62)))"),-0.06733001999999999)</f>
        <v>-0.06733002</v>
      </c>
      <c r="DB62" s="207" t="str">
        <f>IFERROR(__xludf.DUMMYFUNCTION("IF(OR(DA62&gt;$BR62+$BS62*$BS$2,DA62&lt;$BR62-$BS62*$BS$2),AVEDEV(ARRAYFORMULA(XLOOKUP(FILTER(INDIRECT(""'""&amp;DA$1&amp;""'!$C$4:$C$66""),INDIRECT(""'""&amp;DA$1&amp;""'!$D$4:$D$66"")=DA$2),$F$3:$BP$3,$F62:$BP62))),"""")"),"")</f>
        <v/>
      </c>
      <c r="DC62" s="251">
        <f>IFERROR(__xludf.DUMMYFUNCTION("AVERAGE(ARRAYFORMULA(XLOOKUP(FILTER(INDIRECT(""'""&amp;DC$1&amp;""'!$C$4:$C$66""),INDIRECT(""'""&amp;DC$1&amp;""'!$D$4:$D$66"")=DC$2),$F$3:$BP$3,$F62:$BP62)))"),-0.29063018777777777)</f>
        <v>-0.2906301878</v>
      </c>
      <c r="DD62" s="207" t="str">
        <f>IFERROR(__xludf.DUMMYFUNCTION("IF(OR(DC62&gt;$BR62+$BS62*$BS$2,DC62&lt;$BR62-$BS62*$BS$2),AVEDEV(ARRAYFORMULA(XLOOKUP(FILTER(INDIRECT(""'""&amp;DC$1&amp;""'!$C$4:$C$66""),INDIRECT(""'""&amp;DC$1&amp;""'!$D$4:$D$66"")=DC$2),$F$3:$BP$3,$F62:$BP62))),"""")"),"")</f>
        <v/>
      </c>
      <c r="DE62" s="251">
        <f>IFERROR(__xludf.DUMMYFUNCTION("AVERAGE(ARRAYFORMULA(XLOOKUP(FILTER(INDIRECT(""'""&amp;DE$1&amp;""'!$C$4:$C$66""),INDIRECT(""'""&amp;DE$1&amp;""'!$D$4:$D$66"")=DE$2),$F$3:$BP$3,$F62:$BP62)))"),-0.65531716625)</f>
        <v>-0.6553171663</v>
      </c>
      <c r="DF62" s="207" t="str">
        <f>IFERROR(__xludf.DUMMYFUNCTION("IF(OR(DE62&gt;$BR62+$BS62*$BS$2,DE62&lt;$BR62-$BS62*$BS$2),AVEDEV(ARRAYFORMULA(XLOOKUP(FILTER(INDIRECT(""'""&amp;DE$1&amp;""'!$C$4:$C$66""),INDIRECT(""'""&amp;DE$1&amp;""'!$D$4:$D$66"")=DE$2),$F$3:$BP$3,$F62:$BP62))),"""")"),"")</f>
        <v/>
      </c>
      <c r="DG62" s="251">
        <f>IFERROR(__xludf.DUMMYFUNCTION("AVERAGE(ARRAYFORMULA(XLOOKUP(FILTER(INDIRECT(""'""&amp;DG$1&amp;""'!$C$4:$C$66""),INDIRECT(""'""&amp;DG$1&amp;""'!$D$4:$D$66"")=DG$2),$F$3:$BP$3,$F62:$BP62)))"),-0.1640409077777778)</f>
        <v>-0.1640409078</v>
      </c>
      <c r="DH62" s="207" t="str">
        <f>IFERROR(__xludf.DUMMYFUNCTION("IF(OR(DG62&gt;$BR62+$BS62*$BS$2,DG62&lt;$BR62-$BS62*$BS$2),AVEDEV(ARRAYFORMULA(XLOOKUP(FILTER(INDIRECT(""'""&amp;DG$1&amp;""'!$C$4:$C$66""),INDIRECT(""'""&amp;DG$1&amp;""'!$D$4:$D$66"")=DG$2),$F$3:$BP$3,$F62:$BP62))),"""")"),"")</f>
        <v/>
      </c>
      <c r="DI62" s="252"/>
    </row>
    <row r="63">
      <c r="A63" s="2"/>
      <c r="B63" s="204" t="s">
        <v>482</v>
      </c>
      <c r="C63" s="204" t="s">
        <v>504</v>
      </c>
      <c r="D63" s="205" t="b">
        <f>VLOOKUP(C63,'Feature Set List'!A60:C246,2,0)</f>
        <v>1</v>
      </c>
      <c r="E63" s="205" t="b">
        <f>VLOOKUP(C63,'Feature Set List'!A60:C246,3,0)</f>
        <v>1</v>
      </c>
      <c r="F63" s="205">
        <v>0.25844595</v>
      </c>
      <c r="G63" s="205">
        <v>0.55405405</v>
      </c>
      <c r="H63" s="205">
        <v>0.07263514</v>
      </c>
      <c r="I63" s="205">
        <v>0.31081081</v>
      </c>
      <c r="J63" s="205">
        <v>0.21621622</v>
      </c>
      <c r="K63" s="205">
        <v>-0.4290541</v>
      </c>
      <c r="L63" s="205">
        <v>-0.0219595</v>
      </c>
      <c r="M63" s="205">
        <v>0.14189189</v>
      </c>
      <c r="N63" s="205">
        <v>0.23986486</v>
      </c>
      <c r="O63" s="205">
        <v>-0.5067568</v>
      </c>
      <c r="P63" s="205">
        <v>0.62162162</v>
      </c>
      <c r="Q63" s="205">
        <v>0.25506757</v>
      </c>
      <c r="R63" s="205">
        <v>-0.0793919</v>
      </c>
      <c r="S63" s="205">
        <v>-0.3581081</v>
      </c>
      <c r="T63" s="205">
        <v>-0.7719595</v>
      </c>
      <c r="U63" s="205">
        <v>-0.0456081</v>
      </c>
      <c r="V63" s="205">
        <v>-0.6081081</v>
      </c>
      <c r="W63" s="205">
        <v>3.75337838</v>
      </c>
      <c r="X63" s="205">
        <v>-0.8614865</v>
      </c>
      <c r="Y63" s="205">
        <v>0.58952703</v>
      </c>
      <c r="Z63" s="205">
        <v>1.28378378</v>
      </c>
      <c r="AA63" s="205">
        <v>-0.6283784</v>
      </c>
      <c r="AB63" s="205">
        <v>-0.6351351</v>
      </c>
      <c r="AC63" s="205">
        <v>0.45101351</v>
      </c>
      <c r="AD63" s="205">
        <v>0.0</v>
      </c>
      <c r="AE63" s="205">
        <v>-0.3445946</v>
      </c>
      <c r="AF63" s="205">
        <v>0.6875</v>
      </c>
      <c r="AG63" s="205">
        <v>-0.7128378</v>
      </c>
      <c r="AH63" s="205">
        <v>-0.5388514</v>
      </c>
      <c r="AI63" s="205">
        <v>-0.6739865</v>
      </c>
      <c r="AJ63" s="205">
        <v>0.55912162</v>
      </c>
      <c r="AK63" s="205">
        <v>-0.4831081</v>
      </c>
      <c r="AL63" s="205">
        <v>2.23310811</v>
      </c>
      <c r="AM63" s="205">
        <v>-0.5135135</v>
      </c>
      <c r="AN63" s="205">
        <v>0.01858108</v>
      </c>
      <c r="AO63" s="205">
        <v>-0.1317568</v>
      </c>
      <c r="AP63" s="205">
        <v>0.96959459</v>
      </c>
      <c r="AQ63" s="205">
        <v>0.82432432</v>
      </c>
      <c r="AR63" s="205">
        <v>-0.3597973</v>
      </c>
      <c r="AS63" s="205">
        <v>0.00675676</v>
      </c>
      <c r="AT63" s="205">
        <v>1.14358108</v>
      </c>
      <c r="AU63" s="205">
        <v>-1.1756757</v>
      </c>
      <c r="AV63" s="205">
        <v>0.52871622</v>
      </c>
      <c r="AW63" s="205">
        <v>0.52702703</v>
      </c>
      <c r="AX63" s="205">
        <v>1.72466216</v>
      </c>
      <c r="AY63" s="205">
        <v>3.3902027</v>
      </c>
      <c r="AZ63" s="205">
        <v>-0.5608108</v>
      </c>
      <c r="BA63" s="205">
        <v>-0.5084459</v>
      </c>
      <c r="BB63" s="205">
        <v>0.0777027</v>
      </c>
      <c r="BC63" s="205">
        <v>-0.5388514</v>
      </c>
      <c r="BD63" s="205">
        <v>0.08277027</v>
      </c>
      <c r="BE63" s="205">
        <v>-0.4662162</v>
      </c>
      <c r="BF63" s="205">
        <v>-0.6435811</v>
      </c>
      <c r="BG63" s="205">
        <v>0.25337838</v>
      </c>
      <c r="BH63" s="205">
        <v>0.43412162</v>
      </c>
      <c r="BI63" s="205">
        <v>0.83952703</v>
      </c>
      <c r="BJ63" s="205">
        <v>-0.125</v>
      </c>
      <c r="BK63" s="205">
        <v>-0.6638514</v>
      </c>
      <c r="BL63" s="205">
        <v>-0.8800676</v>
      </c>
      <c r="BM63" s="205">
        <v>-0.222973</v>
      </c>
      <c r="BN63" s="205">
        <v>0.26351351</v>
      </c>
      <c r="BO63" s="205">
        <v>-0.5337838</v>
      </c>
      <c r="BP63" s="205">
        <v>-0.4915541</v>
      </c>
      <c r="BQ63" s="206"/>
      <c r="BR63" s="250">
        <f t="shared" si="1"/>
        <v>0.1237666173</v>
      </c>
      <c r="BS63" s="250">
        <f t="shared" si="2"/>
        <v>0.6297181584</v>
      </c>
      <c r="BT63" s="206"/>
      <c r="BU63" s="207">
        <f>IFERROR(__xludf.DUMMYFUNCTION("AVERAGE(ARRAYFORMULA(XLOOKUP(FILTER(INDIRECT(""'""&amp;BU$1&amp;""'!$C$4:$C$66""),INDIRECT(""'""&amp;BU$1&amp;""'!$D$4:$D$66"")=BU$2),$F$3:$BP$3,$F63:$BP63)))"),0.5193050128571428)</f>
        <v>0.5193050129</v>
      </c>
      <c r="BV63" s="207" t="str">
        <f>IFERROR(__xludf.DUMMYFUNCTION("IF(OR(BU63&gt;$BR63+$BS63*$BS$2,BU63&lt;$BR63-$BS63*$BS$2),AVEDEV(ARRAYFORMULA(XLOOKUP(FILTER(INDIRECT(""'""&amp;BU$1&amp;""'!$C$4:$C$66""),INDIRECT(""'""&amp;BU$1&amp;""'!$D$4:$D$66"")=BU$2),$F$3:$BP$3,$F63:$BP63))),"""")"),"")</f>
        <v/>
      </c>
      <c r="BW63" s="207">
        <f>IFERROR(__xludf.DUMMYFUNCTION("AVERAGE(ARRAYFORMULA(XLOOKUP(FILTER(INDIRECT(""'""&amp;BW$1&amp;""'!$C$4:$C$66""),INDIRECT(""'""&amp;BW$1&amp;""'!$D$4:$D$66"")=BW$2),$F$3:$BP$3,$F63:$BP63)))"),0.10493081976190476)</f>
        <v>0.1049308198</v>
      </c>
      <c r="BX63" s="207" t="str">
        <f>IFERROR(__xludf.DUMMYFUNCTION("IF(OR(BW63&gt;$BR63+$BS63*$BS$2,BW63&lt;$BR63-$BS63*$BS$2),AVEDEV(ARRAYFORMULA(XLOOKUP(FILTER(INDIRECT(""'""&amp;BW$1&amp;""'!$C$4:$C$66""),INDIRECT(""'""&amp;BW$1&amp;""'!$D$4:$D$66"")=BW$2),$F$3:$BP$3,$F63:$BP63))),"""")"),"")</f>
        <v/>
      </c>
      <c r="BY63" s="207">
        <f>IFERROR(__xludf.DUMMYFUNCTION("AVERAGE(ARRAYFORMULA(XLOOKUP(FILTER(INDIRECT(""'""&amp;BY$1&amp;""'!$C$4:$C$66""),INDIRECT(""'""&amp;BY$1&amp;""'!$D$4:$D$66"")=BY$2),$F$3:$BP$3,$F63:$BP63)))"),-0.08384522272727273)</f>
        <v>-0.08384522273</v>
      </c>
      <c r="BZ63" s="207" t="str">
        <f>IFERROR(__xludf.DUMMYFUNCTION("IF(OR(BY63&gt;$BR63+$BS63*$BS$2,BY63&lt;$BR63-$BS63*$BS$2),AVEDEV(ARRAYFORMULA(XLOOKUP(FILTER(INDIRECT(""'""&amp;BY$1&amp;""'!$C$4:$C$66""),INDIRECT(""'""&amp;BY$1&amp;""'!$D$4:$D$66"")=BY$2),$F$3:$BP$3,$F63:$BP63))),"""")"),"")</f>
        <v/>
      </c>
      <c r="CA63" s="209"/>
      <c r="CB63" s="207">
        <f>IFERROR(__xludf.DUMMYFUNCTION("AVERAGE(ARRAYFORMULA(XLOOKUP(FILTER(INDIRECT(""'""&amp;CB$1&amp;""'!$C$4:$C$66""),INDIRECT(""'""&amp;CB$1&amp;""'!$D$4:$D$66"")=CB$2),$F$3:$BP$3,$F63:$BP63)))"),0.09448901624999999)</f>
        <v>0.09448901625</v>
      </c>
      <c r="CC63" s="207" t="str">
        <f>IFERROR(__xludf.DUMMYFUNCTION("IF(OR(CB63&gt;$BR63+$BS63*$BS$2,CB63&lt;$BR63-$BS63*$BS$2),AVEDEV(ARRAYFORMULA(XLOOKUP(FILTER(INDIRECT(""'""&amp;CB$1&amp;""'!$C$4:$C$66""),INDIRECT(""'""&amp;CB$1&amp;""'!$D$4:$D$66"")=CB$2),$F$3:$BP$3,$F63:$BP63))),"""")"),"")</f>
        <v/>
      </c>
      <c r="CD63" s="207">
        <f>IFERROR(__xludf.DUMMYFUNCTION("AVERAGE(ARRAYFORMULA(XLOOKUP(FILTER(INDIRECT(""'""&amp;CD$1&amp;""'!$C$4:$C$66""),INDIRECT(""'""&amp;CD$1&amp;""'!$D$4:$D$66"")=CD$2),$F$3:$BP$3,$F63:$BP63)))"),0.1269616335483871)</f>
        <v>0.1269616335</v>
      </c>
      <c r="CE63" s="207" t="str">
        <f>IFERROR(__xludf.DUMMYFUNCTION("IF(OR(CD63&gt;$BR63+$BS63*$BS$2,CD63&lt;$BR63-$BS63*$BS$2),AVEDEV(ARRAYFORMULA(XLOOKUP(FILTER(INDIRECT(""'""&amp;CD$1&amp;""'!$C$4:$C$66""),INDIRECT(""'""&amp;CD$1&amp;""'!$D$4:$D$66"")=CD$2),$F$3:$BP$3,$F63:$BP63))),"""")"),"")</f>
        <v/>
      </c>
      <c r="CF63" s="207">
        <f>IFERROR(__xludf.DUMMYFUNCTION("AVERAGE(ARRAYFORMULA(XLOOKUP(FILTER(INDIRECT(""'""&amp;CF$1&amp;""'!$C$4:$C$66""),INDIRECT(""'""&amp;CF$1&amp;""'!$D$4:$D$66"")=CF$2),$F$3:$BP$3,$F63:$BP63)))"),-0.48581082000000003)</f>
        <v>-0.48581082</v>
      </c>
      <c r="CG63" s="207" t="str">
        <f>IFERROR(__xludf.DUMMYFUNCTION("IF(OR(CF63&gt;$BR63+$BS63*$BS$2,CF63&lt;$BR63-$BS63*$BS$2),AVEDEV(ARRAYFORMULA(XLOOKUP(FILTER(INDIRECT(""'""&amp;CF$1&amp;""'!$C$4:$C$66""),INDIRECT(""'""&amp;CF$1&amp;""'!$D$4:$D$66"")=CF$2),$F$3:$BP$3,$F63:$BP63))),"""")"),"")</f>
        <v/>
      </c>
      <c r="CH63" s="206"/>
      <c r="CI63" s="251">
        <f>IFERROR(__xludf.DUMMYFUNCTION("AVERAGE(ARRAYFORMULA(XLOOKUP(FILTER(INDIRECT(""'""&amp;CI$1&amp;""'!$C$4:$C$66""),INDIRECT(""'""&amp;CI$1&amp;""'!$D$4:$D$66"")=CI$2),$F$3:$BP$3,$F63:$BP63)))"),0.052815316000000015)</f>
        <v>0.052815316</v>
      </c>
      <c r="CJ63" s="207" t="str">
        <f>IFERROR(__xludf.DUMMYFUNCTION("IF(OR(CI63&gt;$BR63+$BS63*$BS$2,CI63&lt;$BR63-$BS63*$BS$2),AVEDEV(ARRAYFORMULA(XLOOKUP(FILTER(INDIRECT(""'""&amp;CI$1&amp;""'!$C$4:$C$66""),INDIRECT(""'""&amp;CI$1&amp;""'!$D$4:$D$66"")=CI$2),$F$3:$BP$3,$F63:$BP63))),"""")"),"")</f>
        <v/>
      </c>
      <c r="CK63" s="251">
        <f>IFERROR(__xludf.DUMMYFUNCTION("AVERAGE(ARRAYFORMULA(XLOOKUP(FILTER(INDIRECT(""'""&amp;CK$1&amp;""'!$C$4:$C$66""),INDIRECT(""'""&amp;CK$1&amp;""'!$D$4:$D$66"")=CK$2),$F$3:$BP$3,$F63:$BP63)))"),0.241554046923077)</f>
        <v>0.2415540469</v>
      </c>
      <c r="CL63" s="207" t="str">
        <f>IFERROR(__xludf.DUMMYFUNCTION("IF(OR(CK63&gt;$BR63+$BS63*$BS$2,CK63&lt;$BR63-$BS63*$BS$2),AVEDEV(ARRAYFORMULA(XLOOKUP(FILTER(INDIRECT(""'""&amp;CK$1&amp;""'!$C$4:$C$66""),INDIRECT(""'""&amp;CK$1&amp;""'!$D$4:$D$66"")=CK$2),$F$3:$BP$3,$F63:$BP63))),"""")"),"")</f>
        <v/>
      </c>
      <c r="CM63" s="251">
        <f>IFERROR(__xludf.DUMMYFUNCTION("AVERAGE(ARRAYFORMULA(XLOOKUP(FILTER(INDIRECT(""'""&amp;CM$1&amp;""'!$C$4:$C$66""),INDIRECT(""'""&amp;CM$1&amp;""'!$D$4:$D$66"")=CM$2),$F$3:$BP$3,$F63:$BP63)))"),-0.48581082000000003)</f>
        <v>-0.48581082</v>
      </c>
      <c r="CN63" s="207" t="str">
        <f>IFERROR(__xludf.DUMMYFUNCTION("IF(OR(CM63&gt;$BR63+$BS63*$BS$2,CM63&lt;$BR63-$BS63*$BS$2),AVEDEV(ARRAYFORMULA(XLOOKUP(FILTER(INDIRECT(""'""&amp;CM$1&amp;""'!$C$4:$C$66""),INDIRECT(""'""&amp;CM$1&amp;""'!$D$4:$D$66"")=CM$2),$F$3:$BP$3,$F63:$BP63))),"""")"),"")</f>
        <v/>
      </c>
      <c r="CO63" s="252"/>
      <c r="CP63" s="251">
        <f>IFERROR(__xludf.DUMMYFUNCTION("AVERAGE(ARRAYFORMULA(XLOOKUP(FILTER(INDIRECT(""'""&amp;CP$1&amp;""'!$C$4:$C$66""),INDIRECT(""'""&amp;CP$1&amp;""'!$D$4:$D$66"")=CP$2),$F$3:$BP$3,$F63:$BP63)))"),0.14008204142857142)</f>
        <v>0.1400820414</v>
      </c>
      <c r="CQ63" s="207" t="str">
        <f>IFERROR(__xludf.DUMMYFUNCTION("IF(OR(CP63&gt;$BR63+$BS63*$BS$2,CP63&lt;$BR63-$BS63*$BS$2),AVEDEV(ARRAYFORMULA(XLOOKUP(FILTER(INDIRECT(""'""&amp;CP$1&amp;""'!$C$4:$C$66""),INDIRECT(""'""&amp;CP$1&amp;""'!$D$4:$D$66"")=CP$2),$F$3:$BP$3,$F63:$BP63))),"""")"),"")</f>
        <v/>
      </c>
      <c r="CR63" s="251">
        <f>IFERROR(__xludf.DUMMYFUNCTION("AVERAGE(ARRAYFORMULA(XLOOKUP(FILTER(INDIRECT(""'""&amp;CR$1&amp;""'!$C$4:$C$66""),INDIRECT(""'""&amp;CR$1&amp;""'!$D$4:$D$66"")=CR$2),$F$3:$BP$3,$F63:$BP63)))"),-0.3813813944444444)</f>
        <v>-0.3813813944</v>
      </c>
      <c r="CS63" s="207" t="str">
        <f>IFERROR(__xludf.DUMMYFUNCTION("IF(OR(CR63&gt;$BR63+$BS63*$BS$2,CR63&lt;$BR63-$BS63*$BS$2),AVEDEV(ARRAYFORMULA(XLOOKUP(FILTER(INDIRECT(""'""&amp;CR$1&amp;""'!$C$4:$C$66""),INDIRECT(""'""&amp;CR$1&amp;""'!$D$4:$D$66"")=CR$2),$F$3:$BP$3,$F63:$BP63))),"""")"),"")</f>
        <v/>
      </c>
      <c r="CT63" s="251">
        <f>IFERROR(__xludf.DUMMYFUNCTION("AVERAGE(ARRAYFORMULA(XLOOKUP(FILTER(INDIRECT(""'""&amp;CT$1&amp;""'!$C$4:$C$66""),INDIRECT(""'""&amp;CT$1&amp;""'!$D$4:$D$66"")=CT$2),$F$3:$BP$3,$F63:$BP63)))"),0.30021498727272733)</f>
        <v>0.3002149873</v>
      </c>
      <c r="CU63" s="207" t="str">
        <f>IFERROR(__xludf.DUMMYFUNCTION("IF(OR(CT63&gt;$BR63+$BS63*$BS$2,CT63&lt;$BR63-$BS63*$BS$2),AVEDEV(ARRAYFORMULA(XLOOKUP(FILTER(INDIRECT(""'""&amp;CT$1&amp;""'!$C$4:$C$66""),INDIRECT(""'""&amp;CT$1&amp;""'!$D$4:$D$66"")=CT$2),$F$3:$BP$3,$F63:$BP63))),"""")"),"")</f>
        <v/>
      </c>
      <c r="CV63" s="251">
        <f>IFERROR(__xludf.DUMMYFUNCTION("AVERAGE(ARRAYFORMULA(XLOOKUP(FILTER(INDIRECT(""'""&amp;CV$1&amp;""'!$C$4:$C$66""),INDIRECT(""'""&amp;CV$1&amp;""'!$D$4:$D$66"")=CV$2),$F$3:$BP$3,$F63:$BP63)))"),0.352195945)</f>
        <v>0.352195945</v>
      </c>
      <c r="CW63" s="207" t="str">
        <f>IFERROR(__xludf.DUMMYFUNCTION("IF(OR(CV63&gt;$BR63+$BS63*$BS$2,CV63&lt;$BR63-$BS63*$BS$2),AVEDEV(ARRAYFORMULA(XLOOKUP(FILTER(INDIRECT(""'""&amp;CV$1&amp;""'!$C$4:$C$66""),INDIRECT(""'""&amp;CV$1&amp;""'!$D$4:$D$66"")=CV$2),$F$3:$BP$3,$F63:$BP63))),"""")"),"")</f>
        <v/>
      </c>
      <c r="CX63" s="251">
        <f>IFERROR(__xludf.DUMMYFUNCTION("AVERAGE(ARRAYFORMULA(XLOOKUP(FILTER(INDIRECT(""'""&amp;CX$1&amp;""'!$C$4:$C$66""),INDIRECT(""'""&amp;CX$1&amp;""'!$D$4:$D$66"")=CX$2),$F$3:$BP$3,$F63:$BP63)))"),0.14092663428571423)</f>
        <v>0.1409266343</v>
      </c>
      <c r="CY63" s="207" t="str">
        <f>IFERROR(__xludf.DUMMYFUNCTION("IF(OR(CX63&gt;$BR63+$BS63*$BS$2,CX63&lt;$BR63-$BS63*$BS$2),AVEDEV(ARRAYFORMULA(XLOOKUP(FILTER(INDIRECT(""'""&amp;CX$1&amp;""'!$C$4:$C$66""),INDIRECT(""'""&amp;CX$1&amp;""'!$D$4:$D$66"")=CX$2),$F$3:$BP$3,$F63:$BP63))),"""")"),"")</f>
        <v/>
      </c>
      <c r="CZ63" s="252"/>
      <c r="DA63" s="251">
        <f>IFERROR(__xludf.DUMMYFUNCTION("AVERAGE(ARRAYFORMULA(XLOOKUP(FILTER(INDIRECT(""'""&amp;DA$1&amp;""'!$C$4:$C$66""),INDIRECT(""'""&amp;DA$1&amp;""'!$D$4:$D$66"")=DA$2),$F$3:$BP$3,$F63:$BP63)))"),0.005349098000000002)</f>
        <v>0.005349098</v>
      </c>
      <c r="DB63" s="207" t="str">
        <f>IFERROR(__xludf.DUMMYFUNCTION("IF(OR(DA63&gt;$BR63+$BS63*$BS$2,DA63&lt;$BR63-$BS63*$BS$2),AVEDEV(ARRAYFORMULA(XLOOKUP(FILTER(INDIRECT(""'""&amp;DA$1&amp;""'!$C$4:$C$66""),INDIRECT(""'""&amp;DA$1&amp;""'!$D$4:$D$66"")=DA$2),$F$3:$BP$3,$F63:$BP63))),"""")"),"")</f>
        <v/>
      </c>
      <c r="DC63" s="251">
        <f>IFERROR(__xludf.DUMMYFUNCTION("AVERAGE(ARRAYFORMULA(XLOOKUP(FILTER(INDIRECT(""'""&amp;DC$1&amp;""'!$C$4:$C$66""),INDIRECT(""'""&amp;DC$1&amp;""'!$D$4:$D$66"")=DC$2),$F$3:$BP$3,$F63:$BP63)))"),-0.4757883055555555)</f>
        <v>-0.4757883056</v>
      </c>
      <c r="DD63" s="207" t="str">
        <f>IFERROR(__xludf.DUMMYFUNCTION("IF(OR(DC63&gt;$BR63+$BS63*$BS$2,DC63&lt;$BR63-$BS63*$BS$2),AVEDEV(ARRAYFORMULA(XLOOKUP(FILTER(INDIRECT(""'""&amp;DC$1&amp;""'!$C$4:$C$66""),INDIRECT(""'""&amp;DC$1&amp;""'!$D$4:$D$66"")=DC$2),$F$3:$BP$3,$F63:$BP63))),"""")"),"")</f>
        <v/>
      </c>
      <c r="DE63" s="251">
        <f>IFERROR(__xludf.DUMMYFUNCTION("AVERAGE(ARRAYFORMULA(XLOOKUP(FILTER(INDIRECT(""'""&amp;DE$1&amp;""'!$C$4:$C$66""),INDIRECT(""'""&amp;DE$1&amp;""'!$D$4:$D$66"")=DE$2),$F$3:$BP$3,$F63:$BP63)))"),0.67103039625)</f>
        <v>0.6710303963</v>
      </c>
      <c r="DF63" s="207" t="str">
        <f>IFERROR(__xludf.DUMMYFUNCTION("IF(OR(DE63&gt;$BR63+$BS63*$BS$2,DE63&lt;$BR63-$BS63*$BS$2),AVEDEV(ARRAYFORMULA(XLOOKUP(FILTER(INDIRECT(""'""&amp;DE$1&amp;""'!$C$4:$C$66""),INDIRECT(""'""&amp;DE$1&amp;""'!$D$4:$D$66"")=DE$2),$F$3:$BP$3,$F63:$BP63))),"""")"),"")</f>
        <v/>
      </c>
      <c r="DG63" s="251">
        <f>IFERROR(__xludf.DUMMYFUNCTION("AVERAGE(ARRAYFORMULA(XLOOKUP(FILTER(INDIRECT(""'""&amp;DG$1&amp;""'!$C$4:$C$66""),INDIRECT(""'""&amp;DG$1&amp;""'!$D$4:$D$66"")=DG$2),$F$3:$BP$3,$F63:$BP63)))"),0.21565314777777778)</f>
        <v>0.2156531478</v>
      </c>
      <c r="DH63" s="207" t="str">
        <f>IFERROR(__xludf.DUMMYFUNCTION("IF(OR(DG63&gt;$BR63+$BS63*$BS$2,DG63&lt;$BR63-$BS63*$BS$2),AVEDEV(ARRAYFORMULA(XLOOKUP(FILTER(INDIRECT(""'""&amp;DG$1&amp;""'!$C$4:$C$66""),INDIRECT(""'""&amp;DG$1&amp;""'!$D$4:$D$66"")=DG$2),$F$3:$BP$3,$F63:$BP63))),"""")"),"")</f>
        <v/>
      </c>
      <c r="DI63" s="252"/>
    </row>
    <row r="64">
      <c r="A64" s="2"/>
      <c r="B64" s="204" t="s">
        <v>482</v>
      </c>
      <c r="C64" s="204" t="s">
        <v>505</v>
      </c>
      <c r="D64" s="205" t="b">
        <f>VLOOKUP(C64,'Feature Set List'!A61:C246,2,0)</f>
        <v>1</v>
      </c>
      <c r="E64" s="205" t="b">
        <f>VLOOKUP(C64,'Feature Set List'!A61:C246,3,0)</f>
        <v>1</v>
      </c>
      <c r="F64" s="205">
        <v>-0.7959572</v>
      </c>
      <c r="G64" s="205">
        <v>0.22116528</v>
      </c>
      <c r="H64" s="205">
        <v>-1.4387634</v>
      </c>
      <c r="I64" s="205">
        <v>0.41854935</v>
      </c>
      <c r="J64" s="205">
        <v>-1.2235434</v>
      </c>
      <c r="K64" s="205">
        <v>0.0</v>
      </c>
      <c r="L64" s="205">
        <v>0.00475624</v>
      </c>
      <c r="M64" s="205">
        <v>0.56123662</v>
      </c>
      <c r="N64" s="205">
        <v>1.09393579</v>
      </c>
      <c r="O64" s="205">
        <v>1.34601665</v>
      </c>
      <c r="P64" s="205">
        <v>0.0665874</v>
      </c>
      <c r="Q64" s="205">
        <v>0.80856124</v>
      </c>
      <c r="R64" s="205">
        <v>0.74435196</v>
      </c>
      <c r="S64" s="205">
        <v>0.0451843</v>
      </c>
      <c r="T64" s="205">
        <v>-1.4311534</v>
      </c>
      <c r="U64" s="205">
        <v>0.79429251</v>
      </c>
      <c r="V64" s="205">
        <v>-0.2306778</v>
      </c>
      <c r="W64" s="205">
        <v>4.31629013</v>
      </c>
      <c r="X64" s="205">
        <v>-1.1959572</v>
      </c>
      <c r="Y64" s="205">
        <v>0.14982164</v>
      </c>
      <c r="Z64" s="205">
        <v>-0.059453</v>
      </c>
      <c r="AA64" s="205">
        <v>-0.4589774</v>
      </c>
      <c r="AB64" s="205">
        <v>-0.6461356</v>
      </c>
      <c r="AC64" s="205">
        <v>-0.2116528</v>
      </c>
      <c r="AD64" s="205">
        <v>-0.2734839</v>
      </c>
      <c r="AE64" s="205">
        <v>0.15219976</v>
      </c>
      <c r="AF64" s="205">
        <v>-0.0118906</v>
      </c>
      <c r="AG64" s="205">
        <v>-0.7543401</v>
      </c>
      <c r="AH64" s="205">
        <v>0.32104637</v>
      </c>
      <c r="AI64" s="205">
        <v>0.11890606</v>
      </c>
      <c r="AJ64" s="205">
        <v>0.40665874</v>
      </c>
      <c r="AK64" s="205">
        <v>-0.6760999</v>
      </c>
      <c r="AL64" s="205">
        <v>0.07134364</v>
      </c>
      <c r="AM64" s="205">
        <v>-0.0642093</v>
      </c>
      <c r="AN64" s="205">
        <v>0.5136742</v>
      </c>
      <c r="AO64" s="205">
        <v>-0.0903686</v>
      </c>
      <c r="AP64" s="205">
        <v>-0.0689655</v>
      </c>
      <c r="AQ64" s="205">
        <v>3.3412604</v>
      </c>
      <c r="AR64" s="205">
        <v>0.16409037</v>
      </c>
      <c r="AS64" s="205">
        <v>-0.0998811</v>
      </c>
      <c r="AT64" s="205">
        <v>3.38644471</v>
      </c>
      <c r="AU64" s="205">
        <v>-0.1117717</v>
      </c>
      <c r="AV64" s="205">
        <v>1.60047562</v>
      </c>
      <c r="AW64" s="205">
        <v>1.11058264</v>
      </c>
      <c r="AX64" s="205">
        <v>7.07491082</v>
      </c>
      <c r="AY64" s="205">
        <v>1.17241379</v>
      </c>
      <c r="AZ64" s="205">
        <v>-0.4042806</v>
      </c>
      <c r="BA64" s="205">
        <v>-1.4033294</v>
      </c>
      <c r="BB64" s="205">
        <v>0.90130797</v>
      </c>
      <c r="BC64" s="205">
        <v>-0.9426873</v>
      </c>
      <c r="BD64" s="205">
        <v>0.43995244</v>
      </c>
      <c r="BE64" s="205">
        <v>-1.0763377</v>
      </c>
      <c r="BF64" s="205">
        <v>-0.8806183</v>
      </c>
      <c r="BG64" s="205">
        <v>-0.4661118</v>
      </c>
      <c r="BH64" s="205">
        <v>1.38644471</v>
      </c>
      <c r="BI64" s="205">
        <v>3.10820452</v>
      </c>
      <c r="BJ64" s="205">
        <v>0.12366231</v>
      </c>
      <c r="BK64" s="205">
        <v>-0.7828775</v>
      </c>
      <c r="BL64" s="205">
        <v>-1.1117717</v>
      </c>
      <c r="BM64" s="205">
        <v>-0.1950059</v>
      </c>
      <c r="BN64" s="205">
        <v>-0.8901308</v>
      </c>
      <c r="BO64" s="205">
        <v>-0.0047562</v>
      </c>
      <c r="BP64" s="205">
        <v>-0.0142687</v>
      </c>
      <c r="BQ64" s="206"/>
      <c r="BR64" s="250">
        <f t="shared" si="1"/>
        <v>0.2849027044</v>
      </c>
      <c r="BS64" s="250">
        <f t="shared" si="2"/>
        <v>0.9163064885</v>
      </c>
      <c r="BT64" s="206"/>
      <c r="BU64" s="207">
        <f>IFERROR(__xludf.DUMMYFUNCTION("AVERAGE(ARRAYFORMULA(XLOOKUP(FILTER(INDIRECT(""'""&amp;BU$1&amp;""'!$C$4:$C$66""),INDIRECT(""'""&amp;BU$1&amp;""'!$D$4:$D$66"")=BU$2),$F$3:$BP$3,$F64:$BP64)))"),1.2467810414285714)</f>
        <v>1.246781041</v>
      </c>
      <c r="BV64" s="207">
        <f>IFERROR(__xludf.DUMMYFUNCTION("IF(OR(BU64&gt;$BR64+$BS64*$BS$2,BU64&lt;$BR64-$BS64*$BS$2),AVEDEV(ARRAYFORMULA(XLOOKUP(FILTER(INDIRECT(""'""&amp;BU$1&amp;""'!$C$4:$C$66""),INDIRECT(""'""&amp;BU$1&amp;""'!$D$4:$D$66"")=BU$2),$F$3:$BP$3,$F64:$BP64))),"""")"),2.5421825334693877)</f>
        <v>2.542182533</v>
      </c>
      <c r="BW64" s="207">
        <f>IFERROR(__xludf.DUMMYFUNCTION("AVERAGE(ARRAYFORMULA(XLOOKUP(FILTER(INDIRECT(""'""&amp;BW$1&amp;""'!$C$4:$C$66""),INDIRECT(""'""&amp;BW$1&amp;""'!$D$4:$D$66"")=BW$2),$F$3:$BP$3,$F64:$BP64)))"),0.21986863904761905)</f>
        <v>0.219868639</v>
      </c>
      <c r="BX64" s="207" t="str">
        <f>IFERROR(__xludf.DUMMYFUNCTION("IF(OR(BW64&gt;$BR64+$BS64*$BS$2,BW64&lt;$BR64-$BS64*$BS$2),AVEDEV(ARRAYFORMULA(XLOOKUP(FILTER(INDIRECT(""'""&amp;BW$1&amp;""'!$C$4:$C$66""),INDIRECT(""'""&amp;BW$1&amp;""'!$D$4:$D$66"")=BW$2),$F$3:$BP$3,$F64:$BP64))),"""")"),"")</f>
        <v/>
      </c>
      <c r="BY64" s="207">
        <f>IFERROR(__xludf.DUMMYFUNCTION("AVERAGE(ARRAYFORMULA(XLOOKUP(FILTER(INDIRECT(""'""&amp;BY$1&amp;""'!$C$4:$C$66""),INDIRECT(""'""&amp;BY$1&amp;""'!$D$4:$D$66"")=BY$2),$F$3:$BP$3,$F64:$BP64)))"),-0.09255216000000002)</f>
        <v>-0.09255216</v>
      </c>
      <c r="BZ64" s="207" t="str">
        <f>IFERROR(__xludf.DUMMYFUNCTION("IF(OR(BY64&gt;$BR64+$BS64*$BS$2,BY64&lt;$BR64-$BS64*$BS$2),AVEDEV(ARRAYFORMULA(XLOOKUP(FILTER(INDIRECT(""'""&amp;BY$1&amp;""'!$C$4:$C$66""),INDIRECT(""'""&amp;BY$1&amp;""'!$D$4:$D$66"")=BY$2),$F$3:$BP$3,$F64:$BP64))),"""")"),"")</f>
        <v/>
      </c>
      <c r="CA64" s="209"/>
      <c r="CB64" s="207">
        <f>IFERROR(__xludf.DUMMYFUNCTION("AVERAGE(ARRAYFORMULA(XLOOKUP(FILTER(INDIRECT(""'""&amp;CB$1&amp;""'!$C$4:$C$66""),INDIRECT(""'""&amp;CB$1&amp;""'!$D$4:$D$66"")=CB$2),$F$3:$BP$3,$F64:$BP64)))"),-0.084720569375)</f>
        <v>-0.08472056938</v>
      </c>
      <c r="CC64" s="207" t="str">
        <f>IFERROR(__xludf.DUMMYFUNCTION("IF(OR(CB64&gt;$BR64+$BS64*$BS$2,CB64&lt;$BR64-$BS64*$BS$2),AVEDEV(ARRAYFORMULA(XLOOKUP(FILTER(INDIRECT(""'""&amp;CB$1&amp;""'!$C$4:$C$66""),INDIRECT(""'""&amp;CB$1&amp;""'!$D$4:$D$66"")=CB$2),$F$3:$BP$3,$F64:$BP64))),"""")"),"")</f>
        <v/>
      </c>
      <c r="CD64" s="207">
        <f>IFERROR(__xludf.DUMMYFUNCTION("AVERAGE(ARRAYFORMULA(XLOOKUP(FILTER(INDIRECT(""'""&amp;CD$1&amp;""'!$C$4:$C$66""),INDIRECT(""'""&amp;CD$1&amp;""'!$D$4:$D$66"")=CD$2),$F$3:$BP$3,$F64:$BP64)))"),0.39767557709677415)</f>
        <v>0.3976755771</v>
      </c>
      <c r="CE64" s="207" t="str">
        <f>IFERROR(__xludf.DUMMYFUNCTION("IF(OR(CD64&gt;$BR64+$BS64*$BS$2,CD64&lt;$BR64-$BS64*$BS$2),AVEDEV(ARRAYFORMULA(XLOOKUP(FILTER(INDIRECT(""'""&amp;CD$1&amp;""'!$C$4:$C$66""),INDIRECT(""'""&amp;CD$1&amp;""'!$D$4:$D$66"")=CD$2),$F$3:$BP$3,$F64:$BP64))),"""")"),"")</f>
        <v/>
      </c>
      <c r="CF64" s="207">
        <f>IFERROR(__xludf.DUMMYFUNCTION("AVERAGE(ARRAYFORMULA(XLOOKUP(FILTER(INDIRECT(""'""&amp;CF$1&amp;""'!$C$4:$C$66""),INDIRECT(""'""&amp;CF$1&amp;""'!$D$4:$D$66"")=CF$2),$F$3:$BP$3,$F64:$BP64)))"),0.054078483999999996)</f>
        <v>0.054078484</v>
      </c>
      <c r="CG64" s="207" t="str">
        <f>IFERROR(__xludf.DUMMYFUNCTION("IF(OR(CF64&gt;$BR64+$BS64*$BS$2,CF64&lt;$BR64-$BS64*$BS$2),AVEDEV(ARRAYFORMULA(XLOOKUP(FILTER(INDIRECT(""'""&amp;CF$1&amp;""'!$C$4:$C$66""),INDIRECT(""'""&amp;CF$1&amp;""'!$D$4:$D$66"")=CF$2),$F$3:$BP$3,$F64:$BP64))),"""")"),"")</f>
        <v/>
      </c>
      <c r="CH64" s="206"/>
      <c r="CI64" s="251">
        <f>IFERROR(__xludf.DUMMYFUNCTION("AVERAGE(ARRAYFORMULA(XLOOKUP(FILTER(INDIRECT(""'""&amp;CI$1&amp;""'!$C$4:$C$66""),INDIRECT(""'""&amp;CI$1&amp;""'!$D$4:$D$66"")=CI$2),$F$3:$BP$3,$F64:$BP64)))"),-0.2535394406666668)</f>
        <v>-0.2535394407</v>
      </c>
      <c r="CJ64" s="207" t="str">
        <f>IFERROR(__xludf.DUMMYFUNCTION("IF(OR(CI64&gt;$BR64+$BS64*$BS$2,CI64&lt;$BR64-$BS64*$BS$2),AVEDEV(ARRAYFORMULA(XLOOKUP(FILTER(INDIRECT(""'""&amp;CI$1&amp;""'!$C$4:$C$66""),INDIRECT(""'""&amp;CI$1&amp;""'!$D$4:$D$66"")=CI$2),$F$3:$BP$3,$F64:$BP64))),"""")"),"")</f>
        <v/>
      </c>
      <c r="CK64" s="251">
        <f>IFERROR(__xludf.DUMMYFUNCTION("AVERAGE(ARRAYFORMULA(XLOOKUP(FILTER(INDIRECT(""'""&amp;CK$1&amp;""'!$C$4:$C$66""),INDIRECT(""'""&amp;CK$1&amp;""'!$D$4:$D$66"")=CK$2),$F$3:$BP$3,$F64:$BP64)))"),0.5451141810256409)</f>
        <v>0.545114181</v>
      </c>
      <c r="CL64" s="207" t="str">
        <f>IFERROR(__xludf.DUMMYFUNCTION("IF(OR(CK64&gt;$BR64+$BS64*$BS$2,CK64&lt;$BR64-$BS64*$BS$2),AVEDEV(ARRAYFORMULA(XLOOKUP(FILTER(INDIRECT(""'""&amp;CK$1&amp;""'!$C$4:$C$66""),INDIRECT(""'""&amp;CK$1&amp;""'!$D$4:$D$66"")=CK$2),$F$3:$BP$3,$F64:$BP64))),"""")"),"")</f>
        <v/>
      </c>
      <c r="CM64" s="251">
        <f>IFERROR(__xludf.DUMMYFUNCTION("AVERAGE(ARRAYFORMULA(XLOOKUP(FILTER(INDIRECT(""'""&amp;CM$1&amp;""'!$C$4:$C$66""),INDIRECT(""'""&amp;CM$1&amp;""'!$D$4:$D$66"")=CM$2),$F$3:$BP$3,$F64:$BP64)))"),0.054078483999999996)</f>
        <v>0.054078484</v>
      </c>
      <c r="CN64" s="207" t="str">
        <f>IFERROR(__xludf.DUMMYFUNCTION("IF(OR(CM64&gt;$BR64+$BS64*$BS$2,CM64&lt;$BR64-$BS64*$BS$2),AVEDEV(ARRAYFORMULA(XLOOKUP(FILTER(INDIRECT(""'""&amp;CM$1&amp;""'!$C$4:$C$66""),INDIRECT(""'""&amp;CM$1&amp;""'!$D$4:$D$66"")=CM$2),$F$3:$BP$3,$F64:$BP64))),"""")"),"")</f>
        <v/>
      </c>
      <c r="CO64" s="252"/>
      <c r="CP64" s="251">
        <f>IFERROR(__xludf.DUMMYFUNCTION("AVERAGE(ARRAYFORMULA(XLOOKUP(FILTER(INDIRECT(""'""&amp;CP$1&amp;""'!$C$4:$C$66""),INDIRECT(""'""&amp;CP$1&amp;""'!$D$4:$D$66"")=CP$2),$F$3:$BP$3,$F64:$BP64)))"),0.16071004285714288)</f>
        <v>0.1607100429</v>
      </c>
      <c r="CQ64" s="207" t="str">
        <f>IFERROR(__xludf.DUMMYFUNCTION("IF(OR(CP64&gt;$BR64+$BS64*$BS$2,CP64&lt;$BR64-$BS64*$BS$2),AVEDEV(ARRAYFORMULA(XLOOKUP(FILTER(INDIRECT(""'""&amp;CP$1&amp;""'!$C$4:$C$66""),INDIRECT(""'""&amp;CP$1&amp;""'!$D$4:$D$66"")=CP$2),$F$3:$BP$3,$F64:$BP64))),"""")"),"")</f>
        <v/>
      </c>
      <c r="CR64" s="251">
        <f>IFERROR(__xludf.DUMMYFUNCTION("AVERAGE(ARRAYFORMULA(XLOOKUP(FILTER(INDIRECT(""'""&amp;CR$1&amp;""'!$C$4:$C$66""),INDIRECT(""'""&amp;CR$1&amp;""'!$D$4:$D$66"")=CR$2),$F$3:$BP$3,$F64:$BP64)))"),-0.1198573166666667)</f>
        <v>-0.1198573167</v>
      </c>
      <c r="CS64" s="207" t="str">
        <f>IFERROR(__xludf.DUMMYFUNCTION("IF(OR(CR64&gt;$BR64+$BS64*$BS$2,CR64&lt;$BR64-$BS64*$BS$2),AVEDEV(ARRAYFORMULA(XLOOKUP(FILTER(INDIRECT(""'""&amp;CR$1&amp;""'!$C$4:$C$66""),INDIRECT(""'""&amp;CR$1&amp;""'!$D$4:$D$66"")=CR$2),$F$3:$BP$3,$F64:$BP64))),"""")"),"")</f>
        <v/>
      </c>
      <c r="CT64" s="251">
        <f>IFERROR(__xludf.DUMMYFUNCTION("AVERAGE(ARRAYFORMULA(XLOOKUP(FILTER(INDIRECT(""'""&amp;CT$1&amp;""'!$C$4:$C$66""),INDIRECT(""'""&amp;CT$1&amp;""'!$D$4:$D$66"")=CT$2),$F$3:$BP$3,$F64:$BP64)))"),-0.17392714636363635)</f>
        <v>-0.1739271464</v>
      </c>
      <c r="CU64" s="207" t="str">
        <f>IFERROR(__xludf.DUMMYFUNCTION("IF(OR(CT64&gt;$BR64+$BS64*$BS$2,CT64&lt;$BR64-$BS64*$BS$2),AVEDEV(ARRAYFORMULA(XLOOKUP(FILTER(INDIRECT(""'""&amp;CT$1&amp;""'!$C$4:$C$66""),INDIRECT(""'""&amp;CT$1&amp;""'!$D$4:$D$66"")=CT$2),$F$3:$BP$3,$F64:$BP64))),"""")"),"")</f>
        <v/>
      </c>
      <c r="CV64" s="251">
        <f>IFERROR(__xludf.DUMMYFUNCTION("AVERAGE(ARRAYFORMULA(XLOOKUP(FILTER(INDIRECT(""'""&amp;CV$1&amp;""'!$C$4:$C$66""),INDIRECT(""'""&amp;CV$1&amp;""'!$D$4:$D$66"")=CV$2),$F$3:$BP$3,$F64:$BP64)))"),-0.3388823)</f>
        <v>-0.3388823</v>
      </c>
      <c r="CW64" s="207" t="str">
        <f>IFERROR(__xludf.DUMMYFUNCTION("IF(OR(CV64&gt;$BR64+$BS64*$BS$2,CV64&lt;$BR64-$BS64*$BS$2),AVEDEV(ARRAYFORMULA(XLOOKUP(FILTER(INDIRECT(""'""&amp;CV$1&amp;""'!$C$4:$C$66""),INDIRECT(""'""&amp;CV$1&amp;""'!$D$4:$D$66"")=CV$2),$F$3:$BP$3,$F64:$BP64))),"""")"),"")</f>
        <v/>
      </c>
      <c r="CX64" s="251">
        <f>IFERROR(__xludf.DUMMYFUNCTION("AVERAGE(ARRAYFORMULA(XLOOKUP(FILTER(INDIRECT(""'""&amp;CX$1&amp;""'!$C$4:$C$66""),INDIRECT(""'""&amp;CX$1&amp;""'!$D$4:$D$66"")=CX$2),$F$3:$BP$3,$F64:$BP64)))"),0.8433837335714286)</f>
        <v>0.8433837336</v>
      </c>
      <c r="CY64" s="207" t="str">
        <f>IFERROR(__xludf.DUMMYFUNCTION("IF(OR(CX64&gt;$BR64+$BS64*$BS$2,CX64&lt;$BR64-$BS64*$BS$2),AVEDEV(ARRAYFORMULA(XLOOKUP(FILTER(INDIRECT(""'""&amp;CX$1&amp;""'!$C$4:$C$66""),INDIRECT(""'""&amp;CX$1&amp;""'!$D$4:$D$66"")=CX$2),$F$3:$BP$3,$F64:$BP64))),"""")"),"")</f>
        <v/>
      </c>
      <c r="CZ64" s="252"/>
      <c r="DA64" s="251">
        <f>IFERROR(__xludf.DUMMYFUNCTION("AVERAGE(ARRAYFORMULA(XLOOKUP(FILTER(INDIRECT(""'""&amp;DA$1&amp;""'!$C$4:$C$66""),INDIRECT(""'""&amp;DA$1&amp;""'!$D$4:$D$66"")=DA$2),$F$3:$BP$3,$F64:$BP64)))"),0.07541022666666665)</f>
        <v>0.07541022667</v>
      </c>
      <c r="DB64" s="207" t="str">
        <f>IFERROR(__xludf.DUMMYFUNCTION("IF(OR(DA64&gt;$BR64+$BS64*$BS$2,DA64&lt;$BR64-$BS64*$BS$2),AVEDEV(ARRAYFORMULA(XLOOKUP(FILTER(INDIRECT(""'""&amp;DA$1&amp;""'!$C$4:$C$66""),INDIRECT(""'""&amp;DA$1&amp;""'!$D$4:$D$66"")=DA$2),$F$3:$BP$3,$F64:$BP64))),"""")"),"")</f>
        <v/>
      </c>
      <c r="DC64" s="251">
        <f>IFERROR(__xludf.DUMMYFUNCTION("AVERAGE(ARRAYFORMULA(XLOOKUP(FILTER(INDIRECT(""'""&amp;DC$1&amp;""'!$C$4:$C$66""),INDIRECT(""'""&amp;DC$1&amp;""'!$D$4:$D$66"")=DC$2),$F$3:$BP$3,$F64:$BP64)))"),-0.13983353444444446)</f>
        <v>-0.1398335344</v>
      </c>
      <c r="DD64" s="207" t="str">
        <f>IFERROR(__xludf.DUMMYFUNCTION("IF(OR(DC64&gt;$BR64+$BS64*$BS$2,DC64&lt;$BR64-$BS64*$BS$2),AVEDEV(ARRAYFORMULA(XLOOKUP(FILTER(INDIRECT(""'""&amp;DC$1&amp;""'!$C$4:$C$66""),INDIRECT(""'""&amp;DC$1&amp;""'!$D$4:$D$66"")=DC$2),$F$3:$BP$3,$F64:$BP64))),"""")"),"")</f>
        <v/>
      </c>
      <c r="DE64" s="251">
        <f>IFERROR(__xludf.DUMMYFUNCTION("AVERAGE(ARRAYFORMULA(XLOOKUP(FILTER(INDIRECT(""'""&amp;DE$1&amp;""'!$C$4:$C$66""),INDIRECT(""'""&amp;DE$1&amp;""'!$D$4:$D$66"")=DE$2),$F$3:$BP$3,$F64:$BP64)))"),1.1903091575000002)</f>
        <v>1.190309158</v>
      </c>
      <c r="DF64" s="207" t="str">
        <f>IFERROR(__xludf.DUMMYFUNCTION("IF(OR(DE64&gt;$BR64+$BS64*$BS$2,DE64&lt;$BR64-$BS64*$BS$2),AVEDEV(ARRAYFORMULA(XLOOKUP(FILTER(INDIRECT(""'""&amp;DE$1&amp;""'!$C$4:$C$66""),INDIRECT(""'""&amp;DE$1&amp;""'!$D$4:$D$66"")=DE$2),$F$3:$BP$3,$F64:$BP64))),"""")"),"")</f>
        <v/>
      </c>
      <c r="DG64" s="251">
        <f>IFERROR(__xludf.DUMMYFUNCTION("AVERAGE(ARRAYFORMULA(XLOOKUP(FILTER(INDIRECT(""'""&amp;DG$1&amp;""'!$C$4:$C$66""),INDIRECT(""'""&amp;DG$1&amp;""'!$D$4:$D$66"")=DG$2),$F$3:$BP$3,$F64:$BP64)))"),-0.10786101222222222)</f>
        <v>-0.1078610122</v>
      </c>
      <c r="DH64" s="207" t="str">
        <f>IFERROR(__xludf.DUMMYFUNCTION("IF(OR(DG64&gt;$BR64+$BS64*$BS$2,DG64&lt;$BR64-$BS64*$BS$2),AVEDEV(ARRAYFORMULA(XLOOKUP(FILTER(INDIRECT(""'""&amp;DG$1&amp;""'!$C$4:$C$66""),INDIRECT(""'""&amp;DG$1&amp;""'!$D$4:$D$66"")=DG$2),$F$3:$BP$3,$F64:$BP64))),"""")"),"")</f>
        <v/>
      </c>
      <c r="DI64" s="252"/>
    </row>
    <row r="65">
      <c r="A65" s="2"/>
      <c r="B65" s="204" t="s">
        <v>482</v>
      </c>
      <c r="C65" s="204" t="s">
        <v>506</v>
      </c>
      <c r="D65" s="205" t="b">
        <f>VLOOKUP(C65,'Feature Set List'!A62:C246,2,0)</f>
        <v>1</v>
      </c>
      <c r="E65" s="205" t="b">
        <f>VLOOKUP(C65,'Feature Set List'!A62:C246,3,0)</f>
        <v>1</v>
      </c>
      <c r="F65" s="205">
        <v>-0.2017336</v>
      </c>
      <c r="G65" s="205">
        <v>-0.4034673</v>
      </c>
      <c r="H65" s="205">
        <v>-0.5279748</v>
      </c>
      <c r="I65" s="205">
        <v>-0.4869976</v>
      </c>
      <c r="J65" s="205">
        <v>0.7178881</v>
      </c>
      <c r="K65" s="205">
        <v>0.73364854</v>
      </c>
      <c r="L65" s="205">
        <v>0.50197006</v>
      </c>
      <c r="M65" s="205">
        <v>-0.6753349</v>
      </c>
      <c r="N65" s="205">
        <v>0.06461781</v>
      </c>
      <c r="O65" s="205">
        <v>0.25925926</v>
      </c>
      <c r="P65" s="205">
        <v>0.54215918</v>
      </c>
      <c r="Q65" s="205">
        <v>0.43892829</v>
      </c>
      <c r="R65" s="205">
        <v>-0.7777778</v>
      </c>
      <c r="S65" s="205">
        <v>0.67297084</v>
      </c>
      <c r="T65" s="205">
        <v>0.15839243</v>
      </c>
      <c r="U65" s="205">
        <v>-0.0583136</v>
      </c>
      <c r="V65" s="205">
        <v>0.07171001</v>
      </c>
      <c r="W65" s="205">
        <v>-1.2947203</v>
      </c>
      <c r="X65" s="205">
        <v>0.32072498</v>
      </c>
      <c r="Y65" s="205">
        <v>-0.6107171</v>
      </c>
      <c r="Z65" s="205">
        <v>-0.285264</v>
      </c>
      <c r="AA65" s="205">
        <v>-0.8022065</v>
      </c>
      <c r="AB65" s="205">
        <v>-0.3995272</v>
      </c>
      <c r="AC65" s="205">
        <v>-0.0803783</v>
      </c>
      <c r="AD65" s="205">
        <v>-0.8037825</v>
      </c>
      <c r="AE65" s="205">
        <v>0.96532703</v>
      </c>
      <c r="AF65" s="205">
        <v>-1.0086682</v>
      </c>
      <c r="AG65" s="205">
        <v>-0.5382191</v>
      </c>
      <c r="AH65" s="205">
        <v>0.29787234</v>
      </c>
      <c r="AI65" s="205">
        <v>0.03546099</v>
      </c>
      <c r="AJ65" s="205">
        <v>0.85815603</v>
      </c>
      <c r="AK65" s="205">
        <v>-0.0031521</v>
      </c>
      <c r="AL65" s="205">
        <v>1.71946414</v>
      </c>
      <c r="AM65" s="205">
        <v>-0.0141844</v>
      </c>
      <c r="AN65" s="205">
        <v>0.41292356</v>
      </c>
      <c r="AO65" s="205">
        <v>0.72734437</v>
      </c>
      <c r="AP65" s="205">
        <v>-0.5382191</v>
      </c>
      <c r="AQ65" s="205">
        <v>0.49487786</v>
      </c>
      <c r="AR65" s="205">
        <v>0.0</v>
      </c>
      <c r="AS65" s="205">
        <v>-0.5634358</v>
      </c>
      <c r="AT65" s="205">
        <v>0.22379827</v>
      </c>
      <c r="AU65" s="205">
        <v>-0.7628054</v>
      </c>
      <c r="AV65" s="205">
        <v>1.54609929</v>
      </c>
      <c r="AW65" s="205">
        <v>0.17257683</v>
      </c>
      <c r="AX65" s="205">
        <v>-1.2616233</v>
      </c>
      <c r="AY65" s="205">
        <v>-0.6264775</v>
      </c>
      <c r="AZ65" s="205">
        <v>0.0748621</v>
      </c>
      <c r="BA65" s="205">
        <v>-0.6501182</v>
      </c>
      <c r="BB65" s="205">
        <v>-0.2624113</v>
      </c>
      <c r="BC65" s="205">
        <v>0.01812451</v>
      </c>
      <c r="BD65" s="205">
        <v>-1.1977935</v>
      </c>
      <c r="BE65" s="205">
        <v>-0.0425532</v>
      </c>
      <c r="BF65" s="205">
        <v>-0.5232467</v>
      </c>
      <c r="BG65" s="205">
        <v>0.01103231</v>
      </c>
      <c r="BH65" s="205">
        <v>0.34042553</v>
      </c>
      <c r="BI65" s="205">
        <v>-0.9669031</v>
      </c>
      <c r="BJ65" s="205">
        <v>0.8999212</v>
      </c>
      <c r="BK65" s="205">
        <v>-0.3530339</v>
      </c>
      <c r="BL65" s="205">
        <v>-0.0417652</v>
      </c>
      <c r="BM65" s="205">
        <v>0.73364854</v>
      </c>
      <c r="BN65" s="205">
        <v>0.6178093</v>
      </c>
      <c r="BO65" s="205">
        <v>0.91016548</v>
      </c>
      <c r="BP65" s="205">
        <v>0.69503546</v>
      </c>
      <c r="BQ65" s="206"/>
      <c r="BR65" s="250">
        <f t="shared" si="1"/>
        <v>-0.008343029524</v>
      </c>
      <c r="BS65" s="250">
        <f t="shared" si="2"/>
        <v>0.5241067465</v>
      </c>
      <c r="BT65" s="206"/>
      <c r="BU65" s="207">
        <f>IFERROR(__xludf.DUMMYFUNCTION("AVERAGE(ARRAYFORMULA(XLOOKUP(FILTER(INDIRECT(""'""&amp;BU$1&amp;""'!$C$4:$C$66""),INDIRECT(""'""&amp;BU$1&amp;""'!$D$4:$D$66"")=BU$2),$F$3:$BP$3,$F65:$BP65)))"),-0.5979961728571429)</f>
        <v>-0.5979961729</v>
      </c>
      <c r="BV65" s="207">
        <f>IFERROR(__xludf.DUMMYFUNCTION("IF(OR(BU65&gt;$BR65+$BS65*$BS$2,BU65&lt;$BR65-$BS65*$BS$2),AVEDEV(ARRAYFORMULA(XLOOKUP(FILTER(INDIRECT(""'""&amp;BU$1&amp;""'!$C$4:$C$66""),INDIRECT(""'""&amp;BU$1&amp;""'!$D$4:$D$66"")=BU$2),$F$3:$BP$3,$F65:$BP65))),"""")"),0.5749344595918366)</f>
        <v>0.5749344596</v>
      </c>
      <c r="BW65" s="207">
        <f>IFERROR(__xludf.DUMMYFUNCTION("AVERAGE(ARRAYFORMULA(XLOOKUP(FILTER(INDIRECT(""'""&amp;BW$1&amp;""'!$C$4:$C$66""),INDIRECT(""'""&amp;BW$1&amp;""'!$D$4:$D$66"")=BW$2),$F$3:$BP$3,$F65:$BP65)))"),0.028950425000000002)</f>
        <v>0.028950425</v>
      </c>
      <c r="BX65" s="207" t="str">
        <f>IFERROR(__xludf.DUMMYFUNCTION("IF(OR(BW65&gt;$BR65+$BS65*$BS$2,BW65&lt;$BR65-$BS65*$BS$2),AVEDEV(ARRAYFORMULA(XLOOKUP(FILTER(INDIRECT(""'""&amp;BW$1&amp;""'!$C$4:$C$66""),INDIRECT(""'""&amp;BW$1&amp;""'!$D$4:$D$66"")=BW$2),$F$3:$BP$3,$F65:$BP65))),"""")"),"")</f>
        <v/>
      </c>
      <c r="BY65" s="207">
        <f>IFERROR(__xludf.DUMMYFUNCTION("AVERAGE(ARRAYFORMULA(XLOOKUP(FILTER(INDIRECT(""'""&amp;BY$1&amp;""'!$C$4:$C$66""),INDIRECT(""'""&amp;BY$1&amp;""'!$D$4:$D$66"")=BY$2),$F$3:$BP$3,$F65:$BP65)))"),0.24822695636363637)</f>
        <v>0.2482269564</v>
      </c>
      <c r="BZ65" s="207" t="str">
        <f>IFERROR(__xludf.DUMMYFUNCTION("IF(OR(BY65&gt;$BR65+$BS65*$BS$2,BY65&lt;$BR65-$BS65*$BS$2),AVEDEV(ARRAYFORMULA(XLOOKUP(FILTER(INDIRECT(""'""&amp;BY$1&amp;""'!$C$4:$C$66""),INDIRECT(""'""&amp;BY$1&amp;""'!$D$4:$D$66"")=BY$2),$F$3:$BP$3,$F65:$BP65))),"""")"),"")</f>
        <v/>
      </c>
      <c r="CA65" s="209"/>
      <c r="CB65" s="207">
        <f>IFERROR(__xludf.DUMMYFUNCTION("AVERAGE(ARRAYFORMULA(XLOOKUP(FILTER(INDIRECT(""'""&amp;CB$1&amp;""'!$C$4:$C$66""),INDIRECT(""'""&amp;CB$1&amp;""'!$D$4:$D$66"")=CB$2),$F$3:$BP$3,$F65:$BP65)))"),-0.05782111499999999)</f>
        <v>-0.057821115</v>
      </c>
      <c r="CC65" s="207" t="str">
        <f>IFERROR(__xludf.DUMMYFUNCTION("IF(OR(CB65&gt;$BR65+$BS65*$BS$2,CB65&lt;$BR65-$BS65*$BS$2),AVEDEV(ARRAYFORMULA(XLOOKUP(FILTER(INDIRECT(""'""&amp;CB$1&amp;""'!$C$4:$C$66""),INDIRECT(""'""&amp;CB$1&amp;""'!$D$4:$D$66"")=CB$2),$F$3:$BP$3,$F65:$BP65))),"""")"),"")</f>
        <v/>
      </c>
      <c r="CD65" s="207">
        <f>IFERROR(__xludf.DUMMYFUNCTION("AVERAGE(ARRAYFORMULA(XLOOKUP(FILTER(INDIRECT(""'""&amp;CD$1&amp;""'!$C$4:$C$66""),INDIRECT(""'""&amp;CD$1&amp;""'!$D$4:$D$66"")=CD$2),$F$3:$BP$3,$F65:$BP65)))"),0.012735449999999988)</f>
        <v>0.01273545</v>
      </c>
      <c r="CE65" s="207" t="str">
        <f>IFERROR(__xludf.DUMMYFUNCTION("IF(OR(CD65&gt;$BR65+$BS65*$BS$2,CD65&lt;$BR65-$BS65*$BS$2),AVEDEV(ARRAYFORMULA(XLOOKUP(FILTER(INDIRECT(""'""&amp;CD$1&amp;""'!$C$4:$C$66""),INDIRECT(""'""&amp;CD$1&amp;""'!$D$4:$D$66"")=CD$2),$F$3:$BP$3,$F65:$BP65))),"""")"),"")</f>
        <v/>
      </c>
      <c r="CF65" s="207">
        <f>IFERROR(__xludf.DUMMYFUNCTION("AVERAGE(ARRAYFORMULA(XLOOKUP(FILTER(INDIRECT(""'""&amp;CF$1&amp;""'!$C$4:$C$66""),INDIRECT(""'""&amp;CF$1&amp;""'!$D$4:$D$66"")=CF$2),$F$3:$BP$3,$F65:$BP65)))"),0.09676910000000001)</f>
        <v>0.0967691</v>
      </c>
      <c r="CG65" s="207" t="str">
        <f>IFERROR(__xludf.DUMMYFUNCTION("IF(OR(CF65&gt;$BR65+$BS65*$BS$2,CF65&lt;$BR65-$BS65*$BS$2),AVEDEV(ARRAYFORMULA(XLOOKUP(FILTER(INDIRECT(""'""&amp;CF$1&amp;""'!$C$4:$C$66""),INDIRECT(""'""&amp;CF$1&amp;""'!$D$4:$D$66"")=CF$2),$F$3:$BP$3,$F65:$BP65))),"""")"),"")</f>
        <v/>
      </c>
      <c r="CH65" s="206"/>
      <c r="CI65" s="251">
        <f>IFERROR(__xludf.DUMMYFUNCTION("AVERAGE(ARRAYFORMULA(XLOOKUP(FILTER(INDIRECT(""'""&amp;CI$1&amp;""'!$C$4:$C$66""),INDIRECT(""'""&amp;CI$1&amp;""'!$D$4:$D$66"")=CI$2),$F$3:$BP$3,$F65:$BP65)))"),-0.42379827266666664)</f>
        <v>-0.4237982727</v>
      </c>
      <c r="CJ65" s="207" t="str">
        <f>IFERROR(__xludf.DUMMYFUNCTION("IF(OR(CI65&gt;$BR65+$BS65*$BS$2,CI65&lt;$BR65-$BS65*$BS$2),AVEDEV(ARRAYFORMULA(XLOOKUP(FILTER(INDIRECT(""'""&amp;CI$1&amp;""'!$C$4:$C$66""),INDIRECT(""'""&amp;CI$1&amp;""'!$D$4:$D$66"")=CI$2),$F$3:$BP$3,$F65:$BP65))),"""")"),"")</f>
        <v/>
      </c>
      <c r="CK65" s="251">
        <f>IFERROR(__xludf.DUMMYFUNCTION("AVERAGE(ARRAYFORMULA(XLOOKUP(FILTER(INDIRECT(""'""&amp;CK$1&amp;""'!$C$4:$C$66""),INDIRECT(""'""&amp;CK$1&amp;""'!$D$4:$D$66"")=CK$2),$F$3:$BP$3,$F65:$BP65)))"),0.15350265769230764)</f>
        <v>0.1535026577</v>
      </c>
      <c r="CL65" s="207" t="str">
        <f>IFERROR(__xludf.DUMMYFUNCTION("IF(OR(CK65&gt;$BR65+$BS65*$BS$2,CK65&lt;$BR65-$BS65*$BS$2),AVEDEV(ARRAYFORMULA(XLOOKUP(FILTER(INDIRECT(""'""&amp;CK$1&amp;""'!$C$4:$C$66""),INDIRECT(""'""&amp;CK$1&amp;""'!$D$4:$D$66"")=CK$2),$F$3:$BP$3,$F65:$BP65))),"""")"),"")</f>
        <v/>
      </c>
      <c r="CM65" s="254">
        <f>IFERROR(__xludf.DUMMYFUNCTION("AVERAGE(ARRAYFORMULA(XLOOKUP(FILTER(INDIRECT(""'""&amp;CM$1&amp;""'!$C$4:$C$66""),INDIRECT(""'""&amp;CM$1&amp;""'!$D$4:$D$66"")=CM$2),$F$3:$BP$3,$F65:$BP65)))"),0.09676910000000001)</f>
        <v>0.0967691</v>
      </c>
      <c r="CN65" s="207" t="str">
        <f>IFERROR(__xludf.DUMMYFUNCTION("IF(OR(CM65&gt;$BR65+$BS65*$BS$2,CM65&lt;$BR65-$BS65*$BS$2),AVEDEV(ARRAYFORMULA(XLOOKUP(FILTER(INDIRECT(""'""&amp;CM$1&amp;""'!$C$4:$C$66""),INDIRECT(""'""&amp;CM$1&amp;""'!$D$4:$D$66"")=CM$2),$F$3:$BP$3,$F65:$BP65))),"""")"),"")</f>
        <v/>
      </c>
      <c r="CO65" s="252"/>
      <c r="CP65" s="251">
        <f>IFERROR(__xludf.DUMMYFUNCTION("AVERAGE(ARRAYFORMULA(XLOOKUP(FILTER(INDIRECT(""'""&amp;CP$1&amp;""'!$C$4:$C$66""),INDIRECT(""'""&amp;CP$1&amp;""'!$D$4:$D$66"")=CP$2),$F$3:$BP$3,$F65:$BP65)))"),0.022064623571428583)</f>
        <v>0.02206462357</v>
      </c>
      <c r="CQ65" s="207" t="str">
        <f>IFERROR(__xludf.DUMMYFUNCTION("IF(OR(CP65&gt;$BR65+$BS65*$BS$2,CP65&lt;$BR65-$BS65*$BS$2),AVEDEV(ARRAYFORMULA(XLOOKUP(FILTER(INDIRECT(""'""&amp;CP$1&amp;""'!$C$4:$C$66""),INDIRECT(""'""&amp;CP$1&amp;""'!$D$4:$D$66"")=CP$2),$F$3:$BP$3,$F65:$BP65))),"""")"),"")</f>
        <v/>
      </c>
      <c r="CR65" s="251">
        <f>IFERROR(__xludf.DUMMYFUNCTION("AVERAGE(ARRAYFORMULA(XLOOKUP(FILTER(INDIRECT(""'""&amp;CR$1&amp;""'!$C$4:$C$66""),INDIRECT(""'""&amp;CR$1&amp;""'!$D$4:$D$66"")=CR$2),$F$3:$BP$3,$F65:$BP65)))"),0.3776376911111112)</f>
        <v>0.3776376911</v>
      </c>
      <c r="CS65" s="207" t="str">
        <f>IFERROR(__xludf.DUMMYFUNCTION("IF(OR(CR65&gt;$BR65+$BS65*$BS$2,CR65&lt;$BR65-$BS65*$BS$2),AVEDEV(ARRAYFORMULA(XLOOKUP(FILTER(INDIRECT(""'""&amp;CR$1&amp;""'!$C$4:$C$66""),INDIRECT(""'""&amp;CR$1&amp;""'!$D$4:$D$66"")=CR$2),$F$3:$BP$3,$F65:$BP65))),"""")"),"")</f>
        <v/>
      </c>
      <c r="CT65" s="251">
        <f>IFERROR(__xludf.DUMMYFUNCTION("AVERAGE(ARRAYFORMULA(XLOOKUP(FILTER(INDIRECT(""'""&amp;CT$1&amp;""'!$C$4:$C$66""),INDIRECT(""'""&amp;CT$1&amp;""'!$D$4:$D$66"")=CT$2),$F$3:$BP$3,$F65:$BP65)))"),-0.26742605090909083)</f>
        <v>-0.2674260509</v>
      </c>
      <c r="CU65" s="207" t="str">
        <f>IFERROR(__xludf.DUMMYFUNCTION("IF(OR(CT65&gt;$BR65+$BS65*$BS$2,CT65&lt;$BR65-$BS65*$BS$2),AVEDEV(ARRAYFORMULA(XLOOKUP(FILTER(INDIRECT(""'""&amp;CT$1&amp;""'!$C$4:$C$66""),INDIRECT(""'""&amp;CT$1&amp;""'!$D$4:$D$66"")=CT$2),$F$3:$BP$3,$F65:$BP65))),"""")"),"")</f>
        <v/>
      </c>
      <c r="CV65" s="251">
        <f>IFERROR(__xludf.DUMMYFUNCTION("AVERAGE(ARRAYFORMULA(XLOOKUP(FILTER(INDIRECT(""'""&amp;CV$1&amp;""'!$C$4:$C$66""),INDIRECT(""'""&amp;CV$1&amp;""'!$D$4:$D$66"")=CV$2),$F$3:$BP$3,$F65:$BP65)))"),-0.034672995)</f>
        <v>-0.034672995</v>
      </c>
      <c r="CW65" s="207" t="str">
        <f>IFERROR(__xludf.DUMMYFUNCTION("IF(OR(CV65&gt;$BR65+$BS65*$BS$2,CV65&lt;$BR65-$BS65*$BS$2),AVEDEV(ARRAYFORMULA(XLOOKUP(FILTER(INDIRECT(""'""&amp;CV$1&amp;""'!$C$4:$C$66""),INDIRECT(""'""&amp;CV$1&amp;""'!$D$4:$D$66"")=CV$2),$F$3:$BP$3,$F65:$BP65))),"""")"),"")</f>
        <v/>
      </c>
      <c r="CX65" s="254">
        <f>IFERROR(__xludf.DUMMYFUNCTION("AVERAGE(ARRAYFORMULA(XLOOKUP(FILTER(INDIRECT(""'""&amp;CX$1&amp;""'!$C$4:$C$66""),INDIRECT(""'""&amp;CX$1&amp;""'!$D$4:$D$66"")=CX$2),$F$3:$BP$3,$F65:$BP65)))"),0.18383429071428567)</f>
        <v>0.1838342907</v>
      </c>
      <c r="CY65" s="207" t="str">
        <f>IFERROR(__xludf.DUMMYFUNCTION("IF(OR(CX65&gt;$BR65+$BS65*$BS$2,CX65&lt;$BR65-$BS65*$BS$2),AVEDEV(ARRAYFORMULA(XLOOKUP(FILTER(INDIRECT(""'""&amp;CX$1&amp;""'!$C$4:$C$66""),INDIRECT(""'""&amp;CX$1&amp;""'!$D$4:$D$66"")=CX$2),$F$3:$BP$3,$F65:$BP65))),"""")"),"")</f>
        <v/>
      </c>
      <c r="CZ65" s="252"/>
      <c r="DA65" s="251">
        <f>IFERROR(__xludf.DUMMYFUNCTION("AVERAGE(ARRAYFORMULA(XLOOKUP(FILTER(INDIRECT(""'""&amp;DA$1&amp;""'!$C$4:$C$66""),INDIRECT(""'""&amp;DA$1&amp;""'!$D$4:$D$66"")=DA$2),$F$3:$BP$3,$F65:$BP65)))"),-0.146256896)</f>
        <v>-0.146256896</v>
      </c>
      <c r="DB65" s="207" t="str">
        <f>IFERROR(__xludf.DUMMYFUNCTION("IF(OR(DA65&gt;$BR65+$BS65*$BS$2,DA65&lt;$BR65-$BS65*$BS$2),AVEDEV(ARRAYFORMULA(XLOOKUP(FILTER(INDIRECT(""'""&amp;DA$1&amp;""'!$C$4:$C$66""),INDIRECT(""'""&amp;DA$1&amp;""'!$D$4:$D$66"")=DA$2),$F$3:$BP$3,$F65:$BP65))),"""")"),"")</f>
        <v/>
      </c>
      <c r="DC65" s="251">
        <f>IFERROR(__xludf.DUMMYFUNCTION("AVERAGE(ARRAYFORMULA(XLOOKUP(FILTER(INDIRECT(""'""&amp;DC$1&amp;""'!$C$4:$C$66""),INDIRECT(""'""&amp;DC$1&amp;""'!$D$4:$D$66"")=DC$2),$F$3:$BP$3,$F65:$BP65)))"),0.14534629000000004)</f>
        <v>0.14534629</v>
      </c>
      <c r="DD65" s="207" t="str">
        <f>IFERROR(__xludf.DUMMYFUNCTION("IF(OR(DC65&gt;$BR65+$BS65*$BS$2,DC65&lt;$BR65-$BS65*$BS$2),AVEDEV(ARRAYFORMULA(XLOOKUP(FILTER(INDIRECT(""'""&amp;DC$1&amp;""'!$C$4:$C$66""),INDIRECT(""'""&amp;DC$1&amp;""'!$D$4:$D$66"")=DC$2),$F$3:$BP$3,$F65:$BP65))),"""")"),"")</f>
        <v/>
      </c>
      <c r="DE65" s="251">
        <f>IFERROR(__xludf.DUMMYFUNCTION("AVERAGE(ARRAYFORMULA(XLOOKUP(FILTER(INDIRECT(""'""&amp;DE$1&amp;""'!$C$4:$C$66""),INDIRECT(""'""&amp;DE$1&amp;""'!$D$4:$D$66"")=DE$2),$F$3:$BP$3,$F65:$BP65)))"),-0.281717885)</f>
        <v>-0.281717885</v>
      </c>
      <c r="DF65" s="207" t="str">
        <f>IFERROR(__xludf.DUMMYFUNCTION("IF(OR(DE65&gt;$BR65+$BS65*$BS$2,DE65&lt;$BR65-$BS65*$BS$2),AVEDEV(ARRAYFORMULA(XLOOKUP(FILTER(INDIRECT(""'""&amp;DE$1&amp;""'!$C$4:$C$66""),INDIRECT(""'""&amp;DE$1&amp;""'!$D$4:$D$66"")=DE$2),$F$3:$BP$3,$F65:$BP65))),"""")"),"")</f>
        <v/>
      </c>
      <c r="DG65" s="251">
        <f>IFERROR(__xludf.DUMMYFUNCTION("AVERAGE(ARRAYFORMULA(XLOOKUP(FILTER(INDIRECT(""'""&amp;DG$1&amp;""'!$C$4:$C$66""),INDIRECT(""'""&amp;DG$1&amp;""'!$D$4:$D$66"")=DG$2),$F$3:$BP$3,$F65:$BP65)))"),0.6481919211111111)</f>
        <v>0.6481919211</v>
      </c>
      <c r="DH65" s="207">
        <f>IFERROR(__xludf.DUMMYFUNCTION("IF(OR(DG65&gt;$BR65+$BS65*$BS$2,DG65&lt;$BR65-$BS65*$BS$2),AVEDEV(ARRAYFORMULA(XLOOKUP(FILTER(INDIRECT(""'""&amp;DG$1&amp;""'!$C$4:$C$66""),INDIRECT(""'""&amp;DG$1&amp;""'!$D$4:$D$66"")=DG$2),$F$3:$BP$3,$F65:$BP65))),"""")"),0.527060292345679)</f>
        <v>0.5270602923</v>
      </c>
      <c r="DI65" s="252"/>
    </row>
    <row r="66">
      <c r="A66" s="2"/>
      <c r="B66" s="204" t="s">
        <v>507</v>
      </c>
      <c r="C66" s="204" t="s">
        <v>508</v>
      </c>
      <c r="D66" s="205" t="b">
        <f>VLOOKUP(C66,'Feature Set List'!A63:C246,2,0)</f>
        <v>1</v>
      </c>
      <c r="E66" s="205" t="b">
        <f>VLOOKUP(C66,'Feature Set List'!A63:C246,3,0)</f>
        <v>1</v>
      </c>
      <c r="F66" s="205">
        <v>0.8814078</v>
      </c>
      <c r="G66" s="205">
        <v>0.25401683</v>
      </c>
      <c r="H66" s="205">
        <v>-0.8247896</v>
      </c>
      <c r="I66" s="205">
        <v>-0.1162969</v>
      </c>
      <c r="J66" s="205">
        <v>0.63504208</v>
      </c>
      <c r="K66" s="205">
        <v>-0.1224178</v>
      </c>
      <c r="L66" s="205">
        <v>-0.0061209</v>
      </c>
      <c r="M66" s="205">
        <v>-1.0130069</v>
      </c>
      <c r="N66" s="205">
        <v>0.64728386</v>
      </c>
      <c r="O66" s="205">
        <v>-1.1338944</v>
      </c>
      <c r="P66" s="205">
        <v>0.30298393</v>
      </c>
      <c r="Q66" s="205">
        <v>-0.123948</v>
      </c>
      <c r="R66" s="205">
        <v>0.14078041</v>
      </c>
      <c r="S66" s="205">
        <v>-0.2417751</v>
      </c>
      <c r="T66" s="205">
        <v>-2.0321347</v>
      </c>
      <c r="U66" s="205">
        <v>0.14384086</v>
      </c>
      <c r="V66" s="205">
        <v>-0.165264</v>
      </c>
      <c r="W66" s="205">
        <v>-1.1920428</v>
      </c>
      <c r="X66" s="205">
        <v>0.80183627</v>
      </c>
      <c r="Y66" s="205">
        <v>-0.0382555</v>
      </c>
      <c r="Z66" s="205">
        <v>-0.6870696</v>
      </c>
      <c r="AA66" s="205">
        <v>-0.7146136</v>
      </c>
      <c r="AB66" s="205">
        <v>0.19739862</v>
      </c>
      <c r="AC66" s="205">
        <v>0.55700077</v>
      </c>
      <c r="AD66" s="205">
        <v>-0.5692425</v>
      </c>
      <c r="AE66" s="205">
        <v>0.48661056</v>
      </c>
      <c r="AF66" s="205">
        <v>-0.503443</v>
      </c>
      <c r="AG66" s="205">
        <v>-0.5218057</v>
      </c>
      <c r="AH66" s="205">
        <v>-0.0015302</v>
      </c>
      <c r="AI66" s="205">
        <v>0.0</v>
      </c>
      <c r="AJ66" s="205">
        <v>-0.0856924</v>
      </c>
      <c r="AK66" s="205">
        <v>0.42234124</v>
      </c>
      <c r="AL66" s="205">
        <v>0.2096404</v>
      </c>
      <c r="AM66" s="205">
        <v>0.67482785</v>
      </c>
      <c r="AN66" s="205">
        <v>-1.7827085</v>
      </c>
      <c r="AO66" s="205">
        <v>-0.9120122</v>
      </c>
      <c r="AP66" s="205">
        <v>0.70696251</v>
      </c>
      <c r="AQ66" s="205">
        <v>0.85692425</v>
      </c>
      <c r="AR66" s="205">
        <v>0.08875287</v>
      </c>
      <c r="AS66" s="205">
        <v>-0.0030604</v>
      </c>
      <c r="AT66" s="205">
        <v>-0.4560061</v>
      </c>
      <c r="AU66" s="205">
        <v>0.90436113</v>
      </c>
      <c r="AV66" s="205">
        <v>-0.3672533</v>
      </c>
      <c r="AW66" s="205">
        <v>0.0627391</v>
      </c>
      <c r="AX66" s="205">
        <v>-0.096404</v>
      </c>
      <c r="AY66" s="205">
        <v>0.24330528</v>
      </c>
      <c r="AZ66" s="205">
        <v>-0.7498087</v>
      </c>
      <c r="BA66" s="205">
        <v>-1.8301454</v>
      </c>
      <c r="BB66" s="205">
        <v>1.27467483</v>
      </c>
      <c r="BC66" s="205">
        <v>0.27390972</v>
      </c>
      <c r="BD66" s="205">
        <v>-1.6419281</v>
      </c>
      <c r="BE66" s="205">
        <v>0.33358837</v>
      </c>
      <c r="BF66" s="205">
        <v>-0.6993114</v>
      </c>
      <c r="BG66" s="205">
        <v>0.63351186</v>
      </c>
      <c r="BH66" s="205">
        <v>0.07345065</v>
      </c>
      <c r="BI66" s="205">
        <v>0.81713849</v>
      </c>
      <c r="BJ66" s="205">
        <v>0.32593726</v>
      </c>
      <c r="BK66" s="205">
        <v>-2.0994644</v>
      </c>
      <c r="BL66" s="205">
        <v>-1.2838562</v>
      </c>
      <c r="BM66" s="205">
        <v>0.53710788</v>
      </c>
      <c r="BN66" s="205">
        <v>1.65570008</v>
      </c>
      <c r="BO66" s="205">
        <v>0.11323642</v>
      </c>
      <c r="BP66" s="205">
        <v>0.86763581</v>
      </c>
      <c r="BQ66" s="206"/>
      <c r="BR66" s="250">
        <f t="shared" si="1"/>
        <v>-0.09351356048</v>
      </c>
      <c r="BS66" s="250">
        <f t="shared" si="2"/>
        <v>0.6174377882</v>
      </c>
      <c r="BT66" s="206"/>
      <c r="BU66" s="207">
        <f>IFERROR(__xludf.DUMMYFUNCTION("AVERAGE(ARRAYFORMULA(XLOOKUP(FILTER(INDIRECT(""'""&amp;BU$1&amp;""'!$C$4:$C$66""),INDIRECT(""'""&amp;BU$1&amp;""'!$D$4:$D$66"")=BU$2),$F$3:$BP$3,$F66:$BP66)))"),-1.5249754142857141)</f>
        <v>-1.524975414</v>
      </c>
      <c r="BV66" s="207">
        <f>IFERROR(__xludf.DUMMYFUNCTION("IF(OR(BU66&gt;$BR66+$BS66*$BS$2,BU66&lt;$BR66-$BS66*$BS$2),AVEDEV(ARRAYFORMULA(XLOOKUP(FILTER(INDIRECT(""'""&amp;BU$1&amp;""'!$C$4:$C$66""),INDIRECT(""'""&amp;BU$1&amp;""'!$D$4:$D$66"")=BU$2),$F$3:$BP$3,$F66:$BP66))),"""")"),0.5032868653061225)</f>
        <v>0.5032868653</v>
      </c>
      <c r="BW66" s="207">
        <f>IFERROR(__xludf.DUMMYFUNCTION("AVERAGE(ARRAYFORMULA(XLOOKUP(FILTER(INDIRECT(""'""&amp;BW$1&amp;""'!$C$4:$C$66""),INDIRECT(""'""&amp;BW$1&amp;""'!$D$4:$D$66"")=BW$2),$F$3:$BP$3,$F66:$BP66)))"),0.16857944666666666)</f>
        <v>0.1685794467</v>
      </c>
      <c r="BX66" s="207" t="str">
        <f>IFERROR(__xludf.DUMMYFUNCTION("IF(OR(BW66&gt;$BR66+$BS66*$BS$2,BW66&lt;$BR66-$BS66*$BS$2),AVEDEV(ARRAYFORMULA(XLOOKUP(FILTER(INDIRECT(""'""&amp;BW$1&amp;""'!$C$4:$C$66""),INDIRECT(""'""&amp;BW$1&amp;""'!$D$4:$D$66"")=BW$2),$F$3:$BP$3,$F66:$BP66))),"""")"),"")</f>
        <v/>
      </c>
      <c r="BY66" s="207">
        <f>IFERROR(__xludf.DUMMYFUNCTION("AVERAGE(ARRAYFORMULA(XLOOKUP(FILTER(INDIRECT(""'""&amp;BY$1&amp;""'!$C$4:$C$66""),INDIRECT(""'""&amp;BY$1&amp;""'!$D$4:$D$66"")=BY$2),$F$3:$BP$3,$F66:$BP66)))"),-0.11727065363636364)</f>
        <v>-0.1172706536</v>
      </c>
      <c r="BZ66" s="207" t="str">
        <f>IFERROR(__xludf.DUMMYFUNCTION("IF(OR(BY66&gt;$BR66+$BS66*$BS$2,BY66&lt;$BR66-$BS66*$BS$2),AVEDEV(ARRAYFORMULA(XLOOKUP(FILTER(INDIRECT(""'""&amp;BY$1&amp;""'!$C$4:$C$66""),INDIRECT(""'""&amp;BY$1&amp;""'!$D$4:$D$66"")=BY$2),$F$3:$BP$3,$F66:$BP66))),"""")"),"")</f>
        <v/>
      </c>
      <c r="CA66" s="209"/>
      <c r="CB66" s="207">
        <f>IFERROR(__xludf.DUMMYFUNCTION("AVERAGE(ARRAYFORMULA(XLOOKUP(FILTER(INDIRECT(""'""&amp;CB$1&amp;""'!$C$4:$C$66""),INDIRECT(""'""&amp;CB$1&amp;""'!$D$4:$D$66"")=CB$2),$F$3:$BP$3,$F66:$BP66)))"),-0.33502295312499997)</f>
        <v>-0.3350229531</v>
      </c>
      <c r="CC66" s="207" t="str">
        <f>IFERROR(__xludf.DUMMYFUNCTION("IF(OR(CB66&gt;$BR66+$BS66*$BS$2,CB66&lt;$BR66-$BS66*$BS$2),AVEDEV(ARRAYFORMULA(XLOOKUP(FILTER(INDIRECT(""'""&amp;CB$1&amp;""'!$C$4:$C$66""),INDIRECT(""'""&amp;CB$1&amp;""'!$D$4:$D$66"")=CB$2),$F$3:$BP$3,$F66:$BP66))),"""")"),"")</f>
        <v/>
      </c>
      <c r="CD66" s="207">
        <f>IFERROR(__xludf.DUMMYFUNCTION("AVERAGE(ARRAYFORMULA(XLOOKUP(FILTER(INDIRECT(""'""&amp;CD$1&amp;""'!$C$4:$C$66""),INDIRECT(""'""&amp;CD$1&amp;""'!$D$4:$D$66"")=CD$2),$F$3:$BP$3,$F66:$BP66)))"),0.1972011716129032)</f>
        <v>0.1972011716</v>
      </c>
      <c r="CE66" s="207" t="str">
        <f>IFERROR(__xludf.DUMMYFUNCTION("IF(OR(CD66&gt;$BR66+$BS66*$BS$2,CD66&lt;$BR66-$BS66*$BS$2),AVEDEV(ARRAYFORMULA(XLOOKUP(FILTER(INDIRECT(""'""&amp;CD$1&amp;""'!$C$4:$C$66""),INDIRECT(""'""&amp;CD$1&amp;""'!$D$4:$D$66"")=CD$2),$F$3:$BP$3,$F66:$BP66))),"""")"),"")</f>
        <v/>
      </c>
      <c r="CF66" s="207">
        <f>IFERROR(__xludf.DUMMYFUNCTION("AVERAGE(ARRAYFORMULA(XLOOKUP(FILTER(INDIRECT(""'""&amp;CF$1&amp;""'!$C$4:$C$66""),INDIRECT(""'""&amp;CF$1&amp;""'!$D$4:$D$66"")=CF$2),$F$3:$BP$3,$F66:$BP66)))"),-0.547207346)</f>
        <v>-0.547207346</v>
      </c>
      <c r="CG66" s="207" t="str">
        <f>IFERROR(__xludf.DUMMYFUNCTION("IF(OR(CF66&gt;$BR66+$BS66*$BS$2,CF66&lt;$BR66-$BS66*$BS$2),AVEDEV(ARRAYFORMULA(XLOOKUP(FILTER(INDIRECT(""'""&amp;CF$1&amp;""'!$C$4:$C$66""),INDIRECT(""'""&amp;CF$1&amp;""'!$D$4:$D$66"")=CF$2),$F$3:$BP$3,$F66:$BP66))),"""")"),"")</f>
        <v/>
      </c>
      <c r="CH66" s="206"/>
      <c r="CI66" s="251">
        <f>IFERROR(__xludf.DUMMYFUNCTION("AVERAGE(ARRAYFORMULA(XLOOKUP(FILTER(INDIRECT(""'""&amp;CI$1&amp;""'!$C$4:$C$66""),INDIRECT(""'""&amp;CI$1&amp;""'!$D$4:$D$66"")=CI$2),$F$3:$BP$3,$F66:$BP66)))"),-0.5301708753333332)</f>
        <v>-0.5301708753</v>
      </c>
      <c r="CJ66" s="207" t="str">
        <f>IFERROR(__xludf.DUMMYFUNCTION("IF(OR(CI66&gt;$BR66+$BS66*$BS$2,CI66&lt;$BR66-$BS66*$BS$2),AVEDEV(ARRAYFORMULA(XLOOKUP(FILTER(INDIRECT(""'""&amp;CI$1&amp;""'!$C$4:$C$66""),INDIRECT(""'""&amp;CI$1&amp;""'!$D$4:$D$66"")=CI$2),$F$3:$BP$3,$F66:$BP66))),"""")"),"")</f>
        <v/>
      </c>
      <c r="CK66" s="251">
        <f>IFERROR(__xludf.DUMMYFUNCTION("AVERAGE(ARRAYFORMULA(XLOOKUP(FILTER(INDIRECT(""'""&amp;CK$1&amp;""'!$C$4:$C$66""),INDIRECT(""'""&amp;CK$1&amp;""'!$D$4:$D$66"")=CK$2),$F$3:$BP$3,$F66:$BP66)))"),0.20265630589743588)</f>
        <v>0.2026563059</v>
      </c>
      <c r="CL66" s="207" t="str">
        <f>IFERROR(__xludf.DUMMYFUNCTION("IF(OR(CK66&gt;$BR66+$BS66*$BS$2,CK66&lt;$BR66-$BS66*$BS$2),AVEDEV(ARRAYFORMULA(XLOOKUP(FILTER(INDIRECT(""'""&amp;CK$1&amp;""'!$C$4:$C$66""),INDIRECT(""'""&amp;CK$1&amp;""'!$D$4:$D$66"")=CK$2),$F$3:$BP$3,$F66:$BP66))),"""")"),"")</f>
        <v/>
      </c>
      <c r="CM66" s="251">
        <f>IFERROR(__xludf.DUMMYFUNCTION("AVERAGE(ARRAYFORMULA(XLOOKUP(FILTER(INDIRECT(""'""&amp;CM$1&amp;""'!$C$4:$C$66""),INDIRECT(""'""&amp;CM$1&amp;""'!$D$4:$D$66"")=CM$2),$F$3:$BP$3,$F66:$BP66)))"),-0.547207346)</f>
        <v>-0.547207346</v>
      </c>
      <c r="CN66" s="207" t="str">
        <f>IFERROR(__xludf.DUMMYFUNCTION("IF(OR(CM66&gt;$BR66+$BS66*$BS$2,CM66&lt;$BR66-$BS66*$BS$2),AVEDEV(ARRAYFORMULA(XLOOKUP(FILTER(INDIRECT(""'""&amp;CM$1&amp;""'!$C$4:$C$66""),INDIRECT(""'""&amp;CM$1&amp;""'!$D$4:$D$66"")=CM$2),$F$3:$BP$3,$F66:$BP66))),"""")"),"")</f>
        <v/>
      </c>
      <c r="CO66" s="252"/>
      <c r="CP66" s="251">
        <f>IFERROR(__xludf.DUMMYFUNCTION("AVERAGE(ARRAYFORMULA(XLOOKUP(FILTER(INDIRECT(""'""&amp;CP$1&amp;""'!$C$4:$C$66""),INDIRECT(""'""&amp;CP$1&amp;""'!$D$4:$D$66"")=CP$2),$F$3:$BP$3,$F66:$BP66)))"),-0.09869930928571428)</f>
        <v>-0.09869930929</v>
      </c>
      <c r="CQ66" s="207" t="str">
        <f>IFERROR(__xludf.DUMMYFUNCTION("IF(OR(CP66&gt;$BR66+$BS66*$BS$2,CP66&lt;$BR66-$BS66*$BS$2),AVEDEV(ARRAYFORMULA(XLOOKUP(FILTER(INDIRECT(""'""&amp;CP$1&amp;""'!$C$4:$C$66""),INDIRECT(""'""&amp;CP$1&amp;""'!$D$4:$D$66"")=CP$2),$F$3:$BP$3,$F66:$BP66))),"""")"),"")</f>
        <v/>
      </c>
      <c r="CR66" s="251">
        <f>IFERROR(__xludf.DUMMYFUNCTION("AVERAGE(ARRAYFORMULA(XLOOKUP(FILTER(INDIRECT(""'""&amp;CR$1&amp;""'!$C$4:$C$66""),INDIRECT(""'""&amp;CR$1&amp;""'!$D$4:$D$66"")=CR$2),$F$3:$BP$3,$F66:$BP66)))"),-0.027714030000000018)</f>
        <v>-0.02771403</v>
      </c>
      <c r="CS66" s="207" t="str">
        <f>IFERROR(__xludf.DUMMYFUNCTION("IF(OR(CR66&gt;$BR66+$BS66*$BS$2,CR66&lt;$BR66-$BS66*$BS$2),AVEDEV(ARRAYFORMULA(XLOOKUP(FILTER(INDIRECT(""'""&amp;CR$1&amp;""'!$C$4:$C$66""),INDIRECT(""'""&amp;CR$1&amp;""'!$D$4:$D$66"")=CR$2),$F$3:$BP$3,$F66:$BP66))),"""")"),"")</f>
        <v/>
      </c>
      <c r="CT66" s="251">
        <f>IFERROR(__xludf.DUMMYFUNCTION("AVERAGE(ARRAYFORMULA(XLOOKUP(FILTER(INDIRECT(""'""&amp;CT$1&amp;""'!$C$4:$C$66""),INDIRECT(""'""&amp;CT$1&amp;""'!$D$4:$D$66"")=CT$2),$F$3:$BP$3,$F66:$BP66)))"),0.06593865636363637)</f>
        <v>0.06593865636</v>
      </c>
      <c r="CU66" s="207" t="str">
        <f>IFERROR(__xludf.DUMMYFUNCTION("IF(OR(CT66&gt;$BR66+$BS66*$BS$2,CT66&lt;$BR66-$BS66*$BS$2),AVEDEV(ARRAYFORMULA(XLOOKUP(FILTER(INDIRECT(""'""&amp;CT$1&amp;""'!$C$4:$C$66""),INDIRECT(""'""&amp;CT$1&amp;""'!$D$4:$D$66"")=CT$2),$F$3:$BP$3,$F66:$BP66))),"""")"),"")</f>
        <v/>
      </c>
      <c r="CV66" s="251">
        <f>IFERROR(__xludf.DUMMYFUNCTION("AVERAGE(ARRAYFORMULA(XLOOKUP(FILTER(INDIRECT(""'""&amp;CV$1&amp;""'!$C$4:$C$66""),INDIRECT(""'""&amp;CV$1&amp;""'!$D$4:$D$66"")=CV$2),$F$3:$BP$3,$F66:$BP66)))"),0.5952563150000001)</f>
        <v>0.595256315</v>
      </c>
      <c r="CW66" s="207">
        <f>IFERROR(__xludf.DUMMYFUNCTION("IF(OR(CV66&gt;$BR66+$BS66*$BS$2,CV66&lt;$BR66-$BS66*$BS$2),AVEDEV(ARRAYFORMULA(XLOOKUP(FILTER(INDIRECT(""'""&amp;CV$1&amp;""'!$C$4:$C$66""),INDIRECT(""'""&amp;CV$1&amp;""'!$D$4:$D$66"")=CV$2),$F$3:$BP$3,$F66:$BP66))),"""")"),0.038255545)</f>
        <v>0.038255545</v>
      </c>
      <c r="CX66" s="251">
        <f>IFERROR(__xludf.DUMMYFUNCTION("AVERAGE(ARRAYFORMULA(XLOOKUP(FILTER(INDIRECT(""'""&amp;CX$1&amp;""'!$C$4:$C$66""),INDIRECT(""'""&amp;CX$1&amp;""'!$D$4:$D$66"")=CX$2),$F$3:$BP$3,$F66:$BP66)))"),0.4332713978571428)</f>
        <v>0.4332713979</v>
      </c>
      <c r="CY66" s="207" t="str">
        <f>IFERROR(__xludf.DUMMYFUNCTION("IF(OR(CX66&gt;$BR66+$BS66*$BS$2,CX66&lt;$BR66-$BS66*$BS$2),AVEDEV(ARRAYFORMULA(XLOOKUP(FILTER(INDIRECT(""'""&amp;CX$1&amp;""'!$C$4:$C$66""),INDIRECT(""'""&amp;CX$1&amp;""'!$D$4:$D$66"")=CX$2),$F$3:$BP$3,$F66:$BP66))),"""")"),"")</f>
        <v/>
      </c>
      <c r="CZ66" s="252"/>
      <c r="DA66" s="251">
        <f>IFERROR(__xludf.DUMMYFUNCTION("AVERAGE(ARRAYFORMULA(XLOOKUP(FILTER(INDIRECT(""'""&amp;DA$1&amp;""'!$C$4:$C$66""),INDIRECT(""'""&amp;DA$1&amp;""'!$D$4:$D$66"")=DA$2),$F$3:$BP$3,$F66:$BP66)))"),-0.04815097833333333)</f>
        <v>-0.04815097833</v>
      </c>
      <c r="DB66" s="207" t="str">
        <f>IFERROR(__xludf.DUMMYFUNCTION("IF(OR(DA66&gt;$BR66+$BS66*$BS$2,DA66&lt;$BR66-$BS66*$BS$2),AVEDEV(ARRAYFORMULA(XLOOKUP(FILTER(INDIRECT(""'""&amp;DA$1&amp;""'!$C$4:$C$66""),INDIRECT(""'""&amp;DA$1&amp;""'!$D$4:$D$66"")=DA$2),$F$3:$BP$3,$F66:$BP66))),"""")"),"")</f>
        <v/>
      </c>
      <c r="DC66" s="251">
        <f>IFERROR(__xludf.DUMMYFUNCTION("AVERAGE(ARRAYFORMULA(XLOOKUP(FILTER(INDIRECT(""'""&amp;DC$1&amp;""'!$C$4:$C$66""),INDIRECT(""'""&amp;DC$1&amp;""'!$D$4:$D$66"")=DC$2),$F$3:$BP$3,$F66:$BP66)))"),-0.2130409077777778)</f>
        <v>-0.2130409078</v>
      </c>
      <c r="DD66" s="207" t="str">
        <f>IFERROR(__xludf.DUMMYFUNCTION("IF(OR(DC66&gt;$BR66+$BS66*$BS$2,DC66&lt;$BR66-$BS66*$BS$2),AVEDEV(ARRAYFORMULA(XLOOKUP(FILTER(INDIRECT(""'""&amp;DC$1&amp;""'!$C$4:$C$66""),INDIRECT(""'""&amp;DC$1&amp;""'!$D$4:$D$66"")=DC$2),$F$3:$BP$3,$F66:$BP66))),"""")"),"")</f>
        <v/>
      </c>
      <c r="DE66" s="251">
        <f>IFERROR(__xludf.DUMMYFUNCTION("AVERAGE(ARRAYFORMULA(XLOOKUP(FILTER(INDIRECT(""'""&amp;DE$1&amp;""'!$C$4:$C$66""),INDIRECT(""'""&amp;DE$1&amp;""'!$D$4:$D$66"")=DE$2),$F$3:$BP$3,$F66:$BP66)))"),-0.23852334374999992)</f>
        <v>-0.2385233438</v>
      </c>
      <c r="DF66" s="207" t="str">
        <f>IFERROR(__xludf.DUMMYFUNCTION("IF(OR(DE66&gt;$BR66+$BS66*$BS$2,DE66&lt;$BR66-$BS66*$BS$2),AVEDEV(ARRAYFORMULA(XLOOKUP(FILTER(INDIRECT(""'""&amp;DE$1&amp;""'!$C$4:$C$66""),INDIRECT(""'""&amp;DE$1&amp;""'!$D$4:$D$66"")=DE$2),$F$3:$BP$3,$F66:$BP66))),"""")"),"")</f>
        <v/>
      </c>
      <c r="DG66" s="251">
        <f>IFERROR(__xludf.DUMMYFUNCTION("AVERAGE(ARRAYFORMULA(XLOOKUP(FILTER(INDIRECT(""'""&amp;DG$1&amp;""'!$C$4:$C$66""),INDIRECT(""'""&amp;DG$1&amp;""'!$D$4:$D$66"")=DG$2),$F$3:$BP$3,$F66:$BP66)))"),0.5114341544444445)</f>
        <v>0.5114341544</v>
      </c>
      <c r="DH66" s="207" t="str">
        <f>IFERROR(__xludf.DUMMYFUNCTION("IF(OR(DG66&gt;$BR66+$BS66*$BS$2,DG66&lt;$BR66-$BS66*$BS$2),AVEDEV(ARRAYFORMULA(XLOOKUP(FILTER(INDIRECT(""'""&amp;DG$1&amp;""'!$C$4:$C$66""),INDIRECT(""'""&amp;DG$1&amp;""'!$D$4:$D$66"")=DG$2),$F$3:$BP$3,$F66:$BP66))),"""")"),"")</f>
        <v/>
      </c>
      <c r="DI66" s="252"/>
    </row>
    <row r="67">
      <c r="A67" s="2"/>
      <c r="B67" s="204" t="s">
        <v>507</v>
      </c>
      <c r="C67" s="204" t="s">
        <v>509</v>
      </c>
      <c r="D67" s="205" t="b">
        <f>VLOOKUP(C67,'Feature Set List'!A64:C246,2,0)</f>
        <v>1</v>
      </c>
      <c r="E67" s="205" t="b">
        <f>VLOOKUP(C67,'Feature Set List'!A64:C246,3,0)</f>
        <v>1</v>
      </c>
      <c r="F67" s="205">
        <v>0.47234416</v>
      </c>
      <c r="G67" s="205">
        <v>0.71817384</v>
      </c>
      <c r="H67" s="205">
        <v>7.06877378</v>
      </c>
      <c r="I67" s="205">
        <v>2.06438396</v>
      </c>
      <c r="J67" s="205">
        <v>-0.3769388</v>
      </c>
      <c r="K67" s="205">
        <v>-0.2124671</v>
      </c>
      <c r="L67" s="205">
        <v>0.01112087</v>
      </c>
      <c r="M67" s="205">
        <v>0.48405034</v>
      </c>
      <c r="N67" s="205">
        <v>1.30933567</v>
      </c>
      <c r="O67" s="205">
        <v>1.52004682</v>
      </c>
      <c r="P67" s="205">
        <v>-0.8124085</v>
      </c>
      <c r="Q67" s="205">
        <v>-0.3623061</v>
      </c>
      <c r="R67" s="205">
        <v>0.40210711</v>
      </c>
      <c r="S67" s="205">
        <v>0.07023705</v>
      </c>
      <c r="T67" s="205">
        <v>-1.36494</v>
      </c>
      <c r="U67" s="205">
        <v>0.30845771</v>
      </c>
      <c r="V67" s="205">
        <v>0.46649107</v>
      </c>
      <c r="W67" s="205">
        <v>-1.253146</v>
      </c>
      <c r="X67" s="205">
        <v>-0.2183202</v>
      </c>
      <c r="Y67" s="205">
        <v>-1.0061457</v>
      </c>
      <c r="Z67" s="205">
        <v>-1.0927714</v>
      </c>
      <c r="AA67" s="205">
        <v>-0.2879719</v>
      </c>
      <c r="AB67" s="205">
        <v>0.24407375</v>
      </c>
      <c r="AC67" s="205">
        <v>-1.9268364</v>
      </c>
      <c r="AD67" s="205">
        <v>0.34942932</v>
      </c>
      <c r="AE67" s="205">
        <v>0.27333919</v>
      </c>
      <c r="AF67" s="205">
        <v>1.84196664</v>
      </c>
      <c r="AG67" s="205">
        <v>0.3143108</v>
      </c>
      <c r="AH67" s="205">
        <v>1.99414691</v>
      </c>
      <c r="AI67" s="205">
        <v>-2.6707638</v>
      </c>
      <c r="AJ67" s="205">
        <v>-0.191396</v>
      </c>
      <c r="AK67" s="205">
        <v>-0.0456541</v>
      </c>
      <c r="AL67" s="205">
        <v>0.4547849</v>
      </c>
      <c r="AM67" s="205">
        <v>-1.3110916</v>
      </c>
      <c r="AN67" s="205">
        <v>-0.3763535</v>
      </c>
      <c r="AO67" s="205">
        <v>-0.2089552</v>
      </c>
      <c r="AP67" s="205">
        <v>1.52589991</v>
      </c>
      <c r="AQ67" s="205">
        <v>-2.1369622</v>
      </c>
      <c r="AR67" s="205">
        <v>1.78343576</v>
      </c>
      <c r="AS67" s="205">
        <v>2.13462101</v>
      </c>
      <c r="AT67" s="205">
        <v>-1.5557507</v>
      </c>
      <c r="AU67" s="205">
        <v>0.11823237</v>
      </c>
      <c r="AV67" s="205">
        <v>-0.0813579</v>
      </c>
      <c r="AW67" s="205">
        <v>-1.975417</v>
      </c>
      <c r="AX67" s="205">
        <v>-1.1460345</v>
      </c>
      <c r="AY67" s="205">
        <v>0.0</v>
      </c>
      <c r="AZ67" s="205">
        <v>2.83699151</v>
      </c>
      <c r="BA67" s="205">
        <v>-0.6532046</v>
      </c>
      <c r="BB67" s="205">
        <v>-0.3172373</v>
      </c>
      <c r="BC67" s="205">
        <v>-0.3646474</v>
      </c>
      <c r="BD67" s="205">
        <v>0.10242903</v>
      </c>
      <c r="BE67" s="205">
        <v>1.80684811</v>
      </c>
      <c r="BF67" s="205">
        <v>2.59701493</v>
      </c>
      <c r="BG67" s="205">
        <v>-1.4328358</v>
      </c>
      <c r="BH67" s="205">
        <v>-0.4395669</v>
      </c>
      <c r="BI67" s="205">
        <v>1.11618379</v>
      </c>
      <c r="BJ67" s="205">
        <v>1.50834065</v>
      </c>
      <c r="BK67" s="205">
        <v>-0.5923325</v>
      </c>
      <c r="BL67" s="205">
        <v>-1.2958736</v>
      </c>
      <c r="BM67" s="205">
        <v>-0.0269242</v>
      </c>
      <c r="BN67" s="205">
        <v>0.26163301</v>
      </c>
      <c r="BO67" s="205">
        <v>0.48405034</v>
      </c>
      <c r="BP67" s="205">
        <v>-0.3822066</v>
      </c>
      <c r="BQ67" s="206"/>
      <c r="BR67" s="250">
        <f t="shared" si="1"/>
        <v>0.1670545525</v>
      </c>
      <c r="BS67" s="250">
        <f t="shared" si="2"/>
        <v>1.010500383</v>
      </c>
      <c r="BT67" s="206"/>
      <c r="BU67" s="207">
        <f>IFERROR(__xludf.DUMMYFUNCTION("AVERAGE(ARRAYFORMULA(XLOOKUP(FILTER(INDIRECT(""'""&amp;BU$1&amp;""'!$C$4:$C$66""),INDIRECT(""'""&amp;BU$1&amp;""'!$D$4:$D$66"")=BU$2),$F$3:$BP$3,$F67:$BP67)))"),-0.7547974385714287)</f>
        <v>-0.7547974386</v>
      </c>
      <c r="BV67" s="207" t="str">
        <f>IFERROR(__xludf.DUMMYFUNCTION("IF(OR(BU67&gt;$BR67+$BS67*$BS$2,BU67&lt;$BR67-$BS67*$BS$2),AVEDEV(ARRAYFORMULA(XLOOKUP(FILTER(INDIRECT(""'""&amp;BU$1&amp;""'!$C$4:$C$66""),INDIRECT(""'""&amp;BU$1&amp;""'!$D$4:$D$66"")=BU$2),$F$3:$BP$3,$F67:$BP67))),"""")"),"")</f>
        <v/>
      </c>
      <c r="BW67" s="207">
        <f>IFERROR(__xludf.DUMMYFUNCTION("AVERAGE(ARRAYFORMULA(XLOOKUP(FILTER(INDIRECT(""'""&amp;BW$1&amp;""'!$C$4:$C$66""),INDIRECT(""'""&amp;BW$1&amp;""'!$D$4:$D$66"")=BW$2),$F$3:$BP$3,$F67:$BP67)))"),0.16037460547619056)</f>
        <v>0.1603746055</v>
      </c>
      <c r="BX67" s="207" t="str">
        <f>IFERROR(__xludf.DUMMYFUNCTION("IF(OR(BW67&gt;$BR67+$BS67*$BS$2,BW67&lt;$BR67-$BS67*$BS$2),AVEDEV(ARRAYFORMULA(XLOOKUP(FILTER(INDIRECT(""'""&amp;BW$1&amp;""'!$C$4:$C$66""),INDIRECT(""'""&amp;BW$1&amp;""'!$D$4:$D$66"")=BW$2),$F$3:$BP$3,$F67:$BP67))),"""")"),"")</f>
        <v/>
      </c>
      <c r="BY67" s="207">
        <f>IFERROR(__xludf.DUMMYFUNCTION("AVERAGE(ARRAYFORMULA(XLOOKUP(FILTER(INDIRECT(""'""&amp;BY$1&amp;""'!$C$4:$C$66""),INDIRECT(""'""&amp;BY$1&amp;""'!$D$4:$D$66"")=BY$2),$F$3:$BP$3,$F67:$BP67)))"),0.35671906999999997)</f>
        <v>0.35671907</v>
      </c>
      <c r="BZ67" s="207" t="str">
        <f>IFERROR(__xludf.DUMMYFUNCTION("IF(OR(BY67&gt;$BR67+$BS67*$BS$2,BY67&lt;$BR67-$BS67*$BS$2),AVEDEV(ARRAYFORMULA(XLOOKUP(FILTER(INDIRECT(""'""&amp;BY$1&amp;""'!$C$4:$C$66""),INDIRECT(""'""&amp;BY$1&amp;""'!$D$4:$D$66"")=BY$2),$F$3:$BP$3,$F67:$BP67))),"""")"),"")</f>
        <v/>
      </c>
      <c r="CA67" s="209"/>
      <c r="CB67" s="207">
        <f>IFERROR(__xludf.DUMMYFUNCTION("AVERAGE(ARRAYFORMULA(XLOOKUP(FILTER(INDIRECT(""'""&amp;CB$1&amp;""'!$C$4:$C$66""),INDIRECT(""'""&amp;CB$1&amp;""'!$D$4:$D$66"")=CB$2),$F$3:$BP$3,$F67:$BP67)))"),0.646949078125)</f>
        <v>0.6469490781</v>
      </c>
      <c r="CC67" s="207" t="str">
        <f>IFERROR(__xludf.DUMMYFUNCTION("IF(OR(CB67&gt;$BR67+$BS67*$BS$2,CB67&lt;$BR67-$BS67*$BS$2),AVEDEV(ARRAYFORMULA(XLOOKUP(FILTER(INDIRECT(""'""&amp;CB$1&amp;""'!$C$4:$C$66""),INDIRECT(""'""&amp;CB$1&amp;""'!$D$4:$D$66"")=CB$2),$F$3:$BP$3,$F67:$BP67))),"""")"),"")</f>
        <v/>
      </c>
      <c r="CD67" s="207">
        <f>IFERROR(__xludf.DUMMYFUNCTION("AVERAGE(ARRAYFORMULA(XLOOKUP(FILTER(INDIRECT(""'""&amp;CD$1&amp;""'!$C$4:$C$66""),INDIRECT(""'""&amp;CD$1&amp;""'!$D$4:$D$66"")=CD$2),$F$3:$BP$3,$F67:$BP67)))"),-0.22215298580645162)</f>
        <v>-0.2221529858</v>
      </c>
      <c r="CE67" s="207" t="str">
        <f>IFERROR(__xludf.DUMMYFUNCTION("IF(OR(CD67&gt;$BR67+$BS67*$BS$2,CD67&lt;$BR67-$BS67*$BS$2),AVEDEV(ARRAYFORMULA(XLOOKUP(FILTER(INDIRECT(""'""&amp;CD$1&amp;""'!$C$4:$C$66""),INDIRECT(""'""&amp;CD$1&amp;""'!$D$4:$D$66"")=CD$2),$F$3:$BP$3,$F67:$BP67))),"""")"),"")</f>
        <v/>
      </c>
      <c r="CF67" s="207">
        <f>IFERROR(__xludf.DUMMYFUNCTION("AVERAGE(ARRAYFORMULA(XLOOKUP(FILTER(INDIRECT(""'""&amp;CF$1&amp;""'!$C$4:$C$66""),INDIRECT(""'""&amp;CF$1&amp;""'!$D$4:$D$66"")=CF$2),$F$3:$BP$3,$F67:$BP67)))"),1.7615452139999999)</f>
        <v>1.761545214</v>
      </c>
      <c r="CG67" s="207">
        <f>IFERROR(__xludf.DUMMYFUNCTION("IF(OR(CF67&gt;$BR67+$BS67*$BS$2,CF67&lt;$BR67-$BS67*$BS$2),AVEDEV(ARRAYFORMULA(XLOOKUP(FILTER(INDIRECT(""'""&amp;CF$1&amp;""'!$C$4:$C$66""),INDIRECT(""'""&amp;CF$1&amp;""'!$D$4:$D$66"")=CF$2),$F$3:$BP$3,$F67:$BP67))),"""")"),0.7731226232)</f>
        <v>0.7731226232</v>
      </c>
      <c r="CH67" s="206"/>
      <c r="CI67" s="251">
        <f>IFERROR(__xludf.DUMMYFUNCTION("AVERAGE(ARRAYFORMULA(XLOOKUP(FILTER(INDIRECT(""'""&amp;CI$1&amp;""'!$C$4:$C$66""),INDIRECT(""'""&amp;CI$1&amp;""'!$D$4:$D$66"")=CI$2),$F$3:$BP$3,$F67:$BP67)))"),-0.12022241866666665)</f>
        <v>-0.1202224187</v>
      </c>
      <c r="CJ67" s="207" t="str">
        <f>IFERROR(__xludf.DUMMYFUNCTION("IF(OR(CI67&gt;$BR67+$BS67*$BS$2,CI67&lt;$BR67-$BS67*$BS$2),AVEDEV(ARRAYFORMULA(XLOOKUP(FILTER(INDIRECT(""'""&amp;CI$1&amp;""'!$C$4:$C$66""),INDIRECT(""'""&amp;CI$1&amp;""'!$D$4:$D$66"")=CI$2),$F$3:$BP$3,$F67:$BP67))),"""")"),"")</f>
        <v/>
      </c>
      <c r="CK67" s="251">
        <f>IFERROR(__xludf.DUMMYFUNCTION("AVERAGE(ARRAYFORMULA(XLOOKUP(FILTER(INDIRECT(""'""&amp;CK$1&amp;""'!$C$4:$C$66""),INDIRECT(""'""&amp;CK$1&amp;""'!$D$4:$D$66"")=CK$2),$F$3:$BP$3,$F67:$BP67)))"),-0.026564004102564133)</f>
        <v>-0.0265640041</v>
      </c>
      <c r="CL67" s="207" t="str">
        <f>IFERROR(__xludf.DUMMYFUNCTION("IF(OR(CK67&gt;$BR67+$BS67*$BS$2,CK67&lt;$BR67-$BS67*$BS$2),AVEDEV(ARRAYFORMULA(XLOOKUP(FILTER(INDIRECT(""'""&amp;CK$1&amp;""'!$C$4:$C$66""),INDIRECT(""'""&amp;CK$1&amp;""'!$D$4:$D$66"")=CK$2),$F$3:$BP$3,$F67:$BP67))),"""")"),"")</f>
        <v/>
      </c>
      <c r="CM67" s="251">
        <f>IFERROR(__xludf.DUMMYFUNCTION("AVERAGE(ARRAYFORMULA(XLOOKUP(FILTER(INDIRECT(""'""&amp;CM$1&amp;""'!$C$4:$C$66""),INDIRECT(""'""&amp;CM$1&amp;""'!$D$4:$D$66"")=CM$2),$F$3:$BP$3,$F67:$BP67)))"),1.7615452139999999)</f>
        <v>1.761545214</v>
      </c>
      <c r="CN67" s="207">
        <f>IFERROR(__xludf.DUMMYFUNCTION("IF(OR(CM67&gt;$BR67+$BS67*$BS$2,CM67&lt;$BR67-$BS67*$BS$2),AVEDEV(ARRAYFORMULA(XLOOKUP(FILTER(INDIRECT(""'""&amp;CM$1&amp;""'!$C$4:$C$66""),INDIRECT(""'""&amp;CM$1&amp;""'!$D$4:$D$66"")=CM$2),$F$3:$BP$3,$F67:$BP67))),"""")"),0.7731226232)</f>
        <v>0.7731226232</v>
      </c>
      <c r="CO67" s="252"/>
      <c r="CP67" s="251">
        <f>IFERROR(__xludf.DUMMYFUNCTION("AVERAGE(ARRAYFORMULA(XLOOKUP(FILTER(INDIRECT(""'""&amp;CP$1&amp;""'!$C$4:$C$66""),INDIRECT(""'""&amp;CP$1&amp;""'!$D$4:$D$66"")=CP$2),$F$3:$BP$3,$F67:$BP67)))"),0.8624524421428571)</f>
        <v>0.8624524421</v>
      </c>
      <c r="CQ67" s="207" t="str">
        <f>IFERROR(__xludf.DUMMYFUNCTION("IF(OR(CP67&gt;$BR67+$BS67*$BS$2,CP67&lt;$BR67-$BS67*$BS$2),AVEDEV(ARRAYFORMULA(XLOOKUP(FILTER(INDIRECT(""'""&amp;CP$1&amp;""'!$C$4:$C$66""),INDIRECT(""'""&amp;CP$1&amp;""'!$D$4:$D$66"")=CP$2),$F$3:$BP$3,$F67:$BP67))),"""")"),"")</f>
        <v/>
      </c>
      <c r="CR67" s="251">
        <f>IFERROR(__xludf.DUMMYFUNCTION("AVERAGE(ARRAYFORMULA(XLOOKUP(FILTER(INDIRECT(""'""&amp;CR$1&amp;""'!$C$4:$C$66""),INDIRECT(""'""&amp;CR$1&amp;""'!$D$4:$D$66"")=CR$2),$F$3:$BP$3,$F67:$BP67)))"),0.57997593)</f>
        <v>0.57997593</v>
      </c>
      <c r="CS67" s="207" t="str">
        <f>IFERROR(__xludf.DUMMYFUNCTION("IF(OR(CR67&gt;$BR67+$BS67*$BS$2,CR67&lt;$BR67-$BS67*$BS$2),AVEDEV(ARRAYFORMULA(XLOOKUP(FILTER(INDIRECT(""'""&amp;CR$1&amp;""'!$C$4:$C$66""),INDIRECT(""'""&amp;CR$1&amp;""'!$D$4:$D$66"")=CR$2),$F$3:$BP$3,$F67:$BP67))),"""")"),"")</f>
        <v/>
      </c>
      <c r="CT67" s="251">
        <f>IFERROR(__xludf.DUMMYFUNCTION("AVERAGE(ARRAYFORMULA(XLOOKUP(FILTER(INDIRECT(""'""&amp;CT$1&amp;""'!$C$4:$C$66""),INDIRECT(""'""&amp;CT$1&amp;""'!$D$4:$D$66"")=CT$2),$F$3:$BP$3,$F67:$BP67)))"),0.4678213254545454)</f>
        <v>0.4678213255</v>
      </c>
      <c r="CU67" s="207" t="str">
        <f>IFERROR(__xludf.DUMMYFUNCTION("IF(OR(CT67&gt;$BR67+$BS67*$BS$2,CT67&lt;$BR67-$BS67*$BS$2),AVEDEV(ARRAYFORMULA(XLOOKUP(FILTER(INDIRECT(""'""&amp;CT$1&amp;""'!$C$4:$C$66""),INDIRECT(""'""&amp;CT$1&amp;""'!$D$4:$D$66"")=CT$2),$F$3:$BP$3,$F67:$BP67))),"""")"),"")</f>
        <v/>
      </c>
      <c r="CV67" s="251">
        <f>IFERROR(__xludf.DUMMYFUNCTION("AVERAGE(ARRAYFORMULA(XLOOKUP(FILTER(INDIRECT(""'""&amp;CV$1&amp;""'!$C$4:$C$66""),INDIRECT(""'""&amp;CV$1&amp;""'!$D$4:$D$66"")=CV$2),$F$3:$BP$3,$F67:$BP67)))"),-1.6798361000000002)</f>
        <v>-1.6798361</v>
      </c>
      <c r="CW67" s="207">
        <f>IFERROR(__xludf.DUMMYFUNCTION("IF(OR(CV67&gt;$BR67+$BS67*$BS$2,CV67&lt;$BR67-$BS67*$BS$2),AVEDEV(ARRAYFORMULA(XLOOKUP(FILTER(INDIRECT(""'""&amp;CV$1&amp;""'!$C$4:$C$66""),INDIRECT(""'""&amp;CV$1&amp;""'!$D$4:$D$66"")=CV$2),$F$3:$BP$3,$F67:$BP67))),"""")"),0.24700029999999995)</f>
        <v>0.2470003</v>
      </c>
      <c r="CX67" s="251">
        <f>IFERROR(__xludf.DUMMYFUNCTION("AVERAGE(ARRAYFORMULA(XLOOKUP(FILTER(INDIRECT(""'""&amp;CX$1&amp;""'!$C$4:$C$66""),INDIRECT(""'""&amp;CX$1&amp;""'!$D$4:$D$66"")=CX$2),$F$3:$BP$3,$F67:$BP67)))"),-0.6093900071428572)</f>
        <v>-0.6093900071</v>
      </c>
      <c r="CY67" s="207" t="str">
        <f>IFERROR(__xludf.DUMMYFUNCTION("IF(OR(CX67&gt;$BR67+$BS67*$BS$2,CX67&lt;$BR67-$BS67*$BS$2),AVEDEV(ARRAYFORMULA(XLOOKUP(FILTER(INDIRECT(""'""&amp;CX$1&amp;""'!$C$4:$C$66""),INDIRECT(""'""&amp;CX$1&amp;""'!$D$4:$D$66"")=CX$2),$F$3:$BP$3,$F67:$BP67))),"""")"),"")</f>
        <v/>
      </c>
      <c r="CZ67" s="252"/>
      <c r="DA67" s="251">
        <f>IFERROR(__xludf.DUMMYFUNCTION("AVERAGE(ARRAYFORMULA(XLOOKUP(FILTER(INDIRECT(""'""&amp;DA$1&amp;""'!$C$4:$C$66""),INDIRECT(""'""&amp;DA$1&amp;""'!$D$4:$D$66"")=DA$2),$F$3:$BP$3,$F67:$BP67)))"),0.3862062280000001)</f>
        <v>0.386206228</v>
      </c>
      <c r="DB67" s="207" t="str">
        <f>IFERROR(__xludf.DUMMYFUNCTION("IF(OR(DA67&gt;$BR67+$BS67*$BS$2,DA67&lt;$BR67-$BS67*$BS$2),AVEDEV(ARRAYFORMULA(XLOOKUP(FILTER(INDIRECT(""'""&amp;DA$1&amp;""'!$C$4:$C$66""),INDIRECT(""'""&amp;DA$1&amp;""'!$D$4:$D$66"")=DA$2),$F$3:$BP$3,$F67:$BP67))),"""")"),"")</f>
        <v/>
      </c>
      <c r="DC67" s="251">
        <f>IFERROR(__xludf.DUMMYFUNCTION("AVERAGE(ARRAYFORMULA(XLOOKUP(FILTER(INDIRECT(""'""&amp;DC$1&amp;""'!$C$4:$C$66""),INDIRECT(""'""&amp;DC$1&amp;""'!$D$4:$D$66"")=DC$2),$F$3:$BP$3,$F67:$BP67)))"),0.4430136833333333)</f>
        <v>0.4430136833</v>
      </c>
      <c r="DD67" s="207" t="str">
        <f>IFERROR(__xludf.DUMMYFUNCTION("IF(OR(DC67&gt;$BR67+$BS67*$BS$2,DC67&lt;$BR67-$BS67*$BS$2),AVEDEV(ARRAYFORMULA(XLOOKUP(FILTER(INDIRECT(""'""&amp;DC$1&amp;""'!$C$4:$C$66""),INDIRECT(""'""&amp;DC$1&amp;""'!$D$4:$D$66"")=DC$2),$F$3:$BP$3,$F67:$BP67))),"""")"),"")</f>
        <v/>
      </c>
      <c r="DE67" s="251">
        <f>IFERROR(__xludf.DUMMYFUNCTION("AVERAGE(ARRAYFORMULA(XLOOKUP(FILTER(INDIRECT(""'""&amp;DE$1&amp;""'!$C$4:$C$66""),INDIRECT(""'""&amp;DE$1&amp;""'!$D$4:$D$66"")=DE$2),$F$3:$BP$3,$F67:$BP67)))"),-0.6156716275)</f>
        <v>-0.6156716275</v>
      </c>
      <c r="DF67" s="207" t="str">
        <f>IFERROR(__xludf.DUMMYFUNCTION("IF(OR(DE67&gt;$BR67+$BS67*$BS$2,DE67&lt;$BR67-$BS67*$BS$2),AVEDEV(ARRAYFORMULA(XLOOKUP(FILTER(INDIRECT(""'""&amp;DE$1&amp;""'!$C$4:$C$66""),INDIRECT(""'""&amp;DE$1&amp;""'!$D$4:$D$66"")=DE$2),$F$3:$BP$3,$F67:$BP67))),"""")"),"")</f>
        <v/>
      </c>
      <c r="DG67" s="251">
        <f>IFERROR(__xludf.DUMMYFUNCTION("AVERAGE(ARRAYFORMULA(XLOOKUP(FILTER(INDIRECT(""'""&amp;DG$1&amp;""'!$C$4:$C$66""),INDIRECT(""'""&amp;DG$1&amp;""'!$D$4:$D$66"")=DG$2),$F$3:$BP$3,$F67:$BP67)))"),-0.1014535155555556)</f>
        <v>-0.1014535156</v>
      </c>
      <c r="DH67" s="207" t="str">
        <f>IFERROR(__xludf.DUMMYFUNCTION("IF(OR(DG67&gt;$BR67+$BS67*$BS$2,DG67&lt;$BR67-$BS67*$BS$2),AVEDEV(ARRAYFORMULA(XLOOKUP(FILTER(INDIRECT(""'""&amp;DG$1&amp;""'!$C$4:$C$66""),INDIRECT(""'""&amp;DG$1&amp;""'!$D$4:$D$66"")=DG$2),$F$3:$BP$3,$F67:$BP67))),"""")"),"")</f>
        <v/>
      </c>
      <c r="DI67" s="252"/>
    </row>
    <row r="68">
      <c r="A68" s="2"/>
      <c r="B68" s="204" t="s">
        <v>507</v>
      </c>
      <c r="C68" s="204" t="s">
        <v>510</v>
      </c>
      <c r="D68" s="205" t="b">
        <f>VLOOKUP(C68,'Feature Set List'!A65:C246,2,0)</f>
        <v>1</v>
      </c>
      <c r="E68" s="205" t="b">
        <f>VLOOKUP(C68,'Feature Set List'!A65:C246,3,0)</f>
        <v>1</v>
      </c>
      <c r="F68" s="205">
        <v>0.57940992</v>
      </c>
      <c r="G68" s="205">
        <v>0.52291274</v>
      </c>
      <c r="H68" s="205">
        <v>-0.9127433</v>
      </c>
      <c r="I68" s="205">
        <v>-0.2868801</v>
      </c>
      <c r="J68" s="205">
        <v>0.85185185</v>
      </c>
      <c r="K68" s="205">
        <v>0.01192718</v>
      </c>
      <c r="L68" s="205">
        <v>-0.386064</v>
      </c>
      <c r="M68" s="205">
        <v>-0.393597</v>
      </c>
      <c r="N68" s="205">
        <v>0.46704331</v>
      </c>
      <c r="O68" s="205">
        <v>-1.0721908</v>
      </c>
      <c r="P68" s="205">
        <v>0.22912743</v>
      </c>
      <c r="Q68" s="205">
        <v>-0.0213434</v>
      </c>
      <c r="R68" s="205">
        <v>0.84243566</v>
      </c>
      <c r="S68" s="205">
        <v>-0.2780917</v>
      </c>
      <c r="T68" s="205">
        <v>-1.4883867</v>
      </c>
      <c r="U68" s="205">
        <v>-0.13371</v>
      </c>
      <c r="V68" s="205">
        <v>-0.2040176</v>
      </c>
      <c r="W68" s="205">
        <v>-0.6603892</v>
      </c>
      <c r="X68" s="205">
        <v>1.10483365</v>
      </c>
      <c r="Y68" s="205">
        <v>-0.002511</v>
      </c>
      <c r="Z68" s="205">
        <v>-0.180791</v>
      </c>
      <c r="AA68" s="205">
        <v>-0.7457627</v>
      </c>
      <c r="AB68" s="205">
        <v>0.24482109</v>
      </c>
      <c r="AC68" s="205">
        <v>-0.1111111</v>
      </c>
      <c r="AD68" s="205">
        <v>0.24293785</v>
      </c>
      <c r="AE68" s="205">
        <v>0.43565599</v>
      </c>
      <c r="AF68" s="205">
        <v>-0.8311362</v>
      </c>
      <c r="AG68" s="205">
        <v>-0.2881356</v>
      </c>
      <c r="AH68" s="205">
        <v>0.0</v>
      </c>
      <c r="AI68" s="205">
        <v>-0.826742</v>
      </c>
      <c r="AJ68" s="205">
        <v>-0.5605775</v>
      </c>
      <c r="AK68" s="205">
        <v>0.22912743</v>
      </c>
      <c r="AL68" s="205">
        <v>0.36032643</v>
      </c>
      <c r="AM68" s="205">
        <v>0.61770245</v>
      </c>
      <c r="AN68" s="205">
        <v>-1.6371626</v>
      </c>
      <c r="AO68" s="205">
        <v>-0.7809165</v>
      </c>
      <c r="AP68" s="205">
        <v>0.2529818</v>
      </c>
      <c r="AQ68" s="205">
        <v>1.71563089</v>
      </c>
      <c r="AR68" s="205">
        <v>0.13182674</v>
      </c>
      <c r="AS68" s="205">
        <v>0.38669178</v>
      </c>
      <c r="AT68" s="205">
        <v>-1.0558694</v>
      </c>
      <c r="AU68" s="205">
        <v>1.30131827</v>
      </c>
      <c r="AV68" s="205">
        <v>0.01506591</v>
      </c>
      <c r="AW68" s="205">
        <v>0.38794727</v>
      </c>
      <c r="AX68" s="205">
        <v>-0.4921532</v>
      </c>
      <c r="AY68" s="205">
        <v>0.48022599</v>
      </c>
      <c r="AZ68" s="205">
        <v>-0.6377903</v>
      </c>
      <c r="BA68" s="205">
        <v>-1.2109228</v>
      </c>
      <c r="BB68" s="205">
        <v>0.96170747</v>
      </c>
      <c r="BC68" s="205">
        <v>-0.0062775</v>
      </c>
      <c r="BD68" s="205">
        <v>-1.3176397</v>
      </c>
      <c r="BE68" s="205">
        <v>0.25800377</v>
      </c>
      <c r="BF68" s="205">
        <v>-0.4664156</v>
      </c>
      <c r="BG68" s="205">
        <v>-0.0847458</v>
      </c>
      <c r="BH68" s="205">
        <v>0.82360326</v>
      </c>
      <c r="BI68" s="205">
        <v>0.96233522</v>
      </c>
      <c r="BJ68" s="205">
        <v>0.54613936</v>
      </c>
      <c r="BK68" s="205">
        <v>-1.6007533</v>
      </c>
      <c r="BL68" s="205">
        <v>-1.1217828</v>
      </c>
      <c r="BM68" s="205">
        <v>1.89014438</v>
      </c>
      <c r="BN68" s="205">
        <v>0.98807282</v>
      </c>
      <c r="BO68" s="205">
        <v>0.35655995</v>
      </c>
      <c r="BP68" s="205">
        <v>1.30257376</v>
      </c>
      <c r="BQ68" s="206"/>
      <c r="BR68" s="250">
        <f t="shared" si="1"/>
        <v>-0.004693155238</v>
      </c>
      <c r="BS68" s="250">
        <f t="shared" si="2"/>
        <v>0.6239144363</v>
      </c>
      <c r="BT68" s="206"/>
      <c r="BU68" s="207">
        <f>IFERROR(__xludf.DUMMYFUNCTION("AVERAGE(ARRAYFORMULA(XLOOKUP(FILTER(INDIRECT(""'""&amp;BU$1&amp;""'!$C$4:$C$66""),INDIRECT(""'""&amp;BU$1&amp;""'!$D$4:$D$66"")=BU$2),$F$3:$BP$3,$F68:$BP68)))"),-1.201058214285714)</f>
        <v>-1.201058214</v>
      </c>
      <c r="BV68" s="207">
        <f>IFERROR(__xludf.DUMMYFUNCTION("IF(OR(BU68&gt;$BR68+$BS68*$BS$2,BU68&lt;$BR68-$BS68*$BS$2),AVEDEV(ARRAYFORMULA(XLOOKUP(FILTER(INDIRECT(""'""&amp;BU$1&amp;""'!$C$4:$C$66""),INDIRECT(""'""&amp;BU$1&amp;""'!$D$4:$D$66"")=BU$2),$F$3:$BP$3,$F68:$BP68))),"""")"),0.35702115102040827)</f>
        <v>0.357021151</v>
      </c>
      <c r="BW68" s="207">
        <f>IFERROR(__xludf.DUMMYFUNCTION("AVERAGE(ARRAYFORMULA(XLOOKUP(FILTER(INDIRECT(""'""&amp;BW$1&amp;""'!$C$4:$C$66""),INDIRECT(""'""&amp;BW$1&amp;""'!$D$4:$D$66"")=BW$2),$F$3:$BP$3,$F68:$BP68)))"),0.26605984261904775)</f>
        <v>0.2660598426</v>
      </c>
      <c r="BX68" s="207" t="str">
        <f>IFERROR(__xludf.DUMMYFUNCTION("IF(OR(BW68&gt;$BR68+$BS68*$BS$2,BW68&lt;$BR68-$BS68*$BS$2),AVEDEV(ARRAYFORMULA(XLOOKUP(FILTER(INDIRECT(""'""&amp;BW$1&amp;""'!$C$4:$C$66""),INDIRECT(""'""&amp;BW$1&amp;""'!$D$4:$D$66"")=BW$2),$F$3:$BP$3,$F68:$BP68))),"""")"),"")</f>
        <v/>
      </c>
      <c r="BY68" s="207">
        <f>IFERROR(__xludf.DUMMYFUNCTION("AVERAGE(ARRAYFORMULA(XLOOKUP(FILTER(INDIRECT(""'""&amp;BY$1&amp;""'!$C$4:$C$66""),INDIRECT(""'""&amp;BY$1&amp;""'!$D$4:$D$66"")=BY$2),$F$3:$BP$3,$F68:$BP68)))"),-0.09889858818181821)</f>
        <v>-0.09889858818</v>
      </c>
      <c r="BZ68" s="207" t="str">
        <f>IFERROR(__xludf.DUMMYFUNCTION("IF(OR(BY68&gt;$BR68+$BS68*$BS$2,BY68&lt;$BR68-$BS68*$BS$2),AVEDEV(ARRAYFORMULA(XLOOKUP(FILTER(INDIRECT(""'""&amp;BY$1&amp;""'!$C$4:$C$66""),INDIRECT(""'""&amp;BY$1&amp;""'!$D$4:$D$66"")=BY$2),$F$3:$BP$3,$F68:$BP68))),"""")"),"")</f>
        <v/>
      </c>
      <c r="CA68" s="209"/>
      <c r="CB68" s="207">
        <f>IFERROR(__xludf.DUMMYFUNCTION("AVERAGE(ARRAYFORMULA(XLOOKUP(FILTER(INDIRECT(""'""&amp;CB$1&amp;""'!$C$4:$C$66""),INDIRECT(""'""&amp;CB$1&amp;""'!$D$4:$D$66"")=CB$2),$F$3:$BP$3,$F68:$BP68)))"),-0.19723006875000004)</f>
        <v>-0.1972300688</v>
      </c>
      <c r="CC68" s="207" t="str">
        <f>IFERROR(__xludf.DUMMYFUNCTION("IF(OR(CB68&gt;$BR68+$BS68*$BS$2,CB68&lt;$BR68-$BS68*$BS$2),AVEDEV(ARRAYFORMULA(XLOOKUP(FILTER(INDIRECT(""'""&amp;CB$1&amp;""'!$C$4:$C$66""),INDIRECT(""'""&amp;CB$1&amp;""'!$D$4:$D$66"")=CB$2),$F$3:$BP$3,$F68:$BP68))),"""")"),"")</f>
        <v/>
      </c>
      <c r="CD68" s="207">
        <f>IFERROR(__xludf.DUMMYFUNCTION("AVERAGE(ARRAYFORMULA(XLOOKUP(FILTER(INDIRECT(""'""&amp;CD$1&amp;""'!$C$4:$C$66""),INDIRECT(""'""&amp;CD$1&amp;""'!$D$4:$D$66"")=CD$2),$F$3:$BP$3,$F68:$BP68)))"),0.27440616709677423)</f>
        <v>0.2744061671</v>
      </c>
      <c r="CE68" s="207" t="str">
        <f>IFERROR(__xludf.DUMMYFUNCTION("IF(OR(CD68&gt;$BR68+$BS68*$BS$2,CD68&lt;$BR68-$BS68*$BS$2),AVEDEV(ARRAYFORMULA(XLOOKUP(FILTER(INDIRECT(""'""&amp;CD$1&amp;""'!$C$4:$C$66""),INDIRECT(""'""&amp;CD$1&amp;""'!$D$4:$D$66"")=CD$2),$F$3:$BP$3,$F68:$BP68))),"""")"),"")</f>
        <v/>
      </c>
      <c r="CF68" s="207">
        <f>IFERROR(__xludf.DUMMYFUNCTION("AVERAGE(ARRAYFORMULA(XLOOKUP(FILTER(INDIRECT(""'""&amp;CF$1&amp;""'!$C$4:$C$66""),INDIRECT(""'""&amp;CF$1&amp;""'!$D$4:$D$66"")=CF$2),$F$3:$BP$3,$F68:$BP68)))"),-0.464532332)</f>
        <v>-0.464532332</v>
      </c>
      <c r="CG68" s="207" t="str">
        <f>IFERROR(__xludf.DUMMYFUNCTION("IF(OR(CF68&gt;$BR68+$BS68*$BS$2,CF68&lt;$BR68-$BS68*$BS$2),AVEDEV(ARRAYFORMULA(XLOOKUP(FILTER(INDIRECT(""'""&amp;CF$1&amp;""'!$C$4:$C$66""),INDIRECT(""'""&amp;CF$1&amp;""'!$D$4:$D$66"")=CF$2),$F$3:$BP$3,$F68:$BP68))),"""")"),"")</f>
        <v/>
      </c>
      <c r="CH68" s="206"/>
      <c r="CI68" s="251">
        <f>IFERROR(__xludf.DUMMYFUNCTION("AVERAGE(ARRAYFORMULA(XLOOKUP(FILTER(INDIRECT(""'""&amp;CI$1&amp;""'!$C$4:$C$66""),INDIRECT(""'""&amp;CI$1&amp;""'!$D$4:$D$66"")=CI$2),$F$3:$BP$3,$F68:$BP68)))"),-0.2573760260000001)</f>
        <v>-0.257376026</v>
      </c>
      <c r="CJ68" s="207" t="str">
        <f>IFERROR(__xludf.DUMMYFUNCTION("IF(OR(CI68&gt;$BR68+$BS68*$BS$2,CI68&lt;$BR68-$BS68*$BS$2),AVEDEV(ARRAYFORMULA(XLOOKUP(FILTER(INDIRECT(""'""&amp;CI$1&amp;""'!$C$4:$C$66""),INDIRECT(""'""&amp;CI$1&amp;""'!$D$4:$D$66"")=CI$2),$F$3:$BP$3,$F68:$BP68))),"""")"),"")</f>
        <v/>
      </c>
      <c r="CK68" s="251">
        <f>IFERROR(__xludf.DUMMYFUNCTION("AVERAGE(ARRAYFORMULA(XLOOKUP(FILTER(INDIRECT(""'""&amp;CK$1&amp;""'!$C$4:$C$66""),INDIRECT(""'""&amp;CK$1&amp;""'!$D$4:$D$66"")=CK$2),$F$3:$BP$3,$F68:$BP68)))"),0.24264812230769237)</f>
        <v>0.2426481223</v>
      </c>
      <c r="CL68" s="207" t="str">
        <f>IFERROR(__xludf.DUMMYFUNCTION("IF(OR(CK68&gt;$BR68+$BS68*$BS$2,CK68&lt;$BR68-$BS68*$BS$2),AVEDEV(ARRAYFORMULA(XLOOKUP(FILTER(INDIRECT(""'""&amp;CK$1&amp;""'!$C$4:$C$66""),INDIRECT(""'""&amp;CK$1&amp;""'!$D$4:$D$66"")=CK$2),$F$3:$BP$3,$F68:$BP68))),"""")"),"")</f>
        <v/>
      </c>
      <c r="CM68" s="253">
        <f>IFERROR(__xludf.DUMMYFUNCTION("AVERAGE(ARRAYFORMULA(XLOOKUP(FILTER(INDIRECT(""'""&amp;CM$1&amp;""'!$C$4:$C$66""),INDIRECT(""'""&amp;CM$1&amp;""'!$D$4:$D$66"")=CM$2),$F$3:$BP$3,$F68:$BP68)))"),-0.464532332)</f>
        <v>-0.464532332</v>
      </c>
      <c r="CN68" s="207" t="str">
        <f>IFERROR(__xludf.DUMMYFUNCTION("IF(OR(CM68&gt;$BR68+$BS68*$BS$2,CM68&lt;$BR68-$BS68*$BS$2),AVEDEV(ARRAYFORMULA(XLOOKUP(FILTER(INDIRECT(""'""&amp;CM$1&amp;""'!$C$4:$C$66""),INDIRECT(""'""&amp;CM$1&amp;""'!$D$4:$D$66"")=CM$2),$F$3:$BP$3,$F68:$BP68))),"""")"),"")</f>
        <v/>
      </c>
      <c r="CO68" s="252"/>
      <c r="CP68" s="251">
        <f>IFERROR(__xludf.DUMMYFUNCTION("AVERAGE(ARRAYFORMULA(XLOOKUP(FILTER(INDIRECT(""'""&amp;CP$1&amp;""'!$C$4:$C$66""),INDIRECT(""'""&amp;CP$1&amp;""'!$D$4:$D$66"")=CP$2),$F$3:$BP$3,$F68:$BP68)))"),-0.06568917428571429)</f>
        <v>-0.06568917429</v>
      </c>
      <c r="CQ68" s="207" t="str">
        <f>IFERROR(__xludf.DUMMYFUNCTION("IF(OR(CP68&gt;$BR68+$BS68*$BS$2,CP68&lt;$BR68-$BS68*$BS$2),AVEDEV(ARRAYFORMULA(XLOOKUP(FILTER(INDIRECT(""'""&amp;CP$1&amp;""'!$C$4:$C$66""),INDIRECT(""'""&amp;CP$1&amp;""'!$D$4:$D$66"")=CP$2),$F$3:$BP$3,$F68:$BP68))),"""")"),"")</f>
        <v/>
      </c>
      <c r="CR68" s="251">
        <f>IFERROR(__xludf.DUMMYFUNCTION("AVERAGE(ARRAYFORMULA(XLOOKUP(FILTER(INDIRECT(""'""&amp;CR$1&amp;""'!$C$4:$C$66""),INDIRECT(""'""&amp;CR$1&amp;""'!$D$4:$D$66"")=CR$2),$F$3:$BP$3,$F68:$BP68)))"),-0.04959196222222224)</f>
        <v>-0.04959196222</v>
      </c>
      <c r="CS68" s="207" t="str">
        <f>IFERROR(__xludf.DUMMYFUNCTION("IF(OR(CR68&gt;$BR68+$BS68*$BS$2,CR68&lt;$BR68-$BS68*$BS$2),AVEDEV(ARRAYFORMULA(XLOOKUP(FILTER(INDIRECT(""'""&amp;CR$1&amp;""'!$C$4:$C$66""),INDIRECT(""'""&amp;CR$1&amp;""'!$D$4:$D$66"")=CR$2),$F$3:$BP$3,$F68:$BP68))),"""")"),"")</f>
        <v/>
      </c>
      <c r="CT68" s="251">
        <f>IFERROR(__xludf.DUMMYFUNCTION("AVERAGE(ARRAYFORMULA(XLOOKUP(FILTER(INDIRECT(""'""&amp;CT$1&amp;""'!$C$4:$C$66""),INDIRECT(""'""&amp;CT$1&amp;""'!$D$4:$D$66"")=CT$2),$F$3:$BP$3,$F68:$BP68)))"),0.26570792181818187)</f>
        <v>0.2657079218</v>
      </c>
      <c r="CU68" s="207" t="str">
        <f>IFERROR(__xludf.DUMMYFUNCTION("IF(OR(CT68&gt;$BR68+$BS68*$BS$2,CT68&lt;$BR68-$BS68*$BS$2),AVEDEV(ARRAYFORMULA(XLOOKUP(FILTER(INDIRECT(""'""&amp;CT$1&amp;""'!$C$4:$C$66""),INDIRECT(""'""&amp;CT$1&amp;""'!$D$4:$D$66"")=CT$2),$F$3:$BP$3,$F68:$BP68))),"""")"),"")</f>
        <v/>
      </c>
      <c r="CV68" s="251">
        <f>IFERROR(__xludf.DUMMYFUNCTION("AVERAGE(ARRAYFORMULA(XLOOKUP(FILTER(INDIRECT(""'""&amp;CV$1&amp;""'!$C$4:$C$66""),INDIRECT(""'""&amp;CV$1&amp;""'!$D$4:$D$66"")=CV$2),$F$3:$BP$3,$F68:$BP68)))"),-0.09792845)</f>
        <v>-0.09792845</v>
      </c>
      <c r="CW68" s="207" t="str">
        <f>IFERROR(__xludf.DUMMYFUNCTION("IF(OR(CV68&gt;$BR68+$BS68*$BS$2,CV68&lt;$BR68-$BS68*$BS$2),AVEDEV(ARRAYFORMULA(XLOOKUP(FILTER(INDIRECT(""'""&amp;CV$1&amp;""'!$C$4:$C$66""),INDIRECT(""'""&amp;CV$1&amp;""'!$D$4:$D$66"")=CV$2),$F$3:$BP$3,$F68:$BP68))),"""")"),"")</f>
        <v/>
      </c>
      <c r="CX68" s="253">
        <f>IFERROR(__xludf.DUMMYFUNCTION("AVERAGE(ARRAYFORMULA(XLOOKUP(FILTER(INDIRECT(""'""&amp;CX$1&amp;""'!$C$4:$C$66""),INDIRECT(""'""&amp;CX$1&amp;""'!$D$4:$D$66"")=CX$2),$F$3:$BP$3,$F68:$BP68)))"),0.6331270707142858)</f>
        <v>0.6331270707</v>
      </c>
      <c r="CY68" s="207">
        <f>IFERROR(__xludf.DUMMYFUNCTION("IF(OR(CX68&gt;$BR68+$BS68*$BS$2,CX68&lt;$BR68-$BS68*$BS$2),AVEDEV(ARRAYFORMULA(XLOOKUP(FILTER(INDIRECT(""'""&amp;CX$1&amp;""'!$C$4:$C$66""),INDIRECT(""'""&amp;CX$1&amp;""'!$D$4:$D$66"")=CX$2),$F$3:$BP$3,$F68:$BP68))),"""")"),0.551033222244898)</f>
        <v>0.5510332222</v>
      </c>
      <c r="CZ68" s="252"/>
      <c r="DA68" s="251">
        <f>IFERROR(__xludf.DUMMYFUNCTION("AVERAGE(ARRAYFORMULA(XLOOKUP(FILTER(INDIRECT(""'""&amp;DA$1&amp;""'!$C$4:$C$66""),INDIRECT(""'""&amp;DA$1&amp;""'!$D$4:$D$66"")=DA$2),$F$3:$BP$3,$F68:$BP68)))"),0.07196065933333333)</f>
        <v>0.07196065933</v>
      </c>
      <c r="DB68" s="207" t="str">
        <f>IFERROR(__xludf.DUMMYFUNCTION("IF(OR(DA68&gt;$BR68+$BS68*$BS$2,DA68&lt;$BR68-$BS68*$BS$2),AVEDEV(ARRAYFORMULA(XLOOKUP(FILTER(INDIRECT(""'""&amp;DA$1&amp;""'!$C$4:$C$66""),INDIRECT(""'""&amp;DA$1&amp;""'!$D$4:$D$66"")=DA$2),$F$3:$BP$3,$F68:$BP68))),"""")"),"")</f>
        <v/>
      </c>
      <c r="DC68" s="251">
        <f>IFERROR(__xludf.DUMMYFUNCTION("AVERAGE(ARRAYFORMULA(XLOOKUP(FILTER(INDIRECT(""'""&amp;DC$1&amp;""'!$C$4:$C$66""),INDIRECT(""'""&amp;DC$1&amp;""'!$D$4:$D$66"")=DC$2),$F$3:$BP$3,$F68:$BP68)))"),-0.2008090922222222)</f>
        <v>-0.2008090922</v>
      </c>
      <c r="DD68" s="207" t="str">
        <f>IFERROR(__xludf.DUMMYFUNCTION("IF(OR(DC68&gt;$BR68+$BS68*$BS$2,DC68&lt;$BR68-$BS68*$BS$2),AVEDEV(ARRAYFORMULA(XLOOKUP(FILTER(INDIRECT(""'""&amp;DC$1&amp;""'!$C$4:$C$66""),INDIRECT(""'""&amp;DC$1&amp;""'!$D$4:$D$66"")=DC$2),$F$3:$BP$3,$F68:$BP68))),"""")"),"")</f>
        <v/>
      </c>
      <c r="DE68" s="251">
        <f>IFERROR(__xludf.DUMMYFUNCTION("AVERAGE(ARRAYFORMULA(XLOOKUP(FILTER(INDIRECT(""'""&amp;DE$1&amp;""'!$C$4:$C$66""),INDIRECT(""'""&amp;DE$1&amp;""'!$D$4:$D$66"")=DE$2),$F$3:$BP$3,$F68:$BP68)))"),-0.1524639175)</f>
        <v>-0.1524639175</v>
      </c>
      <c r="DF68" s="207" t="str">
        <f>IFERROR(__xludf.DUMMYFUNCTION("IF(OR(DE68&gt;$BR68+$BS68*$BS$2,DE68&lt;$BR68-$BS68*$BS$2),AVEDEV(ARRAYFORMULA(XLOOKUP(FILTER(INDIRECT(""'""&amp;DE$1&amp;""'!$C$4:$C$66""),INDIRECT(""'""&amp;DE$1&amp;""'!$D$4:$D$66"")=DE$2),$F$3:$BP$3,$F68:$BP68))),"""")"),"")</f>
        <v/>
      </c>
      <c r="DG68" s="251">
        <f>IFERROR(__xludf.DUMMYFUNCTION("AVERAGE(ARRAYFORMULA(XLOOKUP(FILTER(INDIRECT(""'""&amp;DG$1&amp;""'!$C$4:$C$66""),INDIRECT(""'""&amp;DG$1&amp;""'!$D$4:$D$66"")=DG$2),$F$3:$BP$3,$F68:$BP68)))"),0.5255632244444445)</f>
        <v>0.5255632244</v>
      </c>
      <c r="DH68" s="207" t="str">
        <f>IFERROR(__xludf.DUMMYFUNCTION("IF(OR(DG68&gt;$BR68+$BS68*$BS$2,DG68&lt;$BR68-$BS68*$BS$2),AVEDEV(ARRAYFORMULA(XLOOKUP(FILTER(INDIRECT(""'""&amp;DG$1&amp;""'!$C$4:$C$66""),INDIRECT(""'""&amp;DG$1&amp;""'!$D$4:$D$66"")=DG$2),$F$3:$BP$3,$F68:$BP68))),"""")"),"")</f>
        <v/>
      </c>
      <c r="DI68" s="252"/>
    </row>
    <row r="69">
      <c r="A69" s="2"/>
      <c r="B69" s="204" t="s">
        <v>507</v>
      </c>
      <c r="C69" s="204" t="s">
        <v>511</v>
      </c>
      <c r="D69" s="205" t="b">
        <f>VLOOKUP(C69,'Feature Set List'!A66:C246,2,0)</f>
        <v>1</v>
      </c>
      <c r="E69" s="205" t="b">
        <f>VLOOKUP(C69,'Feature Set List'!A66:C246,3,0)</f>
        <v>1</v>
      </c>
      <c r="F69" s="205">
        <v>-0.2868069</v>
      </c>
      <c r="G69" s="205">
        <v>0.49075844</v>
      </c>
      <c r="H69" s="205">
        <v>1.9987253</v>
      </c>
      <c r="I69" s="205">
        <v>0.03951562</v>
      </c>
      <c r="J69" s="205">
        <v>0.43339707</v>
      </c>
      <c r="K69" s="205">
        <v>-0.2498407</v>
      </c>
      <c r="L69" s="205">
        <v>-0.4244742</v>
      </c>
      <c r="M69" s="205">
        <v>0.43212237</v>
      </c>
      <c r="N69" s="205">
        <v>0.43849586</v>
      </c>
      <c r="O69" s="205">
        <v>0.22689611</v>
      </c>
      <c r="P69" s="205">
        <v>-0.5481198</v>
      </c>
      <c r="Q69" s="205">
        <v>-0.6156788</v>
      </c>
      <c r="R69" s="205">
        <v>0.65391969</v>
      </c>
      <c r="S69" s="205">
        <v>0.57361377</v>
      </c>
      <c r="T69" s="205">
        <v>-0.8413002</v>
      </c>
      <c r="U69" s="205">
        <v>-0.3556405</v>
      </c>
      <c r="V69" s="205">
        <v>0.25876354</v>
      </c>
      <c r="W69" s="205">
        <v>-0.724028</v>
      </c>
      <c r="X69" s="205">
        <v>-0.4244742</v>
      </c>
      <c r="Y69" s="205">
        <v>-0.4601657</v>
      </c>
      <c r="Z69" s="205">
        <v>-0.0191205</v>
      </c>
      <c r="AA69" s="205">
        <v>0.0012747</v>
      </c>
      <c r="AB69" s="205">
        <v>-0.0994264</v>
      </c>
      <c r="AC69" s="205">
        <v>-0.8132569</v>
      </c>
      <c r="AD69" s="205">
        <v>0.68578713</v>
      </c>
      <c r="AE69" s="205">
        <v>0.03569152</v>
      </c>
      <c r="AF69" s="205">
        <v>0.0</v>
      </c>
      <c r="AG69" s="205">
        <v>0.22052263</v>
      </c>
      <c r="AH69" s="205">
        <v>0.68833652</v>
      </c>
      <c r="AI69" s="205">
        <v>-1.098789</v>
      </c>
      <c r="AJ69" s="205">
        <v>-0.2128744</v>
      </c>
      <c r="AK69" s="205">
        <v>0.02294455</v>
      </c>
      <c r="AL69" s="205">
        <v>-0.0879541</v>
      </c>
      <c r="AM69" s="205">
        <v>-0.6297004</v>
      </c>
      <c r="AN69" s="205">
        <v>-0.5863607</v>
      </c>
      <c r="AO69" s="205">
        <v>0.08922881</v>
      </c>
      <c r="AP69" s="205">
        <v>0.27533461</v>
      </c>
      <c r="AQ69" s="205">
        <v>-0.846399</v>
      </c>
      <c r="AR69" s="205">
        <v>0.87826641</v>
      </c>
      <c r="AS69" s="205">
        <v>1.27469726</v>
      </c>
      <c r="AT69" s="205">
        <v>-1.2882091</v>
      </c>
      <c r="AU69" s="205">
        <v>0.6054812</v>
      </c>
      <c r="AV69" s="205">
        <v>0.03569152</v>
      </c>
      <c r="AW69" s="205">
        <v>-0.5608668</v>
      </c>
      <c r="AX69" s="205">
        <v>-1.0172084</v>
      </c>
      <c r="AY69" s="205">
        <v>-0.307202</v>
      </c>
      <c r="AZ69" s="205">
        <v>0.96494583</v>
      </c>
      <c r="BA69" s="205">
        <v>-0.5634162</v>
      </c>
      <c r="BB69" s="205">
        <v>-0.3811345</v>
      </c>
      <c r="BC69" s="205">
        <v>-0.345443</v>
      </c>
      <c r="BD69" s="205">
        <v>-0.2676864</v>
      </c>
      <c r="BE69" s="205">
        <v>0.64754621</v>
      </c>
      <c r="BF69" s="205">
        <v>0.44996813</v>
      </c>
      <c r="BG69" s="205">
        <v>-0.7214786</v>
      </c>
      <c r="BH69" s="205">
        <v>0.78648821</v>
      </c>
      <c r="BI69" s="205">
        <v>0.98789038</v>
      </c>
      <c r="BJ69" s="205">
        <v>0.79796048</v>
      </c>
      <c r="BK69" s="205">
        <v>-0.8999363</v>
      </c>
      <c r="BL69" s="205">
        <v>-0.8221797</v>
      </c>
      <c r="BM69" s="205">
        <v>0.81580625</v>
      </c>
      <c r="BN69" s="205">
        <v>-0.5111536</v>
      </c>
      <c r="BO69" s="205">
        <v>0.73295092</v>
      </c>
      <c r="BP69" s="205">
        <v>0.03314213</v>
      </c>
      <c r="BQ69" s="206"/>
      <c r="BR69" s="250">
        <f t="shared" si="1"/>
        <v>-0.006891457619</v>
      </c>
      <c r="BS69" s="250">
        <f t="shared" si="2"/>
        <v>0.5332282481</v>
      </c>
      <c r="BT69" s="206"/>
      <c r="BU69" s="207">
        <f>IFERROR(__xludf.DUMMYFUNCTION("AVERAGE(ARRAYFORMULA(XLOOKUP(FILTER(INDIRECT(""'""&amp;BU$1&amp;""'!$C$4:$C$66""),INDIRECT(""'""&amp;BU$1&amp;""'!$D$4:$D$66"")=BU$2),$F$3:$BP$3,$F69:$BP69)))"),-0.6999908857142857)</f>
        <v>-0.6999908857</v>
      </c>
      <c r="BV69" s="207">
        <f>IFERROR(__xludf.DUMMYFUNCTION("IF(OR(BU69&gt;$BR69+$BS69*$BS$2,BU69&lt;$BR69-$BS69*$BS$2),AVEDEV(ARRAYFORMULA(XLOOKUP(FILTER(INDIRECT(""'""&amp;BU$1&amp;""'!$C$4:$C$66""),INDIRECT(""'""&amp;BU$1&amp;""'!$D$4:$D$66"")=BU$2),$F$3:$BP$3,$F69:$BP69))),"""")"),0.19500267346938777)</f>
        <v>0.1950026735</v>
      </c>
      <c r="BW69" s="207">
        <f>IFERROR(__xludf.DUMMYFUNCTION("AVERAGE(ARRAYFORMULA(XLOOKUP(FILTER(INDIRECT(""'""&amp;BW$1&amp;""'!$C$4:$C$66""),INDIRECT(""'""&amp;BW$1&amp;""'!$D$4:$D$66"")=BW$2),$F$3:$BP$3,$F69:$BP69)))"),0.10847066904761908)</f>
        <v>0.108470669</v>
      </c>
      <c r="BX69" s="207" t="str">
        <f>IFERROR(__xludf.DUMMYFUNCTION("IF(OR(BW69&gt;$BR69+$BS69*$BS$2,BW69&lt;$BR69-$BS69*$BS$2),AVEDEV(ARRAYFORMULA(XLOOKUP(FILTER(INDIRECT(""'""&amp;BW$1&amp;""'!$C$4:$C$66""),INDIRECT(""'""&amp;BW$1&amp;""'!$D$4:$D$66"")=BW$2),$F$3:$BP$3,$F69:$BP69))),"""")"),"")</f>
        <v/>
      </c>
      <c r="BY69" s="207">
        <f>IFERROR(__xludf.DUMMYFUNCTION("AVERAGE(ARRAYFORMULA(XLOOKUP(FILTER(INDIRECT(""'""&amp;BY$1&amp;""'!$C$4:$C$66""),INDIRECT(""'""&amp;BY$1&amp;""'!$D$4:$D$66"")=BY$2),$F$3:$BP$3,$F69:$BP69)))"),-0.041369720909090905)</f>
        <v>-0.04136972091</v>
      </c>
      <c r="BZ69" s="207" t="str">
        <f>IFERROR(__xludf.DUMMYFUNCTION("IF(OR(BY69&gt;$BR69+$BS69*$BS$2,BY69&lt;$BR69-$BS69*$BS$2),AVEDEV(ARRAYFORMULA(XLOOKUP(FILTER(INDIRECT(""'""&amp;BY$1&amp;""'!$C$4:$C$66""),INDIRECT(""'""&amp;BY$1&amp;""'!$D$4:$D$66"")=BY$2),$F$3:$BP$3,$F69:$BP69))),"""")"),"")</f>
        <v/>
      </c>
      <c r="CA69" s="209"/>
      <c r="CB69" s="207">
        <f>IFERROR(__xludf.DUMMYFUNCTION("AVERAGE(ARRAYFORMULA(XLOOKUP(FILTER(INDIRECT(""'""&amp;CB$1&amp;""'!$C$4:$C$66""),INDIRECT(""'""&amp;CB$1&amp;""'!$D$4:$D$66"")=CB$2),$F$3:$BP$3,$F69:$BP69)))"),0.19494901624999997)</f>
        <v>0.1949490163</v>
      </c>
      <c r="CC69" s="207" t="str">
        <f>IFERROR(__xludf.DUMMYFUNCTION("IF(OR(CB69&gt;$BR69+$BS69*$BS$2,CB69&lt;$BR69-$BS69*$BS$2),AVEDEV(ARRAYFORMULA(XLOOKUP(FILTER(INDIRECT(""'""&amp;CB$1&amp;""'!$C$4:$C$66""),INDIRECT(""'""&amp;CB$1&amp;""'!$D$4:$D$66"")=CB$2),$F$3:$BP$3,$F69:$BP69))),"""")"),"")</f>
        <v/>
      </c>
      <c r="CD69" s="207">
        <f>IFERROR(__xludf.DUMMYFUNCTION("AVERAGE(ARRAYFORMULA(XLOOKUP(FILTER(INDIRECT(""'""&amp;CD$1&amp;""'!$C$4:$C$66""),INDIRECT(""'""&amp;CD$1&amp;""'!$D$4:$D$66"")=CD$2),$F$3:$BP$3,$F69:$BP69)))"),-0.057238017419354865)</f>
        <v>-0.05723801742</v>
      </c>
      <c r="CE69" s="207" t="str">
        <f>IFERROR(__xludf.DUMMYFUNCTION("IF(OR(CD69&gt;$BR69+$BS69*$BS$2,CD69&lt;$BR69-$BS69*$BS$2),AVEDEV(ARRAYFORMULA(XLOOKUP(FILTER(INDIRECT(""'""&amp;CD$1&amp;""'!$C$4:$C$66""),INDIRECT(""'""&amp;CD$1&amp;""'!$D$4:$D$66"")=CD$2),$F$3:$BP$3,$F69:$BP69))),"""")"),"")</f>
        <v/>
      </c>
      <c r="CF69" s="207">
        <f>IFERROR(__xludf.DUMMYFUNCTION("AVERAGE(ARRAYFORMULA(XLOOKUP(FILTER(INDIRECT(""'""&amp;CF$1&amp;""'!$C$4:$C$66""),INDIRECT(""'""&amp;CF$1&amp;""'!$D$4:$D$66"")=CF$2),$F$3:$BP$3,$F69:$BP69)))"),0.6187380499999999)</f>
        <v>0.61873805</v>
      </c>
      <c r="CG69" s="207">
        <f>IFERROR(__xludf.DUMMYFUNCTION("IF(OR(CF69&gt;$BR69+$BS69*$BS$2,CF69&lt;$BR69-$BS69*$BS$2),AVEDEV(ARRAYFORMULA(XLOOKUP(FILTER(INDIRECT(""'""&amp;CF$1&amp;""'!$C$4:$C$66""),INDIRECT(""'""&amp;CF$1&amp;""'!$D$4:$D$66"")=CF$2),$F$3:$BP$3,$F69:$BP69))),"""")"),0.242294456)</f>
        <v>0.242294456</v>
      </c>
      <c r="CH69" s="206"/>
      <c r="CI69" s="251">
        <f>IFERROR(__xludf.DUMMYFUNCTION("AVERAGE(ARRAYFORMULA(XLOOKUP(FILTER(INDIRECT(""'""&amp;CI$1&amp;""'!$C$4:$C$66""),INDIRECT(""'""&amp;CI$1&amp;""'!$D$4:$D$66"")=CI$2),$F$3:$BP$3,$F69:$BP69)))"),-0.1296792006666667)</f>
        <v>-0.1296792007</v>
      </c>
      <c r="CJ69" s="207" t="str">
        <f>IFERROR(__xludf.DUMMYFUNCTION("IF(OR(CI69&gt;$BR69+$BS69*$BS$2,CI69&lt;$BR69-$BS69*$BS$2),AVEDEV(ARRAYFORMULA(XLOOKUP(FILTER(INDIRECT(""'""&amp;CI$1&amp;""'!$C$4:$C$66""),INDIRECT(""'""&amp;CI$1&amp;""'!$D$4:$D$66"")=CI$2),$F$3:$BP$3,$F69:$BP69))),"""")"),"")</f>
        <v/>
      </c>
      <c r="CK69" s="251">
        <f>IFERROR(__xludf.DUMMYFUNCTION("AVERAGE(ARRAYFORMULA(XLOOKUP(FILTER(INDIRECT(""'""&amp;CK$1&amp;""'!$C$4:$C$66""),INDIRECT(""'""&amp;CK$1&amp;""'!$D$4:$D$66"")=CK$2),$F$3:$BP$3,$F69:$BP69)))"),-0.026866691538461527)</f>
        <v>-0.02686669154</v>
      </c>
      <c r="CL69" s="207" t="str">
        <f>IFERROR(__xludf.DUMMYFUNCTION("IF(OR(CK69&gt;$BR69+$BS69*$BS$2,CK69&lt;$BR69-$BS69*$BS$2),AVEDEV(ARRAYFORMULA(XLOOKUP(FILTER(INDIRECT(""'""&amp;CK$1&amp;""'!$C$4:$C$66""),INDIRECT(""'""&amp;CK$1&amp;""'!$D$4:$D$66"")=CK$2),$F$3:$BP$3,$F69:$BP69))),"""")"),"")</f>
        <v/>
      </c>
      <c r="CM69" s="251">
        <f>IFERROR(__xludf.DUMMYFUNCTION("AVERAGE(ARRAYFORMULA(XLOOKUP(FILTER(INDIRECT(""'""&amp;CM$1&amp;""'!$C$4:$C$66""),INDIRECT(""'""&amp;CM$1&amp;""'!$D$4:$D$66"")=CM$2),$F$3:$BP$3,$F69:$BP69)))"),0.6187380499999999)</f>
        <v>0.61873805</v>
      </c>
      <c r="CN69" s="207">
        <f>IFERROR(__xludf.DUMMYFUNCTION("IF(OR(CM69&gt;$BR69+$BS69*$BS$2,CM69&lt;$BR69-$BS69*$BS$2),AVEDEV(ARRAYFORMULA(XLOOKUP(FILTER(INDIRECT(""'""&amp;CM$1&amp;""'!$C$4:$C$66""),INDIRECT(""'""&amp;CM$1&amp;""'!$D$4:$D$66"")=CM$2),$F$3:$BP$3,$F69:$BP69))),"""")"),0.242294456)</f>
        <v>0.242294456</v>
      </c>
      <c r="CO69" s="252"/>
      <c r="CP69" s="251">
        <f>IFERROR(__xludf.DUMMYFUNCTION("AVERAGE(ARRAYFORMULA(XLOOKUP(FILTER(INDIRECT(""'""&amp;CP$1&amp;""'!$C$4:$C$66""),INDIRECT(""'""&amp;CP$1&amp;""'!$D$4:$D$66"")=CP$2),$F$3:$BP$3,$F69:$BP69)))"),0.25976509714285717)</f>
        <v>0.2597650971</v>
      </c>
      <c r="CQ69" s="207" t="str">
        <f>IFERROR(__xludf.DUMMYFUNCTION("IF(OR(CP69&gt;$BR69+$BS69*$BS$2,CP69&lt;$BR69-$BS69*$BS$2),AVEDEV(ARRAYFORMULA(XLOOKUP(FILTER(INDIRECT(""'""&amp;CP$1&amp;""'!$C$4:$C$66""),INDIRECT(""'""&amp;CP$1&amp;""'!$D$4:$D$66"")=CP$2),$F$3:$BP$3,$F69:$BP69))),"""")"),"")</f>
        <v/>
      </c>
      <c r="CR69" s="251">
        <f>IFERROR(__xludf.DUMMYFUNCTION("AVERAGE(ARRAYFORMULA(XLOOKUP(FILTER(INDIRECT(""'""&amp;CR$1&amp;""'!$C$4:$C$66""),INDIRECT(""'""&amp;CR$1&amp;""'!$D$4:$D$66"")=CR$2),$F$3:$BP$3,$F69:$BP69)))"),0.07492386333333333)</f>
        <v>0.07492386333</v>
      </c>
      <c r="CS69" s="207" t="str">
        <f>IFERROR(__xludf.DUMMYFUNCTION("IF(OR(CR69&gt;$BR69+$BS69*$BS$2,CR69&lt;$BR69-$BS69*$BS$2),AVEDEV(ARRAYFORMULA(XLOOKUP(FILTER(INDIRECT(""'""&amp;CR$1&amp;""'!$C$4:$C$66""),INDIRECT(""'""&amp;CR$1&amp;""'!$D$4:$D$66"")=CR$2),$F$3:$BP$3,$F69:$BP69))),"""")"),"")</f>
        <v/>
      </c>
      <c r="CT69" s="251">
        <f>IFERROR(__xludf.DUMMYFUNCTION("AVERAGE(ARRAYFORMULA(XLOOKUP(FILTER(INDIRECT(""'""&amp;CT$1&amp;""'!$C$4:$C$66""),INDIRECT(""'""&amp;CT$1&amp;""'!$D$4:$D$66"")=CT$2),$F$3:$BP$3,$F69:$BP69)))"),0.19827336454545452)</f>
        <v>0.1982733645</v>
      </c>
      <c r="CU69" s="207" t="str">
        <f>IFERROR(__xludf.DUMMYFUNCTION("IF(OR(CT69&gt;$BR69+$BS69*$BS$2,CT69&lt;$BR69-$BS69*$BS$2),AVEDEV(ARRAYFORMULA(XLOOKUP(FILTER(INDIRECT(""'""&amp;CT$1&amp;""'!$C$4:$C$66""),INDIRECT(""'""&amp;CT$1&amp;""'!$D$4:$D$66"")=CT$2),$F$3:$BP$3,$F69:$BP69))),"""")"),"")</f>
        <v/>
      </c>
      <c r="CV69" s="251">
        <f>IFERROR(__xludf.DUMMYFUNCTION("AVERAGE(ARRAYFORMULA(XLOOKUP(FILTER(INDIRECT(""'""&amp;CV$1&amp;""'!$C$4:$C$66""),INDIRECT(""'""&amp;CV$1&amp;""'!$D$4:$D$66"")=CV$2),$F$3:$BP$3,$F69:$BP69)))"),-0.76736775)</f>
        <v>-0.76736775</v>
      </c>
      <c r="CW69" s="207">
        <f>IFERROR(__xludf.DUMMYFUNCTION("IF(OR(CV69&gt;$BR69+$BS69*$BS$2,CV69&lt;$BR69-$BS69*$BS$2),AVEDEV(ARRAYFORMULA(XLOOKUP(FILTER(INDIRECT(""'""&amp;CV$1&amp;""'!$C$4:$C$66""),INDIRECT(""'""&amp;CV$1&amp;""'!$D$4:$D$66"")=CV$2),$F$3:$BP$3,$F69:$BP69))),"""")"),0.04588914999999999)</f>
        <v>0.04588915</v>
      </c>
      <c r="CX69" s="251">
        <f>IFERROR(__xludf.DUMMYFUNCTION("AVERAGE(ARRAYFORMULA(XLOOKUP(FILTER(INDIRECT(""'""&amp;CX$1&amp;""'!$C$4:$C$66""),INDIRECT(""'""&amp;CX$1&amp;""'!$D$4:$D$66"")=CX$2),$F$3:$BP$3,$F69:$BP69)))"),-0.09614858928571428)</f>
        <v>-0.09614858929</v>
      </c>
      <c r="CY69" s="207" t="str">
        <f>IFERROR(__xludf.DUMMYFUNCTION("IF(OR(CX69&gt;$BR69+$BS69*$BS$2,CX69&lt;$BR69-$BS69*$BS$2),AVEDEV(ARRAYFORMULA(XLOOKUP(FILTER(INDIRECT(""'""&amp;CX$1&amp;""'!$C$4:$C$66""),INDIRECT(""'""&amp;CX$1&amp;""'!$D$4:$D$66"")=CX$2),$F$3:$BP$3,$F69:$BP69))),"""")"),"")</f>
        <v/>
      </c>
      <c r="CZ69" s="252"/>
      <c r="DA69" s="251">
        <f>IFERROR(__xludf.DUMMYFUNCTION("AVERAGE(ARRAYFORMULA(XLOOKUP(FILTER(INDIRECT(""'""&amp;DA$1&amp;""'!$C$4:$C$66""),INDIRECT(""'""&amp;DA$1&amp;""'!$D$4:$D$66"")=DA$2),$F$3:$BP$3,$F69:$BP69)))"),0.16702783566666668)</f>
        <v>0.1670278357</v>
      </c>
      <c r="DB69" s="207" t="str">
        <f>IFERROR(__xludf.DUMMYFUNCTION("IF(OR(DA69&gt;$BR69+$BS69*$BS$2,DA69&lt;$BR69-$BS69*$BS$2),AVEDEV(ARRAYFORMULA(XLOOKUP(FILTER(INDIRECT(""'""&amp;DA$1&amp;""'!$C$4:$C$66""),INDIRECT(""'""&amp;DA$1&amp;""'!$D$4:$D$66"")=DA$2),$F$3:$BP$3,$F69:$BP69))),"""")"),"")</f>
        <v/>
      </c>
      <c r="DC69" s="251">
        <f>IFERROR(__xludf.DUMMYFUNCTION("AVERAGE(ARRAYFORMULA(XLOOKUP(FILTER(INDIRECT(""'""&amp;DC$1&amp;""'!$C$4:$C$66""),INDIRECT(""'""&amp;DC$1&amp;""'!$D$4:$D$66"")=DC$2),$F$3:$BP$3,$F69:$BP69)))"),0.09404432777777778)</f>
        <v>0.09404432778</v>
      </c>
      <c r="DD69" s="207" t="str">
        <f>IFERROR(__xludf.DUMMYFUNCTION("IF(OR(DC69&gt;$BR69+$BS69*$BS$2,DC69&lt;$BR69-$BS69*$BS$2),AVEDEV(ARRAYFORMULA(XLOOKUP(FILTER(INDIRECT(""'""&amp;DC$1&amp;""'!$C$4:$C$66""),INDIRECT(""'""&amp;DC$1&amp;""'!$D$4:$D$66"")=DC$2),$F$3:$BP$3,$F69:$BP69))),"""")"),"")</f>
        <v/>
      </c>
      <c r="DE69" s="251">
        <f>IFERROR(__xludf.DUMMYFUNCTION("AVERAGE(ARRAYFORMULA(XLOOKUP(FILTER(INDIRECT(""'""&amp;DE$1&amp;""'!$C$4:$C$66""),INDIRECT(""'""&amp;DE$1&amp;""'!$D$4:$D$66"")=DE$2),$F$3:$BP$3,$F69:$BP69)))"),-0.35086041874999996)</f>
        <v>-0.3508604188</v>
      </c>
      <c r="DF69" s="207" t="str">
        <f>IFERROR(__xludf.DUMMYFUNCTION("IF(OR(DE69&gt;$BR69+$BS69*$BS$2,DE69&lt;$BR69-$BS69*$BS$2),AVEDEV(ARRAYFORMULA(XLOOKUP(FILTER(INDIRECT(""'""&amp;DE$1&amp;""'!$C$4:$C$66""),INDIRECT(""'""&amp;DE$1&amp;""'!$D$4:$D$66"")=DE$2),$F$3:$BP$3,$F69:$BP69))),"""")"),"")</f>
        <v/>
      </c>
      <c r="DG69" s="251">
        <f>IFERROR(__xludf.DUMMYFUNCTION("AVERAGE(ARRAYFORMULA(XLOOKUP(FILTER(INDIRECT(""'""&amp;DG$1&amp;""'!$C$4:$C$66""),INDIRECT(""'""&amp;DG$1&amp;""'!$D$4:$D$66"")=DG$2),$F$3:$BP$3,$F69:$BP69)))"),-0.08809574444444444)</f>
        <v>-0.08809574444</v>
      </c>
      <c r="DH69" s="207" t="str">
        <f>IFERROR(__xludf.DUMMYFUNCTION("IF(OR(DG69&gt;$BR69+$BS69*$BS$2,DG69&lt;$BR69-$BS69*$BS$2),AVEDEV(ARRAYFORMULA(XLOOKUP(FILTER(INDIRECT(""'""&amp;DG$1&amp;""'!$C$4:$C$66""),INDIRECT(""'""&amp;DG$1&amp;""'!$D$4:$D$66"")=DG$2),$F$3:$BP$3,$F69:$BP69))),"""")"),"")</f>
        <v/>
      </c>
      <c r="DI69" s="252"/>
    </row>
    <row r="70">
      <c r="A70" s="2"/>
      <c r="B70" s="204" t="s">
        <v>507</v>
      </c>
      <c r="C70" s="204" t="s">
        <v>512</v>
      </c>
      <c r="D70" s="205" t="b">
        <f>VLOOKUP(C70,'Feature Set List'!A67:C246,2,0)</f>
        <v>1</v>
      </c>
      <c r="E70" s="205" t="b">
        <f>VLOOKUP(C70,'Feature Set List'!A67:C246,3,0)</f>
        <v>1</v>
      </c>
      <c r="F70" s="205">
        <v>0.0</v>
      </c>
      <c r="G70" s="205">
        <v>0.0</v>
      </c>
      <c r="H70" s="205">
        <v>0.0</v>
      </c>
      <c r="I70" s="205">
        <v>0.0</v>
      </c>
      <c r="J70" s="205">
        <v>0.0</v>
      </c>
      <c r="K70" s="205">
        <v>0.0</v>
      </c>
      <c r="L70" s="205">
        <v>0.0</v>
      </c>
      <c r="M70" s="205">
        <v>0.0</v>
      </c>
      <c r="N70" s="205">
        <v>0.0</v>
      </c>
      <c r="O70" s="205">
        <v>0.0</v>
      </c>
      <c r="P70" s="205">
        <v>0.0</v>
      </c>
      <c r="Q70" s="205">
        <v>0.0</v>
      </c>
      <c r="R70" s="205">
        <v>0.0</v>
      </c>
      <c r="S70" s="205">
        <v>0.0</v>
      </c>
      <c r="T70" s="205">
        <v>0.0</v>
      </c>
      <c r="U70" s="205">
        <v>0.0</v>
      </c>
      <c r="V70" s="205">
        <v>0.0</v>
      </c>
      <c r="W70" s="205">
        <v>0.0</v>
      </c>
      <c r="X70" s="205">
        <v>0.0</v>
      </c>
      <c r="Y70" s="205">
        <v>0.0</v>
      </c>
      <c r="Z70" s="205">
        <v>0.0</v>
      </c>
      <c r="AA70" s="205">
        <v>0.0</v>
      </c>
      <c r="AB70" s="205">
        <v>0.0</v>
      </c>
      <c r="AC70" s="205">
        <v>0.0</v>
      </c>
      <c r="AD70" s="205">
        <v>0.0</v>
      </c>
      <c r="AE70" s="205">
        <v>0.0</v>
      </c>
      <c r="AF70" s="205">
        <v>0.0</v>
      </c>
      <c r="AG70" s="205">
        <v>0.0</v>
      </c>
      <c r="AH70" s="205">
        <v>0.0</v>
      </c>
      <c r="AI70" s="205">
        <v>0.0</v>
      </c>
      <c r="AJ70" s="205">
        <v>0.0</v>
      </c>
      <c r="AK70" s="205">
        <v>0.0</v>
      </c>
      <c r="AL70" s="205">
        <v>0.0</v>
      </c>
      <c r="AM70" s="205">
        <v>0.0</v>
      </c>
      <c r="AN70" s="205">
        <v>0.0</v>
      </c>
      <c r="AO70" s="205">
        <v>0.0</v>
      </c>
      <c r="AP70" s="205">
        <v>0.0</v>
      </c>
      <c r="AQ70" s="205">
        <v>0.0</v>
      </c>
      <c r="AR70" s="205">
        <v>0.0</v>
      </c>
      <c r="AS70" s="205">
        <v>0.0</v>
      </c>
      <c r="AT70" s="205">
        <v>0.0</v>
      </c>
      <c r="AU70" s="205">
        <v>0.0</v>
      </c>
      <c r="AV70" s="205">
        <v>0.0</v>
      </c>
      <c r="AW70" s="205">
        <v>0.0</v>
      </c>
      <c r="AX70" s="205">
        <v>0.0</v>
      </c>
      <c r="AY70" s="205">
        <v>0.0</v>
      </c>
      <c r="AZ70" s="205">
        <v>0.0</v>
      </c>
      <c r="BA70" s="205">
        <v>0.0</v>
      </c>
      <c r="BB70" s="205">
        <v>0.0</v>
      </c>
      <c r="BC70" s="205">
        <v>0.0</v>
      </c>
      <c r="BD70" s="205">
        <v>0.0</v>
      </c>
      <c r="BE70" s="205">
        <v>0.0</v>
      </c>
      <c r="BF70" s="205">
        <v>0.0</v>
      </c>
      <c r="BG70" s="205">
        <v>0.0</v>
      </c>
      <c r="BH70" s="205">
        <v>0.0</v>
      </c>
      <c r="BI70" s="205">
        <v>0.0</v>
      </c>
      <c r="BJ70" s="205">
        <v>0.0</v>
      </c>
      <c r="BK70" s="205">
        <v>0.0</v>
      </c>
      <c r="BL70" s="205">
        <v>7.0</v>
      </c>
      <c r="BM70" s="205">
        <v>0.0</v>
      </c>
      <c r="BN70" s="205">
        <v>0.0</v>
      </c>
      <c r="BO70" s="205">
        <v>0.0</v>
      </c>
      <c r="BP70" s="205">
        <v>0.0</v>
      </c>
      <c r="BQ70" s="206"/>
      <c r="BR70" s="250">
        <f t="shared" si="1"/>
        <v>0.1111111111</v>
      </c>
      <c r="BS70" s="250">
        <f t="shared" si="2"/>
        <v>0.2186948854</v>
      </c>
      <c r="BT70" s="206"/>
      <c r="BU70" s="207">
        <f>IFERROR(__xludf.DUMMYFUNCTION("AVERAGE(ARRAYFORMULA(XLOOKUP(FILTER(INDIRECT(""'""&amp;BU$1&amp;""'!$C$4:$C$66""),INDIRECT(""'""&amp;BU$1&amp;""'!$D$4:$D$66"")=BU$2),$F$3:$BP$3,$F70:$BP70)))"),0.0)</f>
        <v>0</v>
      </c>
      <c r="BV70" s="207" t="str">
        <f>IFERROR(__xludf.DUMMYFUNCTION("IF(OR(BU70&gt;$BR70+$BS70*$BS$2,BU70&lt;$BR70-$BS70*$BS$2),AVEDEV(ARRAYFORMULA(XLOOKUP(FILTER(INDIRECT(""'""&amp;BU$1&amp;""'!$C$4:$C$66""),INDIRECT(""'""&amp;BU$1&amp;""'!$D$4:$D$66"")=BU$2),$F$3:$BP$3,$F70:$BP70))),"""")"),"")</f>
        <v/>
      </c>
      <c r="BW70" s="207">
        <f>IFERROR(__xludf.DUMMYFUNCTION("AVERAGE(ARRAYFORMULA(XLOOKUP(FILTER(INDIRECT(""'""&amp;BW$1&amp;""'!$C$4:$C$66""),INDIRECT(""'""&amp;BW$1&amp;""'!$D$4:$D$66"")=BW$2),$F$3:$BP$3,$F70:$BP70)))"),0.0)</f>
        <v>0</v>
      </c>
      <c r="BX70" s="207" t="str">
        <f>IFERROR(__xludf.DUMMYFUNCTION("IF(OR(BW70&gt;$BR70+$BS70*$BS$2,BW70&lt;$BR70-$BS70*$BS$2),AVEDEV(ARRAYFORMULA(XLOOKUP(FILTER(INDIRECT(""'""&amp;BW$1&amp;""'!$C$4:$C$66""),INDIRECT(""'""&amp;BW$1&amp;""'!$D$4:$D$66"")=BW$2),$F$3:$BP$3,$F70:$BP70))),"""")"),"")</f>
        <v/>
      </c>
      <c r="BY70" s="207">
        <f>IFERROR(__xludf.DUMMYFUNCTION("AVERAGE(ARRAYFORMULA(XLOOKUP(FILTER(INDIRECT(""'""&amp;BY$1&amp;""'!$C$4:$C$66""),INDIRECT(""'""&amp;BY$1&amp;""'!$D$4:$D$66"")=BY$2),$F$3:$BP$3,$F70:$BP70)))"),0.6363636363636364)</f>
        <v>0.6363636364</v>
      </c>
      <c r="BZ70" s="207">
        <f>IFERROR(__xludf.DUMMYFUNCTION("IF(OR(BY70&gt;$BR70+$BS70*$BS$2,BY70&lt;$BR70-$BS70*$BS$2),AVEDEV(ARRAYFORMULA(XLOOKUP(FILTER(INDIRECT(""'""&amp;BY$1&amp;""'!$C$4:$C$66""),INDIRECT(""'""&amp;BY$1&amp;""'!$D$4:$D$66"")=BY$2),$F$3:$BP$3,$F70:$BP70))),"""")"),1.1570247933884301)</f>
        <v>1.157024793</v>
      </c>
      <c r="CA70" s="209"/>
      <c r="CB70" s="207">
        <f>IFERROR(__xludf.DUMMYFUNCTION("AVERAGE(ARRAYFORMULA(XLOOKUP(FILTER(INDIRECT(""'""&amp;CB$1&amp;""'!$C$4:$C$66""),INDIRECT(""'""&amp;CB$1&amp;""'!$D$4:$D$66"")=CB$2),$F$3:$BP$3,$F70:$BP70)))"),0.0)</f>
        <v>0</v>
      </c>
      <c r="CC70" s="207" t="str">
        <f>IFERROR(__xludf.DUMMYFUNCTION("IF(OR(CB70&gt;$BR70+$BS70*$BS$2,CB70&lt;$BR70-$BS70*$BS$2),AVEDEV(ARRAYFORMULA(XLOOKUP(FILTER(INDIRECT(""'""&amp;CB$1&amp;""'!$C$4:$C$66""),INDIRECT(""'""&amp;CB$1&amp;""'!$D$4:$D$66"")=CB$2),$F$3:$BP$3,$F70:$BP70))),"""")"),"")</f>
        <v/>
      </c>
      <c r="CD70" s="207">
        <f>IFERROR(__xludf.DUMMYFUNCTION("AVERAGE(ARRAYFORMULA(XLOOKUP(FILTER(INDIRECT(""'""&amp;CD$1&amp;""'!$C$4:$C$66""),INDIRECT(""'""&amp;CD$1&amp;""'!$D$4:$D$66"")=CD$2),$F$3:$BP$3,$F70:$BP70)))"),0.0)</f>
        <v>0</v>
      </c>
      <c r="CE70" s="207" t="str">
        <f>IFERROR(__xludf.DUMMYFUNCTION("IF(OR(CD70&gt;$BR70+$BS70*$BS$2,CD70&lt;$BR70-$BS70*$BS$2),AVEDEV(ARRAYFORMULA(XLOOKUP(FILTER(INDIRECT(""'""&amp;CD$1&amp;""'!$C$4:$C$66""),INDIRECT(""'""&amp;CD$1&amp;""'!$D$4:$D$66"")=CD$2),$F$3:$BP$3,$F70:$BP70))),"""")"),"")</f>
        <v/>
      </c>
      <c r="CF70" s="207">
        <f>IFERROR(__xludf.DUMMYFUNCTION("AVERAGE(ARRAYFORMULA(XLOOKUP(FILTER(INDIRECT(""'""&amp;CF$1&amp;""'!$C$4:$C$66""),INDIRECT(""'""&amp;CF$1&amp;""'!$D$4:$D$66"")=CF$2),$F$3:$BP$3,$F70:$BP70)))"),0.0)</f>
        <v>0</v>
      </c>
      <c r="CG70" s="207" t="str">
        <f>IFERROR(__xludf.DUMMYFUNCTION("IF(OR(CF70&gt;$BR70+$BS70*$BS$2,CF70&lt;$BR70-$BS70*$BS$2),AVEDEV(ARRAYFORMULA(XLOOKUP(FILTER(INDIRECT(""'""&amp;CF$1&amp;""'!$C$4:$C$66""),INDIRECT(""'""&amp;CF$1&amp;""'!$D$4:$D$66"")=CF$2),$F$3:$BP$3,$F70:$BP70))),"""")"),"")</f>
        <v/>
      </c>
      <c r="CH70" s="206"/>
      <c r="CI70" s="251">
        <f>IFERROR(__xludf.DUMMYFUNCTION("AVERAGE(ARRAYFORMULA(XLOOKUP(FILTER(INDIRECT(""'""&amp;CI$1&amp;""'!$C$4:$C$66""),INDIRECT(""'""&amp;CI$1&amp;""'!$D$4:$D$66"")=CI$2),$F$3:$BP$3,$F70:$BP70)))"),0.4666666666666667)</f>
        <v>0.4666666667</v>
      </c>
      <c r="CJ70" s="207">
        <f>IFERROR(__xludf.DUMMYFUNCTION("IF(OR(CI70&gt;$BR70+$BS70*$BS$2,CI70&lt;$BR70-$BS70*$BS$2),AVEDEV(ARRAYFORMULA(XLOOKUP(FILTER(INDIRECT(""'""&amp;CI$1&amp;""'!$C$4:$C$66""),INDIRECT(""'""&amp;CI$1&amp;""'!$D$4:$D$66"")=CI$2),$F$3:$BP$3,$F70:$BP70))),"""")"),0.8711111111111112)</f>
        <v>0.8711111111</v>
      </c>
      <c r="CK70" s="251">
        <f>IFERROR(__xludf.DUMMYFUNCTION("AVERAGE(ARRAYFORMULA(XLOOKUP(FILTER(INDIRECT(""'""&amp;CK$1&amp;""'!$C$4:$C$66""),INDIRECT(""'""&amp;CK$1&amp;""'!$D$4:$D$66"")=CK$2),$F$3:$BP$3,$F70:$BP70)))"),0.0)</f>
        <v>0</v>
      </c>
      <c r="CL70" s="207" t="str">
        <f>IFERROR(__xludf.DUMMYFUNCTION("IF(OR(CK70&gt;$BR70+$BS70*$BS$2,CK70&lt;$BR70-$BS70*$BS$2),AVEDEV(ARRAYFORMULA(XLOOKUP(FILTER(INDIRECT(""'""&amp;CK$1&amp;""'!$C$4:$C$66""),INDIRECT(""'""&amp;CK$1&amp;""'!$D$4:$D$66"")=CK$2),$F$3:$BP$3,$F70:$BP70))),"""")"),"")</f>
        <v/>
      </c>
      <c r="CM70" s="251">
        <f>IFERROR(__xludf.DUMMYFUNCTION("AVERAGE(ARRAYFORMULA(XLOOKUP(FILTER(INDIRECT(""'""&amp;CM$1&amp;""'!$C$4:$C$66""),INDIRECT(""'""&amp;CM$1&amp;""'!$D$4:$D$66"")=CM$2),$F$3:$BP$3,$F70:$BP70)))"),0.0)</f>
        <v>0</v>
      </c>
      <c r="CN70" s="207" t="str">
        <f>IFERROR(__xludf.DUMMYFUNCTION("IF(OR(CM70&gt;$BR70+$BS70*$BS$2,CM70&lt;$BR70-$BS70*$BS$2),AVEDEV(ARRAYFORMULA(XLOOKUP(FILTER(INDIRECT(""'""&amp;CM$1&amp;""'!$C$4:$C$66""),INDIRECT(""'""&amp;CM$1&amp;""'!$D$4:$D$66"")=CM$2),$F$3:$BP$3,$F70:$BP70))),"""")"),"")</f>
        <v/>
      </c>
      <c r="CO70" s="252"/>
      <c r="CP70" s="251">
        <f>IFERROR(__xludf.DUMMYFUNCTION("AVERAGE(ARRAYFORMULA(XLOOKUP(FILTER(INDIRECT(""'""&amp;CP$1&amp;""'!$C$4:$C$66""),INDIRECT(""'""&amp;CP$1&amp;""'!$D$4:$D$66"")=CP$2),$F$3:$BP$3,$F70:$BP70)))"),0.0)</f>
        <v>0</v>
      </c>
      <c r="CQ70" s="207" t="str">
        <f>IFERROR(__xludf.DUMMYFUNCTION("IF(OR(CP70&gt;$BR70+$BS70*$BS$2,CP70&lt;$BR70-$BS70*$BS$2),AVEDEV(ARRAYFORMULA(XLOOKUP(FILTER(INDIRECT(""'""&amp;CP$1&amp;""'!$C$4:$C$66""),INDIRECT(""'""&amp;CP$1&amp;""'!$D$4:$D$66"")=CP$2),$F$3:$BP$3,$F70:$BP70))),"""")"),"")</f>
        <v/>
      </c>
      <c r="CR70" s="251">
        <f>IFERROR(__xludf.DUMMYFUNCTION("AVERAGE(ARRAYFORMULA(XLOOKUP(FILTER(INDIRECT(""'""&amp;CR$1&amp;""'!$C$4:$C$66""),INDIRECT(""'""&amp;CR$1&amp;""'!$D$4:$D$66"")=CR$2),$F$3:$BP$3,$F70:$BP70)))"),0.0)</f>
        <v>0</v>
      </c>
      <c r="CS70" s="207" t="str">
        <f>IFERROR(__xludf.DUMMYFUNCTION("IF(OR(CR70&gt;$BR70+$BS70*$BS$2,CR70&lt;$BR70-$BS70*$BS$2),AVEDEV(ARRAYFORMULA(XLOOKUP(FILTER(INDIRECT(""'""&amp;CR$1&amp;""'!$C$4:$C$66""),INDIRECT(""'""&amp;CR$1&amp;""'!$D$4:$D$66"")=CR$2),$F$3:$BP$3,$F70:$BP70))),"""")"),"")</f>
        <v/>
      </c>
      <c r="CT70" s="251">
        <f>IFERROR(__xludf.DUMMYFUNCTION("AVERAGE(ARRAYFORMULA(XLOOKUP(FILTER(INDIRECT(""'""&amp;CT$1&amp;""'!$C$4:$C$66""),INDIRECT(""'""&amp;CT$1&amp;""'!$D$4:$D$66"")=CT$2),$F$3:$BP$3,$F70:$BP70)))"),0.0)</f>
        <v>0</v>
      </c>
      <c r="CU70" s="207" t="str">
        <f>IFERROR(__xludf.DUMMYFUNCTION("IF(OR(CT70&gt;$BR70+$BS70*$BS$2,CT70&lt;$BR70-$BS70*$BS$2),AVEDEV(ARRAYFORMULA(XLOOKUP(FILTER(INDIRECT(""'""&amp;CT$1&amp;""'!$C$4:$C$66""),INDIRECT(""'""&amp;CT$1&amp;""'!$D$4:$D$66"")=CT$2),$F$3:$BP$3,$F70:$BP70))),"""")"),"")</f>
        <v/>
      </c>
      <c r="CV70" s="251">
        <f>IFERROR(__xludf.DUMMYFUNCTION("AVERAGE(ARRAYFORMULA(XLOOKUP(FILTER(INDIRECT(""'""&amp;CV$1&amp;""'!$C$4:$C$66""),INDIRECT(""'""&amp;CV$1&amp;""'!$D$4:$D$66"")=CV$2),$F$3:$BP$3,$F70:$BP70)))"),0.0)</f>
        <v>0</v>
      </c>
      <c r="CW70" s="207" t="str">
        <f>IFERROR(__xludf.DUMMYFUNCTION("IF(OR(CV70&gt;$BR70+$BS70*$BS$2,CV70&lt;$BR70-$BS70*$BS$2),AVEDEV(ARRAYFORMULA(XLOOKUP(FILTER(INDIRECT(""'""&amp;CV$1&amp;""'!$C$4:$C$66""),INDIRECT(""'""&amp;CV$1&amp;""'!$D$4:$D$66"")=CV$2),$F$3:$BP$3,$F70:$BP70))),"""")"),"")</f>
        <v/>
      </c>
      <c r="CX70" s="251">
        <f>IFERROR(__xludf.DUMMYFUNCTION("AVERAGE(ARRAYFORMULA(XLOOKUP(FILTER(INDIRECT(""'""&amp;CX$1&amp;""'!$C$4:$C$66""),INDIRECT(""'""&amp;CX$1&amp;""'!$D$4:$D$66"")=CX$2),$F$3:$BP$3,$F70:$BP70)))"),0.0)</f>
        <v>0</v>
      </c>
      <c r="CY70" s="207" t="str">
        <f>IFERROR(__xludf.DUMMYFUNCTION("IF(OR(CX70&gt;$BR70+$BS70*$BS$2,CX70&lt;$BR70-$BS70*$BS$2),AVEDEV(ARRAYFORMULA(XLOOKUP(FILTER(INDIRECT(""'""&amp;CX$1&amp;""'!$C$4:$C$66""),INDIRECT(""'""&amp;CX$1&amp;""'!$D$4:$D$66"")=CX$2),$F$3:$BP$3,$F70:$BP70))),"""")"),"")</f>
        <v/>
      </c>
      <c r="CZ70" s="252"/>
      <c r="DA70" s="251">
        <f>IFERROR(__xludf.DUMMYFUNCTION("AVERAGE(ARRAYFORMULA(XLOOKUP(FILTER(INDIRECT(""'""&amp;DA$1&amp;""'!$C$4:$C$66""),INDIRECT(""'""&amp;DA$1&amp;""'!$D$4:$D$66"")=DA$2),$F$3:$BP$3,$F70:$BP70)))"),0.0)</f>
        <v>0</v>
      </c>
      <c r="DB70" s="207" t="str">
        <f>IFERROR(__xludf.DUMMYFUNCTION("IF(OR(DA70&gt;$BR70+$BS70*$BS$2,DA70&lt;$BR70-$BS70*$BS$2),AVEDEV(ARRAYFORMULA(XLOOKUP(FILTER(INDIRECT(""'""&amp;DA$1&amp;""'!$C$4:$C$66""),INDIRECT(""'""&amp;DA$1&amp;""'!$D$4:$D$66"")=DA$2),$F$3:$BP$3,$F70:$BP70))),"""")"),"")</f>
        <v/>
      </c>
      <c r="DC70" s="251">
        <f>IFERROR(__xludf.DUMMYFUNCTION("AVERAGE(ARRAYFORMULA(XLOOKUP(FILTER(INDIRECT(""'""&amp;DC$1&amp;""'!$C$4:$C$66""),INDIRECT(""'""&amp;DC$1&amp;""'!$D$4:$D$66"")=DC$2),$F$3:$BP$3,$F70:$BP70)))"),0.7777777777777778)</f>
        <v>0.7777777778</v>
      </c>
      <c r="DD70" s="207">
        <f>IFERROR(__xludf.DUMMYFUNCTION("IF(OR(DC70&gt;$BR70+$BS70*$BS$2,DC70&lt;$BR70-$BS70*$BS$2),AVEDEV(ARRAYFORMULA(XLOOKUP(FILTER(INDIRECT(""'""&amp;DC$1&amp;""'!$C$4:$C$66""),INDIRECT(""'""&amp;DC$1&amp;""'!$D$4:$D$66"")=DC$2),$F$3:$BP$3,$F70:$BP70))),"""")"),1.3827160493827164)</f>
        <v>1.382716049</v>
      </c>
      <c r="DE70" s="251">
        <f>IFERROR(__xludf.DUMMYFUNCTION("AVERAGE(ARRAYFORMULA(XLOOKUP(FILTER(INDIRECT(""'""&amp;DE$1&amp;""'!$C$4:$C$66""),INDIRECT(""'""&amp;DE$1&amp;""'!$D$4:$D$66"")=DE$2),$F$3:$BP$3,$F70:$BP70)))"),0.0)</f>
        <v>0</v>
      </c>
      <c r="DF70" s="207" t="str">
        <f>IFERROR(__xludf.DUMMYFUNCTION("IF(OR(DE70&gt;$BR70+$BS70*$BS$2,DE70&lt;$BR70-$BS70*$BS$2),AVEDEV(ARRAYFORMULA(XLOOKUP(FILTER(INDIRECT(""'""&amp;DE$1&amp;""'!$C$4:$C$66""),INDIRECT(""'""&amp;DE$1&amp;""'!$D$4:$D$66"")=DE$2),$F$3:$BP$3,$F70:$BP70))),"""")"),"")</f>
        <v/>
      </c>
      <c r="DG70" s="251">
        <f>IFERROR(__xludf.DUMMYFUNCTION("AVERAGE(ARRAYFORMULA(XLOOKUP(FILTER(INDIRECT(""'""&amp;DG$1&amp;""'!$C$4:$C$66""),INDIRECT(""'""&amp;DG$1&amp;""'!$D$4:$D$66"")=DG$2),$F$3:$BP$3,$F70:$BP70)))"),0.0)</f>
        <v>0</v>
      </c>
      <c r="DH70" s="207" t="str">
        <f>IFERROR(__xludf.DUMMYFUNCTION("IF(OR(DG70&gt;$BR70+$BS70*$BS$2,DG70&lt;$BR70-$BS70*$BS$2),AVEDEV(ARRAYFORMULA(XLOOKUP(FILTER(INDIRECT(""'""&amp;DG$1&amp;""'!$C$4:$C$66""),INDIRECT(""'""&amp;DG$1&amp;""'!$D$4:$D$66"")=DG$2),$F$3:$BP$3,$F70:$BP70))),"""")"),"")</f>
        <v/>
      </c>
      <c r="DI70" s="252"/>
    </row>
    <row r="71">
      <c r="A71" s="2"/>
      <c r="B71" s="204" t="s">
        <v>507</v>
      </c>
      <c r="C71" s="204" t="s">
        <v>513</v>
      </c>
      <c r="D71" s="205" t="b">
        <f>VLOOKUP(C71,'Feature Set List'!A68:C246,2,0)</f>
        <v>1</v>
      </c>
      <c r="E71" s="205" t="b">
        <f>VLOOKUP(C71,'Feature Set List'!A68:C246,3,0)</f>
        <v>1</v>
      </c>
      <c r="F71" s="205">
        <v>0.0</v>
      </c>
      <c r="G71" s="205">
        <v>0.0</v>
      </c>
      <c r="H71" s="205">
        <v>-2.0</v>
      </c>
      <c r="I71" s="205">
        <v>0.0</v>
      </c>
      <c r="J71" s="205">
        <v>0.0</v>
      </c>
      <c r="K71" s="205">
        <v>0.0</v>
      </c>
      <c r="L71" s="205">
        <v>-3.0</v>
      </c>
      <c r="M71" s="205">
        <v>0.0</v>
      </c>
      <c r="N71" s="205">
        <v>0.0</v>
      </c>
      <c r="O71" s="205">
        <v>0.0</v>
      </c>
      <c r="P71" s="205">
        <v>0.0</v>
      </c>
      <c r="Q71" s="205">
        <v>0.0</v>
      </c>
      <c r="R71" s="205">
        <v>0.0</v>
      </c>
      <c r="S71" s="205">
        <v>0.0</v>
      </c>
      <c r="T71" s="205">
        <v>0.0</v>
      </c>
      <c r="U71" s="205">
        <v>0.0</v>
      </c>
      <c r="V71" s="205">
        <v>0.0</v>
      </c>
      <c r="W71" s="205">
        <v>0.0</v>
      </c>
      <c r="X71" s="205">
        <v>0.0</v>
      </c>
      <c r="Y71" s="205">
        <v>-3.0</v>
      </c>
      <c r="Z71" s="205">
        <v>0.0</v>
      </c>
      <c r="AA71" s="205">
        <v>0.0</v>
      </c>
      <c r="AB71" s="205">
        <v>0.0</v>
      </c>
      <c r="AC71" s="205">
        <v>0.0</v>
      </c>
      <c r="AD71" s="205">
        <v>0.0</v>
      </c>
      <c r="AE71" s="205">
        <v>0.0</v>
      </c>
      <c r="AF71" s="205">
        <v>-4.0</v>
      </c>
      <c r="AG71" s="205">
        <v>0.0</v>
      </c>
      <c r="AH71" s="205">
        <v>0.0</v>
      </c>
      <c r="AI71" s="205">
        <v>0.0</v>
      </c>
      <c r="AJ71" s="205">
        <v>-4.0</v>
      </c>
      <c r="AK71" s="205">
        <v>0.0</v>
      </c>
      <c r="AL71" s="205">
        <v>0.0</v>
      </c>
      <c r="AM71" s="205">
        <v>0.0</v>
      </c>
      <c r="AN71" s="205">
        <v>-4.0</v>
      </c>
      <c r="AO71" s="205">
        <v>0.0</v>
      </c>
      <c r="AP71" s="205">
        <v>0.0</v>
      </c>
      <c r="AQ71" s="205">
        <v>0.0</v>
      </c>
      <c r="AR71" s="205">
        <v>0.0</v>
      </c>
      <c r="AS71" s="205">
        <v>0.0</v>
      </c>
      <c r="AT71" s="205">
        <v>0.0</v>
      </c>
      <c r="AU71" s="205">
        <v>0.0</v>
      </c>
      <c r="AV71" s="205">
        <v>0.0</v>
      </c>
      <c r="AW71" s="205">
        <v>-3.0</v>
      </c>
      <c r="AX71" s="205">
        <v>0.0</v>
      </c>
      <c r="AY71" s="205">
        <v>0.0</v>
      </c>
      <c r="AZ71" s="205">
        <v>0.0</v>
      </c>
      <c r="BA71" s="205">
        <v>0.0</v>
      </c>
      <c r="BB71" s="205">
        <v>0.0</v>
      </c>
      <c r="BC71" s="205">
        <v>-3.0</v>
      </c>
      <c r="BD71" s="205">
        <v>-3.0</v>
      </c>
      <c r="BE71" s="205">
        <v>0.0</v>
      </c>
      <c r="BF71" s="205">
        <v>0.0</v>
      </c>
      <c r="BG71" s="205">
        <v>0.0</v>
      </c>
      <c r="BH71" s="205">
        <v>0.0</v>
      </c>
      <c r="BI71" s="205">
        <v>0.0</v>
      </c>
      <c r="BJ71" s="205">
        <v>0.0</v>
      </c>
      <c r="BK71" s="205">
        <v>2.0</v>
      </c>
      <c r="BL71" s="205">
        <v>-7.0</v>
      </c>
      <c r="BM71" s="205">
        <v>0.0</v>
      </c>
      <c r="BN71" s="205">
        <v>0.0</v>
      </c>
      <c r="BO71" s="205">
        <v>0.0</v>
      </c>
      <c r="BP71" s="205">
        <v>-2.0</v>
      </c>
      <c r="BQ71" s="206"/>
      <c r="BR71" s="250">
        <f t="shared" si="1"/>
        <v>-0.5714285714</v>
      </c>
      <c r="BS71" s="250">
        <f t="shared" si="2"/>
        <v>1.006802721</v>
      </c>
      <c r="BT71" s="206"/>
      <c r="BU71" s="207">
        <f>IFERROR(__xludf.DUMMYFUNCTION("AVERAGE(ARRAYFORMULA(XLOOKUP(FILTER(INDIRECT(""'""&amp;BU$1&amp;""'!$C$4:$C$66""),INDIRECT(""'""&amp;BU$1&amp;""'!$D$4:$D$66"")=BU$2),$F$3:$BP$3,$F71:$BP71)))"),-0.7142857142857143)</f>
        <v>-0.7142857143</v>
      </c>
      <c r="BV71" s="207" t="str">
        <f>IFERROR(__xludf.DUMMYFUNCTION("IF(OR(BU71&gt;$BR71+$BS71*$BS$2,BU71&lt;$BR71-$BS71*$BS$2),AVEDEV(ARRAYFORMULA(XLOOKUP(FILTER(INDIRECT(""'""&amp;BU$1&amp;""'!$C$4:$C$66""),INDIRECT(""'""&amp;BU$1&amp;""'!$D$4:$D$66"")=BU$2),$F$3:$BP$3,$F71:$BP71))),"""")"),"")</f>
        <v/>
      </c>
      <c r="BW71" s="207">
        <f>IFERROR(__xludf.DUMMYFUNCTION("AVERAGE(ARRAYFORMULA(XLOOKUP(FILTER(INDIRECT(""'""&amp;BW$1&amp;""'!$C$4:$C$66""),INDIRECT(""'""&amp;BW$1&amp;""'!$D$4:$D$66"")=BW$2),$F$3:$BP$3,$F71:$BP71)))"),-0.38095238095238093)</f>
        <v>-0.380952381</v>
      </c>
      <c r="BX71" s="207" t="str">
        <f>IFERROR(__xludf.DUMMYFUNCTION("IF(OR(BW71&gt;$BR71+$BS71*$BS$2,BW71&lt;$BR71-$BS71*$BS$2),AVEDEV(ARRAYFORMULA(XLOOKUP(FILTER(INDIRECT(""'""&amp;BW$1&amp;""'!$C$4:$C$66""),INDIRECT(""'""&amp;BW$1&amp;""'!$D$4:$D$66"")=BW$2),$F$3:$BP$3,$F71:$BP71))),"""")"),"")</f>
        <v/>
      </c>
      <c r="BY71" s="207">
        <f>IFERROR(__xludf.DUMMYFUNCTION("AVERAGE(ARRAYFORMULA(XLOOKUP(FILTER(INDIRECT(""'""&amp;BY$1&amp;""'!$C$4:$C$66""),INDIRECT(""'""&amp;BY$1&amp;""'!$D$4:$D$66"")=BY$2),$F$3:$BP$3,$F71:$BP71)))"),-0.9090909090909091)</f>
        <v>-0.9090909091</v>
      </c>
      <c r="BZ71" s="207" t="str">
        <f>IFERROR(__xludf.DUMMYFUNCTION("IF(OR(BY71&gt;$BR71+$BS71*$BS$2,BY71&lt;$BR71-$BS71*$BS$2),AVEDEV(ARRAYFORMULA(XLOOKUP(FILTER(INDIRECT(""'""&amp;BY$1&amp;""'!$C$4:$C$66""),INDIRECT(""'""&amp;BY$1&amp;""'!$D$4:$D$66"")=BY$2),$F$3:$BP$3,$F71:$BP71))),"""")"),"")</f>
        <v/>
      </c>
      <c r="CA71" s="209"/>
      <c r="CB71" s="207">
        <f>IFERROR(__xludf.DUMMYFUNCTION("AVERAGE(ARRAYFORMULA(XLOOKUP(FILTER(INDIRECT(""'""&amp;CB$1&amp;""'!$C$4:$C$66""),INDIRECT(""'""&amp;CB$1&amp;""'!$D$4:$D$66"")=CB$2),$F$3:$BP$3,$F71:$BP71)))"),-0.5)</f>
        <v>-0.5</v>
      </c>
      <c r="CC71" s="207" t="str">
        <f>IFERROR(__xludf.DUMMYFUNCTION("IF(OR(CB71&gt;$BR71+$BS71*$BS$2,CB71&lt;$BR71-$BS71*$BS$2),AVEDEV(ARRAYFORMULA(XLOOKUP(FILTER(INDIRECT(""'""&amp;CB$1&amp;""'!$C$4:$C$66""),INDIRECT(""'""&amp;CB$1&amp;""'!$D$4:$D$66"")=CB$2),$F$3:$BP$3,$F71:$BP71))),"""")"),"")</f>
        <v/>
      </c>
      <c r="CD71" s="207">
        <f>IFERROR(__xludf.DUMMYFUNCTION("AVERAGE(ARRAYFORMULA(XLOOKUP(FILTER(INDIRECT(""'""&amp;CD$1&amp;""'!$C$4:$C$66""),INDIRECT(""'""&amp;CD$1&amp;""'!$D$4:$D$66"")=CD$2),$F$3:$BP$3,$F71:$BP71)))"),-0.3548387096774194)</f>
        <v>-0.3548387097</v>
      </c>
      <c r="CE71" s="207" t="str">
        <f>IFERROR(__xludf.DUMMYFUNCTION("IF(OR(CD71&gt;$BR71+$BS71*$BS$2,CD71&lt;$BR71-$BS71*$BS$2),AVEDEV(ARRAYFORMULA(XLOOKUP(FILTER(INDIRECT(""'""&amp;CD$1&amp;""'!$C$4:$C$66""),INDIRECT(""'""&amp;CD$1&amp;""'!$D$4:$D$66"")=CD$2),$F$3:$BP$3,$F71:$BP71))),"""")"),"")</f>
        <v/>
      </c>
      <c r="CF71" s="207">
        <f>IFERROR(__xludf.DUMMYFUNCTION("AVERAGE(ARRAYFORMULA(XLOOKUP(FILTER(INDIRECT(""'""&amp;CF$1&amp;""'!$C$4:$C$66""),INDIRECT(""'""&amp;CF$1&amp;""'!$D$4:$D$66"")=CF$2),$F$3:$BP$3,$F71:$BP71)))"),0.0)</f>
        <v>0</v>
      </c>
      <c r="CG71" s="207" t="str">
        <f>IFERROR(__xludf.DUMMYFUNCTION("IF(OR(CF71&gt;$BR71+$BS71*$BS$2,CF71&lt;$BR71-$BS71*$BS$2),AVEDEV(ARRAYFORMULA(XLOOKUP(FILTER(INDIRECT(""'""&amp;CF$1&amp;""'!$C$4:$C$66""),INDIRECT(""'""&amp;CF$1&amp;""'!$D$4:$D$66"")=CF$2),$F$3:$BP$3,$F71:$BP71))),"""")"),"")</f>
        <v/>
      </c>
      <c r="CH71" s="206"/>
      <c r="CI71" s="251">
        <f>IFERROR(__xludf.DUMMYFUNCTION("AVERAGE(ARRAYFORMULA(XLOOKUP(FILTER(INDIRECT(""'""&amp;CI$1&amp;""'!$C$4:$C$66""),INDIRECT(""'""&amp;CI$1&amp;""'!$D$4:$D$66"")=CI$2),$F$3:$BP$3,$F71:$BP71)))"),-0.6666666666666666)</f>
        <v>-0.6666666667</v>
      </c>
      <c r="CJ71" s="207" t="str">
        <f>IFERROR(__xludf.DUMMYFUNCTION("IF(OR(CI71&gt;$BR71+$BS71*$BS$2,CI71&lt;$BR71-$BS71*$BS$2),AVEDEV(ARRAYFORMULA(XLOOKUP(FILTER(INDIRECT(""'""&amp;CI$1&amp;""'!$C$4:$C$66""),INDIRECT(""'""&amp;CI$1&amp;""'!$D$4:$D$66"")=CI$2),$F$3:$BP$3,$F71:$BP71))),"""")"),"")</f>
        <v/>
      </c>
      <c r="CK71" s="251">
        <f>IFERROR(__xludf.DUMMYFUNCTION("AVERAGE(ARRAYFORMULA(XLOOKUP(FILTER(INDIRECT(""'""&amp;CK$1&amp;""'!$C$4:$C$66""),INDIRECT(""'""&amp;CK$1&amp;""'!$D$4:$D$66"")=CK$2),$F$3:$BP$3,$F71:$BP71)))"),-0.5897435897435898)</f>
        <v>-0.5897435897</v>
      </c>
      <c r="CL71" s="207" t="str">
        <f>IFERROR(__xludf.DUMMYFUNCTION("IF(OR(CK71&gt;$BR71+$BS71*$BS$2,CK71&lt;$BR71-$BS71*$BS$2),AVEDEV(ARRAYFORMULA(XLOOKUP(FILTER(INDIRECT(""'""&amp;CK$1&amp;""'!$C$4:$C$66""),INDIRECT(""'""&amp;CK$1&amp;""'!$D$4:$D$66"")=CK$2),$F$3:$BP$3,$F71:$BP71))),"""")"),"")</f>
        <v/>
      </c>
      <c r="CM71" s="253">
        <f>IFERROR(__xludf.DUMMYFUNCTION("AVERAGE(ARRAYFORMULA(XLOOKUP(FILTER(INDIRECT(""'""&amp;CM$1&amp;""'!$C$4:$C$66""),INDIRECT(""'""&amp;CM$1&amp;""'!$D$4:$D$66"")=CM$2),$F$3:$BP$3,$F71:$BP71)))"),0.0)</f>
        <v>0</v>
      </c>
      <c r="CN71" s="207" t="str">
        <f>IFERROR(__xludf.DUMMYFUNCTION("IF(OR(CM71&gt;$BR71+$BS71*$BS$2,CM71&lt;$BR71-$BS71*$BS$2),AVEDEV(ARRAYFORMULA(XLOOKUP(FILTER(INDIRECT(""'""&amp;CM$1&amp;""'!$C$4:$C$66""),INDIRECT(""'""&amp;CM$1&amp;""'!$D$4:$D$66"")=CM$2),$F$3:$BP$3,$F71:$BP71))),"""")"),"")</f>
        <v/>
      </c>
      <c r="CO71" s="252"/>
      <c r="CP71" s="251">
        <f>IFERROR(__xludf.DUMMYFUNCTION("AVERAGE(ARRAYFORMULA(XLOOKUP(FILTER(INDIRECT(""'""&amp;CP$1&amp;""'!$C$4:$C$66""),INDIRECT(""'""&amp;CP$1&amp;""'!$D$4:$D$66"")=CP$2),$F$3:$BP$3,$F71:$BP71)))"),-0.5714285714285714)</f>
        <v>-0.5714285714</v>
      </c>
      <c r="CQ71" s="207" t="str">
        <f>IFERROR(__xludf.DUMMYFUNCTION("IF(OR(CP71&gt;$BR71+$BS71*$BS$2,CP71&lt;$BR71-$BS71*$BS$2),AVEDEV(ARRAYFORMULA(XLOOKUP(FILTER(INDIRECT(""'""&amp;CP$1&amp;""'!$C$4:$C$66""),INDIRECT(""'""&amp;CP$1&amp;""'!$D$4:$D$66"")=CP$2),$F$3:$BP$3,$F71:$BP71))),"""")"),"")</f>
        <v/>
      </c>
      <c r="CR71" s="251">
        <f>IFERROR(__xludf.DUMMYFUNCTION("AVERAGE(ARRAYFORMULA(XLOOKUP(FILTER(INDIRECT(""'""&amp;CR$1&amp;""'!$C$4:$C$66""),INDIRECT(""'""&amp;CR$1&amp;""'!$D$4:$D$66"")=CR$2),$F$3:$BP$3,$F71:$BP71)))"),-0.3333333333333333)</f>
        <v>-0.3333333333</v>
      </c>
      <c r="CS71" s="207" t="str">
        <f>IFERROR(__xludf.DUMMYFUNCTION("IF(OR(CR71&gt;$BR71+$BS71*$BS$2,CR71&lt;$BR71-$BS71*$BS$2),AVEDEV(ARRAYFORMULA(XLOOKUP(FILTER(INDIRECT(""'""&amp;CR$1&amp;""'!$C$4:$C$66""),INDIRECT(""'""&amp;CR$1&amp;""'!$D$4:$D$66"")=CR$2),$F$3:$BP$3,$F71:$BP71))),"""")"),"")</f>
        <v/>
      </c>
      <c r="CT71" s="251">
        <f>IFERROR(__xludf.DUMMYFUNCTION("AVERAGE(ARRAYFORMULA(XLOOKUP(FILTER(INDIRECT(""'""&amp;CT$1&amp;""'!$C$4:$C$66""),INDIRECT(""'""&amp;CT$1&amp;""'!$D$4:$D$66"")=CT$2),$F$3:$BP$3,$F71:$BP71)))"),0.0)</f>
        <v>0</v>
      </c>
      <c r="CU71" s="207" t="str">
        <f>IFERROR(__xludf.DUMMYFUNCTION("IF(OR(CT71&gt;$BR71+$BS71*$BS$2,CT71&lt;$BR71-$BS71*$BS$2),AVEDEV(ARRAYFORMULA(XLOOKUP(FILTER(INDIRECT(""'""&amp;CT$1&amp;""'!$C$4:$C$66""),INDIRECT(""'""&amp;CT$1&amp;""'!$D$4:$D$66"")=CT$2),$F$3:$BP$3,$F71:$BP71))),"""")"),"")</f>
        <v/>
      </c>
      <c r="CV71" s="251">
        <f>IFERROR(__xludf.DUMMYFUNCTION("AVERAGE(ARRAYFORMULA(XLOOKUP(FILTER(INDIRECT(""'""&amp;CV$1&amp;""'!$C$4:$C$66""),INDIRECT(""'""&amp;CV$1&amp;""'!$D$4:$D$66"")=CV$2),$F$3:$BP$3,$F71:$BP71)))"),0.0)</f>
        <v>0</v>
      </c>
      <c r="CW71" s="207" t="str">
        <f>IFERROR(__xludf.DUMMYFUNCTION("IF(OR(CV71&gt;$BR71+$BS71*$BS$2,CV71&lt;$BR71-$BS71*$BS$2),AVEDEV(ARRAYFORMULA(XLOOKUP(FILTER(INDIRECT(""'""&amp;CV$1&amp;""'!$C$4:$C$66""),INDIRECT(""'""&amp;CV$1&amp;""'!$D$4:$D$66"")=CV$2),$F$3:$BP$3,$F71:$BP71))),"""")"),"")</f>
        <v/>
      </c>
      <c r="CX71" s="253">
        <f>IFERROR(__xludf.DUMMYFUNCTION("AVERAGE(ARRAYFORMULA(XLOOKUP(FILTER(INDIRECT(""'""&amp;CX$1&amp;""'!$C$4:$C$66""),INDIRECT(""'""&amp;CX$1&amp;""'!$D$4:$D$66"")=CX$2),$F$3:$BP$3,$F71:$BP71)))"),-0.5714285714285714)</f>
        <v>-0.5714285714</v>
      </c>
      <c r="CY71" s="207" t="str">
        <f>IFERROR(__xludf.DUMMYFUNCTION("IF(OR(CX71&gt;$BR71+$BS71*$BS$2,CX71&lt;$BR71-$BS71*$BS$2),AVEDEV(ARRAYFORMULA(XLOOKUP(FILTER(INDIRECT(""'""&amp;CX$1&amp;""'!$C$4:$C$66""),INDIRECT(""'""&amp;CX$1&amp;""'!$D$4:$D$66"")=CX$2),$F$3:$BP$3,$F71:$BP71))),"""")"),"")</f>
        <v/>
      </c>
      <c r="CZ71" s="252"/>
      <c r="DA71" s="251">
        <f>IFERROR(__xludf.DUMMYFUNCTION("AVERAGE(ARRAYFORMULA(XLOOKUP(FILTER(INDIRECT(""'""&amp;DA$1&amp;""'!$C$4:$C$66""),INDIRECT(""'""&amp;DA$1&amp;""'!$D$4:$D$66"")=DA$2),$F$3:$BP$3,$F71:$BP71)))"),-0.6333333333333333)</f>
        <v>-0.6333333333</v>
      </c>
      <c r="DB71" s="207" t="str">
        <f>IFERROR(__xludf.DUMMYFUNCTION("IF(OR(DA71&gt;$BR71+$BS71*$BS$2,DA71&lt;$BR71-$BS71*$BS$2),AVEDEV(ARRAYFORMULA(XLOOKUP(FILTER(INDIRECT(""'""&amp;DA$1&amp;""'!$C$4:$C$66""),INDIRECT(""'""&amp;DA$1&amp;""'!$D$4:$D$66"")=DA$2),$F$3:$BP$3,$F71:$BP71))),"""")"),"")</f>
        <v/>
      </c>
      <c r="DC71" s="251">
        <f>IFERROR(__xludf.DUMMYFUNCTION("AVERAGE(ARRAYFORMULA(XLOOKUP(FILTER(INDIRECT(""'""&amp;DC$1&amp;""'!$C$4:$C$66""),INDIRECT(""'""&amp;DC$1&amp;""'!$D$4:$D$66"")=DC$2),$F$3:$BP$3,$F71:$BP71)))"),-1.1111111111111112)</f>
        <v>-1.111111111</v>
      </c>
      <c r="DD71" s="207" t="str">
        <f>IFERROR(__xludf.DUMMYFUNCTION("IF(OR(DC71&gt;$BR71+$BS71*$BS$2,DC71&lt;$BR71-$BS71*$BS$2),AVEDEV(ARRAYFORMULA(XLOOKUP(FILTER(INDIRECT(""'""&amp;DC$1&amp;""'!$C$4:$C$66""),INDIRECT(""'""&amp;DC$1&amp;""'!$D$4:$D$66"")=DC$2),$F$3:$BP$3,$F71:$BP71))),"""")"),"")</f>
        <v/>
      </c>
      <c r="DE71" s="251">
        <f>IFERROR(__xludf.DUMMYFUNCTION("AVERAGE(ARRAYFORMULA(XLOOKUP(FILTER(INDIRECT(""'""&amp;DE$1&amp;""'!$C$4:$C$66""),INDIRECT(""'""&amp;DE$1&amp;""'!$D$4:$D$66"")=DE$2),$F$3:$BP$3,$F71:$BP71)))"),0.0)</f>
        <v>0</v>
      </c>
      <c r="DF71" s="207" t="str">
        <f>IFERROR(__xludf.DUMMYFUNCTION("IF(OR(DE71&gt;$BR71+$BS71*$BS$2,DE71&lt;$BR71-$BS71*$BS$2),AVEDEV(ARRAYFORMULA(XLOOKUP(FILTER(INDIRECT(""'""&amp;DE$1&amp;""'!$C$4:$C$66""),INDIRECT(""'""&amp;DE$1&amp;""'!$D$4:$D$66"")=DE$2),$F$3:$BP$3,$F71:$BP71))),"""")"),"")</f>
        <v/>
      </c>
      <c r="DG71" s="251">
        <f>IFERROR(__xludf.DUMMYFUNCTION("AVERAGE(ARRAYFORMULA(XLOOKUP(FILTER(INDIRECT(""'""&amp;DG$1&amp;""'!$C$4:$C$66""),INDIRECT(""'""&amp;DG$1&amp;""'!$D$4:$D$66"")=DG$2),$F$3:$BP$3,$F71:$BP71)))"),0.0)</f>
        <v>0</v>
      </c>
      <c r="DH71" s="207" t="str">
        <f>IFERROR(__xludf.DUMMYFUNCTION("IF(OR(DG71&gt;$BR71+$BS71*$BS$2,DG71&lt;$BR71-$BS71*$BS$2),AVEDEV(ARRAYFORMULA(XLOOKUP(FILTER(INDIRECT(""'""&amp;DG$1&amp;""'!$C$4:$C$66""),INDIRECT(""'""&amp;DG$1&amp;""'!$D$4:$D$66"")=DG$2),$F$3:$BP$3,$F71:$BP71))),"""")"),"")</f>
        <v/>
      </c>
      <c r="DI71" s="252"/>
    </row>
    <row r="72">
      <c r="A72" s="2"/>
      <c r="B72" s="204" t="s">
        <v>507</v>
      </c>
      <c r="C72" s="204" t="s">
        <v>514</v>
      </c>
      <c r="D72" s="205" t="b">
        <f>VLOOKUP(C72,'Feature Set List'!A69:C246,2,0)</f>
        <v>1</v>
      </c>
      <c r="E72" s="205" t="b">
        <f>VLOOKUP(C72,'Feature Set List'!A69:C246,3,0)</f>
        <v>1</v>
      </c>
      <c r="F72" s="205">
        <v>0.0</v>
      </c>
      <c r="G72" s="205">
        <v>0.0</v>
      </c>
      <c r="H72" s="205">
        <v>-2.0</v>
      </c>
      <c r="I72" s="205">
        <v>0.0</v>
      </c>
      <c r="J72" s="205">
        <v>0.0</v>
      </c>
      <c r="K72" s="205">
        <v>0.0</v>
      </c>
      <c r="L72" s="205">
        <v>-3.0</v>
      </c>
      <c r="M72" s="205">
        <v>0.0</v>
      </c>
      <c r="N72" s="205">
        <v>0.0</v>
      </c>
      <c r="O72" s="205">
        <v>0.0</v>
      </c>
      <c r="P72" s="205">
        <v>0.0</v>
      </c>
      <c r="Q72" s="205">
        <v>0.0</v>
      </c>
      <c r="R72" s="205">
        <v>0.0</v>
      </c>
      <c r="S72" s="205">
        <v>0.0</v>
      </c>
      <c r="T72" s="205">
        <v>0.0</v>
      </c>
      <c r="U72" s="205">
        <v>0.0</v>
      </c>
      <c r="V72" s="205">
        <v>0.0</v>
      </c>
      <c r="W72" s="205">
        <v>0.0</v>
      </c>
      <c r="X72" s="205">
        <v>0.0</v>
      </c>
      <c r="Y72" s="205">
        <v>-3.0</v>
      </c>
      <c r="Z72" s="205">
        <v>0.0</v>
      </c>
      <c r="AA72" s="205">
        <v>0.0</v>
      </c>
      <c r="AB72" s="205">
        <v>0.0</v>
      </c>
      <c r="AC72" s="205">
        <v>0.0</v>
      </c>
      <c r="AD72" s="205">
        <v>0.0</v>
      </c>
      <c r="AE72" s="205">
        <v>0.0</v>
      </c>
      <c r="AF72" s="205">
        <v>-4.0</v>
      </c>
      <c r="AG72" s="205">
        <v>0.0</v>
      </c>
      <c r="AH72" s="205">
        <v>0.0</v>
      </c>
      <c r="AI72" s="205">
        <v>0.0</v>
      </c>
      <c r="AJ72" s="205">
        <v>-4.0</v>
      </c>
      <c r="AK72" s="205">
        <v>0.0</v>
      </c>
      <c r="AL72" s="205">
        <v>0.0</v>
      </c>
      <c r="AM72" s="205">
        <v>0.0</v>
      </c>
      <c r="AN72" s="205">
        <v>-4.0</v>
      </c>
      <c r="AO72" s="205">
        <v>0.0</v>
      </c>
      <c r="AP72" s="205">
        <v>0.0</v>
      </c>
      <c r="AQ72" s="205">
        <v>0.0</v>
      </c>
      <c r="AR72" s="205">
        <v>0.0</v>
      </c>
      <c r="AS72" s="205">
        <v>0.0</v>
      </c>
      <c r="AT72" s="205">
        <v>0.0</v>
      </c>
      <c r="AU72" s="205">
        <v>0.0</v>
      </c>
      <c r="AV72" s="205">
        <v>0.0</v>
      </c>
      <c r="AW72" s="205">
        <v>-3.0</v>
      </c>
      <c r="AX72" s="205">
        <v>0.0</v>
      </c>
      <c r="AY72" s="205">
        <v>0.0</v>
      </c>
      <c r="AZ72" s="205">
        <v>0.0</v>
      </c>
      <c r="BA72" s="205">
        <v>0.0</v>
      </c>
      <c r="BB72" s="205">
        <v>0.0</v>
      </c>
      <c r="BC72" s="205">
        <v>-3.0</v>
      </c>
      <c r="BD72" s="205">
        <v>-3.0</v>
      </c>
      <c r="BE72" s="205">
        <v>0.0</v>
      </c>
      <c r="BF72" s="205">
        <v>0.0</v>
      </c>
      <c r="BG72" s="205">
        <v>0.0</v>
      </c>
      <c r="BH72" s="205">
        <v>0.0</v>
      </c>
      <c r="BI72" s="205">
        <v>0.0</v>
      </c>
      <c r="BJ72" s="205">
        <v>0.0</v>
      </c>
      <c r="BK72" s="205">
        <v>2.0</v>
      </c>
      <c r="BL72" s="205">
        <v>0.0</v>
      </c>
      <c r="BM72" s="205">
        <v>0.0</v>
      </c>
      <c r="BN72" s="205">
        <v>0.0</v>
      </c>
      <c r="BO72" s="205">
        <v>0.0</v>
      </c>
      <c r="BP72" s="205">
        <v>-2.0</v>
      </c>
      <c r="BQ72" s="206"/>
      <c r="BR72" s="250">
        <f t="shared" si="1"/>
        <v>-0.4603174603</v>
      </c>
      <c r="BS72" s="250">
        <f t="shared" si="2"/>
        <v>0.837994457</v>
      </c>
      <c r="BT72" s="206"/>
      <c r="BU72" s="207">
        <f>IFERROR(__xludf.DUMMYFUNCTION("AVERAGE(ARRAYFORMULA(XLOOKUP(FILTER(INDIRECT(""'""&amp;BU$1&amp;""'!$C$4:$C$66""),INDIRECT(""'""&amp;BU$1&amp;""'!$D$4:$D$66"")=BU$2),$F$3:$BP$3,$F72:$BP72)))"),-0.7142857142857143)</f>
        <v>-0.7142857143</v>
      </c>
      <c r="BV72" s="207" t="str">
        <f>IFERROR(__xludf.DUMMYFUNCTION("IF(OR(BU72&gt;$BR72+$BS72*$BS$2,BU72&lt;$BR72-$BS72*$BS$2),AVEDEV(ARRAYFORMULA(XLOOKUP(FILTER(INDIRECT(""'""&amp;BU$1&amp;""'!$C$4:$C$66""),INDIRECT(""'""&amp;BU$1&amp;""'!$D$4:$D$66"")=BU$2),$F$3:$BP$3,$F72:$BP72))),"""")"),"")</f>
        <v/>
      </c>
      <c r="BW72" s="207">
        <f>IFERROR(__xludf.DUMMYFUNCTION("AVERAGE(ARRAYFORMULA(XLOOKUP(FILTER(INDIRECT(""'""&amp;BW$1&amp;""'!$C$4:$C$66""),INDIRECT(""'""&amp;BW$1&amp;""'!$D$4:$D$66"")=BW$2),$F$3:$BP$3,$F72:$BP72)))"),-0.38095238095238093)</f>
        <v>-0.380952381</v>
      </c>
      <c r="BX72" s="207" t="str">
        <f>IFERROR(__xludf.DUMMYFUNCTION("IF(OR(BW72&gt;$BR72+$BS72*$BS$2,BW72&lt;$BR72-$BS72*$BS$2),AVEDEV(ARRAYFORMULA(XLOOKUP(FILTER(INDIRECT(""'""&amp;BW$1&amp;""'!$C$4:$C$66""),INDIRECT(""'""&amp;BW$1&amp;""'!$D$4:$D$66"")=BW$2),$F$3:$BP$3,$F72:$BP72))),"""")"),"")</f>
        <v/>
      </c>
      <c r="BY72" s="207">
        <f>IFERROR(__xludf.DUMMYFUNCTION("AVERAGE(ARRAYFORMULA(XLOOKUP(FILTER(INDIRECT(""'""&amp;BY$1&amp;""'!$C$4:$C$66""),INDIRECT(""'""&amp;BY$1&amp;""'!$D$4:$D$66"")=BY$2),$F$3:$BP$3,$F72:$BP72)))"),-0.2727272727272727)</f>
        <v>-0.2727272727</v>
      </c>
      <c r="BZ72" s="207" t="str">
        <f>IFERROR(__xludf.DUMMYFUNCTION("IF(OR(BY72&gt;$BR72+$BS72*$BS$2,BY72&lt;$BR72-$BS72*$BS$2),AVEDEV(ARRAYFORMULA(XLOOKUP(FILTER(INDIRECT(""'""&amp;BY$1&amp;""'!$C$4:$C$66""),INDIRECT(""'""&amp;BY$1&amp;""'!$D$4:$D$66"")=BY$2),$F$3:$BP$3,$F72:$BP72))),"""")"),"")</f>
        <v/>
      </c>
      <c r="CA72" s="209"/>
      <c r="CB72" s="207">
        <f>IFERROR(__xludf.DUMMYFUNCTION("AVERAGE(ARRAYFORMULA(XLOOKUP(FILTER(INDIRECT(""'""&amp;CB$1&amp;""'!$C$4:$C$66""),INDIRECT(""'""&amp;CB$1&amp;""'!$D$4:$D$66"")=CB$2),$F$3:$BP$3,$F72:$BP72)))"),-0.5)</f>
        <v>-0.5</v>
      </c>
      <c r="CC72" s="207" t="str">
        <f>IFERROR(__xludf.DUMMYFUNCTION("IF(OR(CB72&gt;$BR72+$BS72*$BS$2,CB72&lt;$BR72-$BS72*$BS$2),AVEDEV(ARRAYFORMULA(XLOOKUP(FILTER(INDIRECT(""'""&amp;CB$1&amp;""'!$C$4:$C$66""),INDIRECT(""'""&amp;CB$1&amp;""'!$D$4:$D$66"")=CB$2),$F$3:$BP$3,$F72:$BP72))),"""")"),"")</f>
        <v/>
      </c>
      <c r="CD72" s="207">
        <f>IFERROR(__xludf.DUMMYFUNCTION("AVERAGE(ARRAYFORMULA(XLOOKUP(FILTER(INDIRECT(""'""&amp;CD$1&amp;""'!$C$4:$C$66""),INDIRECT(""'""&amp;CD$1&amp;""'!$D$4:$D$66"")=CD$2),$F$3:$BP$3,$F72:$BP72)))"),-0.3548387096774194)</f>
        <v>-0.3548387097</v>
      </c>
      <c r="CE72" s="207" t="str">
        <f>IFERROR(__xludf.DUMMYFUNCTION("IF(OR(CD72&gt;$BR72+$BS72*$BS$2,CD72&lt;$BR72-$BS72*$BS$2),AVEDEV(ARRAYFORMULA(XLOOKUP(FILTER(INDIRECT(""'""&amp;CD$1&amp;""'!$C$4:$C$66""),INDIRECT(""'""&amp;CD$1&amp;""'!$D$4:$D$66"")=CD$2),$F$3:$BP$3,$F72:$BP72))),"""")"),"")</f>
        <v/>
      </c>
      <c r="CF72" s="207">
        <f>IFERROR(__xludf.DUMMYFUNCTION("AVERAGE(ARRAYFORMULA(XLOOKUP(FILTER(INDIRECT(""'""&amp;CF$1&amp;""'!$C$4:$C$66""),INDIRECT(""'""&amp;CF$1&amp;""'!$D$4:$D$66"")=CF$2),$F$3:$BP$3,$F72:$BP72)))"),0.0)</f>
        <v>0</v>
      </c>
      <c r="CG72" s="207" t="str">
        <f>IFERROR(__xludf.DUMMYFUNCTION("IF(OR(CF72&gt;$BR72+$BS72*$BS$2,CF72&lt;$BR72-$BS72*$BS$2),AVEDEV(ARRAYFORMULA(XLOOKUP(FILTER(INDIRECT(""'""&amp;CF$1&amp;""'!$C$4:$C$66""),INDIRECT(""'""&amp;CF$1&amp;""'!$D$4:$D$66"")=CF$2),$F$3:$BP$3,$F72:$BP72))),"""")"),"")</f>
        <v/>
      </c>
      <c r="CH72" s="206"/>
      <c r="CI72" s="251">
        <f>IFERROR(__xludf.DUMMYFUNCTION("AVERAGE(ARRAYFORMULA(XLOOKUP(FILTER(INDIRECT(""'""&amp;CI$1&amp;""'!$C$4:$C$66""),INDIRECT(""'""&amp;CI$1&amp;""'!$D$4:$D$66"")=CI$2),$F$3:$BP$3,$F72:$BP72)))"),-0.2)</f>
        <v>-0.2</v>
      </c>
      <c r="CJ72" s="207" t="str">
        <f>IFERROR(__xludf.DUMMYFUNCTION("IF(OR(CI72&gt;$BR72+$BS72*$BS$2,CI72&lt;$BR72-$BS72*$BS$2),AVEDEV(ARRAYFORMULA(XLOOKUP(FILTER(INDIRECT(""'""&amp;CI$1&amp;""'!$C$4:$C$66""),INDIRECT(""'""&amp;CI$1&amp;""'!$D$4:$D$66"")=CI$2),$F$3:$BP$3,$F72:$BP72))),"""")"),"")</f>
        <v/>
      </c>
      <c r="CK72" s="251">
        <f>IFERROR(__xludf.DUMMYFUNCTION("AVERAGE(ARRAYFORMULA(XLOOKUP(FILTER(INDIRECT(""'""&amp;CK$1&amp;""'!$C$4:$C$66""),INDIRECT(""'""&amp;CK$1&amp;""'!$D$4:$D$66"")=CK$2),$F$3:$BP$3,$F72:$BP72)))"),-0.5897435897435898)</f>
        <v>-0.5897435897</v>
      </c>
      <c r="CL72" s="207" t="str">
        <f>IFERROR(__xludf.DUMMYFUNCTION("IF(OR(CK72&gt;$BR72+$BS72*$BS$2,CK72&lt;$BR72-$BS72*$BS$2),AVEDEV(ARRAYFORMULA(XLOOKUP(FILTER(INDIRECT(""'""&amp;CK$1&amp;""'!$C$4:$C$66""),INDIRECT(""'""&amp;CK$1&amp;""'!$D$4:$D$66"")=CK$2),$F$3:$BP$3,$F72:$BP72))),"""")"),"")</f>
        <v/>
      </c>
      <c r="CM72" s="251">
        <f>IFERROR(__xludf.DUMMYFUNCTION("AVERAGE(ARRAYFORMULA(XLOOKUP(FILTER(INDIRECT(""'""&amp;CM$1&amp;""'!$C$4:$C$66""),INDIRECT(""'""&amp;CM$1&amp;""'!$D$4:$D$66"")=CM$2),$F$3:$BP$3,$F72:$BP72)))"),0.0)</f>
        <v>0</v>
      </c>
      <c r="CN72" s="207" t="str">
        <f>IFERROR(__xludf.DUMMYFUNCTION("IF(OR(CM72&gt;$BR72+$BS72*$BS$2,CM72&lt;$BR72-$BS72*$BS$2),AVEDEV(ARRAYFORMULA(XLOOKUP(FILTER(INDIRECT(""'""&amp;CM$1&amp;""'!$C$4:$C$66""),INDIRECT(""'""&amp;CM$1&amp;""'!$D$4:$D$66"")=CM$2),$F$3:$BP$3,$F72:$BP72))),"""")"),"")</f>
        <v/>
      </c>
      <c r="CO72" s="252"/>
      <c r="CP72" s="251">
        <f>IFERROR(__xludf.DUMMYFUNCTION("AVERAGE(ARRAYFORMULA(XLOOKUP(FILTER(INDIRECT(""'""&amp;CP$1&amp;""'!$C$4:$C$66""),INDIRECT(""'""&amp;CP$1&amp;""'!$D$4:$D$66"")=CP$2),$F$3:$BP$3,$F72:$BP72)))"),-0.5714285714285714)</f>
        <v>-0.5714285714</v>
      </c>
      <c r="CQ72" s="207" t="str">
        <f>IFERROR(__xludf.DUMMYFUNCTION("IF(OR(CP72&gt;$BR72+$BS72*$BS$2,CP72&lt;$BR72-$BS72*$BS$2),AVEDEV(ARRAYFORMULA(XLOOKUP(FILTER(INDIRECT(""'""&amp;CP$1&amp;""'!$C$4:$C$66""),INDIRECT(""'""&amp;CP$1&amp;""'!$D$4:$D$66"")=CP$2),$F$3:$BP$3,$F72:$BP72))),"""")"),"")</f>
        <v/>
      </c>
      <c r="CR72" s="251">
        <f>IFERROR(__xludf.DUMMYFUNCTION("AVERAGE(ARRAYFORMULA(XLOOKUP(FILTER(INDIRECT(""'""&amp;CR$1&amp;""'!$C$4:$C$66""),INDIRECT(""'""&amp;CR$1&amp;""'!$D$4:$D$66"")=CR$2),$F$3:$BP$3,$F72:$BP72)))"),-0.3333333333333333)</f>
        <v>-0.3333333333</v>
      </c>
      <c r="CS72" s="207" t="str">
        <f>IFERROR(__xludf.DUMMYFUNCTION("IF(OR(CR72&gt;$BR72+$BS72*$BS$2,CR72&lt;$BR72-$BS72*$BS$2),AVEDEV(ARRAYFORMULA(XLOOKUP(FILTER(INDIRECT(""'""&amp;CR$1&amp;""'!$C$4:$C$66""),INDIRECT(""'""&amp;CR$1&amp;""'!$D$4:$D$66"")=CR$2),$F$3:$BP$3,$F72:$BP72))),"""")"),"")</f>
        <v/>
      </c>
      <c r="CT72" s="251">
        <f>IFERROR(__xludf.DUMMYFUNCTION("AVERAGE(ARRAYFORMULA(XLOOKUP(FILTER(INDIRECT(""'""&amp;CT$1&amp;""'!$C$4:$C$66""),INDIRECT(""'""&amp;CT$1&amp;""'!$D$4:$D$66"")=CT$2),$F$3:$BP$3,$F72:$BP72)))"),0.0)</f>
        <v>0</v>
      </c>
      <c r="CU72" s="207" t="str">
        <f>IFERROR(__xludf.DUMMYFUNCTION("IF(OR(CT72&gt;$BR72+$BS72*$BS$2,CT72&lt;$BR72-$BS72*$BS$2),AVEDEV(ARRAYFORMULA(XLOOKUP(FILTER(INDIRECT(""'""&amp;CT$1&amp;""'!$C$4:$C$66""),INDIRECT(""'""&amp;CT$1&amp;""'!$D$4:$D$66"")=CT$2),$F$3:$BP$3,$F72:$BP72))),"""")"),"")</f>
        <v/>
      </c>
      <c r="CV72" s="251">
        <f>IFERROR(__xludf.DUMMYFUNCTION("AVERAGE(ARRAYFORMULA(XLOOKUP(FILTER(INDIRECT(""'""&amp;CV$1&amp;""'!$C$4:$C$66""),INDIRECT(""'""&amp;CV$1&amp;""'!$D$4:$D$66"")=CV$2),$F$3:$BP$3,$F72:$BP72)))"),0.0)</f>
        <v>0</v>
      </c>
      <c r="CW72" s="207" t="str">
        <f>IFERROR(__xludf.DUMMYFUNCTION("IF(OR(CV72&gt;$BR72+$BS72*$BS$2,CV72&lt;$BR72-$BS72*$BS$2),AVEDEV(ARRAYFORMULA(XLOOKUP(FILTER(INDIRECT(""'""&amp;CV$1&amp;""'!$C$4:$C$66""),INDIRECT(""'""&amp;CV$1&amp;""'!$D$4:$D$66"")=CV$2),$F$3:$BP$3,$F72:$BP72))),"""")"),"")</f>
        <v/>
      </c>
      <c r="CX72" s="251">
        <f>IFERROR(__xludf.DUMMYFUNCTION("AVERAGE(ARRAYFORMULA(XLOOKUP(FILTER(INDIRECT(""'""&amp;CX$1&amp;""'!$C$4:$C$66""),INDIRECT(""'""&amp;CX$1&amp;""'!$D$4:$D$66"")=CX$2),$F$3:$BP$3,$F72:$BP72)))"),-0.5714285714285714)</f>
        <v>-0.5714285714</v>
      </c>
      <c r="CY72" s="207" t="str">
        <f>IFERROR(__xludf.DUMMYFUNCTION("IF(OR(CX72&gt;$BR72+$BS72*$BS$2,CX72&lt;$BR72-$BS72*$BS$2),AVEDEV(ARRAYFORMULA(XLOOKUP(FILTER(INDIRECT(""'""&amp;CX$1&amp;""'!$C$4:$C$66""),INDIRECT(""'""&amp;CX$1&amp;""'!$D$4:$D$66"")=CX$2),$F$3:$BP$3,$F72:$BP72))),"""")"),"")</f>
        <v/>
      </c>
      <c r="CZ72" s="252"/>
      <c r="DA72" s="251">
        <f>IFERROR(__xludf.DUMMYFUNCTION("AVERAGE(ARRAYFORMULA(XLOOKUP(FILTER(INDIRECT(""'""&amp;DA$1&amp;""'!$C$4:$C$66""),INDIRECT(""'""&amp;DA$1&amp;""'!$D$4:$D$66"")=DA$2),$F$3:$BP$3,$F72:$BP72)))"),-0.6333333333333333)</f>
        <v>-0.6333333333</v>
      </c>
      <c r="DB72" s="207" t="str">
        <f>IFERROR(__xludf.DUMMYFUNCTION("IF(OR(DA72&gt;$BR72+$BS72*$BS$2,DA72&lt;$BR72-$BS72*$BS$2),AVEDEV(ARRAYFORMULA(XLOOKUP(FILTER(INDIRECT(""'""&amp;DA$1&amp;""'!$C$4:$C$66""),INDIRECT(""'""&amp;DA$1&amp;""'!$D$4:$D$66"")=DA$2),$F$3:$BP$3,$F72:$BP72))),"""")"),"")</f>
        <v/>
      </c>
      <c r="DC72" s="251">
        <f>IFERROR(__xludf.DUMMYFUNCTION("AVERAGE(ARRAYFORMULA(XLOOKUP(FILTER(INDIRECT(""'""&amp;DC$1&amp;""'!$C$4:$C$66""),INDIRECT(""'""&amp;DC$1&amp;""'!$D$4:$D$66"")=DC$2),$F$3:$BP$3,$F72:$BP72)))"),-0.3333333333333333)</f>
        <v>-0.3333333333</v>
      </c>
      <c r="DD72" s="207" t="str">
        <f>IFERROR(__xludf.DUMMYFUNCTION("IF(OR(DC72&gt;$BR72+$BS72*$BS$2,DC72&lt;$BR72-$BS72*$BS$2),AVEDEV(ARRAYFORMULA(XLOOKUP(FILTER(INDIRECT(""'""&amp;DC$1&amp;""'!$C$4:$C$66""),INDIRECT(""'""&amp;DC$1&amp;""'!$D$4:$D$66"")=DC$2),$F$3:$BP$3,$F72:$BP72))),"""")"),"")</f>
        <v/>
      </c>
      <c r="DE72" s="251">
        <f>IFERROR(__xludf.DUMMYFUNCTION("AVERAGE(ARRAYFORMULA(XLOOKUP(FILTER(INDIRECT(""'""&amp;DE$1&amp;""'!$C$4:$C$66""),INDIRECT(""'""&amp;DE$1&amp;""'!$D$4:$D$66"")=DE$2),$F$3:$BP$3,$F72:$BP72)))"),0.0)</f>
        <v>0</v>
      </c>
      <c r="DF72" s="207" t="str">
        <f>IFERROR(__xludf.DUMMYFUNCTION("IF(OR(DE72&gt;$BR72+$BS72*$BS$2,DE72&lt;$BR72-$BS72*$BS$2),AVEDEV(ARRAYFORMULA(XLOOKUP(FILTER(INDIRECT(""'""&amp;DE$1&amp;""'!$C$4:$C$66""),INDIRECT(""'""&amp;DE$1&amp;""'!$D$4:$D$66"")=DE$2),$F$3:$BP$3,$F72:$BP72))),"""")"),"")</f>
        <v/>
      </c>
      <c r="DG72" s="251">
        <f>IFERROR(__xludf.DUMMYFUNCTION("AVERAGE(ARRAYFORMULA(XLOOKUP(FILTER(INDIRECT(""'""&amp;DG$1&amp;""'!$C$4:$C$66""),INDIRECT(""'""&amp;DG$1&amp;""'!$D$4:$D$66"")=DG$2),$F$3:$BP$3,$F72:$BP72)))"),0.0)</f>
        <v>0</v>
      </c>
      <c r="DH72" s="207" t="str">
        <f>IFERROR(__xludf.DUMMYFUNCTION("IF(OR(DG72&gt;$BR72+$BS72*$BS$2,DG72&lt;$BR72-$BS72*$BS$2),AVEDEV(ARRAYFORMULA(XLOOKUP(FILTER(INDIRECT(""'""&amp;DG$1&amp;""'!$C$4:$C$66""),INDIRECT(""'""&amp;DG$1&amp;""'!$D$4:$D$66"")=DG$2),$F$3:$BP$3,$F72:$BP72))),"""")"),"")</f>
        <v/>
      </c>
      <c r="DI72" s="252"/>
    </row>
    <row r="73">
      <c r="A73" s="2"/>
      <c r="B73" s="204" t="s">
        <v>507</v>
      </c>
      <c r="C73" s="204" t="s">
        <v>515</v>
      </c>
      <c r="D73" s="205" t="b">
        <f>VLOOKUP(C73,'Feature Set List'!A70:C246,2,0)</f>
        <v>1</v>
      </c>
      <c r="E73" s="205" t="b">
        <f>VLOOKUP(C73,'Feature Set List'!A70:C246,3,0)</f>
        <v>1</v>
      </c>
      <c r="F73" s="205">
        <v>-0.9686305</v>
      </c>
      <c r="G73" s="205">
        <v>-0.2096404</v>
      </c>
      <c r="H73" s="205">
        <v>-2.4452946</v>
      </c>
      <c r="I73" s="205">
        <v>0.42387146</v>
      </c>
      <c r="J73" s="205">
        <v>-0.5768936</v>
      </c>
      <c r="K73" s="205">
        <v>0.30145371</v>
      </c>
      <c r="L73" s="205">
        <v>-1.2593726</v>
      </c>
      <c r="M73" s="205">
        <v>2.05508799</v>
      </c>
      <c r="N73" s="205">
        <v>0.2723795</v>
      </c>
      <c r="O73" s="205">
        <v>-0.2280031</v>
      </c>
      <c r="P73" s="205">
        <v>0.12700842</v>
      </c>
      <c r="Q73" s="205">
        <v>1.36495792</v>
      </c>
      <c r="R73" s="205">
        <v>0.5386381</v>
      </c>
      <c r="S73" s="205">
        <v>0.2448355</v>
      </c>
      <c r="T73" s="205">
        <v>3.78729916</v>
      </c>
      <c r="U73" s="205">
        <v>-0.0091813</v>
      </c>
      <c r="V73" s="205">
        <v>0.2448355</v>
      </c>
      <c r="W73" s="205">
        <v>3.00382555</v>
      </c>
      <c r="X73" s="205">
        <v>-0.2586075</v>
      </c>
      <c r="Y73" s="205">
        <v>0.1958684</v>
      </c>
      <c r="Z73" s="205">
        <v>0.74674828</v>
      </c>
      <c r="AA73" s="205">
        <v>-0.1453711</v>
      </c>
      <c r="AB73" s="205">
        <v>0.31063504</v>
      </c>
      <c r="AC73" s="205">
        <v>-0.0979342</v>
      </c>
      <c r="AD73" s="205">
        <v>1.47513389</v>
      </c>
      <c r="AE73" s="205">
        <v>0.31828615</v>
      </c>
      <c r="AF73" s="205">
        <v>-0.3917368</v>
      </c>
      <c r="AG73" s="205">
        <v>1.08951798</v>
      </c>
      <c r="AH73" s="205">
        <v>0.0</v>
      </c>
      <c r="AI73" s="205">
        <v>-1.2609028</v>
      </c>
      <c r="AJ73" s="205">
        <v>-0.5876052</v>
      </c>
      <c r="AK73" s="205">
        <v>-0.1545524</v>
      </c>
      <c r="AL73" s="205">
        <v>0.63198164</v>
      </c>
      <c r="AM73" s="205">
        <v>0.07192043</v>
      </c>
      <c r="AN73" s="205">
        <v>-0.558531</v>
      </c>
      <c r="AO73" s="205">
        <v>0.7620505</v>
      </c>
      <c r="AP73" s="205">
        <v>-0.7008416</v>
      </c>
      <c r="AQ73" s="205">
        <v>-0.5677123</v>
      </c>
      <c r="AR73" s="205">
        <v>-0.4560061</v>
      </c>
      <c r="AS73" s="205">
        <v>0.03060444</v>
      </c>
      <c r="AT73" s="205">
        <v>0.95026779</v>
      </c>
      <c r="AU73" s="205">
        <v>-0.5554705</v>
      </c>
      <c r="AV73" s="205">
        <v>0.61361897</v>
      </c>
      <c r="AW73" s="205">
        <v>0.73756695</v>
      </c>
      <c r="AX73" s="205">
        <v>-0.123948</v>
      </c>
      <c r="AY73" s="205">
        <v>0.04743688</v>
      </c>
      <c r="AZ73" s="205">
        <v>-0.2524866</v>
      </c>
      <c r="BA73" s="205">
        <v>1.00229533</v>
      </c>
      <c r="BB73" s="205">
        <v>-0.3091048</v>
      </c>
      <c r="BC73" s="205">
        <v>-0.0657995</v>
      </c>
      <c r="BD73" s="205">
        <v>0.95179801</v>
      </c>
      <c r="BE73" s="205">
        <v>-0.5768936</v>
      </c>
      <c r="BF73" s="205">
        <v>-0.0566182</v>
      </c>
      <c r="BG73" s="205">
        <v>-1.3986228</v>
      </c>
      <c r="BH73" s="205">
        <v>0.21270084</v>
      </c>
      <c r="BI73" s="205">
        <v>-0.558531</v>
      </c>
      <c r="BJ73" s="205">
        <v>0.24330528</v>
      </c>
      <c r="BK73" s="205">
        <v>4.2938026</v>
      </c>
      <c r="BL73" s="205">
        <v>0.67635807</v>
      </c>
      <c r="BM73" s="205">
        <v>-0.0780413</v>
      </c>
      <c r="BN73" s="205">
        <v>-0.8538638</v>
      </c>
      <c r="BO73" s="205">
        <v>-0.6074981</v>
      </c>
      <c r="BP73" s="205">
        <v>-0.1606733</v>
      </c>
      <c r="BQ73" s="206"/>
      <c r="BR73" s="250">
        <f t="shared" si="1"/>
        <v>0.1785987568</v>
      </c>
      <c r="BS73" s="250">
        <f t="shared" si="2"/>
        <v>0.7183159897</v>
      </c>
      <c r="BT73" s="206"/>
      <c r="BU73" s="207">
        <f>IFERROR(__xludf.DUMMYFUNCTION("AVERAGE(ARRAYFORMULA(XLOOKUP(FILTER(INDIRECT(""'""&amp;BU$1&amp;""'!$C$4:$C$66""),INDIRECT(""'""&amp;BU$1&amp;""'!$D$4:$D$66"")=BU$2),$F$3:$BP$3,$F73:$BP73)))"),1.7652202357142854)</f>
        <v>1.765220236</v>
      </c>
      <c r="BV73" s="207">
        <f>IFERROR(__xludf.DUMMYFUNCTION("IF(OR(BU73&gt;$BR73+$BS73*$BS$2,BU73&lt;$BR73-$BS73*$BS$2),AVEDEV(ARRAYFORMULA(XLOOKUP(FILTER(INDIRECT(""'""&amp;BU$1&amp;""'!$C$4:$C$66""),INDIRECT(""'""&amp;BU$1&amp;""'!$D$4:$D$66"")=BU$2),$F$3:$BP$3,$F73:$BP73))),"""")"),1.654076172244898)</f>
        <v>1.654076172</v>
      </c>
      <c r="BW73" s="207">
        <f>IFERROR(__xludf.DUMMYFUNCTION("AVERAGE(ARRAYFORMULA(XLOOKUP(FILTER(INDIRECT(""'""&amp;BW$1&amp;""'!$C$4:$C$66""),INDIRECT(""'""&amp;BW$1&amp;""'!$D$4:$D$66"")=BW$2),$F$3:$BP$3,$F73:$BP73)))"),0.03785478166666667)</f>
        <v>0.03785478167</v>
      </c>
      <c r="BX73" s="207" t="str">
        <f>IFERROR(__xludf.DUMMYFUNCTION("IF(OR(BW73&gt;$BR73+$BS73*$BS$2,BW73&lt;$BR73-$BS73*$BS$2),AVEDEV(ARRAYFORMULA(XLOOKUP(FILTER(INDIRECT(""'""&amp;BW$1&amp;""'!$C$4:$C$66""),INDIRECT(""'""&amp;BW$1&amp;""'!$D$4:$D$66"")=BW$2),$F$3:$BP$3,$F73:$BP73))),"""")"),"")</f>
        <v/>
      </c>
      <c r="BY73" s="207">
        <f>IFERROR(__xludf.DUMMYFUNCTION("AVERAGE(ARRAYFORMULA(XLOOKUP(FILTER(INDIRECT(""'""&amp;BY$1&amp;""'!$C$4:$C$66""),INDIRECT(""'""&amp;BY$1&amp;""'!$D$4:$D$66"")=BY$2),$F$3:$BP$3,$F73:$BP73)))"),-0.10308131727272726)</f>
        <v>-0.1030813173</v>
      </c>
      <c r="BZ73" s="207" t="str">
        <f>IFERROR(__xludf.DUMMYFUNCTION("IF(OR(BY73&gt;$BR73+$BS73*$BS$2,BY73&lt;$BR73-$BS73*$BS$2),AVEDEV(ARRAYFORMULA(XLOOKUP(FILTER(INDIRECT(""'""&amp;BY$1&amp;""'!$C$4:$C$66""),INDIRECT(""'""&amp;BY$1&amp;""'!$D$4:$D$66"")=BY$2),$F$3:$BP$3,$F73:$BP73))),"""")"),"")</f>
        <v/>
      </c>
      <c r="CA73" s="209"/>
      <c r="CB73" s="207">
        <f>IFERROR(__xludf.DUMMYFUNCTION("AVERAGE(ARRAYFORMULA(XLOOKUP(FILTER(INDIRECT(""'""&amp;CB$1&amp;""'!$C$4:$C$66""),INDIRECT(""'""&amp;CB$1&amp;""'!$D$4:$D$66"")=CB$2),$F$3:$BP$3,$F73:$BP73)))"),0.4435730775000001)</f>
        <v>0.4435730775</v>
      </c>
      <c r="CC73" s="207" t="str">
        <f>IFERROR(__xludf.DUMMYFUNCTION("IF(OR(CB73&gt;$BR73+$BS73*$BS$2,CB73&lt;$BR73-$BS73*$BS$2),AVEDEV(ARRAYFORMULA(XLOOKUP(FILTER(INDIRECT(""'""&amp;CB$1&amp;""'!$C$4:$C$66""),INDIRECT(""'""&amp;CB$1&amp;""'!$D$4:$D$66"")=CB$2),$F$3:$BP$3,$F73:$BP73))),"""")"),"")</f>
        <v/>
      </c>
      <c r="CD73" s="207">
        <f>IFERROR(__xludf.DUMMYFUNCTION("AVERAGE(ARRAYFORMULA(XLOOKUP(FILTER(INDIRECT(""'""&amp;CD$1&amp;""'!$C$4:$C$66""),INDIRECT(""'""&amp;CD$1&amp;""'!$D$4:$D$66"")=CD$2),$F$3:$BP$3,$F73:$BP73)))"),0.022607796129032277)</f>
        <v>0.02260779613</v>
      </c>
      <c r="CE73" s="207" t="str">
        <f>IFERROR(__xludf.DUMMYFUNCTION("IF(OR(CD73&gt;$BR73+$BS73*$BS$2,CD73&lt;$BR73-$BS73*$BS$2),AVEDEV(ARRAYFORMULA(XLOOKUP(FILTER(INDIRECT(""'""&amp;CD$1&amp;""'!$C$4:$C$66""),INDIRECT(""'""&amp;CD$1&amp;""'!$D$4:$D$66"")=CD$2),$F$3:$BP$3,$F73:$BP73))),"""")"),"")</f>
        <v/>
      </c>
      <c r="CF73" s="207">
        <f>IFERROR(__xludf.DUMMYFUNCTION("AVERAGE(ARRAYFORMULA(XLOOKUP(FILTER(INDIRECT(""'""&amp;CF$1&amp;""'!$C$4:$C$66""),INDIRECT(""'""&amp;CF$1&amp;""'!$D$4:$D$66"")=CF$2),$F$3:$BP$3,$F73:$BP73)))"),-0.1496557)</f>
        <v>-0.1496557</v>
      </c>
      <c r="CG73" s="207" t="str">
        <f>IFERROR(__xludf.DUMMYFUNCTION("IF(OR(CF73&gt;$BR73+$BS73*$BS$2,CF73&lt;$BR73-$BS73*$BS$2),AVEDEV(ARRAYFORMULA(XLOOKUP(FILTER(INDIRECT(""'""&amp;CF$1&amp;""'!$C$4:$C$66""),INDIRECT(""'""&amp;CF$1&amp;""'!$D$4:$D$66"")=CF$2),$F$3:$BP$3,$F73:$BP73))),"""")"),"")</f>
        <v/>
      </c>
      <c r="CH73" s="206"/>
      <c r="CI73" s="251">
        <f>IFERROR(__xludf.DUMMYFUNCTION("AVERAGE(ARRAYFORMULA(XLOOKUP(FILTER(INDIRECT(""'""&amp;CI$1&amp;""'!$C$4:$C$66""),INDIRECT(""'""&amp;CI$1&amp;""'!$D$4:$D$66"")=CI$2),$F$3:$BP$3,$F73:$BP73)))"),0.8601887226666666)</f>
        <v>0.8601887227</v>
      </c>
      <c r="CJ73" s="207" t="str">
        <f>IFERROR(__xludf.DUMMYFUNCTION("IF(OR(CI73&gt;$BR73+$BS73*$BS$2,CI73&lt;$BR73-$BS73*$BS$2),AVEDEV(ARRAYFORMULA(XLOOKUP(FILTER(INDIRECT(""'""&amp;CI$1&amp;""'!$C$4:$C$66""),INDIRECT(""'""&amp;CI$1&amp;""'!$D$4:$D$66"")=CI$2),$F$3:$BP$3,$F73:$BP73))),"""")"),"")</f>
        <v/>
      </c>
      <c r="CK73" s="251">
        <f>IFERROR(__xludf.DUMMYFUNCTION("AVERAGE(ARRAYFORMULA(XLOOKUP(FILTER(INDIRECT(""'""&amp;CK$1&amp;""'!$C$4:$C$66""),INDIRECT(""'""&amp;CK$1&amp;""'!$D$4:$D$66"")=CK$2),$F$3:$BP$3,$F73:$BP73)))"),-0.09322581923076924)</f>
        <v>-0.09322581923</v>
      </c>
      <c r="CL73" s="207" t="str">
        <f>IFERROR(__xludf.DUMMYFUNCTION("IF(OR(CK73&gt;$BR73+$BS73*$BS$2,CK73&lt;$BR73-$BS73*$BS$2),AVEDEV(ARRAYFORMULA(XLOOKUP(FILTER(INDIRECT(""'""&amp;CK$1&amp;""'!$C$4:$C$66""),INDIRECT(""'""&amp;CK$1&amp;""'!$D$4:$D$66"")=CK$2),$F$3:$BP$3,$F73:$BP73))),"""")"),"")</f>
        <v/>
      </c>
      <c r="CM73" s="251">
        <f>IFERROR(__xludf.DUMMYFUNCTION("AVERAGE(ARRAYFORMULA(XLOOKUP(FILTER(INDIRECT(""'""&amp;CM$1&amp;""'!$C$4:$C$66""),INDIRECT(""'""&amp;CM$1&amp;""'!$D$4:$D$66"")=CM$2),$F$3:$BP$3,$F73:$BP73)))"),-0.1496557)</f>
        <v>-0.1496557</v>
      </c>
      <c r="CN73" s="207" t="str">
        <f>IFERROR(__xludf.DUMMYFUNCTION("IF(OR(CM73&gt;$BR73+$BS73*$BS$2,CM73&lt;$BR73-$BS73*$BS$2),AVEDEV(ARRAYFORMULA(XLOOKUP(FILTER(INDIRECT(""'""&amp;CM$1&amp;""'!$C$4:$C$66""),INDIRECT(""'""&amp;CM$1&amp;""'!$D$4:$D$66"")=CM$2),$F$3:$BP$3,$F73:$BP73))),"""")"),"")</f>
        <v/>
      </c>
      <c r="CO73" s="252"/>
      <c r="CP73" s="251">
        <f>IFERROR(__xludf.DUMMYFUNCTION("AVERAGE(ARRAYFORMULA(XLOOKUP(FILTER(INDIRECT(""'""&amp;CP$1&amp;""'!$C$4:$C$66""),INDIRECT(""'""&amp;CP$1&amp;""'!$D$4:$D$66"")=CP$2),$F$3:$BP$3,$F73:$BP73)))"),0.21018691357142857)</f>
        <v>0.2101869136</v>
      </c>
      <c r="CQ73" s="207" t="str">
        <f>IFERROR(__xludf.DUMMYFUNCTION("IF(OR(CP73&gt;$BR73+$BS73*$BS$2,CP73&lt;$BR73-$BS73*$BS$2),AVEDEV(ARRAYFORMULA(XLOOKUP(FILTER(INDIRECT(""'""&amp;CP$1&amp;""'!$C$4:$C$66""),INDIRECT(""'""&amp;CP$1&amp;""'!$D$4:$D$66"")=CP$2),$F$3:$BP$3,$F73:$BP73))),"""")"),"")</f>
        <v/>
      </c>
      <c r="CR73" s="251">
        <f>IFERROR(__xludf.DUMMYFUNCTION("AVERAGE(ARRAYFORMULA(XLOOKUP(FILTER(INDIRECT(""'""&amp;CR$1&amp;""'!$C$4:$C$66""),INDIRECT(""'""&amp;CR$1&amp;""'!$D$4:$D$66"")=CR$2),$F$3:$BP$3,$F73:$BP73)))"),-0.2064099377777778)</f>
        <v>-0.2064099378</v>
      </c>
      <c r="CS73" s="207" t="str">
        <f>IFERROR(__xludf.DUMMYFUNCTION("IF(OR(CR73&gt;$BR73+$BS73*$BS$2,CR73&lt;$BR73-$BS73*$BS$2),AVEDEV(ARRAYFORMULA(XLOOKUP(FILTER(INDIRECT(""'""&amp;CR$1&amp;""'!$C$4:$C$66""),INDIRECT(""'""&amp;CR$1&amp;""'!$D$4:$D$66"")=CR$2),$F$3:$BP$3,$F73:$BP73))),"""")"),"")</f>
        <v/>
      </c>
      <c r="CT73" s="251">
        <f>IFERROR(__xludf.DUMMYFUNCTION("AVERAGE(ARRAYFORMULA(XLOOKUP(FILTER(INDIRECT(""'""&amp;CT$1&amp;""'!$C$4:$C$66""),INDIRECT(""'""&amp;CT$1&amp;""'!$D$4:$D$66"")=CT$2),$F$3:$BP$3,$F73:$BP73)))"),0.16220352363636364)</f>
        <v>0.1622035236</v>
      </c>
      <c r="CU73" s="207" t="str">
        <f>IFERROR(__xludf.DUMMYFUNCTION("IF(OR(CT73&gt;$BR73+$BS73*$BS$2,CT73&lt;$BR73-$BS73*$BS$2),AVEDEV(ARRAYFORMULA(XLOOKUP(FILTER(INDIRECT(""'""&amp;CT$1&amp;""'!$C$4:$C$66""),INDIRECT(""'""&amp;CT$1&amp;""'!$D$4:$D$66"")=CT$2),$F$3:$BP$3,$F73:$BP73))),"""")"),"")</f>
        <v/>
      </c>
      <c r="CV73" s="251">
        <f>IFERROR(__xludf.DUMMYFUNCTION("AVERAGE(ARRAYFORMULA(XLOOKUP(FILTER(INDIRECT(""'""&amp;CV$1&amp;""'!$C$4:$C$66""),INDIRECT(""'""&amp;CV$1&amp;""'!$D$4:$D$66"")=CV$2),$F$3:$BP$3,$F73:$BP73)))"),-0.7482785000000001)</f>
        <v>-0.7482785</v>
      </c>
      <c r="CW73" s="207">
        <f>IFERROR(__xludf.DUMMYFUNCTION("IF(OR(CV73&gt;$BR73+$BS73*$BS$2,CV73&lt;$BR73-$BS73*$BS$2),AVEDEV(ARRAYFORMULA(XLOOKUP(FILTER(INDIRECT(""'""&amp;CV$1&amp;""'!$C$4:$C$66""),INDIRECT(""'""&amp;CV$1&amp;""'!$D$4:$D$66"")=CV$2),$F$3:$BP$3,$F73:$BP73))),"""")"),0.6503443)</f>
        <v>0.6503443</v>
      </c>
      <c r="CX73" s="251">
        <f>IFERROR(__xludf.DUMMYFUNCTION("AVERAGE(ARRAYFORMULA(XLOOKUP(FILTER(INDIRECT(""'""&amp;CX$1&amp;""'!$C$4:$C$66""),INDIRECT(""'""&amp;CX$1&amp;""'!$D$4:$D$66"")=CX$2),$F$3:$BP$3,$F73:$BP73)))"),-0.04000436714285715)</f>
        <v>-0.04000436714</v>
      </c>
      <c r="CY73" s="207" t="str">
        <f>IFERROR(__xludf.DUMMYFUNCTION("IF(OR(CX73&gt;$BR73+$BS73*$BS$2,CX73&lt;$BR73-$BS73*$BS$2),AVEDEV(ARRAYFORMULA(XLOOKUP(FILTER(INDIRECT(""'""&amp;CX$1&amp;""'!$C$4:$C$66""),INDIRECT(""'""&amp;CX$1&amp;""'!$D$4:$D$66"")=CX$2),$F$3:$BP$3,$F73:$BP73))),"""")"),"")</f>
        <v/>
      </c>
      <c r="CZ73" s="252"/>
      <c r="DA73" s="251">
        <f>IFERROR(__xludf.DUMMYFUNCTION("AVERAGE(ARRAYFORMULA(XLOOKUP(FILTER(INDIRECT(""'""&amp;DA$1&amp;""'!$C$4:$C$66""),INDIRECT(""'""&amp;DA$1&amp;""'!$D$4:$D$66"")=DA$2),$F$3:$BP$3,$F73:$BP73)))"),0.15480745199999998)</f>
        <v>0.154807452</v>
      </c>
      <c r="DB73" s="207" t="str">
        <f>IFERROR(__xludf.DUMMYFUNCTION("IF(OR(DA73&gt;$BR73+$BS73*$BS$2,DA73&lt;$BR73-$BS73*$BS$2),AVEDEV(ARRAYFORMULA(XLOOKUP(FILTER(INDIRECT(""'""&amp;DA$1&amp;""'!$C$4:$C$66""),INDIRECT(""'""&amp;DA$1&amp;""'!$D$4:$D$66"")=DA$2),$F$3:$BP$3,$F73:$BP73))),"""")"),"")</f>
        <v/>
      </c>
      <c r="DC73" s="251">
        <f>IFERROR(__xludf.DUMMYFUNCTION("AVERAGE(ARRAYFORMULA(XLOOKUP(FILTER(INDIRECT(""'""&amp;DC$1&amp;""'!$C$4:$C$66""),INDIRECT(""'""&amp;DC$1&amp;""'!$D$4:$D$66"")=DC$2),$F$3:$BP$3,$F73:$BP73)))"),-0.19960894666666668)</f>
        <v>-0.1996089467</v>
      </c>
      <c r="DD73" s="207" t="str">
        <f>IFERROR(__xludf.DUMMYFUNCTION("IF(OR(DC73&gt;$BR73+$BS73*$BS$2,DC73&lt;$BR73-$BS73*$BS$2),AVEDEV(ARRAYFORMULA(XLOOKUP(FILTER(INDIRECT(""'""&amp;DC$1&amp;""'!$C$4:$C$66""),INDIRECT(""'""&amp;DC$1&amp;""'!$D$4:$D$66"")=DC$2),$F$3:$BP$3,$F73:$BP73))),"""")"),"")</f>
        <v/>
      </c>
      <c r="DE73" s="251">
        <f>IFERROR(__xludf.DUMMYFUNCTION("AVERAGE(ARRAYFORMULA(XLOOKUP(FILTER(INDIRECT(""'""&amp;DE$1&amp;""'!$C$4:$C$66""),INDIRECT(""'""&amp;DE$1&amp;""'!$D$4:$D$66"")=DE$2),$F$3:$BP$3,$F73:$BP73)))"),0.6715761299999999)</f>
        <v>0.67157613</v>
      </c>
      <c r="DF73" s="207" t="str">
        <f>IFERROR(__xludf.DUMMYFUNCTION("IF(OR(DE73&gt;$BR73+$BS73*$BS$2,DE73&lt;$BR73-$BS73*$BS$2),AVEDEV(ARRAYFORMULA(XLOOKUP(FILTER(INDIRECT(""'""&amp;DE$1&amp;""'!$C$4:$C$66""),INDIRECT(""'""&amp;DE$1&amp;""'!$D$4:$D$66"")=DE$2),$F$3:$BP$3,$F73:$BP73))),"""")"),"")</f>
        <v/>
      </c>
      <c r="DG73" s="251">
        <f>IFERROR(__xludf.DUMMYFUNCTION("AVERAGE(ARRAYFORMULA(XLOOKUP(FILTER(INDIRECT(""'""&amp;DG$1&amp;""'!$C$4:$C$66""),INDIRECT(""'""&amp;DG$1&amp;""'!$D$4:$D$66"")=DG$2),$F$3:$BP$3,$F73:$BP73)))"),-0.17546543777777776)</f>
        <v>-0.1754654378</v>
      </c>
      <c r="DH73" s="207" t="str">
        <f>IFERROR(__xludf.DUMMYFUNCTION("IF(OR(DG73&gt;$BR73+$BS73*$BS$2,DG73&lt;$BR73-$BS73*$BS$2),AVEDEV(ARRAYFORMULA(XLOOKUP(FILTER(INDIRECT(""'""&amp;DG$1&amp;""'!$C$4:$C$66""),INDIRECT(""'""&amp;DG$1&amp;""'!$D$4:$D$66"")=DG$2),$F$3:$BP$3,$F73:$BP73))),"""")"),"")</f>
        <v/>
      </c>
      <c r="DI73" s="252"/>
    </row>
    <row r="74">
      <c r="A74" s="2"/>
      <c r="B74" s="204" t="s">
        <v>507</v>
      </c>
      <c r="C74" s="204" t="s">
        <v>516</v>
      </c>
      <c r="D74" s="205" t="b">
        <f>VLOOKUP(C74,'Feature Set List'!A71:C246,2,0)</f>
        <v>1</v>
      </c>
      <c r="E74" s="205" t="b">
        <f>VLOOKUP(C74,'Feature Set List'!A71:C246,3,0)</f>
        <v>1</v>
      </c>
      <c r="F74" s="205">
        <v>0.42772861</v>
      </c>
      <c r="G74" s="205">
        <v>0.02654867</v>
      </c>
      <c r="H74" s="205">
        <v>-0.7020649</v>
      </c>
      <c r="I74" s="205">
        <v>-0.3569322</v>
      </c>
      <c r="J74" s="205">
        <v>-0.0884956</v>
      </c>
      <c r="K74" s="205">
        <v>0.07374631</v>
      </c>
      <c r="L74" s="205">
        <v>0.68141593</v>
      </c>
      <c r="M74" s="205">
        <v>0.69911504</v>
      </c>
      <c r="N74" s="205">
        <v>-0.2477876</v>
      </c>
      <c r="O74" s="205">
        <v>0.48672566</v>
      </c>
      <c r="P74" s="205">
        <v>-0.0324484</v>
      </c>
      <c r="Q74" s="205">
        <v>0.94100295</v>
      </c>
      <c r="R74" s="205">
        <v>0.75811209</v>
      </c>
      <c r="S74" s="205">
        <v>0.53687316</v>
      </c>
      <c r="T74" s="205">
        <v>-1.0619469</v>
      </c>
      <c r="U74" s="205">
        <v>-0.0884956</v>
      </c>
      <c r="V74" s="205">
        <v>-0.3834808</v>
      </c>
      <c r="W74" s="205">
        <v>3.10324484</v>
      </c>
      <c r="X74" s="205">
        <v>-0.1858407</v>
      </c>
      <c r="Y74" s="205">
        <v>0.53982301</v>
      </c>
      <c r="Z74" s="205">
        <v>3.43952802</v>
      </c>
      <c r="AA74" s="205">
        <v>1.68731563</v>
      </c>
      <c r="AB74" s="205">
        <v>0.43657817</v>
      </c>
      <c r="AC74" s="205">
        <v>-0.300885</v>
      </c>
      <c r="AD74" s="205">
        <v>0.93510324</v>
      </c>
      <c r="AE74" s="205">
        <v>0.09734513</v>
      </c>
      <c r="AF74" s="205">
        <v>1.01474926</v>
      </c>
      <c r="AG74" s="205">
        <v>1.33923304</v>
      </c>
      <c r="AH74" s="205">
        <v>-0.7699115</v>
      </c>
      <c r="AI74" s="205">
        <v>0.89380531</v>
      </c>
      <c r="AJ74" s="205">
        <v>-0.3746313</v>
      </c>
      <c r="AK74" s="205">
        <v>-0.7020649</v>
      </c>
      <c r="AL74" s="205">
        <v>-0.5427729</v>
      </c>
      <c r="AM74" s="205">
        <v>-0.1297935</v>
      </c>
      <c r="AN74" s="205">
        <v>1.25663717</v>
      </c>
      <c r="AO74" s="205">
        <v>-0.1533923</v>
      </c>
      <c r="AP74" s="205">
        <v>0.71386431</v>
      </c>
      <c r="AQ74" s="205">
        <v>0.59292035</v>
      </c>
      <c r="AR74" s="205">
        <v>0.7640118</v>
      </c>
      <c r="AS74" s="205">
        <v>0.63126844</v>
      </c>
      <c r="AT74" s="205">
        <v>-0.1917404</v>
      </c>
      <c r="AU74" s="205">
        <v>-0.359882</v>
      </c>
      <c r="AV74" s="205">
        <v>0.33333333</v>
      </c>
      <c r="AW74" s="205">
        <v>0.23303835</v>
      </c>
      <c r="AX74" s="205">
        <v>-0.0678466</v>
      </c>
      <c r="AY74" s="205">
        <v>1.51622419</v>
      </c>
      <c r="AZ74" s="205">
        <v>-0.4572271</v>
      </c>
      <c r="BA74" s="205">
        <v>0.88495575</v>
      </c>
      <c r="BB74" s="205">
        <v>0.0</v>
      </c>
      <c r="BC74" s="205">
        <v>-0.5988201</v>
      </c>
      <c r="BD74" s="205">
        <v>-0.5044248</v>
      </c>
      <c r="BE74" s="205">
        <v>-0.719764</v>
      </c>
      <c r="BF74" s="205">
        <v>-0.0029499</v>
      </c>
      <c r="BG74" s="205">
        <v>0.12684366</v>
      </c>
      <c r="BH74" s="205">
        <v>-0.1032448</v>
      </c>
      <c r="BI74" s="205">
        <v>-0.120944</v>
      </c>
      <c r="BJ74" s="205">
        <v>-0.1268437</v>
      </c>
      <c r="BK74" s="205">
        <v>-2.0283186</v>
      </c>
      <c r="BL74" s="205">
        <v>5.38348083</v>
      </c>
      <c r="BM74" s="205">
        <v>-0.0265487</v>
      </c>
      <c r="BN74" s="205">
        <v>0.35988201</v>
      </c>
      <c r="BO74" s="205">
        <v>-0.3185841</v>
      </c>
      <c r="BP74" s="205">
        <v>-0.3923304</v>
      </c>
      <c r="BQ74" s="206"/>
      <c r="BR74" s="250">
        <f t="shared" si="1"/>
        <v>0.2980006502</v>
      </c>
      <c r="BS74" s="250">
        <f t="shared" si="2"/>
        <v>0.7177433408</v>
      </c>
      <c r="BT74" s="206"/>
      <c r="BU74" s="207">
        <f>IFERROR(__xludf.DUMMYFUNCTION("AVERAGE(ARRAYFORMULA(XLOOKUP(FILTER(INDIRECT(""'""&amp;BU$1&amp;""'!$C$4:$C$66""),INDIRECT(""'""&amp;BU$1&amp;""'!$D$4:$D$66"")=BU$2),$F$3:$BP$3,$F74:$BP74)))"),0.22604297999999998)</f>
        <v>0.22604298</v>
      </c>
      <c r="BV74" s="207" t="str">
        <f>IFERROR(__xludf.DUMMYFUNCTION("IF(OR(BU74&gt;$BR74+$BS74*$BS$2,BU74&lt;$BR74-$BS74*$BS$2),AVEDEV(ARRAYFORMULA(XLOOKUP(FILTER(INDIRECT(""'""&amp;BU$1&amp;""'!$C$4:$C$66""),INDIRECT(""'""&amp;BU$1&amp;""'!$D$4:$D$66"")=BU$2),$F$3:$BP$3,$F74:$BP74))),"""")"),"")</f>
        <v/>
      </c>
      <c r="BW74" s="207">
        <f>IFERROR(__xludf.DUMMYFUNCTION("AVERAGE(ARRAYFORMULA(XLOOKUP(FILTER(INDIRECT(""'""&amp;BW$1&amp;""'!$C$4:$C$66""),INDIRECT(""'""&amp;BW$1&amp;""'!$D$4:$D$66"")=BW$2),$F$3:$BP$3,$F74:$BP74)))"),0.2501755780952381)</f>
        <v>0.2501755781</v>
      </c>
      <c r="BX74" s="207" t="str">
        <f>IFERROR(__xludf.DUMMYFUNCTION("IF(OR(BW74&gt;$BR74+$BS74*$BS$2,BW74&lt;$BR74-$BS74*$BS$2),AVEDEV(ARRAYFORMULA(XLOOKUP(FILTER(INDIRECT(""'""&amp;BW$1&amp;""'!$C$4:$C$66""),INDIRECT(""'""&amp;BW$1&amp;""'!$D$4:$D$66"")=BW$2),$F$3:$BP$3,$F74:$BP74))),"""")"),"")</f>
        <v/>
      </c>
      <c r="BY74" s="207">
        <f>IFERROR(__xludf.DUMMYFUNCTION("AVERAGE(ARRAYFORMULA(XLOOKUP(FILTER(INDIRECT(""'""&amp;BY$1&amp;""'!$C$4:$C$66""),INDIRECT(""'""&amp;BY$1&amp;""'!$D$4:$D$66"")=BY$2),$F$3:$BP$3,$F74:$BP74)))"),0.7433628381818181)</f>
        <v>0.7433628382</v>
      </c>
      <c r="BZ74" s="207" t="str">
        <f>IFERROR(__xludf.DUMMYFUNCTION("IF(OR(BY74&gt;$BR74+$BS74*$BS$2,BY74&lt;$BR74-$BS74*$BS$2),AVEDEV(ARRAYFORMULA(XLOOKUP(FILTER(INDIRECT(""'""&amp;BY$1&amp;""'!$C$4:$C$66""),INDIRECT(""'""&amp;BY$1&amp;""'!$D$4:$D$66"")=BY$2),$F$3:$BP$3,$F74:$BP74))),"""")"),"")</f>
        <v/>
      </c>
      <c r="CA74" s="209"/>
      <c r="CB74" s="207">
        <f>IFERROR(__xludf.DUMMYFUNCTION("AVERAGE(ARRAYFORMULA(XLOOKUP(FILTER(INDIRECT(""'""&amp;CB$1&amp;""'!$C$4:$C$66""),INDIRECT(""'""&amp;CB$1&amp;""'!$D$4:$D$66"")=CB$2),$F$3:$BP$3,$F74:$BP74)))"),0.10158554000000002)</f>
        <v>0.10158554</v>
      </c>
      <c r="CC74" s="207" t="str">
        <f>IFERROR(__xludf.DUMMYFUNCTION("IF(OR(CB74&gt;$BR74+$BS74*$BS$2,CB74&lt;$BR74-$BS74*$BS$2),AVEDEV(ARRAYFORMULA(XLOOKUP(FILTER(INDIRECT(""'""&amp;CB$1&amp;""'!$C$4:$C$66""),INDIRECT(""'""&amp;CB$1&amp;""'!$D$4:$D$66"")=CB$2),$F$3:$BP$3,$F74:$BP74))),"""")"),"")</f>
        <v/>
      </c>
      <c r="CD74" s="207">
        <f>IFERROR(__xludf.DUMMYFUNCTION("AVERAGE(ARRAYFORMULA(XLOOKUP(FILTER(INDIRECT(""'""&amp;CD$1&amp;""'!$C$4:$C$66""),INDIRECT(""'""&amp;CD$1&amp;""'!$D$4:$D$66"")=CD$2),$F$3:$BP$3,$F74:$BP74)))"),0.25758872709677433)</f>
        <v>0.2575887271</v>
      </c>
      <c r="CE74" s="207" t="str">
        <f>IFERROR(__xludf.DUMMYFUNCTION("IF(OR(CD74&gt;$BR74+$BS74*$BS$2,CD74&lt;$BR74-$BS74*$BS$2),AVEDEV(ARRAYFORMULA(XLOOKUP(FILTER(INDIRECT(""'""&amp;CD$1&amp;""'!$C$4:$C$66""),INDIRECT(""'""&amp;CD$1&amp;""'!$D$4:$D$66"")=CD$2),$F$3:$BP$3,$F74:$BP74))),"""")"),"")</f>
        <v/>
      </c>
      <c r="CF74" s="207">
        <f>IFERROR(__xludf.DUMMYFUNCTION("AVERAGE(ARRAYFORMULA(XLOOKUP(FILTER(INDIRECT(""'""&amp;CF$1&amp;""'!$C$4:$C$66""),INDIRECT(""'""&amp;CF$1&amp;""'!$D$4:$D$66"")=CF$2),$F$3:$BP$3,$F74:$BP74)))"),0.26548672399999995)</f>
        <v>0.265486724</v>
      </c>
      <c r="CG74" s="207" t="str">
        <f>IFERROR(__xludf.DUMMYFUNCTION("IF(OR(CF74&gt;$BR74+$BS74*$BS$2,CF74&lt;$BR74-$BS74*$BS$2),AVEDEV(ARRAYFORMULA(XLOOKUP(FILTER(INDIRECT(""'""&amp;CF$1&amp;""'!$C$4:$C$66""),INDIRECT(""'""&amp;CF$1&amp;""'!$D$4:$D$66"")=CF$2),$F$3:$BP$3,$F74:$BP74))),"""")"),"")</f>
        <v/>
      </c>
      <c r="CH74" s="206"/>
      <c r="CI74" s="251">
        <f>IFERROR(__xludf.DUMMYFUNCTION("AVERAGE(ARRAYFORMULA(XLOOKUP(FILTER(INDIRECT(""'""&amp;CI$1&amp;""'!$C$4:$C$66""),INDIRECT(""'""&amp;CI$1&amp;""'!$D$4:$D$66"")=CI$2),$F$3:$BP$3,$F74:$BP74)))"),1.1716814146666665)</f>
        <v>1.171681415</v>
      </c>
      <c r="CJ74" s="207">
        <f>IFERROR(__xludf.DUMMYFUNCTION("IF(OR(CI74&gt;$BR74+$BS74*$BS$2,CI74&lt;$BR74-$BS74*$BS$2),AVEDEV(ARRAYFORMULA(XLOOKUP(FILTER(INDIRECT(""'""&amp;CI$1&amp;""'!$C$4:$C$66""),INDIRECT(""'""&amp;CI$1&amp;""'!$D$4:$D$66"")=CI$2),$F$3:$BP$3,$F74:$BP74))),"""")"),1.2125860382222224)</f>
        <v>1.212586038</v>
      </c>
      <c r="CK74" s="251">
        <f>IFERROR(__xludf.DUMMYFUNCTION("AVERAGE(ARRAYFORMULA(XLOOKUP(FILTER(INDIRECT(""'""&amp;CK$1&amp;""'!$C$4:$C$66""),INDIRECT(""'""&amp;CK$1&amp;""'!$D$4:$D$66"")=CK$2),$F$3:$BP$3,$F74:$BP74)))"),0.08698282358974359)</f>
        <v>0.08698282359</v>
      </c>
      <c r="CL74" s="207" t="str">
        <f>IFERROR(__xludf.DUMMYFUNCTION("IF(OR(CK74&gt;$BR74+$BS74*$BS$2,CK74&lt;$BR74-$BS74*$BS$2),AVEDEV(ARRAYFORMULA(XLOOKUP(FILTER(INDIRECT(""'""&amp;CK$1&amp;""'!$C$4:$C$66""),INDIRECT(""'""&amp;CK$1&amp;""'!$D$4:$D$66"")=CK$2),$F$3:$BP$3,$F74:$BP74))),"""")"),"")</f>
        <v/>
      </c>
      <c r="CM74" s="251">
        <f>IFERROR(__xludf.DUMMYFUNCTION("AVERAGE(ARRAYFORMULA(XLOOKUP(FILTER(INDIRECT(""'""&amp;CM$1&amp;""'!$C$4:$C$66""),INDIRECT(""'""&amp;CM$1&amp;""'!$D$4:$D$66"")=CM$2),$F$3:$BP$3,$F74:$BP74)))"),0.26548672399999995)</f>
        <v>0.265486724</v>
      </c>
      <c r="CN74" s="207" t="str">
        <f>IFERROR(__xludf.DUMMYFUNCTION("IF(OR(CM74&gt;$BR74+$BS74*$BS$2,CM74&lt;$BR74-$BS74*$BS$2),AVEDEV(ARRAYFORMULA(XLOOKUP(FILTER(INDIRECT(""'""&amp;CM$1&amp;""'!$C$4:$C$66""),INDIRECT(""'""&amp;CM$1&amp;""'!$D$4:$D$66"")=CM$2),$F$3:$BP$3,$F74:$BP74))),"""")"),"")</f>
        <v/>
      </c>
      <c r="CO74" s="252"/>
      <c r="CP74" s="251">
        <f>IFERROR(__xludf.DUMMYFUNCTION("AVERAGE(ARRAYFORMULA(XLOOKUP(FILTER(INDIRECT(""'""&amp;CP$1&amp;""'!$C$4:$C$66""),INDIRECT(""'""&amp;CP$1&amp;""'!$D$4:$D$66"")=CP$2),$F$3:$BP$3,$F74:$BP74)))"),0.030762739285714293)</f>
        <v>0.03076273929</v>
      </c>
      <c r="CQ74" s="207" t="str">
        <f>IFERROR(__xludf.DUMMYFUNCTION("IF(OR(CP74&gt;$BR74+$BS74*$BS$2,CP74&lt;$BR74-$BS74*$BS$2),AVEDEV(ARRAYFORMULA(XLOOKUP(FILTER(INDIRECT(""'""&amp;CP$1&amp;""'!$C$4:$C$66""),INDIRECT(""'""&amp;CP$1&amp;""'!$D$4:$D$66"")=CP$2),$F$3:$BP$3,$F74:$BP74))),"""")"),"")</f>
        <v/>
      </c>
      <c r="CR74" s="251">
        <f>IFERROR(__xludf.DUMMYFUNCTION("AVERAGE(ARRAYFORMULA(XLOOKUP(FILTER(INDIRECT(""'""&amp;CR$1&amp;""'!$C$4:$C$66""),INDIRECT(""'""&amp;CR$1&amp;""'!$D$4:$D$66"")=CR$2),$F$3:$BP$3,$F74:$BP74)))"),0.14192068888888887)</f>
        <v>0.1419206889</v>
      </c>
      <c r="CS74" s="207" t="str">
        <f>IFERROR(__xludf.DUMMYFUNCTION("IF(OR(CR74&gt;$BR74+$BS74*$BS$2,CR74&lt;$BR74-$BS74*$BS$2),AVEDEV(ARRAYFORMULA(XLOOKUP(FILTER(INDIRECT(""'""&amp;CR$1&amp;""'!$C$4:$C$66""),INDIRECT(""'""&amp;CR$1&amp;""'!$D$4:$D$66"")=CR$2),$F$3:$BP$3,$F74:$BP74))),"""")"),"")</f>
        <v/>
      </c>
      <c r="CT74" s="251">
        <f>IFERROR(__xludf.DUMMYFUNCTION("AVERAGE(ARRAYFORMULA(XLOOKUP(FILTER(INDIRECT(""'""&amp;CT$1&amp;""'!$C$4:$C$66""),INDIRECT(""'""&amp;CT$1&amp;""'!$D$4:$D$66"")=CT$2),$F$3:$BP$3,$F74:$BP74)))"),0.8420487990909092)</f>
        <v>0.8420487991</v>
      </c>
      <c r="CU74" s="207" t="str">
        <f>IFERROR(__xludf.DUMMYFUNCTION("IF(OR(CT74&gt;$BR74+$BS74*$BS$2,CT74&lt;$BR74-$BS74*$BS$2),AVEDEV(ARRAYFORMULA(XLOOKUP(FILTER(INDIRECT(""'""&amp;CT$1&amp;""'!$C$4:$C$66""),INDIRECT(""'""&amp;CT$1&amp;""'!$D$4:$D$66"")=CT$2),$F$3:$BP$3,$F74:$BP74))),"""")"),"")</f>
        <v/>
      </c>
      <c r="CV74" s="251">
        <f>IFERROR(__xludf.DUMMYFUNCTION("AVERAGE(ARRAYFORMULA(XLOOKUP(FILTER(INDIRECT(""'""&amp;CV$1&amp;""'!$C$4:$C$66""),INDIRECT(""'""&amp;CV$1&amp;""'!$D$4:$D$66"")=CV$2),$F$3:$BP$3,$F74:$BP74)))"),-0.08702067000000001)</f>
        <v>-0.08702067</v>
      </c>
      <c r="CW74" s="207" t="str">
        <f>IFERROR(__xludf.DUMMYFUNCTION("IF(OR(CV74&gt;$BR74+$BS74*$BS$2,CV74&lt;$BR74-$BS74*$BS$2),AVEDEV(ARRAYFORMULA(XLOOKUP(FILTER(INDIRECT(""'""&amp;CV$1&amp;""'!$C$4:$C$66""),INDIRECT(""'""&amp;CV$1&amp;""'!$D$4:$D$66"")=CV$2),$F$3:$BP$3,$F74:$BP74))),"""")"),"")</f>
        <v/>
      </c>
      <c r="CX74" s="251">
        <f>IFERROR(__xludf.DUMMYFUNCTION("AVERAGE(ARRAYFORMULA(XLOOKUP(FILTER(INDIRECT(""'""&amp;CX$1&amp;""'!$C$4:$C$66""),INDIRECT(""'""&amp;CX$1&amp;""'!$D$4:$D$66"")=CX$2),$F$3:$BP$3,$F74:$BP74)))"),0.13063631928571426)</f>
        <v>0.1306363193</v>
      </c>
      <c r="CY74" s="207" t="str">
        <f>IFERROR(__xludf.DUMMYFUNCTION("IF(OR(CX74&gt;$BR74+$BS74*$BS$2,CX74&lt;$BR74-$BS74*$BS$2),AVEDEV(ARRAYFORMULA(XLOOKUP(FILTER(INDIRECT(""'""&amp;CX$1&amp;""'!$C$4:$C$66""),INDIRECT(""'""&amp;CX$1&amp;""'!$D$4:$D$66"")=CX$2),$F$3:$BP$3,$F74:$BP74))),"""")"),"")</f>
        <v/>
      </c>
      <c r="CZ74" s="252"/>
      <c r="DA74" s="251">
        <f>IFERROR(__xludf.DUMMYFUNCTION("AVERAGE(ARRAYFORMULA(XLOOKUP(FILTER(INDIRECT(""'""&amp;DA$1&amp;""'!$C$4:$C$66""),INDIRECT(""'""&amp;DA$1&amp;""'!$D$4:$D$66"")=DA$2),$F$3:$BP$3,$F74:$BP74)))"),0.1385447303333334)</f>
        <v>0.1385447303</v>
      </c>
      <c r="DB74" s="207" t="str">
        <f>IFERROR(__xludf.DUMMYFUNCTION("IF(OR(DA74&gt;$BR74+$BS74*$BS$2,DA74&lt;$BR74-$BS74*$BS$2),AVEDEV(ARRAYFORMULA(XLOOKUP(FILTER(INDIRECT(""'""&amp;DA$1&amp;""'!$C$4:$C$66""),INDIRECT(""'""&amp;DA$1&amp;""'!$D$4:$D$66"")=DA$2),$F$3:$BP$3,$F74:$BP74))),"""")"),"")</f>
        <v/>
      </c>
      <c r="DC74" s="251">
        <f>IFERROR(__xludf.DUMMYFUNCTION("AVERAGE(ARRAYFORMULA(XLOOKUP(FILTER(INDIRECT(""'""&amp;DC$1&amp;""'!$C$4:$C$66""),INDIRECT(""'""&amp;DC$1&amp;""'!$D$4:$D$66"")=DC$2),$F$3:$BP$3,$F74:$BP74)))"),0.7099311777777778)</f>
        <v>0.7099311778</v>
      </c>
      <c r="DD74" s="207" t="str">
        <f>IFERROR(__xludf.DUMMYFUNCTION("IF(OR(DC74&gt;$BR74+$BS74*$BS$2,DC74&lt;$BR74-$BS74*$BS$2),AVEDEV(ARRAYFORMULA(XLOOKUP(FILTER(INDIRECT(""'""&amp;DC$1&amp;""'!$C$4:$C$66""),INDIRECT(""'""&amp;DC$1&amp;""'!$D$4:$D$66"")=DC$2),$F$3:$BP$3,$F74:$BP74))),"""")"),"")</f>
        <v/>
      </c>
      <c r="DE74" s="251">
        <f>IFERROR(__xludf.DUMMYFUNCTION("AVERAGE(ARRAYFORMULA(XLOOKUP(FILTER(INDIRECT(""'""&amp;DE$1&amp;""'!$C$4:$C$66""),INDIRECT(""'""&amp;DE$1&amp;""'!$D$4:$D$66"")=DE$2),$F$3:$BP$3,$F74:$BP74)))"),0.7713864325)</f>
        <v>0.7713864325</v>
      </c>
      <c r="DF74" s="207" t="str">
        <f>IFERROR(__xludf.DUMMYFUNCTION("IF(OR(DE74&gt;$BR74+$BS74*$BS$2,DE74&lt;$BR74-$BS74*$BS$2),AVEDEV(ARRAYFORMULA(XLOOKUP(FILTER(INDIRECT(""'""&amp;DE$1&amp;""'!$C$4:$C$66""),INDIRECT(""'""&amp;DE$1&amp;""'!$D$4:$D$66"")=DE$2),$F$3:$BP$3,$F74:$BP74))),"""")"),"")</f>
        <v/>
      </c>
      <c r="DG74" s="251">
        <f>IFERROR(__xludf.DUMMYFUNCTION("AVERAGE(ARRAYFORMULA(XLOOKUP(FILTER(INDIRECT(""'""&amp;DG$1&amp;""'!$C$4:$C$66""),INDIRECT(""'""&amp;DG$1&amp;""'!$D$4:$D$66"")=DG$2),$F$3:$BP$3,$F74:$BP74)))"),0.06948540333333335)</f>
        <v>0.06948540333</v>
      </c>
      <c r="DH74" s="207" t="str">
        <f>IFERROR(__xludf.DUMMYFUNCTION("IF(OR(DG74&gt;$BR74+$BS74*$BS$2,DG74&lt;$BR74-$BS74*$BS$2),AVEDEV(ARRAYFORMULA(XLOOKUP(FILTER(INDIRECT(""'""&amp;DG$1&amp;""'!$C$4:$C$66""),INDIRECT(""'""&amp;DG$1&amp;""'!$D$4:$D$66"")=DG$2),$F$3:$BP$3,$F74:$BP74))),"""")"),"")</f>
        <v/>
      </c>
      <c r="DI74" s="252"/>
    </row>
    <row r="75">
      <c r="A75" s="2"/>
      <c r="B75" s="204" t="s">
        <v>507</v>
      </c>
      <c r="C75" s="204" t="s">
        <v>517</v>
      </c>
      <c r="D75" s="205" t="b">
        <f>VLOOKUP(C75,'Feature Set List'!A72:C246,2,0)</f>
        <v>1</v>
      </c>
      <c r="E75" s="205" t="b">
        <f>VLOOKUP(C75,'Feature Set List'!A72:C246,3,0)</f>
        <v>1</v>
      </c>
      <c r="F75" s="205">
        <v>1.68999571</v>
      </c>
      <c r="G75" s="205">
        <v>0.19235723</v>
      </c>
      <c r="H75" s="205">
        <v>3.67196222</v>
      </c>
      <c r="I75" s="205">
        <v>-0.7531129</v>
      </c>
      <c r="J75" s="205">
        <v>0.50493774</v>
      </c>
      <c r="K75" s="205">
        <v>-0.2662087</v>
      </c>
      <c r="L75" s="205">
        <v>2.5770717</v>
      </c>
      <c r="M75" s="205">
        <v>-0.9944182</v>
      </c>
      <c r="N75" s="205">
        <v>-0.5349936</v>
      </c>
      <c r="O75" s="205">
        <v>0.68269644</v>
      </c>
      <c r="P75" s="205">
        <v>-0.2052383</v>
      </c>
      <c r="Q75" s="205">
        <v>-0.3941606</v>
      </c>
      <c r="R75" s="205">
        <v>0.12451696</v>
      </c>
      <c r="S75" s="205">
        <v>0.20953199</v>
      </c>
      <c r="T75" s="205">
        <v>-2.6784027</v>
      </c>
      <c r="U75" s="205">
        <v>-0.1279519</v>
      </c>
      <c r="V75" s="205">
        <v>-0.6346071</v>
      </c>
      <c r="W75" s="205">
        <v>-0.0377845</v>
      </c>
      <c r="X75" s="205">
        <v>0.02662087</v>
      </c>
      <c r="Y75" s="205">
        <v>0.26191498</v>
      </c>
      <c r="Z75" s="205">
        <v>2.17518248</v>
      </c>
      <c r="AA75" s="205">
        <v>1.78273937</v>
      </c>
      <c r="AB75" s="205">
        <v>0.05495921</v>
      </c>
      <c r="AC75" s="205">
        <v>-0.2498927</v>
      </c>
      <c r="AD75" s="205">
        <v>-0.4748819</v>
      </c>
      <c r="AE75" s="205">
        <v>-0.2601975</v>
      </c>
      <c r="AF75" s="205">
        <v>1.44611421</v>
      </c>
      <c r="AG75" s="205">
        <v>0.12022327</v>
      </c>
      <c r="AH75" s="205">
        <v>-0.7994848</v>
      </c>
      <c r="AI75" s="205">
        <v>2.86303134</v>
      </c>
      <c r="AJ75" s="205">
        <v>0.1983684</v>
      </c>
      <c r="AK75" s="205">
        <v>-0.5959639</v>
      </c>
      <c r="AL75" s="205">
        <v>-1.0656934</v>
      </c>
      <c r="AM75" s="205">
        <v>-0.2473164</v>
      </c>
      <c r="AN75" s="205">
        <v>1.96307428</v>
      </c>
      <c r="AO75" s="205">
        <v>-0.8286818</v>
      </c>
      <c r="AP75" s="205">
        <v>1.58093602</v>
      </c>
      <c r="AQ75" s="205">
        <v>1.24602834</v>
      </c>
      <c r="AR75" s="205">
        <v>1.27007299</v>
      </c>
      <c r="AS75" s="205">
        <v>0.52554745</v>
      </c>
      <c r="AT75" s="205">
        <v>-0.988407</v>
      </c>
      <c r="AU75" s="205">
        <v>0.17775869</v>
      </c>
      <c r="AV75" s="205">
        <v>-0.3039931</v>
      </c>
      <c r="AW75" s="205">
        <v>-0.487763</v>
      </c>
      <c r="AX75" s="205">
        <v>0.00772864</v>
      </c>
      <c r="AY75" s="205">
        <v>1.35508802</v>
      </c>
      <c r="AZ75" s="205">
        <v>-0.2550451</v>
      </c>
      <c r="BA75" s="205">
        <v>-0.1648776</v>
      </c>
      <c r="BB75" s="205">
        <v>0.27737226</v>
      </c>
      <c r="BC75" s="205">
        <v>-0.5744955</v>
      </c>
      <c r="BD75" s="205">
        <v>-1.2408759</v>
      </c>
      <c r="BE75" s="205">
        <v>-0.1966509</v>
      </c>
      <c r="BF75" s="205">
        <v>0.0</v>
      </c>
      <c r="BG75" s="205">
        <v>2.11936453</v>
      </c>
      <c r="BH75" s="205">
        <v>-0.350365</v>
      </c>
      <c r="BI75" s="205">
        <v>0.44568484</v>
      </c>
      <c r="BJ75" s="205">
        <v>-0.3975955</v>
      </c>
      <c r="BK75" s="205">
        <v>-3.2726492</v>
      </c>
      <c r="BL75" s="205">
        <v>3.90725633</v>
      </c>
      <c r="BM75" s="205">
        <v>-0.0017175</v>
      </c>
      <c r="BN75" s="205">
        <v>1.41605839</v>
      </c>
      <c r="BO75" s="205">
        <v>0.28767711</v>
      </c>
      <c r="BP75" s="205">
        <v>-0.2825247</v>
      </c>
      <c r="BQ75" s="206"/>
      <c r="BR75" s="250">
        <f t="shared" si="1"/>
        <v>0.2459670017</v>
      </c>
      <c r="BS75" s="250">
        <f t="shared" si="2"/>
        <v>0.9091597686</v>
      </c>
      <c r="BT75" s="206"/>
      <c r="BU75" s="207">
        <f>IFERROR(__xludf.DUMMYFUNCTION("AVERAGE(ARRAYFORMULA(XLOOKUP(FILTER(INDIRECT(""'""&amp;BU$1&amp;""'!$C$4:$C$66""),INDIRECT(""'""&amp;BU$1&amp;""'!$D$4:$D$66"")=BU$2),$F$3:$BP$3,$F75:$BP75)))"),-0.7748267114285714)</f>
        <v>-0.7748267114</v>
      </c>
      <c r="BV75" s="207">
        <f>IFERROR(__xludf.DUMMYFUNCTION("IF(OR(BU75&gt;$BR75+$BS75*$BS$2,BU75&lt;$BR75-$BS75*$BS$2),AVEDEV(ARRAYFORMULA(XLOOKUP(FILTER(INDIRECT(""'""&amp;BU$1&amp;""'!$C$4:$C$66""),INDIRECT(""'""&amp;BU$1&amp;""'!$D$4:$D$66"")=BU$2),$F$3:$BP$3,$F75:$BP75))),"""")"),1.3906993330612245)</f>
        <v>1.390699333</v>
      </c>
      <c r="BW75" s="207">
        <f>IFERROR(__xludf.DUMMYFUNCTION("AVERAGE(ARRAYFORMULA(XLOOKUP(FILTER(INDIRECT(""'""&amp;BW$1&amp;""'!$C$4:$C$66""),INDIRECT(""'""&amp;BW$1&amp;""'!$D$4:$D$66"")=BW$2),$F$3:$BP$3,$F75:$BP75)))"),0.232820135952381)</f>
        <v>0.232820136</v>
      </c>
      <c r="BX75" s="207" t="str">
        <f>IFERROR(__xludf.DUMMYFUNCTION("IF(OR(BW75&gt;$BR75+$BS75*$BS$2,BW75&lt;$BR75-$BS75*$BS$2),AVEDEV(ARRAYFORMULA(XLOOKUP(FILTER(INDIRECT(""'""&amp;BW$1&amp;""'!$C$4:$C$66""),INDIRECT(""'""&amp;BW$1&amp;""'!$D$4:$D$66"")=BW$2),$F$3:$BP$3,$F75:$BP75))),"""")"),"")</f>
        <v/>
      </c>
      <c r="BY75" s="207">
        <f>IFERROR(__xludf.DUMMYFUNCTION("AVERAGE(ARRAYFORMULA(XLOOKUP(FILTER(INDIRECT(""'""&amp;BY$1&amp;""'!$C$4:$C$66""),INDIRECT(""'""&amp;BY$1&amp;""'!$D$4:$D$66"")=BY$2),$F$3:$BP$3,$F75:$BP75)))"),0.8211093327272727)</f>
        <v>0.8211093327</v>
      </c>
      <c r="BZ75" s="207" t="str">
        <f>IFERROR(__xludf.DUMMYFUNCTION("IF(OR(BY75&gt;$BR75+$BS75*$BS$2,BY75&lt;$BR75-$BS75*$BS$2),AVEDEV(ARRAYFORMULA(XLOOKUP(FILTER(INDIRECT(""'""&amp;BY$1&amp;""'!$C$4:$C$66""),INDIRECT(""'""&amp;BY$1&amp;""'!$D$4:$D$66"")=BY$2),$F$3:$BP$3,$F75:$BP75))),"""")"),"")</f>
        <v/>
      </c>
      <c r="CA75" s="209"/>
      <c r="CB75" s="207">
        <f>IFERROR(__xludf.DUMMYFUNCTION("AVERAGE(ARRAYFORMULA(XLOOKUP(FILTER(INDIRECT(""'""&amp;CB$1&amp;""'!$C$4:$C$66""),INDIRECT(""'""&amp;CB$1&amp;""'!$D$4:$D$66"")=CB$2),$F$3:$BP$3,$F75:$BP75)))"),-0.179637171875)</f>
        <v>-0.1796371719</v>
      </c>
      <c r="CC75" s="207" t="str">
        <f>IFERROR(__xludf.DUMMYFUNCTION("IF(OR(CB75&gt;$BR75+$BS75*$BS$2,CB75&lt;$BR75-$BS75*$BS$2),AVEDEV(ARRAYFORMULA(XLOOKUP(FILTER(INDIRECT(""'""&amp;CB$1&amp;""'!$C$4:$C$66""),INDIRECT(""'""&amp;CB$1&amp;""'!$D$4:$D$66"")=CB$2),$F$3:$BP$3,$F75:$BP75))),"""")"),"")</f>
        <v/>
      </c>
      <c r="CD75" s="207">
        <f>IFERROR(__xludf.DUMMYFUNCTION("AVERAGE(ARRAYFORMULA(XLOOKUP(FILTER(INDIRECT(""'""&amp;CD$1&amp;""'!$C$4:$C$66""),INDIRECT(""'""&amp;CD$1&amp;""'!$D$4:$D$66"")=CD$2),$F$3:$BP$3,$F75:$BP75)))"),0.2557930151612903)</f>
        <v>0.2557930152</v>
      </c>
      <c r="CE75" s="207" t="str">
        <f>IFERROR(__xludf.DUMMYFUNCTION("IF(OR(CD75&gt;$BR75+$BS75*$BS$2,CD75&lt;$BR75-$BS75*$BS$2),AVEDEV(ARRAYFORMULA(XLOOKUP(FILTER(INDIRECT(""'""&amp;CD$1&amp;""'!$C$4:$C$66""),INDIRECT(""'""&amp;CD$1&amp;""'!$D$4:$D$66"")=CD$2),$F$3:$BP$3,$F75:$BP75))),"""")"),"")</f>
        <v/>
      </c>
      <c r="CF75" s="207">
        <f>IFERROR(__xludf.DUMMYFUNCTION("AVERAGE(ARRAYFORMULA(XLOOKUP(FILTER(INDIRECT(""'""&amp;CF$1&amp;""'!$C$4:$C$66""),INDIRECT(""'""&amp;CF$1&amp;""'!$D$4:$D$66"")=CF$2),$F$3:$BP$3,$F75:$BP75)))"),0.381451264)</f>
        <v>0.381451264</v>
      </c>
      <c r="CG75" s="207" t="str">
        <f>IFERROR(__xludf.DUMMYFUNCTION("IF(OR(CF75&gt;$BR75+$BS75*$BS$2,CF75&lt;$BR75-$BS75*$BS$2),AVEDEV(ARRAYFORMULA(XLOOKUP(FILTER(INDIRECT(""'""&amp;CF$1&amp;""'!$C$4:$C$66""),INDIRECT(""'""&amp;CF$1&amp;""'!$D$4:$D$66"")=CF$2),$F$3:$BP$3,$F75:$BP75))),"""")"),"")</f>
        <v/>
      </c>
      <c r="CH75" s="206"/>
      <c r="CI75" s="251">
        <f>IFERROR(__xludf.DUMMYFUNCTION("AVERAGE(ARRAYFORMULA(XLOOKUP(FILTER(INDIRECT(""'""&amp;CI$1&amp;""'!$C$4:$C$66""),INDIRECT(""'""&amp;CI$1&amp;""'!$D$4:$D$66"")=CI$2),$F$3:$BP$3,$F75:$BP75)))"),0.40715615200000005)</f>
        <v>0.407156152</v>
      </c>
      <c r="CJ75" s="207" t="str">
        <f>IFERROR(__xludf.DUMMYFUNCTION("IF(OR(CI75&gt;$BR75+$BS75*$BS$2,CI75&lt;$BR75-$BS75*$BS$2),AVEDEV(ARRAYFORMULA(XLOOKUP(FILTER(INDIRECT(""'""&amp;CI$1&amp;""'!$C$4:$C$66""),INDIRECT(""'""&amp;CI$1&amp;""'!$D$4:$D$66"")=CI$2),$F$3:$BP$3,$F75:$BP75))),"""")"),"")</f>
        <v/>
      </c>
      <c r="CK75" s="251">
        <f>IFERROR(__xludf.DUMMYFUNCTION("AVERAGE(ARRAYFORMULA(XLOOKUP(FILTER(INDIRECT(""'""&amp;CK$1&amp;""'!$C$4:$C$66""),INDIRECT(""'""&amp;CK$1&amp;""'!$D$4:$D$66"")=CK$2),$F$3:$BP$3,$F75:$BP75)))"),0.22166441)</f>
        <v>0.22166441</v>
      </c>
      <c r="CL75" s="207" t="str">
        <f>IFERROR(__xludf.DUMMYFUNCTION("IF(OR(CK75&gt;$BR75+$BS75*$BS$2,CK75&lt;$BR75-$BS75*$BS$2),AVEDEV(ARRAYFORMULA(XLOOKUP(FILTER(INDIRECT(""'""&amp;CK$1&amp;""'!$C$4:$C$66""),INDIRECT(""'""&amp;CK$1&amp;""'!$D$4:$D$66"")=CK$2),$F$3:$BP$3,$F75:$BP75))),"""")"),"")</f>
        <v/>
      </c>
      <c r="CM75" s="251">
        <f>IFERROR(__xludf.DUMMYFUNCTION("AVERAGE(ARRAYFORMULA(XLOOKUP(FILTER(INDIRECT(""'""&amp;CM$1&amp;""'!$C$4:$C$66""),INDIRECT(""'""&amp;CM$1&amp;""'!$D$4:$D$66"")=CM$2),$F$3:$BP$3,$F75:$BP75)))"),0.381451264)</f>
        <v>0.381451264</v>
      </c>
      <c r="CN75" s="207" t="str">
        <f>IFERROR(__xludf.DUMMYFUNCTION("IF(OR(CM75&gt;$BR75+$BS75*$BS$2,CM75&lt;$BR75-$BS75*$BS$2),AVEDEV(ARRAYFORMULA(XLOOKUP(FILTER(INDIRECT(""'""&amp;CM$1&amp;""'!$C$4:$C$66""),INDIRECT(""'""&amp;CM$1&amp;""'!$D$4:$D$66"")=CM$2),$F$3:$BP$3,$F75:$BP75))),"""")"),"")</f>
        <v/>
      </c>
      <c r="CO75" s="252"/>
      <c r="CP75" s="251">
        <f>IFERROR(__xludf.DUMMYFUNCTION("AVERAGE(ARRAYFORMULA(XLOOKUP(FILTER(INDIRECT(""'""&amp;CP$1&amp;""'!$C$4:$C$66""),INDIRECT(""'""&amp;CP$1&amp;""'!$D$4:$D$66"")=CP$2),$F$3:$BP$3,$F75:$BP75)))"),-0.1467827885714286)</f>
        <v>-0.1467827886</v>
      </c>
      <c r="CQ75" s="207" t="str">
        <f>IFERROR(__xludf.DUMMYFUNCTION("IF(OR(CP75&gt;$BR75+$BS75*$BS$2,CP75&lt;$BR75-$BS75*$BS$2),AVEDEV(ARRAYFORMULA(XLOOKUP(FILTER(INDIRECT(""'""&amp;CP$1&amp;""'!$C$4:$C$66""),INDIRECT(""'""&amp;CP$1&amp;""'!$D$4:$D$66"")=CP$2),$F$3:$BP$3,$F75:$BP75))),"""")"),"")</f>
        <v/>
      </c>
      <c r="CR75" s="251">
        <f>IFERROR(__xludf.DUMMYFUNCTION("AVERAGE(ARRAYFORMULA(XLOOKUP(FILTER(INDIRECT(""'""&amp;CR$1&amp;""'!$C$4:$C$66""),INDIRECT(""'""&amp;CR$1&amp;""'!$D$4:$D$66"")=CR$2),$F$3:$BP$3,$F75:$BP75)))"),0.4188731455555555)</f>
        <v>0.4188731456</v>
      </c>
      <c r="CS75" s="207" t="str">
        <f>IFERROR(__xludf.DUMMYFUNCTION("IF(OR(CR75&gt;$BR75+$BS75*$BS$2,CR75&lt;$BR75-$BS75*$BS$2),AVEDEV(ARRAYFORMULA(XLOOKUP(FILTER(INDIRECT(""'""&amp;CR$1&amp;""'!$C$4:$C$66""),INDIRECT(""'""&amp;CR$1&amp;""'!$D$4:$D$66"")=CR$2),$F$3:$BP$3,$F75:$BP75))),"""")"),"")</f>
        <v/>
      </c>
      <c r="CT75" s="251">
        <f>IFERROR(__xludf.DUMMYFUNCTION("AVERAGE(ARRAYFORMULA(XLOOKUP(FILTER(INDIRECT(""'""&amp;CT$1&amp;""'!$C$4:$C$66""),INDIRECT(""'""&amp;CT$1&amp;""'!$D$4:$D$66"")=CT$2),$F$3:$BP$3,$F75:$BP75)))"),0.6060345854545455)</f>
        <v>0.6060345855</v>
      </c>
      <c r="CU75" s="207" t="str">
        <f>IFERROR(__xludf.DUMMYFUNCTION("IF(OR(CT75&gt;$BR75+$BS75*$BS$2,CT75&lt;$BR75-$BS75*$BS$2),AVEDEV(ARRAYFORMULA(XLOOKUP(FILTER(INDIRECT(""'""&amp;CT$1&amp;""'!$C$4:$C$66""),INDIRECT(""'""&amp;CT$1&amp;""'!$D$4:$D$66"")=CT$2),$F$3:$BP$3,$F75:$BP75))),"""")"),"")</f>
        <v/>
      </c>
      <c r="CV75" s="251">
        <f>IFERROR(__xludf.DUMMYFUNCTION("AVERAGE(ARRAYFORMULA(XLOOKUP(FILTER(INDIRECT(""'""&amp;CV$1&amp;""'!$C$4:$C$66""),INDIRECT(""'""&amp;CV$1&amp;""'!$D$4:$D$66"")=CV$2),$F$3:$BP$3,$F75:$BP75)))"),0.934735915)</f>
        <v>0.934735915</v>
      </c>
      <c r="CW75" s="207" t="str">
        <f>IFERROR(__xludf.DUMMYFUNCTION("IF(OR(CV75&gt;$BR75+$BS75*$BS$2,CV75&lt;$BR75-$BS75*$BS$2),AVEDEV(ARRAYFORMULA(XLOOKUP(FILTER(INDIRECT(""'""&amp;CV$1&amp;""'!$C$4:$C$66""),INDIRECT(""'""&amp;CV$1&amp;""'!$D$4:$D$66"")=CV$2),$F$3:$BP$3,$F75:$BP75))),"""")"),"")</f>
        <v/>
      </c>
      <c r="CX75" s="251">
        <f>IFERROR(__xludf.DUMMYFUNCTION("AVERAGE(ARRAYFORMULA(XLOOKUP(FILTER(INDIRECT(""'""&amp;CX$1&amp;""'!$C$4:$C$66""),INDIRECT(""'""&amp;CX$1&amp;""'!$D$4:$D$66"")=CX$2),$F$3:$BP$3,$F75:$BP75)))"),0.20554498357142856)</f>
        <v>0.2055449836</v>
      </c>
      <c r="CY75" s="207" t="str">
        <f>IFERROR(__xludf.DUMMYFUNCTION("IF(OR(CX75&gt;$BR75+$BS75*$BS$2,CX75&lt;$BR75-$BS75*$BS$2),AVEDEV(ARRAYFORMULA(XLOOKUP(FILTER(INDIRECT(""'""&amp;CX$1&amp;""'!$C$4:$C$66""),INDIRECT(""'""&amp;CX$1&amp;""'!$D$4:$D$66"")=CX$2),$F$3:$BP$3,$F75:$BP75))),"""")"),"")</f>
        <v/>
      </c>
      <c r="CZ75" s="252"/>
      <c r="DA75" s="251">
        <f>IFERROR(__xludf.DUMMYFUNCTION("AVERAGE(ARRAYFORMULA(XLOOKUP(FILTER(INDIRECT(""'""&amp;DA$1&amp;""'!$C$4:$C$66""),INDIRECT(""'""&amp;DA$1&amp;""'!$D$4:$D$66"")=DA$2),$F$3:$BP$3,$F75:$BP75)))"),-0.015629020333333323)</f>
        <v>-0.01562902033</v>
      </c>
      <c r="DB75" s="207" t="str">
        <f>IFERROR(__xludf.DUMMYFUNCTION("IF(OR(DA75&gt;$BR75+$BS75*$BS$2,DA75&lt;$BR75-$BS75*$BS$2),AVEDEV(ARRAYFORMULA(XLOOKUP(FILTER(INDIRECT(""'""&amp;DA$1&amp;""'!$C$4:$C$66""),INDIRECT(""'""&amp;DA$1&amp;""'!$D$4:$D$66"")=DA$2),$F$3:$BP$3,$F75:$BP75))),"""")"),"")</f>
        <v/>
      </c>
      <c r="DC75" s="251">
        <f>IFERROR(__xludf.DUMMYFUNCTION("AVERAGE(ARRAYFORMULA(XLOOKUP(FILTER(INDIRECT(""'""&amp;DC$1&amp;""'!$C$4:$C$66""),INDIRECT(""'""&amp;DC$1&amp;""'!$D$4:$D$66"")=DC$2),$F$3:$BP$3,$F75:$BP75)))"),0.898716662222222)</f>
        <v>0.8987166622</v>
      </c>
      <c r="DD75" s="207" t="str">
        <f>IFERROR(__xludf.DUMMYFUNCTION("IF(OR(DC75&gt;$BR75+$BS75*$BS$2,DC75&lt;$BR75-$BS75*$BS$2),AVEDEV(ARRAYFORMULA(XLOOKUP(FILTER(INDIRECT(""'""&amp;DC$1&amp;""'!$C$4:$C$66""),INDIRECT(""'""&amp;DC$1&amp;""'!$D$4:$D$66"")=DC$2),$F$3:$BP$3,$F75:$BP75))),"""")"),"")</f>
        <v/>
      </c>
      <c r="DE75" s="251">
        <f>IFERROR(__xludf.DUMMYFUNCTION("AVERAGE(ARRAYFORMULA(XLOOKUP(FILTER(INDIRECT(""'""&amp;DE$1&amp;""'!$C$4:$C$66""),INDIRECT(""'""&amp;DE$1&amp;""'!$D$4:$D$66"")=DE$2),$F$3:$BP$3,$F75:$BP75)))"),0.3647488175)</f>
        <v>0.3647488175</v>
      </c>
      <c r="DF75" s="207" t="str">
        <f>IFERROR(__xludf.DUMMYFUNCTION("IF(OR(DE75&gt;$BR75+$BS75*$BS$2,DE75&lt;$BR75-$BS75*$BS$2),AVEDEV(ARRAYFORMULA(XLOOKUP(FILTER(INDIRECT(""'""&amp;DE$1&amp;""'!$C$4:$C$66""),INDIRECT(""'""&amp;DE$1&amp;""'!$D$4:$D$66"")=DE$2),$F$3:$BP$3,$F75:$BP75))),"""")"),"")</f>
        <v/>
      </c>
      <c r="DG75" s="251">
        <f>IFERROR(__xludf.DUMMYFUNCTION("AVERAGE(ARRAYFORMULA(XLOOKUP(FILTER(INDIRECT(""'""&amp;DG$1&amp;""'!$C$4:$C$66""),INDIRECT(""'""&amp;DG$1&amp;""'!$D$4:$D$66"")=DG$2),$F$3:$BP$3,$F75:$BP75)))"),0.32784695333333325)</f>
        <v>0.3278469533</v>
      </c>
      <c r="DH75" s="207" t="str">
        <f>IFERROR(__xludf.DUMMYFUNCTION("IF(OR(DG75&gt;$BR75+$BS75*$BS$2,DG75&lt;$BR75-$BS75*$BS$2),AVEDEV(ARRAYFORMULA(XLOOKUP(FILTER(INDIRECT(""'""&amp;DG$1&amp;""'!$C$4:$C$66""),INDIRECT(""'""&amp;DG$1&amp;""'!$D$4:$D$66"")=DG$2),$F$3:$BP$3,$F75:$BP75))),"""")"),"")</f>
        <v/>
      </c>
      <c r="DI75" s="252"/>
    </row>
    <row r="76">
      <c r="A76" s="2"/>
      <c r="B76" s="204" t="s">
        <v>507</v>
      </c>
      <c r="C76" s="204" t="s">
        <v>518</v>
      </c>
      <c r="D76" s="205" t="b">
        <f>VLOOKUP(C76,'Feature Set List'!A73:C246,2,0)</f>
        <v>1</v>
      </c>
      <c r="E76" s="205" t="b">
        <f>VLOOKUP(C76,'Feature Set List'!A73:C246,3,0)</f>
        <v>1</v>
      </c>
      <c r="F76" s="205">
        <v>-0.8637917</v>
      </c>
      <c r="G76" s="205">
        <v>-1.105969</v>
      </c>
      <c r="H76" s="205">
        <v>-1.6689456</v>
      </c>
      <c r="I76" s="205">
        <v>0.75072311</v>
      </c>
      <c r="J76" s="205">
        <v>-1.2271891</v>
      </c>
      <c r="K76" s="205">
        <v>-0.1246384</v>
      </c>
      <c r="L76" s="205">
        <v>-1.068893</v>
      </c>
      <c r="M76" s="205">
        <v>1.3449908</v>
      </c>
      <c r="N76" s="205">
        <v>1.21088614</v>
      </c>
      <c r="O76" s="205">
        <v>-0.327899</v>
      </c>
      <c r="P76" s="205">
        <v>-0.1872206</v>
      </c>
      <c r="Q76" s="205">
        <v>2.23639232</v>
      </c>
      <c r="R76" s="205">
        <v>0.39389955</v>
      </c>
      <c r="S76" s="205">
        <v>0.13804891</v>
      </c>
      <c r="T76" s="205">
        <v>3.1724954</v>
      </c>
      <c r="U76" s="205">
        <v>-0.3252695</v>
      </c>
      <c r="V76" s="205">
        <v>0.87693926</v>
      </c>
      <c r="W76" s="205">
        <v>1.94977649</v>
      </c>
      <c r="X76" s="205">
        <v>0.41020247</v>
      </c>
      <c r="Y76" s="205">
        <v>-0.1601367</v>
      </c>
      <c r="Z76" s="205">
        <v>-1.1866947</v>
      </c>
      <c r="AA76" s="205">
        <v>-0.6841967</v>
      </c>
      <c r="AB76" s="205">
        <v>-0.2810939</v>
      </c>
      <c r="AC76" s="205">
        <v>2.37838549</v>
      </c>
      <c r="AD76" s="205">
        <v>-0.0447016</v>
      </c>
      <c r="AE76" s="205">
        <v>0.46673679</v>
      </c>
      <c r="AF76" s="205">
        <v>0.40941362</v>
      </c>
      <c r="AG76" s="205">
        <v>1.12411254</v>
      </c>
      <c r="AH76" s="205">
        <v>0.20326058</v>
      </c>
      <c r="AI76" s="205">
        <v>0.04680515</v>
      </c>
      <c r="AJ76" s="205">
        <v>0.78227715</v>
      </c>
      <c r="AK76" s="205">
        <v>0.67183802</v>
      </c>
      <c r="AL76" s="205">
        <v>0.74809361</v>
      </c>
      <c r="AM76" s="205">
        <v>0.76124113</v>
      </c>
      <c r="AN76" s="205">
        <v>-1.746253</v>
      </c>
      <c r="AO76" s="205">
        <v>1.44228241</v>
      </c>
      <c r="AP76" s="205">
        <v>-0.3647121</v>
      </c>
      <c r="AQ76" s="205">
        <v>-0.6731528</v>
      </c>
      <c r="AR76" s="205">
        <v>-0.6836708</v>
      </c>
      <c r="AS76" s="205">
        <v>0.03996845</v>
      </c>
      <c r="AT76" s="205">
        <v>4.49776492</v>
      </c>
      <c r="AU76" s="205">
        <v>-0.2269261</v>
      </c>
      <c r="AV76" s="205">
        <v>0.174599</v>
      </c>
      <c r="AW76" s="205">
        <v>0.80594268</v>
      </c>
      <c r="AX76" s="205">
        <v>-0.6923481</v>
      </c>
      <c r="AY76" s="205">
        <v>-0.3250066</v>
      </c>
      <c r="AZ76" s="205">
        <v>-0.1982645</v>
      </c>
      <c r="BA76" s="205">
        <v>-1.7772811</v>
      </c>
      <c r="BB76" s="205">
        <v>0.63502498</v>
      </c>
      <c r="BC76" s="205">
        <v>-0.0168288</v>
      </c>
      <c r="BD76" s="205">
        <v>0.08125164</v>
      </c>
      <c r="BE76" s="205">
        <v>-0.4722587</v>
      </c>
      <c r="BF76" s="205">
        <v>0.0</v>
      </c>
      <c r="BG76" s="205">
        <v>-0.3284249</v>
      </c>
      <c r="BH76" s="205">
        <v>-0.1993163</v>
      </c>
      <c r="BI76" s="205">
        <v>-0.0602156</v>
      </c>
      <c r="BJ76" s="205">
        <v>0.08098869</v>
      </c>
      <c r="BK76" s="205">
        <v>0.63502498</v>
      </c>
      <c r="BL76" s="205">
        <v>0.20536419</v>
      </c>
      <c r="BM76" s="205">
        <v>-0.8159348</v>
      </c>
      <c r="BN76" s="205">
        <v>-0.0102551</v>
      </c>
      <c r="BO76" s="205">
        <v>-0.5684986</v>
      </c>
      <c r="BP76" s="205">
        <v>0.45884828</v>
      </c>
      <c r="BQ76" s="206"/>
      <c r="BR76" s="250">
        <f t="shared" si="1"/>
        <v>0.1701204976</v>
      </c>
      <c r="BS76" s="250">
        <f t="shared" si="2"/>
        <v>0.772170888</v>
      </c>
      <c r="BT76" s="206"/>
      <c r="BU76" s="207">
        <f>IFERROR(__xludf.DUMMYFUNCTION("AVERAGE(ARRAYFORMULA(XLOOKUP(FILTER(INDIRECT(""'""&amp;BU$1&amp;""'!$C$4:$C$66""),INDIRECT(""'""&amp;BU$1&amp;""'!$D$4:$D$66"")=BU$2),$F$3:$BP$3,$F76:$BP76)))"),0.23180947285714285)</f>
        <v>0.2318094729</v>
      </c>
      <c r="BV76" s="207" t="str">
        <f>IFERROR(__xludf.DUMMYFUNCTION("IF(OR(BU76&gt;$BR76+$BS76*$BS$2,BU76&lt;$BR76-$BS76*$BS$2),AVEDEV(ARRAYFORMULA(XLOOKUP(FILTER(INDIRECT(""'""&amp;BU$1&amp;""'!$C$4:$C$66""),INDIRECT(""'""&amp;BU$1&amp;""'!$D$4:$D$66"")=BU$2),$F$3:$BP$3,$F76:$BP76))),"""")"),"")</f>
        <v/>
      </c>
      <c r="BW76" s="207">
        <f>IFERROR(__xludf.DUMMYFUNCTION("AVERAGE(ARRAYFORMULA(XLOOKUP(FILTER(INDIRECT(""'""&amp;BW$1&amp;""'!$C$4:$C$66""),INDIRECT(""'""&amp;BW$1&amp;""'!$D$4:$D$66"")=BW$2),$F$3:$BP$3,$F76:$BP76)))"),0.1689080023809524)</f>
        <v>0.1689080024</v>
      </c>
      <c r="BX76" s="207" t="str">
        <f>IFERROR(__xludf.DUMMYFUNCTION("IF(OR(BW76&gt;$BR76+$BS76*$BS$2,BW76&lt;$BR76-$BS76*$BS$2),AVEDEV(ARRAYFORMULA(XLOOKUP(FILTER(INDIRECT(""'""&amp;BW$1&amp;""'!$C$4:$C$66""),INDIRECT(""'""&amp;BW$1&amp;""'!$D$4:$D$66"")=BW$2),$F$3:$BP$3,$F76:$BP76))),"""")"),"")</f>
        <v/>
      </c>
      <c r="BY76" s="207">
        <f>IFERROR(__xludf.DUMMYFUNCTION("AVERAGE(ARRAYFORMULA(XLOOKUP(FILTER(INDIRECT(""'""&amp;BY$1&amp;""'!$C$4:$C$66""),INDIRECT(""'""&amp;BY$1&amp;""'!$D$4:$D$66"")=BY$2),$F$3:$BP$3,$F76:$BP76)))"),-0.0737455981818182)</f>
        <v>-0.07374559818</v>
      </c>
      <c r="BZ76" s="207" t="str">
        <f>IFERROR(__xludf.DUMMYFUNCTION("IF(OR(BY76&gt;$BR76+$BS76*$BS$2,BY76&lt;$BR76-$BS76*$BS$2),AVEDEV(ARRAYFORMULA(XLOOKUP(FILTER(INDIRECT(""'""&amp;BY$1&amp;""'!$C$4:$C$66""),INDIRECT(""'""&amp;BY$1&amp;""'!$D$4:$D$66"")=BY$2),$F$3:$BP$3,$F76:$BP76))),"""")"),"")</f>
        <v/>
      </c>
      <c r="CA76" s="209"/>
      <c r="CB76" s="207">
        <f>IFERROR(__xludf.DUMMYFUNCTION("AVERAGE(ARRAYFORMULA(XLOOKUP(FILTER(INDIRECT(""'""&amp;CB$1&amp;""'!$C$4:$C$66""),INDIRECT(""'""&amp;CB$1&amp;""'!$D$4:$D$66"")=CB$2),$F$3:$BP$3,$F76:$BP76)))"),0.18766433875)</f>
        <v>0.1876643388</v>
      </c>
      <c r="CC76" s="207" t="str">
        <f>IFERROR(__xludf.DUMMYFUNCTION("IF(OR(CB76&gt;$BR76+$BS76*$BS$2,CB76&lt;$BR76-$BS76*$BS$2),AVEDEV(ARRAYFORMULA(XLOOKUP(FILTER(INDIRECT(""'""&amp;CB$1&amp;""'!$C$4:$C$66""),INDIRECT(""'""&amp;CB$1&amp;""'!$D$4:$D$66"")=CB$2),$F$3:$BP$3,$F76:$BP76))),"""")"),"")</f>
        <v/>
      </c>
      <c r="CD76" s="207">
        <f>IFERROR(__xludf.DUMMYFUNCTION("AVERAGE(ARRAYFORMULA(XLOOKUP(FILTER(INDIRECT(""'""&amp;CD$1&amp;""'!$C$4:$C$66""),INDIRECT(""'""&amp;CD$1&amp;""'!$D$4:$D$66"")=CD$2),$F$3:$BP$3,$F76:$BP76)))"),0.18297100193548382)</f>
        <v>0.1829710019</v>
      </c>
      <c r="CE76" s="207" t="str">
        <f>IFERROR(__xludf.DUMMYFUNCTION("IF(OR(CD76&gt;$BR76+$BS76*$BS$2,CD76&lt;$BR76-$BS76*$BS$2),AVEDEV(ARRAYFORMULA(XLOOKUP(FILTER(INDIRECT(""'""&amp;CD$1&amp;""'!$C$4:$C$66""),INDIRECT(""'""&amp;CD$1&amp;""'!$D$4:$D$66"")=CD$2),$F$3:$BP$3,$F76:$BP76))),"""")"),"")</f>
        <v/>
      </c>
      <c r="CF76" s="207">
        <f>IFERROR(__xludf.DUMMYFUNCTION("AVERAGE(ARRAYFORMULA(XLOOKUP(FILTER(INDIRECT(""'""&amp;CF$1&amp;""'!$C$4:$C$66""),INDIRECT(""'""&amp;CF$1&amp;""'!$D$4:$D$66"")=CF$2),$F$3:$BP$3,$F76:$BP76)))"),-0.214357078)</f>
        <v>-0.214357078</v>
      </c>
      <c r="CG76" s="207" t="str">
        <f>IFERROR(__xludf.DUMMYFUNCTION("IF(OR(CF76&gt;$BR76+$BS76*$BS$2,CF76&lt;$BR76-$BS76*$BS$2),AVEDEV(ARRAYFORMULA(XLOOKUP(FILTER(INDIRECT(""'""&amp;CF$1&amp;""'!$C$4:$C$66""),INDIRECT(""'""&amp;CF$1&amp;""'!$D$4:$D$66"")=CF$2),$F$3:$BP$3,$F76:$BP76))),"""")"),"")</f>
        <v/>
      </c>
      <c r="CH76" s="206"/>
      <c r="CI76" s="251">
        <f>IFERROR(__xludf.DUMMYFUNCTION("AVERAGE(ARRAYFORMULA(XLOOKUP(FILTER(INDIRECT(""'""&amp;CI$1&amp;""'!$C$4:$C$66""),INDIRECT(""'""&amp;CI$1&amp;""'!$D$4:$D$66"")=CI$2),$F$3:$BP$3,$F76:$BP76)))"),0.23200981199999995)</f>
        <v>0.232009812</v>
      </c>
      <c r="CJ76" s="207" t="str">
        <f>IFERROR(__xludf.DUMMYFUNCTION("IF(OR(CI76&gt;$BR76+$BS76*$BS$2,CI76&lt;$BR76-$BS76*$BS$2),AVEDEV(ARRAYFORMULA(XLOOKUP(FILTER(INDIRECT(""'""&amp;CI$1&amp;""'!$C$4:$C$66""),INDIRECT(""'""&amp;CI$1&amp;""'!$D$4:$D$66"")=CI$2),$F$3:$BP$3,$F76:$BP76))),"""")"),"")</f>
        <v/>
      </c>
      <c r="CK76" s="251">
        <f>IFERROR(__xludf.DUMMYFUNCTION("AVERAGE(ARRAYFORMULA(XLOOKUP(FILTER(INDIRECT(""'""&amp;CK$1&amp;""'!$C$4:$C$66""),INDIRECT(""'""&amp;CK$1&amp;""'!$D$4:$D$66"")=CK$2),$F$3:$BP$3,$F76:$BP76)))"),0.12467215538461535)</f>
        <v>0.1246721554</v>
      </c>
      <c r="CL76" s="207" t="str">
        <f>IFERROR(__xludf.DUMMYFUNCTION("IF(OR(CK76&gt;$BR76+$BS76*$BS$2,CK76&lt;$BR76-$BS76*$BS$2),AVEDEV(ARRAYFORMULA(XLOOKUP(FILTER(INDIRECT(""'""&amp;CK$1&amp;""'!$C$4:$C$66""),INDIRECT(""'""&amp;CK$1&amp;""'!$D$4:$D$66"")=CK$2),$F$3:$BP$3,$F76:$BP76))),"""")"),"")</f>
        <v/>
      </c>
      <c r="CM76" s="251">
        <f>IFERROR(__xludf.DUMMYFUNCTION("AVERAGE(ARRAYFORMULA(XLOOKUP(FILTER(INDIRECT(""'""&amp;CM$1&amp;""'!$C$4:$C$66""),INDIRECT(""'""&amp;CM$1&amp;""'!$D$4:$D$66"")=CM$2),$F$3:$BP$3,$F76:$BP76)))"),-0.214357078)</f>
        <v>-0.214357078</v>
      </c>
      <c r="CN76" s="207" t="str">
        <f>IFERROR(__xludf.DUMMYFUNCTION("IF(OR(CM76&gt;$BR76+$BS76*$BS$2,CM76&lt;$BR76-$BS76*$BS$2),AVEDEV(ARRAYFORMULA(XLOOKUP(FILTER(INDIRECT(""'""&amp;CM$1&amp;""'!$C$4:$C$66""),INDIRECT(""'""&amp;CM$1&amp;""'!$D$4:$D$66"")=CM$2),$F$3:$BP$3,$F76:$BP76))),"""")"),"")</f>
        <v/>
      </c>
      <c r="CO76" s="252"/>
      <c r="CP76" s="251">
        <f>IFERROR(__xludf.DUMMYFUNCTION("AVERAGE(ARRAYFORMULA(XLOOKUP(FILTER(INDIRECT(""'""&amp;CP$1&amp;""'!$C$4:$C$66""),INDIRECT(""'""&amp;CP$1&amp;""'!$D$4:$D$66"")=CP$2),$F$3:$BP$3,$F76:$BP76)))"),0.25339017714285716)</f>
        <v>0.2533901771</v>
      </c>
      <c r="CQ76" s="207" t="str">
        <f>IFERROR(__xludf.DUMMYFUNCTION("IF(OR(CP76&gt;$BR76+$BS76*$BS$2,CP76&lt;$BR76-$BS76*$BS$2),AVEDEV(ARRAYFORMULA(XLOOKUP(FILTER(INDIRECT(""'""&amp;CP$1&amp;""'!$C$4:$C$66""),INDIRECT(""'""&amp;CP$1&amp;""'!$D$4:$D$66"")=CP$2),$F$3:$BP$3,$F76:$BP76))),"""")"),"")</f>
        <v/>
      </c>
      <c r="CR76" s="251">
        <f>IFERROR(__xludf.DUMMYFUNCTION("AVERAGE(ARRAYFORMULA(XLOOKUP(FILTER(INDIRECT(""'""&amp;CR$1&amp;""'!$C$4:$C$66""),INDIRECT(""'""&amp;CR$1&amp;""'!$D$4:$D$66"")=CR$2),$F$3:$BP$3,$F76:$BP76)))"),-0.07683990777777779)</f>
        <v>-0.07683990778</v>
      </c>
      <c r="CS76" s="207" t="str">
        <f>IFERROR(__xludf.DUMMYFUNCTION("IF(OR(CR76&gt;$BR76+$BS76*$BS$2,CR76&lt;$BR76-$BS76*$BS$2),AVEDEV(ARRAYFORMULA(XLOOKUP(FILTER(INDIRECT(""'""&amp;CR$1&amp;""'!$C$4:$C$66""),INDIRECT(""'""&amp;CR$1&amp;""'!$D$4:$D$66"")=CR$2),$F$3:$BP$3,$F76:$BP76))),"""")"),"")</f>
        <v/>
      </c>
      <c r="CT76" s="251">
        <f>IFERROR(__xludf.DUMMYFUNCTION("AVERAGE(ARRAYFORMULA(XLOOKUP(FILTER(INDIRECT(""'""&amp;CT$1&amp;""'!$C$4:$C$66""),INDIRECT(""'""&amp;CT$1&amp;""'!$D$4:$D$66"")=CT$2),$F$3:$BP$3,$F76:$BP76)))"),-0.03709990454545458)</f>
        <v>-0.03709990455</v>
      </c>
      <c r="CU76" s="207" t="str">
        <f>IFERROR(__xludf.DUMMYFUNCTION("IF(OR(CT76&gt;$BR76+$BS76*$BS$2,CT76&lt;$BR76-$BS76*$BS$2),AVEDEV(ARRAYFORMULA(XLOOKUP(FILTER(INDIRECT(""'""&amp;CT$1&amp;""'!$C$4:$C$66""),INDIRECT(""'""&amp;CT$1&amp;""'!$D$4:$D$66"")=CT$2),$F$3:$BP$3,$F76:$BP76))),"""")"),"")</f>
        <v/>
      </c>
      <c r="CV76" s="251">
        <f>IFERROR(__xludf.DUMMYFUNCTION("AVERAGE(ARRAYFORMULA(XLOOKUP(FILTER(INDIRECT(""'""&amp;CV$1&amp;""'!$C$4:$C$66""),INDIRECT(""'""&amp;CV$1&amp;""'!$D$4:$D$66"")=CV$2),$F$3:$BP$3,$F76:$BP76)))"),1.024980295)</f>
        <v>1.024980295</v>
      </c>
      <c r="CW76" s="207">
        <f>IFERROR(__xludf.DUMMYFUNCTION("IF(OR(CV76&gt;$BR76+$BS76*$BS$2,CV76&lt;$BR76-$BS76*$BS$2),AVEDEV(ARRAYFORMULA(XLOOKUP(FILTER(INDIRECT(""'""&amp;CV$1&amp;""'!$C$4:$C$66""),INDIRECT(""'""&amp;CV$1&amp;""'!$D$4:$D$66"")=CV$2),$F$3:$BP$3,$F76:$BP76))),"""")"),1.3534051950000001)</f>
        <v>1.353405195</v>
      </c>
      <c r="CX76" s="251">
        <f>IFERROR(__xludf.DUMMYFUNCTION("AVERAGE(ARRAYFORMULA(XLOOKUP(FILTER(INDIRECT(""'""&amp;CX$1&amp;""'!$C$4:$C$66""),INDIRECT(""'""&amp;CX$1&amp;""'!$D$4:$D$66"")=CX$2),$F$3:$BP$3,$F76:$BP76)))"),0.24933323428571433)</f>
        <v>0.2493332343</v>
      </c>
      <c r="CY76" s="207" t="str">
        <f>IFERROR(__xludf.DUMMYFUNCTION("IF(OR(CX76&gt;$BR76+$BS76*$BS$2,CX76&lt;$BR76-$BS76*$BS$2),AVEDEV(ARRAYFORMULA(XLOOKUP(FILTER(INDIRECT(""'""&amp;CX$1&amp;""'!$C$4:$C$66""),INDIRECT(""'""&amp;CX$1&amp;""'!$D$4:$D$66"")=CX$2),$F$3:$BP$3,$F76:$BP76))),"""")"),"")</f>
        <v/>
      </c>
      <c r="CZ76" s="252"/>
      <c r="DA76" s="251">
        <f>IFERROR(__xludf.DUMMYFUNCTION("AVERAGE(ARRAYFORMULA(XLOOKUP(FILTER(INDIRECT(""'""&amp;DA$1&amp;""'!$C$4:$C$66""),INDIRECT(""'""&amp;DA$1&amp;""'!$D$4:$D$66"")=DA$2),$F$3:$BP$3,$F76:$BP76)))"),0.07113681933333332)</f>
        <v>0.07113681933</v>
      </c>
      <c r="DB76" s="207" t="str">
        <f>IFERROR(__xludf.DUMMYFUNCTION("IF(OR(DA76&gt;$BR76+$BS76*$BS$2,DA76&lt;$BR76-$BS76*$BS$2),AVEDEV(ARRAYFORMULA(XLOOKUP(FILTER(INDIRECT(""'""&amp;DA$1&amp;""'!$C$4:$C$66""),INDIRECT(""'""&amp;DA$1&amp;""'!$D$4:$D$66"")=DA$2),$F$3:$BP$3,$F76:$BP76))),"""")"),"")</f>
        <v/>
      </c>
      <c r="DC76" s="251">
        <f>IFERROR(__xludf.DUMMYFUNCTION("AVERAGE(ARRAYFORMULA(XLOOKUP(FILTER(INDIRECT(""'""&amp;DC$1&amp;""'!$C$4:$C$66""),INDIRECT(""'""&amp;DC$1&amp;""'!$D$4:$D$66"")=DC$2),$F$3:$BP$3,$F76:$BP76)))"),-0.17667337111111114)</f>
        <v>-0.1766733711</v>
      </c>
      <c r="DD76" s="207" t="str">
        <f>IFERROR(__xludf.DUMMYFUNCTION("IF(OR(DC76&gt;$BR76+$BS76*$BS$2,DC76&lt;$BR76-$BS76*$BS$2),AVEDEV(ARRAYFORMULA(XLOOKUP(FILTER(INDIRECT(""'""&amp;DC$1&amp;""'!$C$4:$C$66""),INDIRECT(""'""&amp;DC$1&amp;""'!$D$4:$D$66"")=DC$2),$F$3:$BP$3,$F76:$BP76))),"""")"),"")</f>
        <v/>
      </c>
      <c r="DE76" s="251">
        <f>IFERROR(__xludf.DUMMYFUNCTION("AVERAGE(ARRAYFORMULA(XLOOKUP(FILTER(INDIRECT(""'""&amp;DE$1&amp;""'!$C$4:$C$66""),INDIRECT(""'""&amp;DE$1&amp;""'!$D$4:$D$66"")=DE$2),$F$3:$BP$3,$F76:$BP76)))"),0.6070536449999999)</f>
        <v>0.607053645</v>
      </c>
      <c r="DF76" s="207" t="str">
        <f>IFERROR(__xludf.DUMMYFUNCTION("IF(OR(DE76&gt;$BR76+$BS76*$BS$2,DE76&lt;$BR76-$BS76*$BS$2),AVEDEV(ARRAYFORMULA(XLOOKUP(FILTER(INDIRECT(""'""&amp;DE$1&amp;""'!$C$4:$C$66""),INDIRECT(""'""&amp;DE$1&amp;""'!$D$4:$D$66"")=DE$2),$F$3:$BP$3,$F76:$BP76))),"""")"),"")</f>
        <v/>
      </c>
      <c r="DG76" s="251">
        <f>IFERROR(__xludf.DUMMYFUNCTION("AVERAGE(ARRAYFORMULA(XLOOKUP(FILTER(INDIRECT(""'""&amp;DG$1&amp;""'!$C$4:$C$66""),INDIRECT(""'""&amp;DG$1&amp;""'!$D$4:$D$66"")=DG$2),$F$3:$BP$3,$F76:$BP76)))"),0.2599701955555555)</f>
        <v>0.2599701956</v>
      </c>
      <c r="DH76" s="207" t="str">
        <f>IFERROR(__xludf.DUMMYFUNCTION("IF(OR(DG76&gt;$BR76+$BS76*$BS$2,DG76&lt;$BR76-$BS76*$BS$2),AVEDEV(ARRAYFORMULA(XLOOKUP(FILTER(INDIRECT(""'""&amp;DG$1&amp;""'!$C$4:$C$66""),INDIRECT(""'""&amp;DG$1&amp;""'!$D$4:$D$66"")=DG$2),$F$3:$BP$3,$F76:$BP76))),"""")"),"")</f>
        <v/>
      </c>
      <c r="DI76" s="252"/>
    </row>
    <row r="77">
      <c r="A77" s="2"/>
      <c r="B77" s="204" t="s">
        <v>507</v>
      </c>
      <c r="C77" s="204" t="s">
        <v>519</v>
      </c>
      <c r="D77" s="205" t="b">
        <f>VLOOKUP(C77,'Feature Set List'!A74:C246,2,0)</f>
        <v>1</v>
      </c>
      <c r="E77" s="205" t="b">
        <f>VLOOKUP(C77,'Feature Set List'!A74:C246,3,0)</f>
        <v>1</v>
      </c>
      <c r="F77" s="205">
        <v>-0.0070033</v>
      </c>
      <c r="G77" s="205">
        <v>1.00356309</v>
      </c>
      <c r="H77" s="205">
        <v>6.75488389</v>
      </c>
      <c r="I77" s="205">
        <v>1.29721096</v>
      </c>
      <c r="J77" s="205">
        <v>0.60547979</v>
      </c>
      <c r="K77" s="205">
        <v>-0.2013761</v>
      </c>
      <c r="L77" s="205">
        <v>0.57353483</v>
      </c>
      <c r="M77" s="205">
        <v>1.53556948</v>
      </c>
      <c r="N77" s="205">
        <v>3.25445386</v>
      </c>
      <c r="O77" s="205">
        <v>0.2995454</v>
      </c>
      <c r="P77" s="205">
        <v>-0.3222755</v>
      </c>
      <c r="Q77" s="205">
        <v>-0.2876275</v>
      </c>
      <c r="R77" s="205">
        <v>-0.4140558</v>
      </c>
      <c r="S77" s="205">
        <v>0.5280747</v>
      </c>
      <c r="T77" s="205">
        <v>-0.2523652</v>
      </c>
      <c r="U77" s="205">
        <v>0.0</v>
      </c>
      <c r="V77" s="205">
        <v>-0.2145227</v>
      </c>
      <c r="W77" s="205">
        <v>-0.5625998</v>
      </c>
      <c r="X77" s="205">
        <v>-0.3611009</v>
      </c>
      <c r="Y77" s="205">
        <v>-0.3182209</v>
      </c>
      <c r="Z77" s="205">
        <v>-0.2518737</v>
      </c>
      <c r="AA77" s="205">
        <v>-0.7671704</v>
      </c>
      <c r="AB77" s="205">
        <v>0.3302617</v>
      </c>
      <c r="AC77" s="205">
        <v>-0.0831798</v>
      </c>
      <c r="AD77" s="205">
        <v>1.16328787</v>
      </c>
      <c r="AE77" s="205">
        <v>-0.0868657</v>
      </c>
      <c r="AF77" s="205">
        <v>0.08354835</v>
      </c>
      <c r="AG77" s="205">
        <v>-0.2691977</v>
      </c>
      <c r="AH77" s="205">
        <v>-0.3399681</v>
      </c>
      <c r="AI77" s="205">
        <v>-0.1699226</v>
      </c>
      <c r="AJ77" s="205">
        <v>0.09423762</v>
      </c>
      <c r="AK77" s="205">
        <v>1.30335422</v>
      </c>
      <c r="AL77" s="205">
        <v>0.18859811</v>
      </c>
      <c r="AM77" s="205">
        <v>-0.1078757</v>
      </c>
      <c r="AN77" s="205">
        <v>0.7541467</v>
      </c>
      <c r="AO77" s="205">
        <v>-0.2973338</v>
      </c>
      <c r="AP77" s="205">
        <v>1.51345374</v>
      </c>
      <c r="AQ77" s="205">
        <v>-0.6178892</v>
      </c>
      <c r="AR77" s="205">
        <v>-0.0923946</v>
      </c>
      <c r="AS77" s="205">
        <v>1.45939305</v>
      </c>
      <c r="AT77" s="205">
        <v>-1.0151124</v>
      </c>
      <c r="AU77" s="205">
        <v>-0.1433837</v>
      </c>
      <c r="AV77" s="205">
        <v>0.08047672</v>
      </c>
      <c r="AW77" s="205">
        <v>-0.4953926</v>
      </c>
      <c r="AX77" s="205">
        <v>-0.9705738</v>
      </c>
      <c r="AY77" s="205">
        <v>-0.2596142</v>
      </c>
      <c r="AZ77" s="205">
        <v>0.8389237</v>
      </c>
      <c r="BA77" s="205">
        <v>1.97296965</v>
      </c>
      <c r="BB77" s="205">
        <v>1.90539378</v>
      </c>
      <c r="BC77" s="205">
        <v>0.29340214</v>
      </c>
      <c r="BD77" s="205">
        <v>-0.1263054</v>
      </c>
      <c r="BE77" s="205">
        <v>0.09018307</v>
      </c>
      <c r="BF77" s="205">
        <v>1.01830692</v>
      </c>
      <c r="BG77" s="205">
        <v>0.88438383</v>
      </c>
      <c r="BH77" s="205">
        <v>-0.4292911</v>
      </c>
      <c r="BI77" s="205">
        <v>1.33529918</v>
      </c>
      <c r="BJ77" s="205">
        <v>0.15616169</v>
      </c>
      <c r="BK77" s="205">
        <v>-0.5877872</v>
      </c>
      <c r="BL77" s="205">
        <v>0.2172257</v>
      </c>
      <c r="BM77" s="205">
        <v>-0.0019658</v>
      </c>
      <c r="BN77" s="205">
        <v>0.68902814</v>
      </c>
      <c r="BO77" s="205">
        <v>-0.4939182</v>
      </c>
      <c r="BP77" s="205">
        <v>0.27988696</v>
      </c>
      <c r="BQ77" s="206"/>
      <c r="BR77" s="250">
        <f t="shared" si="1"/>
        <v>0.348509134</v>
      </c>
      <c r="BS77" s="250">
        <f t="shared" si="2"/>
        <v>0.7435088476</v>
      </c>
      <c r="BT77" s="206"/>
      <c r="BU77" s="207">
        <f>IFERROR(__xludf.DUMMYFUNCTION("AVERAGE(ARRAYFORMULA(XLOOKUP(FILTER(INDIRECT(""'""&amp;BU$1&amp;""'!$C$4:$C$66""),INDIRECT(""'""&amp;BU$1&amp;""'!$D$4:$D$66"")=BU$2),$F$3:$BP$3,$F77:$BP77)))"),0.03249784999999999)</f>
        <v>0.03249785</v>
      </c>
      <c r="BV77" s="207" t="str">
        <f>IFERROR(__xludf.DUMMYFUNCTION("IF(OR(BU77&gt;$BR77+$BS77*$BS$2,BU77&lt;$BR77-$BS77*$BS$2),AVEDEV(ARRAYFORMULA(XLOOKUP(FILTER(INDIRECT(""'""&amp;BU$1&amp;""'!$C$4:$C$66""),INDIRECT(""'""&amp;BU$1&amp;""'!$D$4:$D$66"")=BU$2),$F$3:$BP$3,$F77:$BP77))),"""")"),"")</f>
        <v/>
      </c>
      <c r="BW77" s="207">
        <f>IFERROR(__xludf.DUMMYFUNCTION("AVERAGE(ARRAYFORMULA(XLOOKUP(FILTER(INDIRECT(""'""&amp;BW$1&amp;""'!$C$4:$C$66""),INDIRECT(""'""&amp;BW$1&amp;""'!$D$4:$D$66"")=BW$2),$F$3:$BP$3,$F77:$BP77)))"),0.3421094149999999)</f>
        <v>0.342109415</v>
      </c>
      <c r="BX77" s="207" t="str">
        <f>IFERROR(__xludf.DUMMYFUNCTION("IF(OR(BW77&gt;$BR77+$BS77*$BS$2,BW77&lt;$BR77-$BS77*$BS$2),AVEDEV(ARRAYFORMULA(XLOOKUP(FILTER(INDIRECT(""'""&amp;BW$1&amp;""'!$C$4:$C$66""),INDIRECT(""'""&amp;BW$1&amp;""'!$D$4:$D$66"")=BW$2),$F$3:$BP$3,$F77:$BP77))),"""")"),"")</f>
        <v/>
      </c>
      <c r="BY77" s="207">
        <f>IFERROR(__xludf.DUMMYFUNCTION("AVERAGE(ARRAYFORMULA(XLOOKUP(FILTER(INDIRECT(""'""&amp;BY$1&amp;""'!$C$4:$C$66""),INDIRECT(""'""&amp;BY$1&amp;""'!$D$4:$D$66"")=BY$2),$F$3:$BP$3,$F77:$BP77)))"),0.12062013)</f>
        <v>0.12062013</v>
      </c>
      <c r="BZ77" s="207" t="str">
        <f>IFERROR(__xludf.DUMMYFUNCTION("IF(OR(BY77&gt;$BR77+$BS77*$BS$2,BY77&lt;$BR77-$BS77*$BS$2),AVEDEV(ARRAYFORMULA(XLOOKUP(FILTER(INDIRECT(""'""&amp;BY$1&amp;""'!$C$4:$C$66""),INDIRECT(""'""&amp;BY$1&amp;""'!$D$4:$D$66"")=BY$2),$F$3:$BP$3,$F77:$BP77))),"""")"),"")</f>
        <v/>
      </c>
      <c r="CA77" s="209"/>
      <c r="CB77" s="207">
        <f>IFERROR(__xludf.DUMMYFUNCTION("AVERAGE(ARRAYFORMULA(XLOOKUP(FILTER(INDIRECT(""'""&amp;CB$1&amp;""'!$C$4:$C$66""),INDIRECT(""'""&amp;CB$1&amp;""'!$D$4:$D$66"")=CB$2),$F$3:$BP$3,$F77:$BP77)))"),0.625606643125)</f>
        <v>0.6256066431</v>
      </c>
      <c r="CC77" s="207" t="str">
        <f>IFERROR(__xludf.DUMMYFUNCTION("IF(OR(CB77&gt;$BR77+$BS77*$BS$2,CB77&lt;$BR77-$BS77*$BS$2),AVEDEV(ARRAYFORMULA(XLOOKUP(FILTER(INDIRECT(""'""&amp;CB$1&amp;""'!$C$4:$C$66""),INDIRECT(""'""&amp;CB$1&amp;""'!$D$4:$D$66"")=CB$2),$F$3:$BP$3,$F77:$BP77))),"""")"),"")</f>
        <v/>
      </c>
      <c r="CD77" s="207">
        <f>IFERROR(__xludf.DUMMYFUNCTION("AVERAGE(ARRAYFORMULA(XLOOKUP(FILTER(INDIRECT(""'""&amp;CD$1&amp;""'!$C$4:$C$66""),INDIRECT(""'""&amp;CD$1&amp;""'!$D$4:$D$66"")=CD$2),$F$3:$BP$3,$F77:$BP77)))"),0.1268068051612903)</f>
        <v>0.1268068052</v>
      </c>
      <c r="CE77" s="207" t="str">
        <f>IFERROR(__xludf.DUMMYFUNCTION("IF(OR(CD77&gt;$BR77+$BS77*$BS$2,CD77&lt;$BR77-$BS77*$BS$2),AVEDEV(ARRAYFORMULA(XLOOKUP(FILTER(INDIRECT(""'""&amp;CD$1&amp;""'!$C$4:$C$66""),INDIRECT(""'""&amp;CD$1&amp;""'!$D$4:$D$66"")=CD$2),$F$3:$BP$3,$F77:$BP77))),"""")"),"")</f>
        <v/>
      </c>
      <c r="CF77" s="207">
        <f>IFERROR(__xludf.DUMMYFUNCTION("AVERAGE(ARRAYFORMULA(XLOOKUP(FILTER(INDIRECT(""'""&amp;CF$1&amp;""'!$C$4:$C$66""),INDIRECT(""'""&amp;CF$1&amp;""'!$D$4:$D$66"")=CF$2),$F$3:$BP$3,$F77:$BP77)))"),0.5184912239999999)</f>
        <v>0.518491224</v>
      </c>
      <c r="CG77" s="207" t="str">
        <f>IFERROR(__xludf.DUMMYFUNCTION("IF(OR(CF77&gt;$BR77+$BS77*$BS$2,CF77&lt;$BR77-$BS77*$BS$2),AVEDEV(ARRAYFORMULA(XLOOKUP(FILTER(INDIRECT(""'""&amp;CF$1&amp;""'!$C$4:$C$66""),INDIRECT(""'""&amp;CF$1&amp;""'!$D$4:$D$66"")=CF$2),$F$3:$BP$3,$F77:$BP77))),"""")"),"")</f>
        <v/>
      </c>
      <c r="CH77" s="206"/>
      <c r="CI77" s="251">
        <f>IFERROR(__xludf.DUMMYFUNCTION("AVERAGE(ARRAYFORMULA(XLOOKUP(FILTER(INDIRECT(""'""&amp;CI$1&amp;""'!$C$4:$C$66""),INDIRECT(""'""&amp;CI$1&amp;""'!$D$4:$D$66"")=CI$2),$F$3:$BP$3,$F77:$BP77)))"),0.31800794600000004)</f>
        <v>0.318007946</v>
      </c>
      <c r="CJ77" s="207" t="str">
        <f>IFERROR(__xludf.DUMMYFUNCTION("IF(OR(CI77&gt;$BR77+$BS77*$BS$2,CI77&lt;$BR77-$BS77*$BS$2),AVEDEV(ARRAYFORMULA(XLOOKUP(FILTER(INDIRECT(""'""&amp;CI$1&amp;""'!$C$4:$C$66""),INDIRECT(""'""&amp;CI$1&amp;""'!$D$4:$D$66"")=CI$2),$F$3:$BP$3,$F77:$BP77))),"""")"),"")</f>
        <v/>
      </c>
      <c r="CK77" s="251">
        <f>IFERROR(__xludf.DUMMYFUNCTION("AVERAGE(ARRAYFORMULA(XLOOKUP(FILTER(INDIRECT(""'""&amp;CK$1&amp;""'!$C$4:$C$66""),INDIRECT(""'""&amp;CK$1&amp;""'!$D$4:$D$66"")=CK$2),$F$3:$BP$3,$F77:$BP77)))"),0.2345670179487179)</f>
        <v>0.2345670179</v>
      </c>
      <c r="CL77" s="207" t="str">
        <f>IFERROR(__xludf.DUMMYFUNCTION("IF(OR(CK77&gt;$BR77+$BS77*$BS$2,CK77&lt;$BR77-$BS77*$BS$2),AVEDEV(ARRAYFORMULA(XLOOKUP(FILTER(INDIRECT(""'""&amp;CK$1&amp;""'!$C$4:$C$66""),INDIRECT(""'""&amp;CK$1&amp;""'!$D$4:$D$66"")=CK$2),$F$3:$BP$3,$F77:$BP77))),"""")"),"")</f>
        <v/>
      </c>
      <c r="CM77" s="251">
        <f>IFERROR(__xludf.DUMMYFUNCTION("AVERAGE(ARRAYFORMULA(XLOOKUP(FILTER(INDIRECT(""'""&amp;CM$1&amp;""'!$C$4:$C$66""),INDIRECT(""'""&amp;CM$1&amp;""'!$D$4:$D$66"")=CM$2),$F$3:$BP$3,$F77:$BP77)))"),0.5184912239999999)</f>
        <v>0.518491224</v>
      </c>
      <c r="CN77" s="207" t="str">
        <f>IFERROR(__xludf.DUMMYFUNCTION("IF(OR(CM77&gt;$BR77+$BS77*$BS$2,CM77&lt;$BR77-$BS77*$BS$2),AVEDEV(ARRAYFORMULA(XLOOKUP(FILTER(INDIRECT(""'""&amp;CM$1&amp;""'!$C$4:$C$66""),INDIRECT(""'""&amp;CM$1&amp;""'!$D$4:$D$66"")=CM$2),$F$3:$BP$3,$F77:$BP77))),"""")"),"")</f>
        <v/>
      </c>
      <c r="CO77" s="252"/>
      <c r="CP77" s="251">
        <f>IFERROR(__xludf.DUMMYFUNCTION("AVERAGE(ARRAYFORMULA(XLOOKUP(FILTER(INDIRECT(""'""&amp;CP$1&amp;""'!$C$4:$C$66""),INDIRECT(""'""&amp;CP$1&amp;""'!$D$4:$D$66"")=CP$2),$F$3:$BP$3,$F77:$BP77)))"),0.5488389221428571)</f>
        <v>0.5488389221</v>
      </c>
      <c r="CQ77" s="207" t="str">
        <f>IFERROR(__xludf.DUMMYFUNCTION("IF(OR(CP77&gt;$BR77+$BS77*$BS$2,CP77&lt;$BR77-$BS77*$BS$2),AVEDEV(ARRAYFORMULA(XLOOKUP(FILTER(INDIRECT(""'""&amp;CP$1&amp;""'!$C$4:$C$66""),INDIRECT(""'""&amp;CP$1&amp;""'!$D$4:$D$66"")=CP$2),$F$3:$BP$3,$F77:$BP77))),"""")"),"")</f>
        <v/>
      </c>
      <c r="CR77" s="251">
        <f>IFERROR(__xludf.DUMMYFUNCTION("AVERAGE(ARRAYFORMULA(XLOOKUP(FILTER(INDIRECT(""'""&amp;CR$1&amp;""'!$C$4:$C$66""),INDIRECT(""'""&amp;CR$1&amp;""'!$D$4:$D$66"")=CR$2),$F$3:$BP$3,$F77:$BP77)))"),0.15213443666666668)</f>
        <v>0.1521344367</v>
      </c>
      <c r="CS77" s="207" t="str">
        <f>IFERROR(__xludf.DUMMYFUNCTION("IF(OR(CR77&gt;$BR77+$BS77*$BS$2,CR77&lt;$BR77-$BS77*$BS$2),AVEDEV(ARRAYFORMULA(XLOOKUP(FILTER(INDIRECT(""'""&amp;CR$1&amp;""'!$C$4:$C$66""),INDIRECT(""'""&amp;CR$1&amp;""'!$D$4:$D$66"")=CR$2),$F$3:$BP$3,$F77:$BP77))),"""")"),"")</f>
        <v/>
      </c>
      <c r="CT77" s="251">
        <f>IFERROR(__xludf.DUMMYFUNCTION("AVERAGE(ARRAYFORMULA(XLOOKUP(FILTER(INDIRECT(""'""&amp;CT$1&amp;""'!$C$4:$C$66""),INDIRECT(""'""&amp;CT$1&amp;""'!$D$4:$D$66"")=CT$2),$F$3:$BP$3,$F77:$BP77)))"),0.1436629472727273)</f>
        <v>0.1436629473</v>
      </c>
      <c r="CU77" s="207" t="str">
        <f>IFERROR(__xludf.DUMMYFUNCTION("IF(OR(CT77&gt;$BR77+$BS77*$BS$2,CT77&lt;$BR77-$BS77*$BS$2),AVEDEV(ARRAYFORMULA(XLOOKUP(FILTER(INDIRECT(""'""&amp;CT$1&amp;""'!$C$4:$C$66""),INDIRECT(""'""&amp;CT$1&amp;""'!$D$4:$D$66"")=CT$2),$F$3:$BP$3,$F77:$BP77))),"""")"),"")</f>
        <v/>
      </c>
      <c r="CV77" s="251">
        <f>IFERROR(__xludf.DUMMYFUNCTION("AVERAGE(ARRAYFORMULA(XLOOKUP(FILTER(INDIRECT(""'""&amp;CV$1&amp;""'!$C$4:$C$66""),INDIRECT(""'""&amp;CV$1&amp;""'!$D$4:$D$66"")=CV$2),$F$3:$BP$3,$F77:$BP77)))"),0.400602015)</f>
        <v>0.400602015</v>
      </c>
      <c r="CW77" s="207" t="str">
        <f>IFERROR(__xludf.DUMMYFUNCTION("IF(OR(CV77&gt;$BR77+$BS77*$BS$2,CV77&lt;$BR77-$BS77*$BS$2),AVEDEV(ARRAYFORMULA(XLOOKUP(FILTER(INDIRECT(""'""&amp;CV$1&amp;""'!$C$4:$C$66""),INDIRECT(""'""&amp;CV$1&amp;""'!$D$4:$D$66"")=CV$2),$F$3:$BP$3,$F77:$BP77))),"""")"),"")</f>
        <v/>
      </c>
      <c r="CX77" s="251">
        <f>IFERROR(__xludf.DUMMYFUNCTION("AVERAGE(ARRAYFORMULA(XLOOKUP(FILTER(INDIRECT(""'""&amp;CX$1&amp;""'!$C$4:$C$66""),INDIRECT(""'""&amp;CX$1&amp;""'!$D$4:$D$66"")=CX$2),$F$3:$BP$3,$F77:$BP77)))"),0.25218961999999995)</f>
        <v>0.25218962</v>
      </c>
      <c r="CY77" s="207" t="str">
        <f>IFERROR(__xludf.DUMMYFUNCTION("IF(OR(CX77&gt;$BR77+$BS77*$BS$2,CX77&lt;$BR77-$BS77*$BS$2),AVEDEV(ARRAYFORMULA(XLOOKUP(FILTER(INDIRECT(""'""&amp;CX$1&amp;""'!$C$4:$C$66""),INDIRECT(""'""&amp;CX$1&amp;""'!$D$4:$D$66"")=CX$2),$F$3:$BP$3,$F77:$BP77))),"""")"),"")</f>
        <v/>
      </c>
      <c r="CZ77" s="252"/>
      <c r="DA77" s="251">
        <f>IFERROR(__xludf.DUMMYFUNCTION("AVERAGE(ARRAYFORMULA(XLOOKUP(FILTER(INDIRECT(""'""&amp;DA$1&amp;""'!$C$4:$C$66""),INDIRECT(""'""&amp;DA$1&amp;""'!$D$4:$D$66"")=DA$2),$F$3:$BP$3,$F77:$BP77)))"),0.439353724)</f>
        <v>0.439353724</v>
      </c>
      <c r="DB77" s="207" t="str">
        <f>IFERROR(__xludf.DUMMYFUNCTION("IF(OR(DA77&gt;$BR77+$BS77*$BS$2,DA77&lt;$BR77-$BS77*$BS$2),AVEDEV(ARRAYFORMULA(XLOOKUP(FILTER(INDIRECT(""'""&amp;DA$1&amp;""'!$C$4:$C$66""),INDIRECT(""'""&amp;DA$1&amp;""'!$D$4:$D$66"")=DA$2),$F$3:$BP$3,$F77:$BP77))),"""")"),"")</f>
        <v/>
      </c>
      <c r="DC77" s="251">
        <f>IFERROR(__xludf.DUMMYFUNCTION("AVERAGE(ARRAYFORMULA(XLOOKUP(FILTER(INDIRECT(""'""&amp;DC$1&amp;""'!$C$4:$C$66""),INDIRECT(""'""&amp;DC$1&amp;""'!$D$4:$D$66"")=DC$2),$F$3:$BP$3,$F77:$BP77)))"),0.21011316999999996)</f>
        <v>0.21011317</v>
      </c>
      <c r="DD77" s="207" t="str">
        <f>IFERROR(__xludf.DUMMYFUNCTION("IF(OR(DC77&gt;$BR77+$BS77*$BS$2,DC77&lt;$BR77-$BS77*$BS$2),AVEDEV(ARRAYFORMULA(XLOOKUP(FILTER(INDIRECT(""'""&amp;DC$1&amp;""'!$C$4:$C$66""),INDIRECT(""'""&amp;DC$1&amp;""'!$D$4:$D$66"")=DC$2),$F$3:$BP$3,$F77:$BP77))),"""")"),"")</f>
        <v/>
      </c>
      <c r="DE77" s="251">
        <f>IFERROR(__xludf.DUMMYFUNCTION("AVERAGE(ARRAYFORMULA(XLOOKUP(FILTER(INDIRECT(""'""&amp;DE$1&amp;""'!$C$4:$C$66""),INDIRECT(""'""&amp;DE$1&amp;""'!$D$4:$D$66"")=DE$2),$F$3:$BP$3,$F77:$BP77)))"),0.08105263249999999)</f>
        <v>0.0810526325</v>
      </c>
      <c r="DF77" s="207" t="str">
        <f>IFERROR(__xludf.DUMMYFUNCTION("IF(OR(DE77&gt;$BR77+$BS77*$BS$2,DE77&lt;$BR77-$BS77*$BS$2),AVEDEV(ARRAYFORMULA(XLOOKUP(FILTER(INDIRECT(""'""&amp;DE$1&amp;""'!$C$4:$C$66""),INDIRECT(""'""&amp;DE$1&amp;""'!$D$4:$D$66"")=DE$2),$F$3:$BP$3,$F77:$BP77))),"""")"),"")</f>
        <v/>
      </c>
      <c r="DG77" s="251">
        <f>IFERROR(__xludf.DUMMYFUNCTION("AVERAGE(ARRAYFORMULA(XLOOKUP(FILTER(INDIRECT(""'""&amp;DG$1&amp;""'!$C$4:$C$66""),INDIRECT(""'""&amp;DG$1&amp;""'!$D$4:$D$66"")=DG$2),$F$3:$BP$3,$F77:$BP77)))"),0.13522)</f>
        <v>0.13522</v>
      </c>
      <c r="DH77" s="207" t="str">
        <f>IFERROR(__xludf.DUMMYFUNCTION("IF(OR(DG77&gt;$BR77+$BS77*$BS$2,DG77&lt;$BR77-$BS77*$BS$2),AVEDEV(ARRAYFORMULA(XLOOKUP(FILTER(INDIRECT(""'""&amp;DG$1&amp;""'!$C$4:$C$66""),INDIRECT(""'""&amp;DG$1&amp;""'!$D$4:$D$66"")=DG$2),$F$3:$BP$3,$F77:$BP77))),"""")"),"")</f>
        <v/>
      </c>
      <c r="DI77" s="252"/>
    </row>
    <row r="78">
      <c r="A78" s="2"/>
      <c r="B78" s="204" t="s">
        <v>507</v>
      </c>
      <c r="C78" s="204" t="s">
        <v>520</v>
      </c>
      <c r="D78" s="205" t="b">
        <f>VLOOKUP(C78,'Feature Set List'!A75:C246,2,0)</f>
        <v>1</v>
      </c>
      <c r="E78" s="205" t="b">
        <f>VLOOKUP(C78,'Feature Set List'!A75:C246,3,0)</f>
        <v>1</v>
      </c>
      <c r="F78" s="205">
        <v>0.51153846</v>
      </c>
      <c r="G78" s="205">
        <v>0.44423077</v>
      </c>
      <c r="H78" s="205">
        <v>-0.2403846</v>
      </c>
      <c r="I78" s="205">
        <v>0.37884615</v>
      </c>
      <c r="J78" s="205">
        <v>0.88846154</v>
      </c>
      <c r="K78" s="205">
        <v>0.15384615</v>
      </c>
      <c r="L78" s="205">
        <v>0.82884615</v>
      </c>
      <c r="M78" s="205">
        <v>-1.9173077</v>
      </c>
      <c r="N78" s="205">
        <v>-0.5057692</v>
      </c>
      <c r="O78" s="205">
        <v>0.93076923</v>
      </c>
      <c r="P78" s="205">
        <v>0.44807692</v>
      </c>
      <c r="Q78" s="205">
        <v>-1.675</v>
      </c>
      <c r="R78" s="205">
        <v>-0.9576923</v>
      </c>
      <c r="S78" s="205">
        <v>-0.05</v>
      </c>
      <c r="T78" s="205">
        <v>-2.4563462</v>
      </c>
      <c r="U78" s="205">
        <v>1.03269231</v>
      </c>
      <c r="V78" s="205">
        <v>-0.1557692</v>
      </c>
      <c r="W78" s="205">
        <v>-2.7453846</v>
      </c>
      <c r="X78" s="205">
        <v>0.37115385</v>
      </c>
      <c r="Y78" s="205">
        <v>0.09230769</v>
      </c>
      <c r="Z78" s="205">
        <v>-2.0557692</v>
      </c>
      <c r="AA78" s="205">
        <v>0.24423077</v>
      </c>
      <c r="AB78" s="205">
        <v>-0.9307692</v>
      </c>
      <c r="AC78" s="205">
        <v>0.81538462</v>
      </c>
      <c r="AD78" s="205">
        <v>-1.4769231</v>
      </c>
      <c r="AE78" s="205">
        <v>0.14615385</v>
      </c>
      <c r="AF78" s="205">
        <v>1.66923077</v>
      </c>
      <c r="AG78" s="205">
        <v>-1.4846154</v>
      </c>
      <c r="AH78" s="205">
        <v>0.11730769</v>
      </c>
      <c r="AI78" s="205">
        <v>2.76346154</v>
      </c>
      <c r="AJ78" s="205">
        <v>1.04230769</v>
      </c>
      <c r="AK78" s="205">
        <v>0.62884615</v>
      </c>
      <c r="AL78" s="205">
        <v>-0.3288462</v>
      </c>
      <c r="AM78" s="205">
        <v>0.24230769</v>
      </c>
      <c r="AN78" s="205">
        <v>1.91538462</v>
      </c>
      <c r="AO78" s="205">
        <v>0.43653846</v>
      </c>
      <c r="AP78" s="205">
        <v>-0.3673077</v>
      </c>
      <c r="AQ78" s="205">
        <v>1.34423077</v>
      </c>
      <c r="AR78" s="205">
        <v>0.37307692</v>
      </c>
      <c r="AS78" s="205">
        <v>-0.7346154</v>
      </c>
      <c r="AT78" s="205">
        <v>1.32884615</v>
      </c>
      <c r="AU78" s="205">
        <v>0.0</v>
      </c>
      <c r="AV78" s="205">
        <v>-0.0269231</v>
      </c>
      <c r="AW78" s="205">
        <v>0.48076923</v>
      </c>
      <c r="AX78" s="205">
        <v>-0.2923077</v>
      </c>
      <c r="AY78" s="205">
        <v>-0.9615385</v>
      </c>
      <c r="AZ78" s="205">
        <v>0.25961538</v>
      </c>
      <c r="BA78" s="205">
        <v>-1.5673077</v>
      </c>
      <c r="BB78" s="205">
        <v>-0.0846154</v>
      </c>
      <c r="BC78" s="205">
        <v>0.27884615</v>
      </c>
      <c r="BD78" s="205">
        <v>-0.3711538</v>
      </c>
      <c r="BE78" s="205">
        <v>-0.1673077</v>
      </c>
      <c r="BF78" s="205">
        <v>-0.3346154</v>
      </c>
      <c r="BG78" s="205">
        <v>1.23846154</v>
      </c>
      <c r="BH78" s="205">
        <v>0.00961538</v>
      </c>
      <c r="BI78" s="205">
        <v>-0.5653846</v>
      </c>
      <c r="BJ78" s="205">
        <v>-0.6057692</v>
      </c>
      <c r="BK78" s="205">
        <v>-2.0923077</v>
      </c>
      <c r="BL78" s="205">
        <v>-3.0344231</v>
      </c>
      <c r="BM78" s="205">
        <v>-0.2307692</v>
      </c>
      <c r="BN78" s="205">
        <v>-0.2019231</v>
      </c>
      <c r="BO78" s="205">
        <v>0.71538462</v>
      </c>
      <c r="BP78" s="205">
        <v>-0.1596154</v>
      </c>
      <c r="BQ78" s="206"/>
      <c r="BR78" s="250">
        <f t="shared" si="1"/>
        <v>-0.1055189268</v>
      </c>
      <c r="BS78" s="250">
        <f t="shared" si="2"/>
        <v>0.8146791476</v>
      </c>
      <c r="BT78" s="206"/>
      <c r="BU78" s="207">
        <f>IFERROR(__xludf.DUMMYFUNCTION("AVERAGE(ARRAYFORMULA(XLOOKUP(FILTER(INDIRECT(""'""&amp;BU$1&amp;""'!$C$4:$C$66""),INDIRECT(""'""&amp;BU$1&amp;""'!$D$4:$D$66"")=BU$2),$F$3:$BP$3,$F78:$BP78)))"),-1.0870604400000001)</f>
        <v>-1.08706044</v>
      </c>
      <c r="BV78" s="207">
        <f>IFERROR(__xludf.DUMMYFUNCTION("IF(OR(BU78&gt;$BR78+$BS78*$BS$2,BU78&lt;$BR78-$BS78*$BS$2),AVEDEV(ARRAYFORMULA(XLOOKUP(FILTER(INDIRECT(""'""&amp;BU$1&amp;""'!$C$4:$C$66""),INDIRECT(""'""&amp;BU$1&amp;""'!$D$4:$D$66"")=BU$2),$F$3:$BP$3,$F78:$BP78))),"""")"),1.2894584114285712)</f>
        <v>1.289458411</v>
      </c>
      <c r="BW78" s="207">
        <f>IFERROR(__xludf.DUMMYFUNCTION("AVERAGE(ARRAYFORMULA(XLOOKUP(FILTER(INDIRECT(""'""&amp;BW$1&amp;""'!$C$4:$C$66""),INDIRECT(""'""&amp;BW$1&amp;""'!$D$4:$D$66"")=BW$2),$F$3:$BP$3,$F78:$BP78)))"),0.014148350476190437)</f>
        <v>0.01414835048</v>
      </c>
      <c r="BX78" s="207" t="str">
        <f>IFERROR(__xludf.DUMMYFUNCTION("IF(OR(BW78&gt;$BR78+$BS78*$BS$2,BW78&lt;$BR78-$BS78*$BS$2),AVEDEV(ARRAYFORMULA(XLOOKUP(FILTER(INDIRECT(""'""&amp;BW$1&amp;""'!$C$4:$C$66""),INDIRECT(""'""&amp;BW$1&amp;""'!$D$4:$D$66"")=BW$2),$F$3:$BP$3,$F78:$BP78))),"""")"),"")</f>
        <v/>
      </c>
      <c r="BY78" s="207">
        <f>IFERROR(__xludf.DUMMYFUNCTION("AVERAGE(ARRAYFORMULA(XLOOKUP(FILTER(INDIRECT(""'""&amp;BY$1&amp;""'!$C$4:$C$66""),INDIRECT(""'""&amp;BY$1&amp;""'!$D$4:$D$66"")=BY$2),$F$3:$BP$3,$F78:$BP78)))"),-0.09089161181818182)</f>
        <v>-0.09089161182</v>
      </c>
      <c r="BZ78" s="207" t="str">
        <f>IFERROR(__xludf.DUMMYFUNCTION("IF(OR(BY78&gt;$BR78+$BS78*$BS$2,BY78&lt;$BR78-$BS78*$BS$2),AVEDEV(ARRAYFORMULA(XLOOKUP(FILTER(INDIRECT(""'""&amp;BY$1&amp;""'!$C$4:$C$66""),INDIRECT(""'""&amp;BY$1&amp;""'!$D$4:$D$66"")=BY$2),$F$3:$BP$3,$F78:$BP78))),"""")"),"")</f>
        <v/>
      </c>
      <c r="CA78" s="209"/>
      <c r="CB78" s="207">
        <f>IFERROR(__xludf.DUMMYFUNCTION("AVERAGE(ARRAYFORMULA(XLOOKUP(FILTER(INDIRECT(""'""&amp;CB$1&amp;""'!$C$4:$C$66""),INDIRECT(""'""&amp;CB$1&amp;""'!$D$4:$D$66"")=CB$2),$F$3:$BP$3,$F78:$BP78)))"),-0.16902645125000007)</f>
        <v>-0.1690264513</v>
      </c>
      <c r="CC78" s="207" t="str">
        <f>IFERROR(__xludf.DUMMYFUNCTION("IF(OR(CB78&gt;$BR78+$BS78*$BS$2,CB78&lt;$BR78-$BS78*$BS$2),AVEDEV(ARRAYFORMULA(XLOOKUP(FILTER(INDIRECT(""'""&amp;CB$1&amp;""'!$C$4:$C$66""),INDIRECT(""'""&amp;CB$1&amp;""'!$D$4:$D$66"")=CB$2),$F$3:$BP$3,$F78:$BP78))),"""")"),"")</f>
        <v/>
      </c>
      <c r="CD78" s="207">
        <f>IFERROR(__xludf.DUMMYFUNCTION("AVERAGE(ARRAYFORMULA(XLOOKUP(FILTER(INDIRECT(""'""&amp;CD$1&amp;""'!$C$4:$C$66""),INDIRECT(""'""&amp;CD$1&amp;""'!$D$4:$D$66"")=CD$2),$F$3:$BP$3,$F78:$BP78)))"),-0.08604218000000005)</f>
        <v>-0.08604218</v>
      </c>
      <c r="CE78" s="207" t="str">
        <f>IFERROR(__xludf.DUMMYFUNCTION("IF(OR(CD78&gt;$BR78+$BS78*$BS$2,CD78&lt;$BR78-$BS78*$BS$2),AVEDEV(ARRAYFORMULA(XLOOKUP(FILTER(INDIRECT(""'""&amp;CD$1&amp;""'!$C$4:$C$66""),INDIRECT(""'""&amp;CD$1&amp;""'!$D$4:$D$66"")=CD$2),$F$3:$BP$3,$F78:$BP78))),"""")"),"")</f>
        <v/>
      </c>
      <c r="CF78" s="207">
        <f>IFERROR(__xludf.DUMMYFUNCTION("AVERAGE(ARRAYFORMULA(XLOOKUP(FILTER(INDIRECT(""'""&amp;CF$1&amp;""'!$C$4:$C$66""),INDIRECT(""'""&amp;CF$1&amp;""'!$D$4:$D$66"")=CF$2),$F$3:$BP$3,$F78:$BP78)))"),0.23576922599999994)</f>
        <v>0.235769226</v>
      </c>
      <c r="CG78" s="207" t="str">
        <f>IFERROR(__xludf.DUMMYFUNCTION("IF(OR(CF78&gt;$BR78+$BS78*$BS$2,CF78&lt;$BR78-$BS78*$BS$2),AVEDEV(ARRAYFORMULA(XLOOKUP(FILTER(INDIRECT(""'""&amp;CF$1&amp;""'!$C$4:$C$66""),INDIRECT(""'""&amp;CF$1&amp;""'!$D$4:$D$66"")=CF$2),$F$3:$BP$3,$F78:$BP78))),"""")"),"")</f>
        <v/>
      </c>
      <c r="CH78" s="206"/>
      <c r="CI78" s="251">
        <f>IFERROR(__xludf.DUMMYFUNCTION("AVERAGE(ARRAYFORMULA(XLOOKUP(FILTER(INDIRECT(""'""&amp;CI$1&amp;""'!$C$4:$C$66""),INDIRECT(""'""&amp;CI$1&amp;""'!$D$4:$D$66"")=CI$2),$F$3:$BP$3,$F78:$BP78)))"),-1.1899743613333333)</f>
        <v>-1.189974361</v>
      </c>
      <c r="CJ78" s="207">
        <f>IFERROR(__xludf.DUMMYFUNCTION("IF(OR(CI78&gt;$BR78+$BS78*$BS$2,CI78&lt;$BR78-$BS78*$BS$2),AVEDEV(ARRAYFORMULA(XLOOKUP(FILTER(INDIRECT(""'""&amp;CI$1&amp;""'!$C$4:$C$66""),INDIRECT(""'""&amp;CI$1&amp;""'!$D$4:$D$66"")=CI$2),$F$3:$BP$3,$F78:$BP78))),"""")"),0.9624376145777779)</f>
        <v>0.9624376146</v>
      </c>
      <c r="CK78" s="251">
        <f>IFERROR(__xludf.DUMMYFUNCTION("AVERAGE(ARRAYFORMULA(XLOOKUP(FILTER(INDIRECT(""'""&amp;CK$1&amp;""'!$C$4:$C$66""),INDIRECT(""'""&amp;CK$1&amp;""'!$D$4:$D$66"")=CK$2),$F$3:$BP$3,$F78:$BP78)))"),0.27559171538461535)</f>
        <v>0.2755917154</v>
      </c>
      <c r="CL78" s="207" t="str">
        <f>IFERROR(__xludf.DUMMYFUNCTION("IF(OR(CK78&gt;$BR78+$BS78*$BS$2,CK78&lt;$BR78-$BS78*$BS$2),AVEDEV(ARRAYFORMULA(XLOOKUP(FILTER(INDIRECT(""'""&amp;CK$1&amp;""'!$C$4:$C$66""),INDIRECT(""'""&amp;CK$1&amp;""'!$D$4:$D$66"")=CK$2),$F$3:$BP$3,$F78:$BP78))),"""")"),"")</f>
        <v/>
      </c>
      <c r="CM78" s="251">
        <f>IFERROR(__xludf.DUMMYFUNCTION("AVERAGE(ARRAYFORMULA(XLOOKUP(FILTER(INDIRECT(""'""&amp;CM$1&amp;""'!$C$4:$C$66""),INDIRECT(""'""&amp;CM$1&amp;""'!$D$4:$D$66"")=CM$2),$F$3:$BP$3,$F78:$BP78)))"),0.23576922599999994)</f>
        <v>0.235769226</v>
      </c>
      <c r="CN78" s="207" t="str">
        <f>IFERROR(__xludf.DUMMYFUNCTION("IF(OR(CM78&gt;$BR78+$BS78*$BS$2,CM78&lt;$BR78-$BS78*$BS$2),AVEDEV(ARRAYFORMULA(XLOOKUP(FILTER(INDIRECT(""'""&amp;CM$1&amp;""'!$C$4:$C$66""),INDIRECT(""'""&amp;CM$1&amp;""'!$D$4:$D$66"")=CM$2),$F$3:$BP$3,$F78:$BP78))),"""")"),"")</f>
        <v/>
      </c>
      <c r="CO78" s="252"/>
      <c r="CP78" s="251">
        <f>IFERROR(__xludf.DUMMYFUNCTION("AVERAGE(ARRAYFORMULA(XLOOKUP(FILTER(INDIRECT(""'""&amp;CP$1&amp;""'!$C$4:$C$66""),INDIRECT(""'""&amp;CP$1&amp;""'!$D$4:$D$66"")=CP$2),$F$3:$BP$3,$F78:$BP78)))"),0.08489010642857141)</f>
        <v>0.08489010643</v>
      </c>
      <c r="CQ78" s="207" t="str">
        <f>IFERROR(__xludf.DUMMYFUNCTION("IF(OR(CP78&gt;$BR78+$BS78*$BS$2,CP78&lt;$BR78-$BS78*$BS$2),AVEDEV(ARRAYFORMULA(XLOOKUP(FILTER(INDIRECT(""'""&amp;CP$1&amp;""'!$C$4:$C$66""),INDIRECT(""'""&amp;CP$1&amp;""'!$D$4:$D$66"")=CP$2),$F$3:$BP$3,$F78:$BP78))),"""")"),"")</f>
        <v/>
      </c>
      <c r="CR78" s="251">
        <f>IFERROR(__xludf.DUMMYFUNCTION("AVERAGE(ARRAYFORMULA(XLOOKUP(FILTER(INDIRECT(""'""&amp;CR$1&amp;""'!$C$4:$C$66""),INDIRECT(""'""&amp;CR$1&amp;""'!$D$4:$D$66"")=CR$2),$F$3:$BP$3,$F78:$BP78)))"),0.3329059855555556)</f>
        <v>0.3329059856</v>
      </c>
      <c r="CS78" s="207" t="str">
        <f>IFERROR(__xludf.DUMMYFUNCTION("IF(OR(CR78&gt;$BR78+$BS78*$BS$2,CR78&lt;$BR78-$BS78*$BS$2),AVEDEV(ARRAYFORMULA(XLOOKUP(FILTER(INDIRECT(""'""&amp;CR$1&amp;""'!$C$4:$C$66""),INDIRECT(""'""&amp;CR$1&amp;""'!$D$4:$D$66"")=CR$2),$F$3:$BP$3,$F78:$BP78))),"""")"),"")</f>
        <v/>
      </c>
      <c r="CT78" s="251">
        <f>IFERROR(__xludf.DUMMYFUNCTION("AVERAGE(ARRAYFORMULA(XLOOKUP(FILTER(INDIRECT(""'""&amp;CT$1&amp;""'!$C$4:$C$66""),INDIRECT(""'""&amp;CT$1&amp;""'!$D$4:$D$66"")=CT$2),$F$3:$BP$3,$F78:$BP78)))"),-0.7041958118181818)</f>
        <v>-0.7041958118</v>
      </c>
      <c r="CU78" s="207" t="str">
        <f>IFERROR(__xludf.DUMMYFUNCTION("IF(OR(CT78&gt;$BR78+$BS78*$BS$2,CT78&lt;$BR78-$BS78*$BS$2),AVEDEV(ARRAYFORMULA(XLOOKUP(FILTER(INDIRECT(""'""&amp;CT$1&amp;""'!$C$4:$C$66""),INDIRECT(""'""&amp;CT$1&amp;""'!$D$4:$D$66"")=CT$2),$F$3:$BP$3,$F78:$BP78))),"""")"),"")</f>
        <v/>
      </c>
      <c r="CV78" s="251">
        <f>IFERROR(__xludf.DUMMYFUNCTION("AVERAGE(ARRAYFORMULA(XLOOKUP(FILTER(INDIRECT(""'""&amp;CV$1&amp;""'!$C$4:$C$66""),INDIRECT(""'""&amp;CV$1&amp;""'!$D$4:$D$66"")=CV$2),$F$3:$BP$3,$F78:$BP78)))"),1.02692308)</f>
        <v>1.02692308</v>
      </c>
      <c r="CW78" s="207">
        <f>IFERROR(__xludf.DUMMYFUNCTION("IF(OR(CV78&gt;$BR78+$BS78*$BS$2,CV78&lt;$BR78-$BS78*$BS$2),AVEDEV(ARRAYFORMULA(XLOOKUP(FILTER(INDIRECT(""'""&amp;CV$1&amp;""'!$C$4:$C$66""),INDIRECT(""'""&amp;CV$1&amp;""'!$D$4:$D$66"")=CV$2),$F$3:$BP$3,$F78:$BP78))),"""")"),0.21153846000000004)</f>
        <v>0.21153846</v>
      </c>
      <c r="CX78" s="251">
        <f>IFERROR(__xludf.DUMMYFUNCTION("AVERAGE(ARRAYFORMULA(XLOOKUP(FILTER(INDIRECT(""'""&amp;CX$1&amp;""'!$C$4:$C$66""),INDIRECT(""'""&amp;CX$1&amp;""'!$D$4:$D$66"")=CX$2),$F$3:$BP$3,$F78:$BP78)))"),0.20535714571428573)</f>
        <v>0.2053571457</v>
      </c>
      <c r="CY78" s="207" t="str">
        <f>IFERROR(__xludf.DUMMYFUNCTION("IF(OR(CX78&gt;$BR78+$BS78*$BS$2,CX78&lt;$BR78-$BS78*$BS$2),AVEDEV(ARRAYFORMULA(XLOOKUP(FILTER(INDIRECT(""'""&amp;CX$1&amp;""'!$C$4:$C$66""),INDIRECT(""'""&amp;CX$1&amp;""'!$D$4:$D$66"")=CX$2),$F$3:$BP$3,$F78:$BP78))),"""")"),"")</f>
        <v/>
      </c>
      <c r="CZ78" s="252"/>
      <c r="DA78" s="251">
        <f>IFERROR(__xludf.DUMMYFUNCTION("AVERAGE(ARRAYFORMULA(XLOOKUP(FILTER(INDIRECT(""'""&amp;DA$1&amp;""'!$C$4:$C$66""),INDIRECT(""'""&amp;DA$1&amp;""'!$D$4:$D$66"")=DA$2),$F$3:$BP$3,$F78:$BP78)))"),-0.063205129)</f>
        <v>-0.063205129</v>
      </c>
      <c r="DB78" s="207" t="str">
        <f>IFERROR(__xludf.DUMMYFUNCTION("IF(OR(DA78&gt;$BR78+$BS78*$BS$2,DA78&lt;$BR78-$BS78*$BS$2),AVEDEV(ARRAYFORMULA(XLOOKUP(FILTER(INDIRECT(""'""&amp;DA$1&amp;""'!$C$4:$C$66""),INDIRECT(""'""&amp;DA$1&amp;""'!$D$4:$D$66"")=DA$2),$F$3:$BP$3,$F78:$BP78))),"""")"),"")</f>
        <v/>
      </c>
      <c r="DC78" s="251">
        <f>IFERROR(__xludf.DUMMYFUNCTION("AVERAGE(ARRAYFORMULA(XLOOKUP(FILTER(INDIRECT(""'""&amp;DC$1&amp;""'!$C$4:$C$66""),INDIRECT(""'""&amp;DC$1&amp;""'!$D$4:$D$66"")=DC$2),$F$3:$BP$3,$F78:$BP78)))"),-0.06173077000000003)</f>
        <v>-0.06173077</v>
      </c>
      <c r="DD78" s="207" t="str">
        <f>IFERROR(__xludf.DUMMYFUNCTION("IF(OR(DC78&gt;$BR78+$BS78*$BS$2,DC78&lt;$BR78-$BS78*$BS$2),AVEDEV(ARRAYFORMULA(XLOOKUP(FILTER(INDIRECT(""'""&amp;DC$1&amp;""'!$C$4:$C$66""),INDIRECT(""'""&amp;DC$1&amp;""'!$D$4:$D$66"")=DC$2),$F$3:$BP$3,$F78:$BP78))),"""")"),"")</f>
        <v/>
      </c>
      <c r="DE78" s="251">
        <f>IFERROR(__xludf.DUMMYFUNCTION("AVERAGE(ARRAYFORMULA(XLOOKUP(FILTER(INDIRECT(""'""&amp;DE$1&amp;""'!$C$4:$C$66""),INDIRECT(""'""&amp;DE$1&amp;""'!$D$4:$D$66"")=DE$2),$F$3:$BP$3,$F78:$BP78)))"),-0.7676201950000001)</f>
        <v>-0.767620195</v>
      </c>
      <c r="DF78" s="207" t="str">
        <f>IFERROR(__xludf.DUMMYFUNCTION("IF(OR(DE78&gt;$BR78+$BS78*$BS$2,DE78&lt;$BR78-$BS78*$BS$2),AVEDEV(ARRAYFORMULA(XLOOKUP(FILTER(INDIRECT(""'""&amp;DE$1&amp;""'!$C$4:$C$66""),INDIRECT(""'""&amp;DE$1&amp;""'!$D$4:$D$66"")=DE$2),$F$3:$BP$3,$F78:$BP78))),"""")"),"")</f>
        <v/>
      </c>
      <c r="DG78" s="251">
        <f>IFERROR(__xludf.DUMMYFUNCTION("AVERAGE(ARRAYFORMULA(XLOOKUP(FILTER(INDIRECT(""'""&amp;DG$1&amp;""'!$C$4:$C$66""),INDIRECT(""'""&amp;DG$1&amp;""'!$D$4:$D$66"")=DG$2),$F$3:$BP$3,$F78:$BP78)))"),0.2395299088888889)</f>
        <v>0.2395299089</v>
      </c>
      <c r="DH78" s="207" t="str">
        <f>IFERROR(__xludf.DUMMYFUNCTION("IF(OR(DG78&gt;$BR78+$BS78*$BS$2,DG78&lt;$BR78-$BS78*$BS$2),AVEDEV(ARRAYFORMULA(XLOOKUP(FILTER(INDIRECT(""'""&amp;DG$1&amp;""'!$C$4:$C$66""),INDIRECT(""'""&amp;DG$1&amp;""'!$D$4:$D$66"")=DG$2),$F$3:$BP$3,$F78:$BP78))),"""")"),"")</f>
        <v/>
      </c>
      <c r="DI78" s="252"/>
    </row>
    <row r="79">
      <c r="A79" s="2"/>
      <c r="B79" s="204" t="s">
        <v>507</v>
      </c>
      <c r="C79" s="204" t="s">
        <v>521</v>
      </c>
      <c r="D79" s="205" t="b">
        <f>VLOOKUP(C79,'Feature Set List'!A76:C246,2,0)</f>
        <v>1</v>
      </c>
      <c r="E79" s="205" t="b">
        <f>VLOOKUP(C79,'Feature Set List'!A76:C246,3,0)</f>
        <v>1</v>
      </c>
      <c r="F79" s="205">
        <v>-0.3036372</v>
      </c>
      <c r="G79" s="205">
        <v>0.9063893</v>
      </c>
      <c r="H79" s="205">
        <v>2.2843853</v>
      </c>
      <c r="I79" s="205">
        <v>1.01169326</v>
      </c>
      <c r="J79" s="205">
        <v>0.98262162</v>
      </c>
      <c r="K79" s="205">
        <v>0.2067317</v>
      </c>
      <c r="L79" s="205">
        <v>-0.1117643</v>
      </c>
      <c r="M79" s="205">
        <v>0.30686737</v>
      </c>
      <c r="N79" s="205">
        <v>0.07558628</v>
      </c>
      <c r="O79" s="205">
        <v>0.10207378</v>
      </c>
      <c r="P79" s="205">
        <v>-0.3792881</v>
      </c>
      <c r="Q79" s="205">
        <v>-0.1699076</v>
      </c>
      <c r="R79" s="205">
        <v>-0.5613412</v>
      </c>
      <c r="S79" s="205">
        <v>0.72162284</v>
      </c>
      <c r="T79" s="205">
        <v>-0.3945345</v>
      </c>
      <c r="U79" s="205">
        <v>1.54338136</v>
      </c>
      <c r="V79" s="205">
        <v>-0.4082305</v>
      </c>
      <c r="W79" s="205">
        <v>-0.6919052</v>
      </c>
      <c r="X79" s="205">
        <v>-0.541314</v>
      </c>
      <c r="Y79" s="205">
        <v>-0.5719362</v>
      </c>
      <c r="Z79" s="205">
        <v>-0.5319465</v>
      </c>
      <c r="AA79" s="205">
        <v>-0.6348601</v>
      </c>
      <c r="AB79" s="205">
        <v>-0.3692099</v>
      </c>
      <c r="AC79" s="205">
        <v>-0.7318948</v>
      </c>
      <c r="AD79" s="205">
        <v>0.22352865</v>
      </c>
      <c r="AE79" s="205">
        <v>0.1130564</v>
      </c>
      <c r="AF79" s="205">
        <v>4.15530719</v>
      </c>
      <c r="AG79" s="205">
        <v>-0.3494412</v>
      </c>
      <c r="AH79" s="205">
        <v>0.59047742</v>
      </c>
      <c r="AI79" s="205">
        <v>-0.6300795</v>
      </c>
      <c r="AJ79" s="205">
        <v>0.89282253</v>
      </c>
      <c r="AK79" s="205">
        <v>0.98197558</v>
      </c>
      <c r="AL79" s="205">
        <v>-0.3002778</v>
      </c>
      <c r="AM79" s="205">
        <v>-0.0155049</v>
      </c>
      <c r="AN79" s="205">
        <v>1.9859164</v>
      </c>
      <c r="AO79" s="205">
        <v>-0.4493184</v>
      </c>
      <c r="AP79" s="205">
        <v>0.24678597</v>
      </c>
      <c r="AQ79" s="205">
        <v>-0.4960269</v>
      </c>
      <c r="AR79" s="205">
        <v>0.63569998</v>
      </c>
      <c r="AS79" s="205">
        <v>0.17766006</v>
      </c>
      <c r="AT79" s="205">
        <v>0.03488597</v>
      </c>
      <c r="AU79" s="205">
        <v>0.76296918</v>
      </c>
      <c r="AV79" s="205">
        <v>0.0</v>
      </c>
      <c r="AW79" s="205">
        <v>-0.4312294</v>
      </c>
      <c r="AX79" s="205">
        <v>0.22869694</v>
      </c>
      <c r="AY79" s="205">
        <v>-0.3765101</v>
      </c>
      <c r="AZ79" s="205">
        <v>0.66218748</v>
      </c>
      <c r="BA79" s="205">
        <v>-0.3423994</v>
      </c>
      <c r="BB79" s="205">
        <v>0.30105304</v>
      </c>
      <c r="BC79" s="205">
        <v>0.47806706</v>
      </c>
      <c r="BD79" s="205">
        <v>-0.2320563</v>
      </c>
      <c r="BE79" s="205">
        <v>1.52335422</v>
      </c>
      <c r="BF79" s="205">
        <v>1.32049874</v>
      </c>
      <c r="BG79" s="205">
        <v>-0.2028555</v>
      </c>
      <c r="BH79" s="205">
        <v>0.08204664</v>
      </c>
      <c r="BI79" s="205">
        <v>0.86375089</v>
      </c>
      <c r="BJ79" s="205">
        <v>-0.0051683</v>
      </c>
      <c r="BK79" s="205">
        <v>-0.8356347</v>
      </c>
      <c r="BL79" s="205">
        <v>-0.6849926</v>
      </c>
      <c r="BM79" s="205">
        <v>-0.0219652</v>
      </c>
      <c r="BN79" s="205">
        <v>-0.5670909</v>
      </c>
      <c r="BO79" s="205">
        <v>-0.3492474</v>
      </c>
      <c r="BP79" s="205">
        <v>0.12339298</v>
      </c>
      <c r="BQ79" s="206"/>
      <c r="BR79" s="250">
        <f t="shared" si="1"/>
        <v>0.1878399608</v>
      </c>
      <c r="BS79" s="250">
        <f t="shared" si="2"/>
        <v>0.612972221</v>
      </c>
      <c r="BT79" s="206"/>
      <c r="BU79" s="207">
        <f>IFERROR(__xludf.DUMMYFUNCTION("AVERAGE(ARRAYFORMULA(XLOOKUP(FILTER(INDIRECT(""'""&amp;BU$1&amp;""'!$C$4:$C$66""),INDIRECT(""'""&amp;BU$1&amp;""'!$D$4:$D$66"")=BU$2),$F$3:$BP$3,$F79:$BP79)))"),-0.04027382285714284)</f>
        <v>-0.04027382286</v>
      </c>
      <c r="BV79" s="207" t="str">
        <f>IFERROR(__xludf.DUMMYFUNCTION("IF(OR(BU79&gt;$BR79+$BS79*$BS$2,BU79&lt;$BR79-$BS79*$BS$2),AVEDEV(ARRAYFORMULA(XLOOKUP(FILTER(INDIRECT(""'""&amp;BU$1&amp;""'!$C$4:$C$66""),INDIRECT(""'""&amp;BU$1&amp;""'!$D$4:$D$66"")=BU$2),$F$3:$BP$3,$F79:$BP79))),"""")"),"")</f>
        <v/>
      </c>
      <c r="BW79" s="207">
        <f>IFERROR(__xludf.DUMMYFUNCTION("AVERAGE(ARRAYFORMULA(XLOOKUP(FILTER(INDIRECT(""'""&amp;BW$1&amp;""'!$C$4:$C$66""),INDIRECT(""'""&amp;BW$1&amp;""'!$D$4:$D$66"")=BW$2),$F$3:$BP$3,$F79:$BP79)))"),0.23664934428571427)</f>
        <v>0.2366493443</v>
      </c>
      <c r="BX79" s="207" t="str">
        <f>IFERROR(__xludf.DUMMYFUNCTION("IF(OR(BW79&gt;$BR79+$BS79*$BS$2,BW79&lt;$BR79-$BS79*$BS$2),AVEDEV(ARRAYFORMULA(XLOOKUP(FILTER(INDIRECT(""'""&amp;BW$1&amp;""'!$C$4:$C$66""),INDIRECT(""'""&amp;BW$1&amp;""'!$D$4:$D$66"")=BW$2),$F$3:$BP$3,$F79:$BP79))),"""")"),"")</f>
        <v/>
      </c>
      <c r="BY79" s="207">
        <f>IFERROR(__xludf.DUMMYFUNCTION("AVERAGE(ARRAYFORMULA(XLOOKUP(FILTER(INDIRECT(""'""&amp;BY$1&amp;""'!$C$4:$C$66""),INDIRECT(""'""&amp;BY$1&amp;""'!$D$4:$D$66"")=BY$2),$F$3:$BP$3,$F79:$BP79)))"),-0.05643422727272726)</f>
        <v>-0.05643422727</v>
      </c>
      <c r="BZ79" s="207" t="str">
        <f>IFERROR(__xludf.DUMMYFUNCTION("IF(OR(BY79&gt;$BR79+$BS79*$BS$2,BY79&lt;$BR79-$BS79*$BS$2),AVEDEV(ARRAYFORMULA(XLOOKUP(FILTER(INDIRECT(""'""&amp;BY$1&amp;""'!$C$4:$C$66""),INDIRECT(""'""&amp;BY$1&amp;""'!$D$4:$D$66"")=BY$2),$F$3:$BP$3,$F79:$BP79))),"""")"),"")</f>
        <v/>
      </c>
      <c r="CA79" s="209"/>
      <c r="CB79" s="207">
        <f>IFERROR(__xludf.DUMMYFUNCTION("AVERAGE(ARRAYFORMULA(XLOOKUP(FILTER(INDIRECT(""'""&amp;CB$1&amp;""'!$C$4:$C$66""),INDIRECT(""'""&amp;CB$1&amp;""'!$D$4:$D$66"")=CB$2),$F$3:$BP$3,$F79:$BP79)))"),0.710914790625)</f>
        <v>0.7109147906</v>
      </c>
      <c r="CC79" s="207" t="str">
        <f>IFERROR(__xludf.DUMMYFUNCTION("IF(OR(CB79&gt;$BR79+$BS79*$BS$2,CB79&lt;$BR79-$BS79*$BS$2),AVEDEV(ARRAYFORMULA(XLOOKUP(FILTER(INDIRECT(""'""&amp;CB$1&amp;""'!$C$4:$C$66""),INDIRECT(""'""&amp;CB$1&amp;""'!$D$4:$D$66"")=CB$2),$F$3:$BP$3,$F79:$BP79))),"""")"),"")</f>
        <v/>
      </c>
      <c r="CD79" s="207">
        <f>IFERROR(__xludf.DUMMYFUNCTION("AVERAGE(ARRAYFORMULA(XLOOKUP(FILTER(INDIRECT(""'""&amp;CD$1&amp;""'!$C$4:$C$66""),INDIRECT(""'""&amp;CD$1&amp;""'!$D$4:$D$66"")=CD$2),$F$3:$BP$3,$F79:$BP79)))"),-0.12114644419354838)</f>
        <v>-0.1211464442</v>
      </c>
      <c r="CE79" s="207" t="str">
        <f>IFERROR(__xludf.DUMMYFUNCTION("IF(OR(CD79&gt;$BR79+$BS79*$BS$2,CD79&lt;$BR79-$BS79*$BS$2),AVEDEV(ARRAYFORMULA(XLOOKUP(FILTER(INDIRECT(""'""&amp;CD$1&amp;""'!$C$4:$C$66""),INDIRECT(""'""&amp;CD$1&amp;""'!$D$4:$D$66"")=CD$2),$F$3:$BP$3,$F79:$BP79))),"""")"),"")</f>
        <v/>
      </c>
      <c r="CF79" s="207">
        <f>IFERROR(__xludf.DUMMYFUNCTION("AVERAGE(ARRAYFORMULA(XLOOKUP(FILTER(INDIRECT(""'""&amp;CF$1&amp;""'!$C$4:$C$66""),INDIRECT(""'""&amp;CF$1&amp;""'!$D$4:$D$66"")=CF$2),$F$3:$BP$3,$F79:$BP79)))"),0.688416564)</f>
        <v>0.688416564</v>
      </c>
      <c r="CG79" s="207" t="str">
        <f>IFERROR(__xludf.DUMMYFUNCTION("IF(OR(CF79&gt;$BR79+$BS79*$BS$2,CF79&lt;$BR79-$BS79*$BS$2),AVEDEV(ARRAYFORMULA(XLOOKUP(FILTER(INDIRECT(""'""&amp;CF$1&amp;""'!$C$4:$C$66""),INDIRECT(""'""&amp;CF$1&amp;""'!$D$4:$D$66"")=CF$2),$F$3:$BP$3,$F79:$BP79))),"""")"),"")</f>
        <v/>
      </c>
      <c r="CH79" s="206"/>
      <c r="CI79" s="251">
        <f>IFERROR(__xludf.DUMMYFUNCTION("AVERAGE(ARRAYFORMULA(XLOOKUP(FILTER(INDIRECT(""'""&amp;CI$1&amp;""'!$C$4:$C$66""),INDIRECT(""'""&amp;CI$1&amp;""'!$D$4:$D$66"")=CI$2),$F$3:$BP$3,$F79:$BP79)))"),-0.32902211466666664)</f>
        <v>-0.3290221147</v>
      </c>
      <c r="CJ79" s="207" t="str">
        <f>IFERROR(__xludf.DUMMYFUNCTION("IF(OR(CI79&gt;$BR79+$BS79*$BS$2,CI79&lt;$BR79-$BS79*$BS$2),AVEDEV(ARRAYFORMULA(XLOOKUP(FILTER(INDIRECT(""'""&amp;CI$1&amp;""'!$C$4:$C$66""),INDIRECT(""'""&amp;CI$1&amp;""'!$D$4:$D$66"")=CI$2),$F$3:$BP$3,$F79:$BP79))),"""")"),"")</f>
        <v/>
      </c>
      <c r="CK79" s="251">
        <f>IFERROR(__xludf.DUMMYFUNCTION("AVERAGE(ARRAYFORMULA(XLOOKUP(FILTER(INDIRECT(""'""&amp;CK$1&amp;""'!$C$4:$C$66""),INDIRECT(""'""&amp;CK$1&amp;""'!$D$4:$D$66"")=CK$2),$F$3:$BP$3,$F79:$BP79)))"),0.291422123076923)</f>
        <v>0.2914221231</v>
      </c>
      <c r="CL79" s="207" t="str">
        <f>IFERROR(__xludf.DUMMYFUNCTION("IF(OR(CK79&gt;$BR79+$BS79*$BS$2,CK79&lt;$BR79-$BS79*$BS$2),AVEDEV(ARRAYFORMULA(XLOOKUP(FILTER(INDIRECT(""'""&amp;CK$1&amp;""'!$C$4:$C$66""),INDIRECT(""'""&amp;CK$1&amp;""'!$D$4:$D$66"")=CK$2),$F$3:$BP$3,$F79:$BP79))),"""")"),"")</f>
        <v/>
      </c>
      <c r="CM79" s="251">
        <f>IFERROR(__xludf.DUMMYFUNCTION("AVERAGE(ARRAYFORMULA(XLOOKUP(FILTER(INDIRECT(""'""&amp;CM$1&amp;""'!$C$4:$C$66""),INDIRECT(""'""&amp;CM$1&amp;""'!$D$4:$D$66"")=CM$2),$F$3:$BP$3,$F79:$BP79)))"),0.688416564)</f>
        <v>0.688416564</v>
      </c>
      <c r="CN79" s="207" t="str">
        <f>IFERROR(__xludf.DUMMYFUNCTION("IF(OR(CM79&gt;$BR79+$BS79*$BS$2,CM79&lt;$BR79-$BS79*$BS$2),AVEDEV(ARRAYFORMULA(XLOOKUP(FILTER(INDIRECT(""'""&amp;CM$1&amp;""'!$C$4:$C$66""),INDIRECT(""'""&amp;CM$1&amp;""'!$D$4:$D$66"")=CM$2),$F$3:$BP$3,$F79:$BP79))),"""")"),"")</f>
        <v/>
      </c>
      <c r="CO79" s="252"/>
      <c r="CP79" s="251">
        <f>IFERROR(__xludf.DUMMYFUNCTION("AVERAGE(ARRAYFORMULA(XLOOKUP(FILTER(INDIRECT(""'""&amp;CP$1&amp;""'!$C$4:$C$66""),INDIRECT(""'""&amp;CP$1&amp;""'!$D$4:$D$66"")=CP$2),$F$3:$BP$3,$F79:$BP79)))"),0.8520068678571429)</f>
        <v>0.8520068679</v>
      </c>
      <c r="CQ79" s="207">
        <f>IFERROR(__xludf.DUMMYFUNCTION("IF(OR(CP79&gt;$BR79+$BS79*$BS$2,CP79&lt;$BR79-$BS79*$BS$2),AVEDEV(ARRAYFORMULA(XLOOKUP(FILTER(INDIRECT(""'""&amp;CP$1&amp;""'!$C$4:$C$66""),INDIRECT(""'""&amp;CP$1&amp;""'!$D$4:$D$66"")=CP$2),$F$3:$BP$3,$F79:$BP79))),"""")"),0.7215536235714286)</f>
        <v>0.7215536236</v>
      </c>
      <c r="CR79" s="251">
        <f>IFERROR(__xludf.DUMMYFUNCTION("AVERAGE(ARRAYFORMULA(XLOOKUP(FILTER(INDIRECT(""'""&amp;CR$1&amp;""'!$C$4:$C$66""),INDIRECT(""'""&amp;CR$1&amp;""'!$D$4:$D$66"")=CR$2),$F$3:$BP$3,$F79:$BP79)))"),0.04896957777777777)</f>
        <v>0.04896957778</v>
      </c>
      <c r="CS79" s="207" t="str">
        <f>IFERROR(__xludf.DUMMYFUNCTION("IF(OR(CR79&gt;$BR79+$BS79*$BS$2,CR79&lt;$BR79-$BS79*$BS$2),AVEDEV(ARRAYFORMULA(XLOOKUP(FILTER(INDIRECT(""'""&amp;CR$1&amp;""'!$C$4:$C$66""),INDIRECT(""'""&amp;CR$1&amp;""'!$D$4:$D$66"")=CR$2),$F$3:$BP$3,$F79:$BP79))),"""")"),"")</f>
        <v/>
      </c>
      <c r="CT79" s="251">
        <f>IFERROR(__xludf.DUMMYFUNCTION("AVERAGE(ARRAYFORMULA(XLOOKUP(FILTER(INDIRECT(""'""&amp;CT$1&amp;""'!$C$4:$C$66""),INDIRECT(""'""&amp;CT$1&amp;""'!$D$4:$D$66"")=CT$2),$F$3:$BP$3,$F79:$BP79)))"),-0.12995906545454544)</f>
        <v>-0.1299590655</v>
      </c>
      <c r="CU79" s="207" t="str">
        <f>IFERROR(__xludf.DUMMYFUNCTION("IF(OR(CT79&gt;$BR79+$BS79*$BS$2,CT79&lt;$BR79-$BS79*$BS$2),AVEDEV(ARRAYFORMULA(XLOOKUP(FILTER(INDIRECT(""'""&amp;CT$1&amp;""'!$C$4:$C$66""),INDIRECT(""'""&amp;CT$1&amp;""'!$D$4:$D$66"")=CT$2),$F$3:$BP$3,$F79:$BP79))),"""")"),"")</f>
        <v/>
      </c>
      <c r="CV79" s="251">
        <f>IFERROR(__xludf.DUMMYFUNCTION("AVERAGE(ARRAYFORMULA(XLOOKUP(FILTER(INDIRECT(""'""&amp;CV$1&amp;""'!$C$4:$C$66""),INDIRECT(""'""&amp;CV$1&amp;""'!$D$4:$D$66"")=CV$2),$F$3:$BP$3,$F79:$BP79)))"),-0.46737514999999996)</f>
        <v>-0.46737515</v>
      </c>
      <c r="CW79" s="207">
        <f>IFERROR(__xludf.DUMMYFUNCTION("IF(OR(CV79&gt;$BR79+$BS79*$BS$2,CV79&lt;$BR79-$BS79*$BS$2),AVEDEV(ARRAYFORMULA(XLOOKUP(FILTER(INDIRECT(""'""&amp;CV$1&amp;""'!$C$4:$C$66""),INDIRECT(""'""&amp;CV$1&amp;""'!$D$4:$D$66"")=CV$2),$F$3:$BP$3,$F79:$BP79))),"""")"),0.26451965)</f>
        <v>0.26451965</v>
      </c>
      <c r="CX79" s="251">
        <f>IFERROR(__xludf.DUMMYFUNCTION("AVERAGE(ARRAYFORMULA(XLOOKUP(FILTER(INDIRECT(""'""&amp;CX$1&amp;""'!$C$4:$C$66""),INDIRECT(""'""&amp;CX$1&amp;""'!$D$4:$D$66"")=CX$2),$F$3:$BP$3,$F79:$BP79)))"),-0.11566824071428572)</f>
        <v>-0.1156682407</v>
      </c>
      <c r="CY79" s="207" t="str">
        <f>IFERROR(__xludf.DUMMYFUNCTION("IF(OR(CX79&gt;$BR79+$BS79*$BS$2,CX79&lt;$BR79-$BS79*$BS$2),AVEDEV(ARRAYFORMULA(XLOOKUP(FILTER(INDIRECT(""'""&amp;CX$1&amp;""'!$C$4:$C$66""),INDIRECT(""'""&amp;CX$1&amp;""'!$D$4:$D$66"")=CX$2),$F$3:$BP$3,$F79:$BP79))),"""")"),"")</f>
        <v/>
      </c>
      <c r="CZ79" s="252"/>
      <c r="DA79" s="251">
        <f>IFERROR(__xludf.DUMMYFUNCTION("AVERAGE(ARRAYFORMULA(XLOOKUP(FILTER(INDIRECT(""'""&amp;DA$1&amp;""'!$C$4:$C$66""),INDIRECT(""'""&amp;DA$1&amp;""'!$D$4:$D$66"")=DA$2),$F$3:$BP$3,$F79:$BP79)))"),0.40346490733333334)</f>
        <v>0.4034649073</v>
      </c>
      <c r="DB79" s="207" t="str">
        <f>IFERROR(__xludf.DUMMYFUNCTION("IF(OR(DA79&gt;$BR79+$BS79*$BS$2,DA79&lt;$BR79-$BS79*$BS$2),AVEDEV(ARRAYFORMULA(XLOOKUP(FILTER(INDIRECT(""'""&amp;DA$1&amp;""'!$C$4:$C$66""),INDIRECT(""'""&amp;DA$1&amp;""'!$D$4:$D$66"")=DA$2),$F$3:$BP$3,$F79:$BP79))),"""")"),"")</f>
        <v/>
      </c>
      <c r="DC79" s="251">
        <f>IFERROR(__xludf.DUMMYFUNCTION("AVERAGE(ARRAYFORMULA(XLOOKUP(FILTER(INDIRECT(""'""&amp;DC$1&amp;""'!$C$4:$C$66""),INDIRECT(""'""&amp;DC$1&amp;""'!$D$4:$D$66"")=DC$2),$F$3:$BP$3,$F79:$BP79)))"),0.10521782000000002)</f>
        <v>0.10521782</v>
      </c>
      <c r="DD79" s="207" t="str">
        <f>IFERROR(__xludf.DUMMYFUNCTION("IF(OR(DC79&gt;$BR79+$BS79*$BS$2,DC79&lt;$BR79-$BS79*$BS$2),AVEDEV(ARRAYFORMULA(XLOOKUP(FILTER(INDIRECT(""'""&amp;DC$1&amp;""'!$C$4:$C$66""),INDIRECT(""'""&amp;DC$1&amp;""'!$D$4:$D$66"")=DC$2),$F$3:$BP$3,$F79:$BP79))),"""")"),"")</f>
        <v/>
      </c>
      <c r="DE79" s="251">
        <f>IFERROR(__xludf.DUMMYFUNCTION("AVERAGE(ARRAYFORMULA(XLOOKUP(FILTER(INDIRECT(""'""&amp;DE$1&amp;""'!$C$4:$C$66""),INDIRECT(""'""&amp;DE$1&amp;""'!$D$4:$D$66"")=DE$2),$F$3:$BP$3,$F79:$BP79)))"),-0.2950045225)</f>
        <v>-0.2950045225</v>
      </c>
      <c r="DF79" s="207" t="str">
        <f>IFERROR(__xludf.DUMMYFUNCTION("IF(OR(DE79&gt;$BR79+$BS79*$BS$2,DE79&lt;$BR79-$BS79*$BS$2),AVEDEV(ARRAYFORMULA(XLOOKUP(FILTER(INDIRECT(""'""&amp;DE$1&amp;""'!$C$4:$C$66""),INDIRECT(""'""&amp;DE$1&amp;""'!$D$4:$D$66"")=DE$2),$F$3:$BP$3,$F79:$BP79))),"""")"),"")</f>
        <v/>
      </c>
      <c r="DG79" s="251">
        <f>IFERROR(__xludf.DUMMYFUNCTION("AVERAGE(ARRAYFORMULA(XLOOKUP(FILTER(INDIRECT(""'""&amp;DG$1&amp;""'!$C$4:$C$66""),INDIRECT(""'""&amp;DG$1&amp;""'!$D$4:$D$66"")=DG$2),$F$3:$BP$3,$F79:$BP79)))"),-0.17962686888888885)</f>
        <v>-0.1796268689</v>
      </c>
      <c r="DH79" s="207" t="str">
        <f>IFERROR(__xludf.DUMMYFUNCTION("IF(OR(DG79&gt;$BR79+$BS79*$BS$2,DG79&lt;$BR79-$BS79*$BS$2),AVEDEV(ARRAYFORMULA(XLOOKUP(FILTER(INDIRECT(""'""&amp;DG$1&amp;""'!$C$4:$C$66""),INDIRECT(""'""&amp;DG$1&amp;""'!$D$4:$D$66"")=DG$2),$F$3:$BP$3,$F79:$BP79))),"""")"),"")</f>
        <v/>
      </c>
      <c r="DI79" s="252"/>
    </row>
    <row r="80">
      <c r="A80" s="2"/>
      <c r="B80" s="204" t="s">
        <v>507</v>
      </c>
      <c r="C80" s="204" t="s">
        <v>522</v>
      </c>
      <c r="D80" s="205" t="b">
        <f>VLOOKUP(C80,'Feature Set List'!A77:C246,2,0)</f>
        <v>1</v>
      </c>
      <c r="E80" s="205" t="b">
        <f>VLOOKUP(C80,'Feature Set List'!A77:C246,3,0)</f>
        <v>1</v>
      </c>
      <c r="F80" s="205">
        <v>0.30777325</v>
      </c>
      <c r="G80" s="205">
        <v>-0.6673681</v>
      </c>
      <c r="H80" s="205">
        <v>0.8233592</v>
      </c>
      <c r="I80" s="205">
        <v>-1.0272261</v>
      </c>
      <c r="J80" s="205">
        <v>-0.8230961</v>
      </c>
      <c r="K80" s="205">
        <v>-0.1210049</v>
      </c>
      <c r="L80" s="205">
        <v>0.74707352</v>
      </c>
      <c r="M80" s="205">
        <v>0.32092595</v>
      </c>
      <c r="N80" s="205">
        <v>0.14204919</v>
      </c>
      <c r="O80" s="205">
        <v>-0.798106</v>
      </c>
      <c r="P80" s="205">
        <v>-0.2217546</v>
      </c>
      <c r="Q80" s="205">
        <v>0.79705379</v>
      </c>
      <c r="R80" s="205">
        <v>0.64448244</v>
      </c>
      <c r="S80" s="205">
        <v>-0.8123109</v>
      </c>
      <c r="T80" s="205">
        <v>-0.2517427</v>
      </c>
      <c r="U80" s="205">
        <v>-1.245824</v>
      </c>
      <c r="V80" s="205">
        <v>0.50506379</v>
      </c>
      <c r="W80" s="205">
        <v>-1.0230172</v>
      </c>
      <c r="X80" s="205">
        <v>0.40510325</v>
      </c>
      <c r="Y80" s="205">
        <v>0.81283704</v>
      </c>
      <c r="Z80" s="205">
        <v>0.93121136</v>
      </c>
      <c r="AA80" s="205">
        <v>0.27094568</v>
      </c>
      <c r="AB80" s="205">
        <v>0.84440352</v>
      </c>
      <c r="AC80" s="205">
        <v>0.22622649</v>
      </c>
      <c r="AD80" s="205">
        <v>0.65763514</v>
      </c>
      <c r="AE80" s="205">
        <v>-0.5808234</v>
      </c>
      <c r="AF80" s="205">
        <v>-1.5738524</v>
      </c>
      <c r="AG80" s="205">
        <v>0.6286992</v>
      </c>
      <c r="AH80" s="205">
        <v>-0.1825595</v>
      </c>
      <c r="AI80" s="205">
        <v>-0.2196501</v>
      </c>
      <c r="AJ80" s="205">
        <v>-0.2796265</v>
      </c>
      <c r="AK80" s="205">
        <v>-0.379587</v>
      </c>
      <c r="AL80" s="205">
        <v>0.07628568</v>
      </c>
      <c r="AM80" s="205">
        <v>-0.1299487</v>
      </c>
      <c r="AN80" s="205">
        <v>-1.231356</v>
      </c>
      <c r="AO80" s="205">
        <v>0.05524135</v>
      </c>
      <c r="AP80" s="205">
        <v>0.49980271</v>
      </c>
      <c r="AQ80" s="205">
        <v>-0.5784559</v>
      </c>
      <c r="AR80" s="205">
        <v>-0.9617256</v>
      </c>
      <c r="AS80" s="205">
        <v>0.58661055</v>
      </c>
      <c r="AT80" s="205">
        <v>-0.9109562</v>
      </c>
      <c r="AU80" s="205">
        <v>0.0</v>
      </c>
      <c r="AV80" s="205">
        <v>-0.7539129</v>
      </c>
      <c r="AW80" s="205">
        <v>-0.219124</v>
      </c>
      <c r="AX80" s="205">
        <v>0.80757596</v>
      </c>
      <c r="AY80" s="205">
        <v>0.57871893</v>
      </c>
      <c r="AZ80" s="205">
        <v>-0.4166776</v>
      </c>
      <c r="BA80" s="205">
        <v>-1.4575825</v>
      </c>
      <c r="BB80" s="205">
        <v>0.27094568</v>
      </c>
      <c r="BC80" s="205">
        <v>-0.063133</v>
      </c>
      <c r="BD80" s="205">
        <v>0.49717217</v>
      </c>
      <c r="BE80" s="205">
        <v>-0.0131527</v>
      </c>
      <c r="BF80" s="205">
        <v>-0.0868078</v>
      </c>
      <c r="BG80" s="205">
        <v>0.40510325</v>
      </c>
      <c r="BH80" s="205">
        <v>-0.0157832</v>
      </c>
      <c r="BI80" s="205">
        <v>0.04998027</v>
      </c>
      <c r="BJ80" s="205">
        <v>0.55504406</v>
      </c>
      <c r="BK80" s="205">
        <v>-1.3744575</v>
      </c>
      <c r="BL80" s="205">
        <v>-0.209128</v>
      </c>
      <c r="BM80" s="205">
        <v>0.27094568</v>
      </c>
      <c r="BN80" s="205">
        <v>0.62606866</v>
      </c>
      <c r="BO80" s="205">
        <v>0.28146784</v>
      </c>
      <c r="BP80" s="205">
        <v>1.09956596</v>
      </c>
      <c r="BQ80" s="206"/>
      <c r="BR80" s="250">
        <f t="shared" si="1"/>
        <v>-0.04610126254</v>
      </c>
      <c r="BS80" s="250">
        <f t="shared" si="2"/>
        <v>0.5480596377</v>
      </c>
      <c r="BT80" s="206"/>
      <c r="BU80" s="207">
        <f>IFERROR(__xludf.DUMMYFUNCTION("AVERAGE(ARRAYFORMULA(XLOOKUP(FILTER(INDIRECT(""'""&amp;BU$1&amp;""'!$C$4:$C$66""),INDIRECT(""'""&amp;BU$1&amp;""'!$D$4:$D$66"")=BU$2),$F$3:$BP$3,$F80:$BP80)))"),-0.5762011100000001)</f>
        <v>-0.57620111</v>
      </c>
      <c r="BV80" s="207" t="str">
        <f>IFERROR(__xludf.DUMMYFUNCTION("IF(OR(BU80&gt;$BR80+$BS80*$BS$2,BU80&lt;$BR80-$BS80*$BS$2),AVEDEV(ARRAYFORMULA(XLOOKUP(FILTER(INDIRECT(""'""&amp;BU$1&amp;""'!$C$4:$C$66""),INDIRECT(""'""&amp;BU$1&amp;""'!$D$4:$D$66"")=BU$2),$F$3:$BP$3,$F80:$BP80))),"""")"),"")</f>
        <v/>
      </c>
      <c r="BW80" s="207">
        <f>IFERROR(__xludf.DUMMYFUNCTION("AVERAGE(ARRAYFORMULA(XLOOKUP(FILTER(INDIRECT(""'""&amp;BW$1&amp;""'!$C$4:$C$66""),INDIRECT(""'""&amp;BW$1&amp;""'!$D$4:$D$66"")=BW$2),$F$3:$BP$3,$F80:$BP80)))"),0.03985895928571429)</f>
        <v>0.03985895929</v>
      </c>
      <c r="BX80" s="207" t="str">
        <f>IFERROR(__xludf.DUMMYFUNCTION("IF(OR(BW80&gt;$BR80+$BS80*$BS$2,BW80&lt;$BR80-$BS80*$BS$2),AVEDEV(ARRAYFORMULA(XLOOKUP(FILTER(INDIRECT(""'""&amp;BW$1&amp;""'!$C$4:$C$66""),INDIRECT(""'""&amp;BW$1&amp;""'!$D$4:$D$66"")=BW$2),$F$3:$BP$3,$F80:$BP80))),"""")"),"")</f>
        <v/>
      </c>
      <c r="BY80" s="207">
        <f>IFERROR(__xludf.DUMMYFUNCTION("AVERAGE(ARRAYFORMULA(XLOOKUP(FILTER(INDIRECT(""'""&amp;BY$1&amp;""'!$C$4:$C$66""),INDIRECT(""'""&amp;BY$1&amp;""'!$D$4:$D$66"")=BY$2),$F$3:$BP$3,$F80:$BP80)))"),-0.035847096363636345)</f>
        <v>-0.03584709636</v>
      </c>
      <c r="BZ80" s="207" t="str">
        <f>IFERROR(__xludf.DUMMYFUNCTION("IF(OR(BY80&gt;$BR80+$BS80*$BS$2,BY80&lt;$BR80-$BS80*$BS$2),AVEDEV(ARRAYFORMULA(XLOOKUP(FILTER(INDIRECT(""'""&amp;BY$1&amp;""'!$C$4:$C$66""),INDIRECT(""'""&amp;BY$1&amp;""'!$D$4:$D$66"")=BY$2),$F$3:$BP$3,$F80:$BP80))),"""")"),"")</f>
        <v/>
      </c>
      <c r="CA80" s="209"/>
      <c r="CB80" s="207">
        <f>IFERROR(__xludf.DUMMYFUNCTION("AVERAGE(ARRAYFORMULA(XLOOKUP(FILTER(INDIRECT(""'""&amp;CB$1&amp;""'!$C$4:$C$66""),INDIRECT(""'""&amp;CB$1&amp;""'!$D$4:$D$66"")=CB$2),$F$3:$BP$3,$F80:$BP80)))"),-0.3847329875)</f>
        <v>-0.3847329875</v>
      </c>
      <c r="CC80" s="207" t="str">
        <f>IFERROR(__xludf.DUMMYFUNCTION("IF(OR(CB80&gt;$BR80+$BS80*$BS$2,CB80&lt;$BR80-$BS80*$BS$2),AVEDEV(ARRAYFORMULA(XLOOKUP(FILTER(INDIRECT(""'""&amp;CB$1&amp;""'!$C$4:$C$66""),INDIRECT(""'""&amp;CB$1&amp;""'!$D$4:$D$66"")=CB$2),$F$3:$BP$3,$F80:$BP80))),"""")"),"")</f>
        <v/>
      </c>
      <c r="CD80" s="207">
        <f>IFERROR(__xludf.DUMMYFUNCTION("AVERAGE(ARRAYFORMULA(XLOOKUP(FILTER(INDIRECT(""'""&amp;CD$1&amp;""'!$C$4:$C$66""),INDIRECT(""'""&amp;CD$1&amp;""'!$D$4:$D$66"")=CD$2),$F$3:$BP$3,$F80:$BP80)))"),0.32836783387096763)</f>
        <v>0.3283678339</v>
      </c>
      <c r="CE80" s="207" t="str">
        <f>IFERROR(__xludf.DUMMYFUNCTION("IF(OR(CD80&gt;$BR80+$BS80*$BS$2,CD80&lt;$BR80-$BS80*$BS$2),AVEDEV(ARRAYFORMULA(XLOOKUP(FILTER(INDIRECT(""'""&amp;CD$1&amp;""'!$C$4:$C$66""),INDIRECT(""'""&amp;CD$1&amp;""'!$D$4:$D$66"")=CD$2),$F$3:$BP$3,$F80:$BP80))),"""")"),"")</f>
        <v/>
      </c>
      <c r="CF80" s="207">
        <f>IFERROR(__xludf.DUMMYFUNCTION("AVERAGE(ARRAYFORMULA(XLOOKUP(FILTER(INDIRECT(""'""&amp;CF$1&amp;""'!$C$4:$C$66""),INDIRECT(""'""&amp;CF$1&amp;""'!$D$4:$D$66"")=CF$2),$F$3:$BP$3,$F80:$BP80)))"),-0.61512558)</f>
        <v>-0.61512558</v>
      </c>
      <c r="CG80" s="207">
        <f>IFERROR(__xludf.DUMMYFUNCTION("IF(OR(CF80&gt;$BR80+$BS80*$BS$2,CF80&lt;$BR80-$BS80*$BS$2),AVEDEV(ARRAYFORMULA(XLOOKUP(FILTER(INDIRECT(""'""&amp;CF$1&amp;""'!$C$4:$C$66""),INDIRECT(""'""&amp;CF$1&amp;""'!$D$4:$D$66"")=CF$2),$F$3:$BP$3,$F80:$BP80))),"""")"),0.29070630399999997)</f>
        <v>0.290706304</v>
      </c>
      <c r="CH80" s="206"/>
      <c r="CI80" s="251">
        <f>IFERROR(__xludf.DUMMYFUNCTION("AVERAGE(ARRAYFORMULA(XLOOKUP(FILTER(INDIRECT(""'""&amp;CI$1&amp;""'!$C$4:$C$66""),INDIRECT(""'""&amp;CI$1&amp;""'!$D$4:$D$66"")=CI$2),$F$3:$BP$3,$F80:$BP80)))"),0.20900522200000002)</f>
        <v>0.209005222</v>
      </c>
      <c r="CJ80" s="207" t="str">
        <f>IFERROR(__xludf.DUMMYFUNCTION("IF(OR(CI80&gt;$BR80+$BS80*$BS$2,CI80&lt;$BR80-$BS80*$BS$2),AVEDEV(ARRAYFORMULA(XLOOKUP(FILTER(INDIRECT(""'""&amp;CI$1&amp;""'!$C$4:$C$66""),INDIRECT(""'""&amp;CI$1&amp;""'!$D$4:$D$66"")=CI$2),$F$3:$BP$3,$F80:$BP80))),"""")"),"")</f>
        <v/>
      </c>
      <c r="CK80" s="251">
        <f>IFERROR(__xludf.DUMMYFUNCTION("AVERAGE(ARRAYFORMULA(XLOOKUP(FILTER(INDIRECT(""'""&amp;CK$1&amp;""'!$C$4:$C$66""),INDIRECT(""'""&amp;CK$1&amp;""'!$D$4:$D$66"")=CK$2),$F$3:$BP$3,$F80:$BP80)))"),-0.036888268461538455)</f>
        <v>-0.03688826846</v>
      </c>
      <c r="CL80" s="207" t="str">
        <f>IFERROR(__xludf.DUMMYFUNCTION("IF(OR(CK80&gt;$BR80+$BS80*$BS$2,CK80&lt;$BR80-$BS80*$BS$2),AVEDEV(ARRAYFORMULA(XLOOKUP(FILTER(INDIRECT(""'""&amp;CK$1&amp;""'!$C$4:$C$66""),INDIRECT(""'""&amp;CK$1&amp;""'!$D$4:$D$66"")=CK$2),$F$3:$BP$3,$F80:$BP80))),"""")"),"")</f>
        <v/>
      </c>
      <c r="CM80" s="251">
        <f>IFERROR(__xludf.DUMMYFUNCTION("AVERAGE(ARRAYFORMULA(XLOOKUP(FILTER(INDIRECT(""'""&amp;CM$1&amp;""'!$C$4:$C$66""),INDIRECT(""'""&amp;CM$1&amp;""'!$D$4:$D$66"")=CM$2),$F$3:$BP$3,$F80:$BP80)))"),-0.61512558)</f>
        <v>-0.61512558</v>
      </c>
      <c r="CN80" s="207">
        <f>IFERROR(__xludf.DUMMYFUNCTION("IF(OR(CM80&gt;$BR80+$BS80*$BS$2,CM80&lt;$BR80-$BS80*$BS$2),AVEDEV(ARRAYFORMULA(XLOOKUP(FILTER(INDIRECT(""'""&amp;CM$1&amp;""'!$C$4:$C$66""),INDIRECT(""'""&amp;CM$1&amp;""'!$D$4:$D$66"")=CM$2),$F$3:$BP$3,$F80:$BP80))),"""")"),0.29070630399999997)</f>
        <v>0.290706304</v>
      </c>
      <c r="CO80" s="252"/>
      <c r="CP80" s="251">
        <f>IFERROR(__xludf.DUMMYFUNCTION("AVERAGE(ARRAYFORMULA(XLOOKUP(FILTER(INDIRECT(""'""&amp;CP$1&amp;""'!$C$4:$C$66""),INDIRECT(""'""&amp;CP$1&amp;""'!$D$4:$D$66"")=CP$2),$F$3:$BP$3,$F80:$BP80)))"),-0.28817571357142857)</f>
        <v>-0.2881757136</v>
      </c>
      <c r="CQ80" s="207" t="str">
        <f>IFERROR(__xludf.DUMMYFUNCTION("IF(OR(CP80&gt;$BR80+$BS80*$BS$2,CP80&lt;$BR80-$BS80*$BS$2),AVEDEV(ARRAYFORMULA(XLOOKUP(FILTER(INDIRECT(""'""&amp;CP$1&amp;""'!$C$4:$C$66""),INDIRECT(""'""&amp;CP$1&amp;""'!$D$4:$D$66"")=CP$2),$F$3:$BP$3,$F80:$BP80))),"""")"),"")</f>
        <v/>
      </c>
      <c r="CR80" s="251">
        <f>IFERROR(__xludf.DUMMYFUNCTION("AVERAGE(ARRAYFORMULA(XLOOKUP(FILTER(INDIRECT(""'""&amp;CR$1&amp;""'!$C$4:$C$66""),INDIRECT(""'""&amp;CR$1&amp;""'!$D$4:$D$66"")=CR$2),$F$3:$BP$3,$F80:$BP80)))"),-0.08487877666666664)</f>
        <v>-0.08487877667</v>
      </c>
      <c r="CS80" s="207" t="str">
        <f>IFERROR(__xludf.DUMMYFUNCTION("IF(OR(CR80&gt;$BR80+$BS80*$BS$2,CR80&lt;$BR80-$BS80*$BS$2),AVEDEV(ARRAYFORMULA(XLOOKUP(FILTER(INDIRECT(""'""&amp;CR$1&amp;""'!$C$4:$C$66""),INDIRECT(""'""&amp;CR$1&amp;""'!$D$4:$D$66"")=CR$2),$F$3:$BP$3,$F80:$BP80))),"""")"),"")</f>
        <v/>
      </c>
      <c r="CT80" s="251">
        <f>IFERROR(__xludf.DUMMYFUNCTION("AVERAGE(ARRAYFORMULA(XLOOKUP(FILTER(INDIRECT(""'""&amp;CT$1&amp;""'!$C$4:$C$66""),INDIRECT(""'""&amp;CT$1&amp;""'!$D$4:$D$66"")=CT$2),$F$3:$BP$3,$F80:$BP80)))"),0.4636925654545454)</f>
        <v>0.4636925655</v>
      </c>
      <c r="CU80" s="207" t="str">
        <f>IFERROR(__xludf.DUMMYFUNCTION("IF(OR(CT80&gt;$BR80+$BS80*$BS$2,CT80&lt;$BR80-$BS80*$BS$2),AVEDEV(ARRAYFORMULA(XLOOKUP(FILTER(INDIRECT(""'""&amp;CT$1&amp;""'!$C$4:$C$66""),INDIRECT(""'""&amp;CT$1&amp;""'!$D$4:$D$66"")=CT$2),$F$3:$BP$3,$F80:$BP80))),"""")"),"")</f>
        <v/>
      </c>
      <c r="CV80" s="251">
        <f>IFERROR(__xludf.DUMMYFUNCTION("AVERAGE(ARRAYFORMULA(XLOOKUP(FILTER(INDIRECT(""'""&amp;CV$1&amp;""'!$C$4:$C$66""),INDIRECT(""'""&amp;CV$1&amp;""'!$D$4:$D$66"")=CV$2),$F$3:$BP$3,$F80:$BP80)))"),0.31566487)</f>
        <v>0.31566487</v>
      </c>
      <c r="CW80" s="207" t="str">
        <f>IFERROR(__xludf.DUMMYFUNCTION("IF(OR(CV80&gt;$BR80+$BS80*$BS$2,CV80&lt;$BR80-$BS80*$BS$2),AVEDEV(ARRAYFORMULA(XLOOKUP(FILTER(INDIRECT(""'""&amp;CV$1&amp;""'!$C$4:$C$66""),INDIRECT(""'""&amp;CV$1&amp;""'!$D$4:$D$66"")=CV$2),$F$3:$BP$3,$F80:$BP80))),"""")"),"")</f>
        <v/>
      </c>
      <c r="CX80" s="251">
        <f>IFERROR(__xludf.DUMMYFUNCTION("AVERAGE(ARRAYFORMULA(XLOOKUP(FILTER(INDIRECT(""'""&amp;CX$1&amp;""'!$C$4:$C$66""),INDIRECT(""'""&amp;CX$1&amp;""'!$D$4:$D$66"")=CX$2),$F$3:$BP$3,$F80:$BP80)))"),0.16715206785714284)</f>
        <v>0.1671520679</v>
      </c>
      <c r="CY80" s="207" t="str">
        <f>IFERROR(__xludf.DUMMYFUNCTION("IF(OR(CX80&gt;$BR80+$BS80*$BS$2,CX80&lt;$BR80-$BS80*$BS$2),AVEDEV(ARRAYFORMULA(XLOOKUP(FILTER(INDIRECT(""'""&amp;CX$1&amp;""'!$C$4:$C$66""),INDIRECT(""'""&amp;CX$1&amp;""'!$D$4:$D$66"")=CX$2),$F$3:$BP$3,$F80:$BP80))),"""")"),"")</f>
        <v/>
      </c>
      <c r="CZ80" s="252"/>
      <c r="DA80" s="251">
        <f>IFERROR(__xludf.DUMMYFUNCTION("AVERAGE(ARRAYFORMULA(XLOOKUP(FILTER(INDIRECT(""'""&amp;DA$1&amp;""'!$C$4:$C$66""),INDIRECT(""'""&amp;DA$1&amp;""'!$D$4:$D$66"")=DA$2),$F$3:$BP$3,$F80:$BP80)))"),-0.029733869333333336)</f>
        <v>-0.02973386933</v>
      </c>
      <c r="DB80" s="207" t="str">
        <f>IFERROR(__xludf.DUMMYFUNCTION("IF(OR(DA80&gt;$BR80+$BS80*$BS$2,DA80&lt;$BR80-$BS80*$BS$2),AVEDEV(ARRAYFORMULA(XLOOKUP(FILTER(INDIRECT(""'""&amp;DA$1&amp;""'!$C$4:$C$66""),INDIRECT(""'""&amp;DA$1&amp;""'!$D$4:$D$66"")=DA$2),$F$3:$BP$3,$F80:$BP80))),"""")"),"")</f>
        <v/>
      </c>
      <c r="DC80" s="251">
        <f>IFERROR(__xludf.DUMMYFUNCTION("AVERAGE(ARRAYFORMULA(XLOOKUP(FILTER(INDIRECT(""'""&amp;DC$1&amp;""'!$C$4:$C$66""),INDIRECT(""'""&amp;DC$1&amp;""'!$D$4:$D$66"")=DC$2),$F$3:$BP$3,$F80:$BP80)))"),-0.08859075999999996)</f>
        <v>-0.08859076</v>
      </c>
      <c r="DD80" s="207" t="str">
        <f>IFERROR(__xludf.DUMMYFUNCTION("IF(OR(DC80&gt;$BR80+$BS80*$BS$2,DC80&lt;$BR80-$BS80*$BS$2),AVEDEV(ARRAYFORMULA(XLOOKUP(FILTER(INDIRECT(""'""&amp;DC$1&amp;""'!$C$4:$C$66""),INDIRECT(""'""&amp;DC$1&amp;""'!$D$4:$D$66"")=DC$2),$F$3:$BP$3,$F80:$BP80))),"""")"),"")</f>
        <v/>
      </c>
      <c r="DE80" s="251">
        <f>IFERROR(__xludf.DUMMYFUNCTION("AVERAGE(ARRAYFORMULA(XLOOKUP(FILTER(INDIRECT(""'""&amp;DE$1&amp;""'!$C$4:$C$66""),INDIRECT(""'""&amp;DE$1&amp;""'!$D$4:$D$66"")=DE$2),$F$3:$BP$3,$F80:$BP80)))"),0.42871235874999997)</f>
        <v>0.4287123588</v>
      </c>
      <c r="DF80" s="207" t="str">
        <f>IFERROR(__xludf.DUMMYFUNCTION("IF(OR(DE80&gt;$BR80+$BS80*$BS$2,DE80&lt;$BR80-$BS80*$BS$2),AVEDEV(ARRAYFORMULA(XLOOKUP(FILTER(INDIRECT(""'""&amp;DE$1&amp;""'!$C$4:$C$66""),INDIRECT(""'""&amp;DE$1&amp;""'!$D$4:$D$66"")=DE$2),$F$3:$BP$3,$F80:$BP80))),"""")"),"")</f>
        <v/>
      </c>
      <c r="DG80" s="251">
        <f>IFERROR(__xludf.DUMMYFUNCTION("AVERAGE(ARRAYFORMULA(XLOOKUP(FILTER(INDIRECT(""'""&amp;DG$1&amp;""'!$C$4:$C$66""),INDIRECT(""'""&amp;DG$1&amp;""'!$D$4:$D$66"")=DG$2),$F$3:$BP$3,$F80:$BP80)))"),-0.03185876555555553)</f>
        <v>-0.03185876556</v>
      </c>
      <c r="DH80" s="207" t="str">
        <f>IFERROR(__xludf.DUMMYFUNCTION("IF(OR(DG80&gt;$BR80+$BS80*$BS$2,DG80&lt;$BR80-$BS80*$BS$2),AVEDEV(ARRAYFORMULA(XLOOKUP(FILTER(INDIRECT(""'""&amp;DG$1&amp;""'!$C$4:$C$66""),INDIRECT(""'""&amp;DG$1&amp;""'!$D$4:$D$66"")=DG$2),$F$3:$BP$3,$F80:$BP80))),"""")"),"")</f>
        <v/>
      </c>
      <c r="DI80" s="252"/>
    </row>
    <row r="81">
      <c r="A81" s="2"/>
      <c r="B81" s="204" t="s">
        <v>507</v>
      </c>
      <c r="C81" s="204" t="s">
        <v>523</v>
      </c>
      <c r="D81" s="205" t="b">
        <f>VLOOKUP(C81,'Feature Set List'!A78:C246,2,0)</f>
        <v>1</v>
      </c>
      <c r="E81" s="205" t="b">
        <f>VLOOKUP(C81,'Feature Set List'!A78:C246,3,0)</f>
        <v>1</v>
      </c>
      <c r="F81" s="205">
        <v>0.53674121</v>
      </c>
      <c r="G81" s="205">
        <v>0.10223642</v>
      </c>
      <c r="H81" s="205">
        <v>-2.5047923</v>
      </c>
      <c r="I81" s="205">
        <v>-0.313099</v>
      </c>
      <c r="J81" s="205">
        <v>-0.0223642</v>
      </c>
      <c r="K81" s="205">
        <v>0.15335463</v>
      </c>
      <c r="L81" s="205">
        <v>-0.313099</v>
      </c>
      <c r="M81" s="205">
        <v>0.83067093</v>
      </c>
      <c r="N81" s="205">
        <v>-0.1948882</v>
      </c>
      <c r="O81" s="205">
        <v>0.60063898</v>
      </c>
      <c r="P81" s="205">
        <v>0.03833866</v>
      </c>
      <c r="Q81" s="205">
        <v>1.09265176</v>
      </c>
      <c r="R81" s="205">
        <v>0.89456869</v>
      </c>
      <c r="S81" s="205">
        <v>0.65495208</v>
      </c>
      <c r="T81" s="205">
        <v>-1.0766773</v>
      </c>
      <c r="U81" s="205">
        <v>-0.0223642</v>
      </c>
      <c r="V81" s="205">
        <v>-0.341853</v>
      </c>
      <c r="W81" s="205">
        <v>3.43450479</v>
      </c>
      <c r="X81" s="205">
        <v>-0.1277955</v>
      </c>
      <c r="Y81" s="205">
        <v>0.33546326</v>
      </c>
      <c r="Z81" s="205">
        <v>3.79872204</v>
      </c>
      <c r="AA81" s="205">
        <v>1.90095847</v>
      </c>
      <c r="AB81" s="205">
        <v>0.54632588</v>
      </c>
      <c r="AC81" s="205">
        <v>-0.2523962</v>
      </c>
      <c r="AD81" s="205">
        <v>1.08626198</v>
      </c>
      <c r="AE81" s="205">
        <v>0.17891374</v>
      </c>
      <c r="AF81" s="205">
        <v>-0.5047923</v>
      </c>
      <c r="AG81" s="205">
        <v>1.52396166</v>
      </c>
      <c r="AH81" s="205">
        <v>-0.7603834</v>
      </c>
      <c r="AI81" s="205">
        <v>1.04153355</v>
      </c>
      <c r="AJ81" s="205">
        <v>-0.6805112</v>
      </c>
      <c r="AK81" s="205">
        <v>-0.686901</v>
      </c>
      <c r="AL81" s="205">
        <v>-0.514377</v>
      </c>
      <c r="AM81" s="205">
        <v>-0.0670927</v>
      </c>
      <c r="AN81" s="205">
        <v>-0.428115</v>
      </c>
      <c r="AO81" s="205">
        <v>-0.0926518</v>
      </c>
      <c r="AP81" s="205">
        <v>0.84664537</v>
      </c>
      <c r="AQ81" s="205">
        <v>0.71565495</v>
      </c>
      <c r="AR81" s="205">
        <v>0.90095847</v>
      </c>
      <c r="AS81" s="205">
        <v>0.7571885</v>
      </c>
      <c r="AT81" s="205">
        <v>-0.1341853</v>
      </c>
      <c r="AU81" s="205">
        <v>-0.3162939</v>
      </c>
      <c r="AV81" s="205">
        <v>0.43450479</v>
      </c>
      <c r="AW81" s="205">
        <v>-0.2875399</v>
      </c>
      <c r="AX81" s="205">
        <v>0.0</v>
      </c>
      <c r="AY81" s="205">
        <v>1.71565495</v>
      </c>
      <c r="AZ81" s="205">
        <v>-0.4217252</v>
      </c>
      <c r="BA81" s="205">
        <v>1.03194888</v>
      </c>
      <c r="BB81" s="205">
        <v>0.07348243</v>
      </c>
      <c r="BC81" s="205">
        <v>-0.6517572</v>
      </c>
      <c r="BD81" s="205">
        <v>-0.5047923</v>
      </c>
      <c r="BE81" s="205">
        <v>-0.7060703</v>
      </c>
      <c r="BF81" s="205">
        <v>0.07028754</v>
      </c>
      <c r="BG81" s="205">
        <v>0.21086262</v>
      </c>
      <c r="BH81" s="205">
        <v>-0.0383387</v>
      </c>
      <c r="BI81" s="205">
        <v>-0.057508</v>
      </c>
      <c r="BJ81" s="205">
        <v>-0.0638978</v>
      </c>
      <c r="BK81" s="205">
        <v>-2.8600639</v>
      </c>
      <c r="BL81" s="205">
        <v>5.98402556</v>
      </c>
      <c r="BM81" s="205">
        <v>0.04472843</v>
      </c>
      <c r="BN81" s="205">
        <v>0.46325879</v>
      </c>
      <c r="BO81" s="205">
        <v>-0.2715655</v>
      </c>
      <c r="BP81" s="205">
        <v>-0.6453674</v>
      </c>
      <c r="BQ81" s="206"/>
      <c r="BR81" s="250">
        <f t="shared" si="1"/>
        <v>0.256138751</v>
      </c>
      <c r="BS81" s="250">
        <f t="shared" si="2"/>
        <v>0.8011620403</v>
      </c>
      <c r="BT81" s="206"/>
      <c r="BU81" s="207">
        <f>IFERROR(__xludf.DUMMYFUNCTION("AVERAGE(ARRAYFORMULA(XLOOKUP(FILTER(INDIRECT(""'""&amp;BU$1&amp;""'!$C$4:$C$66""),INDIRECT(""'""&amp;BU$1&amp;""'!$D$4:$D$66"")=BU$2),$F$3:$BP$3,$F81:$BP81)))"),-0.057599261428571476)</f>
        <v>-0.05759926143</v>
      </c>
      <c r="BV81" s="207" t="str">
        <f>IFERROR(__xludf.DUMMYFUNCTION("IF(OR(BU81&gt;$BR81+$BS81*$BS$2,BU81&lt;$BR81-$BS81*$BS$2),AVEDEV(ARRAYFORMULA(XLOOKUP(FILTER(INDIRECT(""'""&amp;BU$1&amp;""'!$C$4:$C$66""),INDIRECT(""'""&amp;BU$1&amp;""'!$D$4:$D$66"")=BU$2),$F$3:$BP$3,$F81:$BP81))),"""")"),"")</f>
        <v/>
      </c>
      <c r="BW81" s="207">
        <f>IFERROR(__xludf.DUMMYFUNCTION("AVERAGE(ARRAYFORMULA(XLOOKUP(FILTER(INDIRECT(""'""&amp;BW$1&amp;""'!$C$4:$C$66""),INDIRECT(""'""&amp;BW$1&amp;""'!$D$4:$D$66"")=BW$2),$F$3:$BP$3,$F81:$BP81)))"),0.2669252973809524)</f>
        <v>0.2669252974</v>
      </c>
      <c r="BX81" s="207" t="str">
        <f>IFERROR(__xludf.DUMMYFUNCTION("IF(OR(BW81&gt;$BR81+$BS81*$BS$2,BW81&lt;$BR81-$BS81*$BS$2),AVEDEV(ARRAYFORMULA(XLOOKUP(FILTER(INDIRECT(""'""&amp;BW$1&amp;""'!$C$4:$C$66""),INDIRECT(""'""&amp;BW$1&amp;""'!$D$4:$D$66"")=BW$2),$F$3:$BP$3,$F81:$BP81))),"""")"),"")</f>
        <v/>
      </c>
      <c r="BY81" s="207">
        <f>IFERROR(__xludf.DUMMYFUNCTION("AVERAGE(ARRAYFORMULA(XLOOKUP(FILTER(INDIRECT(""'""&amp;BY$1&amp;""'!$C$4:$C$66""),INDIRECT(""'""&amp;BY$1&amp;""'!$D$4:$D$66"")=BY$2),$F$3:$BP$3,$F81:$BP81)))"),0.7836189499999999)</f>
        <v>0.78361895</v>
      </c>
      <c r="BZ81" s="207" t="str">
        <f>IFERROR(__xludf.DUMMYFUNCTION("IF(OR(BY81&gt;$BR81+$BS81*$BS$2,BY81&lt;$BR81-$BS81*$BS$2),AVEDEV(ARRAYFORMULA(XLOOKUP(FILTER(INDIRECT(""'""&amp;BY$1&amp;""'!$C$4:$C$66""),INDIRECT(""'""&amp;BY$1&amp;""'!$D$4:$D$66"")=BY$2),$F$3:$BP$3,$F81:$BP81))),"""")"),"")</f>
        <v/>
      </c>
      <c r="CA81" s="209"/>
      <c r="CB81" s="207">
        <f>IFERROR(__xludf.DUMMYFUNCTION("AVERAGE(ARRAYFORMULA(XLOOKUP(FILTER(INDIRECT(""'""&amp;CB$1&amp;""'!$C$4:$C$66""),INDIRECT(""'""&amp;CB$1&amp;""'!$D$4:$D$66"")=CB$2),$F$3:$BP$3,$F81:$BP81)))"),0.056908948125000004)</f>
        <v>0.05690894813</v>
      </c>
      <c r="CC81" s="207" t="str">
        <f>IFERROR(__xludf.DUMMYFUNCTION("IF(OR(CB81&gt;$BR81+$BS81*$BS$2,CB81&lt;$BR81-$BS81*$BS$2),AVEDEV(ARRAYFORMULA(XLOOKUP(FILTER(INDIRECT(""'""&amp;CB$1&amp;""'!$C$4:$C$66""),INDIRECT(""'""&amp;CB$1&amp;""'!$D$4:$D$66"")=CB$2),$F$3:$BP$3,$F81:$BP81))),"""")"),"")</f>
        <v/>
      </c>
      <c r="CD81" s="207">
        <f>IFERROR(__xludf.DUMMYFUNCTION("AVERAGE(ARRAYFORMULA(XLOOKUP(FILTER(INDIRECT(""'""&amp;CD$1&amp;""'!$C$4:$C$66""),INDIRECT(""'""&amp;CD$1&amp;""'!$D$4:$D$66"")=CD$2),$F$3:$BP$3,$F81:$BP81)))"),0.2952695022580645)</f>
        <v>0.2952695023</v>
      </c>
      <c r="CE81" s="207" t="str">
        <f>IFERROR(__xludf.DUMMYFUNCTION("IF(OR(CD81&gt;$BR81+$BS81*$BS$2,CD81&lt;$BR81-$BS81*$BS$2),AVEDEV(ARRAYFORMULA(XLOOKUP(FILTER(INDIRECT(""'""&amp;CD$1&amp;""'!$C$4:$C$66""),INDIRECT(""'""&amp;CD$1&amp;""'!$D$4:$D$66"")=CD$2),$F$3:$BP$3,$F81:$BP81))),"""")"),"")</f>
        <v/>
      </c>
      <c r="CF81" s="207">
        <f>IFERROR(__xludf.DUMMYFUNCTION("AVERAGE(ARRAYFORMULA(XLOOKUP(FILTER(INDIRECT(""'""&amp;CF$1&amp;""'!$C$4:$C$66""),INDIRECT(""'""&amp;CF$1&amp;""'!$D$4:$D$66"")=CF$2),$F$3:$BP$3,$F81:$BP81)))"),0.361022374)</f>
        <v>0.361022374</v>
      </c>
      <c r="CG81" s="207" t="str">
        <f>IFERROR(__xludf.DUMMYFUNCTION("IF(OR(CF81&gt;$BR81+$BS81*$BS$2,CF81&lt;$BR81-$BS81*$BS$2),AVEDEV(ARRAYFORMULA(XLOOKUP(FILTER(INDIRECT(""'""&amp;CF$1&amp;""'!$C$4:$C$66""),INDIRECT(""'""&amp;CF$1&amp;""'!$D$4:$D$66"")=CF$2),$F$3:$BP$3,$F81:$BP81))),"""")"),"")</f>
        <v/>
      </c>
      <c r="CH81" s="206"/>
      <c r="CI81" s="251">
        <f>IFERROR(__xludf.DUMMYFUNCTION("AVERAGE(ARRAYFORMULA(XLOOKUP(FILTER(INDIRECT(""'""&amp;CI$1&amp;""'!$C$4:$C$66""),INDIRECT(""'""&amp;CI$1&amp;""'!$D$4:$D$66"")=CI$2),$F$3:$BP$3,$F81:$BP81)))"),1.3456869060000003)</f>
        <v>1.345686906</v>
      </c>
      <c r="CJ81" s="207">
        <f>IFERROR(__xludf.DUMMYFUNCTION("IF(OR(CI81&gt;$BR81+$BS81*$BS$2,CI81&lt;$BR81-$BS81*$BS$2),AVEDEV(ARRAYFORMULA(XLOOKUP(FILTER(INDIRECT(""'""&amp;CI$1&amp;""'!$C$4:$C$66""),INDIRECT(""'""&amp;CI$1&amp;""'!$D$4:$D$66"")=CI$2),$F$3:$BP$3,$F81:$BP81))),"""")"),1.321831732)</f>
        <v>1.321831732</v>
      </c>
      <c r="CK81" s="251">
        <f>IFERROR(__xludf.DUMMYFUNCTION("AVERAGE(ARRAYFORMULA(XLOOKUP(FILTER(INDIRECT(""'""&amp;CK$1&amp;""'!$C$4:$C$66""),INDIRECT(""'""&amp;CK$1&amp;""'!$D$4:$D$66"")=CK$2),$F$3:$BP$3,$F81:$BP81)))"),0.007618578205128192)</f>
        <v>0.007618578205</v>
      </c>
      <c r="CL81" s="207" t="str">
        <f>IFERROR(__xludf.DUMMYFUNCTION("IF(OR(CK81&gt;$BR81+$BS81*$BS$2,CK81&lt;$BR81-$BS81*$BS$2),AVEDEV(ARRAYFORMULA(XLOOKUP(FILTER(INDIRECT(""'""&amp;CK$1&amp;""'!$C$4:$C$66""),INDIRECT(""'""&amp;CK$1&amp;""'!$D$4:$D$66"")=CK$2),$F$3:$BP$3,$F81:$BP81))),"""")"),"")</f>
        <v/>
      </c>
      <c r="CM81" s="251">
        <f>IFERROR(__xludf.DUMMYFUNCTION("AVERAGE(ARRAYFORMULA(XLOOKUP(FILTER(INDIRECT(""'""&amp;CM$1&amp;""'!$C$4:$C$66""),INDIRECT(""'""&amp;CM$1&amp;""'!$D$4:$D$66"")=CM$2),$F$3:$BP$3,$F81:$BP81)))"),0.361022374)</f>
        <v>0.361022374</v>
      </c>
      <c r="CN81" s="207" t="str">
        <f>IFERROR(__xludf.DUMMYFUNCTION("IF(OR(CM81&gt;$BR81+$BS81*$BS$2,CM81&lt;$BR81-$BS81*$BS$2),AVEDEV(ARRAYFORMULA(XLOOKUP(FILTER(INDIRECT(""'""&amp;CM$1&amp;""'!$C$4:$C$66""),INDIRECT(""'""&amp;CM$1&amp;""'!$D$4:$D$66"")=CM$2),$F$3:$BP$3,$F81:$BP81))),"""")"),"")</f>
        <v/>
      </c>
      <c r="CO81" s="252"/>
      <c r="CP81" s="251">
        <f>IFERROR(__xludf.DUMMYFUNCTION("AVERAGE(ARRAYFORMULA(XLOOKUP(FILTER(INDIRECT(""'""&amp;CP$1&amp;""'!$C$4:$C$66""),INDIRECT(""'""&amp;CP$1&amp;""'!$D$4:$D$66"")=CP$2),$F$3:$BP$3,$F81:$BP81)))"),-0.037882250714285734)</f>
        <v>-0.03788225071</v>
      </c>
      <c r="CQ81" s="207" t="str">
        <f>IFERROR(__xludf.DUMMYFUNCTION("IF(OR(CP81&gt;$BR81+$BS81*$BS$2,CP81&lt;$BR81-$BS81*$BS$2),AVEDEV(ARRAYFORMULA(XLOOKUP(FILTER(INDIRECT(""'""&amp;CP$1&amp;""'!$C$4:$C$66""),INDIRECT(""'""&amp;CP$1&amp;""'!$D$4:$D$66"")=CP$2),$F$3:$BP$3,$F81:$BP81))),"""")"),"")</f>
        <v/>
      </c>
      <c r="CR81" s="251">
        <f>IFERROR(__xludf.DUMMYFUNCTION("AVERAGE(ARRAYFORMULA(XLOOKUP(FILTER(INDIRECT(""'""&amp;CR$1&amp;""'!$C$4:$C$66""),INDIRECT(""'""&amp;CR$1&amp;""'!$D$4:$D$66"")=CR$2),$F$3:$BP$3,$F81:$BP81)))"),0.10223643777777777)</f>
        <v>0.1022364378</v>
      </c>
      <c r="CS81" s="207" t="str">
        <f>IFERROR(__xludf.DUMMYFUNCTION("IF(OR(CR81&gt;$BR81+$BS81*$BS$2,CR81&lt;$BR81-$BS81*$BS$2),AVEDEV(ARRAYFORMULA(XLOOKUP(FILTER(INDIRECT(""'""&amp;CR$1&amp;""'!$C$4:$C$66""),INDIRECT(""'""&amp;CR$1&amp;""'!$D$4:$D$66"")=CR$2),$F$3:$BP$3,$F81:$BP81))),"""")"),"")</f>
        <v/>
      </c>
      <c r="CT81" s="251">
        <f>IFERROR(__xludf.DUMMYFUNCTION("AVERAGE(ARRAYFORMULA(XLOOKUP(FILTER(INDIRECT(""'""&amp;CT$1&amp;""'!$C$4:$C$66""),INDIRECT(""'""&amp;CT$1&amp;""'!$D$4:$D$66"")=CT$2),$F$3:$BP$3,$F81:$BP81)))"),0.9854777836363637)</f>
        <v>0.9854777836</v>
      </c>
      <c r="CU81" s="207" t="str">
        <f>IFERROR(__xludf.DUMMYFUNCTION("IF(OR(CT81&gt;$BR81+$BS81*$BS$2,CT81&lt;$BR81-$BS81*$BS$2),AVEDEV(ARRAYFORMULA(XLOOKUP(FILTER(INDIRECT(""'""&amp;CT$1&amp;""'!$C$4:$C$66""),INDIRECT(""'""&amp;CT$1&amp;""'!$D$4:$D$66"")=CT$2),$F$3:$BP$3,$F81:$BP81))),"""")"),"")</f>
        <v/>
      </c>
      <c r="CV81" s="251">
        <f>IFERROR(__xludf.DUMMYFUNCTION("AVERAGE(ARRAYFORMULA(XLOOKUP(FILTER(INDIRECT(""'""&amp;CV$1&amp;""'!$C$4:$C$66""),INDIRECT(""'""&amp;CV$1&amp;""'!$D$4:$D$66"")=CV$2),$F$3:$BP$3,$F81:$BP81)))"),-0.020766790000000007)</f>
        <v>-0.02076679</v>
      </c>
      <c r="CW81" s="207" t="str">
        <f>IFERROR(__xludf.DUMMYFUNCTION("IF(OR(CV81&gt;$BR81+$BS81*$BS$2,CV81&lt;$BR81-$BS81*$BS$2),AVEDEV(ARRAYFORMULA(XLOOKUP(FILTER(INDIRECT(""'""&amp;CV$1&amp;""'!$C$4:$C$66""),INDIRECT(""'""&amp;CV$1&amp;""'!$D$4:$D$66"")=CV$2),$F$3:$BP$3,$F81:$BP81))),"""")"),"")</f>
        <v/>
      </c>
      <c r="CX81" s="251">
        <f>IFERROR(__xludf.DUMMYFUNCTION("AVERAGE(ARRAYFORMULA(XLOOKUP(FILTER(INDIRECT(""'""&amp;CX$1&amp;""'!$C$4:$C$66""),INDIRECT(""'""&amp;CX$1&amp;""'!$D$4:$D$66"")=CX$2),$F$3:$BP$3,$F81:$BP81)))"),0.12711090285714285)</f>
        <v>0.1271109029</v>
      </c>
      <c r="CY81" s="207" t="str">
        <f>IFERROR(__xludf.DUMMYFUNCTION("IF(OR(CX81&gt;$BR81+$BS81*$BS$2,CX81&lt;$BR81-$BS81*$BS$2),AVEDEV(ARRAYFORMULA(XLOOKUP(FILTER(INDIRECT(""'""&amp;CX$1&amp;""'!$C$4:$C$66""),INDIRECT(""'""&amp;CX$1&amp;""'!$D$4:$D$66"")=CX$2),$F$3:$BP$3,$F81:$BP81))),"""")"),"")</f>
        <v/>
      </c>
      <c r="CZ81" s="252"/>
      <c r="DA81" s="251">
        <f>IFERROR(__xludf.DUMMYFUNCTION("AVERAGE(ARRAYFORMULA(XLOOKUP(FILTER(INDIRECT(""'""&amp;DA$1&amp;""'!$C$4:$C$66""),INDIRECT(""'""&amp;DA$1&amp;""'!$D$4:$D$66"")=DA$2),$F$3:$BP$3,$F81:$BP81)))"),0.11395100933333334)</f>
        <v>0.1139510093</v>
      </c>
      <c r="DB81" s="207" t="str">
        <f>IFERROR(__xludf.DUMMYFUNCTION("IF(OR(DA81&gt;$BR81+$BS81*$BS$2,DA81&lt;$BR81-$BS81*$BS$2),AVEDEV(ARRAYFORMULA(XLOOKUP(FILTER(INDIRECT(""'""&amp;DA$1&amp;""'!$C$4:$C$66""),INDIRECT(""'""&amp;DA$1&amp;""'!$D$4:$D$66"")=DA$2),$F$3:$BP$3,$F81:$BP81))),"""")"),"")</f>
        <v/>
      </c>
      <c r="DC81" s="251">
        <f>IFERROR(__xludf.DUMMYFUNCTION("AVERAGE(ARRAYFORMULA(XLOOKUP(FILTER(INDIRECT(""'""&amp;DC$1&amp;""'!$C$4:$C$66""),INDIRECT(""'""&amp;DC$1&amp;""'!$D$4:$D$66"")=DC$2),$F$3:$BP$3,$F81:$BP81)))"),0.7263045955555555)</f>
        <v>0.7263045956</v>
      </c>
      <c r="DD81" s="207" t="str">
        <f>IFERROR(__xludf.DUMMYFUNCTION("IF(OR(DC81&gt;$BR81+$BS81*$BS$2,DC81&lt;$BR81-$BS81*$BS$2),AVEDEV(ARRAYFORMULA(XLOOKUP(FILTER(INDIRECT(""'""&amp;DC$1&amp;""'!$C$4:$C$66""),INDIRECT(""'""&amp;DC$1&amp;""'!$D$4:$D$66"")=DC$2),$F$3:$BP$3,$F81:$BP81))),"""")"),"")</f>
        <v/>
      </c>
      <c r="DE81" s="251">
        <f>IFERROR(__xludf.DUMMYFUNCTION("AVERAGE(ARRAYFORMULA(XLOOKUP(FILTER(INDIRECT(""'""&amp;DE$1&amp;""'!$C$4:$C$66""),INDIRECT(""'""&amp;DE$1&amp;""'!$D$4:$D$66"")=DE$2),$F$3:$BP$3,$F81:$BP81)))"),0.90894568625)</f>
        <v>0.9089456863</v>
      </c>
      <c r="DF81" s="207" t="str">
        <f>IFERROR(__xludf.DUMMYFUNCTION("IF(OR(DE81&gt;$BR81+$BS81*$BS$2,DE81&lt;$BR81-$BS81*$BS$2),AVEDEV(ARRAYFORMULA(XLOOKUP(FILTER(INDIRECT(""'""&amp;DE$1&amp;""'!$C$4:$C$66""),INDIRECT(""'""&amp;DE$1&amp;""'!$D$4:$D$66"")=DE$2),$F$3:$BP$3,$F81:$BP81))),"""")"),"")</f>
        <v/>
      </c>
      <c r="DG81" s="251">
        <f>IFERROR(__xludf.DUMMYFUNCTION("AVERAGE(ARRAYFORMULA(XLOOKUP(FILTER(INDIRECT(""'""&amp;DG$1&amp;""'!$C$4:$C$66""),INDIRECT(""'""&amp;DG$1&amp;""'!$D$4:$D$66"")=DG$2),$F$3:$BP$3,$F81:$BP81)))"),0.14873979333333331)</f>
        <v>0.1487397933</v>
      </c>
      <c r="DH81" s="207" t="str">
        <f>IFERROR(__xludf.DUMMYFUNCTION("IF(OR(DG81&gt;$BR81+$BS81*$BS$2,DG81&lt;$BR81-$BS81*$BS$2),AVEDEV(ARRAYFORMULA(XLOOKUP(FILTER(INDIRECT(""'""&amp;DG$1&amp;""'!$C$4:$C$66""),INDIRECT(""'""&amp;DG$1&amp;""'!$D$4:$D$66"")=DG$2),$F$3:$BP$3,$F81:$BP81))),"""")"),"")</f>
        <v/>
      </c>
      <c r="DI81" s="252"/>
    </row>
    <row r="82">
      <c r="A82" s="2"/>
      <c r="B82" s="204" t="s">
        <v>507</v>
      </c>
      <c r="C82" s="204" t="s">
        <v>524</v>
      </c>
      <c r="D82" s="205" t="b">
        <f>VLOOKUP(C82,'Feature Set List'!A79:C246,2,0)</f>
        <v>1</v>
      </c>
      <c r="E82" s="205" t="b">
        <f>VLOOKUP(C82,'Feature Set List'!A79:C246,3,0)</f>
        <v>1</v>
      </c>
      <c r="F82" s="205">
        <v>1.1490613</v>
      </c>
      <c r="G82" s="205">
        <v>0.11309658</v>
      </c>
      <c r="H82" s="205">
        <v>-0.0814295</v>
      </c>
      <c r="I82" s="205">
        <v>-0.7781045</v>
      </c>
      <c r="J82" s="205">
        <v>1.18072834</v>
      </c>
      <c r="K82" s="205">
        <v>0.0859534</v>
      </c>
      <c r="L82" s="205">
        <v>2.42479077</v>
      </c>
      <c r="M82" s="205">
        <v>-1.9425469</v>
      </c>
      <c r="N82" s="205">
        <v>0.19452613</v>
      </c>
      <c r="O82" s="205">
        <v>-1.1544899</v>
      </c>
      <c r="P82" s="205">
        <v>-0.3578376</v>
      </c>
      <c r="Q82" s="205">
        <v>-1.1192038</v>
      </c>
      <c r="R82" s="205">
        <v>-0.4736485</v>
      </c>
      <c r="S82" s="205">
        <v>-0.2384076</v>
      </c>
      <c r="T82" s="205">
        <v>-1.8828319</v>
      </c>
      <c r="U82" s="205">
        <v>-0.7930333</v>
      </c>
      <c r="V82" s="205">
        <v>0.80072382</v>
      </c>
      <c r="W82" s="205">
        <v>-2.4668627</v>
      </c>
      <c r="X82" s="205">
        <v>1.4204931</v>
      </c>
      <c r="Y82" s="205">
        <v>0.17643067</v>
      </c>
      <c r="Z82" s="205">
        <v>-2.4066953</v>
      </c>
      <c r="AA82" s="205">
        <v>0.09047727</v>
      </c>
      <c r="AB82" s="205">
        <v>-0.1583352</v>
      </c>
      <c r="AC82" s="205">
        <v>0.14023976</v>
      </c>
      <c r="AD82" s="205">
        <v>-1.1608233</v>
      </c>
      <c r="AE82" s="205">
        <v>-0.3800045</v>
      </c>
      <c r="AF82" s="205">
        <v>-0.9852974</v>
      </c>
      <c r="AG82" s="205">
        <v>-0.8545578</v>
      </c>
      <c r="AH82" s="205">
        <v>0.0</v>
      </c>
      <c r="AI82" s="205">
        <v>0.35738521</v>
      </c>
      <c r="AJ82" s="205">
        <v>0.2352409</v>
      </c>
      <c r="AK82" s="205">
        <v>0.37548066</v>
      </c>
      <c r="AL82" s="205">
        <v>-0.0950011</v>
      </c>
      <c r="AM82" s="205">
        <v>0.77358064</v>
      </c>
      <c r="AN82" s="205">
        <v>0.27595567</v>
      </c>
      <c r="AO82" s="205">
        <v>0.00452386</v>
      </c>
      <c r="AP82" s="205">
        <v>0.15833522</v>
      </c>
      <c r="AQ82" s="205">
        <v>-0.0452386</v>
      </c>
      <c r="AR82" s="205">
        <v>-1.1612757</v>
      </c>
      <c r="AS82" s="205">
        <v>0.17643067</v>
      </c>
      <c r="AT82" s="205">
        <v>-1.0395838</v>
      </c>
      <c r="AU82" s="205">
        <v>0.48405338</v>
      </c>
      <c r="AV82" s="205">
        <v>-1.026917</v>
      </c>
      <c r="AW82" s="205">
        <v>0.9138204</v>
      </c>
      <c r="AX82" s="205">
        <v>-0.4329337</v>
      </c>
      <c r="AY82" s="205">
        <v>-0.5505542</v>
      </c>
      <c r="AZ82" s="205">
        <v>-0.3062656</v>
      </c>
      <c r="BA82" s="205">
        <v>-0.71658</v>
      </c>
      <c r="BB82" s="205">
        <v>-0.0769057</v>
      </c>
      <c r="BC82" s="205">
        <v>0.75096132</v>
      </c>
      <c r="BD82" s="205">
        <v>0.26238408</v>
      </c>
      <c r="BE82" s="205">
        <v>0.30309885</v>
      </c>
      <c r="BF82" s="205">
        <v>-0.4234336</v>
      </c>
      <c r="BG82" s="205">
        <v>0.42976702</v>
      </c>
      <c r="BH82" s="205">
        <v>0.71929428</v>
      </c>
      <c r="BI82" s="205">
        <v>0.54738747</v>
      </c>
      <c r="BJ82" s="205">
        <v>-0.1176204</v>
      </c>
      <c r="BK82" s="205">
        <v>0.29405112</v>
      </c>
      <c r="BL82" s="205">
        <v>-2.4139335</v>
      </c>
      <c r="BM82" s="205">
        <v>0.97263063</v>
      </c>
      <c r="BN82" s="205">
        <v>-0.2759557</v>
      </c>
      <c r="BO82" s="205">
        <v>2.08097715</v>
      </c>
      <c r="BP82" s="205">
        <v>1.60144764</v>
      </c>
      <c r="BQ82" s="206"/>
      <c r="BR82" s="250">
        <f t="shared" si="1"/>
        <v>-0.1019520792</v>
      </c>
      <c r="BS82" s="250">
        <f t="shared" si="2"/>
        <v>0.7258738813</v>
      </c>
      <c r="BT82" s="206"/>
      <c r="BU82" s="207">
        <f>IFERROR(__xludf.DUMMYFUNCTION("AVERAGE(ARRAYFORMULA(XLOOKUP(FILTER(INDIRECT(""'""&amp;BU$1&amp;""'!$C$4:$C$66""),INDIRECT(""'""&amp;BU$1&amp;""'!$D$4:$D$66"")=BU$2),$F$3:$BP$3,$F82:$BP82)))"),-0.6666882042857143)</f>
        <v>-0.6666882043</v>
      </c>
      <c r="BV82" s="207" t="str">
        <f>IFERROR(__xludf.DUMMYFUNCTION("IF(OR(BU82&gt;$BR82+$BS82*$BS$2,BU82&lt;$BR82-$BS82*$BS$2),AVEDEV(ARRAYFORMULA(XLOOKUP(FILTER(INDIRECT(""'""&amp;BU$1&amp;""'!$C$4:$C$66""),INDIRECT(""'""&amp;BU$1&amp;""'!$D$4:$D$66"")=BU$2),$F$3:$BP$3,$F82:$BP82))),"""")"),"")</f>
        <v/>
      </c>
      <c r="BW82" s="207">
        <f>IFERROR(__xludf.DUMMYFUNCTION("AVERAGE(ARRAYFORMULA(XLOOKUP(FILTER(INDIRECT(""'""&amp;BW$1&amp;""'!$C$4:$C$66""),INDIRECT(""'""&amp;BW$1&amp;""'!$D$4:$D$66"")=BW$2),$F$3:$BP$3,$F82:$BP82)))"),-0.05293996833333333)</f>
        <v>-0.05293996833</v>
      </c>
      <c r="BX82" s="207" t="str">
        <f>IFERROR(__xludf.DUMMYFUNCTION("IF(OR(BW82&gt;$BR82+$BS82*$BS$2,BW82&lt;$BR82-$BS82*$BS$2),AVEDEV(ARRAYFORMULA(XLOOKUP(FILTER(INDIRECT(""'""&amp;BW$1&amp;""'!$C$4:$C$66""),INDIRECT(""'""&amp;BW$1&amp;""'!$D$4:$D$66"")=BW$2),$F$3:$BP$3,$F82:$BP82))),"""")"),"")</f>
        <v/>
      </c>
      <c r="BY82" s="207">
        <f>IFERROR(__xludf.DUMMYFUNCTION("AVERAGE(ARRAYFORMULA(XLOOKUP(FILTER(INDIRECT(""'""&amp;BY$1&amp;""'!$C$4:$C$66""),INDIRECT(""'""&amp;BY$1&amp;""'!$D$4:$D$66"")=BY$2),$F$3:$BP$3,$F82:$BP82)))"),0.07612428090909087)</f>
        <v>0.07612428091</v>
      </c>
      <c r="BZ82" s="207" t="str">
        <f>IFERROR(__xludf.DUMMYFUNCTION("IF(OR(BY82&gt;$BR82+$BS82*$BS$2,BY82&lt;$BR82-$BS82*$BS$2),AVEDEV(ARRAYFORMULA(XLOOKUP(FILTER(INDIRECT(""'""&amp;BY$1&amp;""'!$C$4:$C$66""),INDIRECT(""'""&amp;BY$1&amp;""'!$D$4:$D$66"")=BY$2),$F$3:$BP$3,$F82:$BP82))),"""")"),"")</f>
        <v/>
      </c>
      <c r="CA82" s="209"/>
      <c r="CB82" s="207">
        <f>IFERROR(__xludf.DUMMYFUNCTION("AVERAGE(ARRAYFORMULA(XLOOKUP(FILTER(INDIRECT(""'""&amp;CB$1&amp;""'!$C$4:$C$66""),INDIRECT(""'""&amp;CB$1&amp;""'!$D$4:$D$66"")=CB$2),$F$3:$BP$3,$F82:$BP82)))"),-0.44466749250000004)</f>
        <v>-0.4446674925</v>
      </c>
      <c r="CC82" s="207" t="str">
        <f>IFERROR(__xludf.DUMMYFUNCTION("IF(OR(CB82&gt;$BR82+$BS82*$BS$2,CB82&lt;$BR82-$BS82*$BS$2),AVEDEV(ARRAYFORMULA(XLOOKUP(FILTER(INDIRECT(""'""&amp;CB$1&amp;""'!$C$4:$C$66""),INDIRECT(""'""&amp;CB$1&amp;""'!$D$4:$D$66"")=CB$2),$F$3:$BP$3,$F82:$BP82))),"""")"),"")</f>
        <v/>
      </c>
      <c r="CD82" s="207">
        <f>IFERROR(__xludf.DUMMYFUNCTION("AVERAGE(ARRAYFORMULA(XLOOKUP(FILTER(INDIRECT(""'""&amp;CD$1&amp;""'!$C$4:$C$66""),INDIRECT(""'""&amp;CD$1&amp;""'!$D$4:$D$66"")=CD$2),$F$3:$BP$3,$F82:$BP82)))"),0.22305565419354836)</f>
        <v>0.2230556542</v>
      </c>
      <c r="CE82" s="207" t="str">
        <f>IFERROR(__xludf.DUMMYFUNCTION("IF(OR(CD82&gt;$BR82+$BS82*$BS$2,CD82&lt;$BR82-$BS82*$BS$2),AVEDEV(ARRAYFORMULA(XLOOKUP(FILTER(INDIRECT(""'""&amp;CD$1&amp;""'!$C$4:$C$66""),INDIRECT(""'""&amp;CD$1&amp;""'!$D$4:$D$66"")=CD$2),$F$3:$BP$3,$F82:$BP82))),"""")"),"")</f>
        <v/>
      </c>
      <c r="CF82" s="207">
        <f>IFERROR(__xludf.DUMMYFUNCTION("AVERAGE(ARRAYFORMULA(XLOOKUP(FILTER(INDIRECT(""'""&amp;CF$1&amp;""'!$C$4:$C$66""),INDIRECT(""'""&amp;CF$1&amp;""'!$D$4:$D$66"")=CF$2),$F$3:$BP$3,$F82:$BP82)))"),-0.6567744799999999)</f>
        <v>-0.65677448</v>
      </c>
      <c r="CG82" s="207" t="str">
        <f>IFERROR(__xludf.DUMMYFUNCTION("IF(OR(CF82&gt;$BR82+$BS82*$BS$2,CF82&lt;$BR82-$BS82*$BS$2),AVEDEV(ARRAYFORMULA(XLOOKUP(FILTER(INDIRECT(""'""&amp;CF$1&amp;""'!$C$4:$C$66""),INDIRECT(""'""&amp;CF$1&amp;""'!$D$4:$D$66"")=CF$2),$F$3:$BP$3,$F82:$BP82))),"""")"),"")</f>
        <v/>
      </c>
      <c r="CH82" s="206"/>
      <c r="CI82" s="251">
        <f>IFERROR(__xludf.DUMMYFUNCTION("AVERAGE(ARRAYFORMULA(XLOOKUP(FILTER(INDIRECT(""'""&amp;CI$1&amp;""'!$C$4:$C$66""),INDIRECT(""'""&amp;CI$1&amp;""'!$D$4:$D$66"")=CI$2),$F$3:$BP$3,$F82:$BP82)))"),-0.7453517253333335)</f>
        <v>-0.7453517253</v>
      </c>
      <c r="CJ82" s="207" t="str">
        <f>IFERROR(__xludf.DUMMYFUNCTION("IF(OR(CI82&gt;$BR82+$BS82*$BS$2,CI82&lt;$BR82-$BS82*$BS$2),AVEDEV(ARRAYFORMULA(XLOOKUP(FILTER(INDIRECT(""'""&amp;CI$1&amp;""'!$C$4:$C$66""),INDIRECT(""'""&amp;CI$1&amp;""'!$D$4:$D$66"")=CI$2),$F$3:$BP$3,$F82:$BP82))),"""")"),"")</f>
        <v/>
      </c>
      <c r="CK82" s="251">
        <f>IFERROR(__xludf.DUMMYFUNCTION("AVERAGE(ARRAYFORMULA(XLOOKUP(FILTER(INDIRECT(""'""&amp;CK$1&amp;""'!$C$4:$C$66""),INDIRECT(""'""&amp;CK$1&amp;""'!$D$4:$D$66"")=CK$2),$F$3:$BP$3,$F82:$BP82)))"),0.2081325166666666)</f>
        <v>0.2081325167</v>
      </c>
      <c r="CL82" s="207" t="str">
        <f>IFERROR(__xludf.DUMMYFUNCTION("IF(OR(CK82&gt;$BR82+$BS82*$BS$2,CK82&lt;$BR82-$BS82*$BS$2),AVEDEV(ARRAYFORMULA(XLOOKUP(FILTER(INDIRECT(""'""&amp;CK$1&amp;""'!$C$4:$C$66""),INDIRECT(""'""&amp;CK$1&amp;""'!$D$4:$D$66"")=CK$2),$F$3:$BP$3,$F82:$BP82))),"""")"),"")</f>
        <v/>
      </c>
      <c r="CM82" s="251">
        <f>IFERROR(__xludf.DUMMYFUNCTION("AVERAGE(ARRAYFORMULA(XLOOKUP(FILTER(INDIRECT(""'""&amp;CM$1&amp;""'!$C$4:$C$66""),INDIRECT(""'""&amp;CM$1&amp;""'!$D$4:$D$66"")=CM$2),$F$3:$BP$3,$F82:$BP82)))"),-0.6567744799999999)</f>
        <v>-0.65677448</v>
      </c>
      <c r="CN82" s="207" t="str">
        <f>IFERROR(__xludf.DUMMYFUNCTION("IF(OR(CM82&gt;$BR82+$BS82*$BS$2,CM82&lt;$BR82-$BS82*$BS$2),AVEDEV(ARRAYFORMULA(XLOOKUP(FILTER(INDIRECT(""'""&amp;CM$1&amp;""'!$C$4:$C$66""),INDIRECT(""'""&amp;CM$1&amp;""'!$D$4:$D$66"")=CM$2),$F$3:$BP$3,$F82:$BP82))),"""")"),"")</f>
        <v/>
      </c>
      <c r="CO82" s="252"/>
      <c r="CP82" s="251">
        <f>IFERROR(__xludf.DUMMYFUNCTION("AVERAGE(ARRAYFORMULA(XLOOKUP(FILTER(INDIRECT(""'""&amp;CP$1&amp;""'!$C$4:$C$66""),INDIRECT(""'""&amp;CP$1&amp;""'!$D$4:$D$66"")=CP$2),$F$3:$BP$3,$F82:$BP82)))"),-0.4010404807142857)</f>
        <v>-0.4010404807</v>
      </c>
      <c r="CQ82" s="207" t="str">
        <f>IFERROR(__xludf.DUMMYFUNCTION("IF(OR(CP82&gt;$BR82+$BS82*$BS$2,CP82&lt;$BR82-$BS82*$BS$2),AVEDEV(ARRAYFORMULA(XLOOKUP(FILTER(INDIRECT(""'""&amp;CP$1&amp;""'!$C$4:$C$66""),INDIRECT(""'""&amp;CP$1&amp;""'!$D$4:$D$66"")=CP$2),$F$3:$BP$3,$F82:$BP82))),"""")"),"")</f>
        <v/>
      </c>
      <c r="CR82" s="251">
        <f>IFERROR(__xludf.DUMMYFUNCTION("AVERAGE(ARRAYFORMULA(XLOOKUP(FILTER(INDIRECT(""'""&amp;CR$1&amp;""'!$C$4:$C$66""),INDIRECT(""'""&amp;CR$1&amp;""'!$D$4:$D$66"")=CR$2),$F$3:$BP$3,$F82:$BP82)))"),0.42242831000000003)</f>
        <v>0.42242831</v>
      </c>
      <c r="CS82" s="207" t="str">
        <f>IFERROR(__xludf.DUMMYFUNCTION("IF(OR(CR82&gt;$BR82+$BS82*$BS$2,CR82&lt;$BR82-$BS82*$BS$2),AVEDEV(ARRAYFORMULA(XLOOKUP(FILTER(INDIRECT(""'""&amp;CR$1&amp;""'!$C$4:$C$66""),INDIRECT(""'""&amp;CR$1&amp;""'!$D$4:$D$66"")=CR$2),$F$3:$BP$3,$F82:$BP82))),"""")"),"")</f>
        <v/>
      </c>
      <c r="CT82" s="251">
        <f>IFERROR(__xludf.DUMMYFUNCTION("AVERAGE(ARRAYFORMULA(XLOOKUP(FILTER(INDIRECT(""'""&amp;CT$1&amp;""'!$C$4:$C$66""),INDIRECT(""'""&amp;CT$1&amp;""'!$D$4:$D$66"")=CT$2),$F$3:$BP$3,$F82:$BP82)))"),-0.4079290981818182)</f>
        <v>-0.4079290982</v>
      </c>
      <c r="CU82" s="207" t="str">
        <f>IFERROR(__xludf.DUMMYFUNCTION("IF(OR(CT82&gt;$BR82+$BS82*$BS$2,CT82&lt;$BR82-$BS82*$BS$2),AVEDEV(ARRAYFORMULA(XLOOKUP(FILTER(INDIRECT(""'""&amp;CT$1&amp;""'!$C$4:$C$66""),INDIRECT(""'""&amp;CT$1&amp;""'!$D$4:$D$66"")=CT$2),$F$3:$BP$3,$F82:$BP82))),"""")"),"")</f>
        <v/>
      </c>
      <c r="CV82" s="251">
        <f>IFERROR(__xludf.DUMMYFUNCTION("AVERAGE(ARRAYFORMULA(XLOOKUP(FILTER(INDIRECT(""'""&amp;CV$1&amp;""'!$C$4:$C$66""),INDIRECT(""'""&amp;CV$1&amp;""'!$D$4:$D$66"")=CV$2),$F$3:$BP$3,$F82:$BP82)))"),0.28500338999999997)</f>
        <v>0.28500339</v>
      </c>
      <c r="CW82" s="207" t="str">
        <f>IFERROR(__xludf.DUMMYFUNCTION("IF(OR(CV82&gt;$BR82+$BS82*$BS$2,CV82&lt;$BR82-$BS82*$BS$2),AVEDEV(ARRAYFORMULA(XLOOKUP(FILTER(INDIRECT(""'""&amp;CV$1&amp;""'!$C$4:$C$66""),INDIRECT(""'""&amp;CV$1&amp;""'!$D$4:$D$66"")=CV$2),$F$3:$BP$3,$F82:$BP82))),"""")"),"")</f>
        <v/>
      </c>
      <c r="CX82" s="251">
        <f>IFERROR(__xludf.DUMMYFUNCTION("AVERAGE(ARRAYFORMULA(XLOOKUP(FILTER(INDIRECT(""'""&amp;CX$1&amp;""'!$C$4:$C$66""),INDIRECT(""'""&amp;CX$1&amp;""'!$D$4:$D$66"")=CX$2),$F$3:$BP$3,$F82:$BP82)))"),0.48130675142857143)</f>
        <v>0.4813067514</v>
      </c>
      <c r="CY82" s="207" t="str">
        <f>IFERROR(__xludf.DUMMYFUNCTION("IF(OR(CX82&gt;$BR82+$BS82*$BS$2,CX82&lt;$BR82-$BS82*$BS$2),AVEDEV(ARRAYFORMULA(XLOOKUP(FILTER(INDIRECT(""'""&amp;CX$1&amp;""'!$C$4:$C$66""),INDIRECT(""'""&amp;CX$1&amp;""'!$D$4:$D$66"")=CX$2),$F$3:$BP$3,$F82:$BP82))),"""")"),"")</f>
        <v/>
      </c>
      <c r="CZ82" s="252"/>
      <c r="DA82" s="251">
        <f>IFERROR(__xludf.DUMMYFUNCTION("AVERAGE(ARRAYFORMULA(XLOOKUP(FILTER(INDIRECT(""'""&amp;DA$1&amp;""'!$C$4:$C$66""),INDIRECT(""'""&amp;DA$1&amp;""'!$D$4:$D$66"")=DA$2),$F$3:$BP$3,$F82:$BP82)))"),0.044921966)</f>
        <v>0.044921966</v>
      </c>
      <c r="DB82" s="207" t="str">
        <f>IFERROR(__xludf.DUMMYFUNCTION("IF(OR(DA82&gt;$BR82+$BS82*$BS$2,DA82&lt;$BR82-$BS82*$BS$2),AVEDEV(ARRAYFORMULA(XLOOKUP(FILTER(INDIRECT(""'""&amp;DA$1&amp;""'!$C$4:$C$66""),INDIRECT(""'""&amp;DA$1&amp;""'!$D$4:$D$66"")=DA$2),$F$3:$BP$3,$F82:$BP82))),"""")"),"")</f>
        <v/>
      </c>
      <c r="DC82" s="251">
        <f>IFERROR(__xludf.DUMMYFUNCTION("AVERAGE(ARRAYFORMULA(XLOOKUP(FILTER(INDIRECT(""'""&amp;DC$1&amp;""'!$C$4:$C$66""),INDIRECT(""'""&amp;DC$1&amp;""'!$D$4:$D$66"")=DC$2),$F$3:$BP$3,$F82:$BP82)))"),0.09238734111111113)</f>
        <v>0.09238734111</v>
      </c>
      <c r="DD82" s="207" t="str">
        <f>IFERROR(__xludf.DUMMYFUNCTION("IF(OR(DC82&gt;$BR82+$BS82*$BS$2,DC82&lt;$BR82-$BS82*$BS$2),AVEDEV(ARRAYFORMULA(XLOOKUP(FILTER(INDIRECT(""'""&amp;DC$1&amp;""'!$C$4:$C$66""),INDIRECT(""'""&amp;DC$1&amp;""'!$D$4:$D$66"")=DC$2),$F$3:$BP$3,$F82:$BP82))),"""")"),"")</f>
        <v/>
      </c>
      <c r="DE82" s="251">
        <f>IFERROR(__xludf.DUMMYFUNCTION("AVERAGE(ARRAYFORMULA(XLOOKUP(FILTER(INDIRECT(""'""&amp;DE$1&amp;""'!$C$4:$C$66""),INDIRECT(""'""&amp;DE$1&amp;""'!$D$4:$D$66"")=DE$2),$F$3:$BP$3,$F82:$BP82)))"),-0.7892445074999999)</f>
        <v>-0.7892445075</v>
      </c>
      <c r="DF82" s="207" t="str">
        <f>IFERROR(__xludf.DUMMYFUNCTION("IF(OR(DE82&gt;$BR82+$BS82*$BS$2,DE82&lt;$BR82-$BS82*$BS$2),AVEDEV(ARRAYFORMULA(XLOOKUP(FILTER(INDIRECT(""'""&amp;DE$1&amp;""'!$C$4:$C$66""),INDIRECT(""'""&amp;DE$1&amp;""'!$D$4:$D$66"")=DE$2),$F$3:$BP$3,$F82:$BP82))),"""")"),"")</f>
        <v/>
      </c>
      <c r="DG82" s="251">
        <f>IFERROR(__xludf.DUMMYFUNCTION("AVERAGE(ARRAYFORMULA(XLOOKUP(FILTER(INDIRECT(""'""&amp;DG$1&amp;""'!$C$4:$C$66""),INDIRECT(""'""&amp;DG$1&amp;""'!$D$4:$D$66"")=DG$2),$F$3:$BP$3,$F82:$BP82)))"),0.0026640566666666734)</f>
        <v>0.002664056667</v>
      </c>
      <c r="DH82" s="207" t="str">
        <f>IFERROR(__xludf.DUMMYFUNCTION("IF(OR(DG82&gt;$BR82+$BS82*$BS$2,DG82&lt;$BR82-$BS82*$BS$2),AVEDEV(ARRAYFORMULA(XLOOKUP(FILTER(INDIRECT(""'""&amp;DG$1&amp;""'!$C$4:$C$66""),INDIRECT(""'""&amp;DG$1&amp;""'!$D$4:$D$66"")=DG$2),$F$3:$BP$3,$F82:$BP82))),"""")"),"")</f>
        <v/>
      </c>
      <c r="DI82" s="252"/>
    </row>
    <row r="83">
      <c r="A83" s="2"/>
      <c r="B83" s="204" t="s">
        <v>507</v>
      </c>
      <c r="C83" s="204" t="s">
        <v>525</v>
      </c>
      <c r="D83" s="205" t="b">
        <f>VLOOKUP(C83,'Feature Set List'!A80:C246,2,0)</f>
        <v>1</v>
      </c>
      <c r="E83" s="205" t="b">
        <f>VLOOKUP(C83,'Feature Set List'!A80:C246,3,0)</f>
        <v>1</v>
      </c>
      <c r="F83" s="205">
        <v>0.24534005</v>
      </c>
      <c r="G83" s="205">
        <v>0.302267</v>
      </c>
      <c r="H83" s="205">
        <v>5.41259446</v>
      </c>
      <c r="I83" s="205">
        <v>0.86448363</v>
      </c>
      <c r="J83" s="205">
        <v>-0.0040302</v>
      </c>
      <c r="K83" s="205">
        <v>-0.4403023</v>
      </c>
      <c r="L83" s="205">
        <v>-0.4277078</v>
      </c>
      <c r="M83" s="205">
        <v>-0.5596977</v>
      </c>
      <c r="N83" s="205">
        <v>-0.1309824</v>
      </c>
      <c r="O83" s="205">
        <v>0.45088161</v>
      </c>
      <c r="P83" s="205">
        <v>0.74609572</v>
      </c>
      <c r="Q83" s="205">
        <v>-0.7949622</v>
      </c>
      <c r="R83" s="205">
        <v>-0.1380353</v>
      </c>
      <c r="S83" s="205">
        <v>0.04735516</v>
      </c>
      <c r="T83" s="205">
        <v>-0.1329975</v>
      </c>
      <c r="U83" s="205">
        <v>0.51133501</v>
      </c>
      <c r="V83" s="205">
        <v>-0.2483627</v>
      </c>
      <c r="W83" s="205">
        <v>-0.9395466</v>
      </c>
      <c r="X83" s="205">
        <v>-0.9088161</v>
      </c>
      <c r="Y83" s="205">
        <v>-0.590932</v>
      </c>
      <c r="Z83" s="205">
        <v>-0.8926952</v>
      </c>
      <c r="AA83" s="205">
        <v>-1.3133501</v>
      </c>
      <c r="AB83" s="205">
        <v>0.13450882</v>
      </c>
      <c r="AC83" s="205">
        <v>-0.6498741</v>
      </c>
      <c r="AD83" s="205">
        <v>-0.9435768</v>
      </c>
      <c r="AE83" s="205">
        <v>0.44030227</v>
      </c>
      <c r="AF83" s="205">
        <v>0.37229219</v>
      </c>
      <c r="AG83" s="205">
        <v>-0.5491184</v>
      </c>
      <c r="AH83" s="205">
        <v>0.59949622</v>
      </c>
      <c r="AI83" s="205">
        <v>-1.8359194</v>
      </c>
      <c r="AJ83" s="205">
        <v>0.34206549</v>
      </c>
      <c r="AK83" s="205">
        <v>0.1743073</v>
      </c>
      <c r="AL83" s="205">
        <v>0.28866499</v>
      </c>
      <c r="AM83" s="205">
        <v>-0.8352645</v>
      </c>
      <c r="AN83" s="205">
        <v>0.0</v>
      </c>
      <c r="AO83" s="205">
        <v>-1.2629723</v>
      </c>
      <c r="AP83" s="205">
        <v>0.76171285</v>
      </c>
      <c r="AQ83" s="205">
        <v>1.05390428</v>
      </c>
      <c r="AR83" s="205">
        <v>1.83375315</v>
      </c>
      <c r="AS83" s="205">
        <v>-0.2483627</v>
      </c>
      <c r="AT83" s="205">
        <v>-0.8584383</v>
      </c>
      <c r="AU83" s="205">
        <v>0.14911839</v>
      </c>
      <c r="AV83" s="205">
        <v>0.22770781</v>
      </c>
      <c r="AW83" s="205">
        <v>-1.2453401</v>
      </c>
      <c r="AX83" s="205">
        <v>-0.4161209</v>
      </c>
      <c r="AY83" s="205">
        <v>0.36523929</v>
      </c>
      <c r="AZ83" s="205">
        <v>1.18740554</v>
      </c>
      <c r="BA83" s="205">
        <v>1.35214106</v>
      </c>
      <c r="BB83" s="205">
        <v>0.28866499</v>
      </c>
      <c r="BC83" s="205">
        <v>-0.3667506</v>
      </c>
      <c r="BD83" s="205">
        <v>-0.7360202</v>
      </c>
      <c r="BE83" s="205">
        <v>1.67002519</v>
      </c>
      <c r="BF83" s="205">
        <v>0.41662469</v>
      </c>
      <c r="BG83" s="205">
        <v>-0.1471033</v>
      </c>
      <c r="BH83" s="205">
        <v>-0.3047859</v>
      </c>
      <c r="BI83" s="205">
        <v>0.6836272</v>
      </c>
      <c r="BJ83" s="205">
        <v>0.62720403</v>
      </c>
      <c r="BK83" s="205">
        <v>-0.4176322</v>
      </c>
      <c r="BL83" s="205">
        <v>0.90478589</v>
      </c>
      <c r="BM83" s="205">
        <v>0.35415617</v>
      </c>
      <c r="BN83" s="205">
        <v>1.05037783</v>
      </c>
      <c r="BO83" s="205">
        <v>-1.3234257</v>
      </c>
      <c r="BP83" s="205">
        <v>-0.520403</v>
      </c>
      <c r="BQ83" s="206"/>
      <c r="BR83" s="250">
        <f t="shared" si="1"/>
        <v>0.05833193302</v>
      </c>
      <c r="BS83" s="250">
        <f t="shared" si="2"/>
        <v>0.7003531787</v>
      </c>
      <c r="BT83" s="206"/>
      <c r="BU83" s="207">
        <f>IFERROR(__xludf.DUMMYFUNCTION("AVERAGE(ARRAYFORMULA(XLOOKUP(FILTER(INDIRECT(""'""&amp;BU$1&amp;""'!$C$4:$C$66""),INDIRECT(""'""&amp;BU$1&amp;""'!$D$4:$D$66"")=BU$2),$F$3:$BP$3,$F83:$BP83)))"),-0.18431090571428574)</f>
        <v>-0.1843109057</v>
      </c>
      <c r="BV83" s="207" t="str">
        <f>IFERROR(__xludf.DUMMYFUNCTION("IF(OR(BU83&gt;$BR83+$BS83*$BS$2,BU83&lt;$BR83-$BS83*$BS$2),AVEDEV(ARRAYFORMULA(XLOOKUP(FILTER(INDIRECT(""'""&amp;BU$1&amp;""'!$C$4:$C$66""),INDIRECT(""'""&amp;BU$1&amp;""'!$D$4:$D$66"")=BU$2),$F$3:$BP$3,$F83:$BP83))),"""")"),"")</f>
        <v/>
      </c>
      <c r="BW83" s="207">
        <f>IFERROR(__xludf.DUMMYFUNCTION("AVERAGE(ARRAYFORMULA(XLOOKUP(FILTER(INDIRECT(""'""&amp;BW$1&amp;""'!$C$4:$C$66""),INDIRECT(""'""&amp;BW$1&amp;""'!$D$4:$D$66"")=BW$2),$F$3:$BP$3,$F83:$BP83)))"),-0.01996281785714285)</f>
        <v>-0.01996281786</v>
      </c>
      <c r="BX83" s="207" t="str">
        <f>IFERROR(__xludf.DUMMYFUNCTION("IF(OR(BW83&gt;$BR83+$BS83*$BS$2,BW83&lt;$BR83-$BS83*$BS$2),AVEDEV(ARRAYFORMULA(XLOOKUP(FILTER(INDIRECT(""'""&amp;BW$1&amp;""'!$C$4:$C$66""),INDIRECT(""'""&amp;BW$1&amp;""'!$D$4:$D$66"")=BW$2),$F$3:$BP$3,$F83:$BP83))),"""")"),"")</f>
        <v/>
      </c>
      <c r="BY83" s="207">
        <f>IFERROR(__xludf.DUMMYFUNCTION("AVERAGE(ARRAYFORMULA(XLOOKUP(FILTER(INDIRECT(""'""&amp;BY$1&amp;""'!$C$4:$C$66""),INDIRECT(""'""&amp;BY$1&amp;""'!$D$4:$D$66"")=BY$2),$F$3:$BP$3,$F83:$BP83)))"),0.14692008272727275)</f>
        <v>0.1469200827</v>
      </c>
      <c r="BZ83" s="207" t="str">
        <f>IFERROR(__xludf.DUMMYFUNCTION("IF(OR(BY83&gt;$BR83+$BS83*$BS$2,BY83&lt;$BR83-$BS83*$BS$2),AVEDEV(ARRAYFORMULA(XLOOKUP(FILTER(INDIRECT(""'""&amp;BY$1&amp;""'!$C$4:$C$66""),INDIRECT(""'""&amp;BY$1&amp;""'!$D$4:$D$66"")=BY$2),$F$3:$BP$3,$F83:$BP83))),"""")"),"")</f>
        <v/>
      </c>
      <c r="CA83" s="209"/>
      <c r="CB83" s="207">
        <f>IFERROR(__xludf.DUMMYFUNCTION("AVERAGE(ARRAYFORMULA(XLOOKUP(FILTER(INDIRECT(""'""&amp;CB$1&amp;""'!$C$4:$C$66""),INDIRECT(""'""&amp;CB$1&amp;""'!$D$4:$D$66"")=CB$2),$F$3:$BP$3,$F83:$BP83)))"),0.24074307812500004)</f>
        <v>0.2407430781</v>
      </c>
      <c r="CC83" s="207" t="str">
        <f>IFERROR(__xludf.DUMMYFUNCTION("IF(OR(CB83&gt;$BR83+$BS83*$BS$2,CB83&lt;$BR83-$BS83*$BS$2),AVEDEV(ARRAYFORMULA(XLOOKUP(FILTER(INDIRECT(""'""&amp;CB$1&amp;""'!$C$4:$C$66""),INDIRECT(""'""&amp;CB$1&amp;""'!$D$4:$D$66"")=CB$2),$F$3:$BP$3,$F83:$BP83))),"""")"),"")</f>
        <v/>
      </c>
      <c r="CD83" s="207">
        <f>IFERROR(__xludf.DUMMYFUNCTION("AVERAGE(ARRAYFORMULA(XLOOKUP(FILTER(INDIRECT(""'""&amp;CD$1&amp;""'!$C$4:$C$66""),INDIRECT(""'""&amp;CD$1&amp;""'!$D$4:$D$66"")=CD$2),$F$3:$BP$3,$F83:$BP83)))"),-0.28878362354838716)</f>
        <v>-0.2887836235</v>
      </c>
      <c r="CE83" s="207" t="str">
        <f>IFERROR(__xludf.DUMMYFUNCTION("IF(OR(CD83&gt;$BR83+$BS83*$BS$2,CD83&lt;$BR83-$BS83*$BS$2),AVEDEV(ARRAYFORMULA(XLOOKUP(FILTER(INDIRECT(""'""&amp;CD$1&amp;""'!$C$4:$C$66""),INDIRECT(""'""&amp;CD$1&amp;""'!$D$4:$D$66"")=CD$2),$F$3:$BP$3,$F83:$BP83))),"""")"),"")</f>
        <v/>
      </c>
      <c r="CF83" s="207">
        <f>IFERROR(__xludf.DUMMYFUNCTION("AVERAGE(ARRAYFORMULA(XLOOKUP(FILTER(INDIRECT(""'""&amp;CF$1&amp;""'!$C$4:$C$66""),INDIRECT(""'""&amp;CF$1&amp;""'!$D$4:$D$66"")=CF$2),$F$3:$BP$3,$F83:$BP83)))"),0.7872040299999999)</f>
        <v>0.78720403</v>
      </c>
      <c r="CG83" s="207">
        <f>IFERROR(__xludf.DUMMYFUNCTION("IF(OR(CF83&gt;$BR83+$BS83*$BS$2,CF83&lt;$BR83-$BS83*$BS$2),AVEDEV(ARRAYFORMULA(XLOOKUP(FILTER(INDIRECT(""'""&amp;CF$1&amp;""'!$C$4:$C$66""),INDIRECT(""'""&amp;CF$1&amp;""'!$D$4:$D$66"")=CF$2),$F$3:$BP$3,$F83:$BP83))),"""")"),0.578700252)</f>
        <v>0.578700252</v>
      </c>
      <c r="CH83" s="206"/>
      <c r="CI83" s="251">
        <f>IFERROR(__xludf.DUMMYFUNCTION("AVERAGE(ARRAYFORMULA(XLOOKUP(FILTER(INDIRECT(""'""&amp;CI$1&amp;""'!$C$4:$C$66""),INDIRECT(""'""&amp;CI$1&amp;""'!$D$4:$D$66"")=CI$2),$F$3:$BP$3,$F83:$BP83)))"),-0.23580184333333334)</f>
        <v>-0.2358018433</v>
      </c>
      <c r="CJ83" s="207" t="str">
        <f>IFERROR(__xludf.DUMMYFUNCTION("IF(OR(CI83&gt;$BR83+$BS83*$BS$2,CI83&lt;$BR83-$BS83*$BS$2),AVEDEV(ARRAYFORMULA(XLOOKUP(FILTER(INDIRECT(""'""&amp;CI$1&amp;""'!$C$4:$C$66""),INDIRECT(""'""&amp;CI$1&amp;""'!$D$4:$D$66"")=CI$2),$F$3:$BP$3,$F83:$BP83))),"""")"),"")</f>
        <v/>
      </c>
      <c r="CK83" s="251">
        <f>IFERROR(__xludf.DUMMYFUNCTION("AVERAGE(ARRAYFORMULA(XLOOKUP(FILTER(INDIRECT(""'""&amp;CK$1&amp;""'!$C$4:$C$66""),INDIRECT(""'""&amp;CK$1&amp;""'!$D$4:$D$66"")=CK$2),$F$3:$BP$3,$F83:$BP83)))"),-0.012662925128205122)</f>
        <v>-0.01266292513</v>
      </c>
      <c r="CL83" s="207" t="str">
        <f>IFERROR(__xludf.DUMMYFUNCTION("IF(OR(CK83&gt;$BR83+$BS83*$BS$2,CK83&lt;$BR83-$BS83*$BS$2),AVEDEV(ARRAYFORMULA(XLOOKUP(FILTER(INDIRECT(""'""&amp;CK$1&amp;""'!$C$4:$C$66""),INDIRECT(""'""&amp;CK$1&amp;""'!$D$4:$D$66"")=CK$2),$F$3:$BP$3,$F83:$BP83))),"""")"),"")</f>
        <v/>
      </c>
      <c r="CM83" s="251">
        <f>IFERROR(__xludf.DUMMYFUNCTION("AVERAGE(ARRAYFORMULA(XLOOKUP(FILTER(INDIRECT(""'""&amp;CM$1&amp;""'!$C$4:$C$66""),INDIRECT(""'""&amp;CM$1&amp;""'!$D$4:$D$66"")=CM$2),$F$3:$BP$3,$F83:$BP83)))"),0.7872040299999999)</f>
        <v>0.78720403</v>
      </c>
      <c r="CN83" s="207">
        <f>IFERROR(__xludf.DUMMYFUNCTION("IF(OR(CM83&gt;$BR83+$BS83*$BS$2,CM83&lt;$BR83-$BS83*$BS$2),AVEDEV(ARRAYFORMULA(XLOOKUP(FILTER(INDIRECT(""'""&amp;CM$1&amp;""'!$C$4:$C$66""),INDIRECT(""'""&amp;CM$1&amp;""'!$D$4:$D$66"")=CM$2),$F$3:$BP$3,$F83:$BP83))),"""")"),0.578700252)</f>
        <v>0.578700252</v>
      </c>
      <c r="CO83" s="252"/>
      <c r="CP83" s="251">
        <f>IFERROR(__xludf.DUMMYFUNCTION("AVERAGE(ARRAYFORMULA(XLOOKUP(FILTER(INDIRECT(""'""&amp;CP$1&amp;""'!$C$4:$C$66""),INDIRECT(""'""&amp;CP$1&amp;""'!$D$4:$D$66"")=CP$2),$F$3:$BP$3,$F83:$BP83)))"),0.2633321371428572)</f>
        <v>0.2633321371</v>
      </c>
      <c r="CQ83" s="207" t="str">
        <f>IFERROR(__xludf.DUMMYFUNCTION("IF(OR(CP83&gt;$BR83+$BS83*$BS$2,CP83&lt;$BR83-$BS83*$BS$2),AVEDEV(ARRAYFORMULA(XLOOKUP(FILTER(INDIRECT(""'""&amp;CP$1&amp;""'!$C$4:$C$66""),INDIRECT(""'""&amp;CP$1&amp;""'!$D$4:$D$66"")=CP$2),$F$3:$BP$3,$F83:$BP83))),"""")"),"")</f>
        <v/>
      </c>
      <c r="CR83" s="251">
        <f>IFERROR(__xludf.DUMMYFUNCTION("AVERAGE(ARRAYFORMULA(XLOOKUP(FILTER(INDIRECT(""'""&amp;CR$1&amp;""'!$C$4:$C$66""),INDIRECT(""'""&amp;CR$1&amp;""'!$D$4:$D$66"")=CR$2),$F$3:$BP$3,$F83:$BP83)))"),0.0384550811111111)</f>
        <v>0.03845508111</v>
      </c>
      <c r="CS83" s="207" t="str">
        <f>IFERROR(__xludf.DUMMYFUNCTION("IF(OR(CR83&gt;$BR83+$BS83*$BS$2,CR83&lt;$BR83-$BS83*$BS$2),AVEDEV(ARRAYFORMULA(XLOOKUP(FILTER(INDIRECT(""'""&amp;CR$1&amp;""'!$C$4:$C$66""),INDIRECT(""'""&amp;CR$1&amp;""'!$D$4:$D$66"")=CR$2),$F$3:$BP$3,$F83:$BP83))),"""")"),"")</f>
        <v/>
      </c>
      <c r="CT83" s="251">
        <f>IFERROR(__xludf.DUMMYFUNCTION("AVERAGE(ARRAYFORMULA(XLOOKUP(FILTER(INDIRECT(""'""&amp;CT$1&amp;""'!$C$4:$C$66""),INDIRECT(""'""&amp;CT$1&amp;""'!$D$4:$D$66"")=CT$2),$F$3:$BP$3,$F83:$BP83)))"),-0.06700251727272728)</f>
        <v>-0.06700251727</v>
      </c>
      <c r="CU83" s="207" t="str">
        <f>IFERROR(__xludf.DUMMYFUNCTION("IF(OR(CT83&gt;$BR83+$BS83*$BS$2,CT83&lt;$BR83-$BS83*$BS$2),AVEDEV(ARRAYFORMULA(XLOOKUP(FILTER(INDIRECT(""'""&amp;CT$1&amp;""'!$C$4:$C$66""),INDIRECT(""'""&amp;CT$1&amp;""'!$D$4:$D$66"")=CT$2),$F$3:$BP$3,$F83:$BP83))),"""")"),"")</f>
        <v/>
      </c>
      <c r="CV83" s="251">
        <f>IFERROR(__xludf.DUMMYFUNCTION("AVERAGE(ARRAYFORMULA(XLOOKUP(FILTER(INDIRECT(""'""&amp;CV$1&amp;""'!$C$4:$C$66""),INDIRECT(""'""&amp;CV$1&amp;""'!$D$4:$D$66"")=CV$2),$F$3:$BP$3,$F83:$BP83)))"),-0.39848870000000003)</f>
        <v>-0.3984887</v>
      </c>
      <c r="CW83" s="207" t="str">
        <f>IFERROR(__xludf.DUMMYFUNCTION("IF(OR(CV83&gt;$BR83+$BS83*$BS$2,CV83&lt;$BR83-$BS83*$BS$2),AVEDEV(ARRAYFORMULA(XLOOKUP(FILTER(INDIRECT(""'""&amp;CV$1&amp;""'!$C$4:$C$66""),INDIRECT(""'""&amp;CV$1&amp;""'!$D$4:$D$66"")=CV$2),$F$3:$BP$3,$F83:$BP83))),"""")"),"")</f>
        <v/>
      </c>
      <c r="CX83" s="251">
        <f>IFERROR(__xludf.DUMMYFUNCTION("AVERAGE(ARRAYFORMULA(XLOOKUP(FILTER(INDIRECT(""'""&amp;CX$1&amp;""'!$C$4:$C$66""),INDIRECT(""'""&amp;CX$1&amp;""'!$D$4:$D$66"")=CX$2),$F$3:$BP$3,$F83:$BP83)))"),-0.31825477428571425)</f>
        <v>-0.3182547743</v>
      </c>
      <c r="CY83" s="207" t="str">
        <f>IFERROR(__xludf.DUMMYFUNCTION("IF(OR(CX83&gt;$BR83+$BS83*$BS$2,CX83&lt;$BR83-$BS83*$BS$2),AVEDEV(ARRAYFORMULA(XLOOKUP(FILTER(INDIRECT(""'""&amp;CX$1&amp;""'!$C$4:$C$66""),INDIRECT(""'""&amp;CX$1&amp;""'!$D$4:$D$66"")=CX$2),$F$3:$BP$3,$F83:$BP83))),"""")"),"")</f>
        <v/>
      </c>
      <c r="CZ83" s="252"/>
      <c r="DA83" s="251">
        <f>IFERROR(__xludf.DUMMYFUNCTION("AVERAGE(ARRAYFORMULA(XLOOKUP(FILTER(INDIRECT(""'""&amp;DA$1&amp;""'!$C$4:$C$66""),INDIRECT(""'""&amp;DA$1&amp;""'!$D$4:$D$66"")=DA$2),$F$3:$BP$3,$F83:$BP83)))"),-0.019680940333333334)</f>
        <v>-0.01968094033</v>
      </c>
      <c r="DB83" s="207" t="str">
        <f>IFERROR(__xludf.DUMMYFUNCTION("IF(OR(DA83&gt;$BR83+$BS83*$BS$2,DA83&lt;$BR83-$BS83*$BS$2),AVEDEV(ARRAYFORMULA(XLOOKUP(FILTER(INDIRECT(""'""&amp;DA$1&amp;""'!$C$4:$C$66""),INDIRECT(""'""&amp;DA$1&amp;""'!$D$4:$D$66"")=DA$2),$F$3:$BP$3,$F83:$BP83))),"""")"),"")</f>
        <v/>
      </c>
      <c r="DC83" s="251">
        <f>IFERROR(__xludf.DUMMYFUNCTION("AVERAGE(ARRAYFORMULA(XLOOKUP(FILTER(INDIRECT(""'""&amp;DC$1&amp;""'!$C$4:$C$66""),INDIRECT(""'""&amp;DC$1&amp;""'!$D$4:$D$66"")=DC$2),$F$3:$BP$3,$F83:$BP83)))"),0.20761264888888892)</f>
        <v>0.2076126489</v>
      </c>
      <c r="DD83" s="207" t="str">
        <f>IFERROR(__xludf.DUMMYFUNCTION("IF(OR(DC83&gt;$BR83+$BS83*$BS$2,DC83&lt;$BR83-$BS83*$BS$2),AVEDEV(ARRAYFORMULA(XLOOKUP(FILTER(INDIRECT(""'""&amp;DC$1&amp;""'!$C$4:$C$66""),INDIRECT(""'""&amp;DC$1&amp;""'!$D$4:$D$66"")=DC$2),$F$3:$BP$3,$F83:$BP83))),"""")"),"")</f>
        <v/>
      </c>
      <c r="DE83" s="251">
        <f>IFERROR(__xludf.DUMMYFUNCTION("AVERAGE(ARRAYFORMULA(XLOOKUP(FILTER(INDIRECT(""'""&amp;DE$1&amp;""'!$C$4:$C$66""),INDIRECT(""'""&amp;DE$1&amp;""'!$D$4:$D$66"")=DE$2),$F$3:$BP$3,$F83:$BP83)))"),-0.49705920125)</f>
        <v>-0.4970592013</v>
      </c>
      <c r="DF83" s="207" t="str">
        <f>IFERROR(__xludf.DUMMYFUNCTION("IF(OR(DE83&gt;$BR83+$BS83*$BS$2,DE83&lt;$BR83-$BS83*$BS$2),AVEDEV(ARRAYFORMULA(XLOOKUP(FILTER(INDIRECT(""'""&amp;DE$1&amp;""'!$C$4:$C$66""),INDIRECT(""'""&amp;DE$1&amp;""'!$D$4:$D$66"")=DE$2),$F$3:$BP$3,$F83:$BP83))),"""")"),"")</f>
        <v/>
      </c>
      <c r="DG83" s="251">
        <f>IFERROR(__xludf.DUMMYFUNCTION("AVERAGE(ARRAYFORMULA(XLOOKUP(FILTER(INDIRECT(""'""&amp;DG$1&amp;""'!$C$4:$C$66""),INDIRECT(""'""&amp;DG$1&amp;""'!$D$4:$D$66"")=DG$2),$F$3:$BP$3,$F83:$BP83)))"),0.27657430222222223)</f>
        <v>0.2765743022</v>
      </c>
      <c r="DH83" s="207" t="str">
        <f>IFERROR(__xludf.DUMMYFUNCTION("IF(OR(DG83&gt;$BR83+$BS83*$BS$2,DG83&lt;$BR83-$BS83*$BS$2),AVEDEV(ARRAYFORMULA(XLOOKUP(FILTER(INDIRECT(""'""&amp;DG$1&amp;""'!$C$4:$C$66""),INDIRECT(""'""&amp;DG$1&amp;""'!$D$4:$D$66"")=DG$2),$F$3:$BP$3,$F83:$BP83))),"""")"),"")</f>
        <v/>
      </c>
      <c r="DI83" s="252"/>
    </row>
    <row r="84">
      <c r="A84" s="2"/>
      <c r="B84" s="204" t="s">
        <v>507</v>
      </c>
      <c r="C84" s="204" t="s">
        <v>526</v>
      </c>
      <c r="D84" s="205" t="b">
        <f>VLOOKUP(C84,'Feature Set List'!A81:C246,2,0)</f>
        <v>1</v>
      </c>
      <c r="E84" s="205" t="b">
        <f>VLOOKUP(C84,'Feature Set List'!A81:C246,3,0)</f>
        <v>1</v>
      </c>
      <c r="F84" s="205">
        <v>-0.6052889</v>
      </c>
      <c r="G84" s="205">
        <v>0.54848188</v>
      </c>
      <c r="H84" s="205">
        <v>-1.8961802</v>
      </c>
      <c r="I84" s="205">
        <v>-0.0254652</v>
      </c>
      <c r="J84" s="205">
        <v>0.16650343</v>
      </c>
      <c r="K84" s="205">
        <v>0.47012733</v>
      </c>
      <c r="L84" s="205">
        <v>-0.8246817</v>
      </c>
      <c r="M84" s="205">
        <v>1.61998041</v>
      </c>
      <c r="N84" s="205">
        <v>-0.5621939</v>
      </c>
      <c r="O84" s="205">
        <v>-0.0568071</v>
      </c>
      <c r="P84" s="205">
        <v>0.29382958</v>
      </c>
      <c r="Q84" s="205">
        <v>0.07443683</v>
      </c>
      <c r="R84" s="205">
        <v>0.38785504</v>
      </c>
      <c r="S84" s="205">
        <v>0.20176298</v>
      </c>
      <c r="T84" s="205">
        <v>2.47796278</v>
      </c>
      <c r="U84" s="205">
        <v>0.22135162</v>
      </c>
      <c r="V84" s="205">
        <v>-0.3486778</v>
      </c>
      <c r="W84" s="205">
        <v>2.38393732</v>
      </c>
      <c r="X84" s="205">
        <v>-0.6444662</v>
      </c>
      <c r="Y84" s="205">
        <v>0.36238981</v>
      </c>
      <c r="Z84" s="205">
        <v>1.82957884</v>
      </c>
      <c r="AA84" s="205">
        <v>0.31341822</v>
      </c>
      <c r="AB84" s="205">
        <v>0.59745348</v>
      </c>
      <c r="AC84" s="205">
        <v>-1.9059745</v>
      </c>
      <c r="AD84" s="205">
        <v>1.91185113</v>
      </c>
      <c r="AE84" s="205">
        <v>0.05093046</v>
      </c>
      <c r="AF84" s="205">
        <v>-0.8148874</v>
      </c>
      <c r="AG84" s="205">
        <v>0.55044074</v>
      </c>
      <c r="AH84" s="205">
        <v>-0.158668</v>
      </c>
      <c r="AI84" s="205">
        <v>-1.6571988</v>
      </c>
      <c r="AJ84" s="205">
        <v>-1.3437806</v>
      </c>
      <c r="AK84" s="205">
        <v>-0.7071499</v>
      </c>
      <c r="AL84" s="205">
        <v>0.24289912</v>
      </c>
      <c r="AM84" s="205">
        <v>-0.4838394</v>
      </c>
      <c r="AN84" s="205">
        <v>0.57590597</v>
      </c>
      <c r="AO84" s="205">
        <v>-0.1077375</v>
      </c>
      <c r="AP84" s="205">
        <v>-0.6346719</v>
      </c>
      <c r="AQ84" s="205">
        <v>-0.2350637</v>
      </c>
      <c r="AR84" s="205">
        <v>-0.0842311</v>
      </c>
      <c r="AS84" s="205">
        <v>0.0</v>
      </c>
      <c r="AT84" s="205">
        <v>-2.1429971</v>
      </c>
      <c r="AU84" s="205">
        <v>-0.5504407</v>
      </c>
      <c r="AV84" s="205">
        <v>0.64642507</v>
      </c>
      <c r="AW84" s="205">
        <v>0.33300686</v>
      </c>
      <c r="AX84" s="205">
        <v>0.34867777</v>
      </c>
      <c r="AY84" s="205">
        <v>0.29382958</v>
      </c>
      <c r="AZ84" s="205">
        <v>-0.1841332</v>
      </c>
      <c r="BA84" s="205">
        <v>2.59745348</v>
      </c>
      <c r="BB84" s="205">
        <v>-0.877571</v>
      </c>
      <c r="BC84" s="205">
        <v>-0.0803134</v>
      </c>
      <c r="BD84" s="205">
        <v>1.14789422</v>
      </c>
      <c r="BE84" s="205">
        <v>-0.3956905</v>
      </c>
      <c r="BF84" s="205">
        <v>-0.0803134</v>
      </c>
      <c r="BG84" s="205">
        <v>-1.5553379</v>
      </c>
      <c r="BH84" s="205">
        <v>0.41136141</v>
      </c>
      <c r="BI84" s="205">
        <v>-0.6797258</v>
      </c>
      <c r="BJ84" s="205">
        <v>0.24094025</v>
      </c>
      <c r="BK84" s="205">
        <v>5.01469148</v>
      </c>
      <c r="BL84" s="205">
        <v>0.65621939</v>
      </c>
      <c r="BM84" s="205">
        <v>0.49951028</v>
      </c>
      <c r="BN84" s="205">
        <v>-1.0950049</v>
      </c>
      <c r="BO84" s="205">
        <v>-0.3623898</v>
      </c>
      <c r="BP84" s="205">
        <v>-0.5563173</v>
      </c>
      <c r="BQ84" s="206"/>
      <c r="BR84" s="250">
        <f t="shared" si="1"/>
        <v>0.09228425333</v>
      </c>
      <c r="BS84" s="250">
        <f t="shared" si="2"/>
        <v>0.7831586071</v>
      </c>
      <c r="BT84" s="206"/>
      <c r="BU84" s="207">
        <f>IFERROR(__xludf.DUMMYFUNCTION("AVERAGE(ARRAYFORMULA(XLOOKUP(FILTER(INDIRECT(""'""&amp;BU$1&amp;""'!$C$4:$C$66""),INDIRECT(""'""&amp;BU$1&amp;""'!$D$4:$D$66"")=BU$2),$F$3:$BP$3,$F84:$BP84)))"),2.078074717142857)</f>
        <v>2.078074717</v>
      </c>
      <c r="BV84" s="207">
        <f>IFERROR(__xludf.DUMMYFUNCTION("IF(OR(BU84&gt;$BR84+$BS84*$BS$2,BU84&lt;$BR84-$BS84*$BS$2),AVEDEV(ARRAYFORMULA(XLOOKUP(FILTER(INDIRECT(""'""&amp;BU$1&amp;""'!$C$4:$C$66""),INDIRECT(""'""&amp;BU$1&amp;""'!$D$4:$D$66"")=BU$2),$F$3:$BP$3,$F84:$BP84))),"""")"),1.1890703404081633)</f>
        <v>1.18907034</v>
      </c>
      <c r="BW84" s="207">
        <f>IFERROR(__xludf.DUMMYFUNCTION("AVERAGE(ARRAYFORMULA(XLOOKUP(FILTER(INDIRECT(""'""&amp;BW$1&amp;""'!$C$4:$C$66""),INDIRECT(""'""&amp;BW$1&amp;""'!$D$4:$D$66"")=BW$2),$F$3:$BP$3,$F84:$BP84)))"),-0.08623664761904763)</f>
        <v>-0.08623664762</v>
      </c>
      <c r="BX84" s="207" t="str">
        <f>IFERROR(__xludf.DUMMYFUNCTION("IF(OR(BW84&gt;$BR84+$BS84*$BS$2,BW84&lt;$BR84-$BS84*$BS$2),AVEDEV(ARRAYFORMULA(XLOOKUP(FILTER(INDIRECT(""'""&amp;BW$1&amp;""'!$C$4:$C$66""),INDIRECT(""'""&amp;BW$1&amp;""'!$D$4:$D$66"")=BW$2),$F$3:$BP$3,$F84:$BP84))),"""")"),"")</f>
        <v/>
      </c>
      <c r="BY84" s="207">
        <f>IFERROR(__xludf.DUMMYFUNCTION("AVERAGE(ARRAYFORMULA(XLOOKUP(FILTER(INDIRECT(""'""&amp;BY$1&amp;""'!$C$4:$C$66""),INDIRECT(""'""&amp;BY$1&amp;""'!$D$4:$D$66"")=BY$2),$F$3:$BP$3,$F84:$BP84)))"),-0.09010774181818182)</f>
        <v>-0.09010774182</v>
      </c>
      <c r="BZ84" s="207" t="str">
        <f>IFERROR(__xludf.DUMMYFUNCTION("IF(OR(BY84&gt;$BR84+$BS84*$BS$2,BY84&lt;$BR84-$BS84*$BS$2),AVEDEV(ARRAYFORMULA(XLOOKUP(FILTER(INDIRECT(""'""&amp;BY$1&amp;""'!$C$4:$C$66""),INDIRECT(""'""&amp;BY$1&amp;""'!$D$4:$D$66"")=BY$2),$F$3:$BP$3,$F84:$BP84))),"""")"),"")</f>
        <v/>
      </c>
      <c r="CA84" s="209"/>
      <c r="CB84" s="207">
        <f>IFERROR(__xludf.DUMMYFUNCTION("AVERAGE(ARRAYFORMULA(XLOOKUP(FILTER(INDIRECT(""'""&amp;CB$1&amp;""'!$C$4:$C$66""),INDIRECT(""'""&amp;CB$1&amp;""'!$D$4:$D$66"")=CB$2),$F$3:$BP$3,$F84:$BP84)))"),0.41931929375)</f>
        <v>0.4193192938</v>
      </c>
      <c r="CC84" s="207" t="str">
        <f>IFERROR(__xludf.DUMMYFUNCTION("IF(OR(CB84&gt;$BR84+$BS84*$BS$2,CB84&lt;$BR84-$BS84*$BS$2),AVEDEV(ARRAYFORMULA(XLOOKUP(FILTER(INDIRECT(""'""&amp;CB$1&amp;""'!$C$4:$C$66""),INDIRECT(""'""&amp;CB$1&amp;""'!$D$4:$D$66"")=CB$2),$F$3:$BP$3,$F84:$BP84))),"""")"),"")</f>
        <v/>
      </c>
      <c r="CD84" s="207">
        <f>IFERROR(__xludf.DUMMYFUNCTION("AVERAGE(ARRAYFORMULA(XLOOKUP(FILTER(INDIRECT(""'""&amp;CD$1&amp;""'!$C$4:$C$66""),INDIRECT(""'""&amp;CD$1&amp;""'!$D$4:$D$66"")=CD$2),$F$3:$BP$3,$F84:$BP84)))"),-0.1161416690322581)</f>
        <v>-0.116141669</v>
      </c>
      <c r="CE84" s="207" t="str">
        <f>IFERROR(__xludf.DUMMYFUNCTION("IF(OR(CD84&gt;$BR84+$BS84*$BS$2,CD84&lt;$BR84-$BS84*$BS$2),AVEDEV(ARRAYFORMULA(XLOOKUP(FILTER(INDIRECT(""'""&amp;CD$1&amp;""'!$C$4:$C$66""),INDIRECT(""'""&amp;CD$1&amp;""'!$D$4:$D$66"")=CD$2),$F$3:$BP$3,$F84:$BP84))),"""")"),"")</f>
        <v/>
      </c>
      <c r="CF84" s="207">
        <f>IFERROR(__xludf.DUMMYFUNCTION("AVERAGE(ARRAYFORMULA(XLOOKUP(FILTER(INDIRECT(""'""&amp;CF$1&amp;""'!$C$4:$C$66""),INDIRECT(""'""&amp;CF$1&amp;""'!$D$4:$D$66"")=CF$2),$F$3:$BP$3,$F84:$BP84)))"),-0.040744364)</f>
        <v>-0.040744364</v>
      </c>
      <c r="CG84" s="207" t="str">
        <f>IFERROR(__xludf.DUMMYFUNCTION("IF(OR(CF84&gt;$BR84+$BS84*$BS$2,CF84&lt;$BR84-$BS84*$BS$2),AVEDEV(ARRAYFORMULA(XLOOKUP(FILTER(INDIRECT(""'""&amp;CF$1&amp;""'!$C$4:$C$66""),INDIRECT(""'""&amp;CF$1&amp;""'!$D$4:$D$66"")=CF$2),$F$3:$BP$3,$F84:$BP84))),"""")"),"")</f>
        <v/>
      </c>
      <c r="CH84" s="206"/>
      <c r="CI84" s="251">
        <f>IFERROR(__xludf.DUMMYFUNCTION("AVERAGE(ARRAYFORMULA(XLOOKUP(FILTER(INDIRECT(""'""&amp;CI$1&amp;""'!$C$4:$C$66""),INDIRECT(""'""&amp;CI$1&amp;""'!$D$4:$D$66"")=CI$2),$F$3:$BP$3,$F84:$BP84)))"),0.9160953340000001)</f>
        <v>0.916095334</v>
      </c>
      <c r="CJ84" s="207">
        <f>IFERROR(__xludf.DUMMYFUNCTION("IF(OR(CI84&gt;$BR84+$BS84*$BS$2,CI84&lt;$BR84-$BS84*$BS$2),AVEDEV(ARRAYFORMULA(XLOOKUP(FILTER(INDIRECT(""'""&amp;CI$1&amp;""'!$C$4:$C$66""),INDIRECT(""'""&amp;CI$1&amp;""'!$D$4:$D$66"")=CI$2),$F$3:$BP$3,$F84:$BP84))),"""")"),1.0074654456)</f>
        <v>1.007465446</v>
      </c>
      <c r="CK84" s="251">
        <f>IFERROR(__xludf.DUMMYFUNCTION("AVERAGE(ARRAYFORMULA(XLOOKUP(FILTER(INDIRECT(""'""&amp;CK$1&amp;""'!$C$4:$C$66""),INDIRECT(""'""&amp;CK$1&amp;""'!$D$4:$D$66"")=CK$2),$F$3:$BP$3,$F84:$BP84)))"),-0.22100002589743595)</f>
        <v>-0.2210000259</v>
      </c>
      <c r="CL84" s="207" t="str">
        <f>IFERROR(__xludf.DUMMYFUNCTION("IF(OR(CK84&gt;$BR84+$BS84*$BS$2,CK84&lt;$BR84-$BS84*$BS$2),AVEDEV(ARRAYFORMULA(XLOOKUP(FILTER(INDIRECT(""'""&amp;CK$1&amp;""'!$C$4:$C$66""),INDIRECT(""'""&amp;CK$1&amp;""'!$D$4:$D$66"")=CK$2),$F$3:$BP$3,$F84:$BP84))),"""")"),"")</f>
        <v/>
      </c>
      <c r="CM84" s="251">
        <f>IFERROR(__xludf.DUMMYFUNCTION("AVERAGE(ARRAYFORMULA(XLOOKUP(FILTER(INDIRECT(""'""&amp;CM$1&amp;""'!$C$4:$C$66""),INDIRECT(""'""&amp;CM$1&amp;""'!$D$4:$D$66"")=CM$2),$F$3:$BP$3,$F84:$BP84)))"),-0.040744364)</f>
        <v>-0.040744364</v>
      </c>
      <c r="CN84" s="207" t="str">
        <f>IFERROR(__xludf.DUMMYFUNCTION("IF(OR(CM84&gt;$BR84+$BS84*$BS$2,CM84&lt;$BR84-$BS84*$BS$2),AVEDEV(ARRAYFORMULA(XLOOKUP(FILTER(INDIRECT(""'""&amp;CM$1&amp;""'!$C$4:$C$66""),INDIRECT(""'""&amp;CM$1&amp;""'!$D$4:$D$66"")=CM$2),$F$3:$BP$3,$F84:$BP84))),"""")"),"")</f>
        <v/>
      </c>
      <c r="CO84" s="252"/>
      <c r="CP84" s="251">
        <f>IFERROR(__xludf.DUMMYFUNCTION("AVERAGE(ARRAYFORMULA(XLOOKUP(FILTER(INDIRECT(""'""&amp;CP$1&amp;""'!$C$4:$C$66""),INDIRECT(""'""&amp;CP$1&amp;""'!$D$4:$D$66"")=CP$2),$F$3:$BP$3,$F84:$BP84)))"),0.0714985257142857)</f>
        <v>0.07149852571</v>
      </c>
      <c r="CQ84" s="207" t="str">
        <f>IFERROR(__xludf.DUMMYFUNCTION("IF(OR(CP84&gt;$BR84+$BS84*$BS$2,CP84&lt;$BR84-$BS84*$BS$2),AVEDEV(ARRAYFORMULA(XLOOKUP(FILTER(INDIRECT(""'""&amp;CP$1&amp;""'!$C$4:$C$66""),INDIRECT(""'""&amp;CP$1&amp;""'!$D$4:$D$66"")=CP$2),$F$3:$BP$3,$F84:$BP84))),"""")"),"")</f>
        <v/>
      </c>
      <c r="CR84" s="251">
        <f>IFERROR(__xludf.DUMMYFUNCTION("AVERAGE(ARRAYFORMULA(XLOOKUP(FILTER(INDIRECT(""'""&amp;CR$1&amp;""'!$C$4:$C$66""),INDIRECT(""'""&amp;CR$1&amp;""'!$D$4:$D$66"")=CR$2),$F$3:$BP$3,$F84:$BP84)))"),-0.2156926811111111)</f>
        <v>-0.2156926811</v>
      </c>
      <c r="CS84" s="207" t="str">
        <f>IFERROR(__xludf.DUMMYFUNCTION("IF(OR(CR84&gt;$BR84+$BS84*$BS$2,CR84&lt;$BR84-$BS84*$BS$2),AVEDEV(ARRAYFORMULA(XLOOKUP(FILTER(INDIRECT(""'""&amp;CR$1&amp;""'!$C$4:$C$66""),INDIRECT(""'""&amp;CR$1&amp;""'!$D$4:$D$66"")=CR$2),$F$3:$BP$3,$F84:$BP84))),"""")"),"")</f>
        <v/>
      </c>
      <c r="CT84" s="251">
        <f>IFERROR(__xludf.DUMMYFUNCTION("AVERAGE(ARRAYFORMULA(XLOOKUP(FILTER(INDIRECT(""'""&amp;CT$1&amp;""'!$C$4:$C$66""),INDIRECT(""'""&amp;CT$1&amp;""'!$D$4:$D$66"")=CT$2),$F$3:$BP$3,$F84:$BP84)))"),0.22633782000000002)</f>
        <v>0.22633782</v>
      </c>
      <c r="CU84" s="207" t="str">
        <f>IFERROR(__xludf.DUMMYFUNCTION("IF(OR(CT84&gt;$BR84+$BS84*$BS$2,CT84&lt;$BR84-$BS84*$BS$2),AVEDEV(ARRAYFORMULA(XLOOKUP(FILTER(INDIRECT(""'""&amp;CT$1&amp;""'!$C$4:$C$66""),INDIRECT(""'""&amp;CT$1&amp;""'!$D$4:$D$66"")=CT$2),$F$3:$BP$3,$F84:$BP84))),"""")"),"")</f>
        <v/>
      </c>
      <c r="CV84" s="251">
        <f>IFERROR(__xludf.DUMMYFUNCTION("AVERAGE(ARRAYFORMULA(XLOOKUP(FILTER(INDIRECT(""'""&amp;CV$1&amp;""'!$C$4:$C$66""),INDIRECT(""'""&amp;CV$1&amp;""'!$D$4:$D$66"")=CV$2),$F$3:$BP$3,$F84:$BP84)))"),-1.7306561999999999)</f>
        <v>-1.7306562</v>
      </c>
      <c r="CW84" s="207">
        <f>IFERROR(__xludf.DUMMYFUNCTION("IF(OR(CV84&gt;$BR84+$BS84*$BS$2,CV84&lt;$BR84-$BS84*$BS$2),AVEDEV(ARRAYFORMULA(XLOOKUP(FILTER(INDIRECT(""'""&amp;CV$1&amp;""'!$C$4:$C$66""),INDIRECT(""'""&amp;CV$1&amp;""'!$D$4:$D$66"")=CV$2),$F$3:$BP$3,$F84:$BP84))),"""")"),0.17531829999999993)</f>
        <v>0.1753183</v>
      </c>
      <c r="CX84" s="251">
        <f>IFERROR(__xludf.DUMMYFUNCTION("AVERAGE(ARRAYFORMULA(XLOOKUP(FILTER(INDIRECT(""'""&amp;CX$1&amp;""'!$C$4:$C$66""),INDIRECT(""'""&amp;CX$1&amp;""'!$D$4:$D$66"")=CX$2),$F$3:$BP$3,$F84:$BP84)))"),-0.245697495)</f>
        <v>-0.245697495</v>
      </c>
      <c r="CY84" s="207" t="str">
        <f>IFERROR(__xludf.DUMMYFUNCTION("IF(OR(CX84&gt;$BR84+$BS84*$BS$2,CX84&lt;$BR84-$BS84*$BS$2),AVEDEV(ARRAYFORMULA(XLOOKUP(FILTER(INDIRECT(""'""&amp;CX$1&amp;""'!$C$4:$C$66""),INDIRECT(""'""&amp;CX$1&amp;""'!$D$4:$D$66"")=CX$2),$F$3:$BP$3,$F84:$BP84))),"""")"),"")</f>
        <v/>
      </c>
      <c r="CZ84" s="252"/>
      <c r="DA84" s="251">
        <f>IFERROR(__xludf.DUMMYFUNCTION("AVERAGE(ARRAYFORMULA(XLOOKUP(FILTER(INDIRECT(""'""&amp;DA$1&amp;""'!$C$4:$C$66""),INDIRECT(""'""&amp;DA$1&amp;""'!$D$4:$D$66"")=DA$2),$F$3:$BP$3,$F84:$BP84)))"),0.13627162733333337)</f>
        <v>0.1362716273</v>
      </c>
      <c r="DB84" s="207" t="str">
        <f>IFERROR(__xludf.DUMMYFUNCTION("IF(OR(DA84&gt;$BR84+$BS84*$BS$2,DA84&lt;$BR84-$BS84*$BS$2),AVEDEV(ARRAYFORMULA(XLOOKUP(FILTER(INDIRECT(""'""&amp;DA$1&amp;""'!$C$4:$C$66""),INDIRECT(""'""&amp;DA$1&amp;""'!$D$4:$D$66"")=DA$2),$F$3:$BP$3,$F84:$BP84))),"""")"),"")</f>
        <v/>
      </c>
      <c r="DC84" s="251">
        <f>IFERROR(__xludf.DUMMYFUNCTION("AVERAGE(ARRAYFORMULA(XLOOKUP(FILTER(INDIRECT(""'""&amp;DC$1&amp;""'!$C$4:$C$66""),INDIRECT(""'""&amp;DC$1&amp;""'!$D$4:$D$66"")=DC$2),$F$3:$BP$3,$F84:$BP84)))"),-0.1379910777777778)</f>
        <v>-0.1379910778</v>
      </c>
      <c r="DD84" s="207" t="str">
        <f>IFERROR(__xludf.DUMMYFUNCTION("IF(OR(DC84&gt;$BR84+$BS84*$BS$2,DC84&lt;$BR84-$BS84*$BS$2),AVEDEV(ARRAYFORMULA(XLOOKUP(FILTER(INDIRECT(""'""&amp;DC$1&amp;""'!$C$4:$C$66""),INDIRECT(""'""&amp;DC$1&amp;""'!$D$4:$D$66"")=DC$2),$F$3:$BP$3,$F84:$BP84))),"""")"),"")</f>
        <v/>
      </c>
      <c r="DE84" s="251">
        <f>IFERROR(__xludf.DUMMYFUNCTION("AVERAGE(ARRAYFORMULA(XLOOKUP(FILTER(INDIRECT(""'""&amp;DE$1&amp;""'!$C$4:$C$66""),INDIRECT(""'""&amp;DE$1&amp;""'!$D$4:$D$66"")=DE$2),$F$3:$BP$3,$F84:$BP84)))"),0.39911851750000005)</f>
        <v>0.3991185175</v>
      </c>
      <c r="DF84" s="207" t="str">
        <f>IFERROR(__xludf.DUMMYFUNCTION("IF(OR(DE84&gt;$BR84+$BS84*$BS$2,DE84&lt;$BR84-$BS84*$BS$2),AVEDEV(ARRAYFORMULA(XLOOKUP(FILTER(INDIRECT(""'""&amp;DE$1&amp;""'!$C$4:$C$66""),INDIRECT(""'""&amp;DE$1&amp;""'!$D$4:$D$66"")=DE$2),$F$3:$BP$3,$F84:$BP84))),"""")"),"")</f>
        <v/>
      </c>
      <c r="DG84" s="251">
        <f>IFERROR(__xludf.DUMMYFUNCTION("AVERAGE(ARRAYFORMULA(XLOOKUP(FILTER(INDIRECT(""'""&amp;DG$1&amp;""'!$C$4:$C$66""),INDIRECT(""'""&amp;DG$1&amp;""'!$D$4:$D$66"")=DG$2),$F$3:$BP$3,$F84:$BP84)))"),-0.42724996333333326)</f>
        <v>-0.4272499633</v>
      </c>
      <c r="DH84" s="207" t="str">
        <f>IFERROR(__xludf.DUMMYFUNCTION("IF(OR(DG84&gt;$BR84+$BS84*$BS$2,DG84&lt;$BR84-$BS84*$BS$2),AVEDEV(ARRAYFORMULA(XLOOKUP(FILTER(INDIRECT(""'""&amp;DG$1&amp;""'!$C$4:$C$66""),INDIRECT(""'""&amp;DG$1&amp;""'!$D$4:$D$66"")=DG$2),$F$3:$BP$3,$F84:$BP84))),"""")"),"")</f>
        <v/>
      </c>
      <c r="DI84" s="252"/>
    </row>
    <row r="85">
      <c r="A85" s="2"/>
      <c r="B85" s="204" t="s">
        <v>507</v>
      </c>
      <c r="C85" s="204" t="s">
        <v>527</v>
      </c>
      <c r="D85" s="205" t="b">
        <f>VLOOKUP(C85,'Feature Set List'!A82:C246,2,0)</f>
        <v>1</v>
      </c>
      <c r="E85" s="205" t="b">
        <f>VLOOKUP(C85,'Feature Set List'!A82:C246,3,0)</f>
        <v>1</v>
      </c>
      <c r="F85" s="205">
        <v>-0.4585538</v>
      </c>
      <c r="G85" s="205">
        <v>-0.4714874</v>
      </c>
      <c r="H85" s="205">
        <v>-2.4832451</v>
      </c>
      <c r="I85" s="205">
        <v>-0.2986479</v>
      </c>
      <c r="J85" s="205">
        <v>-0.8700764</v>
      </c>
      <c r="K85" s="205">
        <v>0.18342152</v>
      </c>
      <c r="L85" s="205">
        <v>-0.7995297</v>
      </c>
      <c r="M85" s="205">
        <v>1.9776602</v>
      </c>
      <c r="N85" s="205">
        <v>0.15049971</v>
      </c>
      <c r="O85" s="205">
        <v>-0.3609641</v>
      </c>
      <c r="P85" s="205">
        <v>-0.0376249</v>
      </c>
      <c r="Q85" s="205">
        <v>1.75778954</v>
      </c>
      <c r="R85" s="205">
        <v>0.98059965</v>
      </c>
      <c r="S85" s="205">
        <v>0.01410935</v>
      </c>
      <c r="T85" s="205">
        <v>2.35038213</v>
      </c>
      <c r="U85" s="205">
        <v>-0.6219871</v>
      </c>
      <c r="V85" s="205">
        <v>0.23750735</v>
      </c>
      <c r="W85" s="205">
        <v>3.06407995</v>
      </c>
      <c r="X85" s="205">
        <v>-0.1152263</v>
      </c>
      <c r="Y85" s="205">
        <v>0.5867137</v>
      </c>
      <c r="Z85" s="205">
        <v>2.33744856</v>
      </c>
      <c r="AA85" s="205">
        <v>0.65843621</v>
      </c>
      <c r="AB85" s="205">
        <v>0.76660788</v>
      </c>
      <c r="AC85" s="205">
        <v>-0.1175779</v>
      </c>
      <c r="AD85" s="205">
        <v>1.776602</v>
      </c>
      <c r="AE85" s="205">
        <v>0.0</v>
      </c>
      <c r="AF85" s="205">
        <v>-1.2416226</v>
      </c>
      <c r="AG85" s="205">
        <v>1.62845385</v>
      </c>
      <c r="AH85" s="205">
        <v>-0.4115226</v>
      </c>
      <c r="AI85" s="205">
        <v>-0.7336861</v>
      </c>
      <c r="AJ85" s="205">
        <v>-0.8771311</v>
      </c>
      <c r="AK85" s="205">
        <v>-0.5914168</v>
      </c>
      <c r="AL85" s="205">
        <v>0.27983539</v>
      </c>
      <c r="AM85" s="205">
        <v>-0.0776014</v>
      </c>
      <c r="AN85" s="205">
        <v>-1.1875367</v>
      </c>
      <c r="AO85" s="205">
        <v>0.52557319</v>
      </c>
      <c r="AP85" s="205">
        <v>-0.0540858</v>
      </c>
      <c r="AQ85" s="205">
        <v>-0.4820694</v>
      </c>
      <c r="AR85" s="205">
        <v>-0.4997061</v>
      </c>
      <c r="AS85" s="205">
        <v>0.5138154</v>
      </c>
      <c r="AT85" s="205">
        <v>0.223398</v>
      </c>
      <c r="AU85" s="205">
        <v>-0.5925926</v>
      </c>
      <c r="AV85" s="205">
        <v>0.24338624</v>
      </c>
      <c r="AW85" s="205">
        <v>0.3127572</v>
      </c>
      <c r="AX85" s="205">
        <v>0.21516755</v>
      </c>
      <c r="AY85" s="205">
        <v>0.87595532</v>
      </c>
      <c r="AZ85" s="205">
        <v>-0.5855379</v>
      </c>
      <c r="BA85" s="205">
        <v>0.44797178</v>
      </c>
      <c r="BB85" s="205">
        <v>-0.1399177</v>
      </c>
      <c r="BC85" s="205">
        <v>-0.3691946</v>
      </c>
      <c r="BD85" s="205">
        <v>0.71722516</v>
      </c>
      <c r="BE85" s="205">
        <v>-0.760729</v>
      </c>
      <c r="BF85" s="205">
        <v>-0.1069959</v>
      </c>
      <c r="BG85" s="205">
        <v>-0.8665491</v>
      </c>
      <c r="BH85" s="205">
        <v>0.09171076</v>
      </c>
      <c r="BI85" s="205">
        <v>-0.478542</v>
      </c>
      <c r="BJ85" s="205">
        <v>0.36096414</v>
      </c>
      <c r="BK85" s="205">
        <v>1.58142269</v>
      </c>
      <c r="BL85" s="205">
        <v>2.54908877</v>
      </c>
      <c r="BM85" s="205">
        <v>0.02704292</v>
      </c>
      <c r="BN85" s="205">
        <v>-0.2563198</v>
      </c>
      <c r="BO85" s="205">
        <v>-0.4902998</v>
      </c>
      <c r="BP85" s="205">
        <v>0.07995297</v>
      </c>
      <c r="BQ85" s="206"/>
      <c r="BR85" s="250">
        <f t="shared" si="1"/>
        <v>0.1599619283</v>
      </c>
      <c r="BS85" s="250">
        <f t="shared" si="2"/>
        <v>0.7299445472</v>
      </c>
      <c r="BT85" s="206"/>
      <c r="BU85" s="207">
        <f>IFERROR(__xludf.DUMMYFUNCTION("AVERAGE(ARRAYFORMULA(XLOOKUP(FILTER(INDIRECT(""'""&amp;BU$1&amp;""'!$C$4:$C$66""),INDIRECT(""'""&amp;BU$1&amp;""'!$D$4:$D$66"")=BU$2),$F$3:$BP$3,$F85:$BP85)))"),1.0269589371428571)</f>
        <v>1.026958937</v>
      </c>
      <c r="BV85" s="207">
        <f>IFERROR(__xludf.DUMMYFUNCTION("IF(OR(BU85&gt;$BR85+$BS85*$BS$2,BU85&lt;$BR85-$BS85*$BS$2),AVEDEV(ARRAYFORMULA(XLOOKUP(FILTER(INDIRECT(""'""&amp;BU$1&amp;""'!$C$4:$C$66""),INDIRECT(""'""&amp;BU$1&amp;""'!$D$4:$D$66"")=BU$2),$F$3:$BP$3,$F85:$BP85))),"""")"),1.1185737024489795)</f>
        <v>1.118573702</v>
      </c>
      <c r="BW85" s="207">
        <f>IFERROR(__xludf.DUMMYFUNCTION("AVERAGE(ARRAYFORMULA(XLOOKUP(FILTER(INDIRECT(""'""&amp;BW$1&amp;""'!$C$4:$C$66""),INDIRECT(""'""&amp;BW$1&amp;""'!$D$4:$D$66"")=BW$2),$F$3:$BP$3,$F85:$BP85)))"),0.09470619309523805)</f>
        <v>0.0947061931</v>
      </c>
      <c r="BX85" s="207" t="str">
        <f>IFERROR(__xludf.DUMMYFUNCTION("IF(OR(BW85&gt;$BR85+$BS85*$BS$2,BW85&lt;$BR85-$BS85*$BS$2),AVEDEV(ARRAYFORMULA(XLOOKUP(FILTER(INDIRECT(""'""&amp;BW$1&amp;""'!$C$4:$C$66""),INDIRECT(""'""&amp;BW$1&amp;""'!$D$4:$D$66"")=BW$2),$F$3:$BP$3,$F85:$BP85))),"""")"),"")</f>
        <v/>
      </c>
      <c r="BY85" s="207">
        <f>IFERROR(__xludf.DUMMYFUNCTION("AVERAGE(ARRAYFORMULA(XLOOKUP(FILTER(INDIRECT(""'""&amp;BY$1&amp;""'!$C$4:$C$66""),INDIRECT(""'""&amp;BY$1&amp;""'!$D$4:$D$66"")=BY$2),$F$3:$BP$3,$F85:$BP85)))"),0.14002459181818186)</f>
        <v>0.1400245918</v>
      </c>
      <c r="BZ85" s="207" t="str">
        <f>IFERROR(__xludf.DUMMYFUNCTION("IF(OR(BY85&gt;$BR85+$BS85*$BS$2,BY85&lt;$BR85-$BS85*$BS$2),AVEDEV(ARRAYFORMULA(XLOOKUP(FILTER(INDIRECT(""'""&amp;BY$1&amp;""'!$C$4:$C$66""),INDIRECT(""'""&amp;BY$1&amp;""'!$D$4:$D$66"")=BY$2),$F$3:$BP$3,$F85:$BP85))),"""")"),"")</f>
        <v/>
      </c>
      <c r="CA85" s="209"/>
      <c r="CB85" s="207">
        <f>IFERROR(__xludf.DUMMYFUNCTION("AVERAGE(ARRAYFORMULA(XLOOKUP(FILTER(INDIRECT(""'""&amp;CB$1&amp;""'!$C$4:$C$66""),INDIRECT(""'""&amp;CB$1&amp;""'!$D$4:$D$66"")=CB$2),$F$3:$BP$3,$F85:$BP85)))"),0.13925631499999996)</f>
        <v>0.139256315</v>
      </c>
      <c r="CC85" s="207" t="str">
        <f>IFERROR(__xludf.DUMMYFUNCTION("IF(OR(CB85&gt;$BR85+$BS85*$BS$2,CB85&lt;$BR85-$BS85*$BS$2),AVEDEV(ARRAYFORMULA(XLOOKUP(FILTER(INDIRECT(""'""&amp;CB$1&amp;""'!$C$4:$C$66""),INDIRECT(""'""&amp;CB$1&amp;""'!$D$4:$D$66"")=CB$2),$F$3:$BP$3,$F85:$BP85))),"""")"),"")</f>
        <v/>
      </c>
      <c r="CD85" s="207">
        <f>IFERROR(__xludf.DUMMYFUNCTION("AVERAGE(ARRAYFORMULA(XLOOKUP(FILTER(INDIRECT(""'""&amp;CD$1&amp;""'!$C$4:$C$66""),INDIRECT(""'""&amp;CD$1&amp;""'!$D$4:$D$66"")=CD$2),$F$3:$BP$3,$F85:$BP85)))"),0.2224118670967742)</f>
        <v>0.2224118671</v>
      </c>
      <c r="CE85" s="207" t="str">
        <f>IFERROR(__xludf.DUMMYFUNCTION("IF(OR(CD85&gt;$BR85+$BS85*$BS$2,CD85&lt;$BR85-$BS85*$BS$2),AVEDEV(ARRAYFORMULA(XLOOKUP(FILTER(INDIRECT(""'""&amp;CD$1&amp;""'!$C$4:$C$66""),INDIRECT(""'""&amp;CD$1&amp;""'!$D$4:$D$66"")=CD$2),$F$3:$BP$3,$F85:$BP85))),"""")"),"")</f>
        <v/>
      </c>
      <c r="CF85" s="207">
        <f>IFERROR(__xludf.DUMMYFUNCTION("AVERAGE(ARRAYFORMULA(XLOOKUP(FILTER(INDIRECT(""'""&amp;CF$1&amp;""'!$C$4:$C$66""),INDIRECT(""'""&amp;CF$1&amp;""'!$D$4:$D$66"")=CF$2),$F$3:$BP$3,$F85:$BP85)))"),-0.30781893)</f>
        <v>-0.30781893</v>
      </c>
      <c r="CG85" s="207" t="str">
        <f>IFERROR(__xludf.DUMMYFUNCTION("IF(OR(CF85&gt;$BR85+$BS85*$BS$2,CF85&lt;$BR85-$BS85*$BS$2),AVEDEV(ARRAYFORMULA(XLOOKUP(FILTER(INDIRECT(""'""&amp;CF$1&amp;""'!$C$4:$C$66""),INDIRECT(""'""&amp;CF$1&amp;""'!$D$4:$D$66"")=CF$2),$F$3:$BP$3,$F85:$BP85))),"""")"),"")</f>
        <v/>
      </c>
      <c r="CH85" s="206"/>
      <c r="CI85" s="253">
        <f>IFERROR(__xludf.DUMMYFUNCTION("AVERAGE(ARRAYFORMULA(XLOOKUP(FILTER(INDIRECT(""'""&amp;CI$1&amp;""'!$C$4:$C$66""),INDIRECT(""'""&amp;CI$1&amp;""'!$D$4:$D$66"")=CI$2),$F$3:$BP$3,$F85:$BP85)))"),1.1971781326666666)</f>
        <v>1.197178133</v>
      </c>
      <c r="CJ85" s="207">
        <f>IFERROR(__xludf.DUMMYFUNCTION("IF(OR(CI85&gt;$BR85+$BS85*$BS$2,CI85&lt;$BR85-$BS85*$BS$2),AVEDEV(ARRAYFORMULA(XLOOKUP(FILTER(INDIRECT(""'""&amp;CI$1&amp;""'!$C$4:$C$66""),INDIRECT(""'""&amp;CI$1&amp;""'!$D$4:$D$66"")=CI$2),$F$3:$BP$3,$F85:$BP85))),"""")"),0.9737958041777777)</f>
        <v>0.9737958042</v>
      </c>
      <c r="CK85" s="251">
        <f>IFERROR(__xludf.DUMMYFUNCTION("AVERAGE(ARRAYFORMULA(XLOOKUP(FILTER(INDIRECT(""'""&amp;CK$1&amp;""'!$C$4:$C$66""),INDIRECT(""'""&amp;CK$1&amp;""'!$D$4:$D$66"")=CK$2),$F$3:$BP$3,$F85:$BP85)))"),-0.13572709871794875)</f>
        <v>-0.1357270987</v>
      </c>
      <c r="CL85" s="207" t="str">
        <f>IFERROR(__xludf.DUMMYFUNCTION("IF(OR(CK85&gt;$BR85+$BS85*$BS$2,CK85&lt;$BR85-$BS85*$BS$2),AVEDEV(ARRAYFORMULA(XLOOKUP(FILTER(INDIRECT(""'""&amp;CK$1&amp;""'!$C$4:$C$66""),INDIRECT(""'""&amp;CK$1&amp;""'!$D$4:$D$66"")=CK$2),$F$3:$BP$3,$F85:$BP85))),"""")"),"")</f>
        <v/>
      </c>
      <c r="CM85" s="251">
        <f>IFERROR(__xludf.DUMMYFUNCTION("AVERAGE(ARRAYFORMULA(XLOOKUP(FILTER(INDIRECT(""'""&amp;CM$1&amp;""'!$C$4:$C$66""),INDIRECT(""'""&amp;CM$1&amp;""'!$D$4:$D$66"")=CM$2),$F$3:$BP$3,$F85:$BP85)))"),-0.30781893)</f>
        <v>-0.30781893</v>
      </c>
      <c r="CN85" s="207" t="str">
        <f>IFERROR(__xludf.DUMMYFUNCTION("IF(OR(CM85&gt;$BR85+$BS85*$BS$2,CM85&lt;$BR85-$BS85*$BS$2),AVEDEV(ARRAYFORMULA(XLOOKUP(FILTER(INDIRECT(""'""&amp;CM$1&amp;""'!$C$4:$C$66""),INDIRECT(""'""&amp;CM$1&amp;""'!$D$4:$D$66"")=CM$2),$F$3:$BP$3,$F85:$BP85))),"""")"),"")</f>
        <v/>
      </c>
      <c r="CO85" s="252"/>
      <c r="CP85" s="253">
        <f>IFERROR(__xludf.DUMMYFUNCTION("AVERAGE(ARRAYFORMULA(XLOOKUP(FILTER(INDIRECT(""'""&amp;CP$1&amp;""'!$C$4:$C$66""),INDIRECT(""'""&amp;CP$1&amp;""'!$D$4:$D$66"")=CP$2),$F$3:$BP$3,$F85:$BP85)))"),-0.03174603785714284)</f>
        <v>-0.03174603786</v>
      </c>
      <c r="CQ85" s="207" t="str">
        <f>IFERROR(__xludf.DUMMYFUNCTION("IF(OR(CP85&gt;$BR85+$BS85*$BS$2,CP85&lt;$BR85-$BS85*$BS$2),AVEDEV(ARRAYFORMULA(XLOOKUP(FILTER(INDIRECT(""'""&amp;CP$1&amp;""'!$C$4:$C$66""),INDIRECT(""'""&amp;CP$1&amp;""'!$D$4:$D$66"")=CP$2),$F$3:$BP$3,$F85:$BP85))),"""")"),"")</f>
        <v/>
      </c>
      <c r="CR85" s="251">
        <f>IFERROR(__xludf.DUMMYFUNCTION("AVERAGE(ARRAYFORMULA(XLOOKUP(FILTER(INDIRECT(""'""&amp;CR$1&amp;""'!$C$4:$C$66""),INDIRECT(""'""&amp;CR$1&amp;""'!$D$4:$D$66"")=CR$2),$F$3:$BP$3,$F85:$BP85)))"),-0.20941928666666668)</f>
        <v>-0.2094192867</v>
      </c>
      <c r="CS85" s="207" t="str">
        <f>IFERROR(__xludf.DUMMYFUNCTION("IF(OR(CR85&gt;$BR85+$BS85*$BS$2,CR85&lt;$BR85-$BS85*$BS$2),AVEDEV(ARRAYFORMULA(XLOOKUP(FILTER(INDIRECT(""'""&amp;CR$1&amp;""'!$C$4:$C$66""),INDIRECT(""'""&amp;CR$1&amp;""'!$D$4:$D$66"")=CR$2),$F$3:$BP$3,$F85:$BP85))),"""")"),"")</f>
        <v/>
      </c>
      <c r="CT85" s="251">
        <f>IFERROR(__xludf.DUMMYFUNCTION("AVERAGE(ARRAYFORMULA(XLOOKUP(FILTER(INDIRECT(""'""&amp;CT$1&amp;""'!$C$4:$C$66""),INDIRECT(""'""&amp;CT$1&amp;""'!$D$4:$D$66"")=CT$2),$F$3:$BP$3,$F85:$BP85)))"),0.6441130872727272)</f>
        <v>0.6441130873</v>
      </c>
      <c r="CU85" s="207" t="str">
        <f>IFERROR(__xludf.DUMMYFUNCTION("IF(OR(CT85&gt;$BR85+$BS85*$BS$2,CT85&lt;$BR85-$BS85*$BS$2),AVEDEV(ARRAYFORMULA(XLOOKUP(FILTER(INDIRECT(""'""&amp;CT$1&amp;""'!$C$4:$C$66""),INDIRECT(""'""&amp;CT$1&amp;""'!$D$4:$D$66"")=CT$2),$F$3:$BP$3,$F85:$BP85))),"""")"),"")</f>
        <v/>
      </c>
      <c r="CV85" s="251">
        <f>IFERROR(__xludf.DUMMYFUNCTION("AVERAGE(ARRAYFORMULA(XLOOKUP(FILTER(INDIRECT(""'""&amp;CV$1&amp;""'!$C$4:$C$66""),INDIRECT(""'""&amp;CV$1&amp;""'!$D$4:$D$66"")=CV$2),$F$3:$BP$3,$F85:$BP85)))"),-0.4920635)</f>
        <v>-0.4920635</v>
      </c>
      <c r="CW85" s="207" t="str">
        <f>IFERROR(__xludf.DUMMYFUNCTION("IF(OR(CV85&gt;$BR85+$BS85*$BS$2,CV85&lt;$BR85-$BS85*$BS$2),AVEDEV(ARRAYFORMULA(XLOOKUP(FILTER(INDIRECT(""'""&amp;CV$1&amp;""'!$C$4:$C$66""),INDIRECT(""'""&amp;CV$1&amp;""'!$D$4:$D$66"")=CV$2),$F$3:$BP$3,$F85:$BP85))),"""")"),"")</f>
        <v/>
      </c>
      <c r="CX85" s="251">
        <f>IFERROR(__xludf.DUMMYFUNCTION("AVERAGE(ARRAYFORMULA(XLOOKUP(FILTER(INDIRECT(""'""&amp;CX$1&amp;""'!$C$4:$C$66""),INDIRECT(""'""&amp;CX$1&amp;""'!$D$4:$D$66"")=CX$2),$F$3:$BP$3,$F85:$BP85)))"),0.04048039285714285)</f>
        <v>0.04048039286</v>
      </c>
      <c r="CY85" s="207" t="str">
        <f>IFERROR(__xludf.DUMMYFUNCTION("IF(OR(CX85&gt;$BR85+$BS85*$BS$2,CX85&lt;$BR85-$BS85*$BS$2),AVEDEV(ARRAYFORMULA(XLOOKUP(FILTER(INDIRECT(""'""&amp;CX$1&amp;""'!$C$4:$C$66""),INDIRECT(""'""&amp;CX$1&amp;""'!$D$4:$D$66"")=CX$2),$F$3:$BP$3,$F85:$BP85))),"""")"),"")</f>
        <v/>
      </c>
      <c r="CZ85" s="252"/>
      <c r="DA85" s="253">
        <f>IFERROR(__xludf.DUMMYFUNCTION("AVERAGE(ARRAYFORMULA(XLOOKUP(FILTER(INDIRECT(""'""&amp;DA$1&amp;""'!$C$4:$C$66""),INDIRECT(""'""&amp;DA$1&amp;""'!$D$4:$D$66"")=DA$2),$F$3:$BP$3,$F85:$BP85)))"),0.09715853466666671)</f>
        <v>0.09715853467</v>
      </c>
      <c r="DB85" s="207" t="str">
        <f>IFERROR(__xludf.DUMMYFUNCTION("IF(OR(DA85&gt;$BR85+$BS85*$BS$2,DA85&lt;$BR85-$BS85*$BS$2),AVEDEV(ARRAYFORMULA(XLOOKUP(FILTER(INDIRECT(""'""&amp;DA$1&amp;""'!$C$4:$C$66""),INDIRECT(""'""&amp;DA$1&amp;""'!$D$4:$D$66"")=DA$2),$F$3:$BP$3,$F85:$BP85))),"""")"),"")</f>
        <v/>
      </c>
      <c r="DC85" s="251">
        <f>IFERROR(__xludf.DUMMYFUNCTION("AVERAGE(ARRAYFORMULA(XLOOKUP(FILTER(INDIRECT(""'""&amp;DC$1&amp;""'!$C$4:$C$66""),INDIRECT(""'""&amp;DC$1&amp;""'!$D$4:$D$66"")=DC$2),$F$3:$BP$3,$F85:$BP85)))"),0.020772098888888927)</f>
        <v>0.02077209889</v>
      </c>
      <c r="DD85" s="207" t="str">
        <f>IFERROR(__xludf.DUMMYFUNCTION("IF(OR(DC85&gt;$BR85+$BS85*$BS$2,DC85&lt;$BR85-$BS85*$BS$2),AVEDEV(ARRAYFORMULA(XLOOKUP(FILTER(INDIRECT(""'""&amp;DC$1&amp;""'!$C$4:$C$66""),INDIRECT(""'""&amp;DC$1&amp;""'!$D$4:$D$66"")=DC$2),$F$3:$BP$3,$F85:$BP85))),"""")"),"")</f>
        <v/>
      </c>
      <c r="DE85" s="251">
        <f>IFERROR(__xludf.DUMMYFUNCTION("AVERAGE(ARRAYFORMULA(XLOOKUP(FILTER(INDIRECT(""'""&amp;DE$1&amp;""'!$C$4:$C$66""),INDIRECT(""'""&amp;DE$1&amp;""'!$D$4:$D$66"")=DE$2),$F$3:$BP$3,$F85:$BP85)))"),0.9917695450000001)</f>
        <v>0.991769545</v>
      </c>
      <c r="DF85" s="207">
        <f>IFERROR(__xludf.DUMMYFUNCTION("IF(OR(DE85&gt;$BR85+$BS85*$BS$2,DE85&lt;$BR85-$BS85*$BS$2),AVEDEV(ARRAYFORMULA(XLOOKUP(FILTER(INDIRECT(""'""&amp;DE$1&amp;""'!$C$4:$C$66""),INDIRECT(""'""&amp;DE$1&amp;""'!$D$4:$D$66"")=DE$2),$F$3:$BP$3,$F85:$BP85))),"""")"),0.86757789875)</f>
        <v>0.8675778988</v>
      </c>
      <c r="DG85" s="251">
        <f>IFERROR(__xludf.DUMMYFUNCTION("AVERAGE(ARRAYFORMULA(XLOOKUP(FILTER(INDIRECT(""'""&amp;DG$1&amp;""'!$C$4:$C$66""),INDIRECT(""'""&amp;DG$1&amp;""'!$D$4:$D$66"")=DG$2),$F$3:$BP$3,$F85:$BP85)))"),-0.1450127388888889)</f>
        <v>-0.1450127389</v>
      </c>
      <c r="DH85" s="207" t="str">
        <f>IFERROR(__xludf.DUMMYFUNCTION("IF(OR(DG85&gt;$BR85+$BS85*$BS$2,DG85&lt;$BR85-$BS85*$BS$2),AVEDEV(ARRAYFORMULA(XLOOKUP(FILTER(INDIRECT(""'""&amp;DG$1&amp;""'!$C$4:$C$66""),INDIRECT(""'""&amp;DG$1&amp;""'!$D$4:$D$66"")=DG$2),$F$3:$BP$3,$F85:$BP85))),"""")"),"")</f>
        <v/>
      </c>
      <c r="DI85" s="252"/>
    </row>
    <row r="86">
      <c r="A86" s="2"/>
      <c r="B86" s="204" t="s">
        <v>507</v>
      </c>
      <c r="C86" s="204" t="s">
        <v>528</v>
      </c>
      <c r="D86" s="205" t="b">
        <f>VLOOKUP(C86,'Feature Set List'!A83:C246,2,0)</f>
        <v>1</v>
      </c>
      <c r="E86" s="205" t="b">
        <f>VLOOKUP(C86,'Feature Set List'!A83:C246,3,0)</f>
        <v>1</v>
      </c>
      <c r="F86" s="205">
        <v>-0.0745342</v>
      </c>
      <c r="G86" s="205">
        <v>0.51180124</v>
      </c>
      <c r="H86" s="205">
        <v>6.65010352</v>
      </c>
      <c r="I86" s="205">
        <v>0.69730849</v>
      </c>
      <c r="J86" s="205">
        <v>0.23188406</v>
      </c>
      <c r="K86" s="205">
        <v>-0.3296066</v>
      </c>
      <c r="L86" s="205">
        <v>-0.3945342</v>
      </c>
      <c r="M86" s="205">
        <v>-0.3312629</v>
      </c>
      <c r="N86" s="205">
        <v>0.39585921</v>
      </c>
      <c r="O86" s="205">
        <v>0.36438923</v>
      </c>
      <c r="P86" s="205">
        <v>-0.0596273</v>
      </c>
      <c r="Q86" s="205">
        <v>-0.5720911</v>
      </c>
      <c r="R86" s="205">
        <v>-0.2832298</v>
      </c>
      <c r="S86" s="205">
        <v>0.34120083</v>
      </c>
      <c r="T86" s="205">
        <v>-0.4321325</v>
      </c>
      <c r="U86" s="205">
        <v>0.56149068</v>
      </c>
      <c r="V86" s="205">
        <v>-0.4152381</v>
      </c>
      <c r="W86" s="205">
        <v>-1.0615321</v>
      </c>
      <c r="X86" s="205">
        <v>-0.6353623</v>
      </c>
      <c r="Y86" s="205">
        <v>-0.9735818</v>
      </c>
      <c r="Z86" s="205">
        <v>-0.5918012</v>
      </c>
      <c r="AA86" s="205">
        <v>-1.1956936</v>
      </c>
      <c r="AB86" s="205">
        <v>-0.0811594</v>
      </c>
      <c r="AC86" s="205">
        <v>-0.52853</v>
      </c>
      <c r="AD86" s="205">
        <v>-0.78294</v>
      </c>
      <c r="AE86" s="205">
        <v>0.21532091</v>
      </c>
      <c r="AF86" s="205">
        <v>1.10310559</v>
      </c>
      <c r="AG86" s="205">
        <v>-0.6648447</v>
      </c>
      <c r="AH86" s="205">
        <v>0.83478261</v>
      </c>
      <c r="AI86" s="205">
        <v>-1.5281159</v>
      </c>
      <c r="AJ86" s="205">
        <v>0.52505176</v>
      </c>
      <c r="AK86" s="205">
        <v>0.39751553</v>
      </c>
      <c r="AL86" s="205">
        <v>0.09937888</v>
      </c>
      <c r="AM86" s="205">
        <v>-0.2799172</v>
      </c>
      <c r="AN86" s="205">
        <v>0.09772257</v>
      </c>
      <c r="AO86" s="205">
        <v>-1.1387164</v>
      </c>
      <c r="AP86" s="205">
        <v>0.63933747</v>
      </c>
      <c r="AQ86" s="205">
        <v>-0.3774741</v>
      </c>
      <c r="AR86" s="205">
        <v>1.29689441</v>
      </c>
      <c r="AS86" s="205">
        <v>0.0</v>
      </c>
      <c r="AT86" s="205">
        <v>-1.0944928</v>
      </c>
      <c r="AU86" s="205">
        <v>1.08322981</v>
      </c>
      <c r="AV86" s="205">
        <v>0.2699793</v>
      </c>
      <c r="AW86" s="205">
        <v>-1.2160663</v>
      </c>
      <c r="AX86" s="205">
        <v>0.33623188</v>
      </c>
      <c r="AY86" s="205">
        <v>-0.0596273</v>
      </c>
      <c r="AZ86" s="205">
        <v>1.15942029</v>
      </c>
      <c r="BA86" s="205">
        <v>1.55031056</v>
      </c>
      <c r="BB86" s="205">
        <v>0.5863354</v>
      </c>
      <c r="BC86" s="205">
        <v>0.20207039</v>
      </c>
      <c r="BD86" s="205">
        <v>-0.7607453</v>
      </c>
      <c r="BE86" s="205">
        <v>1.73250518</v>
      </c>
      <c r="BF86" s="205">
        <v>0.99378882</v>
      </c>
      <c r="BG86" s="205">
        <v>0.19378882</v>
      </c>
      <c r="BH86" s="205">
        <v>-0.3047619</v>
      </c>
      <c r="BI86" s="205">
        <v>1.51884058</v>
      </c>
      <c r="BJ86" s="205">
        <v>0.27163561</v>
      </c>
      <c r="BK86" s="205">
        <v>-0.4645963</v>
      </c>
      <c r="BL86" s="205">
        <v>0.07784679</v>
      </c>
      <c r="BM86" s="205">
        <v>-0.0513458</v>
      </c>
      <c r="BN86" s="205">
        <v>1.05175983</v>
      </c>
      <c r="BO86" s="205">
        <v>-0.6461284</v>
      </c>
      <c r="BP86" s="205">
        <v>-0.4985507</v>
      </c>
      <c r="BQ86" s="206"/>
      <c r="BR86" s="250">
        <f t="shared" si="1"/>
        <v>0.1295658738</v>
      </c>
      <c r="BS86" s="250">
        <f t="shared" si="2"/>
        <v>0.7012094458</v>
      </c>
      <c r="BT86" s="206"/>
      <c r="BU86" s="207">
        <f>IFERROR(__xludf.DUMMYFUNCTION("AVERAGE(ARRAYFORMULA(XLOOKUP(FILTER(INDIRECT(""'""&amp;BU$1&amp;""'!$C$4:$C$66""),INDIRECT(""'""&amp;BU$1&amp;""'!$D$4:$D$66"")=BU$2),$F$3:$BP$3,$F86:$BP86)))"),-0.10496302714285714)</f>
        <v>-0.1049630271</v>
      </c>
      <c r="BV86" s="207" t="str">
        <f>IFERROR(__xludf.DUMMYFUNCTION("IF(OR(BU86&gt;$BR86+$BS86*$BS$2,BU86&lt;$BR86-$BS86*$BS$2),AVEDEV(ARRAYFORMULA(XLOOKUP(FILTER(INDIRECT(""'""&amp;BU$1&amp;""'!$C$4:$C$66""),INDIRECT(""'""&amp;BU$1&amp;""'!$D$4:$D$66"")=BU$2),$F$3:$BP$3,$F86:$BP86))),"""")"),"")</f>
        <v/>
      </c>
      <c r="BW86" s="207">
        <f>IFERROR(__xludf.DUMMYFUNCTION("AVERAGE(ARRAYFORMULA(XLOOKUP(FILTER(INDIRECT(""'""&amp;BW$1&amp;""'!$C$4:$C$66""),INDIRECT(""'""&amp;BW$1&amp;""'!$D$4:$D$66"")=BW$2),$F$3:$BP$3,$F86:$BP86)))"),0.06881987571428574)</f>
        <v>0.06881987571</v>
      </c>
      <c r="BX86" s="207" t="str">
        <f>IFERROR(__xludf.DUMMYFUNCTION("IF(OR(BW86&gt;$BR86+$BS86*$BS$2,BW86&lt;$BR86-$BS86*$BS$2),AVEDEV(ARRAYFORMULA(XLOOKUP(FILTER(INDIRECT(""'""&amp;BW$1&amp;""'!$C$4:$C$66""),INDIRECT(""'""&amp;BW$1&amp;""'!$D$4:$D$66"")=BW$2),$F$3:$BP$3,$F86:$BP86))),"""")"),"")</f>
        <v/>
      </c>
      <c r="BY86" s="207">
        <f>IFERROR(__xludf.DUMMYFUNCTION("AVERAGE(ARRAYFORMULA(XLOOKUP(FILTER(INDIRECT(""'""&amp;BY$1&amp;""'!$C$4:$C$66""),INDIRECT(""'""&amp;BY$1&amp;""'!$D$4:$D$66"")=BY$2),$F$3:$BP$3,$F86:$BP86)))"),0.022661395454545433)</f>
        <v>0.02266139545</v>
      </c>
      <c r="BZ86" s="207" t="str">
        <f>IFERROR(__xludf.DUMMYFUNCTION("IF(OR(BY86&gt;$BR86+$BS86*$BS$2,BY86&lt;$BR86-$BS86*$BS$2),AVEDEV(ARRAYFORMULA(XLOOKUP(FILTER(INDIRECT(""'""&amp;BY$1&amp;""'!$C$4:$C$66""),INDIRECT(""'""&amp;BY$1&amp;""'!$D$4:$D$66"")=BY$2),$F$3:$BP$3,$F86:$BP86))),"""")"),"")</f>
        <v/>
      </c>
      <c r="CA86" s="209"/>
      <c r="CB86" s="207">
        <f>IFERROR(__xludf.DUMMYFUNCTION("AVERAGE(ARRAYFORMULA(XLOOKUP(FILTER(INDIRECT(""'""&amp;CB$1&amp;""'!$C$4:$C$66""),INDIRECT(""'""&amp;CB$1&amp;""'!$D$4:$D$66"")=CB$2),$F$3:$BP$3,$F86:$BP86)))"),0.37328157125)</f>
        <v>0.3732815713</v>
      </c>
      <c r="CC86" s="207" t="str">
        <f>IFERROR(__xludf.DUMMYFUNCTION("IF(OR(CB86&gt;$BR86+$BS86*$BS$2,CB86&lt;$BR86-$BS86*$BS$2),AVEDEV(ARRAYFORMULA(XLOOKUP(FILTER(INDIRECT(""'""&amp;CB$1&amp;""'!$C$4:$C$66""),INDIRECT(""'""&amp;CB$1&amp;""'!$D$4:$D$66"")=CB$2),$F$3:$BP$3,$F86:$BP86))),"""")"),"")</f>
        <v/>
      </c>
      <c r="CD86" s="207">
        <f>IFERROR(__xludf.DUMMYFUNCTION("AVERAGE(ARRAYFORMULA(XLOOKUP(FILTER(INDIRECT(""'""&amp;CD$1&amp;""'!$C$4:$C$66""),INDIRECT(""'""&amp;CD$1&amp;""'!$D$4:$D$66"")=CD$2),$F$3:$BP$3,$F86:$BP86)))"),-0.1856889022580645)</f>
        <v>-0.1856889023</v>
      </c>
      <c r="CE86" s="207" t="str">
        <f>IFERROR(__xludf.DUMMYFUNCTION("IF(OR(CD86&gt;$BR86+$BS86*$BS$2,CD86&lt;$BR86-$BS86*$BS$2),AVEDEV(ARRAYFORMULA(XLOOKUP(FILTER(INDIRECT(""'""&amp;CD$1&amp;""'!$C$4:$C$66""),INDIRECT(""'""&amp;CD$1&amp;""'!$D$4:$D$66"")=CD$2),$F$3:$BP$3,$F86:$BP86))),"""")"),"")</f>
        <v/>
      </c>
      <c r="CF86" s="207">
        <f>IFERROR(__xludf.DUMMYFUNCTION("AVERAGE(ARRAYFORMULA(XLOOKUP(FILTER(INDIRECT(""'""&amp;CF$1&amp;""'!$C$4:$C$66""),INDIRECT(""'""&amp;CF$1&amp;""'!$D$4:$D$66"")=CF$2),$F$3:$BP$3,$F86:$BP86)))"),0.8311387159999999)</f>
        <v>0.831138716</v>
      </c>
      <c r="CG86" s="207">
        <f>IFERROR(__xludf.DUMMYFUNCTION("IF(OR(CF86&gt;$BR86+$BS86*$BS$2,CF86&lt;$BR86-$BS86*$BS$2),AVEDEV(ARRAYFORMULA(XLOOKUP(FILTER(INDIRECT(""'""&amp;CF$1&amp;""'!$C$4:$C$66""),INDIRECT(""'""&amp;CF$1&amp;""'!$D$4:$D$66"")=CF$2),$F$3:$BP$3,$F86:$BP86))),"""")"),0.38267494879999997)</f>
        <v>0.3826749488</v>
      </c>
      <c r="CH86" s="206"/>
      <c r="CI86" s="251">
        <f>IFERROR(__xludf.DUMMYFUNCTION("AVERAGE(ARRAYFORMULA(XLOOKUP(FILTER(INDIRECT(""'""&amp;CI$1&amp;""'!$C$4:$C$66""),INDIRECT(""'""&amp;CI$1&amp;""'!$D$4:$D$66"")=CI$2),$F$3:$BP$3,$F86:$BP86)))"),-0.2621394013333333)</f>
        <v>-0.2621394013</v>
      </c>
      <c r="CJ86" s="207" t="str">
        <f>IFERROR(__xludf.DUMMYFUNCTION("IF(OR(CI86&gt;$BR86+$BS86*$BS$2,CI86&lt;$BR86-$BS86*$BS$2),AVEDEV(ARRAYFORMULA(XLOOKUP(FILTER(INDIRECT(""'""&amp;CI$1&amp;""'!$C$4:$C$66""),INDIRECT(""'""&amp;CI$1&amp;""'!$D$4:$D$66"")=CI$2),$F$3:$BP$3,$F86:$BP86))),"""")"),"")</f>
        <v/>
      </c>
      <c r="CK86" s="251">
        <f>IFERROR(__xludf.DUMMYFUNCTION("AVERAGE(ARRAYFORMULA(XLOOKUP(FILTER(INDIRECT(""'""&amp;CK$1&amp;""'!$C$4:$C$66""),INDIRECT(""'""&amp;CK$1&amp;""'!$D$4:$D$66"")=CK$2),$F$3:$BP$3,$F86:$BP86)))"),0.06784519692307692)</f>
        <v>0.06784519692</v>
      </c>
      <c r="CL86" s="207" t="str">
        <f>IFERROR(__xludf.DUMMYFUNCTION("IF(OR(CK86&gt;$BR86+$BS86*$BS$2,CK86&lt;$BR86-$BS86*$BS$2),AVEDEV(ARRAYFORMULA(XLOOKUP(FILTER(INDIRECT(""'""&amp;CK$1&amp;""'!$C$4:$C$66""),INDIRECT(""'""&amp;CK$1&amp;""'!$D$4:$D$66"")=CK$2),$F$3:$BP$3,$F86:$BP86))),"""")"),"")</f>
        <v/>
      </c>
      <c r="CM86" s="251">
        <f>IFERROR(__xludf.DUMMYFUNCTION("AVERAGE(ARRAYFORMULA(XLOOKUP(FILTER(INDIRECT(""'""&amp;CM$1&amp;""'!$C$4:$C$66""),INDIRECT(""'""&amp;CM$1&amp;""'!$D$4:$D$66"")=CM$2),$F$3:$BP$3,$F86:$BP86)))"),0.8311387159999999)</f>
        <v>0.831138716</v>
      </c>
      <c r="CN86" s="207">
        <f>IFERROR(__xludf.DUMMYFUNCTION("IF(OR(CM86&gt;$BR86+$BS86*$BS$2,CM86&lt;$BR86-$BS86*$BS$2),AVEDEV(ARRAYFORMULA(XLOOKUP(FILTER(INDIRECT(""'""&amp;CM$1&amp;""'!$C$4:$C$66""),INDIRECT(""'""&amp;CM$1&amp;""'!$D$4:$D$66"")=CM$2),$F$3:$BP$3,$F86:$BP86))),"""")"),0.38267494879999997)</f>
        <v>0.3826749488</v>
      </c>
      <c r="CO86" s="252"/>
      <c r="CP86" s="251">
        <f>IFERROR(__xludf.DUMMYFUNCTION("AVERAGE(ARRAYFORMULA(XLOOKUP(FILTER(INDIRECT(""'""&amp;CP$1&amp;""'!$C$4:$C$66""),INDIRECT(""'""&amp;CP$1&amp;""'!$D$4:$D$66"")=CP$2),$F$3:$BP$3,$F86:$BP86)))"),0.3779710114285715)</f>
        <v>0.3779710114</v>
      </c>
      <c r="CQ86" s="207" t="str">
        <f>IFERROR(__xludf.DUMMYFUNCTION("IF(OR(CP86&gt;$BR86+$BS86*$BS$2,CP86&lt;$BR86-$BS86*$BS$2),AVEDEV(ARRAYFORMULA(XLOOKUP(FILTER(INDIRECT(""'""&amp;CP$1&amp;""'!$C$4:$C$66""),INDIRECT(""'""&amp;CP$1&amp;""'!$D$4:$D$66"")=CP$2),$F$3:$BP$3,$F86:$BP86))),"""")"),"")</f>
        <v/>
      </c>
      <c r="CR86" s="251">
        <f>IFERROR(__xludf.DUMMYFUNCTION("AVERAGE(ARRAYFORMULA(XLOOKUP(FILTER(INDIRECT(""'""&amp;CR$1&amp;""'!$C$4:$C$66""),INDIRECT(""'""&amp;CR$1&amp;""'!$D$4:$D$66"")=CR$2),$F$3:$BP$3,$F86:$BP86)))"),0.02567287333333332)</f>
        <v>0.02567287333</v>
      </c>
      <c r="CS86" s="207" t="str">
        <f>IFERROR(__xludf.DUMMYFUNCTION("IF(OR(CR86&gt;$BR86+$BS86*$BS$2,CR86&lt;$BR86-$BS86*$BS$2),AVEDEV(ARRAYFORMULA(XLOOKUP(FILTER(INDIRECT(""'""&amp;CR$1&amp;""'!$C$4:$C$66""),INDIRECT(""'""&amp;CR$1&amp;""'!$D$4:$D$66"")=CR$2),$F$3:$BP$3,$F86:$BP86))),"""")"),"")</f>
        <v/>
      </c>
      <c r="CT86" s="251">
        <f>IFERROR(__xludf.DUMMYFUNCTION("AVERAGE(ARRAYFORMULA(XLOOKUP(FILTER(INDIRECT(""'""&amp;CT$1&amp;""'!$C$4:$C$66""),INDIRECT(""'""&amp;CT$1&amp;""'!$D$4:$D$66"")=CT$2),$F$3:$BP$3,$F86:$BP86)))"),0.03198193999999999)</f>
        <v>0.03198194</v>
      </c>
      <c r="CU86" s="207" t="str">
        <f>IFERROR(__xludf.DUMMYFUNCTION("IF(OR(CT86&gt;$BR86+$BS86*$BS$2,CT86&lt;$BR86-$BS86*$BS$2),AVEDEV(ARRAYFORMULA(XLOOKUP(FILTER(INDIRECT(""'""&amp;CT$1&amp;""'!$C$4:$C$66""),INDIRECT(""'""&amp;CT$1&amp;""'!$D$4:$D$66"")=CT$2),$F$3:$BP$3,$F86:$BP86))),"""")"),"")</f>
        <v/>
      </c>
      <c r="CV86" s="251">
        <f>IFERROR(__xludf.DUMMYFUNCTION("AVERAGE(ARRAYFORMULA(XLOOKUP(FILTER(INDIRECT(""'""&amp;CV$1&amp;""'!$C$4:$C$66""),INDIRECT(""'""&amp;CV$1&amp;""'!$D$4:$D$66"")=CV$2),$F$3:$BP$3,$F86:$BP86)))"),-0.16737059000000004)</f>
        <v>-0.16737059</v>
      </c>
      <c r="CW86" s="207" t="str">
        <f>IFERROR(__xludf.DUMMYFUNCTION("IF(OR(CV86&gt;$BR86+$BS86*$BS$2,CV86&lt;$BR86-$BS86*$BS$2),AVEDEV(ARRAYFORMULA(XLOOKUP(FILTER(INDIRECT(""'""&amp;CV$1&amp;""'!$C$4:$C$66""),INDIRECT(""'""&amp;CV$1&amp;""'!$D$4:$D$66"")=CV$2),$F$3:$BP$3,$F86:$BP86))),"""")"),"")</f>
        <v/>
      </c>
      <c r="CX86" s="251">
        <f>IFERROR(__xludf.DUMMYFUNCTION("AVERAGE(ARRAYFORMULA(XLOOKUP(FILTER(INDIRECT(""'""&amp;CX$1&amp;""'!$C$4:$C$66""),INDIRECT(""'""&amp;CX$1&amp;""'!$D$4:$D$66"")=CX$2),$F$3:$BP$3,$F86:$BP86)))"),-0.2861875221428572)</f>
        <v>-0.2861875221</v>
      </c>
      <c r="CY86" s="207" t="str">
        <f>IFERROR(__xludf.DUMMYFUNCTION("IF(OR(CX86&gt;$BR86+$BS86*$BS$2,CX86&lt;$BR86-$BS86*$BS$2),AVEDEV(ARRAYFORMULA(XLOOKUP(FILTER(INDIRECT(""'""&amp;CX$1&amp;""'!$C$4:$C$66""),INDIRECT(""'""&amp;CX$1&amp;""'!$D$4:$D$66"")=CX$2),$F$3:$BP$3,$F86:$BP86))),"""")"),"")</f>
        <v/>
      </c>
      <c r="CZ86" s="252"/>
      <c r="DA86" s="251">
        <f>IFERROR(__xludf.DUMMYFUNCTION("AVERAGE(ARRAYFORMULA(XLOOKUP(FILTER(INDIRECT(""'""&amp;DA$1&amp;""'!$C$4:$C$66""),INDIRECT(""'""&amp;DA$1&amp;""'!$D$4:$D$66"")=DA$2),$F$3:$BP$3,$F86:$BP86)))"),0.10738992266666667)</f>
        <v>0.1073899227</v>
      </c>
      <c r="DB86" s="207" t="str">
        <f>IFERROR(__xludf.DUMMYFUNCTION("IF(OR(DA86&gt;$BR86+$BS86*$BS$2,DA86&lt;$BR86-$BS86*$BS$2),AVEDEV(ARRAYFORMULA(XLOOKUP(FILTER(INDIRECT(""'""&amp;DA$1&amp;""'!$C$4:$C$66""),INDIRECT(""'""&amp;DA$1&amp;""'!$D$4:$D$66"")=DA$2),$F$3:$BP$3,$F86:$BP86))),"""")"),"")</f>
        <v/>
      </c>
      <c r="DC86" s="251">
        <f>IFERROR(__xludf.DUMMYFUNCTION("AVERAGE(ARRAYFORMULA(XLOOKUP(FILTER(INDIRECT(""'""&amp;DC$1&amp;""'!$C$4:$C$66""),INDIRECT(""'""&amp;DC$1&amp;""'!$D$4:$D$66"")=DC$2),$F$3:$BP$3,$F86:$BP86)))"),0.20135264999999997)</f>
        <v>0.20135265</v>
      </c>
      <c r="DD86" s="207" t="str">
        <f>IFERROR(__xludf.DUMMYFUNCTION("IF(OR(DC86&gt;$BR86+$BS86*$BS$2,DC86&lt;$BR86-$BS86*$BS$2),AVEDEV(ARRAYFORMULA(XLOOKUP(FILTER(INDIRECT(""'""&amp;DC$1&amp;""'!$C$4:$C$66""),INDIRECT(""'""&amp;DC$1&amp;""'!$D$4:$D$66"")=DC$2),$F$3:$BP$3,$F86:$BP86))),"""")"),"")</f>
        <v/>
      </c>
      <c r="DE86" s="251">
        <f>IFERROR(__xludf.DUMMYFUNCTION("AVERAGE(ARRAYFORMULA(XLOOKUP(FILTER(INDIRECT(""'""&amp;DE$1&amp;""'!$C$4:$C$66""),INDIRECT(""'""&amp;DE$1&amp;""'!$D$4:$D$66"")=DE$2),$F$3:$BP$3,$F86:$BP86)))"),-0.34186333874999997)</f>
        <v>-0.3418633388</v>
      </c>
      <c r="DF86" s="207" t="str">
        <f>IFERROR(__xludf.DUMMYFUNCTION("IF(OR(DE86&gt;$BR86+$BS86*$BS$2,DE86&lt;$BR86-$BS86*$BS$2),AVEDEV(ARRAYFORMULA(XLOOKUP(FILTER(INDIRECT(""'""&amp;DE$1&amp;""'!$C$4:$C$66""),INDIRECT(""'""&amp;DE$1&amp;""'!$D$4:$D$66"")=DE$2),$F$3:$BP$3,$F86:$BP86))),"""")"),"")</f>
        <v/>
      </c>
      <c r="DG86" s="251">
        <f>IFERROR(__xludf.DUMMYFUNCTION("AVERAGE(ARRAYFORMULA(XLOOKUP(FILTER(INDIRECT(""'""&amp;DG$1&amp;""'!$C$4:$C$66""),INDIRECT(""'""&amp;DG$1&amp;""'!$D$4:$D$66"")=DG$2),$F$3:$BP$3,$F86:$BP86)))"),0.21243156111111108)</f>
        <v>0.2124315611</v>
      </c>
      <c r="DH86" s="207" t="str">
        <f>IFERROR(__xludf.DUMMYFUNCTION("IF(OR(DG86&gt;$BR86+$BS86*$BS$2,DG86&lt;$BR86-$BS86*$BS$2),AVEDEV(ARRAYFORMULA(XLOOKUP(FILTER(INDIRECT(""'""&amp;DG$1&amp;""'!$C$4:$C$66""),INDIRECT(""'""&amp;DG$1&amp;""'!$D$4:$D$66"")=DG$2),$F$3:$BP$3,$F86:$BP86))),"""")"),"")</f>
        <v/>
      </c>
      <c r="DI86" s="252"/>
    </row>
    <row r="87">
      <c r="A87" s="2"/>
      <c r="B87" s="204" t="s">
        <v>507</v>
      </c>
      <c r="C87" s="204" t="s">
        <v>529</v>
      </c>
      <c r="D87" s="205" t="b">
        <f>VLOOKUP(C87,'Feature Set List'!A84:C246,2,0)</f>
        <v>1</v>
      </c>
      <c r="E87" s="205" t="b">
        <f>VLOOKUP(C87,'Feature Set List'!A84:C246,3,0)</f>
        <v>1</v>
      </c>
      <c r="F87" s="205">
        <v>0.46222607</v>
      </c>
      <c r="G87" s="205">
        <v>0.51816609</v>
      </c>
      <c r="H87" s="205">
        <v>-0.6522491</v>
      </c>
      <c r="I87" s="205">
        <v>-0.0671857</v>
      </c>
      <c r="J87" s="205">
        <v>0.76326413</v>
      </c>
      <c r="K87" s="205">
        <v>0.09890427</v>
      </c>
      <c r="L87" s="205">
        <v>-0.6366782</v>
      </c>
      <c r="M87" s="205">
        <v>-0.7413495</v>
      </c>
      <c r="N87" s="205">
        <v>0.27018454</v>
      </c>
      <c r="O87" s="205">
        <v>-0.4645329</v>
      </c>
      <c r="P87" s="205">
        <v>0.53489043</v>
      </c>
      <c r="Q87" s="205">
        <v>-1.1107266</v>
      </c>
      <c r="R87" s="205">
        <v>0.07814302</v>
      </c>
      <c r="S87" s="205">
        <v>-0.2811419</v>
      </c>
      <c r="T87" s="205">
        <v>-1.2448097</v>
      </c>
      <c r="U87" s="205">
        <v>0.43079585</v>
      </c>
      <c r="V87" s="205">
        <v>-0.2658593</v>
      </c>
      <c r="W87" s="205">
        <v>-1.2805652</v>
      </c>
      <c r="X87" s="205">
        <v>1.05882353</v>
      </c>
      <c r="Y87" s="205">
        <v>-0.5746828</v>
      </c>
      <c r="Z87" s="205">
        <v>-0.9405998</v>
      </c>
      <c r="AA87" s="205">
        <v>-0.5348904</v>
      </c>
      <c r="AB87" s="205">
        <v>0.0</v>
      </c>
      <c r="AC87" s="205">
        <v>0.84400231</v>
      </c>
      <c r="AD87" s="205">
        <v>-0.3318916</v>
      </c>
      <c r="AE87" s="205">
        <v>0.37399077</v>
      </c>
      <c r="AF87" s="205">
        <v>0.0227797</v>
      </c>
      <c r="AG87" s="205">
        <v>-0.843714</v>
      </c>
      <c r="AH87" s="205">
        <v>0.16955017</v>
      </c>
      <c r="AI87" s="205">
        <v>0.54469435</v>
      </c>
      <c r="AJ87" s="205">
        <v>0.17185698</v>
      </c>
      <c r="AK87" s="205">
        <v>0.69434833</v>
      </c>
      <c r="AL87" s="205">
        <v>0.35611303</v>
      </c>
      <c r="AM87" s="205">
        <v>0.50980392</v>
      </c>
      <c r="AN87" s="205">
        <v>-0.8079585</v>
      </c>
      <c r="AO87" s="205">
        <v>-0.2589389</v>
      </c>
      <c r="AP87" s="205">
        <v>-0.0902537</v>
      </c>
      <c r="AQ87" s="205">
        <v>0.99567474</v>
      </c>
      <c r="AR87" s="205">
        <v>-0.0213379</v>
      </c>
      <c r="AS87" s="205">
        <v>-0.2851788</v>
      </c>
      <c r="AT87" s="205">
        <v>-0.0037486</v>
      </c>
      <c r="AU87" s="205">
        <v>0.64734717</v>
      </c>
      <c r="AV87" s="205">
        <v>-0.1536909</v>
      </c>
      <c r="AW87" s="205">
        <v>-0.0648789</v>
      </c>
      <c r="AX87" s="205">
        <v>-0.599481</v>
      </c>
      <c r="AY87" s="205">
        <v>-0.1805075</v>
      </c>
      <c r="AZ87" s="205">
        <v>-0.4244521</v>
      </c>
      <c r="BA87" s="205">
        <v>-1.2791234</v>
      </c>
      <c r="BB87" s="205">
        <v>0.73673587</v>
      </c>
      <c r="BC87" s="205">
        <v>0.33737024</v>
      </c>
      <c r="BD87" s="205">
        <v>-1.0844867</v>
      </c>
      <c r="BE87" s="205">
        <v>0.32410611</v>
      </c>
      <c r="BF87" s="205">
        <v>-0.4930796</v>
      </c>
      <c r="BG87" s="205">
        <v>0.8399654</v>
      </c>
      <c r="BH87" s="205">
        <v>0.16262976</v>
      </c>
      <c r="BI87" s="205">
        <v>0.36937716</v>
      </c>
      <c r="BJ87" s="205">
        <v>0.24625144</v>
      </c>
      <c r="BK87" s="205">
        <v>-1.4933679</v>
      </c>
      <c r="BL87" s="205">
        <v>-1.2618224</v>
      </c>
      <c r="BM87" s="205">
        <v>0.66032295</v>
      </c>
      <c r="BN87" s="205">
        <v>1.05420992</v>
      </c>
      <c r="BO87" s="205">
        <v>0.57439446</v>
      </c>
      <c r="BP87" s="205">
        <v>0.71828143</v>
      </c>
      <c r="BQ87" s="206"/>
      <c r="BR87" s="250">
        <f t="shared" si="1"/>
        <v>-0.04609491048</v>
      </c>
      <c r="BS87" s="250">
        <f t="shared" si="2"/>
        <v>0.5432172888</v>
      </c>
      <c r="BT87" s="206"/>
      <c r="BU87" s="207">
        <f>IFERROR(__xludf.DUMMYFUNCTION("AVERAGE(ARRAYFORMULA(XLOOKUP(FILTER(INDIRECT(""'""&amp;BU$1&amp;""'!$C$4:$C$66""),INDIRECT(""'""&amp;BU$1&amp;""'!$D$4:$D$66"")=BU$2),$F$3:$BP$3,$F87:$BP87)))"),-1.1128274857142857)</f>
        <v>-1.112827486</v>
      </c>
      <c r="BV87" s="207">
        <f>IFERROR(__xludf.DUMMYFUNCTION("IF(OR(BU87&gt;$BR87+$BS87*$BS$2,BU87&lt;$BR87-$BS87*$BS$2),AVEDEV(ARRAYFORMULA(XLOOKUP(FILTER(INDIRECT(""'""&amp;BU$1&amp;""'!$C$4:$C$66""),INDIRECT(""'""&amp;BU$1&amp;""'!$D$4:$D$66"")=BU$2),$F$3:$BP$3,$F87:$BP87))),"""")"),0.2418732163265306)</f>
        <v>0.2418732163</v>
      </c>
      <c r="BW87" s="207">
        <f>IFERROR(__xludf.DUMMYFUNCTION("AVERAGE(ARRAYFORMULA(XLOOKUP(FILTER(INDIRECT(""'""&amp;BW$1&amp;""'!$C$4:$C$66""),INDIRECT(""'""&amp;BW$1&amp;""'!$D$4:$D$66"")=BW$2),$F$3:$BP$3,$F87:$BP87)))"),0.1601307180952381)</f>
        <v>0.1601307181</v>
      </c>
      <c r="BX87" s="207" t="str">
        <f>IFERROR(__xludf.DUMMYFUNCTION("IF(OR(BW87&gt;$BR87+$BS87*$BS$2,BW87&lt;$BR87-$BS87*$BS$2),AVEDEV(ARRAYFORMULA(XLOOKUP(FILTER(INDIRECT(""'""&amp;BW$1&amp;""'!$C$4:$C$66""),INDIRECT(""'""&amp;BW$1&amp;""'!$D$4:$D$66"")=BW$2),$F$3:$BP$3,$F87:$BP87))),"""")"),"")</f>
        <v/>
      </c>
      <c r="BY87" s="207">
        <f>IFERROR(__xludf.DUMMYFUNCTION("AVERAGE(ARRAYFORMULA(XLOOKUP(FILTER(INDIRECT(""'""&amp;BY$1&amp;""'!$C$4:$C$66""),INDIRECT(""'""&amp;BY$1&amp;""'!$D$4:$D$66"")=BY$2),$F$3:$BP$3,$F87:$BP87)))"),-0.13827724181818185)</f>
        <v>-0.1382772418</v>
      </c>
      <c r="BZ87" s="207" t="str">
        <f>IFERROR(__xludf.DUMMYFUNCTION("IF(OR(BY87&gt;$BR87+$BS87*$BS$2,BY87&lt;$BR87-$BS87*$BS$2),AVEDEV(ARRAYFORMULA(XLOOKUP(FILTER(INDIRECT(""'""&amp;BY$1&amp;""'!$C$4:$C$66""),INDIRECT(""'""&amp;BY$1&amp;""'!$D$4:$D$66"")=BY$2),$F$3:$BP$3,$F87:$BP87))),"""")"),"")</f>
        <v/>
      </c>
      <c r="CA87" s="209"/>
      <c r="CB87" s="207">
        <f>IFERROR(__xludf.DUMMYFUNCTION("AVERAGE(ARRAYFORMULA(XLOOKUP(FILTER(INDIRECT(""'""&amp;CB$1&amp;""'!$C$4:$C$66""),INDIRECT(""'""&amp;CB$1&amp;""'!$D$4:$D$66"")=CB$2),$F$3:$BP$3,$F87:$BP87)))"),-0.128243948125)</f>
        <v>-0.1282439481</v>
      </c>
      <c r="CC87" s="207" t="str">
        <f>IFERROR(__xludf.DUMMYFUNCTION("IF(OR(CB87&gt;$BR87+$BS87*$BS$2,CB87&lt;$BR87-$BS87*$BS$2),AVEDEV(ARRAYFORMULA(XLOOKUP(FILTER(INDIRECT(""'""&amp;CB$1&amp;""'!$C$4:$C$66""),INDIRECT(""'""&amp;CB$1&amp;""'!$D$4:$D$66"")=CB$2),$F$3:$BP$3,$F87:$BP87))),"""")"),"")</f>
        <v/>
      </c>
      <c r="CD87" s="207">
        <f>IFERROR(__xludf.DUMMYFUNCTION("AVERAGE(ARRAYFORMULA(XLOOKUP(FILTER(INDIRECT(""'""&amp;CD$1&amp;""'!$C$4:$C$66""),INDIRECT(""'""&amp;CD$1&amp;""'!$D$4:$D$66"")=CD$2),$F$3:$BP$3,$F87:$BP87)))"),0.11443799483870967)</f>
        <v>0.1144379948</v>
      </c>
      <c r="CE87" s="207" t="str">
        <f>IFERROR(__xludf.DUMMYFUNCTION("IF(OR(CD87&gt;$BR87+$BS87*$BS$2,CD87&lt;$BR87-$BS87*$BS$2),AVEDEV(ARRAYFORMULA(XLOOKUP(FILTER(INDIRECT(""'""&amp;CD$1&amp;""'!$C$4:$C$66""),INDIRECT(""'""&amp;CD$1&amp;""'!$D$4:$D$66"")=CD$2),$F$3:$BP$3,$F87:$BP87))),"""")"),"")</f>
        <v/>
      </c>
      <c r="CF87" s="207">
        <f>IFERROR(__xludf.DUMMYFUNCTION("AVERAGE(ARRAYFORMULA(XLOOKUP(FILTER(INDIRECT(""'""&amp;CF$1&amp;""'!$C$4:$C$66""),INDIRECT(""'""&amp;CF$1&amp;""'!$D$4:$D$66"")=CF$2),$F$3:$BP$3,$F87:$BP87)))"),-0.33690888)</f>
        <v>-0.33690888</v>
      </c>
      <c r="CG87" s="207" t="str">
        <f>IFERROR(__xludf.DUMMYFUNCTION("IF(OR(CF87&gt;$BR87+$BS87*$BS$2,CF87&lt;$BR87-$BS87*$BS$2),AVEDEV(ARRAYFORMULA(XLOOKUP(FILTER(INDIRECT(""'""&amp;CF$1&amp;""'!$C$4:$C$66""),INDIRECT(""'""&amp;CF$1&amp;""'!$D$4:$D$66"")=CF$2),$F$3:$BP$3,$F87:$BP87))),"""")"),"")</f>
        <v/>
      </c>
      <c r="CH87" s="206"/>
      <c r="CI87" s="251">
        <f>IFERROR(__xludf.DUMMYFUNCTION("AVERAGE(ARRAYFORMULA(XLOOKUP(FILTER(INDIRECT(""'""&amp;CI$1&amp;""'!$C$4:$C$66""),INDIRECT(""'""&amp;CI$1&amp;""'!$D$4:$D$66"")=CI$2),$F$3:$BP$3,$F87:$BP87)))"),-0.4835447986666667)</f>
        <v>-0.4835447987</v>
      </c>
      <c r="CJ87" s="207" t="str">
        <f>IFERROR(__xludf.DUMMYFUNCTION("IF(OR(CI87&gt;$BR87+$BS87*$BS$2,CI87&lt;$BR87-$BS87*$BS$2),AVEDEV(ARRAYFORMULA(XLOOKUP(FILTER(INDIRECT(""'""&amp;CI$1&amp;""'!$C$4:$C$66""),INDIRECT(""'""&amp;CI$1&amp;""'!$D$4:$D$66"")=CI$2),$F$3:$BP$3,$F87:$BP87))),"""")"),"")</f>
        <v/>
      </c>
      <c r="CK87" s="251">
        <f>IFERROR(__xludf.DUMMYFUNCTION("AVERAGE(ARRAYFORMULA(XLOOKUP(FILTER(INDIRECT(""'""&amp;CK$1&amp;""'!$C$4:$C$66""),INDIRECT(""'""&amp;CK$1&amp;""'!$D$4:$D$66"")=CK$2),$F$3:$BP$3,$F87:$BP87)))"),0.20117262512820516)</f>
        <v>0.2011726251</v>
      </c>
      <c r="CL87" s="207" t="str">
        <f>IFERROR(__xludf.DUMMYFUNCTION("IF(OR(CK87&gt;$BR87+$BS87*$BS$2,CK87&lt;$BR87-$BS87*$BS$2),AVEDEV(ARRAYFORMULA(XLOOKUP(FILTER(INDIRECT(""'""&amp;CK$1&amp;""'!$C$4:$C$66""),INDIRECT(""'""&amp;CK$1&amp;""'!$D$4:$D$66"")=CK$2),$F$3:$BP$3,$F87:$BP87))),"""")"),"")</f>
        <v/>
      </c>
      <c r="CM87" s="251">
        <f>IFERROR(__xludf.DUMMYFUNCTION("AVERAGE(ARRAYFORMULA(XLOOKUP(FILTER(INDIRECT(""'""&amp;CM$1&amp;""'!$C$4:$C$66""),INDIRECT(""'""&amp;CM$1&amp;""'!$D$4:$D$66"")=CM$2),$F$3:$BP$3,$F87:$BP87)))"),-0.33690888)</f>
        <v>-0.33690888</v>
      </c>
      <c r="CN87" s="207" t="str">
        <f>IFERROR(__xludf.DUMMYFUNCTION("IF(OR(CM87&gt;$BR87+$BS87*$BS$2,CM87&lt;$BR87-$BS87*$BS$2),AVEDEV(ARRAYFORMULA(XLOOKUP(FILTER(INDIRECT(""'""&amp;CM$1&amp;""'!$C$4:$C$66""),INDIRECT(""'""&amp;CM$1&amp;""'!$D$4:$D$66"")=CM$2),$F$3:$BP$3,$F87:$BP87))),"""")"),"")</f>
        <v/>
      </c>
      <c r="CO87" s="252"/>
      <c r="CP87" s="251">
        <f>IFERROR(__xludf.DUMMYFUNCTION("AVERAGE(ARRAYFORMULA(XLOOKUP(FILTER(INDIRECT(""'""&amp;CP$1&amp;""'!$C$4:$C$66""),INDIRECT(""'""&amp;CP$1&amp;""'!$D$4:$D$66"")=CP$2),$F$3:$BP$3,$F87:$BP87)))"),0.06675316928571429)</f>
        <v>0.06675316929</v>
      </c>
      <c r="CQ87" s="207" t="str">
        <f>IFERROR(__xludf.DUMMYFUNCTION("IF(OR(CP87&gt;$BR87+$BS87*$BS$2,CP87&lt;$BR87-$BS87*$BS$2),AVEDEV(ARRAYFORMULA(XLOOKUP(FILTER(INDIRECT(""'""&amp;CP$1&amp;""'!$C$4:$C$66""),INDIRECT(""'""&amp;CP$1&amp;""'!$D$4:$D$66"")=CP$2),$F$3:$BP$3,$F87:$BP87))),"""")"),"")</f>
        <v/>
      </c>
      <c r="CR87" s="251">
        <f>IFERROR(__xludf.DUMMYFUNCTION("AVERAGE(ARRAYFORMULA(XLOOKUP(FILTER(INDIRECT(""'""&amp;CR$1&amp;""'!$C$4:$C$66""),INDIRECT(""'""&amp;CR$1&amp;""'!$D$4:$D$66"")=CR$2),$F$3:$BP$3,$F87:$BP87)))"),-0.008746640000000003)</f>
        <v>-0.00874664</v>
      </c>
      <c r="CS87" s="207" t="str">
        <f>IFERROR(__xludf.DUMMYFUNCTION("IF(OR(CR87&gt;$BR87+$BS87*$BS$2,CR87&lt;$BR87-$BS87*$BS$2),AVEDEV(ARRAYFORMULA(XLOOKUP(FILTER(INDIRECT(""'""&amp;CR$1&amp;""'!$C$4:$C$66""),INDIRECT(""'""&amp;CR$1&amp;""'!$D$4:$D$66"")=CR$2),$F$3:$BP$3,$F87:$BP87))),"""")"),"")</f>
        <v/>
      </c>
      <c r="CT87" s="251">
        <f>IFERROR(__xludf.DUMMYFUNCTION("AVERAGE(ARRAYFORMULA(XLOOKUP(FILTER(INDIRECT(""'""&amp;CT$1&amp;""'!$C$4:$C$66""),INDIRECT(""'""&amp;CT$1&amp;""'!$D$4:$D$66"")=CT$2),$F$3:$BP$3,$F87:$BP87)))"),-0.10383245090909093)</f>
        <v>-0.1038324509</v>
      </c>
      <c r="CU87" s="207" t="str">
        <f>IFERROR(__xludf.DUMMYFUNCTION("IF(OR(CT87&gt;$BR87+$BS87*$BS$2,CT87&lt;$BR87-$BS87*$BS$2),AVEDEV(ARRAYFORMULA(XLOOKUP(FILTER(INDIRECT(""'""&amp;CT$1&amp;""'!$C$4:$C$66""),INDIRECT(""'""&amp;CT$1&amp;""'!$D$4:$D$66"")=CT$2),$F$3:$BP$3,$F87:$BP87))),"""")"),"")</f>
        <v/>
      </c>
      <c r="CV87" s="251">
        <f>IFERROR(__xludf.DUMMYFUNCTION("AVERAGE(ARRAYFORMULA(XLOOKUP(FILTER(INDIRECT(""'""&amp;CV$1&amp;""'!$C$4:$C$66""),INDIRECT(""'""&amp;CV$1&amp;""'!$D$4:$D$66"")=CV$2),$F$3:$BP$3,$F87:$BP87)))"),0.8419838550000001)</f>
        <v>0.841983855</v>
      </c>
      <c r="CW87" s="207">
        <f>IFERROR(__xludf.DUMMYFUNCTION("IF(OR(CV87&gt;$BR87+$BS87*$BS$2,CV87&lt;$BR87-$BS87*$BS$2),AVEDEV(ARRAYFORMULA(XLOOKUP(FILTER(INDIRECT(""'""&amp;CV$1&amp;""'!$C$4:$C$66""),INDIRECT(""'""&amp;CV$1&amp;""'!$D$4:$D$66"")=CV$2),$F$3:$BP$3,$F87:$BP87))),"""")"),0.00201845500000003)</f>
        <v>0.002018455</v>
      </c>
      <c r="CX87" s="251">
        <f>IFERROR(__xludf.DUMMYFUNCTION("AVERAGE(ARRAYFORMULA(XLOOKUP(FILTER(INDIRECT(""'""&amp;CX$1&amp;""'!$C$4:$C$66""),INDIRECT(""'""&amp;CX$1&amp;""'!$D$4:$D$66"")=CX$2),$F$3:$BP$3,$F87:$BP87)))"),0.30905009357142854)</f>
        <v>0.3090500936</v>
      </c>
      <c r="CY87" s="207" t="str">
        <f>IFERROR(__xludf.DUMMYFUNCTION("IF(OR(CX87&gt;$BR87+$BS87*$BS$2,CX87&lt;$BR87-$BS87*$BS$2),AVEDEV(ARRAYFORMULA(XLOOKUP(FILTER(INDIRECT(""'""&amp;CX$1&amp;""'!$C$4:$C$66""),INDIRECT(""'""&amp;CX$1&amp;""'!$D$4:$D$66"")=CX$2),$F$3:$BP$3,$F87:$BP87))),"""")"),"")</f>
        <v/>
      </c>
      <c r="CZ87" s="252"/>
      <c r="DA87" s="251">
        <f>IFERROR(__xludf.DUMMYFUNCTION("AVERAGE(ARRAYFORMULA(XLOOKUP(FILTER(INDIRECT(""'""&amp;DA$1&amp;""'!$C$4:$C$66""),INDIRECT(""'""&amp;DA$1&amp;""'!$D$4:$D$66"")=DA$2),$F$3:$BP$3,$F87:$BP87)))"),0.009919260999999995)</f>
        <v>0.009919261</v>
      </c>
      <c r="DB87" s="207" t="str">
        <f>IFERROR(__xludf.DUMMYFUNCTION("IF(OR(DA87&gt;$BR87+$BS87*$BS$2,DA87&lt;$BR87-$BS87*$BS$2),AVEDEV(ARRAYFORMULA(XLOOKUP(FILTER(INDIRECT(""'""&amp;DA$1&amp;""'!$C$4:$C$66""),INDIRECT(""'""&amp;DA$1&amp;""'!$D$4:$D$66"")=DA$2),$F$3:$BP$3,$F87:$BP87))),"""")"),"")</f>
        <v/>
      </c>
      <c r="DC87" s="251">
        <f>IFERROR(__xludf.DUMMYFUNCTION("AVERAGE(ARRAYFORMULA(XLOOKUP(FILTER(INDIRECT(""'""&amp;DC$1&amp;""'!$C$4:$C$66""),INDIRECT(""'""&amp;DC$1&amp;""'!$D$4:$D$66"")=DC$2),$F$3:$BP$3,$F87:$BP87)))"),-0.23622325444444442)</f>
        <v>-0.2362232544</v>
      </c>
      <c r="DD87" s="207" t="str">
        <f>IFERROR(__xludf.DUMMYFUNCTION("IF(OR(DC87&gt;$BR87+$BS87*$BS$2,DC87&lt;$BR87-$BS87*$BS$2),AVEDEV(ARRAYFORMULA(XLOOKUP(FILTER(INDIRECT(""'""&amp;DC$1&amp;""'!$C$4:$C$66""),INDIRECT(""'""&amp;DC$1&amp;""'!$D$4:$D$66"")=DC$2),$F$3:$BP$3,$F87:$BP87))),"""")"),"")</f>
        <v/>
      </c>
      <c r="DE87" s="251">
        <f>IFERROR(__xludf.DUMMYFUNCTION("AVERAGE(ARRAYFORMULA(XLOOKUP(FILTER(INDIRECT(""'""&amp;DE$1&amp;""'!$C$4:$C$66""),INDIRECT(""'""&amp;DE$1&amp;""'!$D$4:$D$66"")=DE$2),$F$3:$BP$3,$F87:$BP87)))"),-0.39788783625000007)</f>
        <v>-0.3978878363</v>
      </c>
      <c r="DF87" s="207" t="str">
        <f>IFERROR(__xludf.DUMMYFUNCTION("IF(OR(DE87&gt;$BR87+$BS87*$BS$2,DE87&lt;$BR87-$BS87*$BS$2),AVEDEV(ARRAYFORMULA(XLOOKUP(FILTER(INDIRECT(""'""&amp;DE$1&amp;""'!$C$4:$C$66""),INDIRECT(""'""&amp;DE$1&amp;""'!$D$4:$D$66"")=DE$2),$F$3:$BP$3,$F87:$BP87))),"""")"),"")</f>
        <v/>
      </c>
      <c r="DG87" s="251">
        <f>IFERROR(__xludf.DUMMYFUNCTION("AVERAGE(ARRAYFORMULA(XLOOKUP(FILTER(INDIRECT(""'""&amp;DG$1&amp;""'!$C$4:$C$66""),INDIRECT(""'""&amp;DG$1&amp;""'!$D$4:$D$66"")=DG$2),$F$3:$BP$3,$F87:$BP87)))"),0.5569332344444445)</f>
        <v>0.5569332344</v>
      </c>
      <c r="DH87" s="207">
        <f>IFERROR(__xludf.DUMMYFUNCTION("IF(OR(DG87&gt;$BR87+$BS87*$BS$2,DG87&lt;$BR87-$BS87*$BS$2),AVEDEV(ARRAYFORMULA(XLOOKUP(FILTER(INDIRECT(""'""&amp;DG$1&amp;""'!$C$4:$C$66""),INDIRECT(""'""&amp;DG$1&amp;""'!$D$4:$D$66"")=DG$2),$F$3:$BP$3,$F87:$BP87))),"""")"),0.37170176395061727)</f>
        <v>0.371701764</v>
      </c>
      <c r="DI87" s="252"/>
    </row>
    <row r="88">
      <c r="A88" s="2"/>
      <c r="B88" s="204" t="s">
        <v>507</v>
      </c>
      <c r="C88" s="204" t="s">
        <v>530</v>
      </c>
      <c r="D88" s="205" t="b">
        <f>VLOOKUP(C88,'Feature Set List'!A85:C246,2,0)</f>
        <v>1</v>
      </c>
      <c r="E88" s="205" t="b">
        <f>VLOOKUP(C88,'Feature Set List'!A85:C246,3,0)</f>
        <v>1</v>
      </c>
      <c r="F88" s="205">
        <v>1.00947779</v>
      </c>
      <c r="G88" s="205">
        <v>0.48318156</v>
      </c>
      <c r="H88" s="205">
        <v>-1.7212414</v>
      </c>
      <c r="I88" s="205">
        <v>-0.0282475</v>
      </c>
      <c r="J88" s="205">
        <v>1.09273369</v>
      </c>
      <c r="K88" s="205">
        <v>-0.0903178</v>
      </c>
      <c r="L88" s="205">
        <v>0.68611782</v>
      </c>
      <c r="M88" s="205">
        <v>-1.481509</v>
      </c>
      <c r="N88" s="205">
        <v>0.28953726</v>
      </c>
      <c r="O88" s="205">
        <v>-0.8184352</v>
      </c>
      <c r="P88" s="205">
        <v>0.38543022</v>
      </c>
      <c r="Q88" s="205">
        <v>-0.2572013</v>
      </c>
      <c r="R88" s="205">
        <v>0.06653038</v>
      </c>
      <c r="S88" s="205">
        <v>-0.5891098</v>
      </c>
      <c r="T88" s="205">
        <v>-1.9329121</v>
      </c>
      <c r="U88" s="205">
        <v>0.20405129</v>
      </c>
      <c r="V88" s="205">
        <v>-0.1456978</v>
      </c>
      <c r="W88" s="205">
        <v>-1.8929567</v>
      </c>
      <c r="X88" s="205">
        <v>1.30013009</v>
      </c>
      <c r="Y88" s="205">
        <v>0.32224494</v>
      </c>
      <c r="Z88" s="205">
        <v>-1.0406988</v>
      </c>
      <c r="AA88" s="205">
        <v>0.0</v>
      </c>
      <c r="AB88" s="205">
        <v>-0.1955027</v>
      </c>
      <c r="AC88" s="205">
        <v>0.84482438</v>
      </c>
      <c r="AD88" s="205">
        <v>-0.3843152</v>
      </c>
      <c r="AE88" s="205">
        <v>0.40921762</v>
      </c>
      <c r="AF88" s="205">
        <v>-0.6954098</v>
      </c>
      <c r="AG88" s="205">
        <v>-0.5036239</v>
      </c>
      <c r="AH88" s="205">
        <v>-0.095893</v>
      </c>
      <c r="AI88" s="205">
        <v>0.78424085</v>
      </c>
      <c r="AJ88" s="205">
        <v>-0.1233971</v>
      </c>
      <c r="AK88" s="205">
        <v>0.48838506</v>
      </c>
      <c r="AL88" s="205">
        <v>-0.3352537</v>
      </c>
      <c r="AM88" s="205">
        <v>0.82847054</v>
      </c>
      <c r="AN88" s="205">
        <v>-1.5617915</v>
      </c>
      <c r="AO88" s="205">
        <v>-0.4014124</v>
      </c>
      <c r="AP88" s="205">
        <v>0.09403457</v>
      </c>
      <c r="AQ88" s="205">
        <v>1.42873072</v>
      </c>
      <c r="AR88" s="205">
        <v>0.086601</v>
      </c>
      <c r="AS88" s="205">
        <v>-0.3218733</v>
      </c>
      <c r="AT88" s="205">
        <v>-0.2382457</v>
      </c>
      <c r="AU88" s="205">
        <v>0.59171158</v>
      </c>
      <c r="AV88" s="205">
        <v>-0.3872886</v>
      </c>
      <c r="AW88" s="205">
        <v>0.76379855</v>
      </c>
      <c r="AX88" s="205">
        <v>-0.2594313</v>
      </c>
      <c r="AY88" s="205">
        <v>-0.2330422</v>
      </c>
      <c r="AZ88" s="205">
        <v>-0.6511801</v>
      </c>
      <c r="BA88" s="205">
        <v>-2.0608065</v>
      </c>
      <c r="BB88" s="205">
        <v>0.60100353</v>
      </c>
      <c r="BC88" s="205">
        <v>0.5761011</v>
      </c>
      <c r="BD88" s="205">
        <v>-0.9730533</v>
      </c>
      <c r="BE88" s="205">
        <v>0.27021</v>
      </c>
      <c r="BF88" s="205">
        <v>-0.9916372</v>
      </c>
      <c r="BG88" s="205">
        <v>0.85931983</v>
      </c>
      <c r="BH88" s="205">
        <v>0.41404943</v>
      </c>
      <c r="BI88" s="205">
        <v>0.4961903</v>
      </c>
      <c r="BJ88" s="205">
        <v>0.12339714</v>
      </c>
      <c r="BK88" s="205">
        <v>-1.7108344</v>
      </c>
      <c r="BL88" s="205">
        <v>-2.0268723</v>
      </c>
      <c r="BM88" s="205">
        <v>0.51886266</v>
      </c>
      <c r="BN88" s="205">
        <v>1.27262591</v>
      </c>
      <c r="BO88" s="205">
        <v>0.59022487</v>
      </c>
      <c r="BP88" s="205">
        <v>1.09236201</v>
      </c>
      <c r="BQ88" s="206"/>
      <c r="BR88" s="250">
        <f t="shared" si="1"/>
        <v>-0.08214912556</v>
      </c>
      <c r="BS88" s="250">
        <f t="shared" si="2"/>
        <v>0.6875069947</v>
      </c>
      <c r="BT88" s="206"/>
      <c r="BU88" s="207">
        <f>IFERROR(__xludf.DUMMYFUNCTION("AVERAGE(ARRAYFORMULA(XLOOKUP(FILTER(INDIRECT(""'""&amp;BU$1&amp;""'!$C$4:$C$66""),INDIRECT(""'""&amp;BU$1&amp;""'!$D$4:$D$66"")=BU$2),$F$3:$BP$3,$F88:$BP88)))"),-1.4845408285714288)</f>
        <v>-1.484540829</v>
      </c>
      <c r="BV88" s="207">
        <f>IFERROR(__xludf.DUMMYFUNCTION("IF(OR(BU88&gt;$BR88+$BS88*$BS$2,BU88&lt;$BR88-$BS88*$BS$2),AVEDEV(ARRAYFORMULA(XLOOKUP(FILTER(INDIRECT(""'""&amp;BU$1&amp;""'!$C$4:$C$66""),INDIRECT(""'""&amp;BU$1&amp;""'!$D$4:$D$66"")=BU$2),$F$3:$BP$3,$F88:$BP88))),"""")"),0.496170587755102)</f>
        <v>0.4961705878</v>
      </c>
      <c r="BW88" s="207">
        <f>IFERROR(__xludf.DUMMYFUNCTION("AVERAGE(ARRAYFORMULA(XLOOKUP(FILTER(INDIRECT(""'""&amp;BW$1&amp;""'!$C$4:$C$66""),INDIRECT(""'""&amp;BW$1&amp;""'!$D$4:$D$66"")=BW$2),$F$3:$BP$3,$F88:$BP88)))"),0.18451163738095241)</f>
        <v>0.1845116374</v>
      </c>
      <c r="BX88" s="207" t="str">
        <f>IFERROR(__xludf.DUMMYFUNCTION("IF(OR(BW88&gt;$BR88+$BS88*$BS$2,BW88&lt;$BR88-$BS88*$BS$2),AVEDEV(ARRAYFORMULA(XLOOKUP(FILTER(INDIRECT(""'""&amp;BW$1&amp;""'!$C$4:$C$66""),INDIRECT(""'""&amp;BW$1&amp;""'!$D$4:$D$66"")=BW$2),$F$3:$BP$3,$F88:$BP88))),"""")"),"")</f>
        <v/>
      </c>
      <c r="BY88" s="207">
        <f>IFERROR(__xludf.DUMMYFUNCTION("AVERAGE(ARRAYFORMULA(XLOOKUP(FILTER(INDIRECT(""'""&amp;BY$1&amp;""'!$C$4:$C$66""),INDIRECT(""'""&amp;BY$1&amp;""'!$D$4:$D$66"")=BY$2),$F$3:$BP$3,$F88:$BP88)))"),-0.10451926181818183)</f>
        <v>-0.1045192618</v>
      </c>
      <c r="BZ88" s="207" t="str">
        <f>IFERROR(__xludf.DUMMYFUNCTION("IF(OR(BY88&gt;$BR88+$BS88*$BS$2,BY88&lt;$BR88-$BS88*$BS$2),AVEDEV(ARRAYFORMULA(XLOOKUP(FILTER(INDIRECT(""'""&amp;BY$1&amp;""'!$C$4:$C$66""),INDIRECT(""'""&amp;BY$1&amp;""'!$D$4:$D$66"")=BY$2),$F$3:$BP$3,$F88:$BP88))),"""")"),"")</f>
        <v/>
      </c>
      <c r="CA88" s="209"/>
      <c r="CB88" s="207">
        <f>IFERROR(__xludf.DUMMYFUNCTION("AVERAGE(ARRAYFORMULA(XLOOKUP(FILTER(INDIRECT(""'""&amp;CB$1&amp;""'!$C$4:$C$66""),INDIRECT(""'""&amp;CB$1&amp;""'!$D$4:$D$66"")=CB$2),$F$3:$BP$3,$F88:$BP88)))"),-0.360553336875)</f>
        <v>-0.3605533369</v>
      </c>
      <c r="CC88" s="207" t="str">
        <f>IFERROR(__xludf.DUMMYFUNCTION("IF(OR(CB88&gt;$BR88+$BS88*$BS$2,CB88&lt;$BR88-$BS88*$BS$2),AVEDEV(ARRAYFORMULA(XLOOKUP(FILTER(INDIRECT(""'""&amp;CB$1&amp;""'!$C$4:$C$66""),INDIRECT(""'""&amp;CB$1&amp;""'!$D$4:$D$66"")=CB$2),$F$3:$BP$3,$F88:$BP88))),"""")"),"")</f>
        <v/>
      </c>
      <c r="CD88" s="207">
        <f>IFERROR(__xludf.DUMMYFUNCTION("AVERAGE(ARRAYFORMULA(XLOOKUP(FILTER(INDIRECT(""'""&amp;CD$1&amp;""'!$C$4:$C$66""),INDIRECT(""'""&amp;CD$1&amp;""'!$D$4:$D$66"")=CD$2),$F$3:$BP$3,$F88:$BP88)))"),0.24704605516129027)</f>
        <v>0.2470460552</v>
      </c>
      <c r="CE88" s="207" t="str">
        <f>IFERROR(__xludf.DUMMYFUNCTION("IF(OR(CD88&gt;$BR88+$BS88*$BS$2,CD88&lt;$BR88-$BS88*$BS$2),AVEDEV(ARRAYFORMULA(XLOOKUP(FILTER(INDIRECT(""'""&amp;CD$1&amp;""'!$C$4:$C$66""),INDIRECT(""'""&amp;CD$1&amp;""'!$D$4:$D$66"")=CD$2),$F$3:$BP$3,$F88:$BP88))),"""")"),"")</f>
        <v/>
      </c>
      <c r="CF88" s="207">
        <f>IFERROR(__xludf.DUMMYFUNCTION("AVERAGE(ARRAYFORMULA(XLOOKUP(FILTER(INDIRECT(""'""&amp;CF$1&amp;""'!$C$4:$C$66""),INDIRECT(""'""&amp;CF$1&amp;""'!$D$4:$D$66"")=CF$2),$F$3:$BP$3,$F88:$BP88)))"),-0.59275226)</f>
        <v>-0.59275226</v>
      </c>
      <c r="CG88" s="207" t="str">
        <f>IFERROR(__xludf.DUMMYFUNCTION("IF(OR(CF88&gt;$BR88+$BS88*$BS$2,CF88&lt;$BR88-$BS88*$BS$2),AVEDEV(ARRAYFORMULA(XLOOKUP(FILTER(INDIRECT(""'""&amp;CF$1&amp;""'!$C$4:$C$66""),INDIRECT(""'""&amp;CF$1&amp;""'!$D$4:$D$66"")=CF$2),$F$3:$BP$3,$F88:$BP88))),"""")"),"")</f>
        <v/>
      </c>
      <c r="CH88" s="206"/>
      <c r="CI88" s="251">
        <f>IFERROR(__xludf.DUMMYFUNCTION("AVERAGE(ARRAYFORMULA(XLOOKUP(FILTER(INDIRECT(""'""&amp;CI$1&amp;""'!$C$4:$C$66""),INDIRECT(""'""&amp;CI$1&amp;""'!$D$4:$D$66"")=CI$2),$F$3:$BP$3,$F88:$BP88)))"),-0.6154593340000001)</f>
        <v>-0.615459334</v>
      </c>
      <c r="CJ88" s="207" t="str">
        <f>IFERROR(__xludf.DUMMYFUNCTION("IF(OR(CI88&gt;$BR88+$BS88*$BS$2,CI88&lt;$BR88-$BS88*$BS$2),AVEDEV(ARRAYFORMULA(XLOOKUP(FILTER(INDIRECT(""'""&amp;CI$1&amp;""'!$C$4:$C$66""),INDIRECT(""'""&amp;CI$1&amp;""'!$D$4:$D$66"")=CI$2),$F$3:$BP$3,$F88:$BP88))),"""")"),"")</f>
        <v/>
      </c>
      <c r="CK88" s="251">
        <f>IFERROR(__xludf.DUMMYFUNCTION("AVERAGE(ARRAYFORMULA(XLOOKUP(FILTER(INDIRECT(""'""&amp;CK$1&amp;""'!$C$4:$C$66""),INDIRECT(""'""&amp;CK$1&amp;""'!$D$4:$D$66"")=CK$2),$F$3:$BP$3,$F88:$BP88)))"),0.259345558974359)</f>
        <v>0.259345559</v>
      </c>
      <c r="CL88" s="207" t="str">
        <f>IFERROR(__xludf.DUMMYFUNCTION("IF(OR(CK88&gt;$BR88+$BS88*$BS$2,CK88&lt;$BR88-$BS88*$BS$2),AVEDEV(ARRAYFORMULA(XLOOKUP(FILTER(INDIRECT(""'""&amp;CK$1&amp;""'!$C$4:$C$66""),INDIRECT(""'""&amp;CK$1&amp;""'!$D$4:$D$66"")=CK$2),$F$3:$BP$3,$F88:$BP88))),"""")"),"")</f>
        <v/>
      </c>
      <c r="CM88" s="251">
        <f>IFERROR(__xludf.DUMMYFUNCTION("AVERAGE(ARRAYFORMULA(XLOOKUP(FILTER(INDIRECT(""'""&amp;CM$1&amp;""'!$C$4:$C$66""),INDIRECT(""'""&amp;CM$1&amp;""'!$D$4:$D$66"")=CM$2),$F$3:$BP$3,$F88:$BP88)))"),-0.59275226)</f>
        <v>-0.59275226</v>
      </c>
      <c r="CN88" s="207" t="str">
        <f>IFERROR(__xludf.DUMMYFUNCTION("IF(OR(CM88&gt;$BR88+$BS88*$BS$2,CM88&lt;$BR88-$BS88*$BS$2),AVEDEV(ARRAYFORMULA(XLOOKUP(FILTER(INDIRECT(""'""&amp;CM$1&amp;""'!$C$4:$C$66""),INDIRECT(""'""&amp;CM$1&amp;""'!$D$4:$D$66"")=CM$2),$F$3:$BP$3,$F88:$BP88))),"""")"),"")</f>
        <v/>
      </c>
      <c r="CO88" s="252"/>
      <c r="CP88" s="251">
        <f>IFERROR(__xludf.DUMMYFUNCTION("AVERAGE(ARRAYFORMULA(XLOOKUP(FILTER(INDIRECT(""'""&amp;CP$1&amp;""'!$C$4:$C$66""),INDIRECT(""'""&amp;CP$1&amp;""'!$D$4:$D$66"")=CP$2),$F$3:$BP$3,$F88:$BP88)))"),-0.13815806999999997)</f>
        <v>-0.13815807</v>
      </c>
      <c r="CQ88" s="207" t="str">
        <f>IFERROR(__xludf.DUMMYFUNCTION("IF(OR(CP88&gt;$BR88+$BS88*$BS$2,CP88&lt;$BR88-$BS88*$BS$2),AVEDEV(ARRAYFORMULA(XLOOKUP(FILTER(INDIRECT(""'""&amp;CP$1&amp;""'!$C$4:$C$66""),INDIRECT(""'""&amp;CP$1&amp;""'!$D$4:$D$66"")=CP$2),$F$3:$BP$3,$F88:$BP88))),"""")"),"")</f>
        <v/>
      </c>
      <c r="CR88" s="251">
        <f>IFERROR(__xludf.DUMMYFUNCTION("AVERAGE(ARRAYFORMULA(XLOOKUP(FILTER(INDIRECT(""'""&amp;CR$1&amp;""'!$C$4:$C$66""),INDIRECT(""'""&amp;CR$1&amp;""'!$D$4:$D$66"")=CR$2),$F$3:$BP$3,$F88:$BP88)))"),0.12335584666666666)</f>
        <v>0.1233558467</v>
      </c>
      <c r="CS88" s="207" t="str">
        <f>IFERROR(__xludf.DUMMYFUNCTION("IF(OR(CR88&gt;$BR88+$BS88*$BS$2,CR88&lt;$BR88-$BS88*$BS$2),AVEDEV(ARRAYFORMULA(XLOOKUP(FILTER(INDIRECT(""'""&amp;CR$1&amp;""'!$C$4:$C$66""),INDIRECT(""'""&amp;CR$1&amp;""'!$D$4:$D$66"")=CR$2),$F$3:$BP$3,$F88:$BP88))),"""")"),"")</f>
        <v/>
      </c>
      <c r="CT88" s="251">
        <f>IFERROR(__xludf.DUMMYFUNCTION("AVERAGE(ARRAYFORMULA(XLOOKUP(FILTER(INDIRECT(""'""&amp;CT$1&amp;""'!$C$4:$C$66""),INDIRECT(""'""&amp;CT$1&amp;""'!$D$4:$D$66"")=CT$2),$F$3:$BP$3,$F88:$BP88)))"),-0.15370581181818183)</f>
        <v>-0.1537058118</v>
      </c>
      <c r="CU88" s="207" t="str">
        <f>IFERROR(__xludf.DUMMYFUNCTION("IF(OR(CT88&gt;$BR88+$BS88*$BS$2,CT88&lt;$BR88-$BS88*$BS$2),AVEDEV(ARRAYFORMULA(XLOOKUP(FILTER(INDIRECT(""'""&amp;CT$1&amp;""'!$C$4:$C$66""),INDIRECT(""'""&amp;CT$1&amp;""'!$D$4:$D$66"")=CT$2),$F$3:$BP$3,$F88:$BP88))),"""")"),"")</f>
        <v/>
      </c>
      <c r="CV88" s="251">
        <f>IFERROR(__xludf.DUMMYFUNCTION("AVERAGE(ARRAYFORMULA(XLOOKUP(FILTER(INDIRECT(""'""&amp;CV$1&amp;""'!$C$4:$C$66""),INDIRECT(""'""&amp;CV$1&amp;""'!$D$4:$D$66"")=CV$2),$F$3:$BP$3,$F88:$BP88)))"),0.852072105)</f>
        <v>0.852072105</v>
      </c>
      <c r="CW88" s="207">
        <f>IFERROR(__xludf.DUMMYFUNCTION("IF(OR(CV88&gt;$BR88+$BS88*$BS$2,CV88&lt;$BR88-$BS88*$BS$2),AVEDEV(ARRAYFORMULA(XLOOKUP(FILTER(INDIRECT(""'""&amp;CV$1&amp;""'!$C$4:$C$66""),INDIRECT(""'""&amp;CV$1&amp;""'!$D$4:$D$66"")=CV$2),$F$3:$BP$3,$F88:$BP88))),"""")"),0.007247724999999983)</f>
        <v>0.007247725</v>
      </c>
      <c r="CX88" s="251">
        <f>IFERROR(__xludf.DUMMYFUNCTION("AVERAGE(ARRAYFORMULA(XLOOKUP(FILTER(INDIRECT(""'""&amp;CX$1&amp;""'!$C$4:$C$66""),INDIRECT(""'""&amp;CX$1&amp;""'!$D$4:$D$66"")=CX$2),$F$3:$BP$3,$F88:$BP88)))"),0.5898531842857143)</f>
        <v>0.5898531843</v>
      </c>
      <c r="CY88" s="207" t="str">
        <f>IFERROR(__xludf.DUMMYFUNCTION("IF(OR(CX88&gt;$BR88+$BS88*$BS$2,CX88&lt;$BR88-$BS88*$BS$2),AVEDEV(ARRAYFORMULA(XLOOKUP(FILTER(INDIRECT(""'""&amp;CX$1&amp;""'!$C$4:$C$66""),INDIRECT(""'""&amp;CX$1&amp;""'!$D$4:$D$66"")=CX$2),$F$3:$BP$3,$F88:$BP88))),"""")"),"")</f>
        <v/>
      </c>
      <c r="CZ88" s="252"/>
      <c r="DA88" s="251">
        <f>IFERROR(__xludf.DUMMYFUNCTION("AVERAGE(ARRAYFORMULA(XLOOKUP(FILTER(INDIRECT(""'""&amp;DA$1&amp;""'!$C$4:$C$66""),INDIRECT(""'""&amp;DA$1&amp;""'!$D$4:$D$66"")=DA$2),$F$3:$BP$3,$F88:$BP88)))"),-2.3044000000000398E-4)</f>
        <v>-0.00023044</v>
      </c>
      <c r="DB88" s="207" t="str">
        <f>IFERROR(__xludf.DUMMYFUNCTION("IF(OR(DA88&gt;$BR88+$BS88*$BS$2,DA88&lt;$BR88-$BS88*$BS$2),AVEDEV(ARRAYFORMULA(XLOOKUP(FILTER(INDIRECT(""'""&amp;DA$1&amp;""'!$C$4:$C$66""),INDIRECT(""'""&amp;DA$1&amp;""'!$D$4:$D$66"")=DA$2),$F$3:$BP$3,$F88:$BP88))),"""")"),"")</f>
        <v/>
      </c>
      <c r="DC88" s="251">
        <f>IFERROR(__xludf.DUMMYFUNCTION("AVERAGE(ARRAYFORMULA(XLOOKUP(FILTER(INDIRECT(""'""&amp;DC$1&amp;""'!$C$4:$C$66""),INDIRECT(""'""&amp;DC$1&amp;""'!$D$4:$D$66"")=DC$2),$F$3:$BP$3,$F88:$BP88)))"),-0.2260339788888889)</f>
        <v>-0.2260339789</v>
      </c>
      <c r="DD88" s="207" t="str">
        <f>IFERROR(__xludf.DUMMYFUNCTION("IF(OR(DC88&gt;$BR88+$BS88*$BS$2,DC88&lt;$BR88-$BS88*$BS$2),AVEDEV(ARRAYFORMULA(XLOOKUP(FILTER(INDIRECT(""'""&amp;DC$1&amp;""'!$C$4:$C$66""),INDIRECT(""'""&amp;DC$1&amp;""'!$D$4:$D$66"")=DC$2),$F$3:$BP$3,$F88:$BP88))),"""")"),"")</f>
        <v/>
      </c>
      <c r="DE88" s="251">
        <f>IFERROR(__xludf.DUMMYFUNCTION("AVERAGE(ARRAYFORMULA(XLOOKUP(FILTER(INDIRECT(""'""&amp;DE$1&amp;""'!$C$4:$C$66""),INDIRECT(""'""&amp;DE$1&amp;""'!$D$4:$D$66"")=DE$2),$F$3:$BP$3,$F88:$BP88)))"),-0.32287215125)</f>
        <v>-0.3228721513</v>
      </c>
      <c r="DF88" s="207" t="str">
        <f>IFERROR(__xludf.DUMMYFUNCTION("IF(OR(DE88&gt;$BR88+$BS88*$BS$2,DE88&lt;$BR88-$BS88*$BS$2),AVEDEV(ARRAYFORMULA(XLOOKUP(FILTER(INDIRECT(""'""&amp;DE$1&amp;""'!$C$4:$C$66""),INDIRECT(""'""&amp;DE$1&amp;""'!$D$4:$D$66"")=DE$2),$F$3:$BP$3,$F88:$BP88))),"""")"),"")</f>
        <v/>
      </c>
      <c r="DG88" s="251">
        <f>IFERROR(__xludf.DUMMYFUNCTION("AVERAGE(ARRAYFORMULA(XLOOKUP(FILTER(INDIRECT(""'""&amp;DG$1&amp;""'!$C$4:$C$66""),INDIRECT(""'""&amp;DG$1&amp;""'!$D$4:$D$66"")=DG$2),$F$3:$BP$3,$F88:$BP88)))"),0.5076710211111111)</f>
        <v>0.5076710211</v>
      </c>
      <c r="DH88" s="207" t="str">
        <f>IFERROR(__xludf.DUMMYFUNCTION("IF(OR(DG88&gt;$BR88+$BS88*$BS$2,DG88&lt;$BR88-$BS88*$BS$2),AVEDEV(ARRAYFORMULA(XLOOKUP(FILTER(INDIRECT(""'""&amp;DG$1&amp;""'!$C$4:$C$66""),INDIRECT(""'""&amp;DG$1&amp;""'!$D$4:$D$66"")=DG$2),$F$3:$BP$3,$F88:$BP88))),"""")"),"")</f>
        <v/>
      </c>
      <c r="DI88" s="252"/>
    </row>
    <row r="89">
      <c r="A89" s="2"/>
      <c r="B89" s="204" t="s">
        <v>507</v>
      </c>
      <c r="C89" s="204" t="s">
        <v>531</v>
      </c>
      <c r="D89" s="205" t="b">
        <f>VLOOKUP(C89,'Feature Set List'!A86:C246,2,0)</f>
        <v>1</v>
      </c>
      <c r="E89" s="205" t="b">
        <f>VLOOKUP(C89,'Feature Set List'!A86:C246,3,0)</f>
        <v>1</v>
      </c>
      <c r="F89" s="205">
        <v>0.36346726</v>
      </c>
      <c r="G89" s="205">
        <v>1.28831845</v>
      </c>
      <c r="H89" s="205">
        <v>-0.2849702</v>
      </c>
      <c r="I89" s="205">
        <v>1.9281994</v>
      </c>
      <c r="J89" s="205">
        <v>-0.1707589</v>
      </c>
      <c r="K89" s="205">
        <v>-0.4906994</v>
      </c>
      <c r="L89" s="205">
        <v>-0.5543155</v>
      </c>
      <c r="M89" s="205">
        <v>0.63950893</v>
      </c>
      <c r="N89" s="205">
        <v>-0.4973958</v>
      </c>
      <c r="O89" s="205">
        <v>0.36941964</v>
      </c>
      <c r="P89" s="205">
        <v>1.30505952</v>
      </c>
      <c r="Q89" s="205">
        <v>-0.5829613</v>
      </c>
      <c r="R89" s="205">
        <v>-0.1495536</v>
      </c>
      <c r="S89" s="205">
        <v>-0.2890625</v>
      </c>
      <c r="T89" s="205">
        <v>-0.2998512</v>
      </c>
      <c r="U89" s="205">
        <v>1.05915179</v>
      </c>
      <c r="V89" s="205">
        <v>-0.6499256</v>
      </c>
      <c r="W89" s="205">
        <v>2.17261905</v>
      </c>
      <c r="X89" s="205">
        <v>-0.0610119</v>
      </c>
      <c r="Y89" s="205">
        <v>3.63690476</v>
      </c>
      <c r="Z89" s="205">
        <v>0.26004464</v>
      </c>
      <c r="AA89" s="205">
        <v>-0.7165179</v>
      </c>
      <c r="AB89" s="205">
        <v>-0.3054315</v>
      </c>
      <c r="AC89" s="205">
        <v>0.92559524</v>
      </c>
      <c r="AD89" s="205">
        <v>2.63988095</v>
      </c>
      <c r="AE89" s="205">
        <v>-0.5226935</v>
      </c>
      <c r="AF89" s="205">
        <v>0.75818452</v>
      </c>
      <c r="AG89" s="205">
        <v>0.42299107</v>
      </c>
      <c r="AH89" s="205">
        <v>-0.219122</v>
      </c>
      <c r="AI89" s="205">
        <v>-0.1156994</v>
      </c>
      <c r="AJ89" s="205">
        <v>0.50074405</v>
      </c>
      <c r="AK89" s="205">
        <v>-0.0703125</v>
      </c>
      <c r="AL89" s="205">
        <v>-0.4549851</v>
      </c>
      <c r="AM89" s="205">
        <v>-0.0658482</v>
      </c>
      <c r="AN89" s="205">
        <v>-0.4300595</v>
      </c>
      <c r="AO89" s="205">
        <v>0.7094494</v>
      </c>
      <c r="AP89" s="205">
        <v>0.77120536</v>
      </c>
      <c r="AQ89" s="205">
        <v>2.13578869</v>
      </c>
      <c r="AR89" s="205">
        <v>-0.5829613</v>
      </c>
      <c r="AS89" s="205">
        <v>0.3500744</v>
      </c>
      <c r="AT89" s="205">
        <v>0.61904762</v>
      </c>
      <c r="AU89" s="205">
        <v>0.44494048</v>
      </c>
      <c r="AV89" s="205">
        <v>0.06473214</v>
      </c>
      <c r="AW89" s="205">
        <v>1.72693452</v>
      </c>
      <c r="AX89" s="205">
        <v>3.69642857</v>
      </c>
      <c r="AY89" s="205">
        <v>-0.1495536</v>
      </c>
      <c r="AZ89" s="205">
        <v>0.2983631</v>
      </c>
      <c r="BA89" s="205">
        <v>1.34486607</v>
      </c>
      <c r="BB89" s="205">
        <v>-0.343378</v>
      </c>
      <c r="BC89" s="205">
        <v>-0.359003</v>
      </c>
      <c r="BD89" s="205">
        <v>0.0</v>
      </c>
      <c r="BE89" s="205">
        <v>7.4405E-4</v>
      </c>
      <c r="BF89" s="205">
        <v>-0.3924851</v>
      </c>
      <c r="BG89" s="205">
        <v>0.92596726</v>
      </c>
      <c r="BH89" s="205">
        <v>-0.1521577</v>
      </c>
      <c r="BI89" s="205">
        <v>-0.5747768</v>
      </c>
      <c r="BJ89" s="205">
        <v>-0.0837054</v>
      </c>
      <c r="BK89" s="205">
        <v>-0.1674107</v>
      </c>
      <c r="BL89" s="205">
        <v>0.18340774</v>
      </c>
      <c r="BM89" s="205">
        <v>0.68526786</v>
      </c>
      <c r="BN89" s="205">
        <v>-0.2909226</v>
      </c>
      <c r="BO89" s="205">
        <v>0.13876488</v>
      </c>
      <c r="BP89" s="205">
        <v>-0.3325893</v>
      </c>
      <c r="BQ89" s="206"/>
      <c r="BR89" s="250">
        <f t="shared" si="1"/>
        <v>0.3493008319</v>
      </c>
      <c r="BS89" s="250">
        <f t="shared" si="2"/>
        <v>0.7202379067</v>
      </c>
      <c r="BT89" s="206"/>
      <c r="BU89" s="207">
        <f>IFERROR(__xludf.DUMMYFUNCTION("AVERAGE(ARRAYFORMULA(XLOOKUP(FILTER(INDIRECT(""'""&amp;BU$1&amp;""'!$C$4:$C$66""),INDIRECT(""'""&amp;BU$1&amp;""'!$D$4:$D$66"")=BU$2),$F$3:$BP$3,$F89:$BP89)))"),0.9023703271428573)</f>
        <v>0.9023703271</v>
      </c>
      <c r="BV89" s="207" t="str">
        <f>IFERROR(__xludf.DUMMYFUNCTION("IF(OR(BU89&gt;$BR89+$BS89*$BS$2,BU89&lt;$BR89-$BS89*$BS$2),AVEDEV(ARRAYFORMULA(XLOOKUP(FILTER(INDIRECT(""'""&amp;BU$1&amp;""'!$C$4:$C$66""),INDIRECT(""'""&amp;BU$1&amp;""'!$D$4:$D$66"")=BU$2),$F$3:$BP$3,$F89:$BP89))),"""")"),"")</f>
        <v/>
      </c>
      <c r="BW89" s="207">
        <f>IFERROR(__xludf.DUMMYFUNCTION("AVERAGE(ARRAYFORMULA(XLOOKUP(FILTER(INDIRECT(""'""&amp;BW$1&amp;""'!$C$4:$C$66""),INDIRECT(""'""&amp;BW$1&amp;""'!$D$4:$D$66"")=BW$2),$F$3:$BP$3,$F89:$BP89)))"),0.4099259514285715)</f>
        <v>0.4099259514</v>
      </c>
      <c r="BX89" s="207" t="str">
        <f>IFERROR(__xludf.DUMMYFUNCTION("IF(OR(BW89&gt;$BR89+$BS89*$BS$2,BW89&lt;$BR89-$BS89*$BS$2),AVEDEV(ARRAYFORMULA(XLOOKUP(FILTER(INDIRECT(""'""&amp;BW$1&amp;""'!$C$4:$C$66""),INDIRECT(""'""&amp;BW$1&amp;""'!$D$4:$D$66"")=BW$2),$F$3:$BP$3,$F89:$BP89))),"""")"),"")</f>
        <v/>
      </c>
      <c r="BY89" s="207">
        <f>IFERROR(__xludf.DUMMYFUNCTION("AVERAGE(ARRAYFORMULA(XLOOKUP(FILTER(INDIRECT(""'""&amp;BY$1&amp;""'!$C$4:$C$66""),INDIRECT(""'""&amp;BY$1&amp;""'!$D$4:$D$66"")=BY$2),$F$3:$BP$3,$F89:$BP89)))"),-0.13660038727272727)</f>
        <v>-0.1366003873</v>
      </c>
      <c r="BZ89" s="207" t="str">
        <f>IFERROR(__xludf.DUMMYFUNCTION("IF(OR(BY89&gt;$BR89+$BS89*$BS$2,BY89&lt;$BR89-$BS89*$BS$2),AVEDEV(ARRAYFORMULA(XLOOKUP(FILTER(INDIRECT(""'""&amp;BY$1&amp;""'!$C$4:$C$66""),INDIRECT(""'""&amp;BY$1&amp;""'!$D$4:$D$66"")=BY$2),$F$3:$BP$3,$F89:$BP89))),"""")"),"")</f>
        <v/>
      </c>
      <c r="CA89" s="209"/>
      <c r="CB89" s="207">
        <f>IFERROR(__xludf.DUMMYFUNCTION("AVERAGE(ARRAYFORMULA(XLOOKUP(FILTER(INDIRECT(""'""&amp;CB$1&amp;""'!$C$4:$C$66""),INDIRECT(""'""&amp;CB$1&amp;""'!$D$4:$D$66"")=CB$2),$F$3:$BP$3,$F89:$BP89)))"),0.7103329631249999)</f>
        <v>0.7103329631</v>
      </c>
      <c r="CC89" s="207" t="str">
        <f>IFERROR(__xludf.DUMMYFUNCTION("IF(OR(CB89&gt;$BR89+$BS89*$BS$2,CB89&lt;$BR89-$BS89*$BS$2),AVEDEV(ARRAYFORMULA(XLOOKUP(FILTER(INDIRECT(""'""&amp;CB$1&amp;""'!$C$4:$C$66""),INDIRECT(""'""&amp;CB$1&amp;""'!$D$4:$D$66"")=CB$2),$F$3:$BP$3,$F89:$BP89))),"""")"),"")</f>
        <v/>
      </c>
      <c r="CD89" s="207">
        <f>IFERROR(__xludf.DUMMYFUNCTION("AVERAGE(ARRAYFORMULA(XLOOKUP(FILTER(INDIRECT(""'""&amp;CD$1&amp;""'!$C$4:$C$66""),INDIRECT(""'""&amp;CD$1&amp;""'!$D$4:$D$66"")=CD$2),$F$3:$BP$3,$F89:$BP89)))"),0.17962749290322585)</f>
        <v>0.1796274929</v>
      </c>
      <c r="CE89" s="207" t="str">
        <f>IFERROR(__xludf.DUMMYFUNCTION("IF(OR(CD89&gt;$BR89+$BS89*$BS$2,CD89&lt;$BR89-$BS89*$BS$2),AVEDEV(ARRAYFORMULA(XLOOKUP(FILTER(INDIRECT(""'""&amp;CD$1&amp;""'!$C$4:$C$66""),INDIRECT(""'""&amp;CD$1&amp;""'!$D$4:$D$66"")=CD$2),$F$3:$BP$3,$F89:$BP89))),"""")"),"")</f>
        <v/>
      </c>
      <c r="CF89" s="207">
        <f>IFERROR(__xludf.DUMMYFUNCTION("AVERAGE(ARRAYFORMULA(XLOOKUP(FILTER(INDIRECT(""'""&amp;CF$1&amp;""'!$C$4:$C$66""),INDIRECT(""'""&amp;CF$1&amp;""'!$D$4:$D$66"")=CF$2),$F$3:$BP$3,$F89:$BP89)))"),-0.119345232)</f>
        <v>-0.119345232</v>
      </c>
      <c r="CG89" s="207" t="str">
        <f>IFERROR(__xludf.DUMMYFUNCTION("IF(OR(CF89&gt;$BR89+$BS89*$BS$2,CF89&lt;$BR89-$BS89*$BS$2),AVEDEV(ARRAYFORMULA(XLOOKUP(FILTER(INDIRECT(""'""&amp;CF$1&amp;""'!$C$4:$C$66""),INDIRECT(""'""&amp;CF$1&amp;""'!$D$4:$D$66"")=CF$2),$F$3:$BP$3,$F89:$BP89))),"""")"),"")</f>
        <v/>
      </c>
      <c r="CH89" s="206"/>
      <c r="CI89" s="253">
        <f>IFERROR(__xludf.DUMMYFUNCTION("AVERAGE(ARRAYFORMULA(XLOOKUP(FILTER(INDIRECT(""'""&amp;CI$1&amp;""'!$C$4:$C$66""),INDIRECT(""'""&amp;CI$1&amp;""'!$D$4:$D$66"")=CI$2),$F$3:$BP$3,$F89:$BP89)))"),0.4468750006666666)</f>
        <v>0.4468750007</v>
      </c>
      <c r="CJ89" s="207" t="str">
        <f>IFERROR(__xludf.DUMMYFUNCTION("IF(OR(CI89&gt;$BR89+$BS89*$BS$2,CI89&lt;$BR89-$BS89*$BS$2),AVEDEV(ARRAYFORMULA(XLOOKUP(FILTER(INDIRECT(""'""&amp;CI$1&amp;""'!$C$4:$C$66""),INDIRECT(""'""&amp;CI$1&amp;""'!$D$4:$D$66"")=CI$2),$F$3:$BP$3,$F89:$BP89))),"""")"),"")</f>
        <v/>
      </c>
      <c r="CK89" s="251">
        <f>IFERROR(__xludf.DUMMYFUNCTION("AVERAGE(ARRAYFORMULA(XLOOKUP(FILTER(INDIRECT(""'""&amp;CK$1&amp;""'!$C$4:$C$66""),INDIRECT(""'""&amp;CK$1&amp;""'!$D$4:$D$66"")=CK$2),$F$3:$BP$3,$F89:$BP89)))"),0.41261256)</f>
        <v>0.41261256</v>
      </c>
      <c r="CL89" s="207" t="str">
        <f>IFERROR(__xludf.DUMMYFUNCTION("IF(OR(CK89&gt;$BR89+$BS89*$BS$2,CK89&lt;$BR89-$BS89*$BS$2),AVEDEV(ARRAYFORMULA(XLOOKUP(FILTER(INDIRECT(""'""&amp;CK$1&amp;""'!$C$4:$C$66""),INDIRECT(""'""&amp;CK$1&amp;""'!$D$4:$D$66"")=CK$2),$F$3:$BP$3,$F89:$BP89))),"""")"),"")</f>
        <v/>
      </c>
      <c r="CM89" s="251">
        <f>IFERROR(__xludf.DUMMYFUNCTION("AVERAGE(ARRAYFORMULA(XLOOKUP(FILTER(INDIRECT(""'""&amp;CM$1&amp;""'!$C$4:$C$66""),INDIRECT(""'""&amp;CM$1&amp;""'!$D$4:$D$66"")=CM$2),$F$3:$BP$3,$F89:$BP89)))"),-0.119345232)</f>
        <v>-0.119345232</v>
      </c>
      <c r="CN89" s="207" t="str">
        <f>IFERROR(__xludf.DUMMYFUNCTION("IF(OR(CM89&gt;$BR89+$BS89*$BS$2,CM89&lt;$BR89-$BS89*$BS$2),AVEDEV(ARRAYFORMULA(XLOOKUP(FILTER(INDIRECT(""'""&amp;CM$1&amp;""'!$C$4:$C$66""),INDIRECT(""'""&amp;CM$1&amp;""'!$D$4:$D$66"")=CM$2),$F$3:$BP$3,$F89:$BP89))),"""")"),"")</f>
        <v/>
      </c>
      <c r="CO89" s="252"/>
      <c r="CP89" s="253">
        <f>IFERROR(__xludf.DUMMYFUNCTION("AVERAGE(ARRAYFORMULA(XLOOKUP(FILTER(INDIRECT(""'""&amp;CP$1&amp;""'!$C$4:$C$66""),INDIRECT(""'""&amp;CP$1&amp;""'!$D$4:$D$66"")=CP$2),$F$3:$BP$3,$F89:$BP89)))"),0.7133556528571429)</f>
        <v>0.7133556529</v>
      </c>
      <c r="CQ89" s="207" t="str">
        <f>IFERROR(__xludf.DUMMYFUNCTION("IF(OR(CP89&gt;$BR89+$BS89*$BS$2,CP89&lt;$BR89-$BS89*$BS$2),AVEDEV(ARRAYFORMULA(XLOOKUP(FILTER(INDIRECT(""'""&amp;CP$1&amp;""'!$C$4:$C$66""),INDIRECT(""'""&amp;CP$1&amp;""'!$D$4:$D$66"")=CP$2),$F$3:$BP$3,$F89:$BP89))),"""")"),"")</f>
        <v/>
      </c>
      <c r="CR89" s="251">
        <f>IFERROR(__xludf.DUMMYFUNCTION("AVERAGE(ARRAYFORMULA(XLOOKUP(FILTER(INDIRECT(""'""&amp;CR$1&amp;""'!$C$4:$C$66""),INDIRECT(""'""&amp;CR$1&amp;""'!$D$4:$D$66"")=CR$2),$F$3:$BP$3,$F89:$BP89)))"),-0.17071760000000002)</f>
        <v>-0.1707176</v>
      </c>
      <c r="CS89" s="207" t="str">
        <f>IFERROR(__xludf.DUMMYFUNCTION("IF(OR(CR89&gt;$BR89+$BS89*$BS$2,CR89&lt;$BR89-$BS89*$BS$2),AVEDEV(ARRAYFORMULA(XLOOKUP(FILTER(INDIRECT(""'""&amp;CR$1&amp;""'!$C$4:$C$66""),INDIRECT(""'""&amp;CR$1&amp;""'!$D$4:$D$66"")=CR$2),$F$3:$BP$3,$F89:$BP89))),"""")"),"")</f>
        <v/>
      </c>
      <c r="CT89" s="251">
        <f>IFERROR(__xludf.DUMMYFUNCTION("AVERAGE(ARRAYFORMULA(XLOOKUP(FILTER(INDIRECT(""'""&amp;CT$1&amp;""'!$C$4:$C$66""),INDIRECT(""'""&amp;CT$1&amp;""'!$D$4:$D$66"")=CT$2),$F$3:$BP$3,$F89:$BP89)))"),-0.08921807363636364)</f>
        <v>-0.08921807364</v>
      </c>
      <c r="CU89" s="207" t="str">
        <f>IFERROR(__xludf.DUMMYFUNCTION("IF(OR(CT89&gt;$BR89+$BS89*$BS$2,CT89&lt;$BR89-$BS89*$BS$2),AVEDEV(ARRAYFORMULA(XLOOKUP(FILTER(INDIRECT(""'""&amp;CT$1&amp;""'!$C$4:$C$66""),INDIRECT(""'""&amp;CT$1&amp;""'!$D$4:$D$66"")=CT$2),$F$3:$BP$3,$F89:$BP89))),"""")"),"")</f>
        <v/>
      </c>
      <c r="CV89" s="251">
        <f>IFERROR(__xludf.DUMMYFUNCTION("AVERAGE(ARRAYFORMULA(XLOOKUP(FILTER(INDIRECT(""'""&amp;CV$1&amp;""'!$C$4:$C$66""),INDIRECT(""'""&amp;CV$1&amp;""'!$D$4:$D$66"")=CV$2),$F$3:$BP$3,$F89:$BP89)))"),0.92578125)</f>
        <v>0.92578125</v>
      </c>
      <c r="CW89" s="207" t="str">
        <f>IFERROR(__xludf.DUMMYFUNCTION("IF(OR(CV89&gt;$BR89+$BS89*$BS$2,CV89&lt;$BR89-$BS89*$BS$2),AVEDEV(ARRAYFORMULA(XLOOKUP(FILTER(INDIRECT(""'""&amp;CV$1&amp;""'!$C$4:$C$66""),INDIRECT(""'""&amp;CV$1&amp;""'!$D$4:$D$66"")=CV$2),$F$3:$BP$3,$F89:$BP89))),"""")"),"")</f>
        <v/>
      </c>
      <c r="CX89" s="251">
        <f>IFERROR(__xludf.DUMMYFUNCTION("AVERAGE(ARRAYFORMULA(XLOOKUP(FILTER(INDIRECT(""'""&amp;CX$1&amp;""'!$C$4:$C$66""),INDIRECT(""'""&amp;CX$1&amp;""'!$D$4:$D$66"")=CX$2),$F$3:$BP$3,$F89:$BP89)))"),0.49742240928571435)</f>
        <v>0.4974224093</v>
      </c>
      <c r="CY89" s="207" t="str">
        <f>IFERROR(__xludf.DUMMYFUNCTION("IF(OR(CX89&gt;$BR89+$BS89*$BS$2,CX89&lt;$BR89-$BS89*$BS$2),AVEDEV(ARRAYFORMULA(XLOOKUP(FILTER(INDIRECT(""'""&amp;CX$1&amp;""'!$C$4:$C$66""),INDIRECT(""'""&amp;CX$1&amp;""'!$D$4:$D$66"")=CX$2),$F$3:$BP$3,$F89:$BP89))),"""")"),"")</f>
        <v/>
      </c>
      <c r="CZ89" s="252"/>
      <c r="DA89" s="253">
        <f>IFERROR(__xludf.DUMMYFUNCTION("AVERAGE(ARRAYFORMULA(XLOOKUP(FILTER(INDIRECT(""'""&amp;DA$1&amp;""'!$C$4:$C$66""),INDIRECT(""'""&amp;DA$1&amp;""'!$D$4:$D$66"")=DA$2),$F$3:$BP$3,$F89:$BP89)))"),0.526463294)</f>
        <v>0.526463294</v>
      </c>
      <c r="DB89" s="207" t="str">
        <f>IFERROR(__xludf.DUMMYFUNCTION("IF(OR(DA89&gt;$BR89+$BS89*$BS$2,DA89&lt;$BR89-$BS89*$BS$2),AVEDEV(ARRAYFORMULA(XLOOKUP(FILTER(INDIRECT(""'""&amp;DA$1&amp;""'!$C$4:$C$66""),INDIRECT(""'""&amp;DA$1&amp;""'!$D$4:$D$66"")=DA$2),$F$3:$BP$3,$F89:$BP89))),"""")"),"")</f>
        <v/>
      </c>
      <c r="DC89" s="251">
        <f>IFERROR(__xludf.DUMMYFUNCTION("AVERAGE(ARRAYFORMULA(XLOOKUP(FILTER(INDIRECT(""'""&amp;DC$1&amp;""'!$C$4:$C$66""),INDIRECT(""'""&amp;DC$1&amp;""'!$D$4:$D$66"")=DC$2),$F$3:$BP$3,$F89:$BP89)))"),-0.03604497555555555)</f>
        <v>-0.03604497556</v>
      </c>
      <c r="DD89" s="207" t="str">
        <f>IFERROR(__xludf.DUMMYFUNCTION("IF(OR(DC89&gt;$BR89+$BS89*$BS$2,DC89&lt;$BR89-$BS89*$BS$2),AVEDEV(ARRAYFORMULA(XLOOKUP(FILTER(INDIRECT(""'""&amp;DC$1&amp;""'!$C$4:$C$66""),INDIRECT(""'""&amp;DC$1&amp;""'!$D$4:$D$66"")=DC$2),$F$3:$BP$3,$F89:$BP89))),"""")"),"")</f>
        <v/>
      </c>
      <c r="DE89" s="251">
        <f>IFERROR(__xludf.DUMMYFUNCTION("AVERAGE(ARRAYFORMULA(XLOOKUP(FILTER(INDIRECT(""'""&amp;DE$1&amp;""'!$C$4:$C$66""),INDIRECT(""'""&amp;DE$1&amp;""'!$D$4:$D$66"")=DE$2),$F$3:$BP$3,$F89:$BP89)))"),0.27018228875)</f>
        <v>0.2701822888</v>
      </c>
      <c r="DF89" s="207" t="str">
        <f>IFERROR(__xludf.DUMMYFUNCTION("IF(OR(DE89&gt;$BR89+$BS89*$BS$2,DE89&lt;$BR89-$BS89*$BS$2),AVEDEV(ARRAYFORMULA(XLOOKUP(FILTER(INDIRECT(""'""&amp;DE$1&amp;""'!$C$4:$C$66""),INDIRECT(""'""&amp;DE$1&amp;""'!$D$4:$D$66"")=DE$2),$F$3:$BP$3,$F89:$BP89))),"""")"),"")</f>
        <v/>
      </c>
      <c r="DG89" s="251">
        <f>IFERROR(__xludf.DUMMYFUNCTION("AVERAGE(ARRAYFORMULA(XLOOKUP(FILTER(INDIRECT(""'""&amp;DG$1&amp;""'!$C$4:$C$66""),INDIRECT(""'""&amp;DG$1&amp;""'!$D$4:$D$66"")=DG$2),$F$3:$BP$3,$F89:$BP89)))"),0.0765542333333333)</f>
        <v>0.07655423333</v>
      </c>
      <c r="DH89" s="207" t="str">
        <f>IFERROR(__xludf.DUMMYFUNCTION("IF(OR(DG89&gt;$BR89+$BS89*$BS$2,DG89&lt;$BR89-$BS89*$BS$2),AVEDEV(ARRAYFORMULA(XLOOKUP(FILTER(INDIRECT(""'""&amp;DG$1&amp;""'!$C$4:$C$66""),INDIRECT(""'""&amp;DG$1&amp;""'!$D$4:$D$66"")=DG$2),$F$3:$BP$3,$F89:$BP89))),"""")"),"")</f>
        <v/>
      </c>
      <c r="DI89" s="252"/>
    </row>
    <row r="90">
      <c r="A90" s="2"/>
      <c r="B90" s="204" t="s">
        <v>507</v>
      </c>
      <c r="C90" s="204" t="s">
        <v>532</v>
      </c>
      <c r="D90" s="205" t="b">
        <f>VLOOKUP(C90,'Feature Set List'!A87:C246,2,0)</f>
        <v>1</v>
      </c>
      <c r="E90" s="205" t="b">
        <f>VLOOKUP(C90,'Feature Set List'!A87:C246,3,0)</f>
        <v>1</v>
      </c>
      <c r="F90" s="205">
        <v>-0.7238371</v>
      </c>
      <c r="G90" s="205">
        <v>-0.3809144</v>
      </c>
      <c r="H90" s="205">
        <v>0.21588473</v>
      </c>
      <c r="I90" s="205">
        <v>0.42578651</v>
      </c>
      <c r="J90" s="205">
        <v>-0.6800618</v>
      </c>
      <c r="K90" s="205">
        <v>0.17151119</v>
      </c>
      <c r="L90" s="205">
        <v>-0.5397118</v>
      </c>
      <c r="M90" s="205">
        <v>1.4802812</v>
      </c>
      <c r="N90" s="205">
        <v>-0.1665254</v>
      </c>
      <c r="O90" s="205">
        <v>0.47863589</v>
      </c>
      <c r="P90" s="205">
        <v>-0.4274318</v>
      </c>
      <c r="Q90" s="205">
        <v>0.56339433</v>
      </c>
      <c r="R90" s="205">
        <v>0.14209503</v>
      </c>
      <c r="S90" s="205">
        <v>1.20556414</v>
      </c>
      <c r="T90" s="205">
        <v>2.81896595</v>
      </c>
      <c r="U90" s="205">
        <v>0.00199432</v>
      </c>
      <c r="V90" s="205">
        <v>-0.1595453</v>
      </c>
      <c r="W90" s="205">
        <v>2.42558708</v>
      </c>
      <c r="X90" s="205">
        <v>-0.8325373</v>
      </c>
      <c r="Y90" s="205">
        <v>-0.4572468</v>
      </c>
      <c r="Z90" s="205">
        <v>1.41646308</v>
      </c>
      <c r="AA90" s="205">
        <v>0.18746572</v>
      </c>
      <c r="AB90" s="205">
        <v>0.11218029</v>
      </c>
      <c r="AC90" s="205">
        <v>-0.8537618</v>
      </c>
      <c r="AD90" s="205">
        <v>0.72543252</v>
      </c>
      <c r="AE90" s="205">
        <v>0.0</v>
      </c>
      <c r="AF90" s="205">
        <v>0.15356235</v>
      </c>
      <c r="AG90" s="205">
        <v>0.7139652</v>
      </c>
      <c r="AH90" s="205">
        <v>0.07777833</v>
      </c>
      <c r="AI90" s="205">
        <v>-0.8111881</v>
      </c>
      <c r="AJ90" s="205">
        <v>0.55192701</v>
      </c>
      <c r="AK90" s="205">
        <v>-0.548786</v>
      </c>
      <c r="AL90" s="205">
        <v>-0.142095</v>
      </c>
      <c r="AM90" s="205">
        <v>-0.7924415</v>
      </c>
      <c r="AN90" s="205">
        <v>1.31674727</v>
      </c>
      <c r="AO90" s="205">
        <v>1.06995064</v>
      </c>
      <c r="AP90" s="205">
        <v>-0.0922371</v>
      </c>
      <c r="AQ90" s="205">
        <v>-0.8500873</v>
      </c>
      <c r="AR90" s="205">
        <v>0.12813482</v>
      </c>
      <c r="AS90" s="205">
        <v>0.26374832</v>
      </c>
      <c r="AT90" s="205">
        <v>0.64615845</v>
      </c>
      <c r="AU90" s="205">
        <v>-0.7760383</v>
      </c>
      <c r="AV90" s="205">
        <v>0.82614549</v>
      </c>
      <c r="AW90" s="205">
        <v>-0.2577654</v>
      </c>
      <c r="AX90" s="205">
        <v>-0.7924415</v>
      </c>
      <c r="AY90" s="205">
        <v>-0.0014957</v>
      </c>
      <c r="AZ90" s="205">
        <v>0.26025826</v>
      </c>
      <c r="BA90" s="205">
        <v>2.21219524</v>
      </c>
      <c r="BB90" s="205">
        <v>-0.5659869</v>
      </c>
      <c r="BC90" s="205">
        <v>-0.365957</v>
      </c>
      <c r="BD90" s="205">
        <v>0.63917834</v>
      </c>
      <c r="BE90" s="205">
        <v>-0.0069801</v>
      </c>
      <c r="BF90" s="205">
        <v>0.018946</v>
      </c>
      <c r="BG90" s="205">
        <v>-0.854739</v>
      </c>
      <c r="BH90" s="205">
        <v>-0.0922371</v>
      </c>
      <c r="BI90" s="205">
        <v>-0.1545595</v>
      </c>
      <c r="BJ90" s="205">
        <v>-0.0892456</v>
      </c>
      <c r="BK90" s="205">
        <v>1.6039288</v>
      </c>
      <c r="BL90" s="205">
        <v>2.36924764</v>
      </c>
      <c r="BM90" s="205">
        <v>-0.4121753</v>
      </c>
      <c r="BN90" s="205">
        <v>-0.8699606</v>
      </c>
      <c r="BO90" s="205">
        <v>-0.286683</v>
      </c>
      <c r="BP90" s="205">
        <v>-0.7350052</v>
      </c>
      <c r="BQ90" s="206"/>
      <c r="BR90" s="250">
        <f t="shared" si="1"/>
        <v>0.1667211975</v>
      </c>
      <c r="BS90" s="250">
        <f t="shared" si="2"/>
        <v>0.6535591829</v>
      </c>
      <c r="BT90" s="206"/>
      <c r="BU90" s="207">
        <f>IFERROR(__xludf.DUMMYFUNCTION("AVERAGE(ARRAYFORMULA(XLOOKUP(FILTER(INDIRECT(""'""&amp;BU$1&amp;""'!$C$4:$C$66""),INDIRECT(""'""&amp;BU$1&amp;""'!$D$4:$D$66"")=BU$2),$F$3:$BP$3,$F90:$BP90)))"),1.460594454285714)</f>
        <v>1.460594454</v>
      </c>
      <c r="BV90" s="207">
        <f>IFERROR(__xludf.DUMMYFUNCTION("IF(OR(BU90&gt;$BR90+$BS90*$BS$2,BU90&lt;$BR90-$BS90*$BS$2),AVEDEV(ARRAYFORMULA(XLOOKUP(FILTER(INDIRECT(""'""&amp;BU$1&amp;""'!$C$4:$C$66""),INDIRECT(""'""&amp;BU$1&amp;""'!$D$4:$D$66"")=BU$2),$F$3:$BP$3,$F90:$BP90))),"""")"),0.9195140722448981)</f>
        <v>0.9195140722</v>
      </c>
      <c r="BW90" s="207">
        <f>IFERROR(__xludf.DUMMYFUNCTION("AVERAGE(ARRAYFORMULA(XLOOKUP(FILTER(INDIRECT(""'""&amp;BW$1&amp;""'!$C$4:$C$66""),INDIRECT(""'""&amp;BW$1&amp;""'!$D$4:$D$66"")=BW$2),$F$3:$BP$3,$F90:$BP90)))"),-0.058211948571428564)</f>
        <v>-0.05821194857</v>
      </c>
      <c r="BX90" s="207" t="str">
        <f>IFERROR(__xludf.DUMMYFUNCTION("IF(OR(BW90&gt;$BR90+$BS90*$BS$2,BW90&lt;$BR90-$BS90*$BS$2),AVEDEV(ARRAYFORMULA(XLOOKUP(FILTER(INDIRECT(""'""&amp;BW$1&amp;""'!$C$4:$C$66""),INDIRECT(""'""&amp;BW$1&amp;""'!$D$4:$D$66"")=BW$2),$F$3:$BP$3,$F90:$BP90))),"""")"),"")</f>
        <v/>
      </c>
      <c r="BY90" s="207">
        <f>IFERROR(__xludf.DUMMYFUNCTION("AVERAGE(ARRAYFORMULA(XLOOKUP(FILTER(INDIRECT(""'""&amp;BY$1&amp;""'!$C$4:$C$66""),INDIRECT(""'""&amp;BY$1&amp;""'!$D$4:$D$66"")=BY$2),$F$3:$BP$3,$F90:$BP90)))"),0.20255362909090913)</f>
        <v>0.2025536291</v>
      </c>
      <c r="BZ90" s="207" t="str">
        <f>IFERROR(__xludf.DUMMYFUNCTION("IF(OR(BY90&gt;$BR90+$BS90*$BS$2,BY90&lt;$BR90-$BS90*$BS$2),AVEDEV(ARRAYFORMULA(XLOOKUP(FILTER(INDIRECT(""'""&amp;BY$1&amp;""'!$C$4:$C$66""),INDIRECT(""'""&amp;BY$1&amp;""'!$D$4:$D$66"")=BY$2),$F$3:$BP$3,$F90:$BP90))),"""")"),"")</f>
        <v/>
      </c>
      <c r="CA90" s="209"/>
      <c r="CB90" s="207">
        <f>IFERROR(__xludf.DUMMYFUNCTION("AVERAGE(ARRAYFORMULA(XLOOKUP(FILTER(INDIRECT(""'""&amp;CB$1&amp;""'!$C$4:$C$66""),INDIRECT(""'""&amp;CB$1&amp;""'!$D$4:$D$66"")=CB$2),$F$3:$BP$3,$F90:$BP90)))"),0.5904734049999999)</f>
        <v>0.590473405</v>
      </c>
      <c r="CC90" s="207" t="str">
        <f>IFERROR(__xludf.DUMMYFUNCTION("IF(OR(CB90&gt;$BR90+$BS90*$BS$2,CB90&lt;$BR90-$BS90*$BS$2),AVEDEV(ARRAYFORMULA(XLOOKUP(FILTER(INDIRECT(""'""&amp;CB$1&amp;""'!$C$4:$C$66""),INDIRECT(""'""&amp;CB$1&amp;""'!$D$4:$D$66"")=CB$2),$F$3:$BP$3,$F90:$BP90))),"""")"),"")</f>
        <v/>
      </c>
      <c r="CD90" s="207">
        <f>IFERROR(__xludf.DUMMYFUNCTION("AVERAGE(ARRAYFORMULA(XLOOKUP(FILTER(INDIRECT(""'""&amp;CD$1&amp;""'!$C$4:$C$66""),INDIRECT(""'""&amp;CD$1&amp;""'!$D$4:$D$66"")=CD$2),$F$3:$BP$3,$F90:$BP90)))"),-0.21114918451612902)</f>
        <v>-0.2111491845</v>
      </c>
      <c r="CE90" s="207" t="str">
        <f>IFERROR(__xludf.DUMMYFUNCTION("IF(OR(CD90&gt;$BR90+$BS90*$BS$2,CD90&lt;$BR90-$BS90*$BS$2),AVEDEV(ARRAYFORMULA(XLOOKUP(FILTER(INDIRECT(""'""&amp;CD$1&amp;""'!$C$4:$C$66""),INDIRECT(""'""&amp;CD$1&amp;""'!$D$4:$D$66"")=CD$2),$F$3:$BP$3,$F90:$BP90))),"""")"),"")</f>
        <v/>
      </c>
      <c r="CF90" s="207">
        <f>IFERROR(__xludf.DUMMYFUNCTION("AVERAGE(ARRAYFORMULA(XLOOKUP(FILTER(INDIRECT(""'""&amp;CF$1&amp;""'!$C$4:$C$66""),INDIRECT(""'""&amp;CF$1&amp;""'!$D$4:$D$66"")=CF$2),$F$3:$BP$3,$F90:$BP90)))"),0.41830782199999994)</f>
        <v>0.418307822</v>
      </c>
      <c r="CG90" s="207" t="str">
        <f>IFERROR(__xludf.DUMMYFUNCTION("IF(OR(CF90&gt;$BR90+$BS90*$BS$2,CF90&lt;$BR90-$BS90*$BS$2),AVEDEV(ARRAYFORMULA(XLOOKUP(FILTER(INDIRECT(""'""&amp;CF$1&amp;""'!$C$4:$C$66""),INDIRECT(""'""&amp;CF$1&amp;""'!$D$4:$D$66"")=CF$2),$F$3:$BP$3,$F90:$BP90))),"""")"),"")</f>
        <v/>
      </c>
      <c r="CH90" s="206"/>
      <c r="CI90" s="251">
        <f>IFERROR(__xludf.DUMMYFUNCTION("AVERAGE(ARRAYFORMULA(XLOOKUP(FILTER(INDIRECT(""'""&amp;CI$1&amp;""'!$C$4:$C$66""),INDIRECT(""'""&amp;CI$1&amp;""'!$D$4:$D$66"")=CI$2),$F$3:$BP$3,$F90:$BP90)))"),0.862558372)</f>
        <v>0.862558372</v>
      </c>
      <c r="CJ90" s="207">
        <f>IFERROR(__xludf.DUMMYFUNCTION("IF(OR(CI90&gt;$BR90+$BS90*$BS$2,CI90&lt;$BR90-$BS90*$BS$2),AVEDEV(ARRAYFORMULA(XLOOKUP(FILTER(INDIRECT(""'""&amp;CI$1&amp;""'!$C$4:$C$66""),INDIRECT(""'""&amp;CI$1&amp;""'!$D$4:$D$66"")=CI$2),$F$3:$BP$3,$F90:$BP90))),"""")"),1.0063186610666663)</f>
        <v>1.006318661</v>
      </c>
      <c r="CK90" s="251">
        <f>IFERROR(__xludf.DUMMYFUNCTION("AVERAGE(ARRAYFORMULA(XLOOKUP(FILTER(INDIRECT(""'""&amp;CK$1&amp;""'!$C$4:$C$66""),INDIRECT(""'""&amp;CK$1&amp;""'!$D$4:$D$66"")=CK$2),$F$3:$BP$3,$F90:$BP90)))"),-0.16991010846153845)</f>
        <v>-0.1699101085</v>
      </c>
      <c r="CL90" s="207" t="str">
        <f>IFERROR(__xludf.DUMMYFUNCTION("IF(OR(CK90&gt;$BR90+$BS90*$BS$2,CK90&lt;$BR90-$BS90*$BS$2),AVEDEV(ARRAYFORMULA(XLOOKUP(FILTER(INDIRECT(""'""&amp;CK$1&amp;""'!$C$4:$C$66""),INDIRECT(""'""&amp;CK$1&amp;""'!$D$4:$D$66"")=CK$2),$F$3:$BP$3,$F90:$BP90))),"""")"),"")</f>
        <v/>
      </c>
      <c r="CM90" s="251">
        <f>IFERROR(__xludf.DUMMYFUNCTION("AVERAGE(ARRAYFORMULA(XLOOKUP(FILTER(INDIRECT(""'""&amp;CM$1&amp;""'!$C$4:$C$66""),INDIRECT(""'""&amp;CM$1&amp;""'!$D$4:$D$66"")=CM$2),$F$3:$BP$3,$F90:$BP90)))"),0.41830782199999994)</f>
        <v>0.418307822</v>
      </c>
      <c r="CN90" s="207" t="str">
        <f>IFERROR(__xludf.DUMMYFUNCTION("IF(OR(CM90&gt;$BR90+$BS90*$BS$2,CM90&lt;$BR90-$BS90*$BS$2),AVEDEV(ARRAYFORMULA(XLOOKUP(FILTER(INDIRECT(""'""&amp;CM$1&amp;""'!$C$4:$C$66""),INDIRECT(""'""&amp;CM$1&amp;""'!$D$4:$D$66"")=CM$2),$F$3:$BP$3,$F90:$BP90))),"""")"),"")</f>
        <v/>
      </c>
      <c r="CO90" s="252"/>
      <c r="CP90" s="251">
        <f>IFERROR(__xludf.DUMMYFUNCTION("AVERAGE(ARRAYFORMULA(XLOOKUP(FILTER(INDIRECT(""'""&amp;CP$1&amp;""'!$C$4:$C$66""),INDIRECT(""'""&amp;CP$1&amp;""'!$D$4:$D$66"")=CP$2),$F$3:$BP$3,$F90:$BP90)))"),0.29962108357142864)</f>
        <v>0.2996210836</v>
      </c>
      <c r="CQ90" s="207" t="str">
        <f>IFERROR(__xludf.DUMMYFUNCTION("IF(OR(CP90&gt;$BR90+$BS90*$BS$2,CP90&lt;$BR90-$BS90*$BS$2),AVEDEV(ARRAYFORMULA(XLOOKUP(FILTER(INDIRECT(""'""&amp;CP$1&amp;""'!$C$4:$C$66""),INDIRECT(""'""&amp;CP$1&amp;""'!$D$4:$D$66"")=CP$2),$F$3:$BP$3,$F90:$BP90))),"""")"),"")</f>
        <v/>
      </c>
      <c r="CR90" s="251">
        <f>IFERROR(__xludf.DUMMYFUNCTION("AVERAGE(ARRAYFORMULA(XLOOKUP(FILTER(INDIRECT(""'""&amp;CR$1&amp;""'!$C$4:$C$66""),INDIRECT(""'""&amp;CR$1&amp;""'!$D$4:$D$66"")=CR$2),$F$3:$BP$3,$F90:$BP90)))"),-0.015518002222222228)</f>
        <v>-0.01551800222</v>
      </c>
      <c r="CS90" s="207" t="str">
        <f>IFERROR(__xludf.DUMMYFUNCTION("IF(OR(CR90&gt;$BR90+$BS90*$BS$2,CR90&lt;$BR90-$BS90*$BS$2),AVEDEV(ARRAYFORMULA(XLOOKUP(FILTER(INDIRECT(""'""&amp;CR$1&amp;""'!$C$4:$C$66""),INDIRECT(""'""&amp;CR$1&amp;""'!$D$4:$D$66"")=CR$2),$F$3:$BP$3,$F90:$BP90))),"""")"),"")</f>
        <v/>
      </c>
      <c r="CT90" s="251">
        <f>IFERROR(__xludf.DUMMYFUNCTION("AVERAGE(ARRAYFORMULA(XLOOKUP(FILTER(INDIRECT(""'""&amp;CT$1&amp;""'!$C$4:$C$66""),INDIRECT(""'""&amp;CT$1&amp;""'!$D$4:$D$66"")=CT$2),$F$3:$BP$3,$F90:$BP90)))"),0.09684309454545453)</f>
        <v>0.09684309455</v>
      </c>
      <c r="CU90" s="207" t="str">
        <f>IFERROR(__xludf.DUMMYFUNCTION("IF(OR(CT90&gt;$BR90+$BS90*$BS$2,CT90&lt;$BR90-$BS90*$BS$2),AVEDEV(ARRAYFORMULA(XLOOKUP(FILTER(INDIRECT(""'""&amp;CT$1&amp;""'!$C$4:$C$66""),INDIRECT(""'""&amp;CT$1&amp;""'!$D$4:$D$66"")=CT$2),$F$3:$BP$3,$F90:$BP90))),"""")"),"")</f>
        <v/>
      </c>
      <c r="CV90" s="251">
        <f>IFERROR(__xludf.DUMMYFUNCTION("AVERAGE(ARRAYFORMULA(XLOOKUP(FILTER(INDIRECT(""'""&amp;CV$1&amp;""'!$C$4:$C$66""),INDIRECT(""'""&amp;CV$1&amp;""'!$D$4:$D$66"")=CV$2),$F$3:$BP$3,$F90:$BP90)))"),-0.8542504)</f>
        <v>-0.8542504</v>
      </c>
      <c r="CW90" s="207">
        <f>IFERROR(__xludf.DUMMYFUNCTION("IF(OR(CV90&gt;$BR90+$BS90*$BS$2,CV90&lt;$BR90-$BS90*$BS$2),AVEDEV(ARRAYFORMULA(XLOOKUP(FILTER(INDIRECT(""'""&amp;CV$1&amp;""'!$C$4:$C$66""),INDIRECT(""'""&amp;CV$1&amp;""'!$D$4:$D$66"")=CV$2),$F$3:$BP$3,$F90:$BP90))),"""")"),4.886000000000057E-4)</f>
        <v>0.0004886</v>
      </c>
      <c r="CX90" s="251">
        <f>IFERROR(__xludf.DUMMYFUNCTION("AVERAGE(ARRAYFORMULA(XLOOKUP(FILTER(INDIRECT(""'""&amp;CX$1&amp;""'!$C$4:$C$66""),INDIRECT(""'""&amp;CX$1&amp;""'!$D$4:$D$66"")=CX$2),$F$3:$BP$3,$F90:$BP90)))"),-0.3889956407142857)</f>
        <v>-0.3889956407</v>
      </c>
      <c r="CY90" s="207" t="str">
        <f>IFERROR(__xludf.DUMMYFUNCTION("IF(OR(CX90&gt;$BR90+$BS90*$BS$2,CX90&lt;$BR90-$BS90*$BS$2),AVEDEV(ARRAYFORMULA(XLOOKUP(FILTER(INDIRECT(""'""&amp;CX$1&amp;""'!$C$4:$C$66""),INDIRECT(""'""&amp;CX$1&amp;""'!$D$4:$D$66"")=CX$2),$F$3:$BP$3,$F90:$BP90))),"""")"),"")</f>
        <v/>
      </c>
      <c r="CZ90" s="252"/>
      <c r="DA90" s="251">
        <f>IFERROR(__xludf.DUMMYFUNCTION("AVERAGE(ARRAYFORMULA(XLOOKUP(FILTER(INDIRECT(""'""&amp;DA$1&amp;""'!$C$4:$C$66""),INDIRECT(""'""&amp;DA$1&amp;""'!$D$4:$D$66"")=DA$2),$F$3:$BP$3,$F90:$BP90)))"),0.10222699299999996)</f>
        <v>0.102226993</v>
      </c>
      <c r="DB90" s="207" t="str">
        <f>IFERROR(__xludf.DUMMYFUNCTION("IF(OR(DA90&gt;$BR90+$BS90*$BS$2,DA90&lt;$BR90-$BS90*$BS$2),AVEDEV(ARRAYFORMULA(XLOOKUP(FILTER(INDIRECT(""'""&amp;DA$1&amp;""'!$C$4:$C$66""),INDIRECT(""'""&amp;DA$1&amp;""'!$D$4:$D$66"")=DA$2),$F$3:$BP$3,$F90:$BP90))),"""")"),"")</f>
        <v/>
      </c>
      <c r="DC90" s="251">
        <f>IFERROR(__xludf.DUMMYFUNCTION("AVERAGE(ARRAYFORMULA(XLOOKUP(FILTER(INDIRECT(""'""&amp;DC$1&amp;""'!$C$4:$C$66""),INDIRECT(""'""&amp;DC$1&amp;""'!$D$4:$D$66"")=DC$2),$F$3:$BP$3,$F90:$BP90)))"),0.25400940222222224)</f>
        <v>0.2540094022</v>
      </c>
      <c r="DD90" s="207" t="str">
        <f>IFERROR(__xludf.DUMMYFUNCTION("IF(OR(DC90&gt;$BR90+$BS90*$BS$2,DC90&lt;$BR90-$BS90*$BS$2),AVEDEV(ARRAYFORMULA(XLOOKUP(FILTER(INDIRECT(""'""&amp;DC$1&amp;""'!$C$4:$C$66""),INDIRECT(""'""&amp;DC$1&amp;""'!$D$4:$D$66"")=DC$2),$F$3:$BP$3,$F90:$BP90))),"""")"),"")</f>
        <v/>
      </c>
      <c r="DE90" s="251">
        <f>IFERROR(__xludf.DUMMYFUNCTION("AVERAGE(ARRAYFORMULA(XLOOKUP(FILTER(INDIRECT(""'""&amp;DE$1&amp;""'!$C$4:$C$66""),INDIRECT(""'""&amp;DE$1&amp;""'!$D$4:$D$66"")=DE$2),$F$3:$BP$3,$F90:$BP90)))"),0.39615846125)</f>
        <v>0.3961584613</v>
      </c>
      <c r="DF90" s="207" t="str">
        <f>IFERROR(__xludf.DUMMYFUNCTION("IF(OR(DE90&gt;$BR90+$BS90*$BS$2,DE90&lt;$BR90-$BS90*$BS$2),AVEDEV(ARRAYFORMULA(XLOOKUP(FILTER(INDIRECT(""'""&amp;DE$1&amp;""'!$C$4:$C$66""),INDIRECT(""'""&amp;DE$1&amp;""'!$D$4:$D$66"")=DE$2),$F$3:$BP$3,$F90:$BP90))),"""")"),"")</f>
        <v/>
      </c>
      <c r="DG90" s="251">
        <f>IFERROR(__xludf.DUMMYFUNCTION("AVERAGE(ARRAYFORMULA(XLOOKUP(FILTER(INDIRECT(""'""&amp;DG$1&amp;""'!$C$4:$C$66""),INDIRECT(""'""&amp;DG$1&amp;""'!$D$4:$D$66"")=DG$2),$F$3:$BP$3,$F90:$BP90)))"),-0.33455429888888893)</f>
        <v>-0.3345542989</v>
      </c>
      <c r="DH90" s="207" t="str">
        <f>IFERROR(__xludf.DUMMYFUNCTION("IF(OR(DG90&gt;$BR90+$BS90*$BS$2,DG90&lt;$BR90-$BS90*$BS$2),AVEDEV(ARRAYFORMULA(XLOOKUP(FILTER(INDIRECT(""'""&amp;DG$1&amp;""'!$C$4:$C$66""),INDIRECT(""'""&amp;DG$1&amp;""'!$D$4:$D$66"")=DG$2),$F$3:$BP$3,$F90:$BP90))),"""")"),"")</f>
        <v/>
      </c>
      <c r="DI90" s="252"/>
    </row>
    <row r="91">
      <c r="A91" s="2"/>
      <c r="B91" s="204" t="s">
        <v>507</v>
      </c>
      <c r="C91" s="204" t="s">
        <v>533</v>
      </c>
      <c r="D91" s="205" t="b">
        <f>VLOOKUP(C91,'Feature Set List'!A88:C246,2,0)</f>
        <v>1</v>
      </c>
      <c r="E91" s="205" t="b">
        <f>VLOOKUP(C91,'Feature Set List'!A88:C246,3,0)</f>
        <v>1</v>
      </c>
      <c r="F91" s="205">
        <v>0.39809897</v>
      </c>
      <c r="G91" s="205">
        <v>0.74308079</v>
      </c>
      <c r="H91" s="205">
        <v>-1.8067654</v>
      </c>
      <c r="I91" s="205">
        <v>-0.0989656</v>
      </c>
      <c r="J91" s="205">
        <v>0.56415991</v>
      </c>
      <c r="K91" s="205">
        <v>0.3908303</v>
      </c>
      <c r="L91" s="205">
        <v>1.42242102</v>
      </c>
      <c r="M91" s="205">
        <v>-0.6502656</v>
      </c>
      <c r="N91" s="205">
        <v>-0.1470506</v>
      </c>
      <c r="O91" s="205">
        <v>0.0464076</v>
      </c>
      <c r="P91" s="205">
        <v>0.6223092</v>
      </c>
      <c r="Q91" s="205">
        <v>0.14872798</v>
      </c>
      <c r="R91" s="205">
        <v>-0.1867487</v>
      </c>
      <c r="S91" s="205">
        <v>-0.8498742</v>
      </c>
      <c r="T91" s="205">
        <v>-1.4839251</v>
      </c>
      <c r="U91" s="205">
        <v>0.37573386</v>
      </c>
      <c r="V91" s="205">
        <v>0.63349175</v>
      </c>
      <c r="W91" s="205">
        <v>-1.3050042</v>
      </c>
      <c r="X91" s="205">
        <v>1.58344982</v>
      </c>
      <c r="Y91" s="205">
        <v>1.25132793</v>
      </c>
      <c r="Z91" s="205">
        <v>-0.7072966</v>
      </c>
      <c r="AA91" s="205">
        <v>1.45876433</v>
      </c>
      <c r="AB91" s="205">
        <v>-0.1822756</v>
      </c>
      <c r="AC91" s="205">
        <v>1.44031311</v>
      </c>
      <c r="AD91" s="205">
        <v>0.15376013</v>
      </c>
      <c r="AE91" s="205">
        <v>-0.0995247</v>
      </c>
      <c r="AF91" s="205">
        <v>-0.5048924</v>
      </c>
      <c r="AG91" s="205">
        <v>-0.0687727</v>
      </c>
      <c r="AH91" s="205">
        <v>-0.2398658</v>
      </c>
      <c r="AI91" s="205">
        <v>2.94157115</v>
      </c>
      <c r="AJ91" s="205">
        <v>0.0</v>
      </c>
      <c r="AK91" s="205">
        <v>0.67542633</v>
      </c>
      <c r="AL91" s="205">
        <v>-0.1168577</v>
      </c>
      <c r="AM91" s="205">
        <v>1.2446184</v>
      </c>
      <c r="AN91" s="205">
        <v>-0.0357842</v>
      </c>
      <c r="AO91" s="205">
        <v>0.2135868</v>
      </c>
      <c r="AP91" s="205">
        <v>-0.2750909</v>
      </c>
      <c r="AQ91" s="205">
        <v>0.55241823</v>
      </c>
      <c r="AR91" s="205">
        <v>-0.2728543</v>
      </c>
      <c r="AS91" s="205">
        <v>-0.310875</v>
      </c>
      <c r="AT91" s="205">
        <v>0.88230361</v>
      </c>
      <c r="AU91" s="205">
        <v>-0.1571149</v>
      </c>
      <c r="AV91" s="205">
        <v>-0.4215823</v>
      </c>
      <c r="AW91" s="205">
        <v>1.60413755</v>
      </c>
      <c r="AX91" s="205">
        <v>0.81856304</v>
      </c>
      <c r="AY91" s="205">
        <v>-0.1962538</v>
      </c>
      <c r="AZ91" s="205">
        <v>-0.6178362</v>
      </c>
      <c r="BA91" s="205">
        <v>-1.8718479</v>
      </c>
      <c r="BB91" s="205">
        <v>-0.8090579</v>
      </c>
      <c r="BC91" s="205">
        <v>0.83925077</v>
      </c>
      <c r="BD91" s="205">
        <v>1.02432206</v>
      </c>
      <c r="BE91" s="205">
        <v>-0.4758177</v>
      </c>
      <c r="BF91" s="205">
        <v>-0.7067375</v>
      </c>
      <c r="BG91" s="205">
        <v>1.34470226</v>
      </c>
      <c r="BH91" s="205">
        <v>0.74755382</v>
      </c>
      <c r="BI91" s="205">
        <v>-0.7363713</v>
      </c>
      <c r="BJ91" s="205">
        <v>-0.1336315</v>
      </c>
      <c r="BK91" s="205">
        <v>0.24881185</v>
      </c>
      <c r="BL91" s="205">
        <v>-1.7815488</v>
      </c>
      <c r="BM91" s="205">
        <v>0.26502656</v>
      </c>
      <c r="BN91" s="205">
        <v>-0.227565</v>
      </c>
      <c r="BO91" s="205">
        <v>0.73860777</v>
      </c>
      <c r="BP91" s="205">
        <v>0.65194297</v>
      </c>
      <c r="BQ91" s="206"/>
      <c r="BR91" s="250">
        <f t="shared" si="1"/>
        <v>0.1356772344</v>
      </c>
      <c r="BS91" s="250">
        <f t="shared" si="2"/>
        <v>0.6955236583</v>
      </c>
      <c r="BT91" s="206"/>
      <c r="BU91" s="207">
        <f>IFERROR(__xludf.DUMMYFUNCTION("AVERAGE(ARRAYFORMULA(XLOOKUP(FILTER(INDIRECT(""'""&amp;BU$1&amp;""'!$C$4:$C$66""),INDIRECT(""'""&amp;BU$1&amp;""'!$D$4:$D$66"")=BU$2),$F$3:$BP$3,$F91:$BP91)))"),-0.37212349285714286)</f>
        <v>-0.3721234929</v>
      </c>
      <c r="BV91" s="207" t="str">
        <f>IFERROR(__xludf.DUMMYFUNCTION("IF(OR(BU91&gt;$BR91+$BS91*$BS$2,BU91&lt;$BR91-$BS91*$BS$2),AVEDEV(ARRAYFORMULA(XLOOKUP(FILTER(INDIRECT(""'""&amp;BU$1&amp;""'!$C$4:$C$66""),INDIRECT(""'""&amp;BU$1&amp;""'!$D$4:$D$66"")=BU$2),$F$3:$BP$3,$F91:$BP91))),"""")"),"")</f>
        <v/>
      </c>
      <c r="BW91" s="207">
        <f>IFERROR(__xludf.DUMMYFUNCTION("AVERAGE(ARRAYFORMULA(XLOOKUP(FILTER(INDIRECT(""'""&amp;BW$1&amp;""'!$C$4:$C$66""),INDIRECT(""'""&amp;BW$1&amp;""'!$D$4:$D$66"")=BW$2),$F$3:$BP$3,$F91:$BP91)))"),0.2454304638095238)</f>
        <v>0.2454304638</v>
      </c>
      <c r="BX91" s="207" t="str">
        <f>IFERROR(__xludf.DUMMYFUNCTION("IF(OR(BW91&gt;$BR91+$BS91*$BS$2,BW91&lt;$BR91-$BS91*$BS$2),AVEDEV(ARRAYFORMULA(XLOOKUP(FILTER(INDIRECT(""'""&amp;BW$1&amp;""'!$C$4:$C$66""),INDIRECT(""'""&amp;BW$1&amp;""'!$D$4:$D$66"")=BW$2),$F$3:$BP$3,$F91:$BP91))),"""")"),"")</f>
        <v/>
      </c>
      <c r="BY91" s="207">
        <f>IFERROR(__xludf.DUMMYFUNCTION("AVERAGE(ARRAYFORMULA(XLOOKUP(FILTER(INDIRECT(""'""&amp;BY$1&amp;""'!$C$4:$C$66""),INDIRECT(""'""&amp;BY$1&amp;""'!$D$4:$D$66"")=BY$2),$F$3:$BP$3,$F91:$BP91)))"),0.08451470545454548)</f>
        <v>0.08451470545</v>
      </c>
      <c r="BZ91" s="207" t="str">
        <f>IFERROR(__xludf.DUMMYFUNCTION("IF(OR(BY91&gt;$BR91+$BS91*$BS$2,BY91&lt;$BR91-$BS91*$BS$2),AVEDEV(ARRAYFORMULA(XLOOKUP(FILTER(INDIRECT(""'""&amp;BY$1&amp;""'!$C$4:$C$66""),INDIRECT(""'""&amp;BY$1&amp;""'!$D$4:$D$66"")=BY$2),$F$3:$BP$3,$F91:$BP91))),"""")"),"")</f>
        <v/>
      </c>
      <c r="CA91" s="209"/>
      <c r="CB91" s="207">
        <f>IFERROR(__xludf.DUMMYFUNCTION("AVERAGE(ARRAYFORMULA(XLOOKUP(FILTER(INDIRECT(""'""&amp;CB$1&amp;""'!$C$4:$C$66""),INDIRECT(""'""&amp;CB$1&amp;""'!$D$4:$D$66"")=CB$2),$F$3:$BP$3,$F91:$BP91)))"),-0.267675425625)</f>
        <v>-0.2676754256</v>
      </c>
      <c r="CC91" s="207" t="str">
        <f>IFERROR(__xludf.DUMMYFUNCTION("IF(OR(CB91&gt;$BR91+$BS91*$BS$2,CB91&lt;$BR91-$BS91*$BS$2),AVEDEV(ARRAYFORMULA(XLOOKUP(FILTER(INDIRECT(""'""&amp;CB$1&amp;""'!$C$4:$C$66""),INDIRECT(""'""&amp;CB$1&amp;""'!$D$4:$D$66"")=CB$2),$F$3:$BP$3,$F91:$BP91))),"""")"),"")</f>
        <v/>
      </c>
      <c r="CD91" s="207">
        <f>IFERROR(__xludf.DUMMYFUNCTION("AVERAGE(ARRAYFORMULA(XLOOKUP(FILTER(INDIRECT(""'""&amp;CD$1&amp;""'!$C$4:$C$66""),INDIRECT(""'""&amp;CD$1&amp;""'!$D$4:$D$66"")=CD$2),$F$3:$BP$3,$F91:$BP91)))"),0.5117101225806452)</f>
        <v>0.5117101226</v>
      </c>
      <c r="CE91" s="207" t="str">
        <f>IFERROR(__xludf.DUMMYFUNCTION("IF(OR(CD91&gt;$BR91+$BS91*$BS$2,CD91&lt;$BR91-$BS91*$BS$2),AVEDEV(ARRAYFORMULA(XLOOKUP(FILTER(INDIRECT(""'""&amp;CD$1&amp;""'!$C$4:$C$66""),INDIRECT(""'""&amp;CD$1&amp;""'!$D$4:$D$66"")=CD$2),$F$3:$BP$3,$F91:$BP91))),"""")"),"")</f>
        <v/>
      </c>
      <c r="CF91" s="207">
        <f>IFERROR(__xludf.DUMMYFUNCTION("AVERAGE(ARRAYFORMULA(XLOOKUP(FILTER(INDIRECT(""'""&amp;CF$1&amp;""'!$C$4:$C$66""),INDIRECT(""'""&amp;CF$1&amp;""'!$D$4:$D$66"")=CF$2),$F$3:$BP$3,$F91:$BP91)))"),-0.48017892)</f>
        <v>-0.48017892</v>
      </c>
      <c r="CG91" s="207" t="str">
        <f>IFERROR(__xludf.DUMMYFUNCTION("IF(OR(CF91&gt;$BR91+$BS91*$BS$2,CF91&lt;$BR91-$BS91*$BS$2),AVEDEV(ARRAYFORMULA(XLOOKUP(FILTER(INDIRECT(""'""&amp;CF$1&amp;""'!$C$4:$C$66""),INDIRECT(""'""&amp;CF$1&amp;""'!$D$4:$D$66"")=CF$2),$F$3:$BP$3,$F91:$BP91))),"""")"),"")</f>
        <v/>
      </c>
      <c r="CH91" s="206"/>
      <c r="CI91" s="251">
        <f>IFERROR(__xludf.DUMMYFUNCTION("AVERAGE(ARRAYFORMULA(XLOOKUP(FILTER(INDIRECT(""'""&amp;CI$1&amp;""'!$C$4:$C$66""),INDIRECT(""'""&amp;CI$1&amp;""'!$D$4:$D$66"")=CI$2),$F$3:$BP$3,$F91:$BP91)))"),-0.26473207933333326)</f>
        <v>-0.2647320793</v>
      </c>
      <c r="CJ91" s="207" t="str">
        <f>IFERROR(__xludf.DUMMYFUNCTION("IF(OR(CI91&gt;$BR91+$BS91*$BS$2,CI91&lt;$BR91-$BS91*$BS$2),AVEDEV(ARRAYFORMULA(XLOOKUP(FILTER(INDIRECT(""'""&amp;CI$1&amp;""'!$C$4:$C$66""),INDIRECT(""'""&amp;CI$1&amp;""'!$D$4:$D$66"")=CI$2),$F$3:$BP$3,$F91:$BP91))),"""")"),"")</f>
        <v/>
      </c>
      <c r="CK91" s="251">
        <f>IFERROR(__xludf.DUMMYFUNCTION("AVERAGE(ARRAYFORMULA(XLOOKUP(FILTER(INDIRECT(""'""&amp;CK$1&amp;""'!$C$4:$C$66""),INDIRECT(""'""&amp;CK$1&amp;""'!$D$4:$D$66"")=CK$2),$F$3:$BP$3,$F91:$BP91)))"),0.3783574546153846)</f>
        <v>0.3783574546</v>
      </c>
      <c r="CL91" s="207" t="str">
        <f>IFERROR(__xludf.DUMMYFUNCTION("IF(OR(CK91&gt;$BR91+$BS91*$BS$2,CK91&lt;$BR91-$BS91*$BS$2),AVEDEV(ARRAYFORMULA(XLOOKUP(FILTER(INDIRECT(""'""&amp;CK$1&amp;""'!$C$4:$C$66""),INDIRECT(""'""&amp;CK$1&amp;""'!$D$4:$D$66"")=CK$2),$F$3:$BP$3,$F91:$BP91))),"""")"),"")</f>
        <v/>
      </c>
      <c r="CM91" s="251">
        <f>IFERROR(__xludf.DUMMYFUNCTION("AVERAGE(ARRAYFORMULA(XLOOKUP(FILTER(INDIRECT(""'""&amp;CM$1&amp;""'!$C$4:$C$66""),INDIRECT(""'""&amp;CM$1&amp;""'!$D$4:$D$66"")=CM$2),$F$3:$BP$3,$F91:$BP91)))"),-0.48017892)</f>
        <v>-0.48017892</v>
      </c>
      <c r="CN91" s="207" t="str">
        <f>IFERROR(__xludf.DUMMYFUNCTION("IF(OR(CM91&gt;$BR91+$BS91*$BS$2,CM91&lt;$BR91-$BS91*$BS$2),AVEDEV(ARRAYFORMULA(XLOOKUP(FILTER(INDIRECT(""'""&amp;CM$1&amp;""'!$C$4:$C$66""),INDIRECT(""'""&amp;CM$1&amp;""'!$D$4:$D$66"")=CM$2),$F$3:$BP$3,$F91:$BP91))),"""")"),"")</f>
        <v/>
      </c>
      <c r="CO91" s="252"/>
      <c r="CP91" s="251">
        <f>IFERROR(__xludf.DUMMYFUNCTION("AVERAGE(ARRAYFORMULA(XLOOKUP(FILTER(INDIRECT(""'""&amp;CP$1&amp;""'!$C$4:$C$66""),INDIRECT(""'""&amp;CP$1&amp;""'!$D$4:$D$66"")=CP$2),$F$3:$BP$3,$F91:$BP91)))"),-0.0456088492857143)</f>
        <v>-0.04560884929</v>
      </c>
      <c r="CQ91" s="207" t="str">
        <f>IFERROR(__xludf.DUMMYFUNCTION("IF(OR(CP91&gt;$BR91+$BS91*$BS$2,CP91&lt;$BR91-$BS91*$BS$2),AVEDEV(ARRAYFORMULA(XLOOKUP(FILTER(INDIRECT(""'""&amp;CP$1&amp;""'!$C$4:$C$66""),INDIRECT(""'""&amp;CP$1&amp;""'!$D$4:$D$66"")=CP$2),$F$3:$BP$3,$F91:$BP91))),"""")"),"")</f>
        <v/>
      </c>
      <c r="CR91" s="251">
        <f>IFERROR(__xludf.DUMMYFUNCTION("AVERAGE(ARRAYFORMULA(XLOOKUP(FILTER(INDIRECT(""'""&amp;CR$1&amp;""'!$C$4:$C$66""),INDIRECT(""'""&amp;CR$1&amp;""'!$D$4:$D$66"")=CR$2),$F$3:$BP$3,$F91:$BP91)))"),0.3230515955555556)</f>
        <v>0.3230515956</v>
      </c>
      <c r="CS91" s="207" t="str">
        <f>IFERROR(__xludf.DUMMYFUNCTION("IF(OR(CR91&gt;$BR91+$BS91*$BS$2,CR91&lt;$BR91-$BS91*$BS$2),AVEDEV(ARRAYFORMULA(XLOOKUP(FILTER(INDIRECT(""'""&amp;CR$1&amp;""'!$C$4:$C$66""),INDIRECT(""'""&amp;CR$1&amp;""'!$D$4:$D$66"")=CR$2),$F$3:$BP$3,$F91:$BP91))),"""")"),"")</f>
        <v/>
      </c>
      <c r="CT91" s="251">
        <f>IFERROR(__xludf.DUMMYFUNCTION("AVERAGE(ARRAYFORMULA(XLOOKUP(FILTER(INDIRECT(""'""&amp;CT$1&amp;""'!$C$4:$C$66""),INDIRECT(""'""&amp;CT$1&amp;""'!$D$4:$D$66"")=CT$2),$F$3:$BP$3,$F91:$BP91)))"),-0.1274302881818182)</f>
        <v>-0.1274302882</v>
      </c>
      <c r="CU91" s="207" t="str">
        <f>IFERROR(__xludf.DUMMYFUNCTION("IF(OR(CT91&gt;$BR91+$BS91*$BS$2,CT91&lt;$BR91-$BS91*$BS$2),AVEDEV(ARRAYFORMULA(XLOOKUP(FILTER(INDIRECT(""'""&amp;CT$1&amp;""'!$C$4:$C$66""),INDIRECT(""'""&amp;CT$1&amp;""'!$D$4:$D$66"")=CT$2),$F$3:$BP$3,$F91:$BP91))),"""")"),"")</f>
        <v/>
      </c>
      <c r="CV91" s="251">
        <f>IFERROR(__xludf.DUMMYFUNCTION("AVERAGE(ARRAYFORMULA(XLOOKUP(FILTER(INDIRECT(""'""&amp;CV$1&amp;""'!$C$4:$C$66""),INDIRECT(""'""&amp;CV$1&amp;""'!$D$4:$D$66"")=CV$2),$F$3:$BP$3,$F91:$BP91)))"),1.392507685)</f>
        <v>1.392507685</v>
      </c>
      <c r="CW91" s="207">
        <f>IFERROR(__xludf.DUMMYFUNCTION("IF(OR(CV91&gt;$BR91+$BS91*$BS$2,CV91&lt;$BR91-$BS91*$BS$2),AVEDEV(ARRAYFORMULA(XLOOKUP(FILTER(INDIRECT(""'""&amp;CV$1&amp;""'!$C$4:$C$66""),INDIRECT(""'""&amp;CV$1&amp;""'!$D$4:$D$66"")=CV$2),$F$3:$BP$3,$F91:$BP91))),"""")"),0.04780542499999996)</f>
        <v>0.047805425</v>
      </c>
      <c r="CX91" s="251">
        <f>IFERROR(__xludf.DUMMYFUNCTION("AVERAGE(ARRAYFORMULA(XLOOKUP(FILTER(INDIRECT(""'""&amp;CX$1&amp;""'!$C$4:$C$66""),INDIRECT(""'""&amp;CX$1&amp;""'!$D$4:$D$66"")=CX$2),$F$3:$BP$3,$F91:$BP91)))"),0.6482686971428572)</f>
        <v>0.6482686971</v>
      </c>
      <c r="CY91" s="207" t="str">
        <f>IFERROR(__xludf.DUMMYFUNCTION("IF(OR(CX91&gt;$BR91+$BS91*$BS$2,CX91&lt;$BR91-$BS91*$BS$2),AVEDEV(ARRAYFORMULA(XLOOKUP(FILTER(INDIRECT(""'""&amp;CX$1&amp;""'!$C$4:$C$66""),INDIRECT(""'""&amp;CX$1&amp;""'!$D$4:$D$66"")=CX$2),$F$3:$BP$3,$F91:$BP91))),"""")"),"")</f>
        <v/>
      </c>
      <c r="CZ91" s="252"/>
      <c r="DA91" s="251">
        <f>IFERROR(__xludf.DUMMYFUNCTION("AVERAGE(ARRAYFORMULA(XLOOKUP(FILTER(INDIRECT(""'""&amp;DA$1&amp;""'!$C$4:$C$66""),INDIRECT(""'""&amp;DA$1&amp;""'!$D$4:$D$66"")=DA$2),$F$3:$BP$3,$F91:$BP91)))"),0.166828815)</f>
        <v>0.166828815</v>
      </c>
      <c r="DB91" s="207" t="str">
        <f>IFERROR(__xludf.DUMMYFUNCTION("IF(OR(DA91&gt;$BR91+$BS91*$BS$2,DA91&lt;$BR91-$BS91*$BS$2),AVEDEV(ARRAYFORMULA(XLOOKUP(FILTER(INDIRECT(""'""&amp;DA$1&amp;""'!$C$4:$C$66""),INDIRECT(""'""&amp;DA$1&amp;""'!$D$4:$D$66"")=DA$2),$F$3:$BP$3,$F91:$BP91))),"""")"),"")</f>
        <v/>
      </c>
      <c r="DC91" s="251">
        <f>IFERROR(__xludf.DUMMYFUNCTION("AVERAGE(ARRAYFORMULA(XLOOKUP(FILTER(INDIRECT(""'""&amp;DC$1&amp;""'!$C$4:$C$66""),INDIRECT(""'""&amp;DC$1&amp;""'!$D$4:$D$66"")=DC$2),$F$3:$BP$3,$F91:$BP91)))"),-0.0572360511111111)</f>
        <v>-0.05723605111</v>
      </c>
      <c r="DD91" s="207" t="str">
        <f>IFERROR(__xludf.DUMMYFUNCTION("IF(OR(DC91&gt;$BR91+$BS91*$BS$2,DC91&lt;$BR91-$BS91*$BS$2),AVEDEV(ARRAYFORMULA(XLOOKUP(FILTER(INDIRECT(""'""&amp;DC$1&amp;""'!$C$4:$C$66""),INDIRECT(""'""&amp;DC$1&amp;""'!$D$4:$D$66"")=DC$2),$F$3:$BP$3,$F91:$BP91))),"""")"),"")</f>
        <v/>
      </c>
      <c r="DE91" s="251">
        <f>IFERROR(__xludf.DUMMYFUNCTION("AVERAGE(ARRAYFORMULA(XLOOKUP(FILTER(INDIRECT(""'""&amp;DE$1&amp;""'!$C$4:$C$66""),INDIRECT(""'""&amp;DE$1&amp;""'!$D$4:$D$66"")=DE$2),$F$3:$BP$3,$F91:$BP91)))"),0.14844842124999996)</f>
        <v>0.1484484213</v>
      </c>
      <c r="DF91" s="207" t="str">
        <f>IFERROR(__xludf.DUMMYFUNCTION("IF(OR(DE91&gt;$BR91+$BS91*$BS$2,DE91&lt;$BR91-$BS91*$BS$2),AVEDEV(ARRAYFORMULA(XLOOKUP(FILTER(INDIRECT(""'""&amp;DE$1&amp;""'!$C$4:$C$66""),INDIRECT(""'""&amp;DE$1&amp;""'!$D$4:$D$66"")=DE$2),$F$3:$BP$3,$F91:$BP91))),"""")"),"")</f>
        <v/>
      </c>
      <c r="DG91" s="251">
        <f>IFERROR(__xludf.DUMMYFUNCTION("AVERAGE(ARRAYFORMULA(XLOOKUP(FILTER(INDIRECT(""'""&amp;DG$1&amp;""'!$C$4:$C$66""),INDIRECT(""'""&amp;DG$1&amp;""'!$D$4:$D$66"")=DG$2),$F$3:$BP$3,$F91:$BP91)))"),0.3883453055555555)</f>
        <v>0.3883453056</v>
      </c>
      <c r="DH91" s="207" t="str">
        <f>IFERROR(__xludf.DUMMYFUNCTION("IF(OR(DG91&gt;$BR91+$BS91*$BS$2,DG91&lt;$BR91-$BS91*$BS$2),AVEDEV(ARRAYFORMULA(XLOOKUP(FILTER(INDIRECT(""'""&amp;DG$1&amp;""'!$C$4:$C$66""),INDIRECT(""'""&amp;DG$1&amp;""'!$D$4:$D$66"")=DG$2),$F$3:$BP$3,$F91:$BP91))),"""")"),"")</f>
        <v/>
      </c>
      <c r="DI91" s="252"/>
    </row>
    <row r="92">
      <c r="A92" s="2"/>
      <c r="B92" s="204" t="s">
        <v>507</v>
      </c>
      <c r="C92" s="204" t="s">
        <v>534</v>
      </c>
      <c r="D92" s="205" t="b">
        <f>VLOOKUP(C92,'Feature Set List'!A89:C246,2,0)</f>
        <v>1</v>
      </c>
      <c r="E92" s="205" t="b">
        <f>VLOOKUP(C92,'Feature Set List'!A89:C246,3,0)</f>
        <v>1</v>
      </c>
      <c r="F92" s="205">
        <v>0.47191798</v>
      </c>
      <c r="G92" s="205">
        <v>-0.232127</v>
      </c>
      <c r="H92" s="205">
        <v>-0.2857913</v>
      </c>
      <c r="I92" s="205">
        <v>1.66725033</v>
      </c>
      <c r="J92" s="205">
        <v>4.98081978</v>
      </c>
      <c r="K92" s="205">
        <v>1.5110714</v>
      </c>
      <c r="L92" s="205">
        <v>1.17166399</v>
      </c>
      <c r="M92" s="205">
        <v>-0.2857913</v>
      </c>
      <c r="N92" s="205">
        <v>0.76769189</v>
      </c>
      <c r="O92" s="205">
        <v>9.6606E-4</v>
      </c>
      <c r="P92" s="205">
        <v>2.24688347</v>
      </c>
      <c r="Q92" s="205">
        <v>0.28273217</v>
      </c>
      <c r="R92" s="205">
        <v>-0.2857913</v>
      </c>
      <c r="S92" s="205">
        <v>1.77673658</v>
      </c>
      <c r="T92" s="205">
        <v>-0.2857913</v>
      </c>
      <c r="U92" s="205">
        <v>-0.2857913</v>
      </c>
      <c r="V92" s="205">
        <v>0.29641795</v>
      </c>
      <c r="W92" s="205">
        <v>-0.2857913</v>
      </c>
      <c r="X92" s="205">
        <v>-0.1059441</v>
      </c>
      <c r="Y92" s="205">
        <v>-0.0573193</v>
      </c>
      <c r="Z92" s="205">
        <v>-0.2857913</v>
      </c>
      <c r="AA92" s="205">
        <v>-0.2857913</v>
      </c>
      <c r="AB92" s="205">
        <v>-0.1571933</v>
      </c>
      <c r="AC92" s="205">
        <v>-0.2857913</v>
      </c>
      <c r="AD92" s="205">
        <v>2.41916332</v>
      </c>
      <c r="AE92" s="205">
        <v>-0.2058181</v>
      </c>
      <c r="AF92" s="205">
        <v>4.79243901</v>
      </c>
      <c r="AG92" s="205">
        <v>0.0</v>
      </c>
      <c r="AH92" s="205">
        <v>0.41508173</v>
      </c>
      <c r="AI92" s="205">
        <v>-0.1202739</v>
      </c>
      <c r="AJ92" s="205">
        <v>0.4967134</v>
      </c>
      <c r="AK92" s="205">
        <v>1.47403928</v>
      </c>
      <c r="AL92" s="205">
        <v>-0.227667</v>
      </c>
      <c r="AM92" s="205">
        <v>-0.2264594</v>
      </c>
      <c r="AN92" s="205">
        <v>13.5014269</v>
      </c>
      <c r="AO92" s="205">
        <v>0.26196198</v>
      </c>
      <c r="AP92" s="205">
        <v>-0.131947</v>
      </c>
      <c r="AQ92" s="205">
        <v>-0.2857913</v>
      </c>
      <c r="AR92" s="205">
        <v>2.17442932</v>
      </c>
      <c r="AS92" s="205">
        <v>0.27146152</v>
      </c>
      <c r="AT92" s="205">
        <v>0.29400281</v>
      </c>
      <c r="AU92" s="205">
        <v>0.1819404</v>
      </c>
      <c r="AV92" s="205">
        <v>0.66512903</v>
      </c>
      <c r="AW92" s="205">
        <v>-0.2857913</v>
      </c>
      <c r="AX92" s="205">
        <v>-0.2857913</v>
      </c>
      <c r="AY92" s="205">
        <v>0.76720887</v>
      </c>
      <c r="AZ92" s="205">
        <v>0.47546018</v>
      </c>
      <c r="BA92" s="205">
        <v>0.26904638</v>
      </c>
      <c r="BB92" s="205">
        <v>1.27406584</v>
      </c>
      <c r="BC92" s="205">
        <v>3.07447078</v>
      </c>
      <c r="BD92" s="205">
        <v>-0.2857913</v>
      </c>
      <c r="BE92" s="205">
        <v>-0.0740642</v>
      </c>
      <c r="BF92" s="205">
        <v>1.20450987</v>
      </c>
      <c r="BG92" s="205">
        <v>-0.2857913</v>
      </c>
      <c r="BH92" s="205">
        <v>-0.1513326</v>
      </c>
      <c r="BI92" s="205">
        <v>-0.2837948</v>
      </c>
      <c r="BJ92" s="205">
        <v>0.34729686</v>
      </c>
      <c r="BK92" s="205">
        <v>-0.2215487</v>
      </c>
      <c r="BL92" s="205">
        <v>-0.2857913</v>
      </c>
      <c r="BM92" s="205">
        <v>-0.2667601</v>
      </c>
      <c r="BN92" s="205">
        <v>-0.2838673</v>
      </c>
      <c r="BO92" s="205">
        <v>0.10256286</v>
      </c>
      <c r="BP92" s="205">
        <v>-0.2749474</v>
      </c>
      <c r="BQ92" s="206"/>
      <c r="BR92" s="250">
        <f t="shared" si="1"/>
        <v>0.6718829879</v>
      </c>
      <c r="BS92" s="250">
        <f t="shared" si="2"/>
        <v>1.081071201</v>
      </c>
      <c r="BT92" s="206"/>
      <c r="BU92" s="207">
        <f>IFERROR(__xludf.DUMMYFUNCTION("AVERAGE(ARRAYFORMULA(XLOOKUP(FILTER(INDIRECT(""'""&amp;BU$1&amp;""'!$C$4:$C$66""),INDIRECT(""'""&amp;BU$1&amp;""'!$D$4:$D$66"")=BU$2),$F$3:$BP$3,$F92:$BP92)))"),1.7722513400000004)</f>
        <v>1.77225134</v>
      </c>
      <c r="BV92" s="207">
        <f>IFERROR(__xludf.DUMMYFUNCTION("IF(OR(BU92&gt;$BR92+$BS92*$BS$2,BU92&lt;$BR92-$BS92*$BS$2),AVEDEV(ARRAYFORMULA(XLOOKUP(FILTER(INDIRECT(""'""&amp;BU$1&amp;""'!$C$4:$C$66""),INDIRECT(""'""&amp;BU$1&amp;""'!$D$4:$D$66"")=BU$2),$F$3:$BP$3,$F92:$BP92))),"""")"),3.3511930171428572)</f>
        <v>3.351193017</v>
      </c>
      <c r="BW92" s="207">
        <f>IFERROR(__xludf.DUMMYFUNCTION("AVERAGE(ARRAYFORMULA(XLOOKUP(FILTER(INDIRECT(""'""&amp;BW$1&amp;""'!$C$4:$C$66""),INDIRECT(""'""&amp;BW$1&amp;""'!$D$4:$D$66"")=BW$2),$F$3:$BP$3,$F92:$BP92)))"),0.49919754904761904)</f>
        <v>0.499197549</v>
      </c>
      <c r="BX92" s="207" t="str">
        <f>IFERROR(__xludf.DUMMYFUNCTION("IF(OR(BW92&gt;$BR92+$BS92*$BS$2,BW92&lt;$BR92-$BS92*$BS$2),AVEDEV(ARRAYFORMULA(XLOOKUP(FILTER(INDIRECT(""'""&amp;BW$1&amp;""'!$C$4:$C$66""),INDIRECT(""'""&amp;BW$1&amp;""'!$D$4:$D$66"")=BW$2),$F$3:$BP$3,$F92:$BP92))),"""")"),"")</f>
        <v/>
      </c>
      <c r="BY92" s="207">
        <f>IFERROR(__xludf.DUMMYFUNCTION("AVERAGE(ARRAYFORMULA(XLOOKUP(FILTER(INDIRECT(""'""&amp;BY$1&amp;""'!$C$4:$C$66""),INDIRECT(""'""&amp;BY$1&amp;""'!$D$4:$D$66"")=BY$2),$F$3:$BP$3,$F92:$BP92)))"),0.5339899554545454)</f>
        <v>0.5339899555</v>
      </c>
      <c r="BZ92" s="207" t="str">
        <f>IFERROR(__xludf.DUMMYFUNCTION("IF(OR(BY92&gt;$BR92+$BS92*$BS$2,BY92&lt;$BR92-$BS92*$BS$2),AVEDEV(ARRAYFORMULA(XLOOKUP(FILTER(INDIRECT(""'""&amp;BY$1&amp;""'!$C$4:$C$66""),INDIRECT(""'""&amp;BY$1&amp;""'!$D$4:$D$66"")=BY$2),$F$3:$BP$3,$F92:$BP92))),"""")"),"")</f>
        <v/>
      </c>
      <c r="CA92" s="209"/>
      <c r="CB92" s="207">
        <f>IFERROR(__xludf.DUMMYFUNCTION("AVERAGE(ARRAYFORMULA(XLOOKUP(FILTER(INDIRECT(""'""&amp;CB$1&amp;""'!$C$4:$C$66""),INDIRECT(""'""&amp;CB$1&amp;""'!$D$4:$D$66"")=CB$2),$F$3:$BP$3,$F92:$BP92)))"),0.9339721487499999)</f>
        <v>0.9339721488</v>
      </c>
      <c r="CC92" s="207" t="str">
        <f>IFERROR(__xludf.DUMMYFUNCTION("IF(OR(CB92&gt;$BR92+$BS92*$BS$2,CB92&lt;$BR92-$BS92*$BS$2),AVEDEV(ARRAYFORMULA(XLOOKUP(FILTER(INDIRECT(""'""&amp;CB$1&amp;""'!$C$4:$C$66""),INDIRECT(""'""&amp;CB$1&amp;""'!$D$4:$D$66"")=CB$2),$F$3:$BP$3,$F92:$BP92))),"""")"),"")</f>
        <v/>
      </c>
      <c r="CD92" s="207">
        <f>IFERROR(__xludf.DUMMYFUNCTION("AVERAGE(ARRAYFORMULA(XLOOKUP(FILTER(INDIRECT(""'""&amp;CD$1&amp;""'!$C$4:$C$66""),INDIRECT(""'""&amp;CD$1&amp;""'!$D$4:$D$66"")=CD$2),$F$3:$BP$3,$F92:$BP92)))"),0.20469438322580652)</f>
        <v>0.2046943832</v>
      </c>
      <c r="CE92" s="207" t="str">
        <f>IFERROR(__xludf.DUMMYFUNCTION("IF(OR(CD92&gt;$BR92+$BS92*$BS$2,CD92&lt;$BR92-$BS92*$BS$2),AVEDEV(ARRAYFORMULA(XLOOKUP(FILTER(INDIRECT(""'""&amp;CD$1&amp;""'!$C$4:$C$66""),INDIRECT(""'""&amp;CD$1&amp;""'!$D$4:$D$66"")=CD$2),$F$3:$BP$3,$F92:$BP92))),"""")"),"")</f>
        <v/>
      </c>
      <c r="CF92" s="207">
        <f>IFERROR(__xludf.DUMMYFUNCTION("AVERAGE(ARRAYFORMULA(XLOOKUP(FILTER(INDIRECT(""'""&amp;CF$1&amp;""'!$C$4:$C$66""),INDIRECT(""'""&amp;CF$1&amp;""'!$D$4:$D$66"")=CF$2),$F$3:$BP$3,$F92:$BP92)))"),1.126420402)</f>
        <v>1.126420402</v>
      </c>
      <c r="CG92" s="207" t="str">
        <f>IFERROR(__xludf.DUMMYFUNCTION("IF(OR(CF92&gt;$BR92+$BS92*$BS$2,CF92&lt;$BR92-$BS92*$BS$2),AVEDEV(ARRAYFORMULA(XLOOKUP(FILTER(INDIRECT(""'""&amp;CF$1&amp;""'!$C$4:$C$66""),INDIRECT(""'""&amp;CF$1&amp;""'!$D$4:$D$66"")=CF$2),$F$3:$BP$3,$F92:$BP92))),"""")"),"")</f>
        <v/>
      </c>
      <c r="CH92" s="206"/>
      <c r="CI92" s="251">
        <f>IFERROR(__xludf.DUMMYFUNCTION("AVERAGE(ARRAYFORMULA(XLOOKUP(FILTER(INDIRECT(""'""&amp;CI$1&amp;""'!$C$4:$C$66""),INDIRECT(""'""&amp;CI$1&amp;""'!$D$4:$D$66"")=CI$2),$F$3:$BP$3,$F92:$BP92)))"),0.05893635999999997)</f>
        <v>0.05893636</v>
      </c>
      <c r="CJ92" s="207" t="str">
        <f>IFERROR(__xludf.DUMMYFUNCTION("IF(OR(CI92&gt;$BR92+$BS92*$BS$2,CI92&lt;$BR92-$BS92*$BS$2),AVEDEV(ARRAYFORMULA(XLOOKUP(FILTER(INDIRECT(""'""&amp;CI$1&amp;""'!$C$4:$C$66""),INDIRECT(""'""&amp;CI$1&amp;""'!$D$4:$D$66"")=CI$2),$F$3:$BP$3,$F92:$BP92))),"""")"),"")</f>
        <v/>
      </c>
      <c r="CK92" s="251">
        <f>IFERROR(__xludf.DUMMYFUNCTION("AVERAGE(ARRAYFORMULA(XLOOKUP(FILTER(INDIRECT(""'""&amp;CK$1&amp;""'!$C$4:$C$66""),INDIRECT(""'""&amp;CK$1&amp;""'!$D$4:$D$66"")=CK$2),$F$3:$BP$3,$F92:$BP92)))"),0.8449063394871796)</f>
        <v>0.8449063395</v>
      </c>
      <c r="CL92" s="207" t="str">
        <f>IFERROR(__xludf.DUMMYFUNCTION("IF(OR(CK92&gt;$BR92+$BS92*$BS$2,CK92&lt;$BR92-$BS92*$BS$2),AVEDEV(ARRAYFORMULA(XLOOKUP(FILTER(INDIRECT(""'""&amp;CK$1&amp;""'!$C$4:$C$66""),INDIRECT(""'""&amp;CK$1&amp;""'!$D$4:$D$66"")=CK$2),$F$3:$BP$3,$F92:$BP92))),"""")"),"")</f>
        <v/>
      </c>
      <c r="CM92" s="251">
        <f>IFERROR(__xludf.DUMMYFUNCTION("AVERAGE(ARRAYFORMULA(XLOOKUP(FILTER(INDIRECT(""'""&amp;CM$1&amp;""'!$C$4:$C$66""),INDIRECT(""'""&amp;CM$1&amp;""'!$D$4:$D$66"")=CM$2),$F$3:$BP$3,$F92:$BP92)))"),1.126420402)</f>
        <v>1.126420402</v>
      </c>
      <c r="CN92" s="207" t="str">
        <f>IFERROR(__xludf.DUMMYFUNCTION("IF(OR(CM92&gt;$BR92+$BS92*$BS$2,CM92&lt;$BR92-$BS92*$BS$2),AVEDEV(ARRAYFORMULA(XLOOKUP(FILTER(INDIRECT(""'""&amp;CM$1&amp;""'!$C$4:$C$66""),INDIRECT(""'""&amp;CM$1&amp;""'!$D$4:$D$66"")=CM$2),$F$3:$BP$3,$F92:$BP92))),"""")"),"")</f>
        <v/>
      </c>
      <c r="CO92" s="252"/>
      <c r="CP92" s="251">
        <f>IFERROR(__xludf.DUMMYFUNCTION("AVERAGE(ARRAYFORMULA(XLOOKUP(FILTER(INDIRECT(""'""&amp;CP$1&amp;""'!$C$4:$C$66""),INDIRECT(""'""&amp;CP$1&amp;""'!$D$4:$D$66"")=CP$2),$F$3:$BP$3,$F92:$BP92)))"),0.8235252957142857)</f>
        <v>0.8235252957</v>
      </c>
      <c r="CQ92" s="207" t="str">
        <f>IFERROR(__xludf.DUMMYFUNCTION("IF(OR(CP92&gt;$BR92+$BS92*$BS$2,CP92&lt;$BR92-$BS92*$BS$2),AVEDEV(ARRAYFORMULA(XLOOKUP(FILTER(INDIRECT(""'""&amp;CP$1&amp;""'!$C$4:$C$66""),INDIRECT(""'""&amp;CP$1&amp;""'!$D$4:$D$66"")=CP$2),$F$3:$BP$3,$F92:$BP92))),"""")"),"")</f>
        <v/>
      </c>
      <c r="CR92" s="251">
        <f>IFERROR(__xludf.DUMMYFUNCTION("AVERAGE(ARRAYFORMULA(XLOOKUP(FILTER(INDIRECT(""'""&amp;CR$1&amp;""'!$C$4:$C$66""),INDIRECT(""'""&amp;CR$1&amp;""'!$D$4:$D$66"")=CR$2),$F$3:$BP$3,$F92:$BP92)))"),0.5991635488888889)</f>
        <v>0.5991635489</v>
      </c>
      <c r="CS92" s="207" t="str">
        <f>IFERROR(__xludf.DUMMYFUNCTION("IF(OR(CR92&gt;$BR92+$BS92*$BS$2,CR92&lt;$BR92-$BS92*$BS$2),AVEDEV(ARRAYFORMULA(XLOOKUP(FILTER(INDIRECT(""'""&amp;CR$1&amp;""'!$C$4:$C$66""),INDIRECT(""'""&amp;CR$1&amp;""'!$D$4:$D$66"")=CR$2),$F$3:$BP$3,$F92:$BP92))),"""")"),"")</f>
        <v/>
      </c>
      <c r="CT92" s="251">
        <f>IFERROR(__xludf.DUMMYFUNCTION("AVERAGE(ARRAYFORMULA(XLOOKUP(FILTER(INDIRECT(""'""&amp;CT$1&amp;""'!$C$4:$C$66""),INDIRECT(""'""&amp;CT$1&amp;""'!$D$4:$D$66"")=CT$2),$F$3:$BP$3,$F92:$BP92)))"),0.08172901454545455)</f>
        <v>0.08172901455</v>
      </c>
      <c r="CU92" s="207" t="str">
        <f>IFERROR(__xludf.DUMMYFUNCTION("IF(OR(CT92&gt;$BR92+$BS92*$BS$2,CT92&lt;$BR92-$BS92*$BS$2),AVEDEV(ARRAYFORMULA(XLOOKUP(FILTER(INDIRECT(""'""&amp;CT$1&amp;""'!$C$4:$C$66""),INDIRECT(""'""&amp;CT$1&amp;""'!$D$4:$D$66"")=CT$2),$F$3:$BP$3,$F92:$BP92))),"""")"),"")</f>
        <v/>
      </c>
      <c r="CV92" s="251">
        <f>IFERROR(__xludf.DUMMYFUNCTION("AVERAGE(ARRAYFORMULA(XLOOKUP(FILTER(INDIRECT(""'""&amp;CV$1&amp;""'!$C$4:$C$66""),INDIRECT(""'""&amp;CV$1&amp;""'!$D$4:$D$66"")=CV$2),$F$3:$BP$3,$F92:$BP92)))"),-0.2857913)</f>
        <v>-0.2857913</v>
      </c>
      <c r="CW92" s="207" t="str">
        <f>IFERROR(__xludf.DUMMYFUNCTION("IF(OR(CV92&gt;$BR92+$BS92*$BS$2,CV92&lt;$BR92-$BS92*$BS$2),AVEDEV(ARRAYFORMULA(XLOOKUP(FILTER(INDIRECT(""'""&amp;CV$1&amp;""'!$C$4:$C$66""),INDIRECT(""'""&amp;CV$1&amp;""'!$D$4:$D$66"")=CV$2),$F$3:$BP$3,$F92:$BP92))),"""")"),"")</f>
        <v/>
      </c>
      <c r="CX92" s="251">
        <f>IFERROR(__xludf.DUMMYFUNCTION("AVERAGE(ARRAYFORMULA(XLOOKUP(FILTER(INDIRECT(""'""&amp;CX$1&amp;""'!$C$4:$C$66""),INDIRECT(""'""&amp;CX$1&amp;""'!$D$4:$D$66"")=CX$2),$F$3:$BP$3,$F92:$BP92)))"),0.19439043785714288)</f>
        <v>0.1943904379</v>
      </c>
      <c r="CY92" s="207" t="str">
        <f>IFERROR(__xludf.DUMMYFUNCTION("IF(OR(CX92&gt;$BR92+$BS92*$BS$2,CX92&lt;$BR92-$BS92*$BS$2),AVEDEV(ARRAYFORMULA(XLOOKUP(FILTER(INDIRECT(""'""&amp;CX$1&amp;""'!$C$4:$C$66""),INDIRECT(""'""&amp;CX$1&amp;""'!$D$4:$D$66"")=CX$2),$F$3:$BP$3,$F92:$BP92))),"""")"),"")</f>
        <v/>
      </c>
      <c r="CZ92" s="252"/>
      <c r="DA92" s="251">
        <f>IFERROR(__xludf.DUMMYFUNCTION("AVERAGE(ARRAYFORMULA(XLOOKUP(FILTER(INDIRECT(""'""&amp;DA$1&amp;""'!$C$4:$C$66""),INDIRECT(""'""&amp;DA$1&amp;""'!$D$4:$D$66"")=DA$2),$F$3:$BP$3,$F92:$BP92)))"),0.6401718043333332)</f>
        <v>0.6401718043</v>
      </c>
      <c r="DB92" s="207" t="str">
        <f>IFERROR(__xludf.DUMMYFUNCTION("IF(OR(DA92&gt;$BR92+$BS92*$BS$2,DA92&lt;$BR92-$BS92*$BS$2),AVEDEV(ARRAYFORMULA(XLOOKUP(FILTER(INDIRECT(""'""&amp;DA$1&amp;""'!$C$4:$C$66""),INDIRECT(""'""&amp;DA$1&amp;""'!$D$4:$D$66"")=DA$2),$F$3:$BP$3,$F92:$BP92))),"""")"),"")</f>
        <v/>
      </c>
      <c r="DC92" s="251">
        <f>IFERROR(__xludf.DUMMYFUNCTION("AVERAGE(ARRAYFORMULA(XLOOKUP(FILTER(INDIRECT(""'""&amp;DC$1&amp;""'!$C$4:$C$66""),INDIRECT(""'""&amp;DC$1&amp;""'!$D$4:$D$66"")=DC$2),$F$3:$BP$3,$F92:$BP92)))"),0.6222648044444444)</f>
        <v>0.6222648044</v>
      </c>
      <c r="DD92" s="207" t="str">
        <f>IFERROR(__xludf.DUMMYFUNCTION("IF(OR(DC92&gt;$BR92+$BS92*$BS$2,DC92&lt;$BR92-$BS92*$BS$2),AVEDEV(ARRAYFORMULA(XLOOKUP(FILTER(INDIRECT(""'""&amp;DC$1&amp;""'!$C$4:$C$66""),INDIRECT(""'""&amp;DC$1&amp;""'!$D$4:$D$66"")=DC$2),$F$3:$BP$3,$F92:$BP92))),"""")"),"")</f>
        <v/>
      </c>
      <c r="DE92" s="251">
        <f>IFERROR(__xludf.DUMMYFUNCTION("AVERAGE(ARRAYFORMULA(XLOOKUP(FILTER(INDIRECT(""'""&amp;DE$1&amp;""'!$C$4:$C$66""),INDIRECT(""'""&amp;DE$1&amp;""'!$D$4:$D$66"")=DE$2),$F$3:$BP$3,$F92:$BP92)))"),0.06927422874999999)</f>
        <v>0.06927422875</v>
      </c>
      <c r="DF92" s="207" t="str">
        <f>IFERROR(__xludf.DUMMYFUNCTION("IF(OR(DE92&gt;$BR92+$BS92*$BS$2,DE92&lt;$BR92-$BS92*$BS$2),AVEDEV(ARRAYFORMULA(XLOOKUP(FILTER(INDIRECT(""'""&amp;DE$1&amp;""'!$C$4:$C$66""),INDIRECT(""'""&amp;DE$1&amp;""'!$D$4:$D$66"")=DE$2),$F$3:$BP$3,$F92:$BP92))),"""")"),"")</f>
        <v/>
      </c>
      <c r="DG92" s="251">
        <f>IFERROR(__xludf.DUMMYFUNCTION("AVERAGE(ARRAYFORMULA(XLOOKUP(FILTER(INDIRECT(""'""&amp;DG$1&amp;""'!$C$4:$C$66""),INDIRECT(""'""&amp;DG$1&amp;""'!$D$4:$D$66"")=DG$2),$F$3:$BP$3,$F92:$BP92)))"),0.13087990555555554)</f>
        <v>0.1308799056</v>
      </c>
      <c r="DH92" s="207" t="str">
        <f>IFERROR(__xludf.DUMMYFUNCTION("IF(OR(DG92&gt;$BR92+$BS92*$BS$2,DG92&lt;$BR92-$BS92*$BS$2),AVEDEV(ARRAYFORMULA(XLOOKUP(FILTER(INDIRECT(""'""&amp;DG$1&amp;""'!$C$4:$C$66""),INDIRECT(""'""&amp;DG$1&amp;""'!$D$4:$D$66"")=DG$2),$F$3:$BP$3,$F92:$BP92))),"""")"),"")</f>
        <v/>
      </c>
      <c r="DI92" s="252"/>
    </row>
    <row r="93">
      <c r="A93" s="2"/>
      <c r="B93" s="204" t="s">
        <v>507</v>
      </c>
      <c r="C93" s="204" t="s">
        <v>535</v>
      </c>
      <c r="D93" s="205" t="b">
        <f>VLOOKUP(C93,'Feature Set List'!A90:C246,2,0)</f>
        <v>1</v>
      </c>
      <c r="E93" s="205" t="b">
        <f>VLOOKUP(C93,'Feature Set List'!A90:C246,3,0)</f>
        <v>1</v>
      </c>
      <c r="F93" s="205">
        <v>-0.1211106</v>
      </c>
      <c r="G93" s="205">
        <v>1.4356699</v>
      </c>
      <c r="H93" s="205">
        <v>-0.3676329</v>
      </c>
      <c r="I93" s="205">
        <v>1.02593125</v>
      </c>
      <c r="J93" s="205">
        <v>0.85207529</v>
      </c>
      <c r="K93" s="205">
        <v>0.77850344</v>
      </c>
      <c r="L93" s="205">
        <v>0.0</v>
      </c>
      <c r="M93" s="205">
        <v>0.04504861</v>
      </c>
      <c r="N93" s="205">
        <v>-0.0373519</v>
      </c>
      <c r="O93" s="205">
        <v>0.33345029</v>
      </c>
      <c r="P93" s="205">
        <v>-0.2787355</v>
      </c>
      <c r="Q93" s="205">
        <v>0.50957</v>
      </c>
      <c r="R93" s="205">
        <v>-0.1211106</v>
      </c>
      <c r="S93" s="205">
        <v>0.82196742</v>
      </c>
      <c r="T93" s="205">
        <v>-0.2915483</v>
      </c>
      <c r="U93" s="205">
        <v>3.55091738</v>
      </c>
      <c r="V93" s="205">
        <v>0.73481307</v>
      </c>
      <c r="W93" s="205">
        <v>-0.347524</v>
      </c>
      <c r="X93" s="205">
        <v>-0.1328821</v>
      </c>
      <c r="Y93" s="205">
        <v>0.23724094</v>
      </c>
      <c r="Z93" s="205">
        <v>-0.2782148</v>
      </c>
      <c r="AA93" s="205">
        <v>-0.1424804</v>
      </c>
      <c r="AB93" s="205">
        <v>0.09892585</v>
      </c>
      <c r="AC93" s="205">
        <v>-0.2162107</v>
      </c>
      <c r="AD93" s="205">
        <v>-0.219312</v>
      </c>
      <c r="AE93" s="205">
        <v>1.40058178</v>
      </c>
      <c r="AF93" s="205">
        <v>2.35113018</v>
      </c>
      <c r="AG93" s="205">
        <v>0.28704343</v>
      </c>
      <c r="AH93" s="205">
        <v>3.04610126</v>
      </c>
      <c r="AI93" s="205">
        <v>-0.3676329</v>
      </c>
      <c r="AJ93" s="205">
        <v>0.89395466</v>
      </c>
      <c r="AK93" s="205">
        <v>-0.105038</v>
      </c>
      <c r="AL93" s="205">
        <v>-0.3390191</v>
      </c>
      <c r="AM93" s="205">
        <v>1.3335748</v>
      </c>
      <c r="AN93" s="205">
        <v>-0.3676329</v>
      </c>
      <c r="AO93" s="205">
        <v>-0.2136074</v>
      </c>
      <c r="AP93" s="205">
        <v>1.1275736</v>
      </c>
      <c r="AQ93" s="205">
        <v>0.19377695</v>
      </c>
      <c r="AR93" s="205">
        <v>1.08456236</v>
      </c>
      <c r="AS93" s="205">
        <v>-0.2971171</v>
      </c>
      <c r="AT93" s="205">
        <v>0.78597381</v>
      </c>
      <c r="AU93" s="205">
        <v>0.27889393</v>
      </c>
      <c r="AV93" s="205">
        <v>-0.3511641</v>
      </c>
      <c r="AW93" s="205">
        <v>0.56140986</v>
      </c>
      <c r="AX93" s="205">
        <v>1.11285923</v>
      </c>
      <c r="AY93" s="205">
        <v>-0.212068</v>
      </c>
      <c r="AZ93" s="205">
        <v>1.74602995</v>
      </c>
      <c r="BA93" s="205">
        <v>-0.3676329</v>
      </c>
      <c r="BB93" s="205">
        <v>-0.1494075</v>
      </c>
      <c r="BC93" s="205">
        <v>0.38619566</v>
      </c>
      <c r="BD93" s="205">
        <v>0.04187936</v>
      </c>
      <c r="BE93" s="205">
        <v>2.56165888</v>
      </c>
      <c r="BF93" s="205">
        <v>-0.1041325</v>
      </c>
      <c r="BG93" s="205">
        <v>-0.2607387</v>
      </c>
      <c r="BH93" s="205">
        <v>-0.2872924</v>
      </c>
      <c r="BI93" s="205">
        <v>0.67346546</v>
      </c>
      <c r="BJ93" s="205">
        <v>-0.1535954</v>
      </c>
      <c r="BK93" s="205">
        <v>-0.3586006</v>
      </c>
      <c r="BL93" s="205">
        <v>-0.3676329</v>
      </c>
      <c r="BM93" s="205">
        <v>-0.0312397</v>
      </c>
      <c r="BN93" s="205">
        <v>-0.0292024</v>
      </c>
      <c r="BO93" s="205">
        <v>0.32032055</v>
      </c>
      <c r="BP93" s="205">
        <v>-0.1877327</v>
      </c>
      <c r="BQ93" s="206"/>
      <c r="BR93" s="250">
        <f t="shared" si="1"/>
        <v>0.3731190183</v>
      </c>
      <c r="BS93" s="250">
        <f t="shared" si="2"/>
        <v>0.6528857409</v>
      </c>
      <c r="BT93" s="206"/>
      <c r="BU93" s="207">
        <f>IFERROR(__xludf.DUMMYFUNCTION("AVERAGE(ARRAYFORMULA(XLOOKUP(FILTER(INDIRECT(""'""&amp;BU$1&amp;""'!$C$4:$C$66""),INDIRECT(""'""&amp;BU$1&amp;""'!$D$4:$D$66"")=BU$2),$F$3:$BP$3,$F93:$BP93)))"),-0.08260001571428574)</f>
        <v>-0.08260001571</v>
      </c>
      <c r="BV93" s="207" t="str">
        <f>IFERROR(__xludf.DUMMYFUNCTION("IF(OR(BU93&gt;$BR93+$BS93*$BS$2,BU93&lt;$BR93-$BS93*$BS$2),AVEDEV(ARRAYFORMULA(XLOOKUP(FILTER(INDIRECT(""'""&amp;BU$1&amp;""'!$C$4:$C$66""),INDIRECT(""'""&amp;BU$1&amp;""'!$D$4:$D$66"")=BU$2),$F$3:$BP$3,$F93:$BP93))),"""")"),"")</f>
        <v/>
      </c>
      <c r="BW93" s="207">
        <f>IFERROR(__xludf.DUMMYFUNCTION("AVERAGE(ARRAYFORMULA(XLOOKUP(FILTER(INDIRECT(""'""&amp;BW$1&amp;""'!$C$4:$C$66""),INDIRECT(""'""&amp;BW$1&amp;""'!$D$4:$D$66"")=BW$2),$F$3:$BP$3,$F93:$BP93)))"),0.4356787938095238)</f>
        <v>0.4356787938</v>
      </c>
      <c r="BX93" s="207" t="str">
        <f>IFERROR(__xludf.DUMMYFUNCTION("IF(OR(BW93&gt;$BR93+$BS93*$BS$2,BW93&lt;$BR93-$BS93*$BS$2),AVEDEV(ARRAYFORMULA(XLOOKUP(FILTER(INDIRECT(""'""&amp;BW$1&amp;""'!$C$4:$C$66""),INDIRECT(""'""&amp;BW$1&amp;""'!$D$4:$D$66"")=BW$2),$F$3:$BP$3,$F93:$BP93))),"""")"),"")</f>
        <v/>
      </c>
      <c r="BY93" s="207">
        <f>IFERROR(__xludf.DUMMYFUNCTION("AVERAGE(ARRAYFORMULA(XLOOKUP(FILTER(INDIRECT(""'""&amp;BY$1&amp;""'!$C$4:$C$66""),INDIRECT(""'""&amp;BY$1&amp;""'!$D$4:$D$66"")=BY$2),$F$3:$BP$3,$F93:$BP93)))"),0.4528774863636364)</f>
        <v>0.4528774864</v>
      </c>
      <c r="BZ93" s="207" t="str">
        <f>IFERROR(__xludf.DUMMYFUNCTION("IF(OR(BY93&gt;$BR93+$BS93*$BS$2,BY93&lt;$BR93-$BS93*$BS$2),AVEDEV(ARRAYFORMULA(XLOOKUP(FILTER(INDIRECT(""'""&amp;BY$1&amp;""'!$C$4:$C$66""),INDIRECT(""'""&amp;BY$1&amp;""'!$D$4:$D$66"")=BY$2),$F$3:$BP$3,$F93:$BP93))),"""")"),"")</f>
        <v/>
      </c>
      <c r="CA93" s="209"/>
      <c r="CB93" s="207">
        <f>IFERROR(__xludf.DUMMYFUNCTION("AVERAGE(ARRAYFORMULA(XLOOKUP(FILTER(INDIRECT(""'""&amp;CB$1&amp;""'!$C$4:$C$66""),INDIRECT(""'""&amp;CB$1&amp;""'!$D$4:$D$66"")=CB$2),$F$3:$BP$3,$F93:$BP93)))"),0.9468549506249999)</f>
        <v>0.9468549506</v>
      </c>
      <c r="CC93" s="207" t="str">
        <f>IFERROR(__xludf.DUMMYFUNCTION("IF(OR(CB93&gt;$BR93+$BS93*$BS$2,CB93&lt;$BR93-$BS93*$BS$2),AVEDEV(ARRAYFORMULA(XLOOKUP(FILTER(INDIRECT(""'""&amp;CB$1&amp;""'!$C$4:$C$66""),INDIRECT(""'""&amp;CB$1&amp;""'!$D$4:$D$66"")=CB$2),$F$3:$BP$3,$F93:$BP93))),"""")"),"")</f>
        <v/>
      </c>
      <c r="CD93" s="207">
        <f>IFERROR(__xludf.DUMMYFUNCTION("AVERAGE(ARRAYFORMULA(XLOOKUP(FILTER(INDIRECT(""'""&amp;CD$1&amp;""'!$C$4:$C$66""),INDIRECT(""'""&amp;CD$1&amp;""'!$D$4:$D$66"")=CD$2),$F$3:$BP$3,$F93:$BP93)))"),0.14538456258064517)</f>
        <v>0.1453845626</v>
      </c>
      <c r="CE93" s="207" t="str">
        <f>IFERROR(__xludf.DUMMYFUNCTION("IF(OR(CD93&gt;$BR93+$BS93*$BS$2,CD93&lt;$BR93-$BS93*$BS$2),AVEDEV(ARRAYFORMULA(XLOOKUP(FILTER(INDIRECT(""'""&amp;CD$1&amp;""'!$C$4:$C$66""),INDIRECT(""'""&amp;CD$1&amp;""'!$D$4:$D$66"")=CD$2),$F$3:$BP$3,$F93:$BP93))),"""")"),"")</f>
        <v/>
      </c>
      <c r="CF93" s="207">
        <f>IFERROR(__xludf.DUMMYFUNCTION("AVERAGE(ARRAYFORMULA(XLOOKUP(FILTER(INDIRECT(""'""&amp;CF$1&amp;""'!$C$4:$C$66""),INDIRECT(""'""&amp;CF$1&amp;""'!$D$4:$D$66"")=CF$2),$F$3:$BP$3,$F93:$BP93)))"),0.776375504)</f>
        <v>0.776375504</v>
      </c>
      <c r="CG93" s="207" t="str">
        <f>IFERROR(__xludf.DUMMYFUNCTION("IF(OR(CF93&gt;$BR93+$BS93*$BS$2,CF93&lt;$BR93-$BS93*$BS$2),AVEDEV(ARRAYFORMULA(XLOOKUP(FILTER(INDIRECT(""'""&amp;CF$1&amp;""'!$C$4:$C$66""),INDIRECT(""'""&amp;CF$1&amp;""'!$D$4:$D$66"")=CF$2),$F$3:$BP$3,$F93:$BP93))),"""")"),"")</f>
        <v/>
      </c>
      <c r="CH93" s="206"/>
      <c r="CI93" s="251">
        <f>IFERROR(__xludf.DUMMYFUNCTION("AVERAGE(ARRAYFORMULA(XLOOKUP(FILTER(INDIRECT(""'""&amp;CI$1&amp;""'!$C$4:$C$66""),INDIRECT(""'""&amp;CI$1&amp;""'!$D$4:$D$66"")=CI$2),$F$3:$BP$3,$F93:$BP93)))"),-0.14145068333333333)</f>
        <v>-0.1414506833</v>
      </c>
      <c r="CJ93" s="207" t="str">
        <f>IFERROR(__xludf.DUMMYFUNCTION("IF(OR(CI93&gt;$BR93+$BS93*$BS$2,CI93&lt;$BR93-$BS93*$BS$2),AVEDEV(ARRAYFORMULA(XLOOKUP(FILTER(INDIRECT(""'""&amp;CI$1&amp;""'!$C$4:$C$66""),INDIRECT(""'""&amp;CI$1&amp;""'!$D$4:$D$66"")=CI$2),$F$3:$BP$3,$F93:$BP93))),"""")"),"")</f>
        <v/>
      </c>
      <c r="CK93" s="251">
        <f>IFERROR(__xludf.DUMMYFUNCTION("AVERAGE(ARRAYFORMULA(XLOOKUP(FILTER(INDIRECT(""'""&amp;CK$1&amp;""'!$C$4:$C$66""),INDIRECT(""'""&amp;CK$1&amp;""'!$D$4:$D$66"")=CK$2),$F$3:$BP$3,$F93:$BP93)))"),0.546165254102564)</f>
        <v>0.5461652541</v>
      </c>
      <c r="CL93" s="207" t="str">
        <f>IFERROR(__xludf.DUMMYFUNCTION("IF(OR(CK93&gt;$BR93+$BS93*$BS$2,CK93&lt;$BR93-$BS93*$BS$2),AVEDEV(ARRAYFORMULA(XLOOKUP(FILTER(INDIRECT(""'""&amp;CK$1&amp;""'!$C$4:$C$66""),INDIRECT(""'""&amp;CK$1&amp;""'!$D$4:$D$66"")=CK$2),$F$3:$BP$3,$F93:$BP93))),"""")"),"")</f>
        <v/>
      </c>
      <c r="CM93" s="251">
        <f>IFERROR(__xludf.DUMMYFUNCTION("AVERAGE(ARRAYFORMULA(XLOOKUP(FILTER(INDIRECT(""'""&amp;CM$1&amp;""'!$C$4:$C$66""),INDIRECT(""'""&amp;CM$1&amp;""'!$D$4:$D$66"")=CM$2),$F$3:$BP$3,$F93:$BP93)))"),0.776375504)</f>
        <v>0.776375504</v>
      </c>
      <c r="CN93" s="207" t="str">
        <f>IFERROR(__xludf.DUMMYFUNCTION("IF(OR(CM93&gt;$BR93+$BS93*$BS$2,CM93&lt;$BR93-$BS93*$BS$2),AVEDEV(ARRAYFORMULA(XLOOKUP(FILTER(INDIRECT(""'""&amp;CM$1&amp;""'!$C$4:$C$66""),INDIRECT(""'""&amp;CM$1&amp;""'!$D$4:$D$66"")=CM$2),$F$3:$BP$3,$F93:$BP93))),"""")"),"")</f>
        <v/>
      </c>
      <c r="CO93" s="252"/>
      <c r="CP93" s="251">
        <f>IFERROR(__xludf.DUMMYFUNCTION("AVERAGE(ARRAYFORMULA(XLOOKUP(FILTER(INDIRECT(""'""&amp;CP$1&amp;""'!$C$4:$C$66""),INDIRECT(""'""&amp;CP$1&amp;""'!$D$4:$D$66"")=CP$2),$F$3:$BP$3,$F93:$BP93)))"),1.07109063)</f>
        <v>1.07109063</v>
      </c>
      <c r="CQ93" s="207">
        <f>IFERROR(__xludf.DUMMYFUNCTION("IF(OR(CP93&gt;$BR93+$BS93*$BS$2,CP93&lt;$BR93-$BS93*$BS$2),AVEDEV(ARRAYFORMULA(XLOOKUP(FILTER(INDIRECT(""'""&amp;CP$1&amp;""'!$C$4:$C$66""),INDIRECT(""'""&amp;CP$1&amp;""'!$D$4:$D$66"")=CP$2),$F$3:$BP$3,$F93:$BP93))),"""")"),1.0923582028571428)</f>
        <v>1.092358203</v>
      </c>
      <c r="CR93" s="251">
        <f>IFERROR(__xludf.DUMMYFUNCTION("AVERAGE(ARRAYFORMULA(XLOOKUP(FILTER(INDIRECT(""'""&amp;CR$1&amp;""'!$C$4:$C$66""),INDIRECT(""'""&amp;CR$1&amp;""'!$D$4:$D$66"")=CR$2),$F$3:$BP$3,$F93:$BP93)))"),0.617928138888889)</f>
        <v>0.6179281389</v>
      </c>
      <c r="CS93" s="207" t="str">
        <f>IFERROR(__xludf.DUMMYFUNCTION("IF(OR(CR93&gt;$BR93+$BS93*$BS$2,CR93&lt;$BR93-$BS93*$BS$2),AVEDEV(ARRAYFORMULA(XLOOKUP(FILTER(INDIRECT(""'""&amp;CR$1&amp;""'!$C$4:$C$66""),INDIRECT(""'""&amp;CR$1&amp;""'!$D$4:$D$66"")=CR$2),$F$3:$BP$3,$F93:$BP93))),"""")"),"")</f>
        <v/>
      </c>
      <c r="CT93" s="251">
        <f>IFERROR(__xludf.DUMMYFUNCTION("AVERAGE(ARRAYFORMULA(XLOOKUP(FILTER(INDIRECT(""'""&amp;CT$1&amp;""'!$C$4:$C$66""),INDIRECT(""'""&amp;CT$1&amp;""'!$D$4:$D$66"")=CT$2),$F$3:$BP$3,$F93:$BP93)))"),-0.07804379)</f>
        <v>-0.07804379</v>
      </c>
      <c r="CU93" s="207" t="str">
        <f>IFERROR(__xludf.DUMMYFUNCTION("IF(OR(CT93&gt;$BR93+$BS93*$BS$2,CT93&lt;$BR93-$BS93*$BS$2),AVEDEV(ARRAYFORMULA(XLOOKUP(FILTER(INDIRECT(""'""&amp;CT$1&amp;""'!$C$4:$C$66""),INDIRECT(""'""&amp;CT$1&amp;""'!$D$4:$D$66"")=CT$2),$F$3:$BP$3,$F93:$BP93))),"""")"),"")</f>
        <v/>
      </c>
      <c r="CV93" s="251">
        <f>IFERROR(__xludf.DUMMYFUNCTION("AVERAGE(ARRAYFORMULA(XLOOKUP(FILTER(INDIRECT(""'""&amp;CV$1&amp;""'!$C$4:$C$66""),INDIRECT(""'""&amp;CV$1&amp;""'!$D$4:$D$66"")=CV$2),$F$3:$BP$3,$F93:$BP93)))"),-0.23847469999999998)</f>
        <v>-0.2384747</v>
      </c>
      <c r="CW93" s="207" t="str">
        <f>IFERROR(__xludf.DUMMYFUNCTION("IF(OR(CV93&gt;$BR93+$BS93*$BS$2,CV93&lt;$BR93-$BS93*$BS$2),AVEDEV(ARRAYFORMULA(XLOOKUP(FILTER(INDIRECT(""'""&amp;CV$1&amp;""'!$C$4:$C$66""),INDIRECT(""'""&amp;CV$1&amp;""'!$D$4:$D$66"")=CV$2),$F$3:$BP$3,$F93:$BP93))),"""")"),"")</f>
        <v/>
      </c>
      <c r="CX93" s="251">
        <f>IFERROR(__xludf.DUMMYFUNCTION("AVERAGE(ARRAYFORMULA(XLOOKUP(FILTER(INDIRECT(""'""&amp;CX$1&amp;""'!$C$4:$C$66""),INDIRECT(""'""&amp;CX$1&amp;""'!$D$4:$D$66"")=CX$2),$F$3:$BP$3,$F93:$BP93)))"),0.17785471142857143)</f>
        <v>0.1778547114</v>
      </c>
      <c r="CY93" s="207" t="str">
        <f>IFERROR(__xludf.DUMMYFUNCTION("IF(OR(CX93&gt;$BR93+$BS93*$BS$2,CX93&lt;$BR93-$BS93*$BS$2),AVEDEV(ARRAYFORMULA(XLOOKUP(FILTER(INDIRECT(""'""&amp;CX$1&amp;""'!$C$4:$C$66""),INDIRECT(""'""&amp;CX$1&amp;""'!$D$4:$D$66"")=CX$2),$F$3:$BP$3,$F93:$BP93))),"""")"),"")</f>
        <v/>
      </c>
      <c r="CZ93" s="252"/>
      <c r="DA93" s="251">
        <f>IFERROR(__xludf.DUMMYFUNCTION("AVERAGE(ARRAYFORMULA(XLOOKUP(FILTER(INDIRECT(""'""&amp;DA$1&amp;""'!$C$4:$C$66""),INDIRECT(""'""&amp;DA$1&amp;""'!$D$4:$D$66"")=DA$2),$F$3:$BP$3,$F93:$BP93)))"),0.5979279153333333)</f>
        <v>0.5979279153</v>
      </c>
      <c r="DB93" s="207" t="str">
        <f>IFERROR(__xludf.DUMMYFUNCTION("IF(OR(DA93&gt;$BR93+$BS93*$BS$2,DA93&lt;$BR93-$BS93*$BS$2),AVEDEV(ARRAYFORMULA(XLOOKUP(FILTER(INDIRECT(""'""&amp;DA$1&amp;""'!$C$4:$C$66""),INDIRECT(""'""&amp;DA$1&amp;""'!$D$4:$D$66"")=DA$2),$F$3:$BP$3,$F93:$BP93))),"""")"),"")</f>
        <v/>
      </c>
      <c r="DC93" s="251">
        <f>IFERROR(__xludf.DUMMYFUNCTION("AVERAGE(ARRAYFORMULA(XLOOKUP(FILTER(INDIRECT(""'""&amp;DC$1&amp;""'!$C$4:$C$66""),INDIRECT(""'""&amp;DC$1&amp;""'!$D$4:$D$66"")=DC$2),$F$3:$BP$3,$F93:$BP93)))"),0.46721273333333335)</f>
        <v>0.4672127333</v>
      </c>
      <c r="DD93" s="207" t="str">
        <f>IFERROR(__xludf.DUMMYFUNCTION("IF(OR(DC93&gt;$BR93+$BS93*$BS$2,DC93&lt;$BR93-$BS93*$BS$2),AVEDEV(ARRAYFORMULA(XLOOKUP(FILTER(INDIRECT(""'""&amp;DC$1&amp;""'!$C$4:$C$66""),INDIRECT(""'""&amp;DC$1&amp;""'!$D$4:$D$66"")=DC$2),$F$3:$BP$3,$F93:$BP93))),"""")"),"")</f>
        <v/>
      </c>
      <c r="DE93" s="251">
        <f>IFERROR(__xludf.DUMMYFUNCTION("AVERAGE(ARRAYFORMULA(XLOOKUP(FILTER(INDIRECT(""'""&amp;DE$1&amp;""'!$C$4:$C$66""),INDIRECT(""'""&amp;DE$1&amp;""'!$D$4:$D$66"")=DE$2),$F$3:$BP$3,$F93:$BP93)))"),0.03931284125)</f>
        <v>0.03931284125</v>
      </c>
      <c r="DF93" s="207" t="str">
        <f>IFERROR(__xludf.DUMMYFUNCTION("IF(OR(DE93&gt;$BR93+$BS93*$BS$2,DE93&lt;$BR93-$BS93*$BS$2),AVEDEV(ARRAYFORMULA(XLOOKUP(FILTER(INDIRECT(""'""&amp;DE$1&amp;""'!$C$4:$C$66""),INDIRECT(""'""&amp;DE$1&amp;""'!$D$4:$D$66"")=DE$2),$F$3:$BP$3,$F93:$BP93))),"""")"),"")</f>
        <v/>
      </c>
      <c r="DG93" s="251">
        <f>IFERROR(__xludf.DUMMYFUNCTION("AVERAGE(ARRAYFORMULA(XLOOKUP(FILTER(INDIRECT(""'""&amp;DG$1&amp;""'!$C$4:$C$66""),INDIRECT(""'""&amp;DG$1&amp;""'!$D$4:$D$66"")=DG$2),$F$3:$BP$3,$F93:$BP93)))"),0.12496526)</f>
        <v>0.12496526</v>
      </c>
      <c r="DH93" s="207" t="str">
        <f>IFERROR(__xludf.DUMMYFUNCTION("IF(OR(DG93&gt;$BR93+$BS93*$BS$2,DG93&lt;$BR93-$BS93*$BS$2),AVEDEV(ARRAYFORMULA(XLOOKUP(FILTER(INDIRECT(""'""&amp;DG$1&amp;""'!$C$4:$C$66""),INDIRECT(""'""&amp;DG$1&amp;""'!$D$4:$D$66"")=DG$2),$F$3:$BP$3,$F93:$BP93))),"""")"),"")</f>
        <v/>
      </c>
      <c r="DI93" s="252"/>
    </row>
    <row r="94">
      <c r="A94" s="2"/>
      <c r="B94" s="204" t="s">
        <v>507</v>
      </c>
      <c r="C94" s="204" t="s">
        <v>536</v>
      </c>
      <c r="D94" s="205" t="b">
        <f>VLOOKUP(C94,'Feature Set List'!A91:C246,2,0)</f>
        <v>1</v>
      </c>
      <c r="E94" s="205" t="b">
        <f>VLOOKUP(C94,'Feature Set List'!A91:C246,3,0)</f>
        <v>1</v>
      </c>
      <c r="F94" s="205">
        <v>1.67360848</v>
      </c>
      <c r="G94" s="205">
        <v>-0.0648744</v>
      </c>
      <c r="H94" s="205">
        <v>0.04543733</v>
      </c>
      <c r="I94" s="205">
        <v>0.1729143</v>
      </c>
      <c r="J94" s="205">
        <v>0.97437839</v>
      </c>
      <c r="K94" s="205">
        <v>0.06941815</v>
      </c>
      <c r="L94" s="205">
        <v>0.28145904</v>
      </c>
      <c r="M94" s="205">
        <v>-0.7495898</v>
      </c>
      <c r="N94" s="205">
        <v>-0.3295469</v>
      </c>
      <c r="O94" s="205">
        <v>0.0</v>
      </c>
      <c r="P94" s="205">
        <v>0.4531112</v>
      </c>
      <c r="Q94" s="205">
        <v>-0.6702007</v>
      </c>
      <c r="R94" s="205">
        <v>0.11611763</v>
      </c>
      <c r="S94" s="205">
        <v>0.40388742</v>
      </c>
      <c r="T94" s="205">
        <v>-1.0424082</v>
      </c>
      <c r="U94" s="205">
        <v>2.12924397</v>
      </c>
      <c r="V94" s="205">
        <v>-0.3440616</v>
      </c>
      <c r="W94" s="205">
        <v>-1.1058942</v>
      </c>
      <c r="X94" s="205">
        <v>-0.316673</v>
      </c>
      <c r="Y94" s="205">
        <v>-0.1267197</v>
      </c>
      <c r="Z94" s="205">
        <v>-1.0164079</v>
      </c>
      <c r="AA94" s="205">
        <v>-0.5737726</v>
      </c>
      <c r="AB94" s="205">
        <v>0.11737978</v>
      </c>
      <c r="AC94" s="205">
        <v>-0.3886154</v>
      </c>
      <c r="AD94" s="205">
        <v>-1.0540199</v>
      </c>
      <c r="AE94" s="205">
        <v>0.79767765</v>
      </c>
      <c r="AF94" s="205">
        <v>0.76612394</v>
      </c>
      <c r="AG94" s="205">
        <v>-0.400101</v>
      </c>
      <c r="AH94" s="205">
        <v>1.08292314</v>
      </c>
      <c r="AI94" s="205">
        <v>-0.8227944</v>
      </c>
      <c r="AJ94" s="205">
        <v>0.39252808</v>
      </c>
      <c r="AK94" s="205">
        <v>0.29912912</v>
      </c>
      <c r="AL94" s="205">
        <v>0.36097438</v>
      </c>
      <c r="AM94" s="205">
        <v>0.81787202</v>
      </c>
      <c r="AN94" s="205">
        <v>-0.7898523</v>
      </c>
      <c r="AO94" s="205">
        <v>-0.5837435</v>
      </c>
      <c r="AP94" s="205">
        <v>-0.0636123</v>
      </c>
      <c r="AQ94" s="205">
        <v>3.32954689</v>
      </c>
      <c r="AR94" s="205">
        <v>0.42913038</v>
      </c>
      <c r="AS94" s="205">
        <v>-0.2563423</v>
      </c>
      <c r="AT94" s="205">
        <v>-0.558753</v>
      </c>
      <c r="AU94" s="205">
        <v>0.47456771</v>
      </c>
      <c r="AV94" s="205">
        <v>-0.6108797</v>
      </c>
      <c r="AW94" s="205">
        <v>-0.3330809</v>
      </c>
      <c r="AX94" s="205">
        <v>-0.3197021</v>
      </c>
      <c r="AY94" s="205">
        <v>-0.1772056</v>
      </c>
      <c r="AZ94" s="205">
        <v>1.22302158</v>
      </c>
      <c r="BA94" s="205">
        <v>-1.2928901</v>
      </c>
      <c r="BB94" s="205">
        <v>0.54903446</v>
      </c>
      <c r="BC94" s="205">
        <v>0.03534015</v>
      </c>
      <c r="BD94" s="205">
        <v>-0.8712609</v>
      </c>
      <c r="BE94" s="205">
        <v>1.67108419</v>
      </c>
      <c r="BF94" s="205">
        <v>0.034078</v>
      </c>
      <c r="BG94" s="205">
        <v>-0.4133535</v>
      </c>
      <c r="BH94" s="205">
        <v>-0.5590054</v>
      </c>
      <c r="BI94" s="205">
        <v>0.32815853</v>
      </c>
      <c r="BJ94" s="205">
        <v>-0.1677395</v>
      </c>
      <c r="BK94" s="205">
        <v>-1.2534141</v>
      </c>
      <c r="BL94" s="205">
        <v>-1.1214187</v>
      </c>
      <c r="BM94" s="205">
        <v>0.56922883</v>
      </c>
      <c r="BN94" s="205">
        <v>0.86078506</v>
      </c>
      <c r="BO94" s="205">
        <v>1.49690774</v>
      </c>
      <c r="BP94" s="205">
        <v>0.3458286</v>
      </c>
      <c r="BQ94" s="206"/>
      <c r="BR94" s="250">
        <f t="shared" si="1"/>
        <v>0.06226924667</v>
      </c>
      <c r="BS94" s="250">
        <f t="shared" si="2"/>
        <v>0.6489683096</v>
      </c>
      <c r="BT94" s="206"/>
      <c r="BU94" s="207">
        <f>IFERROR(__xludf.DUMMYFUNCTION("AVERAGE(ARRAYFORMULA(XLOOKUP(FILTER(INDIRECT(""'""&amp;BU$1&amp;""'!$C$4:$C$66""),INDIRECT(""'""&amp;BU$1&amp;""'!$D$4:$D$66"")=BU$2),$F$3:$BP$3,$F94:$BP94)))"),-0.9536317)</f>
        <v>-0.9536317</v>
      </c>
      <c r="BV94" s="207">
        <f>IFERROR(__xludf.DUMMYFUNCTION("IF(OR(BU94&gt;$BR94+$BS94*$BS$2,BU94&lt;$BR94-$BS94*$BS$2),AVEDEV(ARRAYFORMULA(XLOOKUP(FILTER(INDIRECT(""'""&amp;BU$1&amp;""'!$C$4:$C$66""),INDIRECT(""'""&amp;BU$1&amp;""'!$D$4:$D$66"")=BU$2),$F$3:$BP$3,$F94:$BP94))),"""")"),0.25145137142857144)</f>
        <v>0.2514513714</v>
      </c>
      <c r="BW94" s="207">
        <f>IFERROR(__xludf.DUMMYFUNCTION("AVERAGE(ARRAYFORMULA(XLOOKUP(FILTER(INDIRECT(""'""&amp;BW$1&amp;""'!$C$4:$C$66""),INDIRECT(""'""&amp;BW$1&amp;""'!$D$4:$D$66"")=BW$2),$F$3:$BP$3,$F94:$BP94)))"),0.20444396523809522)</f>
        <v>0.2044439652</v>
      </c>
      <c r="BX94" s="207" t="str">
        <f>IFERROR(__xludf.DUMMYFUNCTION("IF(OR(BW94&gt;$BR94+$BS94*$BS$2,BW94&lt;$BR94-$BS94*$BS$2),AVEDEV(ARRAYFORMULA(XLOOKUP(FILTER(INDIRECT(""'""&amp;BW$1&amp;""'!$C$4:$C$66""),INDIRECT(""'""&amp;BW$1&amp;""'!$D$4:$D$66"")=BW$2),$F$3:$BP$3,$F94:$BP94))),"""")"),"")</f>
        <v/>
      </c>
      <c r="BY94" s="207">
        <f>IFERROR(__xludf.DUMMYFUNCTION("AVERAGE(ARRAYFORMULA(XLOOKUP(FILTER(INDIRECT(""'""&amp;BY$1&amp;""'!$C$4:$C$66""),INDIRECT(""'""&amp;BY$1&amp;""'!$D$4:$D$66"")=BY$2),$F$3:$BP$3,$F94:$BP94)))"),0.22633758363636367)</f>
        <v>0.2263375836</v>
      </c>
      <c r="BZ94" s="207" t="str">
        <f>IFERROR(__xludf.DUMMYFUNCTION("IF(OR(BY94&gt;$BR94+$BS94*$BS$2,BY94&lt;$BR94-$BS94*$BS$2),AVEDEV(ARRAYFORMULA(XLOOKUP(FILTER(INDIRECT(""'""&amp;BY$1&amp;""'!$C$4:$C$66""),INDIRECT(""'""&amp;BY$1&amp;""'!$D$4:$D$66"")=BY$2),$F$3:$BP$3,$F94:$BP94))),"""")"),"")</f>
        <v/>
      </c>
      <c r="CA94" s="209"/>
      <c r="CB94" s="207">
        <f>IFERROR(__xludf.DUMMYFUNCTION("AVERAGE(ARRAYFORMULA(XLOOKUP(FILTER(INDIRECT(""'""&amp;CB$1&amp;""'!$C$4:$C$66""),INDIRECT(""'""&amp;CB$1&amp;""'!$D$4:$D$66"")=CB$2),$F$3:$BP$3,$F94:$BP94)))"),0.091927238125)</f>
        <v>0.09192723813</v>
      </c>
      <c r="CC94" s="207" t="str">
        <f>IFERROR(__xludf.DUMMYFUNCTION("IF(OR(CB94&gt;$BR94+$BS94*$BS$2,CB94&lt;$BR94-$BS94*$BS$2),AVEDEV(ARRAYFORMULA(XLOOKUP(FILTER(INDIRECT(""'""&amp;CB$1&amp;""'!$C$4:$C$66""),INDIRECT(""'""&amp;CB$1&amp;""'!$D$4:$D$66"")=CB$2),$F$3:$BP$3,$F94:$BP94))),"""")"),"")</f>
        <v/>
      </c>
      <c r="CD94" s="207">
        <f>IFERROR(__xludf.DUMMYFUNCTION("AVERAGE(ARRAYFORMULA(XLOOKUP(FILTER(INDIRECT(""'""&amp;CD$1&amp;""'!$C$4:$C$66""),INDIRECT(""'""&amp;CD$1&amp;""'!$D$4:$D$66"")=CD$2),$F$3:$BP$3,$F94:$BP94)))"),-0.013557914838709674)</f>
        <v>-0.01355791484</v>
      </c>
      <c r="CE94" s="207" t="str">
        <f>IFERROR(__xludf.DUMMYFUNCTION("IF(OR(CD94&gt;$BR94+$BS94*$BS$2,CD94&lt;$BR94-$BS94*$BS$2),AVEDEV(ARRAYFORMULA(XLOOKUP(FILTER(INDIRECT(""'""&amp;CD$1&amp;""'!$C$4:$C$66""),INDIRECT(""'""&amp;CD$1&amp;""'!$D$4:$D$66"")=CD$2),$F$3:$BP$3,$F94:$BP94))),"""")"),"")</f>
        <v/>
      </c>
      <c r="CF94" s="207">
        <f>IFERROR(__xludf.DUMMYFUNCTION("AVERAGE(ARRAYFORMULA(XLOOKUP(FILTER(INDIRECT(""'""&amp;CF$1&amp;""'!$C$4:$C$66""),INDIRECT(""'""&amp;CF$1&amp;""'!$D$4:$D$66"")=CF$2),$F$3:$BP$3,$F94:$BP94)))"),0.41802347599999995)</f>
        <v>0.418023476</v>
      </c>
      <c r="CG94" s="207" t="str">
        <f>IFERROR(__xludf.DUMMYFUNCTION("IF(OR(CF94&gt;$BR94+$BS94*$BS$2,CF94&lt;$BR94-$BS94*$BS$2),AVEDEV(ARRAYFORMULA(XLOOKUP(FILTER(INDIRECT(""'""&amp;CF$1&amp;""'!$C$4:$C$66""),INDIRECT(""'""&amp;CF$1&amp;""'!$D$4:$D$66"")=CF$2),$F$3:$BP$3,$F94:$BP94))),"""")"),"")</f>
        <v/>
      </c>
      <c r="CH94" s="206"/>
      <c r="CI94" s="251">
        <f>IFERROR(__xludf.DUMMYFUNCTION("AVERAGE(ARRAYFORMULA(XLOOKUP(FILTER(INDIRECT(""'""&amp;CI$1&amp;""'!$C$4:$C$66""),INDIRECT(""'""&amp;CI$1&amp;""'!$D$4:$D$66"")=CI$2),$F$3:$BP$3,$F94:$BP94)))"),-0.47660035200000006)</f>
        <v>-0.476600352</v>
      </c>
      <c r="CJ94" s="207" t="str">
        <f>IFERROR(__xludf.DUMMYFUNCTION("IF(OR(CI94&gt;$BR94+$BS94*$BS$2,CI94&lt;$BR94-$BS94*$BS$2),AVEDEV(ARRAYFORMULA(XLOOKUP(FILTER(INDIRECT(""'""&amp;CI$1&amp;""'!$C$4:$C$66""),INDIRECT(""'""&amp;CI$1&amp;""'!$D$4:$D$66"")=CI$2),$F$3:$BP$3,$F94:$BP94))),"""")"),"")</f>
        <v/>
      </c>
      <c r="CK94" s="251">
        <f>IFERROR(__xludf.DUMMYFUNCTION("AVERAGE(ARRAYFORMULA(XLOOKUP(FILTER(INDIRECT(""'""&amp;CK$1&amp;""'!$C$4:$C$66""),INDIRECT(""'""&amp;CK$1&amp;""'!$D$4:$D$66"")=CK$2),$F$3:$BP$3,$F94:$BP94)))"),0.274698463076923)</f>
        <v>0.2746984631</v>
      </c>
      <c r="CL94" s="207" t="str">
        <f>IFERROR(__xludf.DUMMYFUNCTION("IF(OR(CK94&gt;$BR94+$BS94*$BS$2,CK94&lt;$BR94-$BS94*$BS$2),AVEDEV(ARRAYFORMULA(XLOOKUP(FILTER(INDIRECT(""'""&amp;CK$1&amp;""'!$C$4:$C$66""),INDIRECT(""'""&amp;CK$1&amp;""'!$D$4:$D$66"")=CK$2),$F$3:$BP$3,$F94:$BP94))),"""")"),"")</f>
        <v/>
      </c>
      <c r="CM94" s="251">
        <f>IFERROR(__xludf.DUMMYFUNCTION("AVERAGE(ARRAYFORMULA(XLOOKUP(FILTER(INDIRECT(""'""&amp;CM$1&amp;""'!$C$4:$C$66""),INDIRECT(""'""&amp;CM$1&amp;""'!$D$4:$D$66"")=CM$2),$F$3:$BP$3,$F94:$BP94)))"),0.41802347599999995)</f>
        <v>0.418023476</v>
      </c>
      <c r="CN94" s="207" t="str">
        <f>IFERROR(__xludf.DUMMYFUNCTION("IF(OR(CM94&gt;$BR94+$BS94*$BS$2,CM94&lt;$BR94-$BS94*$BS$2),AVEDEV(ARRAYFORMULA(XLOOKUP(FILTER(INDIRECT(""'""&amp;CM$1&amp;""'!$C$4:$C$66""),INDIRECT(""'""&amp;CM$1&amp;""'!$D$4:$D$66"")=CM$2),$F$3:$BP$3,$F94:$BP94))),"""")"),"")</f>
        <v/>
      </c>
      <c r="CO94" s="252"/>
      <c r="CP94" s="251">
        <f>IFERROR(__xludf.DUMMYFUNCTION("AVERAGE(ARRAYFORMULA(XLOOKUP(FILTER(INDIRECT(""'""&amp;CP$1&amp;""'!$C$4:$C$66""),INDIRECT(""'""&amp;CP$1&amp;""'!$D$4:$D$66"")=CP$2),$F$3:$BP$3,$F94:$BP94)))"),0.22996340285714284)</f>
        <v>0.2299634029</v>
      </c>
      <c r="CQ94" s="207" t="str">
        <f>IFERROR(__xludf.DUMMYFUNCTION("IF(OR(CP94&gt;$BR94+$BS94*$BS$2,CP94&lt;$BR94-$BS94*$BS$2),AVEDEV(ARRAYFORMULA(XLOOKUP(FILTER(INDIRECT(""'""&amp;CP$1&amp;""'!$C$4:$C$66""),INDIRECT(""'""&amp;CP$1&amp;""'!$D$4:$D$66"")=CP$2),$F$3:$BP$3,$F94:$BP94))),"""")"),"")</f>
        <v/>
      </c>
      <c r="CR94" s="251">
        <f>IFERROR(__xludf.DUMMYFUNCTION("AVERAGE(ARRAYFORMULA(XLOOKUP(FILTER(INDIRECT(""'""&amp;CR$1&amp;""'!$C$4:$C$66""),INDIRECT(""'""&amp;CR$1&amp;""'!$D$4:$D$66"")=CR$2),$F$3:$BP$3,$F94:$BP94)))"),0.42092641333333336)</f>
        <v>0.4209264133</v>
      </c>
      <c r="CS94" s="207" t="str">
        <f>IFERROR(__xludf.DUMMYFUNCTION("IF(OR(CR94&gt;$BR94+$BS94*$BS$2,CR94&lt;$BR94-$BS94*$BS$2),AVEDEV(ARRAYFORMULA(XLOOKUP(FILTER(INDIRECT(""'""&amp;CR$1&amp;""'!$C$4:$C$66""),INDIRECT(""'""&amp;CR$1&amp;""'!$D$4:$D$66"")=CR$2),$F$3:$BP$3,$F94:$BP94))),"""")"),"")</f>
        <v/>
      </c>
      <c r="CT94" s="251">
        <f>IFERROR(__xludf.DUMMYFUNCTION("AVERAGE(ARRAYFORMULA(XLOOKUP(FILTER(INDIRECT(""'""&amp;CT$1&amp;""'!$C$4:$C$66""),INDIRECT(""'""&amp;CT$1&amp;""'!$D$4:$D$66"")=CT$2),$F$3:$BP$3,$F94:$BP94)))"),-0.04181153090909089)</f>
        <v>-0.04181153091</v>
      </c>
      <c r="CU94" s="207" t="str">
        <f>IFERROR(__xludf.DUMMYFUNCTION("IF(OR(CT94&gt;$BR94+$BS94*$BS$2,CT94&lt;$BR94-$BS94*$BS$2),AVEDEV(ARRAYFORMULA(XLOOKUP(FILTER(INDIRECT(""'""&amp;CT$1&amp;""'!$C$4:$C$66""),INDIRECT(""'""&amp;CT$1&amp;""'!$D$4:$D$66"")=CT$2),$F$3:$BP$3,$F94:$BP94))),"""")"),"")</f>
        <v/>
      </c>
      <c r="CV94" s="251">
        <f>IFERROR(__xludf.DUMMYFUNCTION("AVERAGE(ARRAYFORMULA(XLOOKUP(FILTER(INDIRECT(""'""&amp;CV$1&amp;""'!$C$4:$C$66""),INDIRECT(""'""&amp;CV$1&amp;""'!$D$4:$D$66"")=CV$2),$F$3:$BP$3,$F94:$BP94)))"),-0.40098445)</f>
        <v>-0.40098445</v>
      </c>
      <c r="CW94" s="207" t="str">
        <f>IFERROR(__xludf.DUMMYFUNCTION("IF(OR(CV94&gt;$BR94+$BS94*$BS$2,CV94&lt;$BR94-$BS94*$BS$2),AVEDEV(ARRAYFORMULA(XLOOKUP(FILTER(INDIRECT(""'""&amp;CV$1&amp;""'!$C$4:$C$66""),INDIRECT(""'""&amp;CV$1&amp;""'!$D$4:$D$66"")=CV$2),$F$3:$BP$3,$F94:$BP94))),"""")"),"")</f>
        <v/>
      </c>
      <c r="CX94" s="251">
        <f>IFERROR(__xludf.DUMMYFUNCTION("AVERAGE(ARRAYFORMULA(XLOOKUP(FILTER(INDIRECT(""'""&amp;CX$1&amp;""'!$C$4:$C$66""),INDIRECT(""'""&amp;CX$1&amp;""'!$D$4:$D$66"")=CX$2),$F$3:$BP$3,$F94:$BP94)))"),0.36059573357142854)</f>
        <v>0.3605957336</v>
      </c>
      <c r="CY94" s="207" t="str">
        <f>IFERROR(__xludf.DUMMYFUNCTION("IF(OR(CX94&gt;$BR94+$BS94*$BS$2,CX94&lt;$BR94-$BS94*$BS$2),AVEDEV(ARRAYFORMULA(XLOOKUP(FILTER(INDIRECT(""'""&amp;CX$1&amp;""'!$C$4:$C$66""),INDIRECT(""'""&amp;CX$1&amp;""'!$D$4:$D$66"")=CX$2),$F$3:$BP$3,$F94:$BP94))),"""")"),"")</f>
        <v/>
      </c>
      <c r="CZ94" s="252"/>
      <c r="DA94" s="251">
        <f>IFERROR(__xludf.DUMMYFUNCTION("AVERAGE(ARRAYFORMULA(XLOOKUP(FILTER(INDIRECT(""'""&amp;DA$1&amp;""'!$C$4:$C$66""),INDIRECT(""'""&amp;DA$1&amp;""'!$D$4:$D$66"")=DA$2),$F$3:$BP$3,$F94:$BP94)))"),0.1511314386666667)</f>
        <v>0.1511314387</v>
      </c>
      <c r="DB94" s="207" t="str">
        <f>IFERROR(__xludf.DUMMYFUNCTION("IF(OR(DA94&gt;$BR94+$BS94*$BS$2,DA94&lt;$BR94-$BS94*$BS$2),AVEDEV(ARRAYFORMULA(XLOOKUP(FILTER(INDIRECT(""'""&amp;DA$1&amp;""'!$C$4:$C$66""),INDIRECT(""'""&amp;DA$1&amp;""'!$D$4:$D$66"")=DA$2),$F$3:$BP$3,$F94:$BP94))),"""")"),"")</f>
        <v/>
      </c>
      <c r="DC94" s="251">
        <f>IFERROR(__xludf.DUMMYFUNCTION("AVERAGE(ARRAYFORMULA(XLOOKUP(FILTER(INDIRECT(""'""&amp;DC$1&amp;""'!$C$4:$C$66""),INDIRECT(""'""&amp;DC$1&amp;""'!$D$4:$D$66"")=DC$2),$F$3:$BP$3,$F94:$BP94)))"),0.29560911999999995)</f>
        <v>0.29560912</v>
      </c>
      <c r="DD94" s="207" t="str">
        <f>IFERROR(__xludf.DUMMYFUNCTION("IF(OR(DC94&gt;$BR94+$BS94*$BS$2,DC94&lt;$BR94-$BS94*$BS$2),AVEDEV(ARRAYFORMULA(XLOOKUP(FILTER(INDIRECT(""'""&amp;DC$1&amp;""'!$C$4:$C$66""),INDIRECT(""'""&amp;DC$1&amp;""'!$D$4:$D$66"")=DC$2),$F$3:$BP$3,$F94:$BP94))),"""")"),"")</f>
        <v/>
      </c>
      <c r="DE94" s="251">
        <f>IFERROR(__xludf.DUMMYFUNCTION("AVERAGE(ARRAYFORMULA(XLOOKUP(FILTER(INDIRECT(""'""&amp;DE$1&amp;""'!$C$4:$C$66""),INDIRECT(""'""&amp;DE$1&amp;""'!$D$4:$D$66"")=DE$2),$F$3:$BP$3,$F94:$BP94)))"),-0.53276852125)</f>
        <v>-0.5327685213</v>
      </c>
      <c r="DF94" s="207" t="str">
        <f>IFERROR(__xludf.DUMMYFUNCTION("IF(OR(DE94&gt;$BR94+$BS94*$BS$2,DE94&lt;$BR94-$BS94*$BS$2),AVEDEV(ARRAYFORMULA(XLOOKUP(FILTER(INDIRECT(""'""&amp;DE$1&amp;""'!$C$4:$C$66""),INDIRECT(""'""&amp;DE$1&amp;""'!$D$4:$D$66"")=DE$2),$F$3:$BP$3,$F94:$BP94))),"""")"),"")</f>
        <v/>
      </c>
      <c r="DG94" s="251">
        <f>IFERROR(__xludf.DUMMYFUNCTION("AVERAGE(ARRAYFORMULA(XLOOKUP(FILTER(INDIRECT(""'""&amp;DG$1&amp;""'!$C$4:$C$66""),INDIRECT(""'""&amp;DG$1&amp;""'!$D$4:$D$66"")=DG$2),$F$3:$BP$3,$F94:$BP94)))"),0.14314163333333335)</f>
        <v>0.1431416333</v>
      </c>
      <c r="DH94" s="207" t="str">
        <f>IFERROR(__xludf.DUMMYFUNCTION("IF(OR(DG94&gt;$BR94+$BS94*$BS$2,DG94&lt;$BR94-$BS94*$BS$2),AVEDEV(ARRAYFORMULA(XLOOKUP(FILTER(INDIRECT(""'""&amp;DG$1&amp;""'!$C$4:$C$66""),INDIRECT(""'""&amp;DG$1&amp;""'!$D$4:$D$66"")=DG$2),$F$3:$BP$3,$F94:$BP94))),"""")"),"")</f>
        <v/>
      </c>
      <c r="DI94" s="252"/>
    </row>
    <row r="95">
      <c r="A95" s="2"/>
      <c r="B95" s="204" t="s">
        <v>507</v>
      </c>
      <c r="C95" s="204" t="s">
        <v>537</v>
      </c>
      <c r="D95" s="205" t="b">
        <f>VLOOKUP(C95,'Feature Set List'!A92:C246,2,0)</f>
        <v>1</v>
      </c>
      <c r="E95" s="205" t="b">
        <f>VLOOKUP(C95,'Feature Set List'!A92:C246,3,0)</f>
        <v>1</v>
      </c>
      <c r="F95" s="205">
        <v>0.0</v>
      </c>
      <c r="G95" s="205">
        <v>0.05877551</v>
      </c>
      <c r="H95" s="205">
        <v>2.73387755</v>
      </c>
      <c r="I95" s="205">
        <v>-0.1861224</v>
      </c>
      <c r="J95" s="205">
        <v>0.13795918</v>
      </c>
      <c r="K95" s="205">
        <v>-0.4179592</v>
      </c>
      <c r="L95" s="205">
        <v>-0.8971429</v>
      </c>
      <c r="M95" s="205">
        <v>-0.5110204</v>
      </c>
      <c r="N95" s="205">
        <v>1.17959184</v>
      </c>
      <c r="O95" s="205">
        <v>-0.3730612</v>
      </c>
      <c r="P95" s="205">
        <v>-0.0236735</v>
      </c>
      <c r="Q95" s="205">
        <v>-0.2277551</v>
      </c>
      <c r="R95" s="205">
        <v>0.44244898</v>
      </c>
      <c r="S95" s="205">
        <v>-0.515102</v>
      </c>
      <c r="T95" s="205">
        <v>-1.2963265</v>
      </c>
      <c r="U95" s="205">
        <v>-1.4506122</v>
      </c>
      <c r="V95" s="205">
        <v>0.03755102</v>
      </c>
      <c r="W95" s="205">
        <v>-0.8726531</v>
      </c>
      <c r="X95" s="205">
        <v>-0.2653061</v>
      </c>
      <c r="Y95" s="205">
        <v>-0.5183673</v>
      </c>
      <c r="Z95" s="205">
        <v>-0.1510204</v>
      </c>
      <c r="AA95" s="205">
        <v>-1.5869388</v>
      </c>
      <c r="AB95" s="205">
        <v>0.48571429</v>
      </c>
      <c r="AC95" s="205">
        <v>0.0244898</v>
      </c>
      <c r="AD95" s="205">
        <v>-0.2522449</v>
      </c>
      <c r="AE95" s="205">
        <v>0.10693878</v>
      </c>
      <c r="AF95" s="205">
        <v>0.46857143</v>
      </c>
      <c r="AG95" s="205">
        <v>-0.3314286</v>
      </c>
      <c r="AH95" s="205">
        <v>8.1633E-4</v>
      </c>
      <c r="AI95" s="205">
        <v>-1.9561633</v>
      </c>
      <c r="AJ95" s="205">
        <v>-0.6791837</v>
      </c>
      <c r="AK95" s="205">
        <v>0.19755102</v>
      </c>
      <c r="AL95" s="205">
        <v>0.64897959</v>
      </c>
      <c r="AM95" s="205">
        <v>-0.5706122</v>
      </c>
      <c r="AN95" s="205">
        <v>-1.1142857</v>
      </c>
      <c r="AO95" s="205">
        <v>-1.2081633</v>
      </c>
      <c r="AP95" s="205">
        <v>1.07183673</v>
      </c>
      <c r="AQ95" s="205">
        <v>-1.0897959</v>
      </c>
      <c r="AR95" s="205">
        <v>0.39020408</v>
      </c>
      <c r="AS95" s="205">
        <v>0.66612245</v>
      </c>
      <c r="AT95" s="205">
        <v>-1.5061224</v>
      </c>
      <c r="AU95" s="205">
        <v>1.67102041</v>
      </c>
      <c r="AV95" s="205">
        <v>0.1355102</v>
      </c>
      <c r="AW95" s="205">
        <v>-1.2261224</v>
      </c>
      <c r="AX95" s="205">
        <v>0.7877551</v>
      </c>
      <c r="AY95" s="205">
        <v>0.88163265</v>
      </c>
      <c r="AZ95" s="205">
        <v>0.16326531</v>
      </c>
      <c r="BA95" s="205">
        <v>0.42530612</v>
      </c>
      <c r="BB95" s="205">
        <v>2.23102041</v>
      </c>
      <c r="BC95" s="205">
        <v>-0.1706122</v>
      </c>
      <c r="BD95" s="205">
        <v>-1.5004082</v>
      </c>
      <c r="BE95" s="205">
        <v>0.10367347</v>
      </c>
      <c r="BF95" s="205">
        <v>1.45632653</v>
      </c>
      <c r="BG95" s="205">
        <v>0.18204082</v>
      </c>
      <c r="BH95" s="205">
        <v>-0.1004082</v>
      </c>
      <c r="BI95" s="205">
        <v>1.59428571</v>
      </c>
      <c r="BJ95" s="205">
        <v>0.92734694</v>
      </c>
      <c r="BK95" s="205">
        <v>-1.7006531</v>
      </c>
      <c r="BL95" s="205">
        <v>-0.0742857</v>
      </c>
      <c r="BM95" s="205">
        <v>0.39918367</v>
      </c>
      <c r="BN95" s="205">
        <v>1.67918367</v>
      </c>
      <c r="BO95" s="205">
        <v>-1.0995918</v>
      </c>
      <c r="BP95" s="205">
        <v>0.50612245</v>
      </c>
      <c r="BQ95" s="206"/>
      <c r="BR95" s="250">
        <f t="shared" si="1"/>
        <v>-0.03298477238</v>
      </c>
      <c r="BS95" s="250">
        <f t="shared" si="2"/>
        <v>0.7257119374</v>
      </c>
      <c r="BT95" s="206"/>
      <c r="BU95" s="207">
        <f>IFERROR(__xludf.DUMMYFUNCTION("AVERAGE(ARRAYFORMULA(XLOOKUP(FILTER(INDIRECT(""'""&amp;BU$1&amp;""'!$C$4:$C$66""),INDIRECT(""'""&amp;BU$1&amp;""'!$D$4:$D$66"")=BU$2),$F$3:$BP$3,$F95:$BP95)))"),-0.7530379114285715)</f>
        <v>-0.7530379114</v>
      </c>
      <c r="BV95" s="207" t="str">
        <f>IFERROR(__xludf.DUMMYFUNCTION("IF(OR(BU95&gt;$BR95+$BS95*$BS$2,BU95&lt;$BR95-$BS95*$BS$2),AVEDEV(ARRAYFORMULA(XLOOKUP(FILTER(INDIRECT(""'""&amp;BU$1&amp;""'!$C$4:$C$66""),INDIRECT(""'""&amp;BU$1&amp;""'!$D$4:$D$66"")=BU$2),$F$3:$BP$3,$F95:$BP95))),"""")"),"")</f>
        <v/>
      </c>
      <c r="BW95" s="207">
        <f>IFERROR(__xludf.DUMMYFUNCTION("AVERAGE(ARRAYFORMULA(XLOOKUP(FILTER(INDIRECT(""'""&amp;BW$1&amp;""'!$C$4:$C$66""),INDIRECT(""'""&amp;BW$1&amp;""'!$D$4:$D$66"")=BW$2),$F$3:$BP$3,$F95:$BP95)))"),0.08308455023809526)</f>
        <v>0.08308455024</v>
      </c>
      <c r="BX95" s="207" t="str">
        <f>IFERROR(__xludf.DUMMYFUNCTION("IF(OR(BW95&gt;$BR95+$BS95*$BS$2,BW95&lt;$BR95-$BS95*$BS$2),AVEDEV(ARRAYFORMULA(XLOOKUP(FILTER(INDIRECT(""'""&amp;BW$1&amp;""'!$C$4:$C$66""),INDIRECT(""'""&amp;BW$1&amp;""'!$D$4:$D$66"")=BW$2),$F$3:$BP$3,$F95:$BP95))),"""")"),"")</f>
        <v/>
      </c>
      <c r="BY95" s="207">
        <f>IFERROR(__xludf.DUMMYFUNCTION("AVERAGE(ARRAYFORMULA(XLOOKUP(FILTER(INDIRECT(""'""&amp;BY$1&amp;""'!$C$4:$C$66""),INDIRECT(""'""&amp;BY$1&amp;""'!$D$4:$D$66"")=BY$2),$F$3:$BP$3,$F95:$BP95)))"),-0.12304266727272725)</f>
        <v>-0.1230426673</v>
      </c>
      <c r="BZ95" s="207" t="str">
        <f>IFERROR(__xludf.DUMMYFUNCTION("IF(OR(BY95&gt;$BR95+$BS95*$BS$2,BY95&lt;$BR95-$BS95*$BS$2),AVEDEV(ARRAYFORMULA(XLOOKUP(FILTER(INDIRECT(""'""&amp;BY$1&amp;""'!$C$4:$C$66""),INDIRECT(""'""&amp;BY$1&amp;""'!$D$4:$D$66"")=BY$2),$F$3:$BP$3,$F95:$BP95))),"""")"),"")</f>
        <v/>
      </c>
      <c r="CA95" s="209"/>
      <c r="CB95" s="207">
        <f>IFERROR(__xludf.DUMMYFUNCTION("AVERAGE(ARRAYFORMULA(XLOOKUP(FILTER(INDIRECT(""'""&amp;CB$1&amp;""'!$C$4:$C$66""),INDIRECT(""'""&amp;CB$1&amp;""'!$D$4:$D$66"")=CB$2),$F$3:$BP$3,$F95:$BP95)))"),-0.15719387375)</f>
        <v>-0.1571938738</v>
      </c>
      <c r="CC95" s="207" t="str">
        <f>IFERROR(__xludf.DUMMYFUNCTION("IF(OR(CB95&gt;$BR95+$BS95*$BS$2,CB95&lt;$BR95-$BS95*$BS$2),AVEDEV(ARRAYFORMULA(XLOOKUP(FILTER(INDIRECT(""'""&amp;CB$1&amp;""'!$C$4:$C$66""),INDIRECT(""'""&amp;CB$1&amp;""'!$D$4:$D$66"")=CB$2),$F$3:$BP$3,$F95:$BP95))),"""")"),"")</f>
        <v/>
      </c>
      <c r="CD95" s="207">
        <f>IFERROR(__xludf.DUMMYFUNCTION("AVERAGE(ARRAYFORMULA(XLOOKUP(FILTER(INDIRECT(""'""&amp;CD$1&amp;""'!$C$4:$C$66""),INDIRECT(""'""&amp;CD$1&amp;""'!$D$4:$D$66"")=CD$2),$F$3:$BP$3,$F95:$BP95)))"),0.08570638322580641)</f>
        <v>0.08570638323</v>
      </c>
      <c r="CE95" s="207" t="str">
        <f>IFERROR(__xludf.DUMMYFUNCTION("IF(OR(CD95&gt;$BR95+$BS95*$BS$2,CD95&lt;$BR95-$BS95*$BS$2),AVEDEV(ARRAYFORMULA(XLOOKUP(FILTER(INDIRECT(""'""&amp;CD$1&amp;""'!$C$4:$C$66""),INDIRECT(""'""&amp;CD$1&amp;""'!$D$4:$D$66"")=CD$2),$F$3:$BP$3,$F95:$BP95))),"""")"),"")</f>
        <v/>
      </c>
      <c r="CF95" s="207">
        <f>IFERROR(__xludf.DUMMYFUNCTION("AVERAGE(ARRAYFORMULA(XLOOKUP(FILTER(INDIRECT(""'""&amp;CF$1&amp;""'!$C$4:$C$66""),INDIRECT(""'""&amp;CF$1&amp;""'!$D$4:$D$66"")=CF$2),$F$3:$BP$3,$F95:$BP95)))"),0.22432654400000002)</f>
        <v>0.224326544</v>
      </c>
      <c r="CG95" s="207" t="str">
        <f>IFERROR(__xludf.DUMMYFUNCTION("IF(OR(CF95&gt;$BR95+$BS95*$BS$2,CF95&lt;$BR95-$BS95*$BS$2),AVEDEV(ARRAYFORMULA(XLOOKUP(FILTER(INDIRECT(""'""&amp;CF$1&amp;""'!$C$4:$C$66""),INDIRECT(""'""&amp;CF$1&amp;""'!$D$4:$D$66"")=CF$2),$F$3:$BP$3,$F95:$BP95))),"""")"),"")</f>
        <v/>
      </c>
      <c r="CH95" s="206"/>
      <c r="CI95" s="251">
        <f>IFERROR(__xludf.DUMMYFUNCTION("AVERAGE(ARRAYFORMULA(XLOOKUP(FILTER(INDIRECT(""'""&amp;CI$1&amp;""'!$C$4:$C$66""),INDIRECT(""'""&amp;CI$1&amp;""'!$D$4:$D$66"")=CI$2),$F$3:$BP$3,$F95:$BP95)))"),-0.23902041133333335)</f>
        <v>-0.2390204113</v>
      </c>
      <c r="CJ95" s="207" t="str">
        <f>IFERROR(__xludf.DUMMYFUNCTION("IF(OR(CI95&gt;$BR95+$BS95*$BS$2,CI95&lt;$BR95-$BS95*$BS$2),AVEDEV(ARRAYFORMULA(XLOOKUP(FILTER(INDIRECT(""'""&amp;CI$1&amp;""'!$C$4:$C$66""),INDIRECT(""'""&amp;CI$1&amp;""'!$D$4:$D$66"")=CI$2),$F$3:$BP$3,$F95:$BP95))),"""")"),"")</f>
        <v/>
      </c>
      <c r="CK95" s="251">
        <f>IFERROR(__xludf.DUMMYFUNCTION("AVERAGE(ARRAYFORMULA(XLOOKUP(FILTER(INDIRECT(""'""&amp;CK$1&amp;""'!$C$4:$C$66""),INDIRECT(""'""&amp;CK$1&amp;""'!$D$4:$D$66"")=CK$2),$F$3:$BP$3,$F95:$BP95)))"),0.02638828051282052)</f>
        <v>0.02638828051</v>
      </c>
      <c r="CL95" s="207" t="str">
        <f>IFERROR(__xludf.DUMMYFUNCTION("IF(OR(CK95&gt;$BR95+$BS95*$BS$2,CK95&lt;$BR95-$BS95*$BS$2),AVEDEV(ARRAYFORMULA(XLOOKUP(FILTER(INDIRECT(""'""&amp;CK$1&amp;""'!$C$4:$C$66""),INDIRECT(""'""&amp;CK$1&amp;""'!$D$4:$D$66"")=CK$2),$F$3:$BP$3,$F95:$BP95))),"""")"),"")</f>
        <v/>
      </c>
      <c r="CM95" s="253">
        <f>IFERROR(__xludf.DUMMYFUNCTION("AVERAGE(ARRAYFORMULA(XLOOKUP(FILTER(INDIRECT(""'""&amp;CM$1&amp;""'!$C$4:$C$66""),INDIRECT(""'""&amp;CM$1&amp;""'!$D$4:$D$66"")=CM$2),$F$3:$BP$3,$F95:$BP95)))"),0.22432654400000002)</f>
        <v>0.224326544</v>
      </c>
      <c r="CN95" s="207" t="str">
        <f>IFERROR(__xludf.DUMMYFUNCTION("IF(OR(CM95&gt;$BR95+$BS95*$BS$2,CM95&lt;$BR95-$BS95*$BS$2),AVEDEV(ARRAYFORMULA(XLOOKUP(FILTER(INDIRECT(""'""&amp;CM$1&amp;""'!$C$4:$C$66""),INDIRECT(""'""&amp;CM$1&amp;""'!$D$4:$D$66"")=CM$2),$F$3:$BP$3,$F95:$BP95))),"""")"),"")</f>
        <v/>
      </c>
      <c r="CO95" s="252"/>
      <c r="CP95" s="251">
        <f>IFERROR(__xludf.DUMMYFUNCTION("AVERAGE(ARRAYFORMULA(XLOOKUP(FILTER(INDIRECT(""'""&amp;CP$1&amp;""'!$C$4:$C$66""),INDIRECT(""'""&amp;CP$1&amp;""'!$D$4:$D$66"")=CP$2),$F$3:$BP$3,$F95:$BP95)))"),-0.09451894785714289)</f>
        <v>-0.09451894786</v>
      </c>
      <c r="CQ95" s="207" t="str">
        <f>IFERROR(__xludf.DUMMYFUNCTION("IF(OR(CP95&gt;$BR95+$BS95*$BS$2,CP95&lt;$BR95-$BS95*$BS$2),AVEDEV(ARRAYFORMULA(XLOOKUP(FILTER(INDIRECT(""'""&amp;CP$1&amp;""'!$C$4:$C$66""),INDIRECT(""'""&amp;CP$1&amp;""'!$D$4:$D$66"")=CP$2),$F$3:$BP$3,$F95:$BP95))),"""")"),"")</f>
        <v/>
      </c>
      <c r="CR95" s="251">
        <f>IFERROR(__xludf.DUMMYFUNCTION("AVERAGE(ARRAYFORMULA(XLOOKUP(FILTER(INDIRECT(""'""&amp;CR$1&amp;""'!$C$4:$C$66""),INDIRECT(""'""&amp;CR$1&amp;""'!$D$4:$D$66"")=CR$2),$F$3:$BP$3,$F95:$BP95)))"),-0.2400906988888889)</f>
        <v>-0.2400906989</v>
      </c>
      <c r="CS95" s="207" t="str">
        <f>IFERROR(__xludf.DUMMYFUNCTION("IF(OR(CR95&gt;$BR95+$BS95*$BS$2,CR95&lt;$BR95-$BS95*$BS$2),AVEDEV(ARRAYFORMULA(XLOOKUP(FILTER(INDIRECT(""'""&amp;CR$1&amp;""'!$C$4:$C$66""),INDIRECT(""'""&amp;CR$1&amp;""'!$D$4:$D$66"")=CR$2),$F$3:$BP$3,$F95:$BP95))),"""")"),"")</f>
        <v/>
      </c>
      <c r="CT95" s="251">
        <f>IFERROR(__xludf.DUMMYFUNCTION("AVERAGE(ARRAYFORMULA(XLOOKUP(FILTER(INDIRECT(""'""&amp;CT$1&amp;""'!$C$4:$C$66""),INDIRECT(""'""&amp;CT$1&amp;""'!$D$4:$D$66"")=CT$2),$F$3:$BP$3,$F95:$BP95)))"),0.5329127972727273)</f>
        <v>0.5329127973</v>
      </c>
      <c r="CU95" s="207" t="str">
        <f>IFERROR(__xludf.DUMMYFUNCTION("IF(OR(CT95&gt;$BR95+$BS95*$BS$2,CT95&lt;$BR95-$BS95*$BS$2),AVEDEV(ARRAYFORMULA(XLOOKUP(FILTER(INDIRECT(""'""&amp;CT$1&amp;""'!$C$4:$C$66""),INDIRECT(""'""&amp;CT$1&amp;""'!$D$4:$D$66"")=CT$2),$F$3:$BP$3,$F95:$BP95))),"""")"),"")</f>
        <v/>
      </c>
      <c r="CV95" s="251">
        <f>IFERROR(__xludf.DUMMYFUNCTION("AVERAGE(ARRAYFORMULA(XLOOKUP(FILTER(INDIRECT(""'""&amp;CV$1&amp;""'!$C$4:$C$66""),INDIRECT(""'""&amp;CV$1&amp;""'!$D$4:$D$66"")=CV$2),$F$3:$BP$3,$F95:$BP95)))"),0.10326531)</f>
        <v>0.10326531</v>
      </c>
      <c r="CW95" s="207" t="str">
        <f>IFERROR(__xludf.DUMMYFUNCTION("IF(OR(CV95&gt;$BR95+$BS95*$BS$2,CV95&lt;$BR95-$BS95*$BS$2),AVEDEV(ARRAYFORMULA(XLOOKUP(FILTER(INDIRECT(""'""&amp;CV$1&amp;""'!$C$4:$C$66""),INDIRECT(""'""&amp;CV$1&amp;""'!$D$4:$D$66"")=CV$2),$F$3:$BP$3,$F95:$BP95))),"""")"),"")</f>
        <v/>
      </c>
      <c r="CX95" s="253">
        <f>IFERROR(__xludf.DUMMYFUNCTION("AVERAGE(ARRAYFORMULA(XLOOKUP(FILTER(INDIRECT(""'""&amp;CX$1&amp;""'!$C$4:$C$66""),INDIRECT(""'""&amp;CX$1&amp;""'!$D$4:$D$66"")=CX$2),$F$3:$BP$3,$F95:$BP95)))"),-0.06444897285714282)</f>
        <v>-0.06444897286</v>
      </c>
      <c r="CY95" s="207" t="str">
        <f>IFERROR(__xludf.DUMMYFUNCTION("IF(OR(CX95&gt;$BR95+$BS95*$BS$2,CX95&lt;$BR95-$BS95*$BS$2),AVEDEV(ARRAYFORMULA(XLOOKUP(FILTER(INDIRECT(""'""&amp;CX$1&amp;""'!$C$4:$C$66""),INDIRECT(""'""&amp;CX$1&amp;""'!$D$4:$D$66"")=CX$2),$F$3:$BP$3,$F95:$BP95))),"""")"),"")</f>
        <v/>
      </c>
      <c r="CZ95" s="252"/>
      <c r="DA95" s="251">
        <f>IFERROR(__xludf.DUMMYFUNCTION("AVERAGE(ARRAYFORMULA(XLOOKUP(FILTER(INDIRECT(""'""&amp;DA$1&amp;""'!$C$4:$C$66""),INDIRECT(""'""&amp;DA$1&amp;""'!$D$4:$D$66"")=DA$2),$F$3:$BP$3,$F95:$BP95)))"),-0.030448977666666675)</f>
        <v>-0.03044897767</v>
      </c>
      <c r="DB95" s="207" t="str">
        <f>IFERROR(__xludf.DUMMYFUNCTION("IF(OR(DA95&gt;$BR95+$BS95*$BS$2,DA95&lt;$BR95-$BS95*$BS$2),AVEDEV(ARRAYFORMULA(XLOOKUP(FILTER(INDIRECT(""'""&amp;DA$1&amp;""'!$C$4:$C$66""),INDIRECT(""'""&amp;DA$1&amp;""'!$D$4:$D$66"")=DA$2),$F$3:$BP$3,$F95:$BP95))),"""")"),"")</f>
        <v/>
      </c>
      <c r="DC95" s="251">
        <f>IFERROR(__xludf.DUMMYFUNCTION("AVERAGE(ARRAYFORMULA(XLOOKUP(FILTER(INDIRECT(""'""&amp;DC$1&amp;""'!$C$4:$C$66""),INDIRECT(""'""&amp;DC$1&amp;""'!$D$4:$D$66"")=DC$2),$F$3:$BP$3,$F95:$BP95)))"),-0.04507936222222221)</f>
        <v>-0.04507936222</v>
      </c>
      <c r="DD95" s="207" t="str">
        <f>IFERROR(__xludf.DUMMYFUNCTION("IF(OR(DC95&gt;$BR95+$BS95*$BS$2,DC95&lt;$BR95-$BS95*$BS$2),AVEDEV(ARRAYFORMULA(XLOOKUP(FILTER(INDIRECT(""'""&amp;DC$1&amp;""'!$C$4:$C$66""),INDIRECT(""'""&amp;DC$1&amp;""'!$D$4:$D$66"")=DC$2),$F$3:$BP$3,$F95:$BP95))),"""")"),"")</f>
        <v/>
      </c>
      <c r="DE95" s="251">
        <f>IFERROR(__xludf.DUMMYFUNCTION("AVERAGE(ARRAYFORMULA(XLOOKUP(FILTER(INDIRECT(""'""&amp;DE$1&amp;""'!$C$4:$C$66""),INDIRECT(""'""&amp;DE$1&amp;""'!$D$4:$D$66"")=DE$2),$F$3:$BP$3,$F95:$BP95)))"),-0.042479591250000004)</f>
        <v>-0.04247959125</v>
      </c>
      <c r="DF95" s="207" t="str">
        <f>IFERROR(__xludf.DUMMYFUNCTION("IF(OR(DE95&gt;$BR95+$BS95*$BS$2,DE95&lt;$BR95-$BS95*$BS$2),AVEDEV(ARRAYFORMULA(XLOOKUP(FILTER(INDIRECT(""'""&amp;DE$1&amp;""'!$C$4:$C$66""),INDIRECT(""'""&amp;DE$1&amp;""'!$D$4:$D$66"")=DE$2),$F$3:$BP$3,$F95:$BP95))),"""")"),"")</f>
        <v/>
      </c>
      <c r="DG95" s="251">
        <f>IFERROR(__xludf.DUMMYFUNCTION("AVERAGE(ARRAYFORMULA(XLOOKUP(FILTER(INDIRECT(""'""&amp;DG$1&amp;""'!$C$4:$C$66""),INDIRECT(""'""&amp;DG$1&amp;""'!$D$4:$D$66"")=DG$2),$F$3:$BP$3,$F95:$BP95)))"),0.3668027233333333)</f>
        <v>0.3668027233</v>
      </c>
      <c r="DH95" s="207" t="str">
        <f>IFERROR(__xludf.DUMMYFUNCTION("IF(OR(DG95&gt;$BR95+$BS95*$BS$2,DG95&lt;$BR95-$BS95*$BS$2),AVEDEV(ARRAYFORMULA(XLOOKUP(FILTER(INDIRECT(""'""&amp;DG$1&amp;""'!$C$4:$C$66""),INDIRECT(""'""&amp;DG$1&amp;""'!$D$4:$D$66"")=DG$2),$F$3:$BP$3,$F95:$BP95))),"""")"),"")</f>
        <v/>
      </c>
      <c r="DI95" s="252"/>
    </row>
    <row r="96">
      <c r="A96" s="2"/>
      <c r="B96" s="204" t="s">
        <v>507</v>
      </c>
      <c r="C96" s="204" t="s">
        <v>538</v>
      </c>
      <c r="D96" s="205" t="b">
        <f>VLOOKUP(C96,'Feature Set List'!A93:C246,2,0)</f>
        <v>1</v>
      </c>
      <c r="E96" s="205" t="b">
        <f>VLOOKUP(C96,'Feature Set List'!A93:C246,3,0)</f>
        <v>1</v>
      </c>
      <c r="F96" s="205">
        <v>1.20652711</v>
      </c>
      <c r="G96" s="205">
        <v>0.62963573</v>
      </c>
      <c r="H96" s="205">
        <v>0.99115433</v>
      </c>
      <c r="I96" s="205">
        <v>0.49228064</v>
      </c>
      <c r="J96" s="205">
        <v>0.51755398</v>
      </c>
      <c r="K96" s="205">
        <v>-0.2318554</v>
      </c>
      <c r="L96" s="205">
        <v>-0.1660348</v>
      </c>
      <c r="M96" s="205">
        <v>-0.3265755</v>
      </c>
      <c r="N96" s="205">
        <v>1.3142135</v>
      </c>
      <c r="O96" s="205">
        <v>0.06955662</v>
      </c>
      <c r="P96" s="205">
        <v>-0.2965771</v>
      </c>
      <c r="Q96" s="205">
        <v>-0.0883468</v>
      </c>
      <c r="R96" s="205">
        <v>0.23218504</v>
      </c>
      <c r="S96" s="205">
        <v>-0.1710895</v>
      </c>
      <c r="T96" s="205">
        <v>-0.7472117</v>
      </c>
      <c r="U96" s="205">
        <v>-0.0861491</v>
      </c>
      <c r="V96" s="205">
        <v>-0.1949343</v>
      </c>
      <c r="W96" s="205">
        <v>-0.6833581</v>
      </c>
      <c r="X96" s="205">
        <v>0.73951981</v>
      </c>
      <c r="Y96" s="205">
        <v>-0.6068897</v>
      </c>
      <c r="Z96" s="205">
        <v>-0.6099665</v>
      </c>
      <c r="AA96" s="205">
        <v>-0.6485138</v>
      </c>
      <c r="AB96" s="205">
        <v>0.30020329</v>
      </c>
      <c r="AC96" s="205">
        <v>-0.2446019</v>
      </c>
      <c r="AD96" s="205">
        <v>-0.0364815</v>
      </c>
      <c r="AE96" s="205">
        <v>0.59227515</v>
      </c>
      <c r="AF96" s="205">
        <v>-0.2317455</v>
      </c>
      <c r="AG96" s="205">
        <v>-0.250206</v>
      </c>
      <c r="AH96" s="205">
        <v>0.90544476</v>
      </c>
      <c r="AI96" s="205">
        <v>-0.6608098</v>
      </c>
      <c r="AJ96" s="205">
        <v>-0.1330696</v>
      </c>
      <c r="AK96" s="205">
        <v>0.03087742</v>
      </c>
      <c r="AL96" s="205">
        <v>0.26185374</v>
      </c>
      <c r="AM96" s="205">
        <v>0.35822208</v>
      </c>
      <c r="AN96" s="205">
        <v>-0.7472117</v>
      </c>
      <c r="AO96" s="205">
        <v>-0.6144717</v>
      </c>
      <c r="AP96" s="205">
        <v>1.57793528</v>
      </c>
      <c r="AQ96" s="205">
        <v>-0.0953794</v>
      </c>
      <c r="AR96" s="205">
        <v>0.70875227</v>
      </c>
      <c r="AS96" s="205">
        <v>0.68128125</v>
      </c>
      <c r="AT96" s="205">
        <v>-0.7472117</v>
      </c>
      <c r="AU96" s="205">
        <v>1.07246855</v>
      </c>
      <c r="AV96" s="205">
        <v>-0.231306</v>
      </c>
      <c r="AW96" s="205">
        <v>-0.6395473</v>
      </c>
      <c r="AX96" s="205">
        <v>-0.718466</v>
      </c>
      <c r="AY96" s="205">
        <v>0.30306027</v>
      </c>
      <c r="AZ96" s="205">
        <v>1.11642217</v>
      </c>
      <c r="BA96" s="205">
        <v>-0.6794791</v>
      </c>
      <c r="BB96" s="205">
        <v>1.72298225</v>
      </c>
      <c r="BC96" s="205">
        <v>0.11988352</v>
      </c>
      <c r="BD96" s="205">
        <v>-0.6763145</v>
      </c>
      <c r="BE96" s="205">
        <v>1.30432394</v>
      </c>
      <c r="BF96" s="205">
        <v>0.69556618</v>
      </c>
      <c r="BG96" s="205">
        <v>0.03648151</v>
      </c>
      <c r="BH96" s="205">
        <v>-0.2081204</v>
      </c>
      <c r="BI96" s="205">
        <v>1.79001154</v>
      </c>
      <c r="BJ96" s="205">
        <v>1.36366134</v>
      </c>
      <c r="BK96" s="205">
        <v>-0.563046</v>
      </c>
      <c r="BL96" s="205">
        <v>-0.7015549</v>
      </c>
      <c r="BM96" s="205">
        <v>0.65051371</v>
      </c>
      <c r="BN96" s="205">
        <v>2.57348497</v>
      </c>
      <c r="BO96" s="205">
        <v>0.0</v>
      </c>
      <c r="BP96" s="205">
        <v>0.7043569</v>
      </c>
      <c r="BQ96" s="206"/>
      <c r="BR96" s="250">
        <f t="shared" si="1"/>
        <v>0.1908914849</v>
      </c>
      <c r="BS96" s="250">
        <f t="shared" si="2"/>
        <v>0.6238672917</v>
      </c>
      <c r="BT96" s="206"/>
      <c r="BU96" s="207">
        <f>IFERROR(__xludf.DUMMYFUNCTION("AVERAGE(ARRAYFORMULA(XLOOKUP(FILTER(INDIRECT(""'""&amp;BU$1&amp;""'!$C$4:$C$66""),INDIRECT(""'""&amp;BU$1&amp;""'!$D$4:$D$66"")=BU$2),$F$3:$BP$3,$F96:$BP96)))"),-0.6878695857142859)</f>
        <v>-0.6878695857</v>
      </c>
      <c r="BV96" s="207">
        <f>IFERROR(__xludf.DUMMYFUNCTION("IF(OR(BU96&gt;$BR96+$BS96*$BS$2,BU96&lt;$BR96-$BS96*$BS$2),AVEDEV(ARRAYFORMULA(XLOOKUP(FILTER(INDIRECT(""'""&amp;BU$1&amp;""'!$C$4:$C$66""),INDIRECT(""'""&amp;BU$1&amp;""'!$D$4:$D$66"")=BU$2),$F$3:$BP$3,$F96:$BP96))),"""")"),0.042651612244897996)</f>
        <v>0.04265161224</v>
      </c>
      <c r="BW96" s="207">
        <f>IFERROR(__xludf.DUMMYFUNCTION("AVERAGE(ARRAYFORMULA(XLOOKUP(FILTER(INDIRECT(""'""&amp;BW$1&amp;""'!$C$4:$C$66""),INDIRECT(""'""&amp;BW$1&amp;""'!$D$4:$D$66"")=BW$2),$F$3:$BP$3,$F96:$BP96)))"),0.33132219690476183)</f>
        <v>0.3313221969</v>
      </c>
      <c r="BX96" s="207" t="str">
        <f>IFERROR(__xludf.DUMMYFUNCTION("IF(OR(BW96&gt;$BR96+$BS96*$BS$2,BW96&lt;$BR96-$BS96*$BS$2),AVEDEV(ARRAYFORMULA(XLOOKUP(FILTER(INDIRECT(""'""&amp;BW$1&amp;""'!$C$4:$C$66""),INDIRECT(""'""&amp;BW$1&amp;""'!$D$4:$D$66"")=BW$2),$F$3:$BP$3,$F96:$BP96))),"""")"),"")</f>
        <v/>
      </c>
      <c r="BY96" s="207">
        <f>IFERROR(__xludf.DUMMYFUNCTION("AVERAGE(ARRAYFORMULA(XLOOKUP(FILTER(INDIRECT(""'""&amp;BY$1&amp;""'!$C$4:$C$66""),INDIRECT(""'""&amp;BY$1&amp;""'!$D$4:$D$66"")=BY$2),$F$3:$BP$3,$F96:$BP96)))"),0.23289929363636366)</f>
        <v>0.2328992936</v>
      </c>
      <c r="BZ96" s="207" t="str">
        <f>IFERROR(__xludf.DUMMYFUNCTION("IF(OR(BY96&gt;$BR96+$BS96*$BS$2,BY96&lt;$BR96-$BS96*$BS$2),AVEDEV(ARRAYFORMULA(XLOOKUP(FILTER(INDIRECT(""'""&amp;BY$1&amp;""'!$C$4:$C$66""),INDIRECT(""'""&amp;BY$1&amp;""'!$D$4:$D$66"")=BY$2),$F$3:$BP$3,$F96:$BP96))),"""")"),"")</f>
        <v/>
      </c>
      <c r="CA96" s="209"/>
      <c r="CB96" s="207">
        <f>IFERROR(__xludf.DUMMYFUNCTION("AVERAGE(ARRAYFORMULA(XLOOKUP(FILTER(INDIRECT(""'""&amp;CB$1&amp;""'!$C$4:$C$66""),INDIRECT(""'""&amp;CB$1&amp;""'!$D$4:$D$66"")=CB$2),$F$3:$BP$3,$F96:$BP96)))"),0.1888728675)</f>
        <v>0.1888728675</v>
      </c>
      <c r="CC96" s="207" t="str">
        <f>IFERROR(__xludf.DUMMYFUNCTION("IF(OR(CB96&gt;$BR96+$BS96*$BS$2,CB96&lt;$BR96-$BS96*$BS$2),AVEDEV(ARRAYFORMULA(XLOOKUP(FILTER(INDIRECT(""'""&amp;CB$1&amp;""'!$C$4:$C$66""),INDIRECT(""'""&amp;CB$1&amp;""'!$D$4:$D$66"")=CB$2),$F$3:$BP$3,$F96:$BP96))),"""")"),"")</f>
        <v/>
      </c>
      <c r="CD96" s="207">
        <f>IFERROR(__xludf.DUMMYFUNCTION("AVERAGE(ARRAYFORMULA(XLOOKUP(FILTER(INDIRECT(""'""&amp;CD$1&amp;""'!$C$4:$C$66""),INDIRECT(""'""&amp;CD$1&amp;""'!$D$4:$D$66"")=CD$2),$F$3:$BP$3,$F96:$BP96)))"),0.1893951322580645)</f>
        <v>0.1893951323</v>
      </c>
      <c r="CE96" s="207" t="str">
        <f>IFERROR(__xludf.DUMMYFUNCTION("IF(OR(CD96&gt;$BR96+$BS96*$BS$2,CD96&lt;$BR96-$BS96*$BS$2),AVEDEV(ARRAYFORMULA(XLOOKUP(FILTER(INDIRECT(""'""&amp;CD$1&amp;""'!$C$4:$C$66""),INDIRECT(""'""&amp;CD$1&amp;""'!$D$4:$D$66"")=CD$2),$F$3:$BP$3,$F96:$BP96))),"""")"),"")</f>
        <v/>
      </c>
      <c r="CF96" s="207">
        <f>IFERROR(__xludf.DUMMYFUNCTION("AVERAGE(ARRAYFORMULA(XLOOKUP(FILTER(INDIRECT(""'""&amp;CF$1&amp;""'!$C$4:$C$66""),INDIRECT(""'""&amp;CF$1&amp;""'!$D$4:$D$66"")=CF$2),$F$3:$BP$3,$F96:$BP96)))"),0.483841548)</f>
        <v>0.483841548</v>
      </c>
      <c r="CG96" s="207" t="str">
        <f>IFERROR(__xludf.DUMMYFUNCTION("IF(OR(CF96&gt;$BR96+$BS96*$BS$2,CF96&lt;$BR96-$BS96*$BS$2),AVEDEV(ARRAYFORMULA(XLOOKUP(FILTER(INDIRECT(""'""&amp;CF$1&amp;""'!$C$4:$C$66""),INDIRECT(""'""&amp;CF$1&amp;""'!$D$4:$D$66"")=CF$2),$F$3:$BP$3,$F96:$BP96))),"""")"),"")</f>
        <v/>
      </c>
      <c r="CH96" s="206"/>
      <c r="CI96" s="251">
        <f>IFERROR(__xludf.DUMMYFUNCTION("AVERAGE(ARRAYFORMULA(XLOOKUP(FILTER(INDIRECT(""'""&amp;CI$1&amp;""'!$C$4:$C$66""),INDIRECT(""'""&amp;CI$1&amp;""'!$D$4:$D$66"")=CI$2),$F$3:$BP$3,$F96:$BP96)))"),0.009423655333333336)</f>
        <v>0.009423655333</v>
      </c>
      <c r="CJ96" s="207" t="str">
        <f>IFERROR(__xludf.DUMMYFUNCTION("IF(OR(CI96&gt;$BR96+$BS96*$BS$2,CI96&lt;$BR96-$BS96*$BS$2),AVEDEV(ARRAYFORMULA(XLOOKUP(FILTER(INDIRECT(""'""&amp;CI$1&amp;""'!$C$4:$C$66""),INDIRECT(""'""&amp;CI$1&amp;""'!$D$4:$D$66"")=CI$2),$F$3:$BP$3,$F96:$BP96))),"""")"),"")</f>
        <v/>
      </c>
      <c r="CK96" s="251">
        <f>IFERROR(__xludf.DUMMYFUNCTION("AVERAGE(ARRAYFORMULA(XLOOKUP(FILTER(INDIRECT(""'""&amp;CK$1&amp;""'!$C$4:$C$66""),INDIRECT(""'""&amp;CK$1&amp;""'!$D$4:$D$66"")=CK$2),$F$3:$BP$3,$F96:$BP96)))"),0.24781591871794864)</f>
        <v>0.2478159187</v>
      </c>
      <c r="CL96" s="207" t="str">
        <f>IFERROR(__xludf.DUMMYFUNCTION("IF(OR(CK96&gt;$BR96+$BS96*$BS$2,CK96&lt;$BR96-$BS96*$BS$2),AVEDEV(ARRAYFORMULA(XLOOKUP(FILTER(INDIRECT(""'""&amp;CK$1&amp;""'!$C$4:$C$66""),INDIRECT(""'""&amp;CK$1&amp;""'!$D$4:$D$66"")=CK$2),$F$3:$BP$3,$F96:$BP96))),"""")"),"")</f>
        <v/>
      </c>
      <c r="CM96" s="251">
        <f>IFERROR(__xludf.DUMMYFUNCTION("AVERAGE(ARRAYFORMULA(XLOOKUP(FILTER(INDIRECT(""'""&amp;CM$1&amp;""'!$C$4:$C$66""),INDIRECT(""'""&amp;CM$1&amp;""'!$D$4:$D$66"")=CM$2),$F$3:$BP$3,$F96:$BP96)))"),0.483841548)</f>
        <v>0.483841548</v>
      </c>
      <c r="CN96" s="207" t="str">
        <f>IFERROR(__xludf.DUMMYFUNCTION("IF(OR(CM96&gt;$BR96+$BS96*$BS$2,CM96&lt;$BR96-$BS96*$BS$2),AVEDEV(ARRAYFORMULA(XLOOKUP(FILTER(INDIRECT(""'""&amp;CM$1&amp;""'!$C$4:$C$66""),INDIRECT(""'""&amp;CM$1&amp;""'!$D$4:$D$66"")=CM$2),$F$3:$BP$3,$F96:$BP96))),"""")"),"")</f>
        <v/>
      </c>
      <c r="CO96" s="252"/>
      <c r="CP96" s="251">
        <f>IFERROR(__xludf.DUMMYFUNCTION("AVERAGE(ARRAYFORMULA(XLOOKUP(FILTER(INDIRECT(""'""&amp;CP$1&amp;""'!$C$4:$C$66""),INDIRECT(""'""&amp;CP$1&amp;""'!$D$4:$D$66"")=CP$2),$F$3:$BP$3,$F96:$BP96)))"),0.3317400150000001)</f>
        <v>0.331740015</v>
      </c>
      <c r="CQ96" s="207" t="str">
        <f>IFERROR(__xludf.DUMMYFUNCTION("IF(OR(CP96&gt;$BR96+$BS96*$BS$2,CP96&lt;$BR96-$BS96*$BS$2),AVEDEV(ARRAYFORMULA(XLOOKUP(FILTER(INDIRECT(""'""&amp;CP$1&amp;""'!$C$4:$C$66""),INDIRECT(""'""&amp;CP$1&amp;""'!$D$4:$D$66"")=CP$2),$F$3:$BP$3,$F96:$BP96))),"""")"),"")</f>
        <v/>
      </c>
      <c r="CR96" s="251">
        <f>IFERROR(__xludf.DUMMYFUNCTION("AVERAGE(ARRAYFORMULA(XLOOKUP(FILTER(INDIRECT(""'""&amp;CR$1&amp;""'!$C$4:$C$66""),INDIRECT(""'""&amp;CR$1&amp;""'!$D$4:$D$66"")=CR$2),$F$3:$BP$3,$F96:$BP96)))"),0.3289318733333333)</f>
        <v>0.3289318733</v>
      </c>
      <c r="CS96" s="207" t="str">
        <f>IFERROR(__xludf.DUMMYFUNCTION("IF(OR(CR96&gt;$BR96+$BS96*$BS$2,CR96&lt;$BR96-$BS96*$BS$2),AVEDEV(ARRAYFORMULA(XLOOKUP(FILTER(INDIRECT(""'""&amp;CR$1&amp;""'!$C$4:$C$66""),INDIRECT(""'""&amp;CR$1&amp;""'!$D$4:$D$66"")=CR$2),$F$3:$BP$3,$F96:$BP96))),"""")"),"")</f>
        <v/>
      </c>
      <c r="CT96" s="251">
        <f>IFERROR(__xludf.DUMMYFUNCTION("AVERAGE(ARRAYFORMULA(XLOOKUP(FILTER(INDIRECT(""'""&amp;CT$1&amp;""'!$C$4:$C$66""),INDIRECT(""'""&amp;CT$1&amp;""'!$D$4:$D$66"")=CT$2),$F$3:$BP$3,$F96:$BP96)))"),0.4192197263636364)</f>
        <v>0.4192197264</v>
      </c>
      <c r="CU96" s="207" t="str">
        <f>IFERROR(__xludf.DUMMYFUNCTION("IF(OR(CT96&gt;$BR96+$BS96*$BS$2,CT96&lt;$BR96-$BS96*$BS$2),AVEDEV(ARRAYFORMULA(XLOOKUP(FILTER(INDIRECT(""'""&amp;CT$1&amp;""'!$C$4:$C$66""),INDIRECT(""'""&amp;CT$1&amp;""'!$D$4:$D$66"")=CT$2),$F$3:$BP$3,$F96:$BP96))),"""")"),"")</f>
        <v/>
      </c>
      <c r="CV96" s="251">
        <f>IFERROR(__xludf.DUMMYFUNCTION("AVERAGE(ARRAYFORMULA(XLOOKUP(FILTER(INDIRECT(""'""&amp;CV$1&amp;""'!$C$4:$C$66""),INDIRECT(""'""&amp;CV$1&amp;""'!$D$4:$D$66"")=CV$2),$F$3:$BP$3,$F96:$BP96)))"),-0.10406019500000001)</f>
        <v>-0.104060195</v>
      </c>
      <c r="CW96" s="207" t="str">
        <f>IFERROR(__xludf.DUMMYFUNCTION("IF(OR(CV96&gt;$BR96+$BS96*$BS$2,CV96&lt;$BR96-$BS96*$BS$2),AVEDEV(ARRAYFORMULA(XLOOKUP(FILTER(INDIRECT(""'""&amp;CV$1&amp;""'!$C$4:$C$66""),INDIRECT(""'""&amp;CV$1&amp;""'!$D$4:$D$66"")=CV$2),$F$3:$BP$3,$F96:$BP96))),"""")"),"")</f>
        <v/>
      </c>
      <c r="CX96" s="251">
        <f>IFERROR(__xludf.DUMMYFUNCTION("AVERAGE(ARRAYFORMULA(XLOOKUP(FILTER(INDIRECT(""'""&amp;CX$1&amp;""'!$C$4:$C$66""),INDIRECT(""'""&amp;CX$1&amp;""'!$D$4:$D$66"")=CX$2),$F$3:$BP$3,$F96:$BP96)))"),0.28175924857142853)</f>
        <v>0.2817592486</v>
      </c>
      <c r="CY96" s="207" t="str">
        <f>IFERROR(__xludf.DUMMYFUNCTION("IF(OR(CX96&gt;$BR96+$BS96*$BS$2,CX96&lt;$BR96-$BS96*$BS$2),AVEDEV(ARRAYFORMULA(XLOOKUP(FILTER(INDIRECT(""'""&amp;CX$1&amp;""'!$C$4:$C$66""),INDIRECT(""'""&amp;CX$1&amp;""'!$D$4:$D$66"")=CX$2),$F$3:$BP$3,$F96:$BP96))),"""")"),"")</f>
        <v/>
      </c>
      <c r="CZ96" s="252"/>
      <c r="DA96" s="251">
        <f>IFERROR(__xludf.DUMMYFUNCTION("AVERAGE(ARRAYFORMULA(XLOOKUP(FILTER(INDIRECT(""'""&amp;DA$1&amp;""'!$C$4:$C$66""),INDIRECT(""'""&amp;DA$1&amp;""'!$D$4:$D$66"")=DA$2),$F$3:$BP$3,$F96:$BP96)))"),0.25467319266666666)</f>
        <v>0.2546731927</v>
      </c>
      <c r="DB96" s="207" t="str">
        <f>IFERROR(__xludf.DUMMYFUNCTION("IF(OR(DA96&gt;$BR96+$BS96*$BS$2,DA96&lt;$BR96-$BS96*$BS$2),AVEDEV(ARRAYFORMULA(XLOOKUP(FILTER(INDIRECT(""'""&amp;DA$1&amp;""'!$C$4:$C$66""),INDIRECT(""'""&amp;DA$1&amp;""'!$D$4:$D$66"")=DA$2),$F$3:$BP$3,$F96:$BP96))),"""")"),"")</f>
        <v/>
      </c>
      <c r="DC96" s="251">
        <f>IFERROR(__xludf.DUMMYFUNCTION("AVERAGE(ARRAYFORMULA(XLOOKUP(FILTER(INDIRECT(""'""&amp;DC$1&amp;""'!$C$4:$C$66""),INDIRECT(""'""&amp;DC$1&amp;""'!$D$4:$D$66"")=DC$2),$F$3:$BP$3,$F96:$BP96)))"),0.22216728333333335)</f>
        <v>0.2221672833</v>
      </c>
      <c r="DD96" s="207" t="str">
        <f>IFERROR(__xludf.DUMMYFUNCTION("IF(OR(DC96&gt;$BR96+$BS96*$BS$2,DC96&lt;$BR96-$BS96*$BS$2),AVEDEV(ARRAYFORMULA(XLOOKUP(FILTER(INDIRECT(""'""&amp;DC$1&amp;""'!$C$4:$C$66""),INDIRECT(""'""&amp;DC$1&amp;""'!$D$4:$D$66"")=DC$2),$F$3:$BP$3,$F96:$BP96))),"""")"),"")</f>
        <v/>
      </c>
      <c r="DE96" s="251">
        <f>IFERROR(__xludf.DUMMYFUNCTION("AVERAGE(ARRAYFORMULA(XLOOKUP(FILTER(INDIRECT(""'""&amp;DE$1&amp;""'!$C$4:$C$66""),INDIRECT(""'""&amp;DE$1&amp;""'!$D$4:$D$66"")=DE$2),$F$3:$BP$3,$F96:$BP96)))"),-0.12191774875000001)</f>
        <v>-0.1219177488</v>
      </c>
      <c r="DF96" s="207" t="str">
        <f>IFERROR(__xludf.DUMMYFUNCTION("IF(OR(DE96&gt;$BR96+$BS96*$BS$2,DE96&lt;$BR96-$BS96*$BS$2),AVEDEV(ARRAYFORMULA(XLOOKUP(FILTER(INDIRECT(""'""&amp;DE$1&amp;""'!$C$4:$C$66""),INDIRECT(""'""&amp;DE$1&amp;""'!$D$4:$D$66"")=DE$2),$F$3:$BP$3,$F96:$BP96))),"""")"),"")</f>
        <v/>
      </c>
      <c r="DG96" s="251">
        <f>IFERROR(__xludf.DUMMYFUNCTION("AVERAGE(ARRAYFORMULA(XLOOKUP(FILTER(INDIRECT(""'""&amp;DG$1&amp;""'!$C$4:$C$66""),INDIRECT(""'""&amp;DG$1&amp;""'!$D$4:$D$66"")=DG$2),$F$3:$BP$3,$F96:$BP96)))"),0.565219251111111)</f>
        <v>0.5652192511</v>
      </c>
      <c r="DH96" s="207" t="str">
        <f>IFERROR(__xludf.DUMMYFUNCTION("IF(OR(DG96&gt;$BR96+$BS96*$BS$2,DG96&lt;$BR96-$BS96*$BS$2),AVEDEV(ARRAYFORMULA(XLOOKUP(FILTER(INDIRECT(""'""&amp;DG$1&amp;""'!$C$4:$C$66""),INDIRECT(""'""&amp;DG$1&amp;""'!$D$4:$D$66"")=DG$2),$F$3:$BP$3,$F96:$BP96))),"""")"),"")</f>
        <v/>
      </c>
      <c r="DI96" s="252"/>
    </row>
    <row r="97">
      <c r="A97" s="2"/>
      <c r="B97" s="204" t="s">
        <v>507</v>
      </c>
      <c r="C97" s="204" t="s">
        <v>539</v>
      </c>
      <c r="D97" s="205" t="b">
        <f>VLOOKUP(C97,'Feature Set List'!A94:C246,2,0)</f>
        <v>1</v>
      </c>
      <c r="E97" s="205" t="b">
        <f>VLOOKUP(C97,'Feature Set List'!A94:C246,3,0)</f>
        <v>1</v>
      </c>
      <c r="F97" s="205">
        <v>-0.4897638</v>
      </c>
      <c r="G97" s="205">
        <v>-0.1529134</v>
      </c>
      <c r="H97" s="205">
        <v>85.9354331</v>
      </c>
      <c r="I97" s="205">
        <v>-0.1927559</v>
      </c>
      <c r="J97" s="205">
        <v>0.30629921</v>
      </c>
      <c r="K97" s="205">
        <v>0.22519685</v>
      </c>
      <c r="L97" s="205">
        <v>-0.4808898</v>
      </c>
      <c r="M97" s="205">
        <v>1.58740157</v>
      </c>
      <c r="N97" s="205">
        <v>-0.4088661</v>
      </c>
      <c r="O97" s="205">
        <v>1.16535433</v>
      </c>
      <c r="P97" s="205">
        <v>2.30393701</v>
      </c>
      <c r="Q97" s="205">
        <v>-0.4146142</v>
      </c>
      <c r="R97" s="205">
        <v>-0.1623622</v>
      </c>
      <c r="S97" s="205">
        <v>0.14251969</v>
      </c>
      <c r="T97" s="205">
        <v>0.68677165</v>
      </c>
      <c r="U97" s="205">
        <v>1.01527559</v>
      </c>
      <c r="V97" s="205">
        <v>-0.4271654</v>
      </c>
      <c r="W97" s="205">
        <v>1.08976378</v>
      </c>
      <c r="X97" s="205">
        <v>-0.4593071</v>
      </c>
      <c r="Y97" s="205">
        <v>-0.4637953</v>
      </c>
      <c r="Z97" s="205">
        <v>-0.2423622</v>
      </c>
      <c r="AA97" s="205">
        <v>-0.3159055</v>
      </c>
      <c r="AB97" s="205">
        <v>0.04929134</v>
      </c>
      <c r="AC97" s="205">
        <v>-0.0708661</v>
      </c>
      <c r="AD97" s="205">
        <v>-0.2577953</v>
      </c>
      <c r="AE97" s="205">
        <v>-0.0828346</v>
      </c>
      <c r="AF97" s="205">
        <v>0.73984252</v>
      </c>
      <c r="AG97" s="205">
        <v>-0.3162205</v>
      </c>
      <c r="AH97" s="205">
        <v>0.36015748</v>
      </c>
      <c r="AI97" s="205">
        <v>1.63307087</v>
      </c>
      <c r="AJ97" s="205">
        <v>0.56551181</v>
      </c>
      <c r="AK97" s="205">
        <v>-0.0138583</v>
      </c>
      <c r="AL97" s="205">
        <v>0.91590551</v>
      </c>
      <c r="AM97" s="205">
        <v>0.17480315</v>
      </c>
      <c r="AN97" s="205">
        <v>1.26299213</v>
      </c>
      <c r="AO97" s="205">
        <v>0.54094488</v>
      </c>
      <c r="AP97" s="205">
        <v>-0.3988189</v>
      </c>
      <c r="AQ97" s="205">
        <v>0.53590551</v>
      </c>
      <c r="AR97" s="205">
        <v>0.1223622</v>
      </c>
      <c r="AS97" s="205">
        <v>0.13984252</v>
      </c>
      <c r="AT97" s="205">
        <v>0.19055118</v>
      </c>
      <c r="AU97" s="205">
        <v>-0.4462677</v>
      </c>
      <c r="AV97" s="205">
        <v>0.68110236</v>
      </c>
      <c r="AW97" s="205">
        <v>-0.223937</v>
      </c>
      <c r="AX97" s="205">
        <v>0.0</v>
      </c>
      <c r="AY97" s="205">
        <v>-0.2474016</v>
      </c>
      <c r="AZ97" s="205">
        <v>-0.3402205</v>
      </c>
      <c r="BA97" s="205">
        <v>4.34645669</v>
      </c>
      <c r="BB97" s="205">
        <v>-0.007874</v>
      </c>
      <c r="BC97" s="205">
        <v>-0.4675118</v>
      </c>
      <c r="BD97" s="205">
        <v>-0.4832787</v>
      </c>
      <c r="BE97" s="205">
        <v>-0.3661575</v>
      </c>
      <c r="BF97" s="205">
        <v>3.20472441</v>
      </c>
      <c r="BG97" s="205">
        <v>-0.0559055</v>
      </c>
      <c r="BH97" s="205">
        <v>0.16677165</v>
      </c>
      <c r="BI97" s="205">
        <v>-0.3953858</v>
      </c>
      <c r="BJ97" s="205">
        <v>0.56299213</v>
      </c>
      <c r="BK97" s="205">
        <v>-0.4585827</v>
      </c>
      <c r="BL97" s="205">
        <v>5.04724409</v>
      </c>
      <c r="BM97" s="205">
        <v>1.67874016</v>
      </c>
      <c r="BN97" s="205">
        <v>5.49291339</v>
      </c>
      <c r="BO97" s="205">
        <v>-0.1502362</v>
      </c>
      <c r="BP97" s="205">
        <v>-0.1524409</v>
      </c>
      <c r="BQ97" s="206"/>
      <c r="BR97" s="250">
        <f t="shared" si="1"/>
        <v>1.805139433</v>
      </c>
      <c r="BS97" s="250">
        <f t="shared" si="2"/>
        <v>3.031741971</v>
      </c>
      <c r="BT97" s="206"/>
      <c r="BU97" s="207">
        <f>IFERROR(__xludf.DUMMYFUNCTION("AVERAGE(ARRAYFORMULA(XLOOKUP(FILTER(INDIRECT(""'""&amp;BU$1&amp;""'!$C$4:$C$66""),INDIRECT(""'""&amp;BU$1&amp;""'!$D$4:$D$66"")=BU$2),$F$3:$BP$3,$F97:$BP97)))"),0.9205889785714286)</f>
        <v>0.9205889786</v>
      </c>
      <c r="BV97" s="207" t="str">
        <f>IFERROR(__xludf.DUMMYFUNCTION("IF(OR(BU97&gt;$BR97+$BS97*$BS$2,BU97&lt;$BR97-$BS97*$BS$2),AVEDEV(ARRAYFORMULA(XLOOKUP(FILTER(INDIRECT(""'""&amp;BU$1&amp;""'!$C$4:$C$66""),INDIRECT(""'""&amp;BU$1&amp;""'!$D$4:$D$66"")=BU$2),$F$3:$BP$3,$F97:$BP97))),"""")"),"")</f>
        <v/>
      </c>
      <c r="BW97" s="207">
        <f>IFERROR(__xludf.DUMMYFUNCTION("AVERAGE(ARRAYFORMULA(XLOOKUP(FILTER(INDIRECT(""'""&amp;BW$1&amp;""'!$C$4:$C$66""),INDIRECT(""'""&amp;BW$1&amp;""'!$D$4:$D$66"")=BW$2),$F$3:$BP$3,$F97:$BP97)))"),0.41829658976190476)</f>
        <v>0.4182965898</v>
      </c>
      <c r="BX97" s="207" t="str">
        <f>IFERROR(__xludf.DUMMYFUNCTION("IF(OR(BW97&gt;$BR97+$BS97*$BS$2,BW97&lt;$BR97-$BS97*$BS$2),AVEDEV(ARRAYFORMULA(XLOOKUP(FILTER(INDIRECT(""'""&amp;BW$1&amp;""'!$C$4:$C$66""),INDIRECT(""'""&amp;BW$1&amp;""'!$D$4:$D$66"")=BW$2),$F$3:$BP$3,$F97:$BP97))),"""")"),"")</f>
        <v/>
      </c>
      <c r="BY97" s="207">
        <f>IFERROR(__xludf.DUMMYFUNCTION("AVERAGE(ARRAYFORMULA(XLOOKUP(FILTER(INDIRECT(""'""&amp;BY$1&amp;""'!$C$4:$C$66""),INDIRECT(""'""&amp;BY$1&amp;""'!$D$4:$D$66"")=BY$2),$F$3:$BP$3,$F97:$BP97)))"),0.36843019636363633)</f>
        <v>0.3684301964</v>
      </c>
      <c r="BZ97" s="207" t="str">
        <f>IFERROR(__xludf.DUMMYFUNCTION("IF(OR(BY97&gt;$BR97+$BS97*$BS$2,BY97&lt;$BR97-$BS97*$BS$2),AVEDEV(ARRAYFORMULA(XLOOKUP(FILTER(INDIRECT(""'""&amp;BY$1&amp;""'!$C$4:$C$66""),INDIRECT(""'""&amp;BY$1&amp;""'!$D$4:$D$66"")=BY$2),$F$3:$BP$3,$F97:$BP97))),"""")"),"")</f>
        <v/>
      </c>
      <c r="CA97" s="209"/>
      <c r="CB97" s="207">
        <f>IFERROR(__xludf.DUMMYFUNCTION("AVERAGE(ARRAYFORMULA(XLOOKUP(FILTER(INDIRECT(""'""&amp;CB$1&amp;""'!$C$4:$C$66""),INDIRECT(""'""&amp;CB$1&amp;""'!$D$4:$D$66"")=CB$2),$F$3:$BP$3,$F97:$BP97)))"),0.6000728300000002)</f>
        <v>0.60007283</v>
      </c>
      <c r="CC97" s="207" t="str">
        <f>IFERROR(__xludf.DUMMYFUNCTION("IF(OR(CB97&gt;$BR97+$BS97*$BS$2,CB97&lt;$BR97-$BS97*$BS$2),AVEDEV(ARRAYFORMULA(XLOOKUP(FILTER(INDIRECT(""'""&amp;CB$1&amp;""'!$C$4:$C$66""),INDIRECT(""'""&amp;CB$1&amp;""'!$D$4:$D$66"")=CB$2),$F$3:$BP$3,$F97:$BP97))),"""")"),"")</f>
        <v/>
      </c>
      <c r="CD97" s="207">
        <f>IFERROR(__xludf.DUMMYFUNCTION("AVERAGE(ARRAYFORMULA(XLOOKUP(FILTER(INDIRECT(""'""&amp;CD$1&amp;""'!$C$4:$C$66""),INDIRECT(""'""&amp;CD$1&amp;""'!$D$4:$D$66"")=CD$2),$F$3:$BP$3,$F97:$BP97)))"),0.061705515161290345)</f>
        <v>0.06170551516</v>
      </c>
      <c r="CE97" s="207" t="str">
        <f>IFERROR(__xludf.DUMMYFUNCTION("IF(OR(CD97&gt;$BR97+$BS97*$BS$2,CD97&lt;$BR97-$BS97*$BS$2),AVEDEV(ARRAYFORMULA(XLOOKUP(FILTER(INDIRECT(""'""&amp;CD$1&amp;""'!$C$4:$C$66""),INDIRECT(""'""&amp;CD$1&amp;""'!$D$4:$D$66"")=CD$2),$F$3:$BP$3,$F97:$BP97))),"""")"),"")</f>
        <v/>
      </c>
      <c r="CF97" s="207">
        <f>IFERROR(__xludf.DUMMYFUNCTION("AVERAGE(ARRAYFORMULA(XLOOKUP(FILTER(INDIRECT(""'""&amp;CF$1&amp;""'!$C$4:$C$66""),INDIRECT(""'""&amp;CF$1&amp;""'!$D$4:$D$66"")=CF$2),$F$3:$BP$3,$F97:$BP97)))"),0.858948026)</f>
        <v>0.858948026</v>
      </c>
      <c r="CG97" s="207" t="str">
        <f>IFERROR(__xludf.DUMMYFUNCTION("IF(OR(CF97&gt;$BR97+$BS97*$BS$2,CF97&lt;$BR97-$BS97*$BS$2),AVEDEV(ARRAYFORMULA(XLOOKUP(FILTER(INDIRECT(""'""&amp;CF$1&amp;""'!$C$4:$C$66""),INDIRECT(""'""&amp;CF$1&amp;""'!$D$4:$D$66"")=CF$2),$F$3:$BP$3,$F97:$BP97))),"""")"),"")</f>
        <v/>
      </c>
      <c r="CH97" s="206"/>
      <c r="CI97" s="251">
        <f>IFERROR(__xludf.DUMMYFUNCTION("AVERAGE(ARRAYFORMULA(XLOOKUP(FILTER(INDIRECT(""'""&amp;CI$1&amp;""'!$C$4:$C$66""),INDIRECT(""'""&amp;CI$1&amp;""'!$D$4:$D$66"")=CI$2),$F$3:$BP$3,$F97:$BP97)))"),1.0583367953333334)</f>
        <v>1.058336795</v>
      </c>
      <c r="CJ97" s="207" t="str">
        <f>IFERROR(__xludf.DUMMYFUNCTION("IF(OR(CI97&gt;$BR97+$BS97*$BS$2,CI97&lt;$BR97-$BS97*$BS$2),AVEDEV(ARRAYFORMULA(XLOOKUP(FILTER(INDIRECT(""'""&amp;CI$1&amp;""'!$C$4:$C$66""),INDIRECT(""'""&amp;CI$1&amp;""'!$D$4:$D$66"")=CI$2),$F$3:$BP$3,$F97:$BP97))),"""")"),"")</f>
        <v/>
      </c>
      <c r="CK97" s="251">
        <f>IFERROR(__xludf.DUMMYFUNCTION("AVERAGE(ARRAYFORMULA(XLOOKUP(FILTER(INDIRECT(""'""&amp;CK$1&amp;""'!$C$4:$C$66""),INDIRECT(""'""&amp;CK$1&amp;""'!$D$4:$D$66"")=CK$2),$F$3:$BP$3,$F97:$BP97)))"),0.21420775435897438)</f>
        <v>0.2142077544</v>
      </c>
      <c r="CL97" s="207" t="str">
        <f>IFERROR(__xludf.DUMMYFUNCTION("IF(OR(CK97&gt;$BR97+$BS97*$BS$2,CK97&lt;$BR97-$BS97*$BS$2),AVEDEV(ARRAYFORMULA(XLOOKUP(FILTER(INDIRECT(""'""&amp;CK$1&amp;""'!$C$4:$C$66""),INDIRECT(""'""&amp;CK$1&amp;""'!$D$4:$D$66"")=CK$2),$F$3:$BP$3,$F97:$BP97))),"""")"),"")</f>
        <v/>
      </c>
      <c r="CM97" s="251">
        <f>IFERROR(__xludf.DUMMYFUNCTION("AVERAGE(ARRAYFORMULA(XLOOKUP(FILTER(INDIRECT(""'""&amp;CM$1&amp;""'!$C$4:$C$66""),INDIRECT(""'""&amp;CM$1&amp;""'!$D$4:$D$66"")=CM$2),$F$3:$BP$3,$F97:$BP97)))"),0.858948026)</f>
        <v>0.858948026</v>
      </c>
      <c r="CN97" s="207" t="str">
        <f>IFERROR(__xludf.DUMMYFUNCTION("IF(OR(CM97&gt;$BR97+$BS97*$BS$2,CM97&lt;$BR97-$BS97*$BS$2),AVEDEV(ARRAYFORMULA(XLOOKUP(FILTER(INDIRECT(""'""&amp;CM$1&amp;""'!$C$4:$C$66""),INDIRECT(""'""&amp;CM$1&amp;""'!$D$4:$D$66"")=CM$2),$F$3:$BP$3,$F97:$BP97))),"""")"),"")</f>
        <v/>
      </c>
      <c r="CO97" s="252"/>
      <c r="CP97" s="251">
        <f>IFERROR(__xludf.DUMMYFUNCTION("AVERAGE(ARRAYFORMULA(XLOOKUP(FILTER(INDIRECT(""'""&amp;CP$1&amp;""'!$C$4:$C$66""),INDIRECT(""'""&amp;CP$1&amp;""'!$D$4:$D$66"")=CP$2),$F$3:$BP$3,$F97:$BP97)))"),0.33363778857142856)</f>
        <v>0.3336377886</v>
      </c>
      <c r="CQ97" s="207" t="str">
        <f>IFERROR(__xludf.DUMMYFUNCTION("IF(OR(CP97&gt;$BR97+$BS97*$BS$2,CP97&lt;$BR97-$BS97*$BS$2),AVEDEV(ARRAYFORMULA(XLOOKUP(FILTER(INDIRECT(""'""&amp;CP$1&amp;""'!$C$4:$C$66""),INDIRECT(""'""&amp;CP$1&amp;""'!$D$4:$D$66"")=CP$2),$F$3:$BP$3,$F97:$BP97))),"""")"),"")</f>
        <v/>
      </c>
      <c r="CR97" s="251">
        <f>IFERROR(__xludf.DUMMYFUNCTION("AVERAGE(ARRAYFORMULA(XLOOKUP(FILTER(INDIRECT(""'""&amp;CR$1&amp;""'!$C$4:$C$66""),INDIRECT(""'""&amp;CR$1&amp;""'!$D$4:$D$66"")=CR$2),$F$3:$BP$3,$F97:$BP97)))"),-0.08301225888888888)</f>
        <v>-0.08301225889</v>
      </c>
      <c r="CS97" s="207" t="str">
        <f>IFERROR(__xludf.DUMMYFUNCTION("IF(OR(CR97&gt;$BR97+$BS97*$BS$2,CR97&lt;$BR97-$BS97*$BS$2),AVEDEV(ARRAYFORMULA(XLOOKUP(FILTER(INDIRECT(""'""&amp;CR$1&amp;""'!$C$4:$C$66""),INDIRECT(""'""&amp;CR$1&amp;""'!$D$4:$D$66"")=CR$2),$F$3:$BP$3,$F97:$BP97))),"""")"),"")</f>
        <v/>
      </c>
      <c r="CT97" s="251">
        <f>IFERROR(__xludf.DUMMYFUNCTION("AVERAGE(ARRAYFORMULA(XLOOKUP(FILTER(INDIRECT(""'""&amp;CT$1&amp;""'!$C$4:$C$66""),INDIRECT(""'""&amp;CT$1&amp;""'!$D$4:$D$66"")=CT$2),$F$3:$BP$3,$F97:$BP97)))"),0.7338324972727274)</f>
        <v>0.7338324973</v>
      </c>
      <c r="CU97" s="207" t="str">
        <f>IFERROR(__xludf.DUMMYFUNCTION("IF(OR(CT97&gt;$BR97+$BS97*$BS$2,CT97&lt;$BR97-$BS97*$BS$2),AVEDEV(ARRAYFORMULA(XLOOKUP(FILTER(INDIRECT(""'""&amp;CT$1&amp;""'!$C$4:$C$66""),INDIRECT(""'""&amp;CT$1&amp;""'!$D$4:$D$66"")=CT$2),$F$3:$BP$3,$F97:$BP97))),"""")"),"")</f>
        <v/>
      </c>
      <c r="CV97" s="251">
        <f>IFERROR(__xludf.DUMMYFUNCTION("AVERAGE(ARRAYFORMULA(XLOOKUP(FILTER(INDIRECT(""'""&amp;CV$1&amp;""'!$C$4:$C$66""),INDIRECT(""'""&amp;CV$1&amp;""'!$D$4:$D$66"")=CV$2),$F$3:$BP$3,$F97:$BP97)))"),-0.06338579999999999)</f>
        <v>-0.0633858</v>
      </c>
      <c r="CW97" s="207" t="str">
        <f>IFERROR(__xludf.DUMMYFUNCTION("IF(OR(CV97&gt;$BR97+$BS97*$BS$2,CV97&lt;$BR97-$BS97*$BS$2),AVEDEV(ARRAYFORMULA(XLOOKUP(FILTER(INDIRECT(""'""&amp;CV$1&amp;""'!$C$4:$C$66""),INDIRECT(""'""&amp;CV$1&amp;""'!$D$4:$D$66"")=CV$2),$F$3:$BP$3,$F97:$BP97))),"""")"),"")</f>
        <v/>
      </c>
      <c r="CX97" s="251">
        <f>IFERROR(__xludf.DUMMYFUNCTION("AVERAGE(ARRAYFORMULA(XLOOKUP(FILTER(INDIRECT(""'""&amp;CX$1&amp;""'!$C$4:$C$66""),INDIRECT(""'""&amp;CX$1&amp;""'!$D$4:$D$66"")=CX$2),$F$3:$BP$3,$F97:$BP97)))"),0.30543420357142853)</f>
        <v>0.3054342036</v>
      </c>
      <c r="CY97" s="207" t="str">
        <f>IFERROR(__xludf.DUMMYFUNCTION("IF(OR(CX97&gt;$BR97+$BS97*$BS$2,CX97&lt;$BR97-$BS97*$BS$2),AVEDEV(ARRAYFORMULA(XLOOKUP(FILTER(INDIRECT(""'""&amp;CX$1&amp;""'!$C$4:$C$66""),INDIRECT(""'""&amp;CX$1&amp;""'!$D$4:$D$66"")=CX$2),$F$3:$BP$3,$F97:$BP97))),"""")"),"")</f>
        <v/>
      </c>
      <c r="CZ97" s="252"/>
      <c r="DA97" s="251">
        <f>IFERROR(__xludf.DUMMYFUNCTION("AVERAGE(ARRAYFORMULA(XLOOKUP(FILTER(INDIRECT(""'""&amp;DA$1&amp;""'!$C$4:$C$66""),INDIRECT(""'""&amp;DA$1&amp;""'!$D$4:$D$66"")=DA$2),$F$3:$BP$3,$F97:$BP97)))"),0.40576262533333324)</f>
        <v>0.4057626253</v>
      </c>
      <c r="DB97" s="207" t="str">
        <f>IFERROR(__xludf.DUMMYFUNCTION("IF(OR(DA97&gt;$BR97+$BS97*$BS$2,DA97&lt;$BR97-$BS97*$BS$2),AVEDEV(ARRAYFORMULA(XLOOKUP(FILTER(INDIRECT(""'""&amp;DA$1&amp;""'!$C$4:$C$66""),INDIRECT(""'""&amp;DA$1&amp;""'!$D$4:$D$66"")=DA$2),$F$3:$BP$3,$F97:$BP97))),"""")"),"")</f>
        <v/>
      </c>
      <c r="DC97" s="251">
        <f>IFERROR(__xludf.DUMMYFUNCTION("AVERAGE(ARRAYFORMULA(XLOOKUP(FILTER(INDIRECT(""'""&amp;DC$1&amp;""'!$C$4:$C$66""),INDIRECT(""'""&amp;DC$1&amp;""'!$D$4:$D$66"")=DC$2),$F$3:$BP$3,$F97:$BP97)))"),0.48844530666666663)</f>
        <v>0.4884453067</v>
      </c>
      <c r="DD97" s="207" t="str">
        <f>IFERROR(__xludf.DUMMYFUNCTION("IF(OR(DC97&gt;$BR97+$BS97*$BS$2,DC97&lt;$BR97-$BS97*$BS$2),AVEDEV(ARRAYFORMULA(XLOOKUP(FILTER(INDIRECT(""'""&amp;DC$1&amp;""'!$C$4:$C$66""),INDIRECT(""'""&amp;DC$1&amp;""'!$D$4:$D$66"")=DC$2),$F$3:$BP$3,$F97:$BP97))),"""")"),"")</f>
        <v/>
      </c>
      <c r="DE97" s="251">
        <f>IFERROR(__xludf.DUMMYFUNCTION("AVERAGE(ARRAYFORMULA(XLOOKUP(FILTER(INDIRECT(""'""&amp;DE$1&amp;""'!$C$4:$C$66""),INDIRECT(""'""&amp;DE$1&amp;""'!$D$4:$D$66"")=DE$2),$F$3:$BP$3,$F97:$BP97)))"),0.1055295275)</f>
        <v>0.1055295275</v>
      </c>
      <c r="DF97" s="207" t="str">
        <f>IFERROR(__xludf.DUMMYFUNCTION("IF(OR(DE97&gt;$BR97+$BS97*$BS$2,DE97&lt;$BR97-$BS97*$BS$2),AVEDEV(ARRAYFORMULA(XLOOKUP(FILTER(INDIRECT(""'""&amp;DE$1&amp;""'!$C$4:$C$66""),INDIRECT(""'""&amp;DE$1&amp;""'!$D$4:$D$66"")=DE$2),$F$3:$BP$3,$F97:$BP97))),"""")"),"")</f>
        <v/>
      </c>
      <c r="DG97" s="251">
        <f>IFERROR(__xludf.DUMMYFUNCTION("AVERAGE(ARRAYFORMULA(XLOOKUP(FILTER(INDIRECT(""'""&amp;DG$1&amp;""'!$C$4:$C$66""),INDIRECT(""'""&amp;DG$1&amp;""'!$D$4:$D$66"")=DG$2),$F$3:$BP$3,$F97:$BP97)))"),0.9135678133333331)</f>
        <v>0.9135678133</v>
      </c>
      <c r="DH97" s="207" t="str">
        <f>IFERROR(__xludf.DUMMYFUNCTION("IF(OR(DG97&gt;$BR97+$BS97*$BS$2,DG97&lt;$BR97-$BS97*$BS$2),AVEDEV(ARRAYFORMULA(XLOOKUP(FILTER(INDIRECT(""'""&amp;DG$1&amp;""'!$C$4:$C$66""),INDIRECT(""'""&amp;DG$1&amp;""'!$D$4:$D$66"")=DG$2),$F$3:$BP$3,$F97:$BP97))),"""")"),"")</f>
        <v/>
      </c>
      <c r="DI97" s="252"/>
    </row>
    <row r="98">
      <c r="A98" s="2"/>
      <c r="B98" s="204" t="s">
        <v>540</v>
      </c>
      <c r="C98" s="204" t="s">
        <v>541</v>
      </c>
      <c r="D98" s="205" t="b">
        <f>VLOOKUP(C98,'Feature Set List'!A95:C246,2,0)</f>
        <v>1</v>
      </c>
      <c r="E98" s="205" t="b">
        <f>VLOOKUP(C98,'Feature Set List'!A95:C246,3,0)</f>
        <v>1</v>
      </c>
      <c r="F98" s="205">
        <v>0.0</v>
      </c>
      <c r="G98" s="205">
        <v>0.0</v>
      </c>
      <c r="H98" s="205">
        <v>0.0</v>
      </c>
      <c r="I98" s="205">
        <v>0.0</v>
      </c>
      <c r="J98" s="205">
        <v>-1.0</v>
      </c>
      <c r="K98" s="205">
        <v>0.0</v>
      </c>
      <c r="L98" s="205">
        <v>-1.0</v>
      </c>
      <c r="M98" s="205">
        <v>0.0</v>
      </c>
      <c r="N98" s="205">
        <v>0.0</v>
      </c>
      <c r="O98" s="205">
        <v>0.0</v>
      </c>
      <c r="P98" s="205">
        <v>0.0</v>
      </c>
      <c r="Q98" s="205">
        <v>0.0</v>
      </c>
      <c r="R98" s="205">
        <v>0.0</v>
      </c>
      <c r="S98" s="205">
        <v>0.0</v>
      </c>
      <c r="T98" s="205">
        <v>0.0</v>
      </c>
      <c r="U98" s="205">
        <v>0.0</v>
      </c>
      <c r="V98" s="205">
        <v>0.0</v>
      </c>
      <c r="W98" s="205">
        <v>0.0</v>
      </c>
      <c r="X98" s="205">
        <v>0.0</v>
      </c>
      <c r="Y98" s="205">
        <v>0.0</v>
      </c>
      <c r="Z98" s="205">
        <v>0.0</v>
      </c>
      <c r="AA98" s="205">
        <v>0.0</v>
      </c>
      <c r="AB98" s="205">
        <v>0.0</v>
      </c>
      <c r="AC98" s="205">
        <v>0.0</v>
      </c>
      <c r="AD98" s="205">
        <v>0.0</v>
      </c>
      <c r="AE98" s="205">
        <v>0.0</v>
      </c>
      <c r="AF98" s="205">
        <v>0.0</v>
      </c>
      <c r="AG98" s="205">
        <v>0.0</v>
      </c>
      <c r="AH98" s="205">
        <v>-1.0</v>
      </c>
      <c r="AI98" s="205">
        <v>0.0</v>
      </c>
      <c r="AJ98" s="205">
        <v>0.0</v>
      </c>
      <c r="AK98" s="205">
        <v>0.0</v>
      </c>
      <c r="AL98" s="205">
        <v>0.0</v>
      </c>
      <c r="AM98" s="205">
        <v>0.0</v>
      </c>
      <c r="AN98" s="205">
        <v>0.0</v>
      </c>
      <c r="AO98" s="205">
        <v>0.0</v>
      </c>
      <c r="AP98" s="205">
        <v>0.0</v>
      </c>
      <c r="AQ98" s="205">
        <v>-1.0</v>
      </c>
      <c r="AR98" s="205">
        <v>0.0</v>
      </c>
      <c r="AS98" s="205">
        <v>0.0</v>
      </c>
      <c r="AT98" s="205">
        <v>0.0</v>
      </c>
      <c r="AU98" s="205">
        <v>0.0</v>
      </c>
      <c r="AV98" s="205">
        <v>0.0</v>
      </c>
      <c r="AW98" s="205">
        <v>0.0</v>
      </c>
      <c r="AX98" s="205">
        <v>0.0</v>
      </c>
      <c r="AY98" s="205">
        <v>0.0</v>
      </c>
      <c r="AZ98" s="205">
        <v>0.0</v>
      </c>
      <c r="BA98" s="205">
        <v>0.0</v>
      </c>
      <c r="BB98" s="205">
        <v>0.0</v>
      </c>
      <c r="BC98" s="205">
        <v>0.0</v>
      </c>
      <c r="BD98" s="205">
        <v>0.0</v>
      </c>
      <c r="BE98" s="205">
        <v>0.0</v>
      </c>
      <c r="BF98" s="205">
        <v>0.0</v>
      </c>
      <c r="BG98" s="205">
        <v>0.0</v>
      </c>
      <c r="BH98" s="205">
        <v>0.0</v>
      </c>
      <c r="BI98" s="205">
        <v>0.0</v>
      </c>
      <c r="BJ98" s="205">
        <v>0.0</v>
      </c>
      <c r="BK98" s="205">
        <v>0.0</v>
      </c>
      <c r="BL98" s="205">
        <v>0.0</v>
      </c>
      <c r="BM98" s="205">
        <v>0.0</v>
      </c>
      <c r="BN98" s="205">
        <v>0.0</v>
      </c>
      <c r="BO98" s="205">
        <v>-1.0</v>
      </c>
      <c r="BP98" s="205">
        <v>0.0</v>
      </c>
      <c r="BQ98" s="206"/>
      <c r="BR98" s="250">
        <f t="shared" si="1"/>
        <v>-0.07936507937</v>
      </c>
      <c r="BS98" s="250">
        <f t="shared" si="2"/>
        <v>0.1461325271</v>
      </c>
      <c r="BT98" s="206"/>
      <c r="BU98" s="207">
        <f>IFERROR(__xludf.DUMMYFUNCTION("AVERAGE(ARRAYFORMULA(XLOOKUP(FILTER(INDIRECT(""'""&amp;BU$1&amp;""'!$C$4:$C$66""),INDIRECT(""'""&amp;BU$1&amp;""'!$D$4:$D$66"")=BU$2),$F$3:$BP$3,$F98:$BP98)))"),0.0)</f>
        <v>0</v>
      </c>
      <c r="BV98" s="207" t="str">
        <f>IFERROR(__xludf.DUMMYFUNCTION("IF(OR(BU98&gt;$BR98+$BS98*$BS$2,BU98&lt;$BR98-$BS98*$BS$2),AVEDEV(ARRAYFORMULA(XLOOKUP(FILTER(INDIRECT(""'""&amp;BU$1&amp;""'!$C$4:$C$66""),INDIRECT(""'""&amp;BU$1&amp;""'!$D$4:$D$66"")=BU$2),$F$3:$BP$3,$F98:$BP98))),"""")"),"")</f>
        <v/>
      </c>
      <c r="BW98" s="207">
        <f>IFERROR(__xludf.DUMMYFUNCTION("AVERAGE(ARRAYFORMULA(XLOOKUP(FILTER(INDIRECT(""'""&amp;BW$1&amp;""'!$C$4:$C$66""),INDIRECT(""'""&amp;BW$1&amp;""'!$D$4:$D$66"")=BW$2),$F$3:$BP$3,$F98:$BP98)))"),-0.09523809523809523)</f>
        <v>-0.09523809524</v>
      </c>
      <c r="BX98" s="207" t="str">
        <f>IFERROR(__xludf.DUMMYFUNCTION("IF(OR(BW98&gt;$BR98+$BS98*$BS$2,BW98&lt;$BR98-$BS98*$BS$2),AVEDEV(ARRAYFORMULA(XLOOKUP(FILTER(INDIRECT(""'""&amp;BW$1&amp;""'!$C$4:$C$66""),INDIRECT(""'""&amp;BW$1&amp;""'!$D$4:$D$66"")=BW$2),$F$3:$BP$3,$F98:$BP98))),"""")"),"")</f>
        <v/>
      </c>
      <c r="BY98" s="207">
        <f>IFERROR(__xludf.DUMMYFUNCTION("AVERAGE(ARRAYFORMULA(XLOOKUP(FILTER(INDIRECT(""'""&amp;BY$1&amp;""'!$C$4:$C$66""),INDIRECT(""'""&amp;BY$1&amp;""'!$D$4:$D$66"")=BY$2),$F$3:$BP$3,$F98:$BP98)))"),-0.09090909090909091)</f>
        <v>-0.09090909091</v>
      </c>
      <c r="BZ98" s="207" t="str">
        <f>IFERROR(__xludf.DUMMYFUNCTION("IF(OR(BY98&gt;$BR98+$BS98*$BS$2,BY98&lt;$BR98-$BS98*$BS$2),AVEDEV(ARRAYFORMULA(XLOOKUP(FILTER(INDIRECT(""'""&amp;BY$1&amp;""'!$C$4:$C$66""),INDIRECT(""'""&amp;BY$1&amp;""'!$D$4:$D$66"")=BY$2),$F$3:$BP$3,$F98:$BP98))),"""")"),"")</f>
        <v/>
      </c>
      <c r="CA98" s="209"/>
      <c r="CB98" s="207">
        <f>IFERROR(__xludf.DUMMYFUNCTION("AVERAGE(ARRAYFORMULA(XLOOKUP(FILTER(INDIRECT(""'""&amp;CB$1&amp;""'!$C$4:$C$66""),INDIRECT(""'""&amp;CB$1&amp;""'!$D$4:$D$66"")=CB$2),$F$3:$BP$3,$F98:$BP98)))"),-0.125)</f>
        <v>-0.125</v>
      </c>
      <c r="CC98" s="207" t="str">
        <f>IFERROR(__xludf.DUMMYFUNCTION("IF(OR(CB98&gt;$BR98+$BS98*$BS$2,CB98&lt;$BR98-$BS98*$BS$2),AVEDEV(ARRAYFORMULA(XLOOKUP(FILTER(INDIRECT(""'""&amp;CB$1&amp;""'!$C$4:$C$66""),INDIRECT(""'""&amp;CB$1&amp;""'!$D$4:$D$66"")=CB$2),$F$3:$BP$3,$F98:$BP98))),"""")"),"")</f>
        <v/>
      </c>
      <c r="CD98" s="207">
        <f>IFERROR(__xludf.DUMMYFUNCTION("AVERAGE(ARRAYFORMULA(XLOOKUP(FILTER(INDIRECT(""'""&amp;CD$1&amp;""'!$C$4:$C$66""),INDIRECT(""'""&amp;CD$1&amp;""'!$D$4:$D$66"")=CD$2),$F$3:$BP$3,$F98:$BP98)))"),-0.06451612903225806)</f>
        <v>-0.06451612903</v>
      </c>
      <c r="CE98" s="207" t="str">
        <f>IFERROR(__xludf.DUMMYFUNCTION("IF(OR(CD98&gt;$BR98+$BS98*$BS$2,CD98&lt;$BR98-$BS98*$BS$2),AVEDEV(ARRAYFORMULA(XLOOKUP(FILTER(INDIRECT(""'""&amp;CD$1&amp;""'!$C$4:$C$66""),INDIRECT(""'""&amp;CD$1&amp;""'!$D$4:$D$66"")=CD$2),$F$3:$BP$3,$F98:$BP98))),"""")"),"")</f>
        <v/>
      </c>
      <c r="CF98" s="207">
        <f>IFERROR(__xludf.DUMMYFUNCTION("AVERAGE(ARRAYFORMULA(XLOOKUP(FILTER(INDIRECT(""'""&amp;CF$1&amp;""'!$C$4:$C$66""),INDIRECT(""'""&amp;CF$1&amp;""'!$D$4:$D$66"")=CF$2),$F$3:$BP$3,$F98:$BP98)))"),0.0)</f>
        <v>0</v>
      </c>
      <c r="CG98" s="207" t="str">
        <f>IFERROR(__xludf.DUMMYFUNCTION("IF(OR(CF98&gt;$BR98+$BS98*$BS$2,CF98&lt;$BR98-$BS98*$BS$2),AVEDEV(ARRAYFORMULA(XLOOKUP(FILTER(INDIRECT(""'""&amp;CF$1&amp;""'!$C$4:$C$66""),INDIRECT(""'""&amp;CF$1&amp;""'!$D$4:$D$66"")=CF$2),$F$3:$BP$3,$F98:$BP98))),"""")"),"")</f>
        <v/>
      </c>
      <c r="CH98" s="206"/>
      <c r="CI98" s="251">
        <f>IFERROR(__xludf.DUMMYFUNCTION("AVERAGE(ARRAYFORMULA(XLOOKUP(FILTER(INDIRECT(""'""&amp;CI$1&amp;""'!$C$4:$C$66""),INDIRECT(""'""&amp;CI$1&amp;""'!$D$4:$D$66"")=CI$2),$F$3:$BP$3,$F98:$BP98)))"),0.0)</f>
        <v>0</v>
      </c>
      <c r="CJ98" s="207" t="str">
        <f>IFERROR(__xludf.DUMMYFUNCTION("IF(OR(CI98&gt;$BR98+$BS98*$BS$2,CI98&lt;$BR98-$BS98*$BS$2),AVEDEV(ARRAYFORMULA(XLOOKUP(FILTER(INDIRECT(""'""&amp;CI$1&amp;""'!$C$4:$C$66""),INDIRECT(""'""&amp;CI$1&amp;""'!$D$4:$D$66"")=CI$2),$F$3:$BP$3,$F98:$BP98))),"""")"),"")</f>
        <v/>
      </c>
      <c r="CK98" s="251">
        <f>IFERROR(__xludf.DUMMYFUNCTION("AVERAGE(ARRAYFORMULA(XLOOKUP(FILTER(INDIRECT(""'""&amp;CK$1&amp;""'!$C$4:$C$66""),INDIRECT(""'""&amp;CK$1&amp;""'!$D$4:$D$66"")=CK$2),$F$3:$BP$3,$F98:$BP98)))"),-0.1282051282051282)</f>
        <v>-0.1282051282</v>
      </c>
      <c r="CL98" s="207" t="str">
        <f>IFERROR(__xludf.DUMMYFUNCTION("IF(OR(CK98&gt;$BR98+$BS98*$BS$2,CK98&lt;$BR98-$BS98*$BS$2),AVEDEV(ARRAYFORMULA(XLOOKUP(FILTER(INDIRECT(""'""&amp;CK$1&amp;""'!$C$4:$C$66""),INDIRECT(""'""&amp;CK$1&amp;""'!$D$4:$D$66"")=CK$2),$F$3:$BP$3,$F98:$BP98))),"""")"),"")</f>
        <v/>
      </c>
      <c r="CM98" s="251">
        <f>IFERROR(__xludf.DUMMYFUNCTION("AVERAGE(ARRAYFORMULA(XLOOKUP(FILTER(INDIRECT(""'""&amp;CM$1&amp;""'!$C$4:$C$66""),INDIRECT(""'""&amp;CM$1&amp;""'!$D$4:$D$66"")=CM$2),$F$3:$BP$3,$F98:$BP98)))"),0.0)</f>
        <v>0</v>
      </c>
      <c r="CN98" s="207" t="str">
        <f>IFERROR(__xludf.DUMMYFUNCTION("IF(OR(CM98&gt;$BR98+$BS98*$BS$2,CM98&lt;$BR98-$BS98*$BS$2),AVEDEV(ARRAYFORMULA(XLOOKUP(FILTER(INDIRECT(""'""&amp;CM$1&amp;""'!$C$4:$C$66""),INDIRECT(""'""&amp;CM$1&amp;""'!$D$4:$D$66"")=CM$2),$F$3:$BP$3,$F98:$BP98))),"""")"),"")</f>
        <v/>
      </c>
      <c r="CO98" s="252"/>
      <c r="CP98" s="251">
        <f>IFERROR(__xludf.DUMMYFUNCTION("AVERAGE(ARRAYFORMULA(XLOOKUP(FILTER(INDIRECT(""'""&amp;CP$1&amp;""'!$C$4:$C$66""),INDIRECT(""'""&amp;CP$1&amp;""'!$D$4:$D$66"")=CP$2),$F$3:$BP$3,$F98:$BP98)))"),-0.07142857142857142)</f>
        <v>-0.07142857143</v>
      </c>
      <c r="CQ98" s="207" t="str">
        <f>IFERROR(__xludf.DUMMYFUNCTION("IF(OR(CP98&gt;$BR98+$BS98*$BS$2,CP98&lt;$BR98-$BS98*$BS$2),AVEDEV(ARRAYFORMULA(XLOOKUP(FILTER(INDIRECT(""'""&amp;CP$1&amp;""'!$C$4:$C$66""),INDIRECT(""'""&amp;CP$1&amp;""'!$D$4:$D$66"")=CP$2),$F$3:$BP$3,$F98:$BP98))),"""")"),"")</f>
        <v/>
      </c>
      <c r="CR98" s="251">
        <f>IFERROR(__xludf.DUMMYFUNCTION("AVERAGE(ARRAYFORMULA(XLOOKUP(FILTER(INDIRECT(""'""&amp;CR$1&amp;""'!$C$4:$C$66""),INDIRECT(""'""&amp;CR$1&amp;""'!$D$4:$D$66"")=CR$2),$F$3:$BP$3,$F98:$BP98)))"),-0.1111111111111111)</f>
        <v>-0.1111111111</v>
      </c>
      <c r="CS98" s="207" t="str">
        <f>IFERROR(__xludf.DUMMYFUNCTION("IF(OR(CR98&gt;$BR98+$BS98*$BS$2,CR98&lt;$BR98-$BS98*$BS$2),AVEDEV(ARRAYFORMULA(XLOOKUP(FILTER(INDIRECT(""'""&amp;CR$1&amp;""'!$C$4:$C$66""),INDIRECT(""'""&amp;CR$1&amp;""'!$D$4:$D$66"")=CR$2),$F$3:$BP$3,$F98:$BP98))),"""")"),"")</f>
        <v/>
      </c>
      <c r="CT98" s="251">
        <f>IFERROR(__xludf.DUMMYFUNCTION("AVERAGE(ARRAYFORMULA(XLOOKUP(FILTER(INDIRECT(""'""&amp;CT$1&amp;""'!$C$4:$C$66""),INDIRECT(""'""&amp;CT$1&amp;""'!$D$4:$D$66"")=CT$2),$F$3:$BP$3,$F98:$BP98)))"),0.0)</f>
        <v>0</v>
      </c>
      <c r="CU98" s="207" t="str">
        <f>IFERROR(__xludf.DUMMYFUNCTION("IF(OR(CT98&gt;$BR98+$BS98*$BS$2,CT98&lt;$BR98-$BS98*$BS$2),AVEDEV(ARRAYFORMULA(XLOOKUP(FILTER(INDIRECT(""'""&amp;CT$1&amp;""'!$C$4:$C$66""),INDIRECT(""'""&amp;CT$1&amp;""'!$D$4:$D$66"")=CT$2),$F$3:$BP$3,$F98:$BP98))),"""")"),"")</f>
        <v/>
      </c>
      <c r="CV98" s="251">
        <f>IFERROR(__xludf.DUMMYFUNCTION("AVERAGE(ARRAYFORMULA(XLOOKUP(FILTER(INDIRECT(""'""&amp;CV$1&amp;""'!$C$4:$C$66""),INDIRECT(""'""&amp;CV$1&amp;""'!$D$4:$D$66"")=CV$2),$F$3:$BP$3,$F98:$BP98)))"),0.0)</f>
        <v>0</v>
      </c>
      <c r="CW98" s="207" t="str">
        <f>IFERROR(__xludf.DUMMYFUNCTION("IF(OR(CV98&gt;$BR98+$BS98*$BS$2,CV98&lt;$BR98-$BS98*$BS$2),AVEDEV(ARRAYFORMULA(XLOOKUP(FILTER(INDIRECT(""'""&amp;CV$1&amp;""'!$C$4:$C$66""),INDIRECT(""'""&amp;CV$1&amp;""'!$D$4:$D$66"")=CV$2),$F$3:$BP$3,$F98:$BP98))),"""")"),"")</f>
        <v/>
      </c>
      <c r="CX98" s="251">
        <f>IFERROR(__xludf.DUMMYFUNCTION("AVERAGE(ARRAYFORMULA(XLOOKUP(FILTER(INDIRECT(""'""&amp;CX$1&amp;""'!$C$4:$C$66""),INDIRECT(""'""&amp;CX$1&amp;""'!$D$4:$D$66"")=CX$2),$F$3:$BP$3,$F98:$BP98)))"),-0.14285714285714285)</f>
        <v>-0.1428571429</v>
      </c>
      <c r="CY98" s="207" t="str">
        <f>IFERROR(__xludf.DUMMYFUNCTION("IF(OR(CX98&gt;$BR98+$BS98*$BS$2,CX98&lt;$BR98-$BS98*$BS$2),AVEDEV(ARRAYFORMULA(XLOOKUP(FILTER(INDIRECT(""'""&amp;CX$1&amp;""'!$C$4:$C$66""),INDIRECT(""'""&amp;CX$1&amp;""'!$D$4:$D$66"")=CX$2),$F$3:$BP$3,$F98:$BP98))),"""")"),"")</f>
        <v/>
      </c>
      <c r="CZ98" s="252"/>
      <c r="DA98" s="251">
        <f>IFERROR(__xludf.DUMMYFUNCTION("AVERAGE(ARRAYFORMULA(XLOOKUP(FILTER(INDIRECT(""'""&amp;DA$1&amp;""'!$C$4:$C$66""),INDIRECT(""'""&amp;DA$1&amp;""'!$D$4:$D$66"")=DA$2),$F$3:$BP$3,$F98:$BP98)))"),-0.1)</f>
        <v>-0.1</v>
      </c>
      <c r="DB98" s="207" t="str">
        <f>IFERROR(__xludf.DUMMYFUNCTION("IF(OR(DA98&gt;$BR98+$BS98*$BS$2,DA98&lt;$BR98-$BS98*$BS$2),AVEDEV(ARRAYFORMULA(XLOOKUP(FILTER(INDIRECT(""'""&amp;DA$1&amp;""'!$C$4:$C$66""),INDIRECT(""'""&amp;DA$1&amp;""'!$D$4:$D$66"")=DA$2),$F$3:$BP$3,$F98:$BP98))),"""")"),"")</f>
        <v/>
      </c>
      <c r="DC98" s="251">
        <f>IFERROR(__xludf.DUMMYFUNCTION("AVERAGE(ARRAYFORMULA(XLOOKUP(FILTER(INDIRECT(""'""&amp;DC$1&amp;""'!$C$4:$C$66""),INDIRECT(""'""&amp;DC$1&amp;""'!$D$4:$D$66"")=DC$2),$F$3:$BP$3,$F98:$BP98)))"),-0.1111111111111111)</f>
        <v>-0.1111111111</v>
      </c>
      <c r="DD98" s="207" t="str">
        <f>IFERROR(__xludf.DUMMYFUNCTION("IF(OR(DC98&gt;$BR98+$BS98*$BS$2,DC98&lt;$BR98-$BS98*$BS$2),AVEDEV(ARRAYFORMULA(XLOOKUP(FILTER(INDIRECT(""'""&amp;DC$1&amp;""'!$C$4:$C$66""),INDIRECT(""'""&amp;DC$1&amp;""'!$D$4:$D$66"")=DC$2),$F$3:$BP$3,$F98:$BP98))),"""")"),"")</f>
        <v/>
      </c>
      <c r="DE98" s="251">
        <f>IFERROR(__xludf.DUMMYFUNCTION("AVERAGE(ARRAYFORMULA(XLOOKUP(FILTER(INDIRECT(""'""&amp;DE$1&amp;""'!$C$4:$C$66""),INDIRECT(""'""&amp;DE$1&amp;""'!$D$4:$D$66"")=DE$2),$F$3:$BP$3,$F98:$BP98)))"),0.0)</f>
        <v>0</v>
      </c>
      <c r="DF98" s="207" t="str">
        <f>IFERROR(__xludf.DUMMYFUNCTION("IF(OR(DE98&gt;$BR98+$BS98*$BS$2,DE98&lt;$BR98-$BS98*$BS$2),AVEDEV(ARRAYFORMULA(XLOOKUP(FILTER(INDIRECT(""'""&amp;DE$1&amp;""'!$C$4:$C$66""),INDIRECT(""'""&amp;DE$1&amp;""'!$D$4:$D$66"")=DE$2),$F$3:$BP$3,$F98:$BP98))),"""")"),"")</f>
        <v/>
      </c>
      <c r="DG98" s="251">
        <f>IFERROR(__xludf.DUMMYFUNCTION("AVERAGE(ARRAYFORMULA(XLOOKUP(FILTER(INDIRECT(""'""&amp;DG$1&amp;""'!$C$4:$C$66""),INDIRECT(""'""&amp;DG$1&amp;""'!$D$4:$D$66"")=DG$2),$F$3:$BP$3,$F98:$BP98)))"),0.0)</f>
        <v>0</v>
      </c>
      <c r="DH98" s="207" t="str">
        <f>IFERROR(__xludf.DUMMYFUNCTION("IF(OR(DG98&gt;$BR98+$BS98*$BS$2,DG98&lt;$BR98-$BS98*$BS$2),AVEDEV(ARRAYFORMULA(XLOOKUP(FILTER(INDIRECT(""'""&amp;DG$1&amp;""'!$C$4:$C$66""),INDIRECT(""'""&amp;DG$1&amp;""'!$D$4:$D$66"")=DG$2),$F$3:$BP$3,$F98:$BP98))),"""")"),"")</f>
        <v/>
      </c>
      <c r="DI98" s="252"/>
    </row>
    <row r="99">
      <c r="A99" s="2"/>
      <c r="B99" s="204" t="s">
        <v>540</v>
      </c>
      <c r="C99" s="204" t="s">
        <v>542</v>
      </c>
      <c r="D99" s="205" t="b">
        <f>VLOOKUP(C99,'Feature Set List'!A96:C246,2,0)</f>
        <v>1</v>
      </c>
      <c r="E99" s="205" t="b">
        <f>VLOOKUP(C99,'Feature Set List'!A96:C246,3,0)</f>
        <v>1</v>
      </c>
      <c r="F99" s="205">
        <v>0.0</v>
      </c>
      <c r="G99" s="205">
        <v>0.0</v>
      </c>
      <c r="H99" s="205">
        <v>0.0</v>
      </c>
      <c r="I99" s="205">
        <v>0.0</v>
      </c>
      <c r="J99" s="205">
        <v>0.0</v>
      </c>
      <c r="K99" s="205">
        <v>0.0</v>
      </c>
      <c r="L99" s="205">
        <v>1.0</v>
      </c>
      <c r="M99" s="205">
        <v>0.0</v>
      </c>
      <c r="N99" s="205">
        <v>0.0</v>
      </c>
      <c r="O99" s="205">
        <v>0.0</v>
      </c>
      <c r="P99" s="205">
        <v>0.0</v>
      </c>
      <c r="Q99" s="205">
        <v>0.0</v>
      </c>
      <c r="R99" s="205">
        <v>0.0</v>
      </c>
      <c r="S99" s="205">
        <v>0.0</v>
      </c>
      <c r="T99" s="205">
        <v>0.0</v>
      </c>
      <c r="U99" s="205">
        <v>0.0</v>
      </c>
      <c r="V99" s="205">
        <v>0.0</v>
      </c>
      <c r="W99" s="205">
        <v>0.0</v>
      </c>
      <c r="X99" s="205">
        <v>0.0</v>
      </c>
      <c r="Y99" s="205">
        <v>0.0</v>
      </c>
      <c r="Z99" s="205">
        <v>0.0</v>
      </c>
      <c r="AA99" s="205">
        <v>0.0</v>
      </c>
      <c r="AB99" s="205">
        <v>0.0</v>
      </c>
      <c r="AC99" s="205">
        <v>0.0</v>
      </c>
      <c r="AD99" s="205">
        <v>0.0</v>
      </c>
      <c r="AE99" s="205">
        <v>0.0</v>
      </c>
      <c r="AF99" s="205">
        <v>0.0</v>
      </c>
      <c r="AG99" s="205">
        <v>0.0</v>
      </c>
      <c r="AH99" s="205">
        <v>1.0</v>
      </c>
      <c r="AI99" s="205">
        <v>0.0</v>
      </c>
      <c r="AJ99" s="205">
        <v>0.0</v>
      </c>
      <c r="AK99" s="205">
        <v>0.0</v>
      </c>
      <c r="AL99" s="205">
        <v>0.0</v>
      </c>
      <c r="AM99" s="205">
        <v>0.0</v>
      </c>
      <c r="AN99" s="205">
        <v>0.0</v>
      </c>
      <c r="AO99" s="205">
        <v>0.0</v>
      </c>
      <c r="AP99" s="205">
        <v>0.0</v>
      </c>
      <c r="AQ99" s="205">
        <v>1.0</v>
      </c>
      <c r="AR99" s="205">
        <v>0.0</v>
      </c>
      <c r="AS99" s="205">
        <v>0.0</v>
      </c>
      <c r="AT99" s="205">
        <v>0.0</v>
      </c>
      <c r="AU99" s="205">
        <v>0.0</v>
      </c>
      <c r="AV99" s="205">
        <v>0.0</v>
      </c>
      <c r="AW99" s="205">
        <v>0.0</v>
      </c>
      <c r="AX99" s="205">
        <v>0.0</v>
      </c>
      <c r="AY99" s="205">
        <v>0.0</v>
      </c>
      <c r="AZ99" s="205">
        <v>0.0</v>
      </c>
      <c r="BA99" s="205">
        <v>0.0</v>
      </c>
      <c r="BB99" s="205">
        <v>0.0</v>
      </c>
      <c r="BC99" s="205">
        <v>0.0</v>
      </c>
      <c r="BD99" s="205">
        <v>0.0</v>
      </c>
      <c r="BE99" s="205">
        <v>0.0</v>
      </c>
      <c r="BF99" s="205">
        <v>0.0</v>
      </c>
      <c r="BG99" s="205">
        <v>0.0</v>
      </c>
      <c r="BH99" s="205">
        <v>0.0</v>
      </c>
      <c r="BI99" s="205">
        <v>0.0</v>
      </c>
      <c r="BJ99" s="205">
        <v>0.0</v>
      </c>
      <c r="BK99" s="205">
        <v>0.0</v>
      </c>
      <c r="BL99" s="205">
        <v>0.0</v>
      </c>
      <c r="BM99" s="205">
        <v>0.0</v>
      </c>
      <c r="BN99" s="205">
        <v>0.0</v>
      </c>
      <c r="BO99" s="205">
        <v>1.0</v>
      </c>
      <c r="BP99" s="205">
        <v>0.0</v>
      </c>
      <c r="BQ99" s="206"/>
      <c r="BR99" s="250">
        <f t="shared" si="1"/>
        <v>0.06349206349</v>
      </c>
      <c r="BS99" s="250">
        <f t="shared" si="2"/>
        <v>0.1189216427</v>
      </c>
      <c r="BT99" s="206"/>
      <c r="BU99" s="207">
        <f>IFERROR(__xludf.DUMMYFUNCTION("AVERAGE(ARRAYFORMULA(XLOOKUP(FILTER(INDIRECT(""'""&amp;BU$1&amp;""'!$C$4:$C$66""),INDIRECT(""'""&amp;BU$1&amp;""'!$D$4:$D$66"")=BU$2),$F$3:$BP$3,$F99:$BP99)))"),0.0)</f>
        <v>0</v>
      </c>
      <c r="BV99" s="207" t="str">
        <f>IFERROR(__xludf.DUMMYFUNCTION("IF(OR(BU99&gt;$BR99+$BS99*$BS$2,BU99&lt;$BR99-$BS99*$BS$2),AVEDEV(ARRAYFORMULA(XLOOKUP(FILTER(INDIRECT(""'""&amp;BU$1&amp;""'!$C$4:$C$66""),INDIRECT(""'""&amp;BU$1&amp;""'!$D$4:$D$66"")=BU$2),$F$3:$BP$3,$F99:$BP99))),"""")"),"")</f>
        <v/>
      </c>
      <c r="BW99" s="207">
        <f>IFERROR(__xludf.DUMMYFUNCTION("AVERAGE(ARRAYFORMULA(XLOOKUP(FILTER(INDIRECT(""'""&amp;BW$1&amp;""'!$C$4:$C$66""),INDIRECT(""'""&amp;BW$1&amp;""'!$D$4:$D$66"")=BW$2),$F$3:$BP$3,$F99:$BP99)))"),0.07142857142857142)</f>
        <v>0.07142857143</v>
      </c>
      <c r="BX99" s="207" t="str">
        <f>IFERROR(__xludf.DUMMYFUNCTION("IF(OR(BW99&gt;$BR99+$BS99*$BS$2,BW99&lt;$BR99-$BS99*$BS$2),AVEDEV(ARRAYFORMULA(XLOOKUP(FILTER(INDIRECT(""'""&amp;BW$1&amp;""'!$C$4:$C$66""),INDIRECT(""'""&amp;BW$1&amp;""'!$D$4:$D$66"")=BW$2),$F$3:$BP$3,$F99:$BP99))),"""")"),"")</f>
        <v/>
      </c>
      <c r="BY99" s="207">
        <f>IFERROR(__xludf.DUMMYFUNCTION("AVERAGE(ARRAYFORMULA(XLOOKUP(FILTER(INDIRECT(""'""&amp;BY$1&amp;""'!$C$4:$C$66""),INDIRECT(""'""&amp;BY$1&amp;""'!$D$4:$D$66"")=BY$2),$F$3:$BP$3,$F99:$BP99)))"),0.09090909090909091)</f>
        <v>0.09090909091</v>
      </c>
      <c r="BZ99" s="207" t="str">
        <f>IFERROR(__xludf.DUMMYFUNCTION("IF(OR(BY99&gt;$BR99+$BS99*$BS$2,BY99&lt;$BR99-$BS99*$BS$2),AVEDEV(ARRAYFORMULA(XLOOKUP(FILTER(INDIRECT(""'""&amp;BY$1&amp;""'!$C$4:$C$66""),INDIRECT(""'""&amp;BY$1&amp;""'!$D$4:$D$66"")=BY$2),$F$3:$BP$3,$F99:$BP99))),"""")"),"")</f>
        <v/>
      </c>
      <c r="CA99" s="209"/>
      <c r="CB99" s="207">
        <f>IFERROR(__xludf.DUMMYFUNCTION("AVERAGE(ARRAYFORMULA(XLOOKUP(FILTER(INDIRECT(""'""&amp;CB$1&amp;""'!$C$4:$C$66""),INDIRECT(""'""&amp;CB$1&amp;""'!$D$4:$D$66"")=CB$2),$F$3:$BP$3,$F99:$BP99)))"),0.0625)</f>
        <v>0.0625</v>
      </c>
      <c r="CC99" s="207" t="str">
        <f>IFERROR(__xludf.DUMMYFUNCTION("IF(OR(CB99&gt;$BR99+$BS99*$BS$2,CB99&lt;$BR99-$BS99*$BS$2),AVEDEV(ARRAYFORMULA(XLOOKUP(FILTER(INDIRECT(""'""&amp;CB$1&amp;""'!$C$4:$C$66""),INDIRECT(""'""&amp;CB$1&amp;""'!$D$4:$D$66"")=CB$2),$F$3:$BP$3,$F99:$BP99))),"""")"),"")</f>
        <v/>
      </c>
      <c r="CD99" s="207">
        <f>IFERROR(__xludf.DUMMYFUNCTION("AVERAGE(ARRAYFORMULA(XLOOKUP(FILTER(INDIRECT(""'""&amp;CD$1&amp;""'!$C$4:$C$66""),INDIRECT(""'""&amp;CD$1&amp;""'!$D$4:$D$66"")=CD$2),$F$3:$BP$3,$F99:$BP99)))"),0.06451612903225806)</f>
        <v>0.06451612903</v>
      </c>
      <c r="CE99" s="207" t="str">
        <f>IFERROR(__xludf.DUMMYFUNCTION("IF(OR(CD99&gt;$BR99+$BS99*$BS$2,CD99&lt;$BR99-$BS99*$BS$2),AVEDEV(ARRAYFORMULA(XLOOKUP(FILTER(INDIRECT(""'""&amp;CD$1&amp;""'!$C$4:$C$66""),INDIRECT(""'""&amp;CD$1&amp;""'!$D$4:$D$66"")=CD$2),$F$3:$BP$3,$F99:$BP99))),"""")"),"")</f>
        <v/>
      </c>
      <c r="CF99" s="207">
        <f>IFERROR(__xludf.DUMMYFUNCTION("AVERAGE(ARRAYFORMULA(XLOOKUP(FILTER(INDIRECT(""'""&amp;CF$1&amp;""'!$C$4:$C$66""),INDIRECT(""'""&amp;CF$1&amp;""'!$D$4:$D$66"")=CF$2),$F$3:$BP$3,$F99:$BP99)))"),0.0)</f>
        <v>0</v>
      </c>
      <c r="CG99" s="207" t="str">
        <f>IFERROR(__xludf.DUMMYFUNCTION("IF(OR(CF99&gt;$BR99+$BS99*$BS$2,CF99&lt;$BR99-$BS99*$BS$2),AVEDEV(ARRAYFORMULA(XLOOKUP(FILTER(INDIRECT(""'""&amp;CF$1&amp;""'!$C$4:$C$66""),INDIRECT(""'""&amp;CF$1&amp;""'!$D$4:$D$66"")=CF$2),$F$3:$BP$3,$F99:$BP99))),"""")"),"")</f>
        <v/>
      </c>
      <c r="CH99" s="206"/>
      <c r="CI99" s="251">
        <f>IFERROR(__xludf.DUMMYFUNCTION("AVERAGE(ARRAYFORMULA(XLOOKUP(FILTER(INDIRECT(""'""&amp;CI$1&amp;""'!$C$4:$C$66""),INDIRECT(""'""&amp;CI$1&amp;""'!$D$4:$D$66"")=CI$2),$F$3:$BP$3,$F99:$BP99)))"),0.0)</f>
        <v>0</v>
      </c>
      <c r="CJ99" s="207" t="str">
        <f>IFERROR(__xludf.DUMMYFUNCTION("IF(OR(CI99&gt;$BR99+$BS99*$BS$2,CI99&lt;$BR99-$BS99*$BS$2),AVEDEV(ARRAYFORMULA(XLOOKUP(FILTER(INDIRECT(""'""&amp;CI$1&amp;""'!$C$4:$C$66""),INDIRECT(""'""&amp;CI$1&amp;""'!$D$4:$D$66"")=CI$2),$F$3:$BP$3,$F99:$BP99))),"""")"),"")</f>
        <v/>
      </c>
      <c r="CK99" s="251">
        <f>IFERROR(__xludf.DUMMYFUNCTION("AVERAGE(ARRAYFORMULA(XLOOKUP(FILTER(INDIRECT(""'""&amp;CK$1&amp;""'!$C$4:$C$66""),INDIRECT(""'""&amp;CK$1&amp;""'!$D$4:$D$66"")=CK$2),$F$3:$BP$3,$F99:$BP99)))"),0.10256410256410256)</f>
        <v>0.1025641026</v>
      </c>
      <c r="CL99" s="207" t="str">
        <f>IFERROR(__xludf.DUMMYFUNCTION("IF(OR(CK99&gt;$BR99+$BS99*$BS$2,CK99&lt;$BR99-$BS99*$BS$2),AVEDEV(ARRAYFORMULA(XLOOKUP(FILTER(INDIRECT(""'""&amp;CK$1&amp;""'!$C$4:$C$66""),INDIRECT(""'""&amp;CK$1&amp;""'!$D$4:$D$66"")=CK$2),$F$3:$BP$3,$F99:$BP99))),"""")"),"")</f>
        <v/>
      </c>
      <c r="CM99" s="251">
        <f>IFERROR(__xludf.DUMMYFUNCTION("AVERAGE(ARRAYFORMULA(XLOOKUP(FILTER(INDIRECT(""'""&amp;CM$1&amp;""'!$C$4:$C$66""),INDIRECT(""'""&amp;CM$1&amp;""'!$D$4:$D$66"")=CM$2),$F$3:$BP$3,$F99:$BP99)))"),0.0)</f>
        <v>0</v>
      </c>
      <c r="CN99" s="207" t="str">
        <f>IFERROR(__xludf.DUMMYFUNCTION("IF(OR(CM99&gt;$BR99+$BS99*$BS$2,CM99&lt;$BR99-$BS99*$BS$2),AVEDEV(ARRAYFORMULA(XLOOKUP(FILTER(INDIRECT(""'""&amp;CM$1&amp;""'!$C$4:$C$66""),INDIRECT(""'""&amp;CM$1&amp;""'!$D$4:$D$66"")=CM$2),$F$3:$BP$3,$F99:$BP99))),"""")"),"")</f>
        <v/>
      </c>
      <c r="CO99" s="252"/>
      <c r="CP99" s="251">
        <f>IFERROR(__xludf.DUMMYFUNCTION("AVERAGE(ARRAYFORMULA(XLOOKUP(FILTER(INDIRECT(""'""&amp;CP$1&amp;""'!$C$4:$C$66""),INDIRECT(""'""&amp;CP$1&amp;""'!$D$4:$D$66"")=CP$2),$F$3:$BP$3,$F99:$BP99)))"),0.07142857142857142)</f>
        <v>0.07142857143</v>
      </c>
      <c r="CQ99" s="207" t="str">
        <f>IFERROR(__xludf.DUMMYFUNCTION("IF(OR(CP99&gt;$BR99+$BS99*$BS$2,CP99&lt;$BR99-$BS99*$BS$2),AVEDEV(ARRAYFORMULA(XLOOKUP(FILTER(INDIRECT(""'""&amp;CP$1&amp;""'!$C$4:$C$66""),INDIRECT(""'""&amp;CP$1&amp;""'!$D$4:$D$66"")=CP$2),$F$3:$BP$3,$F99:$BP99))),"""")"),"")</f>
        <v/>
      </c>
      <c r="CR99" s="251">
        <f>IFERROR(__xludf.DUMMYFUNCTION("AVERAGE(ARRAYFORMULA(XLOOKUP(FILTER(INDIRECT(""'""&amp;CR$1&amp;""'!$C$4:$C$66""),INDIRECT(""'""&amp;CR$1&amp;""'!$D$4:$D$66"")=CR$2),$F$3:$BP$3,$F99:$BP99)))"),0.1111111111111111)</f>
        <v>0.1111111111</v>
      </c>
      <c r="CS99" s="207" t="str">
        <f>IFERROR(__xludf.DUMMYFUNCTION("IF(OR(CR99&gt;$BR99+$BS99*$BS$2,CR99&lt;$BR99-$BS99*$BS$2),AVEDEV(ARRAYFORMULA(XLOOKUP(FILTER(INDIRECT(""'""&amp;CR$1&amp;""'!$C$4:$C$66""),INDIRECT(""'""&amp;CR$1&amp;""'!$D$4:$D$66"")=CR$2),$F$3:$BP$3,$F99:$BP99))),"""")"),"")</f>
        <v/>
      </c>
      <c r="CT99" s="251">
        <f>IFERROR(__xludf.DUMMYFUNCTION("AVERAGE(ARRAYFORMULA(XLOOKUP(FILTER(INDIRECT(""'""&amp;CT$1&amp;""'!$C$4:$C$66""),INDIRECT(""'""&amp;CT$1&amp;""'!$D$4:$D$66"")=CT$2),$F$3:$BP$3,$F99:$BP99)))"),0.0)</f>
        <v>0</v>
      </c>
      <c r="CU99" s="207" t="str">
        <f>IFERROR(__xludf.DUMMYFUNCTION("IF(OR(CT99&gt;$BR99+$BS99*$BS$2,CT99&lt;$BR99-$BS99*$BS$2),AVEDEV(ARRAYFORMULA(XLOOKUP(FILTER(INDIRECT(""'""&amp;CT$1&amp;""'!$C$4:$C$66""),INDIRECT(""'""&amp;CT$1&amp;""'!$D$4:$D$66"")=CT$2),$F$3:$BP$3,$F99:$BP99))),"""")"),"")</f>
        <v/>
      </c>
      <c r="CV99" s="251">
        <f>IFERROR(__xludf.DUMMYFUNCTION("AVERAGE(ARRAYFORMULA(XLOOKUP(FILTER(INDIRECT(""'""&amp;CV$1&amp;""'!$C$4:$C$66""),INDIRECT(""'""&amp;CV$1&amp;""'!$D$4:$D$66"")=CV$2),$F$3:$BP$3,$F99:$BP99)))"),0.0)</f>
        <v>0</v>
      </c>
      <c r="CW99" s="207" t="str">
        <f>IFERROR(__xludf.DUMMYFUNCTION("IF(OR(CV99&gt;$BR99+$BS99*$BS$2,CV99&lt;$BR99-$BS99*$BS$2),AVEDEV(ARRAYFORMULA(XLOOKUP(FILTER(INDIRECT(""'""&amp;CV$1&amp;""'!$C$4:$C$66""),INDIRECT(""'""&amp;CV$1&amp;""'!$D$4:$D$66"")=CV$2),$F$3:$BP$3,$F99:$BP99))),"""")"),"")</f>
        <v/>
      </c>
      <c r="CX99" s="251">
        <f>IFERROR(__xludf.DUMMYFUNCTION("AVERAGE(ARRAYFORMULA(XLOOKUP(FILTER(INDIRECT(""'""&amp;CX$1&amp;""'!$C$4:$C$66""),INDIRECT(""'""&amp;CX$1&amp;""'!$D$4:$D$66"")=CX$2),$F$3:$BP$3,$F99:$BP99)))"),0.14285714285714285)</f>
        <v>0.1428571429</v>
      </c>
      <c r="CY99" s="207" t="str">
        <f>IFERROR(__xludf.DUMMYFUNCTION("IF(OR(CX99&gt;$BR99+$BS99*$BS$2,CX99&lt;$BR99-$BS99*$BS$2),AVEDEV(ARRAYFORMULA(XLOOKUP(FILTER(INDIRECT(""'""&amp;CX$1&amp;""'!$C$4:$C$66""),INDIRECT(""'""&amp;CX$1&amp;""'!$D$4:$D$66"")=CX$2),$F$3:$BP$3,$F99:$BP99))),"""")"),"")</f>
        <v/>
      </c>
      <c r="CZ99" s="252"/>
      <c r="DA99" s="251">
        <f>IFERROR(__xludf.DUMMYFUNCTION("AVERAGE(ARRAYFORMULA(XLOOKUP(FILTER(INDIRECT(""'""&amp;DA$1&amp;""'!$C$4:$C$66""),INDIRECT(""'""&amp;DA$1&amp;""'!$D$4:$D$66"")=DA$2),$F$3:$BP$3,$F99:$BP99)))"),0.06666666666666667)</f>
        <v>0.06666666667</v>
      </c>
      <c r="DB99" s="207" t="str">
        <f>IFERROR(__xludf.DUMMYFUNCTION("IF(OR(DA99&gt;$BR99+$BS99*$BS$2,DA99&lt;$BR99-$BS99*$BS$2),AVEDEV(ARRAYFORMULA(XLOOKUP(FILTER(INDIRECT(""'""&amp;DA$1&amp;""'!$C$4:$C$66""),INDIRECT(""'""&amp;DA$1&amp;""'!$D$4:$D$66"")=DA$2),$F$3:$BP$3,$F99:$BP99))),"""")"),"")</f>
        <v/>
      </c>
      <c r="DC99" s="251">
        <f>IFERROR(__xludf.DUMMYFUNCTION("AVERAGE(ARRAYFORMULA(XLOOKUP(FILTER(INDIRECT(""'""&amp;DC$1&amp;""'!$C$4:$C$66""),INDIRECT(""'""&amp;DC$1&amp;""'!$D$4:$D$66"")=DC$2),$F$3:$BP$3,$F99:$BP99)))"),0.1111111111111111)</f>
        <v>0.1111111111</v>
      </c>
      <c r="DD99" s="207" t="str">
        <f>IFERROR(__xludf.DUMMYFUNCTION("IF(OR(DC99&gt;$BR99+$BS99*$BS$2,DC99&lt;$BR99-$BS99*$BS$2),AVEDEV(ARRAYFORMULA(XLOOKUP(FILTER(INDIRECT(""'""&amp;DC$1&amp;""'!$C$4:$C$66""),INDIRECT(""'""&amp;DC$1&amp;""'!$D$4:$D$66"")=DC$2),$F$3:$BP$3,$F99:$BP99))),"""")"),"")</f>
        <v/>
      </c>
      <c r="DE99" s="251">
        <f>IFERROR(__xludf.DUMMYFUNCTION("AVERAGE(ARRAYFORMULA(XLOOKUP(FILTER(INDIRECT(""'""&amp;DE$1&amp;""'!$C$4:$C$66""),INDIRECT(""'""&amp;DE$1&amp;""'!$D$4:$D$66"")=DE$2),$F$3:$BP$3,$F99:$BP99)))"),0.0)</f>
        <v>0</v>
      </c>
      <c r="DF99" s="207" t="str">
        <f>IFERROR(__xludf.DUMMYFUNCTION("IF(OR(DE99&gt;$BR99+$BS99*$BS$2,DE99&lt;$BR99-$BS99*$BS$2),AVEDEV(ARRAYFORMULA(XLOOKUP(FILTER(INDIRECT(""'""&amp;DE$1&amp;""'!$C$4:$C$66""),INDIRECT(""'""&amp;DE$1&amp;""'!$D$4:$D$66"")=DE$2),$F$3:$BP$3,$F99:$BP99))),"""")"),"")</f>
        <v/>
      </c>
      <c r="DG99" s="251">
        <f>IFERROR(__xludf.DUMMYFUNCTION("AVERAGE(ARRAYFORMULA(XLOOKUP(FILTER(INDIRECT(""'""&amp;DG$1&amp;""'!$C$4:$C$66""),INDIRECT(""'""&amp;DG$1&amp;""'!$D$4:$D$66"")=DG$2),$F$3:$BP$3,$F99:$BP99)))"),0.0)</f>
        <v>0</v>
      </c>
      <c r="DH99" s="207" t="str">
        <f>IFERROR(__xludf.DUMMYFUNCTION("IF(OR(DG99&gt;$BR99+$BS99*$BS$2,DG99&lt;$BR99-$BS99*$BS$2),AVEDEV(ARRAYFORMULA(XLOOKUP(FILTER(INDIRECT(""'""&amp;DG$1&amp;""'!$C$4:$C$66""),INDIRECT(""'""&amp;DG$1&amp;""'!$D$4:$D$66"")=DG$2),$F$3:$BP$3,$F99:$BP99))),"""")"),"")</f>
        <v/>
      </c>
      <c r="DI99" s="252"/>
    </row>
    <row r="100">
      <c r="A100" s="2"/>
      <c r="B100" s="204" t="s">
        <v>540</v>
      </c>
      <c r="C100" s="204" t="s">
        <v>543</v>
      </c>
      <c r="D100" s="205" t="b">
        <f>VLOOKUP(C100,'Feature Set List'!A97:C246,2,0)</f>
        <v>1</v>
      </c>
      <c r="E100" s="205" t="b">
        <f>VLOOKUP(C100,'Feature Set List'!A97:C246,3,0)</f>
        <v>1</v>
      </c>
      <c r="F100" s="205">
        <v>0.0</v>
      </c>
      <c r="G100" s="205">
        <v>0.0</v>
      </c>
      <c r="H100" s="205">
        <v>0.0</v>
      </c>
      <c r="I100" s="205">
        <v>0.0</v>
      </c>
      <c r="J100" s="205">
        <v>1.0</v>
      </c>
      <c r="K100" s="205">
        <v>0.0</v>
      </c>
      <c r="L100" s="205">
        <v>0.0</v>
      </c>
      <c r="M100" s="205">
        <v>0.0</v>
      </c>
      <c r="N100" s="205">
        <v>0.0</v>
      </c>
      <c r="O100" s="205">
        <v>0.0</v>
      </c>
      <c r="P100" s="205">
        <v>0.0</v>
      </c>
      <c r="Q100" s="205">
        <v>0.0</v>
      </c>
      <c r="R100" s="205">
        <v>0.0</v>
      </c>
      <c r="S100" s="205">
        <v>0.0</v>
      </c>
      <c r="T100" s="205">
        <v>0.0</v>
      </c>
      <c r="U100" s="205">
        <v>0.0</v>
      </c>
      <c r="V100" s="205">
        <v>0.0</v>
      </c>
      <c r="W100" s="205">
        <v>0.0</v>
      </c>
      <c r="X100" s="205">
        <v>0.0</v>
      </c>
      <c r="Y100" s="205">
        <v>0.0</v>
      </c>
      <c r="Z100" s="205">
        <v>0.0</v>
      </c>
      <c r="AA100" s="205">
        <v>0.0</v>
      </c>
      <c r="AB100" s="205">
        <v>0.0</v>
      </c>
      <c r="AC100" s="205">
        <v>0.0</v>
      </c>
      <c r="AD100" s="205">
        <v>0.0</v>
      </c>
      <c r="AE100" s="205">
        <v>0.0</v>
      </c>
      <c r="AF100" s="205">
        <v>0.0</v>
      </c>
      <c r="AG100" s="205">
        <v>0.0</v>
      </c>
      <c r="AH100" s="205">
        <v>0.0</v>
      </c>
      <c r="AI100" s="205">
        <v>0.0</v>
      </c>
      <c r="AJ100" s="205">
        <v>0.0</v>
      </c>
      <c r="AK100" s="205">
        <v>0.0</v>
      </c>
      <c r="AL100" s="205">
        <v>0.0</v>
      </c>
      <c r="AM100" s="205">
        <v>0.0</v>
      </c>
      <c r="AN100" s="205">
        <v>0.0</v>
      </c>
      <c r="AO100" s="205">
        <v>0.0</v>
      </c>
      <c r="AP100" s="205">
        <v>0.0</v>
      </c>
      <c r="AQ100" s="205">
        <v>0.0</v>
      </c>
      <c r="AR100" s="205">
        <v>0.0</v>
      </c>
      <c r="AS100" s="205">
        <v>0.0</v>
      </c>
      <c r="AT100" s="205">
        <v>0.0</v>
      </c>
      <c r="AU100" s="205">
        <v>0.0</v>
      </c>
      <c r="AV100" s="205">
        <v>0.0</v>
      </c>
      <c r="AW100" s="205">
        <v>0.0</v>
      </c>
      <c r="AX100" s="205">
        <v>0.0</v>
      </c>
      <c r="AY100" s="205">
        <v>0.0</v>
      </c>
      <c r="AZ100" s="205">
        <v>0.0</v>
      </c>
      <c r="BA100" s="205">
        <v>0.0</v>
      </c>
      <c r="BB100" s="205">
        <v>0.0</v>
      </c>
      <c r="BC100" s="205">
        <v>0.0</v>
      </c>
      <c r="BD100" s="205">
        <v>0.0</v>
      </c>
      <c r="BE100" s="205">
        <v>0.0</v>
      </c>
      <c r="BF100" s="205">
        <v>0.0</v>
      </c>
      <c r="BG100" s="205">
        <v>0.0</v>
      </c>
      <c r="BH100" s="205">
        <v>0.0</v>
      </c>
      <c r="BI100" s="205">
        <v>0.0</v>
      </c>
      <c r="BJ100" s="205">
        <v>0.0</v>
      </c>
      <c r="BK100" s="205">
        <v>0.0</v>
      </c>
      <c r="BL100" s="205">
        <v>0.0</v>
      </c>
      <c r="BM100" s="205">
        <v>0.0</v>
      </c>
      <c r="BN100" s="205">
        <v>0.0</v>
      </c>
      <c r="BO100" s="205">
        <v>0.0</v>
      </c>
      <c r="BP100" s="205">
        <v>0.0</v>
      </c>
      <c r="BQ100" s="206"/>
      <c r="BR100" s="250">
        <f t="shared" si="1"/>
        <v>0.01587301587</v>
      </c>
      <c r="BS100" s="250">
        <f t="shared" si="2"/>
        <v>0.03124212648</v>
      </c>
      <c r="BT100" s="206"/>
      <c r="BU100" s="207">
        <f>IFERROR(__xludf.DUMMYFUNCTION("AVERAGE(ARRAYFORMULA(XLOOKUP(FILTER(INDIRECT(""'""&amp;BU$1&amp;""'!$C$4:$C$66""),INDIRECT(""'""&amp;BU$1&amp;""'!$D$4:$D$66"")=BU$2),$F$3:$BP$3,$F100:$BP100)))"),0.0)</f>
        <v>0</v>
      </c>
      <c r="BV100" s="207" t="str">
        <f>IFERROR(__xludf.DUMMYFUNCTION("IF(OR(BU100&gt;$BR100+$BS100*$BS$2,BU100&lt;$BR100-$BS100*$BS$2),AVEDEV(ARRAYFORMULA(XLOOKUP(FILTER(INDIRECT(""'""&amp;BU$1&amp;""'!$C$4:$C$66""),INDIRECT(""'""&amp;BU$1&amp;""'!$D$4:$D$66"")=BU$2),$F$3:$BP$3,$F100:$BP100))),"""")"),"")</f>
        <v/>
      </c>
      <c r="BW100" s="207">
        <f>IFERROR(__xludf.DUMMYFUNCTION("AVERAGE(ARRAYFORMULA(XLOOKUP(FILTER(INDIRECT(""'""&amp;BW$1&amp;""'!$C$4:$C$66""),INDIRECT(""'""&amp;BW$1&amp;""'!$D$4:$D$66"")=BW$2),$F$3:$BP$3,$F100:$BP100)))"),0.023809523809523808)</f>
        <v>0.02380952381</v>
      </c>
      <c r="BX100" s="207" t="str">
        <f>IFERROR(__xludf.DUMMYFUNCTION("IF(OR(BW100&gt;$BR100+$BS100*$BS$2,BW100&lt;$BR100-$BS100*$BS$2),AVEDEV(ARRAYFORMULA(XLOOKUP(FILTER(INDIRECT(""'""&amp;BW$1&amp;""'!$C$4:$C$66""),INDIRECT(""'""&amp;BW$1&amp;""'!$D$4:$D$66"")=BW$2),$F$3:$BP$3,$F100:$BP100))),"""")"),"")</f>
        <v/>
      </c>
      <c r="BY100" s="207">
        <f>IFERROR(__xludf.DUMMYFUNCTION("AVERAGE(ARRAYFORMULA(XLOOKUP(FILTER(INDIRECT(""'""&amp;BY$1&amp;""'!$C$4:$C$66""),INDIRECT(""'""&amp;BY$1&amp;""'!$D$4:$D$66"")=BY$2),$F$3:$BP$3,$F100:$BP100)))"),0.0)</f>
        <v>0</v>
      </c>
      <c r="BZ100" s="207" t="str">
        <f>IFERROR(__xludf.DUMMYFUNCTION("IF(OR(BY100&gt;$BR100+$BS100*$BS$2,BY100&lt;$BR100-$BS100*$BS$2),AVEDEV(ARRAYFORMULA(XLOOKUP(FILTER(INDIRECT(""'""&amp;BY$1&amp;""'!$C$4:$C$66""),INDIRECT(""'""&amp;BY$1&amp;""'!$D$4:$D$66"")=BY$2),$F$3:$BP$3,$F100:$BP100))),"""")"),"")</f>
        <v/>
      </c>
      <c r="CA100" s="209"/>
      <c r="CB100" s="207">
        <f>IFERROR(__xludf.DUMMYFUNCTION("AVERAGE(ARRAYFORMULA(XLOOKUP(FILTER(INDIRECT(""'""&amp;CB$1&amp;""'!$C$4:$C$66""),INDIRECT(""'""&amp;CB$1&amp;""'!$D$4:$D$66"")=CB$2),$F$3:$BP$3,$F100:$BP100)))"),0.0625)</f>
        <v>0.0625</v>
      </c>
      <c r="CC100" s="207">
        <f>IFERROR(__xludf.DUMMYFUNCTION("IF(OR(CB100&gt;$BR100+$BS100*$BS$2,CB100&lt;$BR100-$BS100*$BS$2),AVEDEV(ARRAYFORMULA(XLOOKUP(FILTER(INDIRECT(""'""&amp;CB$1&amp;""'!$C$4:$C$66""),INDIRECT(""'""&amp;CB$1&amp;""'!$D$4:$D$66"")=CB$2),$F$3:$BP$3,$F100:$BP100))),"""")"),0.1171875)</f>
        <v>0.1171875</v>
      </c>
      <c r="CD100" s="207">
        <f>IFERROR(__xludf.DUMMYFUNCTION("AVERAGE(ARRAYFORMULA(XLOOKUP(FILTER(INDIRECT(""'""&amp;CD$1&amp;""'!$C$4:$C$66""),INDIRECT(""'""&amp;CD$1&amp;""'!$D$4:$D$66"")=CD$2),$F$3:$BP$3,$F100:$BP100)))"),0.0)</f>
        <v>0</v>
      </c>
      <c r="CE100" s="207" t="str">
        <f>IFERROR(__xludf.DUMMYFUNCTION("IF(OR(CD100&gt;$BR100+$BS100*$BS$2,CD100&lt;$BR100-$BS100*$BS$2),AVEDEV(ARRAYFORMULA(XLOOKUP(FILTER(INDIRECT(""'""&amp;CD$1&amp;""'!$C$4:$C$66""),INDIRECT(""'""&amp;CD$1&amp;""'!$D$4:$D$66"")=CD$2),$F$3:$BP$3,$F100:$BP100))),"""")"),"")</f>
        <v/>
      </c>
      <c r="CF100" s="207">
        <f>IFERROR(__xludf.DUMMYFUNCTION("AVERAGE(ARRAYFORMULA(XLOOKUP(FILTER(INDIRECT(""'""&amp;CF$1&amp;""'!$C$4:$C$66""),INDIRECT(""'""&amp;CF$1&amp;""'!$D$4:$D$66"")=CF$2),$F$3:$BP$3,$F100:$BP100)))"),0.0)</f>
        <v>0</v>
      </c>
      <c r="CG100" s="207" t="str">
        <f>IFERROR(__xludf.DUMMYFUNCTION("IF(OR(CF100&gt;$BR100+$BS100*$BS$2,CF100&lt;$BR100-$BS100*$BS$2),AVEDEV(ARRAYFORMULA(XLOOKUP(FILTER(INDIRECT(""'""&amp;CF$1&amp;""'!$C$4:$C$66""),INDIRECT(""'""&amp;CF$1&amp;""'!$D$4:$D$66"")=CF$2),$F$3:$BP$3,$F100:$BP100))),"""")"),"")</f>
        <v/>
      </c>
      <c r="CH100" s="206"/>
      <c r="CI100" s="251">
        <f>IFERROR(__xludf.DUMMYFUNCTION("AVERAGE(ARRAYFORMULA(XLOOKUP(FILTER(INDIRECT(""'""&amp;CI$1&amp;""'!$C$4:$C$66""),INDIRECT(""'""&amp;CI$1&amp;""'!$D$4:$D$66"")=CI$2),$F$3:$BP$3,$F100:$BP100)))"),0.0)</f>
        <v>0</v>
      </c>
      <c r="CJ100" s="207" t="str">
        <f>IFERROR(__xludf.DUMMYFUNCTION("IF(OR(CI100&gt;$BR100+$BS100*$BS$2,CI100&lt;$BR100-$BS100*$BS$2),AVEDEV(ARRAYFORMULA(XLOOKUP(FILTER(INDIRECT(""'""&amp;CI$1&amp;""'!$C$4:$C$66""),INDIRECT(""'""&amp;CI$1&amp;""'!$D$4:$D$66"")=CI$2),$F$3:$BP$3,$F100:$BP100))),"""")"),"")</f>
        <v/>
      </c>
      <c r="CK100" s="251">
        <f>IFERROR(__xludf.DUMMYFUNCTION("AVERAGE(ARRAYFORMULA(XLOOKUP(FILTER(INDIRECT(""'""&amp;CK$1&amp;""'!$C$4:$C$66""),INDIRECT(""'""&amp;CK$1&amp;""'!$D$4:$D$66"")=CK$2),$F$3:$BP$3,$F100:$BP100)))"),0.02564102564102564)</f>
        <v>0.02564102564</v>
      </c>
      <c r="CL100" s="207" t="str">
        <f>IFERROR(__xludf.DUMMYFUNCTION("IF(OR(CK100&gt;$BR100+$BS100*$BS$2,CK100&lt;$BR100-$BS100*$BS$2),AVEDEV(ARRAYFORMULA(XLOOKUP(FILTER(INDIRECT(""'""&amp;CK$1&amp;""'!$C$4:$C$66""),INDIRECT(""'""&amp;CK$1&amp;""'!$D$4:$D$66"")=CK$2),$F$3:$BP$3,$F100:$BP100))),"""")"),"")</f>
        <v/>
      </c>
      <c r="CM100" s="251">
        <f>IFERROR(__xludf.DUMMYFUNCTION("AVERAGE(ARRAYFORMULA(XLOOKUP(FILTER(INDIRECT(""'""&amp;CM$1&amp;""'!$C$4:$C$66""),INDIRECT(""'""&amp;CM$1&amp;""'!$D$4:$D$66"")=CM$2),$F$3:$BP$3,$F100:$BP100)))"),0.0)</f>
        <v>0</v>
      </c>
      <c r="CN100" s="207" t="str">
        <f>IFERROR(__xludf.DUMMYFUNCTION("IF(OR(CM100&gt;$BR100+$BS100*$BS$2,CM100&lt;$BR100-$BS100*$BS$2),AVEDEV(ARRAYFORMULA(XLOOKUP(FILTER(INDIRECT(""'""&amp;CM$1&amp;""'!$C$4:$C$66""),INDIRECT(""'""&amp;CM$1&amp;""'!$D$4:$D$66"")=CM$2),$F$3:$BP$3,$F100:$BP100))),"""")"),"")</f>
        <v/>
      </c>
      <c r="CO100" s="252"/>
      <c r="CP100" s="251">
        <f>IFERROR(__xludf.DUMMYFUNCTION("AVERAGE(ARRAYFORMULA(XLOOKUP(FILTER(INDIRECT(""'""&amp;CP$1&amp;""'!$C$4:$C$66""),INDIRECT(""'""&amp;CP$1&amp;""'!$D$4:$D$66"")=CP$2),$F$3:$BP$3,$F100:$BP100)))"),0.0)</f>
        <v>0</v>
      </c>
      <c r="CQ100" s="207" t="str">
        <f>IFERROR(__xludf.DUMMYFUNCTION("IF(OR(CP100&gt;$BR100+$BS100*$BS$2,CP100&lt;$BR100-$BS100*$BS$2),AVEDEV(ARRAYFORMULA(XLOOKUP(FILTER(INDIRECT(""'""&amp;CP$1&amp;""'!$C$4:$C$66""),INDIRECT(""'""&amp;CP$1&amp;""'!$D$4:$D$66"")=CP$2),$F$3:$BP$3,$F100:$BP100))),"""")"),"")</f>
        <v/>
      </c>
      <c r="CR100" s="251">
        <f>IFERROR(__xludf.DUMMYFUNCTION("AVERAGE(ARRAYFORMULA(XLOOKUP(FILTER(INDIRECT(""'""&amp;CR$1&amp;""'!$C$4:$C$66""),INDIRECT(""'""&amp;CR$1&amp;""'!$D$4:$D$66"")=CR$2),$F$3:$BP$3,$F100:$BP100)))"),0.0)</f>
        <v>0</v>
      </c>
      <c r="CS100" s="207" t="str">
        <f>IFERROR(__xludf.DUMMYFUNCTION("IF(OR(CR100&gt;$BR100+$BS100*$BS$2,CR100&lt;$BR100-$BS100*$BS$2),AVEDEV(ARRAYFORMULA(XLOOKUP(FILTER(INDIRECT(""'""&amp;CR$1&amp;""'!$C$4:$C$66""),INDIRECT(""'""&amp;CR$1&amp;""'!$D$4:$D$66"")=CR$2),$F$3:$BP$3,$F100:$BP100))),"""")"),"")</f>
        <v/>
      </c>
      <c r="CT100" s="251">
        <f>IFERROR(__xludf.DUMMYFUNCTION("AVERAGE(ARRAYFORMULA(XLOOKUP(FILTER(INDIRECT(""'""&amp;CT$1&amp;""'!$C$4:$C$66""),INDIRECT(""'""&amp;CT$1&amp;""'!$D$4:$D$66"")=CT$2),$F$3:$BP$3,$F100:$BP100)))"),0.0)</f>
        <v>0</v>
      </c>
      <c r="CU100" s="207" t="str">
        <f>IFERROR(__xludf.DUMMYFUNCTION("IF(OR(CT100&gt;$BR100+$BS100*$BS$2,CT100&lt;$BR100-$BS100*$BS$2),AVEDEV(ARRAYFORMULA(XLOOKUP(FILTER(INDIRECT(""'""&amp;CT$1&amp;""'!$C$4:$C$66""),INDIRECT(""'""&amp;CT$1&amp;""'!$D$4:$D$66"")=CT$2),$F$3:$BP$3,$F100:$BP100))),"""")"),"")</f>
        <v/>
      </c>
      <c r="CV100" s="251">
        <f>IFERROR(__xludf.DUMMYFUNCTION("AVERAGE(ARRAYFORMULA(XLOOKUP(FILTER(INDIRECT(""'""&amp;CV$1&amp;""'!$C$4:$C$66""),INDIRECT(""'""&amp;CV$1&amp;""'!$D$4:$D$66"")=CV$2),$F$3:$BP$3,$F100:$BP100)))"),0.0)</f>
        <v>0</v>
      </c>
      <c r="CW100" s="207" t="str">
        <f>IFERROR(__xludf.DUMMYFUNCTION("IF(OR(CV100&gt;$BR100+$BS100*$BS$2,CV100&lt;$BR100-$BS100*$BS$2),AVEDEV(ARRAYFORMULA(XLOOKUP(FILTER(INDIRECT(""'""&amp;CV$1&amp;""'!$C$4:$C$66""),INDIRECT(""'""&amp;CV$1&amp;""'!$D$4:$D$66"")=CV$2),$F$3:$BP$3,$F100:$BP100))),"""")"),"")</f>
        <v/>
      </c>
      <c r="CX100" s="251">
        <f>IFERROR(__xludf.DUMMYFUNCTION("AVERAGE(ARRAYFORMULA(XLOOKUP(FILTER(INDIRECT(""'""&amp;CX$1&amp;""'!$C$4:$C$66""),INDIRECT(""'""&amp;CX$1&amp;""'!$D$4:$D$66"")=CX$2),$F$3:$BP$3,$F100:$BP100)))"),0.0)</f>
        <v>0</v>
      </c>
      <c r="CY100" s="207" t="str">
        <f>IFERROR(__xludf.DUMMYFUNCTION("IF(OR(CX100&gt;$BR100+$BS100*$BS$2,CX100&lt;$BR100-$BS100*$BS$2),AVEDEV(ARRAYFORMULA(XLOOKUP(FILTER(INDIRECT(""'""&amp;CX$1&amp;""'!$C$4:$C$66""),INDIRECT(""'""&amp;CX$1&amp;""'!$D$4:$D$66"")=CX$2),$F$3:$BP$3,$F100:$BP100))),"""")"),"")</f>
        <v/>
      </c>
      <c r="CZ100" s="252"/>
      <c r="DA100" s="251">
        <f>IFERROR(__xludf.DUMMYFUNCTION("AVERAGE(ARRAYFORMULA(XLOOKUP(FILTER(INDIRECT(""'""&amp;DA$1&amp;""'!$C$4:$C$66""),INDIRECT(""'""&amp;DA$1&amp;""'!$D$4:$D$66"")=DA$2),$F$3:$BP$3,$F100:$BP100)))"),0.03333333333333333)</f>
        <v>0.03333333333</v>
      </c>
      <c r="DB100" s="207" t="str">
        <f>IFERROR(__xludf.DUMMYFUNCTION("IF(OR(DA100&gt;$BR100+$BS100*$BS$2,DA100&lt;$BR100-$BS100*$BS$2),AVEDEV(ARRAYFORMULA(XLOOKUP(FILTER(INDIRECT(""'""&amp;DA$1&amp;""'!$C$4:$C$66""),INDIRECT(""'""&amp;DA$1&amp;""'!$D$4:$D$66"")=DA$2),$F$3:$BP$3,$F100:$BP100))),"""")"),"")</f>
        <v/>
      </c>
      <c r="DC100" s="251">
        <f>IFERROR(__xludf.DUMMYFUNCTION("AVERAGE(ARRAYFORMULA(XLOOKUP(FILTER(INDIRECT(""'""&amp;DC$1&amp;""'!$C$4:$C$66""),INDIRECT(""'""&amp;DC$1&amp;""'!$D$4:$D$66"")=DC$2),$F$3:$BP$3,$F100:$BP100)))"),0.0)</f>
        <v>0</v>
      </c>
      <c r="DD100" s="207" t="str">
        <f>IFERROR(__xludf.DUMMYFUNCTION("IF(OR(DC100&gt;$BR100+$BS100*$BS$2,DC100&lt;$BR100-$BS100*$BS$2),AVEDEV(ARRAYFORMULA(XLOOKUP(FILTER(INDIRECT(""'""&amp;DC$1&amp;""'!$C$4:$C$66""),INDIRECT(""'""&amp;DC$1&amp;""'!$D$4:$D$66"")=DC$2),$F$3:$BP$3,$F100:$BP100))),"""")"),"")</f>
        <v/>
      </c>
      <c r="DE100" s="251">
        <f>IFERROR(__xludf.DUMMYFUNCTION("AVERAGE(ARRAYFORMULA(XLOOKUP(FILTER(INDIRECT(""'""&amp;DE$1&amp;""'!$C$4:$C$66""),INDIRECT(""'""&amp;DE$1&amp;""'!$D$4:$D$66"")=DE$2),$F$3:$BP$3,$F100:$BP100)))"),0.0)</f>
        <v>0</v>
      </c>
      <c r="DF100" s="207" t="str">
        <f>IFERROR(__xludf.DUMMYFUNCTION("IF(OR(DE100&gt;$BR100+$BS100*$BS$2,DE100&lt;$BR100-$BS100*$BS$2),AVEDEV(ARRAYFORMULA(XLOOKUP(FILTER(INDIRECT(""'""&amp;DE$1&amp;""'!$C$4:$C$66""),INDIRECT(""'""&amp;DE$1&amp;""'!$D$4:$D$66"")=DE$2),$F$3:$BP$3,$F100:$BP100))),"""")"),"")</f>
        <v/>
      </c>
      <c r="DG100" s="251">
        <f>IFERROR(__xludf.DUMMYFUNCTION("AVERAGE(ARRAYFORMULA(XLOOKUP(FILTER(INDIRECT(""'""&amp;DG$1&amp;""'!$C$4:$C$66""),INDIRECT(""'""&amp;DG$1&amp;""'!$D$4:$D$66"")=DG$2),$F$3:$BP$3,$F100:$BP100)))"),0.0)</f>
        <v>0</v>
      </c>
      <c r="DH100" s="207" t="str">
        <f>IFERROR(__xludf.DUMMYFUNCTION("IF(OR(DG100&gt;$BR100+$BS100*$BS$2,DG100&lt;$BR100-$BS100*$BS$2),AVEDEV(ARRAYFORMULA(XLOOKUP(FILTER(INDIRECT(""'""&amp;DG$1&amp;""'!$C$4:$C$66""),INDIRECT(""'""&amp;DG$1&amp;""'!$D$4:$D$66"")=DG$2),$F$3:$BP$3,$F100:$BP100))),"""")"),"")</f>
        <v/>
      </c>
      <c r="DI100" s="252"/>
    </row>
    <row r="101">
      <c r="A101" s="2"/>
      <c r="B101" s="204" t="s">
        <v>540</v>
      </c>
      <c r="C101" s="204" t="s">
        <v>544</v>
      </c>
      <c r="D101" s="205" t="b">
        <f>VLOOKUP(C101,'Feature Set List'!A98:C246,2,0)</f>
        <v>1</v>
      </c>
      <c r="E101" s="205" t="b">
        <f>VLOOKUP(C101,'Feature Set List'!A98:C246,3,0)</f>
        <v>1</v>
      </c>
      <c r="F101" s="205">
        <v>0.0</v>
      </c>
      <c r="G101" s="205">
        <v>0.0</v>
      </c>
      <c r="H101" s="205">
        <v>0.0</v>
      </c>
      <c r="I101" s="205">
        <v>0.0</v>
      </c>
      <c r="J101" s="205">
        <v>0.0</v>
      </c>
      <c r="K101" s="205">
        <v>0.0</v>
      </c>
      <c r="L101" s="205">
        <v>0.0</v>
      </c>
      <c r="M101" s="205">
        <v>0.0</v>
      </c>
      <c r="N101" s="205">
        <v>0.0</v>
      </c>
      <c r="O101" s="205">
        <v>0.0</v>
      </c>
      <c r="P101" s="205">
        <v>0.0</v>
      </c>
      <c r="Q101" s="205">
        <v>0.0</v>
      </c>
      <c r="R101" s="205">
        <v>0.0</v>
      </c>
      <c r="S101" s="205">
        <v>0.0</v>
      </c>
      <c r="T101" s="205">
        <v>0.0</v>
      </c>
      <c r="U101" s="205">
        <v>0.0</v>
      </c>
      <c r="V101" s="205">
        <v>0.0</v>
      </c>
      <c r="W101" s="205">
        <v>0.0</v>
      </c>
      <c r="X101" s="205">
        <v>0.0</v>
      </c>
      <c r="Y101" s="205">
        <v>0.0</v>
      </c>
      <c r="Z101" s="205">
        <v>0.0</v>
      </c>
      <c r="AA101" s="205">
        <v>0.0</v>
      </c>
      <c r="AB101" s="205">
        <v>0.0</v>
      </c>
      <c r="AC101" s="205">
        <v>0.0</v>
      </c>
      <c r="AD101" s="205">
        <v>0.0</v>
      </c>
      <c r="AE101" s="205">
        <v>0.0</v>
      </c>
      <c r="AF101" s="205">
        <v>0.0</v>
      </c>
      <c r="AG101" s="205">
        <v>0.0</v>
      </c>
      <c r="AH101" s="205">
        <v>0.0</v>
      </c>
      <c r="AI101" s="205">
        <v>0.0</v>
      </c>
      <c r="AJ101" s="205">
        <v>0.0</v>
      </c>
      <c r="AK101" s="205">
        <v>0.0</v>
      </c>
      <c r="AL101" s="205">
        <v>0.0</v>
      </c>
      <c r="AM101" s="205">
        <v>0.0</v>
      </c>
      <c r="AN101" s="205">
        <v>0.0</v>
      </c>
      <c r="AO101" s="205">
        <v>0.0</v>
      </c>
      <c r="AP101" s="205">
        <v>0.0</v>
      </c>
      <c r="AQ101" s="205">
        <v>1.0</v>
      </c>
      <c r="AR101" s="205">
        <v>0.0</v>
      </c>
      <c r="AS101" s="205">
        <v>0.0</v>
      </c>
      <c r="AT101" s="205">
        <v>0.0</v>
      </c>
      <c r="AU101" s="205">
        <v>0.0</v>
      </c>
      <c r="AV101" s="205">
        <v>0.0</v>
      </c>
      <c r="AW101" s="205">
        <v>0.0</v>
      </c>
      <c r="AX101" s="205">
        <v>0.0</v>
      </c>
      <c r="AY101" s="205">
        <v>0.0</v>
      </c>
      <c r="AZ101" s="205">
        <v>0.0</v>
      </c>
      <c r="BA101" s="205">
        <v>0.0</v>
      </c>
      <c r="BB101" s="205">
        <v>0.0</v>
      </c>
      <c r="BC101" s="205">
        <v>0.0</v>
      </c>
      <c r="BD101" s="205">
        <v>0.0</v>
      </c>
      <c r="BE101" s="205">
        <v>0.0</v>
      </c>
      <c r="BF101" s="205">
        <v>0.0</v>
      </c>
      <c r="BG101" s="205">
        <v>0.0</v>
      </c>
      <c r="BH101" s="205">
        <v>0.0</v>
      </c>
      <c r="BI101" s="205">
        <v>0.0</v>
      </c>
      <c r="BJ101" s="205">
        <v>0.0</v>
      </c>
      <c r="BK101" s="205">
        <v>0.0</v>
      </c>
      <c r="BL101" s="205">
        <v>0.0</v>
      </c>
      <c r="BM101" s="205">
        <v>0.0</v>
      </c>
      <c r="BN101" s="205">
        <v>0.0</v>
      </c>
      <c r="BO101" s="205">
        <v>0.0</v>
      </c>
      <c r="BP101" s="205">
        <v>0.0</v>
      </c>
      <c r="BQ101" s="206"/>
      <c r="BR101" s="250">
        <f t="shared" si="1"/>
        <v>0.01587301587</v>
      </c>
      <c r="BS101" s="250">
        <f t="shared" si="2"/>
        <v>0.03124212648</v>
      </c>
      <c r="BT101" s="206"/>
      <c r="BU101" s="207">
        <f>IFERROR(__xludf.DUMMYFUNCTION("AVERAGE(ARRAYFORMULA(XLOOKUP(FILTER(INDIRECT(""'""&amp;BU$1&amp;""'!$C$4:$C$66""),INDIRECT(""'""&amp;BU$1&amp;""'!$D$4:$D$66"")=BU$2),$F$3:$BP$3,$F101:$BP101)))"),0.0)</f>
        <v>0</v>
      </c>
      <c r="BV101" s="207" t="str">
        <f>IFERROR(__xludf.DUMMYFUNCTION("IF(OR(BU101&gt;$BR101+$BS101*$BS$2,BU101&lt;$BR101-$BS101*$BS$2),AVEDEV(ARRAYFORMULA(XLOOKUP(FILTER(INDIRECT(""'""&amp;BU$1&amp;""'!$C$4:$C$66""),INDIRECT(""'""&amp;BU$1&amp;""'!$D$4:$D$66"")=BU$2),$F$3:$BP$3,$F101:$BP101))),"""")"),"")</f>
        <v/>
      </c>
      <c r="BW101" s="207">
        <f>IFERROR(__xludf.DUMMYFUNCTION("AVERAGE(ARRAYFORMULA(XLOOKUP(FILTER(INDIRECT(""'""&amp;BW$1&amp;""'!$C$4:$C$66""),INDIRECT(""'""&amp;BW$1&amp;""'!$D$4:$D$66"")=BW$2),$F$3:$BP$3,$F101:$BP101)))"),0.023809523809523808)</f>
        <v>0.02380952381</v>
      </c>
      <c r="BX101" s="207" t="str">
        <f>IFERROR(__xludf.DUMMYFUNCTION("IF(OR(BW101&gt;$BR101+$BS101*$BS$2,BW101&lt;$BR101-$BS101*$BS$2),AVEDEV(ARRAYFORMULA(XLOOKUP(FILTER(INDIRECT(""'""&amp;BW$1&amp;""'!$C$4:$C$66""),INDIRECT(""'""&amp;BW$1&amp;""'!$D$4:$D$66"")=BW$2),$F$3:$BP$3,$F101:$BP101))),"""")"),"")</f>
        <v/>
      </c>
      <c r="BY101" s="207">
        <f>IFERROR(__xludf.DUMMYFUNCTION("AVERAGE(ARRAYFORMULA(XLOOKUP(FILTER(INDIRECT(""'""&amp;BY$1&amp;""'!$C$4:$C$66""),INDIRECT(""'""&amp;BY$1&amp;""'!$D$4:$D$66"")=BY$2),$F$3:$BP$3,$F101:$BP101)))"),0.0)</f>
        <v>0</v>
      </c>
      <c r="BZ101" s="207" t="str">
        <f>IFERROR(__xludf.DUMMYFUNCTION("IF(OR(BY101&gt;$BR101+$BS101*$BS$2,BY101&lt;$BR101-$BS101*$BS$2),AVEDEV(ARRAYFORMULA(XLOOKUP(FILTER(INDIRECT(""'""&amp;BY$1&amp;""'!$C$4:$C$66""),INDIRECT(""'""&amp;BY$1&amp;""'!$D$4:$D$66"")=BY$2),$F$3:$BP$3,$F101:$BP101))),"""")"),"")</f>
        <v/>
      </c>
      <c r="CA101" s="209"/>
      <c r="CB101" s="207">
        <f>IFERROR(__xludf.DUMMYFUNCTION("AVERAGE(ARRAYFORMULA(XLOOKUP(FILTER(INDIRECT(""'""&amp;CB$1&amp;""'!$C$4:$C$66""),INDIRECT(""'""&amp;CB$1&amp;""'!$D$4:$D$66"")=CB$2),$F$3:$BP$3,$F101:$BP101)))"),0.0)</f>
        <v>0</v>
      </c>
      <c r="CC101" s="207" t="str">
        <f>IFERROR(__xludf.DUMMYFUNCTION("IF(OR(CB101&gt;$BR101+$BS101*$BS$2,CB101&lt;$BR101-$BS101*$BS$2),AVEDEV(ARRAYFORMULA(XLOOKUP(FILTER(INDIRECT(""'""&amp;CB$1&amp;""'!$C$4:$C$66""),INDIRECT(""'""&amp;CB$1&amp;""'!$D$4:$D$66"")=CB$2),$F$3:$BP$3,$F101:$BP101))),"""")"),"")</f>
        <v/>
      </c>
      <c r="CD101" s="207">
        <f>IFERROR(__xludf.DUMMYFUNCTION("AVERAGE(ARRAYFORMULA(XLOOKUP(FILTER(INDIRECT(""'""&amp;CD$1&amp;""'!$C$4:$C$66""),INDIRECT(""'""&amp;CD$1&amp;""'!$D$4:$D$66"")=CD$2),$F$3:$BP$3,$F101:$BP101)))"),0.0)</f>
        <v>0</v>
      </c>
      <c r="CE101" s="207" t="str">
        <f>IFERROR(__xludf.DUMMYFUNCTION("IF(OR(CD101&gt;$BR101+$BS101*$BS$2,CD101&lt;$BR101-$BS101*$BS$2),AVEDEV(ARRAYFORMULA(XLOOKUP(FILTER(INDIRECT(""'""&amp;CD$1&amp;""'!$C$4:$C$66""),INDIRECT(""'""&amp;CD$1&amp;""'!$D$4:$D$66"")=CD$2),$F$3:$BP$3,$F101:$BP101))),"""")"),"")</f>
        <v/>
      </c>
      <c r="CF101" s="207">
        <f>IFERROR(__xludf.DUMMYFUNCTION("AVERAGE(ARRAYFORMULA(XLOOKUP(FILTER(INDIRECT(""'""&amp;CF$1&amp;""'!$C$4:$C$66""),INDIRECT(""'""&amp;CF$1&amp;""'!$D$4:$D$66"")=CF$2),$F$3:$BP$3,$F101:$BP101)))"),0.0)</f>
        <v>0</v>
      </c>
      <c r="CG101" s="207" t="str">
        <f>IFERROR(__xludf.DUMMYFUNCTION("IF(OR(CF101&gt;$BR101+$BS101*$BS$2,CF101&lt;$BR101-$BS101*$BS$2),AVEDEV(ARRAYFORMULA(XLOOKUP(FILTER(INDIRECT(""'""&amp;CF$1&amp;""'!$C$4:$C$66""),INDIRECT(""'""&amp;CF$1&amp;""'!$D$4:$D$66"")=CF$2),$F$3:$BP$3,$F101:$BP101))),"""")"),"")</f>
        <v/>
      </c>
      <c r="CH101" s="206"/>
      <c r="CI101" s="251">
        <f>IFERROR(__xludf.DUMMYFUNCTION("AVERAGE(ARRAYFORMULA(XLOOKUP(FILTER(INDIRECT(""'""&amp;CI$1&amp;""'!$C$4:$C$66""),INDIRECT(""'""&amp;CI$1&amp;""'!$D$4:$D$66"")=CI$2),$F$3:$BP$3,$F101:$BP101)))"),0.0)</f>
        <v>0</v>
      </c>
      <c r="CJ101" s="207" t="str">
        <f>IFERROR(__xludf.DUMMYFUNCTION("IF(OR(CI101&gt;$BR101+$BS101*$BS$2,CI101&lt;$BR101-$BS101*$BS$2),AVEDEV(ARRAYFORMULA(XLOOKUP(FILTER(INDIRECT(""'""&amp;CI$1&amp;""'!$C$4:$C$66""),INDIRECT(""'""&amp;CI$1&amp;""'!$D$4:$D$66"")=CI$2),$F$3:$BP$3,$F101:$BP101))),"""")"),"")</f>
        <v/>
      </c>
      <c r="CK101" s="251">
        <f>IFERROR(__xludf.DUMMYFUNCTION("AVERAGE(ARRAYFORMULA(XLOOKUP(FILTER(INDIRECT(""'""&amp;CK$1&amp;""'!$C$4:$C$66""),INDIRECT(""'""&amp;CK$1&amp;""'!$D$4:$D$66"")=CK$2),$F$3:$BP$3,$F101:$BP101)))"),0.02564102564102564)</f>
        <v>0.02564102564</v>
      </c>
      <c r="CL101" s="207" t="str">
        <f>IFERROR(__xludf.DUMMYFUNCTION("IF(OR(CK101&gt;$BR101+$BS101*$BS$2,CK101&lt;$BR101-$BS101*$BS$2),AVEDEV(ARRAYFORMULA(XLOOKUP(FILTER(INDIRECT(""'""&amp;CK$1&amp;""'!$C$4:$C$66""),INDIRECT(""'""&amp;CK$1&amp;""'!$D$4:$D$66"")=CK$2),$F$3:$BP$3,$F101:$BP101))),"""")"),"")</f>
        <v/>
      </c>
      <c r="CM101" s="251">
        <f>IFERROR(__xludf.DUMMYFUNCTION("AVERAGE(ARRAYFORMULA(XLOOKUP(FILTER(INDIRECT(""'""&amp;CM$1&amp;""'!$C$4:$C$66""),INDIRECT(""'""&amp;CM$1&amp;""'!$D$4:$D$66"")=CM$2),$F$3:$BP$3,$F101:$BP101)))"),0.0)</f>
        <v>0</v>
      </c>
      <c r="CN101" s="207" t="str">
        <f>IFERROR(__xludf.DUMMYFUNCTION("IF(OR(CM101&gt;$BR101+$BS101*$BS$2,CM101&lt;$BR101-$BS101*$BS$2),AVEDEV(ARRAYFORMULA(XLOOKUP(FILTER(INDIRECT(""'""&amp;CM$1&amp;""'!$C$4:$C$66""),INDIRECT(""'""&amp;CM$1&amp;""'!$D$4:$D$66"")=CM$2),$F$3:$BP$3,$F101:$BP101))),"""")"),"")</f>
        <v/>
      </c>
      <c r="CO101" s="252"/>
      <c r="CP101" s="251">
        <f>IFERROR(__xludf.DUMMYFUNCTION("AVERAGE(ARRAYFORMULA(XLOOKUP(FILTER(INDIRECT(""'""&amp;CP$1&amp;""'!$C$4:$C$66""),INDIRECT(""'""&amp;CP$1&amp;""'!$D$4:$D$66"")=CP$2),$F$3:$BP$3,$F101:$BP101)))"),0.0)</f>
        <v>0</v>
      </c>
      <c r="CQ101" s="207" t="str">
        <f>IFERROR(__xludf.DUMMYFUNCTION("IF(OR(CP101&gt;$BR101+$BS101*$BS$2,CP101&lt;$BR101-$BS101*$BS$2),AVEDEV(ARRAYFORMULA(XLOOKUP(FILTER(INDIRECT(""'""&amp;CP$1&amp;""'!$C$4:$C$66""),INDIRECT(""'""&amp;CP$1&amp;""'!$D$4:$D$66"")=CP$2),$F$3:$BP$3,$F101:$BP101))),"""")"),"")</f>
        <v/>
      </c>
      <c r="CR101" s="251">
        <f>IFERROR(__xludf.DUMMYFUNCTION("AVERAGE(ARRAYFORMULA(XLOOKUP(FILTER(INDIRECT(""'""&amp;CR$1&amp;""'!$C$4:$C$66""),INDIRECT(""'""&amp;CR$1&amp;""'!$D$4:$D$66"")=CR$2),$F$3:$BP$3,$F101:$BP101)))"),0.0)</f>
        <v>0</v>
      </c>
      <c r="CS101" s="207" t="str">
        <f>IFERROR(__xludf.DUMMYFUNCTION("IF(OR(CR101&gt;$BR101+$BS101*$BS$2,CR101&lt;$BR101-$BS101*$BS$2),AVEDEV(ARRAYFORMULA(XLOOKUP(FILTER(INDIRECT(""'""&amp;CR$1&amp;""'!$C$4:$C$66""),INDIRECT(""'""&amp;CR$1&amp;""'!$D$4:$D$66"")=CR$2),$F$3:$BP$3,$F101:$BP101))),"""")"),"")</f>
        <v/>
      </c>
      <c r="CT101" s="251">
        <f>IFERROR(__xludf.DUMMYFUNCTION("AVERAGE(ARRAYFORMULA(XLOOKUP(FILTER(INDIRECT(""'""&amp;CT$1&amp;""'!$C$4:$C$66""),INDIRECT(""'""&amp;CT$1&amp;""'!$D$4:$D$66"")=CT$2),$F$3:$BP$3,$F101:$BP101)))"),0.0)</f>
        <v>0</v>
      </c>
      <c r="CU101" s="207" t="str">
        <f>IFERROR(__xludf.DUMMYFUNCTION("IF(OR(CT101&gt;$BR101+$BS101*$BS$2,CT101&lt;$BR101-$BS101*$BS$2),AVEDEV(ARRAYFORMULA(XLOOKUP(FILTER(INDIRECT(""'""&amp;CT$1&amp;""'!$C$4:$C$66""),INDIRECT(""'""&amp;CT$1&amp;""'!$D$4:$D$66"")=CT$2),$F$3:$BP$3,$F101:$BP101))),"""")"),"")</f>
        <v/>
      </c>
      <c r="CV101" s="251">
        <f>IFERROR(__xludf.DUMMYFUNCTION("AVERAGE(ARRAYFORMULA(XLOOKUP(FILTER(INDIRECT(""'""&amp;CV$1&amp;""'!$C$4:$C$66""),INDIRECT(""'""&amp;CV$1&amp;""'!$D$4:$D$66"")=CV$2),$F$3:$BP$3,$F101:$BP101)))"),0.0)</f>
        <v>0</v>
      </c>
      <c r="CW101" s="207" t="str">
        <f>IFERROR(__xludf.DUMMYFUNCTION("IF(OR(CV101&gt;$BR101+$BS101*$BS$2,CV101&lt;$BR101-$BS101*$BS$2),AVEDEV(ARRAYFORMULA(XLOOKUP(FILTER(INDIRECT(""'""&amp;CV$1&amp;""'!$C$4:$C$66""),INDIRECT(""'""&amp;CV$1&amp;""'!$D$4:$D$66"")=CV$2),$F$3:$BP$3,$F101:$BP101))),"""")"),"")</f>
        <v/>
      </c>
      <c r="CX101" s="251">
        <f>IFERROR(__xludf.DUMMYFUNCTION("AVERAGE(ARRAYFORMULA(XLOOKUP(FILTER(INDIRECT(""'""&amp;CX$1&amp;""'!$C$4:$C$66""),INDIRECT(""'""&amp;CX$1&amp;""'!$D$4:$D$66"")=CX$2),$F$3:$BP$3,$F101:$BP101)))"),0.07142857142857142)</f>
        <v>0.07142857143</v>
      </c>
      <c r="CY101" s="207">
        <f>IFERROR(__xludf.DUMMYFUNCTION("IF(OR(CX101&gt;$BR101+$BS101*$BS$2,CX101&lt;$BR101-$BS101*$BS$2),AVEDEV(ARRAYFORMULA(XLOOKUP(FILTER(INDIRECT(""'""&amp;CX$1&amp;""'!$C$4:$C$66""),INDIRECT(""'""&amp;CX$1&amp;""'!$D$4:$D$66"")=CX$2),$F$3:$BP$3,$F101:$BP101))),"""")"),0.13265306122448978)</f>
        <v>0.1326530612</v>
      </c>
      <c r="CZ101" s="252"/>
      <c r="DA101" s="251">
        <f>IFERROR(__xludf.DUMMYFUNCTION("AVERAGE(ARRAYFORMULA(XLOOKUP(FILTER(INDIRECT(""'""&amp;DA$1&amp;""'!$C$4:$C$66""),INDIRECT(""'""&amp;DA$1&amp;""'!$D$4:$D$66"")=DA$2),$F$3:$BP$3,$F101:$BP101)))"),0.0)</f>
        <v>0</v>
      </c>
      <c r="DB101" s="207" t="str">
        <f>IFERROR(__xludf.DUMMYFUNCTION("IF(OR(DA101&gt;$BR101+$BS101*$BS$2,DA101&lt;$BR101-$BS101*$BS$2),AVEDEV(ARRAYFORMULA(XLOOKUP(FILTER(INDIRECT(""'""&amp;DA$1&amp;""'!$C$4:$C$66""),INDIRECT(""'""&amp;DA$1&amp;""'!$D$4:$D$66"")=DA$2),$F$3:$BP$3,$F101:$BP101))),"""")"),"")</f>
        <v/>
      </c>
      <c r="DC101" s="251">
        <f>IFERROR(__xludf.DUMMYFUNCTION("AVERAGE(ARRAYFORMULA(XLOOKUP(FILTER(INDIRECT(""'""&amp;DC$1&amp;""'!$C$4:$C$66""),INDIRECT(""'""&amp;DC$1&amp;""'!$D$4:$D$66"")=DC$2),$F$3:$BP$3,$F101:$BP101)))"),0.0)</f>
        <v>0</v>
      </c>
      <c r="DD101" s="207" t="str">
        <f>IFERROR(__xludf.DUMMYFUNCTION("IF(OR(DC101&gt;$BR101+$BS101*$BS$2,DC101&lt;$BR101-$BS101*$BS$2),AVEDEV(ARRAYFORMULA(XLOOKUP(FILTER(INDIRECT(""'""&amp;DC$1&amp;""'!$C$4:$C$66""),INDIRECT(""'""&amp;DC$1&amp;""'!$D$4:$D$66"")=DC$2),$F$3:$BP$3,$F101:$BP101))),"""")"),"")</f>
        <v/>
      </c>
      <c r="DE101" s="251">
        <f>IFERROR(__xludf.DUMMYFUNCTION("AVERAGE(ARRAYFORMULA(XLOOKUP(FILTER(INDIRECT(""'""&amp;DE$1&amp;""'!$C$4:$C$66""),INDIRECT(""'""&amp;DE$1&amp;""'!$D$4:$D$66"")=DE$2),$F$3:$BP$3,$F101:$BP101)))"),0.0)</f>
        <v>0</v>
      </c>
      <c r="DF101" s="207" t="str">
        <f>IFERROR(__xludf.DUMMYFUNCTION("IF(OR(DE101&gt;$BR101+$BS101*$BS$2,DE101&lt;$BR101-$BS101*$BS$2),AVEDEV(ARRAYFORMULA(XLOOKUP(FILTER(INDIRECT(""'""&amp;DE$1&amp;""'!$C$4:$C$66""),INDIRECT(""'""&amp;DE$1&amp;""'!$D$4:$D$66"")=DE$2),$F$3:$BP$3,$F101:$BP101))),"""")"),"")</f>
        <v/>
      </c>
      <c r="DG101" s="251">
        <f>IFERROR(__xludf.DUMMYFUNCTION("AVERAGE(ARRAYFORMULA(XLOOKUP(FILTER(INDIRECT(""'""&amp;DG$1&amp;""'!$C$4:$C$66""),INDIRECT(""'""&amp;DG$1&amp;""'!$D$4:$D$66"")=DG$2),$F$3:$BP$3,$F101:$BP101)))"),0.0)</f>
        <v>0</v>
      </c>
      <c r="DH101" s="207" t="str">
        <f>IFERROR(__xludf.DUMMYFUNCTION("IF(OR(DG101&gt;$BR101+$BS101*$BS$2,DG101&lt;$BR101-$BS101*$BS$2),AVEDEV(ARRAYFORMULA(XLOOKUP(FILTER(INDIRECT(""'""&amp;DG$1&amp;""'!$C$4:$C$66""),INDIRECT(""'""&amp;DG$1&amp;""'!$D$4:$D$66"")=DG$2),$F$3:$BP$3,$F101:$BP101))),"""")"),"")</f>
        <v/>
      </c>
      <c r="DI101" s="252"/>
    </row>
    <row r="102">
      <c r="A102" s="2"/>
      <c r="B102" s="204" t="s">
        <v>540</v>
      </c>
      <c r="C102" s="204" t="s">
        <v>545</v>
      </c>
      <c r="D102" s="205" t="b">
        <f>VLOOKUP(C102,'Feature Set List'!A99:C246,2,0)</f>
        <v>1</v>
      </c>
      <c r="E102" s="205" t="b">
        <f>VLOOKUP(C102,'Feature Set List'!A99:C246,3,0)</f>
        <v>1</v>
      </c>
      <c r="F102" s="205">
        <v>0.0</v>
      </c>
      <c r="G102" s="205">
        <v>0.0</v>
      </c>
      <c r="H102" s="205">
        <v>0.0</v>
      </c>
      <c r="I102" s="205">
        <v>0.0</v>
      </c>
      <c r="J102" s="205">
        <v>0.0</v>
      </c>
      <c r="K102" s="205">
        <v>0.0</v>
      </c>
      <c r="L102" s="205">
        <v>0.0</v>
      </c>
      <c r="M102" s="205">
        <v>0.0</v>
      </c>
      <c r="N102" s="205">
        <v>0.0</v>
      </c>
      <c r="O102" s="205">
        <v>0.0</v>
      </c>
      <c r="P102" s="205">
        <v>0.0</v>
      </c>
      <c r="Q102" s="205">
        <v>0.0</v>
      </c>
      <c r="R102" s="205">
        <v>0.0</v>
      </c>
      <c r="S102" s="205">
        <v>0.0</v>
      </c>
      <c r="T102" s="205">
        <v>0.0</v>
      </c>
      <c r="U102" s="205">
        <v>0.0</v>
      </c>
      <c r="V102" s="205">
        <v>0.0</v>
      </c>
      <c r="W102" s="205">
        <v>0.0</v>
      </c>
      <c r="X102" s="205">
        <v>0.0</v>
      </c>
      <c r="Y102" s="205">
        <v>0.0</v>
      </c>
      <c r="Z102" s="205">
        <v>0.0</v>
      </c>
      <c r="AA102" s="205">
        <v>0.0</v>
      </c>
      <c r="AB102" s="205">
        <v>0.0</v>
      </c>
      <c r="AC102" s="205">
        <v>0.0</v>
      </c>
      <c r="AD102" s="205">
        <v>0.0</v>
      </c>
      <c r="AE102" s="205">
        <v>0.0</v>
      </c>
      <c r="AF102" s="205">
        <v>0.0</v>
      </c>
      <c r="AG102" s="205">
        <v>0.0</v>
      </c>
      <c r="AH102" s="205">
        <v>0.0</v>
      </c>
      <c r="AI102" s="205">
        <v>0.0</v>
      </c>
      <c r="AJ102" s="205">
        <v>0.0</v>
      </c>
      <c r="AK102" s="205">
        <v>0.0</v>
      </c>
      <c r="AL102" s="205">
        <v>0.0</v>
      </c>
      <c r="AM102" s="205">
        <v>0.0</v>
      </c>
      <c r="AN102" s="205">
        <v>0.0</v>
      </c>
      <c r="AO102" s="205">
        <v>0.0</v>
      </c>
      <c r="AP102" s="205">
        <v>0.0</v>
      </c>
      <c r="AQ102" s="205">
        <v>0.0</v>
      </c>
      <c r="AR102" s="205">
        <v>0.0</v>
      </c>
      <c r="AS102" s="205">
        <v>0.0</v>
      </c>
      <c r="AT102" s="205">
        <v>0.0</v>
      </c>
      <c r="AU102" s="205">
        <v>0.0</v>
      </c>
      <c r="AV102" s="205">
        <v>0.0</v>
      </c>
      <c r="AW102" s="205">
        <v>0.0</v>
      </c>
      <c r="AX102" s="205">
        <v>0.0</v>
      </c>
      <c r="AY102" s="205">
        <v>0.0</v>
      </c>
      <c r="AZ102" s="205">
        <v>0.0</v>
      </c>
      <c r="BA102" s="205">
        <v>0.0</v>
      </c>
      <c r="BB102" s="205">
        <v>0.0</v>
      </c>
      <c r="BC102" s="205">
        <v>0.0</v>
      </c>
      <c r="BD102" s="205">
        <v>0.0</v>
      </c>
      <c r="BE102" s="205">
        <v>0.0</v>
      </c>
      <c r="BF102" s="205">
        <v>0.0</v>
      </c>
      <c r="BG102" s="205">
        <v>0.0</v>
      </c>
      <c r="BH102" s="205">
        <v>0.0</v>
      </c>
      <c r="BI102" s="205">
        <v>0.0</v>
      </c>
      <c r="BJ102" s="205">
        <v>1.0</v>
      </c>
      <c r="BK102" s="205">
        <v>0.0</v>
      </c>
      <c r="BL102" s="205">
        <v>0.0</v>
      </c>
      <c r="BM102" s="205">
        <v>0.0</v>
      </c>
      <c r="BN102" s="205">
        <v>0.0</v>
      </c>
      <c r="BO102" s="205">
        <v>0.0</v>
      </c>
      <c r="BP102" s="205">
        <v>0.0</v>
      </c>
      <c r="BQ102" s="206"/>
      <c r="BR102" s="250">
        <f t="shared" si="1"/>
        <v>0.01587301587</v>
      </c>
      <c r="BS102" s="250">
        <f t="shared" si="2"/>
        <v>0.03124212648</v>
      </c>
      <c r="BT102" s="206"/>
      <c r="BU102" s="207">
        <f>IFERROR(__xludf.DUMMYFUNCTION("AVERAGE(ARRAYFORMULA(XLOOKUP(FILTER(INDIRECT(""'""&amp;BU$1&amp;""'!$C$4:$C$66""),INDIRECT(""'""&amp;BU$1&amp;""'!$D$4:$D$66"")=BU$2),$F$3:$BP$3,$F102:$BP102)))"),0.0)</f>
        <v>0</v>
      </c>
      <c r="BV102" s="207" t="str">
        <f>IFERROR(__xludf.DUMMYFUNCTION("IF(OR(BU102&gt;$BR102+$BS102*$BS$2,BU102&lt;$BR102-$BS102*$BS$2),AVEDEV(ARRAYFORMULA(XLOOKUP(FILTER(INDIRECT(""'""&amp;BU$1&amp;""'!$C$4:$C$66""),INDIRECT(""'""&amp;BU$1&amp;""'!$D$4:$D$66"")=BU$2),$F$3:$BP$3,$F102:$BP102))),"""")"),"")</f>
        <v/>
      </c>
      <c r="BW102" s="207">
        <f>IFERROR(__xludf.DUMMYFUNCTION("AVERAGE(ARRAYFORMULA(XLOOKUP(FILTER(INDIRECT(""'""&amp;BW$1&amp;""'!$C$4:$C$66""),INDIRECT(""'""&amp;BW$1&amp;""'!$D$4:$D$66"")=BW$2),$F$3:$BP$3,$F102:$BP102)))"),0.023809523809523808)</f>
        <v>0.02380952381</v>
      </c>
      <c r="BX102" s="207" t="str">
        <f>IFERROR(__xludf.DUMMYFUNCTION("IF(OR(BW102&gt;$BR102+$BS102*$BS$2,BW102&lt;$BR102-$BS102*$BS$2),AVEDEV(ARRAYFORMULA(XLOOKUP(FILTER(INDIRECT(""'""&amp;BW$1&amp;""'!$C$4:$C$66""),INDIRECT(""'""&amp;BW$1&amp;""'!$D$4:$D$66"")=BW$2),$F$3:$BP$3,$F102:$BP102))),"""")"),"")</f>
        <v/>
      </c>
      <c r="BY102" s="207">
        <f>IFERROR(__xludf.DUMMYFUNCTION("AVERAGE(ARRAYFORMULA(XLOOKUP(FILTER(INDIRECT(""'""&amp;BY$1&amp;""'!$C$4:$C$66""),INDIRECT(""'""&amp;BY$1&amp;""'!$D$4:$D$66"")=BY$2),$F$3:$BP$3,$F102:$BP102)))"),0.0)</f>
        <v>0</v>
      </c>
      <c r="BZ102" s="207" t="str">
        <f>IFERROR(__xludf.DUMMYFUNCTION("IF(OR(BY102&gt;$BR102+$BS102*$BS$2,BY102&lt;$BR102-$BS102*$BS$2),AVEDEV(ARRAYFORMULA(XLOOKUP(FILTER(INDIRECT(""'""&amp;BY$1&amp;""'!$C$4:$C$66""),INDIRECT(""'""&amp;BY$1&amp;""'!$D$4:$D$66"")=BY$2),$F$3:$BP$3,$F102:$BP102))),"""")"),"")</f>
        <v/>
      </c>
      <c r="CA102" s="209"/>
      <c r="CB102" s="207">
        <f>IFERROR(__xludf.DUMMYFUNCTION("AVERAGE(ARRAYFORMULA(XLOOKUP(FILTER(INDIRECT(""'""&amp;CB$1&amp;""'!$C$4:$C$66""),INDIRECT(""'""&amp;CB$1&amp;""'!$D$4:$D$66"")=CB$2),$F$3:$BP$3,$F102:$BP102)))"),0.0)</f>
        <v>0</v>
      </c>
      <c r="CC102" s="207" t="str">
        <f>IFERROR(__xludf.DUMMYFUNCTION("IF(OR(CB102&gt;$BR102+$BS102*$BS$2,CB102&lt;$BR102-$BS102*$BS$2),AVEDEV(ARRAYFORMULA(XLOOKUP(FILTER(INDIRECT(""'""&amp;CB$1&amp;""'!$C$4:$C$66""),INDIRECT(""'""&amp;CB$1&amp;""'!$D$4:$D$66"")=CB$2),$F$3:$BP$3,$F102:$BP102))),"""")"),"")</f>
        <v/>
      </c>
      <c r="CD102" s="207">
        <f>IFERROR(__xludf.DUMMYFUNCTION("AVERAGE(ARRAYFORMULA(XLOOKUP(FILTER(INDIRECT(""'""&amp;CD$1&amp;""'!$C$4:$C$66""),INDIRECT(""'""&amp;CD$1&amp;""'!$D$4:$D$66"")=CD$2),$F$3:$BP$3,$F102:$BP102)))"),0.03225806451612903)</f>
        <v>0.03225806452</v>
      </c>
      <c r="CE102" s="207" t="str">
        <f>IFERROR(__xludf.DUMMYFUNCTION("IF(OR(CD102&gt;$BR102+$BS102*$BS$2,CD102&lt;$BR102-$BS102*$BS$2),AVEDEV(ARRAYFORMULA(XLOOKUP(FILTER(INDIRECT(""'""&amp;CD$1&amp;""'!$C$4:$C$66""),INDIRECT(""'""&amp;CD$1&amp;""'!$D$4:$D$66"")=CD$2),$F$3:$BP$3,$F102:$BP102))),"""")"),"")</f>
        <v/>
      </c>
      <c r="CF102" s="207">
        <f>IFERROR(__xludf.DUMMYFUNCTION("AVERAGE(ARRAYFORMULA(XLOOKUP(FILTER(INDIRECT(""'""&amp;CF$1&amp;""'!$C$4:$C$66""),INDIRECT(""'""&amp;CF$1&amp;""'!$D$4:$D$66"")=CF$2),$F$3:$BP$3,$F102:$BP102)))"),0.0)</f>
        <v>0</v>
      </c>
      <c r="CG102" s="207" t="str">
        <f>IFERROR(__xludf.DUMMYFUNCTION("IF(OR(CF102&gt;$BR102+$BS102*$BS$2,CF102&lt;$BR102-$BS102*$BS$2),AVEDEV(ARRAYFORMULA(XLOOKUP(FILTER(INDIRECT(""'""&amp;CF$1&amp;""'!$C$4:$C$66""),INDIRECT(""'""&amp;CF$1&amp;""'!$D$4:$D$66"")=CF$2),$F$3:$BP$3,$F102:$BP102))),"""")"),"")</f>
        <v/>
      </c>
      <c r="CH102" s="206"/>
      <c r="CI102" s="251">
        <f>IFERROR(__xludf.DUMMYFUNCTION("AVERAGE(ARRAYFORMULA(XLOOKUP(FILTER(INDIRECT(""'""&amp;CI$1&amp;""'!$C$4:$C$66""),INDIRECT(""'""&amp;CI$1&amp;""'!$D$4:$D$66"")=CI$2),$F$3:$BP$3,$F102:$BP102)))"),0.0)</f>
        <v>0</v>
      </c>
      <c r="CJ102" s="207" t="str">
        <f>IFERROR(__xludf.DUMMYFUNCTION("IF(OR(CI102&gt;$BR102+$BS102*$BS$2,CI102&lt;$BR102-$BS102*$BS$2),AVEDEV(ARRAYFORMULA(XLOOKUP(FILTER(INDIRECT(""'""&amp;CI$1&amp;""'!$C$4:$C$66""),INDIRECT(""'""&amp;CI$1&amp;""'!$D$4:$D$66"")=CI$2),$F$3:$BP$3,$F102:$BP102))),"""")"),"")</f>
        <v/>
      </c>
      <c r="CK102" s="251">
        <f>IFERROR(__xludf.DUMMYFUNCTION("AVERAGE(ARRAYFORMULA(XLOOKUP(FILTER(INDIRECT(""'""&amp;CK$1&amp;""'!$C$4:$C$66""),INDIRECT(""'""&amp;CK$1&amp;""'!$D$4:$D$66"")=CK$2),$F$3:$BP$3,$F102:$BP102)))"),0.02564102564102564)</f>
        <v>0.02564102564</v>
      </c>
      <c r="CL102" s="207" t="str">
        <f>IFERROR(__xludf.DUMMYFUNCTION("IF(OR(CK102&gt;$BR102+$BS102*$BS$2,CK102&lt;$BR102-$BS102*$BS$2),AVEDEV(ARRAYFORMULA(XLOOKUP(FILTER(INDIRECT(""'""&amp;CK$1&amp;""'!$C$4:$C$66""),INDIRECT(""'""&amp;CK$1&amp;""'!$D$4:$D$66"")=CK$2),$F$3:$BP$3,$F102:$BP102))),"""")"),"")</f>
        <v/>
      </c>
      <c r="CM102" s="251">
        <f>IFERROR(__xludf.DUMMYFUNCTION("AVERAGE(ARRAYFORMULA(XLOOKUP(FILTER(INDIRECT(""'""&amp;CM$1&amp;""'!$C$4:$C$66""),INDIRECT(""'""&amp;CM$1&amp;""'!$D$4:$D$66"")=CM$2),$F$3:$BP$3,$F102:$BP102)))"),0.0)</f>
        <v>0</v>
      </c>
      <c r="CN102" s="207" t="str">
        <f>IFERROR(__xludf.DUMMYFUNCTION("IF(OR(CM102&gt;$BR102+$BS102*$BS$2,CM102&lt;$BR102-$BS102*$BS$2),AVEDEV(ARRAYFORMULA(XLOOKUP(FILTER(INDIRECT(""'""&amp;CM$1&amp;""'!$C$4:$C$66""),INDIRECT(""'""&amp;CM$1&amp;""'!$D$4:$D$66"")=CM$2),$F$3:$BP$3,$F102:$BP102))),"""")"),"")</f>
        <v/>
      </c>
      <c r="CO102" s="252"/>
      <c r="CP102" s="251">
        <f>IFERROR(__xludf.DUMMYFUNCTION("AVERAGE(ARRAYFORMULA(XLOOKUP(FILTER(INDIRECT(""'""&amp;CP$1&amp;""'!$C$4:$C$66""),INDIRECT(""'""&amp;CP$1&amp;""'!$D$4:$D$66"")=CP$2),$F$3:$BP$3,$F102:$BP102)))"),0.07142857142857142)</f>
        <v>0.07142857143</v>
      </c>
      <c r="CQ102" s="207">
        <f>IFERROR(__xludf.DUMMYFUNCTION("IF(OR(CP102&gt;$BR102+$BS102*$BS$2,CP102&lt;$BR102-$BS102*$BS$2),AVEDEV(ARRAYFORMULA(XLOOKUP(FILTER(INDIRECT(""'""&amp;CP$1&amp;""'!$C$4:$C$66""),INDIRECT(""'""&amp;CP$1&amp;""'!$D$4:$D$66"")=CP$2),$F$3:$BP$3,$F102:$BP102))),"""")"),0.13265306122448978)</f>
        <v>0.1326530612</v>
      </c>
      <c r="CR102" s="251">
        <f>IFERROR(__xludf.DUMMYFUNCTION("AVERAGE(ARRAYFORMULA(XLOOKUP(FILTER(INDIRECT(""'""&amp;CR$1&amp;""'!$C$4:$C$66""),INDIRECT(""'""&amp;CR$1&amp;""'!$D$4:$D$66"")=CR$2),$F$3:$BP$3,$F102:$BP102)))"),0.0)</f>
        <v>0</v>
      </c>
      <c r="CS102" s="207" t="str">
        <f>IFERROR(__xludf.DUMMYFUNCTION("IF(OR(CR102&gt;$BR102+$BS102*$BS$2,CR102&lt;$BR102-$BS102*$BS$2),AVEDEV(ARRAYFORMULA(XLOOKUP(FILTER(INDIRECT(""'""&amp;CR$1&amp;""'!$C$4:$C$66""),INDIRECT(""'""&amp;CR$1&amp;""'!$D$4:$D$66"")=CR$2),$F$3:$BP$3,$F102:$BP102))),"""")"),"")</f>
        <v/>
      </c>
      <c r="CT102" s="251">
        <f>IFERROR(__xludf.DUMMYFUNCTION("AVERAGE(ARRAYFORMULA(XLOOKUP(FILTER(INDIRECT(""'""&amp;CT$1&amp;""'!$C$4:$C$66""),INDIRECT(""'""&amp;CT$1&amp;""'!$D$4:$D$66"")=CT$2),$F$3:$BP$3,$F102:$BP102)))"),0.0)</f>
        <v>0</v>
      </c>
      <c r="CU102" s="207" t="str">
        <f>IFERROR(__xludf.DUMMYFUNCTION("IF(OR(CT102&gt;$BR102+$BS102*$BS$2,CT102&lt;$BR102-$BS102*$BS$2),AVEDEV(ARRAYFORMULA(XLOOKUP(FILTER(INDIRECT(""'""&amp;CT$1&amp;""'!$C$4:$C$66""),INDIRECT(""'""&amp;CT$1&amp;""'!$D$4:$D$66"")=CT$2),$F$3:$BP$3,$F102:$BP102))),"""")"),"")</f>
        <v/>
      </c>
      <c r="CV102" s="251">
        <f>IFERROR(__xludf.DUMMYFUNCTION("AVERAGE(ARRAYFORMULA(XLOOKUP(FILTER(INDIRECT(""'""&amp;CV$1&amp;""'!$C$4:$C$66""),INDIRECT(""'""&amp;CV$1&amp;""'!$D$4:$D$66"")=CV$2),$F$3:$BP$3,$F102:$BP102)))"),0.0)</f>
        <v>0</v>
      </c>
      <c r="CW102" s="207" t="str">
        <f>IFERROR(__xludf.DUMMYFUNCTION("IF(OR(CV102&gt;$BR102+$BS102*$BS$2,CV102&lt;$BR102-$BS102*$BS$2),AVEDEV(ARRAYFORMULA(XLOOKUP(FILTER(INDIRECT(""'""&amp;CV$1&amp;""'!$C$4:$C$66""),INDIRECT(""'""&amp;CV$1&amp;""'!$D$4:$D$66"")=CV$2),$F$3:$BP$3,$F102:$BP102))),"""")"),"")</f>
        <v/>
      </c>
      <c r="CX102" s="251">
        <f>IFERROR(__xludf.DUMMYFUNCTION("AVERAGE(ARRAYFORMULA(XLOOKUP(FILTER(INDIRECT(""'""&amp;CX$1&amp;""'!$C$4:$C$66""),INDIRECT(""'""&amp;CX$1&amp;""'!$D$4:$D$66"")=CX$2),$F$3:$BP$3,$F102:$BP102)))"),0.0)</f>
        <v>0</v>
      </c>
      <c r="CY102" s="207" t="str">
        <f>IFERROR(__xludf.DUMMYFUNCTION("IF(OR(CX102&gt;$BR102+$BS102*$BS$2,CX102&lt;$BR102-$BS102*$BS$2),AVEDEV(ARRAYFORMULA(XLOOKUP(FILTER(INDIRECT(""'""&amp;CX$1&amp;""'!$C$4:$C$66""),INDIRECT(""'""&amp;CX$1&amp;""'!$D$4:$D$66"")=CX$2),$F$3:$BP$3,$F102:$BP102))),"""")"),"")</f>
        <v/>
      </c>
      <c r="CZ102" s="252"/>
      <c r="DA102" s="251">
        <f>IFERROR(__xludf.DUMMYFUNCTION("AVERAGE(ARRAYFORMULA(XLOOKUP(FILTER(INDIRECT(""'""&amp;DA$1&amp;""'!$C$4:$C$66""),INDIRECT(""'""&amp;DA$1&amp;""'!$D$4:$D$66"")=DA$2),$F$3:$BP$3,$F102:$BP102)))"),0.03333333333333333)</f>
        <v>0.03333333333</v>
      </c>
      <c r="DB102" s="207" t="str">
        <f>IFERROR(__xludf.DUMMYFUNCTION("IF(OR(DA102&gt;$BR102+$BS102*$BS$2,DA102&lt;$BR102-$BS102*$BS$2),AVEDEV(ARRAYFORMULA(XLOOKUP(FILTER(INDIRECT(""'""&amp;DA$1&amp;""'!$C$4:$C$66""),INDIRECT(""'""&amp;DA$1&amp;""'!$D$4:$D$66"")=DA$2),$F$3:$BP$3,$F102:$BP102))),"""")"),"")</f>
        <v/>
      </c>
      <c r="DC102" s="251">
        <f>IFERROR(__xludf.DUMMYFUNCTION("AVERAGE(ARRAYFORMULA(XLOOKUP(FILTER(INDIRECT(""'""&amp;DC$1&amp;""'!$C$4:$C$66""),INDIRECT(""'""&amp;DC$1&amp;""'!$D$4:$D$66"")=DC$2),$F$3:$BP$3,$F102:$BP102)))"),0.0)</f>
        <v>0</v>
      </c>
      <c r="DD102" s="207" t="str">
        <f>IFERROR(__xludf.DUMMYFUNCTION("IF(OR(DC102&gt;$BR102+$BS102*$BS$2,DC102&lt;$BR102-$BS102*$BS$2),AVEDEV(ARRAYFORMULA(XLOOKUP(FILTER(INDIRECT(""'""&amp;DC$1&amp;""'!$C$4:$C$66""),INDIRECT(""'""&amp;DC$1&amp;""'!$D$4:$D$66"")=DC$2),$F$3:$BP$3,$F102:$BP102))),"""")"),"")</f>
        <v/>
      </c>
      <c r="DE102" s="251">
        <f>IFERROR(__xludf.DUMMYFUNCTION("AVERAGE(ARRAYFORMULA(XLOOKUP(FILTER(INDIRECT(""'""&amp;DE$1&amp;""'!$C$4:$C$66""),INDIRECT(""'""&amp;DE$1&amp;""'!$D$4:$D$66"")=DE$2),$F$3:$BP$3,$F102:$BP102)))"),0.0)</f>
        <v>0</v>
      </c>
      <c r="DF102" s="207" t="str">
        <f>IFERROR(__xludf.DUMMYFUNCTION("IF(OR(DE102&gt;$BR102+$BS102*$BS$2,DE102&lt;$BR102-$BS102*$BS$2),AVEDEV(ARRAYFORMULA(XLOOKUP(FILTER(INDIRECT(""'""&amp;DE$1&amp;""'!$C$4:$C$66""),INDIRECT(""'""&amp;DE$1&amp;""'!$D$4:$D$66"")=DE$2),$F$3:$BP$3,$F102:$BP102))),"""")"),"")</f>
        <v/>
      </c>
      <c r="DG102" s="251">
        <f>IFERROR(__xludf.DUMMYFUNCTION("AVERAGE(ARRAYFORMULA(XLOOKUP(FILTER(INDIRECT(""'""&amp;DG$1&amp;""'!$C$4:$C$66""),INDIRECT(""'""&amp;DG$1&amp;""'!$D$4:$D$66"")=DG$2),$F$3:$BP$3,$F102:$BP102)))"),0.0)</f>
        <v>0</v>
      </c>
      <c r="DH102" s="207" t="str">
        <f>IFERROR(__xludf.DUMMYFUNCTION("IF(OR(DG102&gt;$BR102+$BS102*$BS$2,DG102&lt;$BR102-$BS102*$BS$2),AVEDEV(ARRAYFORMULA(XLOOKUP(FILTER(INDIRECT(""'""&amp;DG$1&amp;""'!$C$4:$C$66""),INDIRECT(""'""&amp;DG$1&amp;""'!$D$4:$D$66"")=DG$2),$F$3:$BP$3,$F102:$BP102))),"""")"),"")</f>
        <v/>
      </c>
      <c r="DI102" s="252"/>
    </row>
    <row r="103">
      <c r="A103" s="2"/>
      <c r="B103" s="204" t="s">
        <v>540</v>
      </c>
      <c r="C103" s="204" t="s">
        <v>546</v>
      </c>
      <c r="D103" s="205" t="b">
        <f>VLOOKUP(C103,'Feature Set List'!A100:C246,2,0)</f>
        <v>1</v>
      </c>
      <c r="E103" s="205" t="b">
        <f>VLOOKUP(C103,'Feature Set List'!A100:C246,3,0)</f>
        <v>1</v>
      </c>
      <c r="F103" s="205">
        <v>0.0</v>
      </c>
      <c r="G103" s="205">
        <v>0.0</v>
      </c>
      <c r="H103" s="205">
        <v>0.0</v>
      </c>
      <c r="I103" s="205">
        <v>0.0</v>
      </c>
      <c r="J103" s="205">
        <v>-1.0</v>
      </c>
      <c r="K103" s="205">
        <v>0.0</v>
      </c>
      <c r="L103" s="205">
        <v>0.0</v>
      </c>
      <c r="M103" s="205">
        <v>0.0</v>
      </c>
      <c r="N103" s="205">
        <v>0.0</v>
      </c>
      <c r="O103" s="205">
        <v>0.0</v>
      </c>
      <c r="P103" s="205">
        <v>0.0</v>
      </c>
      <c r="Q103" s="205">
        <v>0.0</v>
      </c>
      <c r="R103" s="205">
        <v>0.0</v>
      </c>
      <c r="S103" s="205">
        <v>0.0</v>
      </c>
      <c r="T103" s="205">
        <v>0.0</v>
      </c>
      <c r="U103" s="205">
        <v>0.0</v>
      </c>
      <c r="V103" s="205">
        <v>0.0</v>
      </c>
      <c r="W103" s="205">
        <v>0.0</v>
      </c>
      <c r="X103" s="205">
        <v>0.0</v>
      </c>
      <c r="Y103" s="205">
        <v>0.0</v>
      </c>
      <c r="Z103" s="205">
        <v>0.0</v>
      </c>
      <c r="AA103" s="205">
        <v>0.0</v>
      </c>
      <c r="AB103" s="205">
        <v>0.0</v>
      </c>
      <c r="AC103" s="205">
        <v>0.0</v>
      </c>
      <c r="AD103" s="205">
        <v>0.0</v>
      </c>
      <c r="AE103" s="205">
        <v>0.0</v>
      </c>
      <c r="AF103" s="205">
        <v>0.0</v>
      </c>
      <c r="AG103" s="205">
        <v>0.0</v>
      </c>
      <c r="AH103" s="205">
        <v>0.0</v>
      </c>
      <c r="AI103" s="205">
        <v>0.0</v>
      </c>
      <c r="AJ103" s="205">
        <v>0.0</v>
      </c>
      <c r="AK103" s="205">
        <v>0.0</v>
      </c>
      <c r="AL103" s="205">
        <v>0.0</v>
      </c>
      <c r="AM103" s="205">
        <v>0.0</v>
      </c>
      <c r="AN103" s="205">
        <v>0.0</v>
      </c>
      <c r="AO103" s="205">
        <v>0.0</v>
      </c>
      <c r="AP103" s="205">
        <v>0.0</v>
      </c>
      <c r="AQ103" s="205">
        <v>-1.0</v>
      </c>
      <c r="AR103" s="205">
        <v>0.0</v>
      </c>
      <c r="AS103" s="205">
        <v>0.0</v>
      </c>
      <c r="AT103" s="205">
        <v>0.0</v>
      </c>
      <c r="AU103" s="205">
        <v>0.0</v>
      </c>
      <c r="AV103" s="205">
        <v>0.0</v>
      </c>
      <c r="AW103" s="205">
        <v>0.0</v>
      </c>
      <c r="AX103" s="205">
        <v>0.0</v>
      </c>
      <c r="AY103" s="205">
        <v>0.0</v>
      </c>
      <c r="AZ103" s="205">
        <v>0.0</v>
      </c>
      <c r="BA103" s="205">
        <v>0.0</v>
      </c>
      <c r="BB103" s="205">
        <v>0.0</v>
      </c>
      <c r="BC103" s="205">
        <v>0.0</v>
      </c>
      <c r="BD103" s="205">
        <v>0.0</v>
      </c>
      <c r="BE103" s="205">
        <v>0.0</v>
      </c>
      <c r="BF103" s="205">
        <v>0.0</v>
      </c>
      <c r="BG103" s="205">
        <v>0.0</v>
      </c>
      <c r="BH103" s="205">
        <v>0.0</v>
      </c>
      <c r="BI103" s="205">
        <v>0.0</v>
      </c>
      <c r="BJ103" s="205">
        <v>-1.0</v>
      </c>
      <c r="BK103" s="205">
        <v>0.0</v>
      </c>
      <c r="BL103" s="205">
        <v>0.0</v>
      </c>
      <c r="BM103" s="205">
        <v>0.0</v>
      </c>
      <c r="BN103" s="205">
        <v>0.0</v>
      </c>
      <c r="BO103" s="205">
        <v>0.0</v>
      </c>
      <c r="BP103" s="205">
        <v>0.0</v>
      </c>
      <c r="BQ103" s="206"/>
      <c r="BR103" s="250">
        <f t="shared" si="1"/>
        <v>-0.04761904762</v>
      </c>
      <c r="BS103" s="250">
        <f t="shared" si="2"/>
        <v>0.09070294785</v>
      </c>
      <c r="BT103" s="206"/>
      <c r="BU103" s="207">
        <f>IFERROR(__xludf.DUMMYFUNCTION("AVERAGE(ARRAYFORMULA(XLOOKUP(FILTER(INDIRECT(""'""&amp;BU$1&amp;""'!$C$4:$C$66""),INDIRECT(""'""&amp;BU$1&amp;""'!$D$4:$D$66"")=BU$2),$F$3:$BP$3,$F103:$BP103)))"),0.0)</f>
        <v>0</v>
      </c>
      <c r="BV103" s="207" t="str">
        <f>IFERROR(__xludf.DUMMYFUNCTION("IF(OR(BU103&gt;$BR103+$BS103*$BS$2,BU103&lt;$BR103-$BS103*$BS$2),AVEDEV(ARRAYFORMULA(XLOOKUP(FILTER(INDIRECT(""'""&amp;BU$1&amp;""'!$C$4:$C$66""),INDIRECT(""'""&amp;BU$1&amp;""'!$D$4:$D$66"")=BU$2),$F$3:$BP$3,$F103:$BP103))),"""")"),"")</f>
        <v/>
      </c>
      <c r="BW103" s="207">
        <f>IFERROR(__xludf.DUMMYFUNCTION("AVERAGE(ARRAYFORMULA(XLOOKUP(FILTER(INDIRECT(""'""&amp;BW$1&amp;""'!$C$4:$C$66""),INDIRECT(""'""&amp;BW$1&amp;""'!$D$4:$D$66"")=BW$2),$F$3:$BP$3,$F103:$BP103)))"),-0.07142857142857142)</f>
        <v>-0.07142857143</v>
      </c>
      <c r="BX103" s="207" t="str">
        <f>IFERROR(__xludf.DUMMYFUNCTION("IF(OR(BW103&gt;$BR103+$BS103*$BS$2,BW103&lt;$BR103-$BS103*$BS$2),AVEDEV(ARRAYFORMULA(XLOOKUP(FILTER(INDIRECT(""'""&amp;BW$1&amp;""'!$C$4:$C$66""),INDIRECT(""'""&amp;BW$1&amp;""'!$D$4:$D$66"")=BW$2),$F$3:$BP$3,$F103:$BP103))),"""")"),"")</f>
        <v/>
      </c>
      <c r="BY103" s="207">
        <f>IFERROR(__xludf.DUMMYFUNCTION("AVERAGE(ARRAYFORMULA(XLOOKUP(FILTER(INDIRECT(""'""&amp;BY$1&amp;""'!$C$4:$C$66""),INDIRECT(""'""&amp;BY$1&amp;""'!$D$4:$D$66"")=BY$2),$F$3:$BP$3,$F103:$BP103)))"),0.0)</f>
        <v>0</v>
      </c>
      <c r="BZ103" s="207" t="str">
        <f>IFERROR(__xludf.DUMMYFUNCTION("IF(OR(BY103&gt;$BR103+$BS103*$BS$2,BY103&lt;$BR103-$BS103*$BS$2),AVEDEV(ARRAYFORMULA(XLOOKUP(FILTER(INDIRECT(""'""&amp;BY$1&amp;""'!$C$4:$C$66""),INDIRECT(""'""&amp;BY$1&amp;""'!$D$4:$D$66"")=BY$2),$F$3:$BP$3,$F103:$BP103))),"""")"),"")</f>
        <v/>
      </c>
      <c r="CA103" s="209"/>
      <c r="CB103" s="207">
        <f>IFERROR(__xludf.DUMMYFUNCTION("AVERAGE(ARRAYFORMULA(XLOOKUP(FILTER(INDIRECT(""'""&amp;CB$1&amp;""'!$C$4:$C$66""),INDIRECT(""'""&amp;CB$1&amp;""'!$D$4:$D$66"")=CB$2),$F$3:$BP$3,$F103:$BP103)))"),-0.0625)</f>
        <v>-0.0625</v>
      </c>
      <c r="CC103" s="207" t="str">
        <f>IFERROR(__xludf.DUMMYFUNCTION("IF(OR(CB103&gt;$BR103+$BS103*$BS$2,CB103&lt;$BR103-$BS103*$BS$2),AVEDEV(ARRAYFORMULA(XLOOKUP(FILTER(INDIRECT(""'""&amp;CB$1&amp;""'!$C$4:$C$66""),INDIRECT(""'""&amp;CB$1&amp;""'!$D$4:$D$66"")=CB$2),$F$3:$BP$3,$F103:$BP103))),"""")"),"")</f>
        <v/>
      </c>
      <c r="CD103" s="207">
        <f>IFERROR(__xludf.DUMMYFUNCTION("AVERAGE(ARRAYFORMULA(XLOOKUP(FILTER(INDIRECT(""'""&amp;CD$1&amp;""'!$C$4:$C$66""),INDIRECT(""'""&amp;CD$1&amp;""'!$D$4:$D$66"")=CD$2),$F$3:$BP$3,$F103:$BP103)))"),-0.03225806451612903)</f>
        <v>-0.03225806452</v>
      </c>
      <c r="CE103" s="207" t="str">
        <f>IFERROR(__xludf.DUMMYFUNCTION("IF(OR(CD103&gt;$BR103+$BS103*$BS$2,CD103&lt;$BR103-$BS103*$BS$2),AVEDEV(ARRAYFORMULA(XLOOKUP(FILTER(INDIRECT(""'""&amp;CD$1&amp;""'!$C$4:$C$66""),INDIRECT(""'""&amp;CD$1&amp;""'!$D$4:$D$66"")=CD$2),$F$3:$BP$3,$F103:$BP103))),"""")"),"")</f>
        <v/>
      </c>
      <c r="CF103" s="207">
        <f>IFERROR(__xludf.DUMMYFUNCTION("AVERAGE(ARRAYFORMULA(XLOOKUP(FILTER(INDIRECT(""'""&amp;CF$1&amp;""'!$C$4:$C$66""),INDIRECT(""'""&amp;CF$1&amp;""'!$D$4:$D$66"")=CF$2),$F$3:$BP$3,$F103:$BP103)))"),0.0)</f>
        <v>0</v>
      </c>
      <c r="CG103" s="207" t="str">
        <f>IFERROR(__xludf.DUMMYFUNCTION("IF(OR(CF103&gt;$BR103+$BS103*$BS$2,CF103&lt;$BR103-$BS103*$BS$2),AVEDEV(ARRAYFORMULA(XLOOKUP(FILTER(INDIRECT(""'""&amp;CF$1&amp;""'!$C$4:$C$66""),INDIRECT(""'""&amp;CF$1&amp;""'!$D$4:$D$66"")=CF$2),$F$3:$BP$3,$F103:$BP103))),"""")"),"")</f>
        <v/>
      </c>
      <c r="CH103" s="206"/>
      <c r="CI103" s="251">
        <f>IFERROR(__xludf.DUMMYFUNCTION("AVERAGE(ARRAYFORMULA(XLOOKUP(FILTER(INDIRECT(""'""&amp;CI$1&amp;""'!$C$4:$C$66""),INDIRECT(""'""&amp;CI$1&amp;""'!$D$4:$D$66"")=CI$2),$F$3:$BP$3,$F103:$BP103)))"),0.0)</f>
        <v>0</v>
      </c>
      <c r="CJ103" s="207" t="str">
        <f>IFERROR(__xludf.DUMMYFUNCTION("IF(OR(CI103&gt;$BR103+$BS103*$BS$2,CI103&lt;$BR103-$BS103*$BS$2),AVEDEV(ARRAYFORMULA(XLOOKUP(FILTER(INDIRECT(""'""&amp;CI$1&amp;""'!$C$4:$C$66""),INDIRECT(""'""&amp;CI$1&amp;""'!$D$4:$D$66"")=CI$2),$F$3:$BP$3,$F103:$BP103))),"""")"),"")</f>
        <v/>
      </c>
      <c r="CK103" s="251">
        <f>IFERROR(__xludf.DUMMYFUNCTION("AVERAGE(ARRAYFORMULA(XLOOKUP(FILTER(INDIRECT(""'""&amp;CK$1&amp;""'!$C$4:$C$66""),INDIRECT(""'""&amp;CK$1&amp;""'!$D$4:$D$66"")=CK$2),$F$3:$BP$3,$F103:$BP103)))"),-0.07692307692307693)</f>
        <v>-0.07692307692</v>
      </c>
      <c r="CL103" s="207" t="str">
        <f>IFERROR(__xludf.DUMMYFUNCTION("IF(OR(CK103&gt;$BR103+$BS103*$BS$2,CK103&lt;$BR103-$BS103*$BS$2),AVEDEV(ARRAYFORMULA(XLOOKUP(FILTER(INDIRECT(""'""&amp;CK$1&amp;""'!$C$4:$C$66""),INDIRECT(""'""&amp;CK$1&amp;""'!$D$4:$D$66"")=CK$2),$F$3:$BP$3,$F103:$BP103))),"""")"),"")</f>
        <v/>
      </c>
      <c r="CM103" s="251">
        <f>IFERROR(__xludf.DUMMYFUNCTION("AVERAGE(ARRAYFORMULA(XLOOKUP(FILTER(INDIRECT(""'""&amp;CM$1&amp;""'!$C$4:$C$66""),INDIRECT(""'""&amp;CM$1&amp;""'!$D$4:$D$66"")=CM$2),$F$3:$BP$3,$F103:$BP103)))"),0.0)</f>
        <v>0</v>
      </c>
      <c r="CN103" s="207" t="str">
        <f>IFERROR(__xludf.DUMMYFUNCTION("IF(OR(CM103&gt;$BR103+$BS103*$BS$2,CM103&lt;$BR103-$BS103*$BS$2),AVEDEV(ARRAYFORMULA(XLOOKUP(FILTER(INDIRECT(""'""&amp;CM$1&amp;""'!$C$4:$C$66""),INDIRECT(""'""&amp;CM$1&amp;""'!$D$4:$D$66"")=CM$2),$F$3:$BP$3,$F103:$BP103))),"""")"),"")</f>
        <v/>
      </c>
      <c r="CO103" s="252"/>
      <c r="CP103" s="251">
        <f>IFERROR(__xludf.DUMMYFUNCTION("AVERAGE(ARRAYFORMULA(XLOOKUP(FILTER(INDIRECT(""'""&amp;CP$1&amp;""'!$C$4:$C$66""),INDIRECT(""'""&amp;CP$1&amp;""'!$D$4:$D$66"")=CP$2),$F$3:$BP$3,$F103:$BP103)))"),-0.07142857142857142)</f>
        <v>-0.07142857143</v>
      </c>
      <c r="CQ103" s="207" t="str">
        <f>IFERROR(__xludf.DUMMYFUNCTION("IF(OR(CP103&gt;$BR103+$BS103*$BS$2,CP103&lt;$BR103-$BS103*$BS$2),AVEDEV(ARRAYFORMULA(XLOOKUP(FILTER(INDIRECT(""'""&amp;CP$1&amp;""'!$C$4:$C$66""),INDIRECT(""'""&amp;CP$1&amp;""'!$D$4:$D$66"")=CP$2),$F$3:$BP$3,$F103:$BP103))),"""")"),"")</f>
        <v/>
      </c>
      <c r="CR103" s="251">
        <f>IFERROR(__xludf.DUMMYFUNCTION("AVERAGE(ARRAYFORMULA(XLOOKUP(FILTER(INDIRECT(""'""&amp;CR$1&amp;""'!$C$4:$C$66""),INDIRECT(""'""&amp;CR$1&amp;""'!$D$4:$D$66"")=CR$2),$F$3:$BP$3,$F103:$BP103)))"),0.0)</f>
        <v>0</v>
      </c>
      <c r="CS103" s="207" t="str">
        <f>IFERROR(__xludf.DUMMYFUNCTION("IF(OR(CR103&gt;$BR103+$BS103*$BS$2,CR103&lt;$BR103-$BS103*$BS$2),AVEDEV(ARRAYFORMULA(XLOOKUP(FILTER(INDIRECT(""'""&amp;CR$1&amp;""'!$C$4:$C$66""),INDIRECT(""'""&amp;CR$1&amp;""'!$D$4:$D$66"")=CR$2),$F$3:$BP$3,$F103:$BP103))),"""")"),"")</f>
        <v/>
      </c>
      <c r="CT103" s="251">
        <f>IFERROR(__xludf.DUMMYFUNCTION("AVERAGE(ARRAYFORMULA(XLOOKUP(FILTER(INDIRECT(""'""&amp;CT$1&amp;""'!$C$4:$C$66""),INDIRECT(""'""&amp;CT$1&amp;""'!$D$4:$D$66"")=CT$2),$F$3:$BP$3,$F103:$BP103)))"),0.0)</f>
        <v>0</v>
      </c>
      <c r="CU103" s="207" t="str">
        <f>IFERROR(__xludf.DUMMYFUNCTION("IF(OR(CT103&gt;$BR103+$BS103*$BS$2,CT103&lt;$BR103-$BS103*$BS$2),AVEDEV(ARRAYFORMULA(XLOOKUP(FILTER(INDIRECT(""'""&amp;CT$1&amp;""'!$C$4:$C$66""),INDIRECT(""'""&amp;CT$1&amp;""'!$D$4:$D$66"")=CT$2),$F$3:$BP$3,$F103:$BP103))),"""")"),"")</f>
        <v/>
      </c>
      <c r="CV103" s="251">
        <f>IFERROR(__xludf.DUMMYFUNCTION("AVERAGE(ARRAYFORMULA(XLOOKUP(FILTER(INDIRECT(""'""&amp;CV$1&amp;""'!$C$4:$C$66""),INDIRECT(""'""&amp;CV$1&amp;""'!$D$4:$D$66"")=CV$2),$F$3:$BP$3,$F103:$BP103)))"),0.0)</f>
        <v>0</v>
      </c>
      <c r="CW103" s="207" t="str">
        <f>IFERROR(__xludf.DUMMYFUNCTION("IF(OR(CV103&gt;$BR103+$BS103*$BS$2,CV103&lt;$BR103-$BS103*$BS$2),AVEDEV(ARRAYFORMULA(XLOOKUP(FILTER(INDIRECT(""'""&amp;CV$1&amp;""'!$C$4:$C$66""),INDIRECT(""'""&amp;CV$1&amp;""'!$D$4:$D$66"")=CV$2),$F$3:$BP$3,$F103:$BP103))),"""")"),"")</f>
        <v/>
      </c>
      <c r="CX103" s="251">
        <f>IFERROR(__xludf.DUMMYFUNCTION("AVERAGE(ARRAYFORMULA(XLOOKUP(FILTER(INDIRECT(""'""&amp;CX$1&amp;""'!$C$4:$C$66""),INDIRECT(""'""&amp;CX$1&amp;""'!$D$4:$D$66"")=CX$2),$F$3:$BP$3,$F103:$BP103)))"),-0.07142857142857142)</f>
        <v>-0.07142857143</v>
      </c>
      <c r="CY103" s="207" t="str">
        <f>IFERROR(__xludf.DUMMYFUNCTION("IF(OR(CX103&gt;$BR103+$BS103*$BS$2,CX103&lt;$BR103-$BS103*$BS$2),AVEDEV(ARRAYFORMULA(XLOOKUP(FILTER(INDIRECT(""'""&amp;CX$1&amp;""'!$C$4:$C$66""),INDIRECT(""'""&amp;CX$1&amp;""'!$D$4:$D$66"")=CX$2),$F$3:$BP$3,$F103:$BP103))),"""")"),"")</f>
        <v/>
      </c>
      <c r="CZ103" s="252"/>
      <c r="DA103" s="251">
        <f>IFERROR(__xludf.DUMMYFUNCTION("AVERAGE(ARRAYFORMULA(XLOOKUP(FILTER(INDIRECT(""'""&amp;DA$1&amp;""'!$C$4:$C$66""),INDIRECT(""'""&amp;DA$1&amp;""'!$D$4:$D$66"")=DA$2),$F$3:$BP$3,$F103:$BP103)))"),-0.06666666666666667)</f>
        <v>-0.06666666667</v>
      </c>
      <c r="DB103" s="207" t="str">
        <f>IFERROR(__xludf.DUMMYFUNCTION("IF(OR(DA103&gt;$BR103+$BS103*$BS$2,DA103&lt;$BR103-$BS103*$BS$2),AVEDEV(ARRAYFORMULA(XLOOKUP(FILTER(INDIRECT(""'""&amp;DA$1&amp;""'!$C$4:$C$66""),INDIRECT(""'""&amp;DA$1&amp;""'!$D$4:$D$66"")=DA$2),$F$3:$BP$3,$F103:$BP103))),"""")"),"")</f>
        <v/>
      </c>
      <c r="DC103" s="251">
        <f>IFERROR(__xludf.DUMMYFUNCTION("AVERAGE(ARRAYFORMULA(XLOOKUP(FILTER(INDIRECT(""'""&amp;DC$1&amp;""'!$C$4:$C$66""),INDIRECT(""'""&amp;DC$1&amp;""'!$D$4:$D$66"")=DC$2),$F$3:$BP$3,$F103:$BP103)))"),0.0)</f>
        <v>0</v>
      </c>
      <c r="DD103" s="207" t="str">
        <f>IFERROR(__xludf.DUMMYFUNCTION("IF(OR(DC103&gt;$BR103+$BS103*$BS$2,DC103&lt;$BR103-$BS103*$BS$2),AVEDEV(ARRAYFORMULA(XLOOKUP(FILTER(INDIRECT(""'""&amp;DC$1&amp;""'!$C$4:$C$66""),INDIRECT(""'""&amp;DC$1&amp;""'!$D$4:$D$66"")=DC$2),$F$3:$BP$3,$F103:$BP103))),"""")"),"")</f>
        <v/>
      </c>
      <c r="DE103" s="251">
        <f>IFERROR(__xludf.DUMMYFUNCTION("AVERAGE(ARRAYFORMULA(XLOOKUP(FILTER(INDIRECT(""'""&amp;DE$1&amp;""'!$C$4:$C$66""),INDIRECT(""'""&amp;DE$1&amp;""'!$D$4:$D$66"")=DE$2),$F$3:$BP$3,$F103:$BP103)))"),0.0)</f>
        <v>0</v>
      </c>
      <c r="DF103" s="207" t="str">
        <f>IFERROR(__xludf.DUMMYFUNCTION("IF(OR(DE103&gt;$BR103+$BS103*$BS$2,DE103&lt;$BR103-$BS103*$BS$2),AVEDEV(ARRAYFORMULA(XLOOKUP(FILTER(INDIRECT(""'""&amp;DE$1&amp;""'!$C$4:$C$66""),INDIRECT(""'""&amp;DE$1&amp;""'!$D$4:$D$66"")=DE$2),$F$3:$BP$3,$F103:$BP103))),"""")"),"")</f>
        <v/>
      </c>
      <c r="DG103" s="251">
        <f>IFERROR(__xludf.DUMMYFUNCTION("AVERAGE(ARRAYFORMULA(XLOOKUP(FILTER(INDIRECT(""'""&amp;DG$1&amp;""'!$C$4:$C$66""),INDIRECT(""'""&amp;DG$1&amp;""'!$D$4:$D$66"")=DG$2),$F$3:$BP$3,$F103:$BP103)))"),0.0)</f>
        <v>0</v>
      </c>
      <c r="DH103" s="207" t="str">
        <f>IFERROR(__xludf.DUMMYFUNCTION("IF(OR(DG103&gt;$BR103+$BS103*$BS$2,DG103&lt;$BR103-$BS103*$BS$2),AVEDEV(ARRAYFORMULA(XLOOKUP(FILTER(INDIRECT(""'""&amp;DG$1&amp;""'!$C$4:$C$66""),INDIRECT(""'""&amp;DG$1&amp;""'!$D$4:$D$66"")=DG$2),$F$3:$BP$3,$F103:$BP103))),"""")"),"")</f>
        <v/>
      </c>
      <c r="DI103" s="252"/>
    </row>
    <row r="104">
      <c r="A104" s="2"/>
      <c r="B104" s="204" t="s">
        <v>540</v>
      </c>
      <c r="C104" s="204" t="s">
        <v>547</v>
      </c>
      <c r="D104" s="205" t="b">
        <f>VLOOKUP(C104,'Feature Set List'!A101:C246,2,0)</f>
        <v>1</v>
      </c>
      <c r="E104" s="205" t="b">
        <f>VLOOKUP(C104,'Feature Set List'!A101:C246,3,0)</f>
        <v>1</v>
      </c>
      <c r="F104" s="205">
        <v>0.0</v>
      </c>
      <c r="G104" s="205">
        <v>2.0</v>
      </c>
      <c r="H104" s="205">
        <v>0.0</v>
      </c>
      <c r="I104" s="205">
        <v>2.0</v>
      </c>
      <c r="J104" s="205">
        <v>3.0</v>
      </c>
      <c r="K104" s="205">
        <v>0.0</v>
      </c>
      <c r="L104" s="205">
        <v>0.0</v>
      </c>
      <c r="M104" s="205">
        <v>1.0</v>
      </c>
      <c r="N104" s="205">
        <v>0.0</v>
      </c>
      <c r="O104" s="205">
        <v>0.0</v>
      </c>
      <c r="P104" s="205">
        <v>1.0</v>
      </c>
      <c r="Q104" s="205">
        <v>0.0</v>
      </c>
      <c r="R104" s="205">
        <v>0.0</v>
      </c>
      <c r="S104" s="205">
        <v>1.0</v>
      </c>
      <c r="T104" s="205">
        <v>0.0</v>
      </c>
      <c r="U104" s="205">
        <v>1.0</v>
      </c>
      <c r="V104" s="205">
        <v>0.0</v>
      </c>
      <c r="W104" s="205">
        <v>0.0</v>
      </c>
      <c r="X104" s="205">
        <v>0.0</v>
      </c>
      <c r="Y104" s="205">
        <v>0.0</v>
      </c>
      <c r="Z104" s="205">
        <v>0.0</v>
      </c>
      <c r="AA104" s="205">
        <v>0.0</v>
      </c>
      <c r="AB104" s="205">
        <v>0.0</v>
      </c>
      <c r="AC104" s="205">
        <v>0.0</v>
      </c>
      <c r="AD104" s="205">
        <v>4.0</v>
      </c>
      <c r="AE104" s="205">
        <v>1.0</v>
      </c>
      <c r="AF104" s="205">
        <v>0.0</v>
      </c>
      <c r="AG104" s="205">
        <v>2.0</v>
      </c>
      <c r="AH104" s="205">
        <v>1.0</v>
      </c>
      <c r="AI104" s="205">
        <v>0.0</v>
      </c>
      <c r="AJ104" s="205">
        <v>2.0</v>
      </c>
      <c r="AK104" s="205">
        <v>0.0</v>
      </c>
      <c r="AL104" s="205">
        <v>0.0</v>
      </c>
      <c r="AM104" s="205">
        <v>0.0</v>
      </c>
      <c r="AN104" s="205">
        <v>0.0</v>
      </c>
      <c r="AO104" s="205">
        <v>0.0</v>
      </c>
      <c r="AP104" s="205">
        <v>0.0</v>
      </c>
      <c r="AQ104" s="205">
        <v>0.0</v>
      </c>
      <c r="AR104" s="205">
        <v>1.0</v>
      </c>
      <c r="AS104" s="205">
        <v>0.0</v>
      </c>
      <c r="AT104" s="205">
        <v>0.0</v>
      </c>
      <c r="AU104" s="205">
        <v>0.0</v>
      </c>
      <c r="AV104" s="205">
        <v>0.0</v>
      </c>
      <c r="AW104" s="205">
        <v>0.0</v>
      </c>
      <c r="AX104" s="205">
        <v>0.0</v>
      </c>
      <c r="AY104" s="205">
        <v>1.0</v>
      </c>
      <c r="AZ104" s="205">
        <v>1.0</v>
      </c>
      <c r="BA104" s="205">
        <v>0.0</v>
      </c>
      <c r="BB104" s="205">
        <v>0.0</v>
      </c>
      <c r="BC104" s="205">
        <v>0.0</v>
      </c>
      <c r="BD104" s="205">
        <v>1.0</v>
      </c>
      <c r="BE104" s="205">
        <v>1.0</v>
      </c>
      <c r="BF104" s="205">
        <v>0.0</v>
      </c>
      <c r="BG104" s="205">
        <v>0.0</v>
      </c>
      <c r="BH104" s="205">
        <v>0.0</v>
      </c>
      <c r="BI104" s="205">
        <v>0.0</v>
      </c>
      <c r="BJ104" s="205">
        <v>0.0</v>
      </c>
      <c r="BK104" s="205">
        <v>0.0</v>
      </c>
      <c r="BL104" s="205">
        <v>0.0</v>
      </c>
      <c r="BM104" s="205">
        <v>0.0</v>
      </c>
      <c r="BN104" s="205">
        <v>0.0</v>
      </c>
      <c r="BO104" s="205">
        <v>1.0</v>
      </c>
      <c r="BP104" s="205">
        <v>0.0</v>
      </c>
      <c r="BQ104" s="206"/>
      <c r="BR104" s="250">
        <f t="shared" si="1"/>
        <v>0.4285714286</v>
      </c>
      <c r="BS104" s="250">
        <f t="shared" si="2"/>
        <v>0.612244898</v>
      </c>
      <c r="BT104" s="206"/>
      <c r="BU104" s="207">
        <f>IFERROR(__xludf.DUMMYFUNCTION("AVERAGE(ARRAYFORMULA(XLOOKUP(FILTER(INDIRECT(""'""&amp;BU$1&amp;""'!$C$4:$C$66""),INDIRECT(""'""&amp;BU$1&amp;""'!$D$4:$D$66"")=BU$2),$F$3:$BP$3,$F104:$BP104)))"),0.14285714285714285)</f>
        <v>0.1428571429</v>
      </c>
      <c r="BV104" s="207" t="str">
        <f>IFERROR(__xludf.DUMMYFUNCTION("IF(OR(BU104&gt;$BR104+$BS104*$BS$2,BU104&lt;$BR104-$BS104*$BS$2),AVEDEV(ARRAYFORMULA(XLOOKUP(FILTER(INDIRECT(""'""&amp;BU$1&amp;""'!$C$4:$C$66""),INDIRECT(""'""&amp;BU$1&amp;""'!$D$4:$D$66"")=BU$2),$F$3:$BP$3,$F104:$BP104))),"""")"),"")</f>
        <v/>
      </c>
      <c r="BW104" s="207">
        <f>IFERROR(__xludf.DUMMYFUNCTION("AVERAGE(ARRAYFORMULA(XLOOKUP(FILTER(INDIRECT(""'""&amp;BW$1&amp;""'!$C$4:$C$66""),INDIRECT(""'""&amp;BW$1&amp;""'!$D$4:$D$66"")=BW$2),$F$3:$BP$3,$F104:$BP104)))"),0.5238095238095238)</f>
        <v>0.5238095238</v>
      </c>
      <c r="BX104" s="207" t="str">
        <f>IFERROR(__xludf.DUMMYFUNCTION("IF(OR(BW104&gt;$BR104+$BS104*$BS$2,BW104&lt;$BR104-$BS104*$BS$2),AVEDEV(ARRAYFORMULA(XLOOKUP(FILTER(INDIRECT(""'""&amp;BW$1&amp;""'!$C$4:$C$66""),INDIRECT(""'""&amp;BW$1&amp;""'!$D$4:$D$66"")=BW$2),$F$3:$BP$3,$F104:$BP104))),"""")"),"")</f>
        <v/>
      </c>
      <c r="BY104" s="207">
        <f>IFERROR(__xludf.DUMMYFUNCTION("AVERAGE(ARRAYFORMULA(XLOOKUP(FILTER(INDIRECT(""'""&amp;BY$1&amp;""'!$C$4:$C$66""),INDIRECT(""'""&amp;BY$1&amp;""'!$D$4:$D$66"")=BY$2),$F$3:$BP$3,$F104:$BP104)))"),0.36363636363636365)</f>
        <v>0.3636363636</v>
      </c>
      <c r="BZ104" s="207" t="str">
        <f>IFERROR(__xludf.DUMMYFUNCTION("IF(OR(BY104&gt;$BR104+$BS104*$BS$2,BY104&lt;$BR104-$BS104*$BS$2),AVEDEV(ARRAYFORMULA(XLOOKUP(FILTER(INDIRECT(""'""&amp;BY$1&amp;""'!$C$4:$C$66""),INDIRECT(""'""&amp;BY$1&amp;""'!$D$4:$D$66"")=BY$2),$F$3:$BP$3,$F104:$BP104))),"""")"),"")</f>
        <v/>
      </c>
      <c r="CA104" s="209"/>
      <c r="CB104" s="207">
        <f>IFERROR(__xludf.DUMMYFUNCTION("AVERAGE(ARRAYFORMULA(XLOOKUP(FILTER(INDIRECT(""'""&amp;CB$1&amp;""'!$C$4:$C$66""),INDIRECT(""'""&amp;CB$1&amp;""'!$D$4:$D$66"")=CB$2),$F$3:$BP$3,$F104:$BP104)))"),1.0625)</f>
        <v>1.0625</v>
      </c>
      <c r="CC104" s="207">
        <f>IFERROR(__xludf.DUMMYFUNCTION("IF(OR(CB104&gt;$BR104+$BS104*$BS$2,CB104&lt;$BR104-$BS104*$BS$2),AVEDEV(ARRAYFORMULA(XLOOKUP(FILTER(INDIRECT(""'""&amp;CB$1&amp;""'!$C$4:$C$66""),INDIRECT(""'""&amp;CB$1&amp;""'!$D$4:$D$66"")=CB$2),$F$3:$BP$3,$F104:$BP104))),"""")"),0.9609375)</f>
        <v>0.9609375</v>
      </c>
      <c r="CD104" s="207">
        <f>IFERROR(__xludf.DUMMYFUNCTION("AVERAGE(ARRAYFORMULA(XLOOKUP(FILTER(INDIRECT(""'""&amp;CD$1&amp;""'!$C$4:$C$66""),INDIRECT(""'""&amp;CD$1&amp;""'!$D$4:$D$66"")=CD$2),$F$3:$BP$3,$F104:$BP104)))"),0.22580645161290322)</f>
        <v>0.2258064516</v>
      </c>
      <c r="CE104" s="207" t="str">
        <f>IFERROR(__xludf.DUMMYFUNCTION("IF(OR(CD104&gt;$BR104+$BS104*$BS$2,CD104&lt;$BR104-$BS104*$BS$2),AVEDEV(ARRAYFORMULA(XLOOKUP(FILTER(INDIRECT(""'""&amp;CD$1&amp;""'!$C$4:$C$66""),INDIRECT(""'""&amp;CD$1&amp;""'!$D$4:$D$66"")=CD$2),$F$3:$BP$3,$F104:$BP104))),"""")"),"")</f>
        <v/>
      </c>
      <c r="CF104" s="207">
        <f>IFERROR(__xludf.DUMMYFUNCTION("AVERAGE(ARRAYFORMULA(XLOOKUP(FILTER(INDIRECT(""'""&amp;CF$1&amp;""'!$C$4:$C$66""),INDIRECT(""'""&amp;CF$1&amp;""'!$D$4:$D$66"")=CF$2),$F$3:$BP$3,$F104:$BP104)))"),0.6)</f>
        <v>0.6</v>
      </c>
      <c r="CG104" s="207" t="str">
        <f>IFERROR(__xludf.DUMMYFUNCTION("IF(OR(CF104&gt;$BR104+$BS104*$BS$2,CF104&lt;$BR104-$BS104*$BS$2),AVEDEV(ARRAYFORMULA(XLOOKUP(FILTER(INDIRECT(""'""&amp;CF$1&amp;""'!$C$4:$C$66""),INDIRECT(""'""&amp;CF$1&amp;""'!$D$4:$D$66"")=CF$2),$F$3:$BP$3,$F104:$BP104))),"""")"),"")</f>
        <v/>
      </c>
      <c r="CH104" s="206"/>
      <c r="CI104" s="251">
        <f>IFERROR(__xludf.DUMMYFUNCTION("AVERAGE(ARRAYFORMULA(XLOOKUP(FILTER(INDIRECT(""'""&amp;CI$1&amp;""'!$C$4:$C$66""),INDIRECT(""'""&amp;CI$1&amp;""'!$D$4:$D$66"")=CI$2),$F$3:$BP$3,$F104:$BP104)))"),0.5333333333333333)</f>
        <v>0.5333333333</v>
      </c>
      <c r="CJ104" s="207" t="str">
        <f>IFERROR(__xludf.DUMMYFUNCTION("IF(OR(CI104&gt;$BR104+$BS104*$BS$2,CI104&lt;$BR104-$BS104*$BS$2),AVEDEV(ARRAYFORMULA(XLOOKUP(FILTER(INDIRECT(""'""&amp;CI$1&amp;""'!$C$4:$C$66""),INDIRECT(""'""&amp;CI$1&amp;""'!$D$4:$D$66"")=CI$2),$F$3:$BP$3,$F104:$BP104))),"""")"),"")</f>
        <v/>
      </c>
      <c r="CK104" s="251">
        <f>IFERROR(__xludf.DUMMYFUNCTION("AVERAGE(ARRAYFORMULA(XLOOKUP(FILTER(INDIRECT(""'""&amp;CK$1&amp;""'!$C$4:$C$66""),INDIRECT(""'""&amp;CK$1&amp;""'!$D$4:$D$66"")=CK$2),$F$3:$BP$3,$F104:$BP104)))"),0.41025641025641024)</f>
        <v>0.4102564103</v>
      </c>
      <c r="CL104" s="207" t="str">
        <f>IFERROR(__xludf.DUMMYFUNCTION("IF(OR(CK104&gt;$BR104+$BS104*$BS$2,CK104&lt;$BR104-$BS104*$BS$2),AVEDEV(ARRAYFORMULA(XLOOKUP(FILTER(INDIRECT(""'""&amp;CK$1&amp;""'!$C$4:$C$66""),INDIRECT(""'""&amp;CK$1&amp;""'!$D$4:$D$66"")=CK$2),$F$3:$BP$3,$F104:$BP104))),"""")"),"")</f>
        <v/>
      </c>
      <c r="CM104" s="254">
        <f>IFERROR(__xludf.DUMMYFUNCTION("AVERAGE(ARRAYFORMULA(XLOOKUP(FILTER(INDIRECT(""'""&amp;CM$1&amp;""'!$C$4:$C$66""),INDIRECT(""'""&amp;CM$1&amp;""'!$D$4:$D$66"")=CM$2),$F$3:$BP$3,$F104:$BP104)))"),0.6)</f>
        <v>0.6</v>
      </c>
      <c r="CN104" s="207" t="str">
        <f>IFERROR(__xludf.DUMMYFUNCTION("IF(OR(CM104&gt;$BR104+$BS104*$BS$2,CM104&lt;$BR104-$BS104*$BS$2),AVEDEV(ARRAYFORMULA(XLOOKUP(FILTER(INDIRECT(""'""&amp;CM$1&amp;""'!$C$4:$C$66""),INDIRECT(""'""&amp;CM$1&amp;""'!$D$4:$D$66"")=CM$2),$F$3:$BP$3,$F104:$BP104))),"""")"),"")</f>
        <v/>
      </c>
      <c r="CO104" s="252"/>
      <c r="CP104" s="251">
        <f>IFERROR(__xludf.DUMMYFUNCTION("AVERAGE(ARRAYFORMULA(XLOOKUP(FILTER(INDIRECT(""'""&amp;CP$1&amp;""'!$C$4:$C$66""),INDIRECT(""'""&amp;CP$1&amp;""'!$D$4:$D$66"")=CP$2),$F$3:$BP$3,$F104:$BP104)))"),1.0)</f>
        <v>1</v>
      </c>
      <c r="CQ104" s="207" t="str">
        <f>IFERROR(__xludf.DUMMYFUNCTION("IF(OR(CP104&gt;$BR104+$BS104*$BS$2,CP104&lt;$BR104-$BS104*$BS$2),AVEDEV(ARRAYFORMULA(XLOOKUP(FILTER(INDIRECT(""'""&amp;CP$1&amp;""'!$C$4:$C$66""),INDIRECT(""'""&amp;CP$1&amp;""'!$D$4:$D$66"")=CP$2),$F$3:$BP$3,$F104:$BP104))),"""")"),"")</f>
        <v/>
      </c>
      <c r="CR104" s="251">
        <f>IFERROR(__xludf.DUMMYFUNCTION("AVERAGE(ARRAYFORMULA(XLOOKUP(FILTER(INDIRECT(""'""&amp;CR$1&amp;""'!$C$4:$C$66""),INDIRECT(""'""&amp;CR$1&amp;""'!$D$4:$D$66"")=CR$2),$F$3:$BP$3,$F104:$BP104)))"),0.3333333333333333)</f>
        <v>0.3333333333</v>
      </c>
      <c r="CS104" s="207" t="str">
        <f>IFERROR(__xludf.DUMMYFUNCTION("IF(OR(CR104&gt;$BR104+$BS104*$BS$2,CR104&lt;$BR104-$BS104*$BS$2),AVEDEV(ARRAYFORMULA(XLOOKUP(FILTER(INDIRECT(""'""&amp;CR$1&amp;""'!$C$4:$C$66""),INDIRECT(""'""&amp;CR$1&amp;""'!$D$4:$D$66"")=CR$2),$F$3:$BP$3,$F104:$BP104))),"""")"),"")</f>
        <v/>
      </c>
      <c r="CT104" s="251">
        <f>IFERROR(__xludf.DUMMYFUNCTION("AVERAGE(ARRAYFORMULA(XLOOKUP(FILTER(INDIRECT(""'""&amp;CT$1&amp;""'!$C$4:$C$66""),INDIRECT(""'""&amp;CT$1&amp;""'!$D$4:$D$66"")=CT$2),$F$3:$BP$3,$F104:$BP104)))"),0.2727272727272727)</f>
        <v>0.2727272727</v>
      </c>
      <c r="CU104" s="207" t="str">
        <f>IFERROR(__xludf.DUMMYFUNCTION("IF(OR(CT104&gt;$BR104+$BS104*$BS$2,CT104&lt;$BR104-$BS104*$BS$2),AVEDEV(ARRAYFORMULA(XLOOKUP(FILTER(INDIRECT(""'""&amp;CT$1&amp;""'!$C$4:$C$66""),INDIRECT(""'""&amp;CT$1&amp;""'!$D$4:$D$66"")=CT$2),$F$3:$BP$3,$F104:$BP104))),"""")"),"")</f>
        <v/>
      </c>
      <c r="CV104" s="251">
        <f>IFERROR(__xludf.DUMMYFUNCTION("AVERAGE(ARRAYFORMULA(XLOOKUP(FILTER(INDIRECT(""'""&amp;CV$1&amp;""'!$C$4:$C$66""),INDIRECT(""'""&amp;CV$1&amp;""'!$D$4:$D$66"")=CV$2),$F$3:$BP$3,$F104:$BP104)))"),0.0)</f>
        <v>0</v>
      </c>
      <c r="CW104" s="207" t="str">
        <f>IFERROR(__xludf.DUMMYFUNCTION("IF(OR(CV104&gt;$BR104+$BS104*$BS$2,CV104&lt;$BR104-$BS104*$BS$2),AVEDEV(ARRAYFORMULA(XLOOKUP(FILTER(INDIRECT(""'""&amp;CV$1&amp;""'!$C$4:$C$66""),INDIRECT(""'""&amp;CV$1&amp;""'!$D$4:$D$66"")=CV$2),$F$3:$BP$3,$F104:$BP104))),"""")"),"")</f>
        <v/>
      </c>
      <c r="CX104" s="254">
        <f>IFERROR(__xludf.DUMMYFUNCTION("AVERAGE(ARRAYFORMULA(XLOOKUP(FILTER(INDIRECT(""'""&amp;CX$1&amp;""'!$C$4:$C$66""),INDIRECT(""'""&amp;CX$1&amp;""'!$D$4:$D$66"")=CX$2),$F$3:$BP$3,$F104:$BP104)))"),0.14285714285714285)</f>
        <v>0.1428571429</v>
      </c>
      <c r="CY104" s="207" t="str">
        <f>IFERROR(__xludf.DUMMYFUNCTION("IF(OR(CX104&gt;$BR104+$BS104*$BS$2,CX104&lt;$BR104-$BS104*$BS$2),AVEDEV(ARRAYFORMULA(XLOOKUP(FILTER(INDIRECT(""'""&amp;CX$1&amp;""'!$C$4:$C$66""),INDIRECT(""'""&amp;CX$1&amp;""'!$D$4:$D$66"")=CX$2),$F$3:$BP$3,$F104:$BP104))),"""")"),"")</f>
        <v/>
      </c>
      <c r="CZ104" s="252"/>
      <c r="DA104" s="251">
        <f>IFERROR(__xludf.DUMMYFUNCTION("AVERAGE(ARRAYFORMULA(XLOOKUP(FILTER(INDIRECT(""'""&amp;DA$1&amp;""'!$C$4:$C$66""),INDIRECT(""'""&amp;DA$1&amp;""'!$D$4:$D$66"")=DA$2),$F$3:$BP$3,$F104:$BP104)))"),0.7333333333333333)</f>
        <v>0.7333333333</v>
      </c>
      <c r="DB104" s="207" t="str">
        <f>IFERROR(__xludf.DUMMYFUNCTION("IF(OR(DA104&gt;$BR104+$BS104*$BS$2,DA104&lt;$BR104-$BS104*$BS$2),AVEDEV(ARRAYFORMULA(XLOOKUP(FILTER(INDIRECT(""'""&amp;DA$1&amp;""'!$C$4:$C$66""),INDIRECT(""'""&amp;DA$1&amp;""'!$D$4:$D$66"")=DA$2),$F$3:$BP$3,$F104:$BP104))),"""")"),"")</f>
        <v/>
      </c>
      <c r="DC104" s="251">
        <f>IFERROR(__xludf.DUMMYFUNCTION("AVERAGE(ARRAYFORMULA(XLOOKUP(FILTER(INDIRECT(""'""&amp;DC$1&amp;""'!$C$4:$C$66""),INDIRECT(""'""&amp;DC$1&amp;""'!$D$4:$D$66"")=DC$2),$F$3:$BP$3,$F104:$BP104)))"),0.2222222222222222)</f>
        <v>0.2222222222</v>
      </c>
      <c r="DD104" s="207" t="str">
        <f>IFERROR(__xludf.DUMMYFUNCTION("IF(OR(DC104&gt;$BR104+$BS104*$BS$2,DC104&lt;$BR104-$BS104*$BS$2),AVEDEV(ARRAYFORMULA(XLOOKUP(FILTER(INDIRECT(""'""&amp;DC$1&amp;""'!$C$4:$C$66""),INDIRECT(""'""&amp;DC$1&amp;""'!$D$4:$D$66"")=DC$2),$F$3:$BP$3,$F104:$BP104))),"""")"),"")</f>
        <v/>
      </c>
      <c r="DE104" s="251">
        <f>IFERROR(__xludf.DUMMYFUNCTION("AVERAGE(ARRAYFORMULA(XLOOKUP(FILTER(INDIRECT(""'""&amp;DE$1&amp;""'!$C$4:$C$66""),INDIRECT(""'""&amp;DE$1&amp;""'!$D$4:$D$66"")=DE$2),$F$3:$BP$3,$F104:$BP104)))"),0.125)</f>
        <v>0.125</v>
      </c>
      <c r="DF104" s="207" t="str">
        <f>IFERROR(__xludf.DUMMYFUNCTION("IF(OR(DE104&gt;$BR104+$BS104*$BS$2,DE104&lt;$BR104-$BS104*$BS$2),AVEDEV(ARRAYFORMULA(XLOOKUP(FILTER(INDIRECT(""'""&amp;DE$1&amp;""'!$C$4:$C$66""),INDIRECT(""'""&amp;DE$1&amp;""'!$D$4:$D$66"")=DE$2),$F$3:$BP$3,$F104:$BP104))),"""")"),"")</f>
        <v/>
      </c>
      <c r="DG104" s="251">
        <f>IFERROR(__xludf.DUMMYFUNCTION("AVERAGE(ARRAYFORMULA(XLOOKUP(FILTER(INDIRECT(""'""&amp;DG$1&amp;""'!$C$4:$C$66""),INDIRECT(""'""&amp;DG$1&amp;""'!$D$4:$D$66"")=DG$2),$F$3:$BP$3,$F104:$BP104)))"),0.2222222222222222)</f>
        <v>0.2222222222</v>
      </c>
      <c r="DH104" s="207" t="str">
        <f>IFERROR(__xludf.DUMMYFUNCTION("IF(OR(DG104&gt;$BR104+$BS104*$BS$2,DG104&lt;$BR104-$BS104*$BS$2),AVEDEV(ARRAYFORMULA(XLOOKUP(FILTER(INDIRECT(""'""&amp;DG$1&amp;""'!$C$4:$C$66""),INDIRECT(""'""&amp;DG$1&amp;""'!$D$4:$D$66"")=DG$2),$F$3:$BP$3,$F104:$BP104))),"""")"),"")</f>
        <v/>
      </c>
      <c r="DI104" s="252"/>
    </row>
    <row r="105">
      <c r="A105" s="2"/>
      <c r="B105" s="204" t="s">
        <v>540</v>
      </c>
      <c r="C105" s="204" t="s">
        <v>548</v>
      </c>
      <c r="D105" s="205" t="b">
        <f>VLOOKUP(C105,'Feature Set List'!A102:C246,2,0)</f>
        <v>1</v>
      </c>
      <c r="E105" s="205" t="b">
        <f>VLOOKUP(C105,'Feature Set List'!A102:C246,3,0)</f>
        <v>1</v>
      </c>
      <c r="F105" s="205">
        <v>0.1253907</v>
      </c>
      <c r="G105" s="205">
        <v>-0.3673469</v>
      </c>
      <c r="H105" s="205">
        <v>-0.6405589</v>
      </c>
      <c r="I105" s="205">
        <v>-0.1548079</v>
      </c>
      <c r="J105" s="205">
        <v>-1.287369</v>
      </c>
      <c r="K105" s="205">
        <v>0.27137341</v>
      </c>
      <c r="L105" s="205">
        <v>-0.0522155</v>
      </c>
      <c r="M105" s="205">
        <v>-0.0044126</v>
      </c>
      <c r="N105" s="205">
        <v>0.92002206</v>
      </c>
      <c r="O105" s="205">
        <v>0.14451186</v>
      </c>
      <c r="P105" s="205">
        <v>-1.1465343</v>
      </c>
      <c r="Q105" s="205">
        <v>0.22357051</v>
      </c>
      <c r="R105" s="205">
        <v>2.1529693</v>
      </c>
      <c r="S105" s="205">
        <v>-0.145615</v>
      </c>
      <c r="T105" s="205">
        <v>0.0551572</v>
      </c>
      <c r="U105" s="205">
        <v>-0.6287921</v>
      </c>
      <c r="V105" s="205">
        <v>1.07519765</v>
      </c>
      <c r="W105" s="205">
        <v>1.36164736</v>
      </c>
      <c r="X105" s="205">
        <v>0.33462033</v>
      </c>
      <c r="Y105" s="205">
        <v>0.54237911</v>
      </c>
      <c r="Z105" s="205">
        <v>0.28019857</v>
      </c>
      <c r="AA105" s="205">
        <v>0.03603604</v>
      </c>
      <c r="AB105" s="205">
        <v>0.65269351</v>
      </c>
      <c r="AC105" s="205">
        <v>-0.0820004</v>
      </c>
      <c r="AD105" s="205">
        <v>0.4467733</v>
      </c>
      <c r="AE105" s="205">
        <v>-0.1996691</v>
      </c>
      <c r="AF105" s="205">
        <v>0.24453024</v>
      </c>
      <c r="AG105" s="205">
        <v>0.70637985</v>
      </c>
      <c r="AH105" s="205">
        <v>-0.191947</v>
      </c>
      <c r="AI105" s="205">
        <v>1.43923515</v>
      </c>
      <c r="AJ105" s="205">
        <v>-1.0641662</v>
      </c>
      <c r="AK105" s="205">
        <v>-0.1669425</v>
      </c>
      <c r="AL105" s="205">
        <v>0.15002758</v>
      </c>
      <c r="AM105" s="205">
        <v>-0.2754183</v>
      </c>
      <c r="AN105" s="205">
        <v>-1.1994852</v>
      </c>
      <c r="AO105" s="205">
        <v>-1.3653245</v>
      </c>
      <c r="AP105" s="205">
        <v>0.68799412</v>
      </c>
      <c r="AQ105" s="205">
        <v>-0.6776981</v>
      </c>
      <c r="AR105" s="205">
        <v>-0.400809</v>
      </c>
      <c r="AS105" s="205">
        <v>-0.0731752</v>
      </c>
      <c r="AT105" s="205">
        <v>-1.4914506</v>
      </c>
      <c r="AU105" s="205">
        <v>1.04872219</v>
      </c>
      <c r="AV105" s="205">
        <v>0.4567016</v>
      </c>
      <c r="AW105" s="205">
        <v>-0.4287553</v>
      </c>
      <c r="AX105" s="205">
        <v>0.48317705</v>
      </c>
      <c r="AY105" s="205">
        <v>0.0</v>
      </c>
      <c r="AZ105" s="205">
        <v>0.710057</v>
      </c>
      <c r="BA105" s="205">
        <v>-0.4254459</v>
      </c>
      <c r="BB105" s="205">
        <v>0.2107005</v>
      </c>
      <c r="BC105" s="205">
        <v>-0.7012318</v>
      </c>
      <c r="BD105" s="205">
        <v>0.50854937</v>
      </c>
      <c r="BE105" s="205">
        <v>0.48391248</v>
      </c>
      <c r="BF105" s="205">
        <v>0.00808972</v>
      </c>
      <c r="BG105" s="205">
        <v>-0.2658577</v>
      </c>
      <c r="BH105" s="205">
        <v>-0.6512227</v>
      </c>
      <c r="BI105" s="205">
        <v>0.75050561</v>
      </c>
      <c r="BJ105" s="205">
        <v>-0.8420666</v>
      </c>
      <c r="BK105" s="205">
        <v>-1.0560765</v>
      </c>
      <c r="BL105" s="205">
        <v>-0.6041552</v>
      </c>
      <c r="BM105" s="205">
        <v>-0.7729362</v>
      </c>
      <c r="BN105" s="205">
        <v>1.40172826</v>
      </c>
      <c r="BO105" s="205">
        <v>-0.6512227</v>
      </c>
      <c r="BP105" s="205">
        <v>0.84096341</v>
      </c>
      <c r="BQ105" s="206"/>
      <c r="BR105" s="250">
        <f t="shared" si="1"/>
        <v>0.01173184349</v>
      </c>
      <c r="BS105" s="250">
        <f t="shared" si="2"/>
        <v>0.5839292068</v>
      </c>
      <c r="BT105" s="206"/>
      <c r="BU105" s="207">
        <f>IFERROR(__xludf.DUMMYFUNCTION("AVERAGE(ARRAYFORMULA(XLOOKUP(FILTER(INDIRECT(""'""&amp;BU$1&amp;""'!$C$4:$C$66""),INDIRECT(""'""&amp;BU$1&amp;""'!$D$4:$D$66"")=BU$2),$F$3:$BP$3,$F105:$BP105)))"),-0.03892523142857142)</f>
        <v>-0.03892523143</v>
      </c>
      <c r="BV105" s="207" t="str">
        <f>IFERROR(__xludf.DUMMYFUNCTION("IF(OR(BU105&gt;$BR105+$BS105*$BS$2,BU105&lt;$BR105-$BS105*$BS$2),AVEDEV(ARRAYFORMULA(XLOOKUP(FILTER(INDIRECT(""'""&amp;BU$1&amp;""'!$C$4:$C$66""),INDIRECT(""'""&amp;BU$1&amp;""'!$D$4:$D$66"")=BU$2),$F$3:$BP$3,$F105:$BP105))),"""")"),"")</f>
        <v/>
      </c>
      <c r="BW105" s="207">
        <f>IFERROR(__xludf.DUMMYFUNCTION("AVERAGE(ARRAYFORMULA(XLOOKUP(FILTER(INDIRECT(""'""&amp;BW$1&amp;""'!$C$4:$C$66""),INDIRECT(""'""&amp;BW$1&amp;""'!$D$4:$D$66"")=BW$2),$F$3:$BP$3,$F105:$BP105)))"),0.0520316169047619)</f>
        <v>0.0520316169</v>
      </c>
      <c r="BX105" s="207" t="str">
        <f>IFERROR(__xludf.DUMMYFUNCTION("IF(OR(BW105&gt;$BR105+$BS105*$BS$2,BW105&lt;$BR105-$BS105*$BS$2),AVEDEV(ARRAYFORMULA(XLOOKUP(FILTER(INDIRECT(""'""&amp;BW$1&amp;""'!$C$4:$C$66""),INDIRECT(""'""&amp;BW$1&amp;""'!$D$4:$D$66"")=BW$2),$F$3:$BP$3,$F105:$BP105))),"""")"),"")</f>
        <v/>
      </c>
      <c r="BY105" s="207">
        <f>IFERROR(__xludf.DUMMYFUNCTION("AVERAGE(ARRAYFORMULA(XLOOKUP(FILTER(INDIRECT(""'""&amp;BY$1&amp;""'!$C$4:$C$66""),INDIRECT(""'""&amp;BY$1&amp;""'!$D$4:$D$66"")=BY$2),$F$3:$BP$3,$F105:$BP105)))"),0.15086328636363638)</f>
        <v>0.1508632864</v>
      </c>
      <c r="BZ105" s="207" t="str">
        <f>IFERROR(__xludf.DUMMYFUNCTION("IF(OR(BY105&gt;$BR105+$BS105*$BS$2,BY105&lt;$BR105-$BS105*$BS$2),AVEDEV(ARRAYFORMULA(XLOOKUP(FILTER(INDIRECT(""'""&amp;BY$1&amp;""'!$C$4:$C$66""),INDIRECT(""'""&amp;BY$1&amp;""'!$D$4:$D$66"")=BY$2),$F$3:$BP$3,$F105:$BP105))),"""")"),"")</f>
        <v/>
      </c>
      <c r="CA105" s="209"/>
      <c r="CB105" s="207">
        <f>IFERROR(__xludf.DUMMYFUNCTION("AVERAGE(ARRAYFORMULA(XLOOKUP(FILTER(INDIRECT(""'""&amp;CB$1&amp;""'!$C$4:$C$66""),INDIRECT(""'""&amp;CB$1&amp;""'!$D$4:$D$66"")=CB$2),$F$3:$BP$3,$F105:$BP105)))"),-0.19923239750000002)</f>
        <v>-0.1992323975</v>
      </c>
      <c r="CC105" s="207" t="str">
        <f>IFERROR(__xludf.DUMMYFUNCTION("IF(OR(CB105&gt;$BR105+$BS105*$BS$2,CB105&lt;$BR105-$BS105*$BS$2),AVEDEV(ARRAYFORMULA(XLOOKUP(FILTER(INDIRECT(""'""&amp;CB$1&amp;""'!$C$4:$C$66""),INDIRECT(""'""&amp;CB$1&amp;""'!$D$4:$D$66"")=CB$2),$F$3:$BP$3,$F105:$BP105))),"""")"),"")</f>
        <v/>
      </c>
      <c r="CD105" s="207">
        <f>IFERROR(__xludf.DUMMYFUNCTION("AVERAGE(ARRAYFORMULA(XLOOKUP(FILTER(INDIRECT(""'""&amp;CD$1&amp;""'!$C$4:$C$66""),INDIRECT(""'""&amp;CD$1&amp;""'!$D$4:$D$66"")=CD$2),$F$3:$BP$3,$F105:$BP105)))"),0.24262049032258057)</f>
        <v>0.2426204903</v>
      </c>
      <c r="CE105" s="207" t="str">
        <f>IFERROR(__xludf.DUMMYFUNCTION("IF(OR(CD105&gt;$BR105+$BS105*$BS$2,CD105&lt;$BR105-$BS105*$BS$2),AVEDEV(ARRAYFORMULA(XLOOKUP(FILTER(INDIRECT(""'""&amp;CD$1&amp;""'!$C$4:$C$66""),INDIRECT(""'""&amp;CD$1&amp;""'!$D$4:$D$66"")=CD$2),$F$3:$BP$3,$F105:$BP105))),"""")"),"")</f>
        <v/>
      </c>
      <c r="CF105" s="207">
        <f>IFERROR(__xludf.DUMMYFUNCTION("AVERAGE(ARRAYFORMULA(XLOOKUP(FILTER(INDIRECT(""'""&amp;CF$1&amp;""'!$C$4:$C$66""),INDIRECT(""'""&amp;CF$1&amp;""'!$D$4:$D$66"")=CF$2),$F$3:$BP$3,$F105:$BP105)))"),0.06324691600000001)</f>
        <v>0.063246916</v>
      </c>
      <c r="CG105" s="207" t="str">
        <f>IFERROR(__xludf.DUMMYFUNCTION("IF(OR(CF105&gt;$BR105+$BS105*$BS$2,CF105&lt;$BR105-$BS105*$BS$2),AVEDEV(ARRAYFORMULA(XLOOKUP(FILTER(INDIRECT(""'""&amp;CF$1&amp;""'!$C$4:$C$66""),INDIRECT(""'""&amp;CF$1&amp;""'!$D$4:$D$66"")=CF$2),$F$3:$BP$3,$F105:$BP105))),"""")"),"")</f>
        <v/>
      </c>
      <c r="CH105" s="206"/>
      <c r="CI105" s="251">
        <f>IFERROR(__xludf.DUMMYFUNCTION("AVERAGE(ARRAYFORMULA(XLOOKUP(FILTER(INDIRECT(""'""&amp;CI$1&amp;""'!$C$4:$C$66""),INDIRECT(""'""&amp;CI$1&amp;""'!$D$4:$D$66"")=CI$2),$F$3:$BP$3,$F105:$BP105)))"),0.3201323726666666)</f>
        <v>0.3201323727</v>
      </c>
      <c r="CJ105" s="207" t="str">
        <f>IFERROR(__xludf.DUMMYFUNCTION("IF(OR(CI105&gt;$BR105+$BS105*$BS$2,CI105&lt;$BR105-$BS105*$BS$2),AVEDEV(ARRAYFORMULA(XLOOKUP(FILTER(INDIRECT(""'""&amp;CI$1&amp;""'!$C$4:$C$66""),INDIRECT(""'""&amp;CI$1&amp;""'!$D$4:$D$66"")=CI$2),$F$3:$BP$3,$F105:$BP105))),"""")"),"")</f>
        <v/>
      </c>
      <c r="CK105" s="251">
        <f>IFERROR(__xludf.DUMMYFUNCTION("AVERAGE(ARRAYFORMULA(XLOOKUP(FILTER(INDIRECT(""'""&amp;CK$1&amp;""'!$C$4:$C$66""),INDIRECT(""'""&amp;CK$1&amp;""'!$D$4:$D$66"")=CK$2),$F$3:$BP$3,$F105:$BP105)))"),-0.012558877692307693)</f>
        <v>-0.01255887769</v>
      </c>
      <c r="CL105" s="207" t="str">
        <f>IFERROR(__xludf.DUMMYFUNCTION("IF(OR(CK105&gt;$BR105+$BS105*$BS$2,CK105&lt;$BR105-$BS105*$BS$2),AVEDEV(ARRAYFORMULA(XLOOKUP(FILTER(INDIRECT(""'""&amp;CK$1&amp;""'!$C$4:$C$66""),INDIRECT(""'""&amp;CK$1&amp;""'!$D$4:$D$66"")=CK$2),$F$3:$BP$3,$F105:$BP105))),"""")"),"")</f>
        <v/>
      </c>
      <c r="CM105" s="251">
        <f>IFERROR(__xludf.DUMMYFUNCTION("AVERAGE(ARRAYFORMULA(XLOOKUP(FILTER(INDIRECT(""'""&amp;CM$1&amp;""'!$C$4:$C$66""),INDIRECT(""'""&amp;CM$1&amp;""'!$D$4:$D$66"")=CM$2),$F$3:$BP$3,$F105:$BP105)))"),0.06324691600000001)</f>
        <v>0.063246916</v>
      </c>
      <c r="CN105" s="207" t="str">
        <f>IFERROR(__xludf.DUMMYFUNCTION("IF(OR(CM105&gt;$BR105+$BS105*$BS$2,CM105&lt;$BR105-$BS105*$BS$2),AVEDEV(ARRAYFORMULA(XLOOKUP(FILTER(INDIRECT(""'""&amp;CM$1&amp;""'!$C$4:$C$66""),INDIRECT(""'""&amp;CM$1&amp;""'!$D$4:$D$66"")=CM$2),$F$3:$BP$3,$F105:$BP105))),"""")"),"")</f>
        <v/>
      </c>
      <c r="CO105" s="252"/>
      <c r="CP105" s="251">
        <f>IFERROR(__xludf.DUMMYFUNCTION("AVERAGE(ARRAYFORMULA(XLOOKUP(FILTER(INDIRECT(""'""&amp;CP$1&amp;""'!$C$4:$C$66""),INDIRECT(""'""&amp;CP$1&amp;""'!$D$4:$D$66"")=CP$2),$F$3:$BP$3,$F105:$BP105)))"),-0.17613532571428575)</f>
        <v>-0.1761353257</v>
      </c>
      <c r="CQ105" s="207" t="str">
        <f>IFERROR(__xludf.DUMMYFUNCTION("IF(OR(CP105&gt;$BR105+$BS105*$BS$2,CP105&lt;$BR105-$BS105*$BS$2),AVEDEV(ARRAYFORMULA(XLOOKUP(FILTER(INDIRECT(""'""&amp;CP$1&amp;""'!$C$4:$C$66""),INDIRECT(""'""&amp;CP$1&amp;""'!$D$4:$D$66"")=CP$2),$F$3:$BP$3,$F105:$BP105))),"""")"),"")</f>
        <v/>
      </c>
      <c r="CR105" s="251">
        <f>IFERROR(__xludf.DUMMYFUNCTION("AVERAGE(ARRAYFORMULA(XLOOKUP(FILTER(INDIRECT(""'""&amp;CR$1&amp;""'!$C$4:$C$66""),INDIRECT(""'""&amp;CR$1&amp;""'!$D$4:$D$66"")=CR$2),$F$3:$BP$3,$F105:$BP105)))"),0.2515168166666667)</f>
        <v>0.2515168167</v>
      </c>
      <c r="CS105" s="207" t="str">
        <f>IFERROR(__xludf.DUMMYFUNCTION("IF(OR(CR105&gt;$BR105+$BS105*$BS$2,CR105&lt;$BR105-$BS105*$BS$2),AVEDEV(ARRAYFORMULA(XLOOKUP(FILTER(INDIRECT(""'""&amp;CR$1&amp;""'!$C$4:$C$66""),INDIRECT(""'""&amp;CR$1&amp;""'!$D$4:$D$66"")=CR$2),$F$3:$BP$3,$F105:$BP105))),"""")"),"")</f>
        <v/>
      </c>
      <c r="CT105" s="251">
        <f>IFERROR(__xludf.DUMMYFUNCTION("AVERAGE(ARRAYFORMULA(XLOOKUP(FILTER(INDIRECT(""'""&amp;CT$1&amp;""'!$C$4:$C$66""),INDIRECT(""'""&amp;CT$1&amp;""'!$D$4:$D$66"")=CT$2),$F$3:$BP$3,$F105:$BP105)))"),0.5785154381818182)</f>
        <v>0.5785154382</v>
      </c>
      <c r="CU105" s="207" t="str">
        <f>IFERROR(__xludf.DUMMYFUNCTION("IF(OR(CT105&gt;$BR105+$BS105*$BS$2,CT105&lt;$BR105-$BS105*$BS$2),AVEDEV(ARRAYFORMULA(XLOOKUP(FILTER(INDIRECT(""'""&amp;CT$1&amp;""'!$C$4:$C$66""),INDIRECT(""'""&amp;CT$1&amp;""'!$D$4:$D$66"")=CT$2),$F$3:$BP$3,$F105:$BP105))),"""")"),"")</f>
        <v/>
      </c>
      <c r="CV105" s="251">
        <f>IFERROR(__xludf.DUMMYFUNCTION("AVERAGE(ARRAYFORMULA(XLOOKUP(FILTER(INDIRECT(""'""&amp;CV$1&amp;""'!$C$4:$C$66""),INDIRECT(""'""&amp;CV$1&amp;""'!$D$4:$D$66"")=CV$2),$F$3:$BP$3,$F105:$BP105)))"),-0.17392904999999997)</f>
        <v>-0.17392905</v>
      </c>
      <c r="CW105" s="207" t="str">
        <f>IFERROR(__xludf.DUMMYFUNCTION("IF(OR(CV105&gt;$BR105+$BS105*$BS$2,CV105&lt;$BR105-$BS105*$BS$2),AVEDEV(ARRAYFORMULA(XLOOKUP(FILTER(INDIRECT(""'""&amp;CV$1&amp;""'!$C$4:$C$66""),INDIRECT(""'""&amp;CV$1&amp;""'!$D$4:$D$66"")=CV$2),$F$3:$BP$3,$F105:$BP105))),"""")"),"")</f>
        <v/>
      </c>
      <c r="CX105" s="251">
        <f>IFERROR(__xludf.DUMMYFUNCTION("AVERAGE(ARRAYFORMULA(XLOOKUP(FILTER(INDIRECT(""'""&amp;CX$1&amp;""'!$C$4:$C$66""),INDIRECT(""'""&amp;CX$1&amp;""'!$D$4:$D$66"")=CX$2),$F$3:$BP$3,$F105:$BP105)))"),0.023113482142857165)</f>
        <v>0.02311348214</v>
      </c>
      <c r="CY105" s="207" t="str">
        <f>IFERROR(__xludf.DUMMYFUNCTION("IF(OR(CX105&gt;$BR105+$BS105*$BS$2,CX105&lt;$BR105-$BS105*$BS$2),AVEDEV(ARRAYFORMULA(XLOOKUP(FILTER(INDIRECT(""'""&amp;CX$1&amp;""'!$C$4:$C$66""),INDIRECT(""'""&amp;CX$1&amp;""'!$D$4:$D$66"")=CX$2),$F$3:$BP$3,$F105:$BP105))),"""")"),"")</f>
        <v/>
      </c>
      <c r="CZ105" s="252"/>
      <c r="DA105" s="251">
        <f>IFERROR(__xludf.DUMMYFUNCTION("AVERAGE(ARRAYFORMULA(XLOOKUP(FILTER(INDIRECT(""'""&amp;DA$1&amp;""'!$C$4:$C$66""),INDIRECT(""'""&amp;DA$1&amp;""'!$D$4:$D$66"")=DA$2),$F$3:$BP$3,$F105:$BP105)))"),-0.1201814146666667)</f>
        <v>-0.1201814147</v>
      </c>
      <c r="DB105" s="207" t="str">
        <f>IFERROR(__xludf.DUMMYFUNCTION("IF(OR(DA105&gt;$BR105+$BS105*$BS$2,DA105&lt;$BR105-$BS105*$BS$2),AVEDEV(ARRAYFORMULA(XLOOKUP(FILTER(INDIRECT(""'""&amp;DA$1&amp;""'!$C$4:$C$66""),INDIRECT(""'""&amp;DA$1&amp;""'!$D$4:$D$66"")=DA$2),$F$3:$BP$3,$F105:$BP105))),"""")"),"")</f>
        <v/>
      </c>
      <c r="DC105" s="251">
        <f>IFERROR(__xludf.DUMMYFUNCTION("AVERAGE(ARRAYFORMULA(XLOOKUP(FILTER(INDIRECT(""'""&amp;DC$1&amp;""'!$C$4:$C$66""),INDIRECT(""'""&amp;DC$1&amp;""'!$D$4:$D$66"")=DC$2),$F$3:$BP$3,$F105:$BP105)))"),0.28591856777777785)</f>
        <v>0.2859185678</v>
      </c>
      <c r="DD105" s="207" t="str">
        <f>IFERROR(__xludf.DUMMYFUNCTION("IF(OR(DC105&gt;$BR105+$BS105*$BS$2,DC105&lt;$BR105-$BS105*$BS$2),AVEDEV(ARRAYFORMULA(XLOOKUP(FILTER(INDIRECT(""'""&amp;DC$1&amp;""'!$C$4:$C$66""),INDIRECT(""'""&amp;DC$1&amp;""'!$D$4:$D$66"")=DC$2),$F$3:$BP$3,$F105:$BP105))),"""")"),"")</f>
        <v/>
      </c>
      <c r="DE105" s="251">
        <f>IFERROR(__xludf.DUMMYFUNCTION("AVERAGE(ARRAYFORMULA(XLOOKUP(FILTER(INDIRECT(""'""&amp;DE$1&amp;""'!$C$4:$C$66""),INDIRECT(""'""&amp;DE$1&amp;""'!$D$4:$D$66"")=DE$2),$F$3:$BP$3,$F105:$BP105)))"),0.69429123)</f>
        <v>0.69429123</v>
      </c>
      <c r="DF105" s="207">
        <f>IFERROR(__xludf.DUMMYFUNCTION("IF(OR(DE105&gt;$BR105+$BS105*$BS$2,DE105&lt;$BR105-$BS105*$BS$2),AVEDEV(ARRAYFORMULA(XLOOKUP(FILTER(INDIRECT(""'""&amp;DE$1&amp;""'!$C$4:$C$66""),INDIRECT(""'""&amp;DE$1&amp;""'!$D$4:$D$66"")=DE$2),$F$3:$BP$3,$F105:$BP105))),"""")"),0.607338205)</f>
        <v>0.607338205</v>
      </c>
      <c r="DG105" s="251">
        <f>IFERROR(__xludf.DUMMYFUNCTION("AVERAGE(ARRAYFORMULA(XLOOKUP(FILTER(INDIRECT(""'""&amp;DG$1&amp;""'!$C$4:$C$66""),INDIRECT(""'""&amp;DG$1&amp;""'!$D$4:$D$66"")=DG$2),$F$3:$BP$3,$F105:$BP105)))"),0.06908948555555557)</f>
        <v>0.06908948556</v>
      </c>
      <c r="DH105" s="207" t="str">
        <f>IFERROR(__xludf.DUMMYFUNCTION("IF(OR(DG105&gt;$BR105+$BS105*$BS$2,DG105&lt;$BR105-$BS105*$BS$2),AVEDEV(ARRAYFORMULA(XLOOKUP(FILTER(INDIRECT(""'""&amp;DG$1&amp;""'!$C$4:$C$66""),INDIRECT(""'""&amp;DG$1&amp;""'!$D$4:$D$66"")=DG$2),$F$3:$BP$3,$F105:$BP105))),"""")"),"")</f>
        <v/>
      </c>
      <c r="DI105" s="252"/>
    </row>
    <row r="106">
      <c r="A106" s="2"/>
      <c r="B106" s="204" t="s">
        <v>540</v>
      </c>
      <c r="C106" s="204" t="s">
        <v>549</v>
      </c>
      <c r="D106" s="205" t="b">
        <f>VLOOKUP(C106,'Feature Set List'!A103:C246,2,0)</f>
        <v>1</v>
      </c>
      <c r="E106" s="205" t="b">
        <f>VLOOKUP(C106,'Feature Set List'!A103:C246,3,0)</f>
        <v>1</v>
      </c>
      <c r="F106" s="205">
        <v>-0.4585332</v>
      </c>
      <c r="G106" s="205">
        <v>-0.2589777</v>
      </c>
      <c r="H106" s="205">
        <v>-0.540882</v>
      </c>
      <c r="I106" s="205">
        <v>-0.4416891</v>
      </c>
      <c r="J106" s="205">
        <v>-1.2169844</v>
      </c>
      <c r="K106" s="205">
        <v>0.17311966</v>
      </c>
      <c r="L106" s="205">
        <v>-0.7832495</v>
      </c>
      <c r="M106" s="205">
        <v>0.03743128</v>
      </c>
      <c r="N106" s="205">
        <v>2.38624401</v>
      </c>
      <c r="O106" s="205">
        <v>-0.6190198</v>
      </c>
      <c r="P106" s="205">
        <v>-1.1475026</v>
      </c>
      <c r="Q106" s="205">
        <v>1.51128787</v>
      </c>
      <c r="R106" s="205">
        <v>2.50321675</v>
      </c>
      <c r="S106" s="205">
        <v>-0.2519593</v>
      </c>
      <c r="T106" s="205">
        <v>0.3322026</v>
      </c>
      <c r="U106" s="205">
        <v>0.0</v>
      </c>
      <c r="V106" s="205">
        <v>0.69481811</v>
      </c>
      <c r="W106" s="205">
        <v>0.56614809</v>
      </c>
      <c r="X106" s="205">
        <v>0.10995438</v>
      </c>
      <c r="Y106" s="205">
        <v>-0.6597263</v>
      </c>
      <c r="Z106" s="205">
        <v>0.02105509</v>
      </c>
      <c r="AA106" s="205">
        <v>0.06316528</v>
      </c>
      <c r="AB106" s="205">
        <v>-0.1483214</v>
      </c>
      <c r="AC106" s="205">
        <v>-0.296175</v>
      </c>
      <c r="AD106" s="205">
        <v>-0.1263306</v>
      </c>
      <c r="AE106" s="205">
        <v>0.24330331</v>
      </c>
      <c r="AF106" s="205">
        <v>0.01637618</v>
      </c>
      <c r="AG106" s="205">
        <v>0.62931337</v>
      </c>
      <c r="AH106" s="205">
        <v>-0.6761025</v>
      </c>
      <c r="AI106" s="205">
        <v>1.94642648</v>
      </c>
      <c r="AJ106" s="205">
        <v>-0.9774243</v>
      </c>
      <c r="AK106" s="205">
        <v>0.03509182</v>
      </c>
      <c r="AL106" s="205">
        <v>0.3579366</v>
      </c>
      <c r="AM106" s="205">
        <v>0.24096386</v>
      </c>
      <c r="AN106" s="205">
        <v>-1.3150076</v>
      </c>
      <c r="AO106" s="205">
        <v>-1.3889344</v>
      </c>
      <c r="AP106" s="205">
        <v>0.31582641</v>
      </c>
      <c r="AQ106" s="205">
        <v>0.13568838</v>
      </c>
      <c r="AR106" s="205">
        <v>-0.0998947</v>
      </c>
      <c r="AS106" s="205">
        <v>1.13229617</v>
      </c>
      <c r="AT106" s="205">
        <v>-2.2012165</v>
      </c>
      <c r="AU106" s="205">
        <v>0.62229501</v>
      </c>
      <c r="AV106" s="205">
        <v>-0.1462159</v>
      </c>
      <c r="AW106" s="205">
        <v>0.19885367</v>
      </c>
      <c r="AX106" s="205">
        <v>0.77669903</v>
      </c>
      <c r="AY106" s="205">
        <v>0.7626623</v>
      </c>
      <c r="AZ106" s="205">
        <v>-0.1777986</v>
      </c>
      <c r="BA106" s="205">
        <v>-1.2780442</v>
      </c>
      <c r="BB106" s="205">
        <v>0.61995555</v>
      </c>
      <c r="BC106" s="205">
        <v>-1.9506375</v>
      </c>
      <c r="BD106" s="205">
        <v>0.5240379</v>
      </c>
      <c r="BE106" s="205">
        <v>0.39536788</v>
      </c>
      <c r="BF106" s="205">
        <v>-0.2542987</v>
      </c>
      <c r="BG106" s="205">
        <v>-0.5397122</v>
      </c>
      <c r="BH106" s="205">
        <v>-0.3745467</v>
      </c>
      <c r="BI106" s="205">
        <v>0.94747924</v>
      </c>
      <c r="BJ106" s="205">
        <v>-0.3497485</v>
      </c>
      <c r="BK106" s="205">
        <v>-0.0657387</v>
      </c>
      <c r="BL106" s="205">
        <v>-1.2626038</v>
      </c>
      <c r="BM106" s="205">
        <v>-0.8946076</v>
      </c>
      <c r="BN106" s="205">
        <v>0.55912972</v>
      </c>
      <c r="BO106" s="205">
        <v>-1.1456311</v>
      </c>
      <c r="BP106" s="205">
        <v>1.75927009</v>
      </c>
      <c r="BQ106" s="206"/>
      <c r="BR106" s="250">
        <f t="shared" si="1"/>
        <v>-0.02269679857</v>
      </c>
      <c r="BS106" s="250">
        <f t="shared" si="2"/>
        <v>0.6775845601</v>
      </c>
      <c r="BT106" s="206"/>
      <c r="BU106" s="207">
        <f>IFERROR(__xludf.DUMMYFUNCTION("AVERAGE(ARRAYFORMULA(XLOOKUP(FILTER(INDIRECT(""'""&amp;BU$1&amp;""'!$C$4:$C$66""),INDIRECT(""'""&amp;BU$1&amp;""'!$D$4:$D$66"")=BU$2),$F$3:$BP$3,$F106:$BP106)))"),-0.06567183999999997)</f>
        <v>-0.06567184</v>
      </c>
      <c r="BV106" s="207" t="str">
        <f>IFERROR(__xludf.DUMMYFUNCTION("IF(OR(BU106&gt;$BR106+$BS106*$BS$2,BU106&lt;$BR106-$BS106*$BS$2),AVEDEV(ARRAYFORMULA(XLOOKUP(FILTER(INDIRECT(""'""&amp;BU$1&amp;""'!$C$4:$C$66""),INDIRECT(""'""&amp;BU$1&amp;""'!$D$4:$D$66"")=BU$2),$F$3:$BP$3,$F106:$BP106))),"""")"),"")</f>
        <v/>
      </c>
      <c r="BW106" s="207">
        <f>IFERROR(__xludf.DUMMYFUNCTION("AVERAGE(ARRAYFORMULA(XLOOKUP(FILTER(INDIRECT(""'""&amp;BW$1&amp;""'!$C$4:$C$66""),INDIRECT(""'""&amp;BW$1&amp;""'!$D$4:$D$66"")=BW$2),$F$3:$BP$3,$F106:$BP106)))"),0.12599635738095238)</f>
        <v>0.1259963574</v>
      </c>
      <c r="BX106" s="207" t="str">
        <f>IFERROR(__xludf.DUMMYFUNCTION("IF(OR(BW106&gt;$BR106+$BS106*$BS$2,BW106&lt;$BR106-$BS106*$BS$2),AVEDEV(ARRAYFORMULA(XLOOKUP(FILTER(INDIRECT(""'""&amp;BW$1&amp;""'!$C$4:$C$66""),INDIRECT(""'""&amp;BW$1&amp;""'!$D$4:$D$66"")=BW$2),$F$3:$BP$3,$F106:$BP106))),"""")"),"")</f>
        <v/>
      </c>
      <c r="BY106" s="207">
        <f>IFERROR(__xludf.DUMMYFUNCTION("AVERAGE(ARRAYFORMULA(XLOOKUP(FILTER(INDIRECT(""'""&amp;BY$1&amp;""'!$C$4:$C$66""),INDIRECT(""'""&amp;BY$1&amp;""'!$D$4:$D$66"")=BY$2),$F$3:$BP$3,$F106:$BP106)))"),-0.14266422181818184)</f>
        <v>-0.1426642218</v>
      </c>
      <c r="BZ106" s="207" t="str">
        <f>IFERROR(__xludf.DUMMYFUNCTION("IF(OR(BY106&gt;$BR106+$BS106*$BS$2,BY106&lt;$BR106-$BS106*$BS$2),AVEDEV(ARRAYFORMULA(XLOOKUP(FILTER(INDIRECT(""'""&amp;BY$1&amp;""'!$C$4:$C$66""),INDIRECT(""'""&amp;BY$1&amp;""'!$D$4:$D$66"")=BY$2),$F$3:$BP$3,$F106:$BP106))),"""")"),"")</f>
        <v/>
      </c>
      <c r="CA106" s="209"/>
      <c r="CB106" s="207">
        <f>IFERROR(__xludf.DUMMYFUNCTION("AVERAGE(ARRAYFORMULA(XLOOKUP(FILTER(INDIRECT(""'""&amp;CB$1&amp;""'!$C$4:$C$66""),INDIRECT(""'""&amp;CB$1&amp;""'!$D$4:$D$66"")=CB$2),$F$3:$BP$3,$F106:$BP106)))"),-0.26757516125)</f>
        <v>-0.2675751613</v>
      </c>
      <c r="CC106" s="207" t="str">
        <f>IFERROR(__xludf.DUMMYFUNCTION("IF(OR(CB106&gt;$BR106+$BS106*$BS$2,CB106&lt;$BR106-$BS106*$BS$2),AVEDEV(ARRAYFORMULA(XLOOKUP(FILTER(INDIRECT(""'""&amp;CB$1&amp;""'!$C$4:$C$66""),INDIRECT(""'""&amp;CB$1&amp;""'!$D$4:$D$66"")=CB$2),$F$3:$BP$3,$F106:$BP106))),"""")"),"")</f>
        <v/>
      </c>
      <c r="CD106" s="207">
        <f>IFERROR(__xludf.DUMMYFUNCTION("AVERAGE(ARRAYFORMULA(XLOOKUP(FILTER(INDIRECT(""'""&amp;CD$1&amp;""'!$C$4:$C$66""),INDIRECT(""'""&amp;CD$1&amp;""'!$D$4:$D$66"")=CD$2),$F$3:$BP$3,$F106:$BP106)))"),0.3415830583870968)</f>
        <v>0.3415830584</v>
      </c>
      <c r="CE106" s="207" t="str">
        <f>IFERROR(__xludf.DUMMYFUNCTION("IF(OR(CD106&gt;$BR106+$BS106*$BS$2,CD106&lt;$BR106-$BS106*$BS$2),AVEDEV(ARRAYFORMULA(XLOOKUP(FILTER(INDIRECT(""'""&amp;CD$1&amp;""'!$C$4:$C$66""),INDIRECT(""'""&amp;CD$1&amp;""'!$D$4:$D$66"")=CD$2),$F$3:$BP$3,$F106:$BP106))),"""")"),"")</f>
        <v/>
      </c>
      <c r="CF106" s="207">
        <f>IFERROR(__xludf.DUMMYFUNCTION("AVERAGE(ARRAYFORMULA(XLOOKUP(FILTER(INDIRECT(""'""&amp;CF$1&amp;""'!$C$4:$C$66""),INDIRECT(""'""&amp;CF$1&amp;""'!$D$4:$D$66"")=CF$2),$F$3:$BP$3,$F106:$BP106)))"),-0.28059422000000006)</f>
        <v>-0.28059422</v>
      </c>
      <c r="CG106" s="207" t="str">
        <f>IFERROR(__xludf.DUMMYFUNCTION("IF(OR(CF106&gt;$BR106+$BS106*$BS$2,CF106&lt;$BR106-$BS106*$BS$2),AVEDEV(ARRAYFORMULA(XLOOKUP(FILTER(INDIRECT(""'""&amp;CF$1&amp;""'!$C$4:$C$66""),INDIRECT(""'""&amp;CF$1&amp;""'!$D$4:$D$66"")=CF$2),$F$3:$BP$3,$F106:$BP106))),"""")"),"")</f>
        <v/>
      </c>
      <c r="CH106" s="206"/>
      <c r="CI106" s="251">
        <f>IFERROR(__xludf.DUMMYFUNCTION("AVERAGE(ARRAYFORMULA(XLOOKUP(FILTER(INDIRECT(""'""&amp;CI$1&amp;""'!$C$4:$C$66""),INDIRECT(""'""&amp;CI$1&amp;""'!$D$4:$D$66"")=CI$2),$F$3:$BP$3,$F106:$BP106)))"),0.046726712000000004)</f>
        <v>0.046726712</v>
      </c>
      <c r="CJ106" s="207" t="str">
        <f>IFERROR(__xludf.DUMMYFUNCTION("IF(OR(CI106&gt;$BR106+$BS106*$BS$2,CI106&lt;$BR106-$BS106*$BS$2),AVEDEV(ARRAYFORMULA(XLOOKUP(FILTER(INDIRECT(""'""&amp;CI$1&amp;""'!$C$4:$C$66""),INDIRECT(""'""&amp;CI$1&amp;""'!$D$4:$D$66"")=CI$2),$F$3:$BP$3,$F106:$BP106))),"""")"),"")</f>
        <v/>
      </c>
      <c r="CK106" s="251">
        <f>IFERROR(__xludf.DUMMYFUNCTION("AVERAGE(ARRAYFORMULA(XLOOKUP(FILTER(INDIRECT(""'""&amp;CK$1&amp;""'!$C$4:$C$66""),INDIRECT(""'""&amp;CK$1&amp;""'!$D$4:$D$66"")=CK$2),$F$3:$BP$3,$F106:$BP106)))"),0.10334991820512822)</f>
        <v>0.1033499182</v>
      </c>
      <c r="CL106" s="207" t="str">
        <f>IFERROR(__xludf.DUMMYFUNCTION("IF(OR(CK106&gt;$BR106+$BS106*$BS$2,CK106&lt;$BR106-$BS106*$BS$2),AVEDEV(ARRAYFORMULA(XLOOKUP(FILTER(INDIRECT(""'""&amp;CK$1&amp;""'!$C$4:$C$66""),INDIRECT(""'""&amp;CK$1&amp;""'!$D$4:$D$66"")=CK$2),$F$3:$BP$3,$F106:$BP106))),"""")"),"")</f>
        <v/>
      </c>
      <c r="CM106" s="251">
        <f>IFERROR(__xludf.DUMMYFUNCTION("AVERAGE(ARRAYFORMULA(XLOOKUP(FILTER(INDIRECT(""'""&amp;CM$1&amp;""'!$C$4:$C$66""),INDIRECT(""'""&amp;CM$1&amp;""'!$D$4:$D$66"")=CM$2),$F$3:$BP$3,$F106:$BP106)))"),-0.28059422000000006)</f>
        <v>-0.28059422</v>
      </c>
      <c r="CN106" s="207" t="str">
        <f>IFERROR(__xludf.DUMMYFUNCTION("IF(OR(CM106&gt;$BR106+$BS106*$BS$2,CM106&lt;$BR106-$BS106*$BS$2),AVEDEV(ARRAYFORMULA(XLOOKUP(FILTER(INDIRECT(""'""&amp;CM$1&amp;""'!$C$4:$C$66""),INDIRECT(""'""&amp;CM$1&amp;""'!$D$4:$D$66"")=CM$2),$F$3:$BP$3,$F106:$BP106))),"""")"),"")</f>
        <v/>
      </c>
      <c r="CO106" s="252"/>
      <c r="CP106" s="251">
        <f>IFERROR(__xludf.DUMMYFUNCTION("AVERAGE(ARRAYFORMULA(XLOOKUP(FILTER(INDIRECT(""'""&amp;CP$1&amp;""'!$C$4:$C$66""),INDIRECT(""'""&amp;CP$1&amp;""'!$D$4:$D$66"")=CP$2),$F$3:$BP$3,$F106:$BP106)))"),-0.25466638785714285)</f>
        <v>-0.2546663879</v>
      </c>
      <c r="CQ106" s="207" t="str">
        <f>IFERROR(__xludf.DUMMYFUNCTION("IF(OR(CP106&gt;$BR106+$BS106*$BS$2,CP106&lt;$BR106-$BS106*$BS$2),AVEDEV(ARRAYFORMULA(XLOOKUP(FILTER(INDIRECT(""'""&amp;CP$1&amp;""'!$C$4:$C$66""),INDIRECT(""'""&amp;CP$1&amp;""'!$D$4:$D$66"")=CP$2),$F$3:$BP$3,$F106:$BP106))),"""")"),"")</f>
        <v/>
      </c>
      <c r="CR106" s="251">
        <f>IFERROR(__xludf.DUMMYFUNCTION("AVERAGE(ARRAYFORMULA(XLOOKUP(FILTER(INDIRECT(""'""&amp;CR$1&amp;""'!$C$4:$C$66""),INDIRECT(""'""&amp;CR$1&amp;""'!$D$4:$D$66"")=CR$2),$F$3:$BP$3,$F106:$BP106)))"),-0.11881832666666667)</f>
        <v>-0.1188183267</v>
      </c>
      <c r="CS106" s="207" t="str">
        <f>IFERROR(__xludf.DUMMYFUNCTION("IF(OR(CR106&gt;$BR106+$BS106*$BS$2,CR106&lt;$BR106-$BS106*$BS$2),AVEDEV(ARRAYFORMULA(XLOOKUP(FILTER(INDIRECT(""'""&amp;CR$1&amp;""'!$C$4:$C$66""),INDIRECT(""'""&amp;CR$1&amp;""'!$D$4:$D$66"")=CR$2),$F$3:$BP$3,$F106:$BP106))),"""")"),"")</f>
        <v/>
      </c>
      <c r="CT106" s="251">
        <f>IFERROR(__xludf.DUMMYFUNCTION("AVERAGE(ARRAYFORMULA(XLOOKUP(FILTER(INDIRECT(""'""&amp;CT$1&amp;""'!$C$4:$C$66""),INDIRECT(""'""&amp;CT$1&amp;""'!$D$4:$D$66"")=CT$2),$F$3:$BP$3,$F106:$BP106)))"),0.5680409263636363)</f>
        <v>0.5680409264</v>
      </c>
      <c r="CU106" s="207" t="str">
        <f>IFERROR(__xludf.DUMMYFUNCTION("IF(OR(CT106&gt;$BR106+$BS106*$BS$2,CT106&lt;$BR106-$BS106*$BS$2),AVEDEV(ARRAYFORMULA(XLOOKUP(FILTER(INDIRECT(""'""&amp;CT$1&amp;""'!$C$4:$C$66""),INDIRECT(""'""&amp;CT$1&amp;""'!$D$4:$D$66"")=CT$2),$F$3:$BP$3,$F106:$BP106))),"""")"),"")</f>
        <v/>
      </c>
      <c r="CV106" s="251">
        <f>IFERROR(__xludf.DUMMYFUNCTION("AVERAGE(ARRAYFORMULA(XLOOKUP(FILTER(INDIRECT(""'""&amp;CV$1&amp;""'!$C$4:$C$66""),INDIRECT(""'""&amp;CV$1&amp;""'!$D$4:$D$66"")=CV$2),$F$3:$BP$3,$F106:$BP106)))"),-0.41794359999999997)</f>
        <v>-0.4179436</v>
      </c>
      <c r="CW106" s="207" t="str">
        <f>IFERROR(__xludf.DUMMYFUNCTION("IF(OR(CV106&gt;$BR106+$BS106*$BS$2,CV106&lt;$BR106-$BS106*$BS$2),AVEDEV(ARRAYFORMULA(XLOOKUP(FILTER(INDIRECT(""'""&amp;CV$1&amp;""'!$C$4:$C$66""),INDIRECT(""'""&amp;CV$1&amp;""'!$D$4:$D$66"")=CV$2),$F$3:$BP$3,$F106:$BP106))),"""")"),"")</f>
        <v/>
      </c>
      <c r="CX106" s="251">
        <f>IFERROR(__xludf.DUMMYFUNCTION("AVERAGE(ARRAYFORMULA(XLOOKUP(FILTER(INDIRECT(""'""&amp;CX$1&amp;""'!$C$4:$C$66""),INDIRECT(""'""&amp;CX$1&amp;""'!$D$4:$D$66"")=CX$2),$F$3:$BP$3,$F106:$BP106)))"),0.3945824892857143)</f>
        <v>0.3945824893</v>
      </c>
      <c r="CY106" s="207" t="str">
        <f>IFERROR(__xludf.DUMMYFUNCTION("IF(OR(CX106&gt;$BR106+$BS106*$BS$2,CX106&lt;$BR106-$BS106*$BS$2),AVEDEV(ARRAYFORMULA(XLOOKUP(FILTER(INDIRECT(""'""&amp;CX$1&amp;""'!$C$4:$C$66""),INDIRECT(""'""&amp;CX$1&amp;""'!$D$4:$D$66"")=CX$2),$F$3:$BP$3,$F106:$BP106))),"""")"),"")</f>
        <v/>
      </c>
      <c r="CZ106" s="252"/>
      <c r="DA106" s="251">
        <f>IFERROR(__xludf.DUMMYFUNCTION("AVERAGE(ARRAYFORMULA(XLOOKUP(FILTER(INDIRECT(""'""&amp;DA$1&amp;""'!$C$4:$C$66""),INDIRECT(""'""&amp;DA$1&amp;""'!$D$4:$D$66"")=DA$2),$F$3:$BP$3,$F106:$BP106)))"),-0.11762779333333331)</f>
        <v>-0.1176277933</v>
      </c>
      <c r="DB106" s="207" t="str">
        <f>IFERROR(__xludf.DUMMYFUNCTION("IF(OR(DA106&gt;$BR106+$BS106*$BS$2,DA106&lt;$BR106-$BS106*$BS$2),AVEDEV(ARRAYFORMULA(XLOOKUP(FILTER(INDIRECT(""'""&amp;DA$1&amp;""'!$C$4:$C$66""),INDIRECT(""'""&amp;DA$1&amp;""'!$D$4:$D$66"")=DA$2),$F$3:$BP$3,$F106:$BP106))),"""")"),"")</f>
        <v/>
      </c>
      <c r="DC106" s="251">
        <f>IFERROR(__xludf.DUMMYFUNCTION("AVERAGE(ARRAYFORMULA(XLOOKUP(FILTER(INDIRECT(""'""&amp;DC$1&amp;""'!$C$4:$C$66""),INDIRECT(""'""&amp;DC$1&amp;""'!$D$4:$D$66"")=DC$2),$F$3:$BP$3,$F106:$BP106)))"),-0.22921460222222223)</f>
        <v>-0.2292146022</v>
      </c>
      <c r="DD106" s="207" t="str">
        <f>IFERROR(__xludf.DUMMYFUNCTION("IF(OR(DC106&gt;$BR106+$BS106*$BS$2,DC106&lt;$BR106-$BS106*$BS$2),AVEDEV(ARRAYFORMULA(XLOOKUP(FILTER(INDIRECT(""'""&amp;DC$1&amp;""'!$C$4:$C$66""),INDIRECT(""'""&amp;DC$1&amp;""'!$D$4:$D$66"")=DC$2),$F$3:$BP$3,$F106:$BP106))),"""")"),"")</f>
        <v/>
      </c>
      <c r="DE106" s="251">
        <f>IFERROR(__xludf.DUMMYFUNCTION("AVERAGE(ARRAYFORMULA(XLOOKUP(FILTER(INDIRECT(""'""&amp;DE$1&amp;""'!$C$4:$C$66""),INDIRECT(""'""&amp;DE$1&amp;""'!$D$4:$D$66"")=DE$2),$F$3:$BP$3,$F106:$BP106)))"),1.27997426625)</f>
        <v>1.279974266</v>
      </c>
      <c r="DF106" s="207">
        <f>IFERROR(__xludf.DUMMYFUNCTION("IF(OR(DE106&gt;$BR106+$BS106*$BS$2,DE106&lt;$BR106-$BS106*$BS$2),AVEDEV(ARRAYFORMULA(XLOOKUP(FILTER(INDIRECT(""'""&amp;DE$1&amp;""'!$C$4:$C$66""),INDIRECT(""'""&amp;DE$1&amp;""'!$D$4:$D$66"")=DE$2),$F$3:$BP$3,$F106:$BP106))),"""")"),0.8068195112500001)</f>
        <v>0.8068195113</v>
      </c>
      <c r="DG106" s="251">
        <f>IFERROR(__xludf.DUMMYFUNCTION("AVERAGE(ARRAYFORMULA(XLOOKUP(FILTER(INDIRECT(""'""&amp;DG$1&amp;""'!$C$4:$C$66""),INDIRECT(""'""&amp;DG$1&amp;""'!$D$4:$D$66"")=DG$2),$F$3:$BP$3,$F106:$BP106)))"),-0.07847571)</f>
        <v>-0.07847571</v>
      </c>
      <c r="DH106" s="207" t="str">
        <f>IFERROR(__xludf.DUMMYFUNCTION("IF(OR(DG106&gt;$BR106+$BS106*$BS$2,DG106&lt;$BR106-$BS106*$BS$2),AVEDEV(ARRAYFORMULA(XLOOKUP(FILTER(INDIRECT(""'""&amp;DG$1&amp;""'!$C$4:$C$66""),INDIRECT(""'""&amp;DG$1&amp;""'!$D$4:$D$66"")=DG$2),$F$3:$BP$3,$F106:$BP106))),"""")"),"")</f>
        <v/>
      </c>
      <c r="DI106" s="252"/>
    </row>
    <row r="107">
      <c r="A107" s="2"/>
      <c r="B107" s="204" t="s">
        <v>540</v>
      </c>
      <c r="C107" s="204" t="s">
        <v>550</v>
      </c>
      <c r="D107" s="205" t="b">
        <f>VLOOKUP(C107,'Feature Set List'!A104:C246,2,0)</f>
        <v>1</v>
      </c>
      <c r="E107" s="205" t="b">
        <f>VLOOKUP(C107,'Feature Set List'!A104:C246,3,0)</f>
        <v>1</v>
      </c>
      <c r="F107" s="205">
        <v>-0.6312906</v>
      </c>
      <c r="G107" s="205">
        <v>-0.4054383</v>
      </c>
      <c r="H107" s="205">
        <v>-0.3674919</v>
      </c>
      <c r="I107" s="205">
        <v>-0.7725244</v>
      </c>
      <c r="J107" s="205">
        <v>-0.9786932</v>
      </c>
      <c r="K107" s="205">
        <v>0.39853896</v>
      </c>
      <c r="L107" s="205">
        <v>0.50608766</v>
      </c>
      <c r="M107" s="205">
        <v>-0.3234578</v>
      </c>
      <c r="N107" s="205">
        <v>1.36038961</v>
      </c>
      <c r="O107" s="205">
        <v>0.74350649</v>
      </c>
      <c r="P107" s="205">
        <v>-0.4748377</v>
      </c>
      <c r="Q107" s="205">
        <v>3.82183442</v>
      </c>
      <c r="R107" s="205">
        <v>1.71144481</v>
      </c>
      <c r="S107" s="205">
        <v>-0.2810471</v>
      </c>
      <c r="T107" s="205">
        <v>0.53652597</v>
      </c>
      <c r="U107" s="205">
        <v>0.24837662</v>
      </c>
      <c r="V107" s="205">
        <v>1.14935065</v>
      </c>
      <c r="W107" s="205">
        <v>0.73944805</v>
      </c>
      <c r="X107" s="205">
        <v>-0.382914</v>
      </c>
      <c r="Y107" s="205">
        <v>1.18790584</v>
      </c>
      <c r="Z107" s="205">
        <v>0.79220779</v>
      </c>
      <c r="AA107" s="205">
        <v>-0.4092938</v>
      </c>
      <c r="AB107" s="205">
        <v>-0.4389205</v>
      </c>
      <c r="AC107" s="205">
        <v>-0.174513</v>
      </c>
      <c r="AD107" s="205">
        <v>-0.4253247</v>
      </c>
      <c r="AE107" s="205">
        <v>-0.0710227</v>
      </c>
      <c r="AF107" s="205">
        <v>0.26258117</v>
      </c>
      <c r="AG107" s="205">
        <v>0.04261364</v>
      </c>
      <c r="AH107" s="205">
        <v>-0.5876623</v>
      </c>
      <c r="AI107" s="205">
        <v>2.88027597</v>
      </c>
      <c r="AJ107" s="205">
        <v>-0.8053977</v>
      </c>
      <c r="AK107" s="205">
        <v>-0.0730519</v>
      </c>
      <c r="AL107" s="205">
        <v>-0.1258117</v>
      </c>
      <c r="AM107" s="205">
        <v>0.71306818</v>
      </c>
      <c r="AN107" s="205">
        <v>1.30965909</v>
      </c>
      <c r="AO107" s="205">
        <v>-0.7364042</v>
      </c>
      <c r="AP107" s="205">
        <v>1.11282468</v>
      </c>
      <c r="AQ107" s="205">
        <v>0.91599026</v>
      </c>
      <c r="AR107" s="205">
        <v>-0.0198864</v>
      </c>
      <c r="AS107" s="205">
        <v>0.08116883</v>
      </c>
      <c r="AT107" s="205">
        <v>-0.0886769</v>
      </c>
      <c r="AU107" s="205">
        <v>1.08035714</v>
      </c>
      <c r="AV107" s="205">
        <v>0.12155032</v>
      </c>
      <c r="AW107" s="205">
        <v>0.21387987</v>
      </c>
      <c r="AX107" s="205">
        <v>3.68181818</v>
      </c>
      <c r="AY107" s="205">
        <v>0.27678571</v>
      </c>
      <c r="AZ107" s="205">
        <v>-0.2274756</v>
      </c>
      <c r="BA107" s="205">
        <v>-0.2100244</v>
      </c>
      <c r="BB107" s="205">
        <v>0.34983766</v>
      </c>
      <c r="BC107" s="205">
        <v>-1.3455763</v>
      </c>
      <c r="BD107" s="205">
        <v>0.27881494</v>
      </c>
      <c r="BE107" s="205">
        <v>-0.2175325</v>
      </c>
      <c r="BF107" s="205">
        <v>-0.1416396</v>
      </c>
      <c r="BG107" s="205">
        <v>-0.3666802</v>
      </c>
      <c r="BH107" s="205">
        <v>-0.0765016</v>
      </c>
      <c r="BI107" s="205">
        <v>0.10125812</v>
      </c>
      <c r="BJ107" s="205">
        <v>0.14285714</v>
      </c>
      <c r="BK107" s="205">
        <v>0.19135552</v>
      </c>
      <c r="BL107" s="205">
        <v>-0.7368101</v>
      </c>
      <c r="BM107" s="205">
        <v>-0.9013799</v>
      </c>
      <c r="BN107" s="205">
        <v>0.0</v>
      </c>
      <c r="BO107" s="205">
        <v>-0.9969562</v>
      </c>
      <c r="BP107" s="205">
        <v>0.74350649</v>
      </c>
      <c r="BQ107" s="206"/>
      <c r="BR107" s="250">
        <f t="shared" si="1"/>
        <v>0.220660041</v>
      </c>
      <c r="BS107" s="250">
        <f t="shared" si="2"/>
        <v>0.6827077891</v>
      </c>
      <c r="BT107" s="206"/>
      <c r="BU107" s="207">
        <f>IFERROR(__xludf.DUMMYFUNCTION("AVERAGE(ARRAYFORMULA(XLOOKUP(FILTER(INDIRECT(""'""&amp;BU$1&amp;""'!$C$4:$C$66""),INDIRECT(""'""&amp;BU$1&amp;""'!$D$4:$D$66"")=BU$2),$F$3:$BP$3,$F107:$BP107)))"),0.9325139071428572)</f>
        <v>0.9325139071</v>
      </c>
      <c r="BV107" s="207">
        <f>IFERROR(__xludf.DUMMYFUNCTION("IF(OR(BU107&gt;$BR107+$BS107*$BS$2,BU107&lt;$BR107-$BS107*$BS$2),AVEDEV(ARRAYFORMULA(XLOOKUP(FILTER(INDIRECT(""'""&amp;BU$1&amp;""'!$C$4:$C$66""),INDIRECT(""'""&amp;BU$1&amp;""'!$D$4:$D$66"")=BU$2),$F$3:$BP$3,$F107:$BP107))),"""")"),0.8932712730612246)</f>
        <v>0.8932712731</v>
      </c>
      <c r="BW107" s="207">
        <f>IFERROR(__xludf.DUMMYFUNCTION("AVERAGE(ARRAYFORMULA(XLOOKUP(FILTER(INDIRECT(""'""&amp;BW$1&amp;""'!$C$4:$C$66""),INDIRECT(""'""&amp;BW$1&amp;""'!$D$4:$D$66"")=BW$2),$F$3:$BP$3,$F107:$BP107)))"),0.20076240380952376)</f>
        <v>0.2007624038</v>
      </c>
      <c r="BX107" s="207" t="str">
        <f>IFERROR(__xludf.DUMMYFUNCTION("IF(OR(BW107&gt;$BR107+$BS107*$BS$2,BW107&lt;$BR107-$BS107*$BS$2),AVEDEV(ARRAYFORMULA(XLOOKUP(FILTER(INDIRECT(""'""&amp;BW$1&amp;""'!$C$4:$C$66""),INDIRECT(""'""&amp;BW$1&amp;""'!$D$4:$D$66"")=BW$2),$F$3:$BP$3,$F107:$BP107))),"""")"),"")</f>
        <v/>
      </c>
      <c r="BY107" s="207">
        <f>IFERROR(__xludf.DUMMYFUNCTION("AVERAGE(ARRAYFORMULA(XLOOKUP(FILTER(INDIRECT(""'""&amp;BY$1&amp;""'!$C$4:$C$66""),INDIRECT(""'""&amp;BY$1&amp;""'!$D$4:$D$66"")=BY$2),$F$3:$BP$3,$F107:$BP107)))"),0.06760994272727272)</f>
        <v>0.06760994273</v>
      </c>
      <c r="BZ107" s="207" t="str">
        <f>IFERROR(__xludf.DUMMYFUNCTION("IF(OR(BY107&gt;$BR107+$BS107*$BS$2,BY107&lt;$BR107-$BS107*$BS$2),AVEDEV(ARRAYFORMULA(XLOOKUP(FILTER(INDIRECT(""'""&amp;BY$1&amp;""'!$C$4:$C$66""),INDIRECT(""'""&amp;BY$1&amp;""'!$D$4:$D$66"")=BY$2),$F$3:$BP$3,$F107:$BP107))),"""")"),"")</f>
        <v/>
      </c>
      <c r="CA107" s="209"/>
      <c r="CB107" s="207">
        <f>IFERROR(__xludf.DUMMYFUNCTION("AVERAGE(ARRAYFORMULA(XLOOKUP(FILTER(INDIRECT(""'""&amp;CB$1&amp;""'!$C$4:$C$66""),INDIRECT(""'""&amp;CB$1&amp;""'!$D$4:$D$66"")=CB$2),$F$3:$BP$3,$F107:$BP107)))"),-0.193714494375)</f>
        <v>-0.1937144944</v>
      </c>
      <c r="CC107" s="207" t="str">
        <f>IFERROR(__xludf.DUMMYFUNCTION("IF(OR(CB107&gt;$BR107+$BS107*$BS$2,CB107&lt;$BR107-$BS107*$BS$2),AVEDEV(ARRAYFORMULA(XLOOKUP(FILTER(INDIRECT(""'""&amp;CB$1&amp;""'!$C$4:$C$66""),INDIRECT(""'""&amp;CB$1&amp;""'!$D$4:$D$66"")=CB$2),$F$3:$BP$3,$F107:$BP107))),"""")"),"")</f>
        <v/>
      </c>
      <c r="CD107" s="207">
        <f>IFERROR(__xludf.DUMMYFUNCTION("AVERAGE(ARRAYFORMULA(XLOOKUP(FILTER(INDIRECT(""'""&amp;CD$1&amp;""'!$C$4:$C$66""),INDIRECT(""'""&amp;CD$1&amp;""'!$D$4:$D$66"")=CD$2),$F$3:$BP$3,$F107:$BP107)))"),0.5395828938709678)</f>
        <v>0.5395828939</v>
      </c>
      <c r="CE107" s="207" t="str">
        <f>IFERROR(__xludf.DUMMYFUNCTION("IF(OR(CD107&gt;$BR107+$BS107*$BS$2,CD107&lt;$BR107-$BS107*$BS$2),AVEDEV(ARRAYFORMULA(XLOOKUP(FILTER(INDIRECT(""'""&amp;CD$1&amp;""'!$C$4:$C$66""),INDIRECT(""'""&amp;CD$1&amp;""'!$D$4:$D$66"")=CD$2),$F$3:$BP$3,$F107:$BP107))),"""")"),"")</f>
        <v/>
      </c>
      <c r="CF107" s="207">
        <f>IFERROR(__xludf.DUMMYFUNCTION("AVERAGE(ARRAYFORMULA(XLOOKUP(FILTER(INDIRECT(""'""&amp;CF$1&amp;""'!$C$4:$C$66""),INDIRECT(""'""&amp;CF$1&amp;""'!$D$4:$D$66"")=CF$2),$F$3:$BP$3,$F107:$BP107)))"),0.01469155800000001)</f>
        <v>0.014691558</v>
      </c>
      <c r="CG107" s="207" t="str">
        <f>IFERROR(__xludf.DUMMYFUNCTION("IF(OR(CF107&gt;$BR107+$BS107*$BS$2,CF107&lt;$BR107-$BS107*$BS$2),AVEDEV(ARRAYFORMULA(XLOOKUP(FILTER(INDIRECT(""'""&amp;CF$1&amp;""'!$C$4:$C$66""),INDIRECT(""'""&amp;CF$1&amp;""'!$D$4:$D$66"")=CF$2),$F$3:$BP$3,$F107:$BP107))),"""")"),"")</f>
        <v/>
      </c>
      <c r="CH107" s="206"/>
      <c r="CI107" s="251">
        <f>IFERROR(__xludf.DUMMYFUNCTION("AVERAGE(ARRAYFORMULA(XLOOKUP(FILTER(INDIRECT(""'""&amp;CI$1&amp;""'!$C$4:$C$66""),INDIRECT(""'""&amp;CI$1&amp;""'!$D$4:$D$66"")=CI$2),$F$3:$BP$3,$F107:$BP107)))"),-0.07248377866666668)</f>
        <v>-0.07248377867</v>
      </c>
      <c r="CJ107" s="207" t="str">
        <f>IFERROR(__xludf.DUMMYFUNCTION("IF(OR(CI107&gt;$BR107+$BS107*$BS$2,CI107&lt;$BR107-$BS107*$BS$2),AVEDEV(ARRAYFORMULA(XLOOKUP(FILTER(INDIRECT(""'""&amp;CI$1&amp;""'!$C$4:$C$66""),INDIRECT(""'""&amp;CI$1&amp;""'!$D$4:$D$66"")=CI$2),$F$3:$BP$3,$F107:$BP107))),"""")"),"")</f>
        <v/>
      </c>
      <c r="CK107" s="251">
        <f>IFERROR(__xludf.DUMMYFUNCTION("AVERAGE(ARRAYFORMULA(XLOOKUP(FILTER(INDIRECT(""'""&amp;CK$1&amp;""'!$C$4:$C$66""),INDIRECT(""'""&amp;CK$1&amp;""'!$D$4:$D$66"")=CK$2),$F$3:$BP$3,$F107:$BP107)))"),0.4237377192307693)</f>
        <v>0.4237377192</v>
      </c>
      <c r="CL107" s="207" t="str">
        <f>IFERROR(__xludf.DUMMYFUNCTION("IF(OR(CK107&gt;$BR107+$BS107*$BS$2,CK107&lt;$BR107-$BS107*$BS$2),AVEDEV(ARRAYFORMULA(XLOOKUP(FILTER(INDIRECT(""'""&amp;CK$1&amp;""'!$C$4:$C$66""),INDIRECT(""'""&amp;CK$1&amp;""'!$D$4:$D$66"")=CK$2),$F$3:$BP$3,$F107:$BP107))),"""")"),"")</f>
        <v/>
      </c>
      <c r="CM107" s="251">
        <f>IFERROR(__xludf.DUMMYFUNCTION("AVERAGE(ARRAYFORMULA(XLOOKUP(FILTER(INDIRECT(""'""&amp;CM$1&amp;""'!$C$4:$C$66""),INDIRECT(""'""&amp;CM$1&amp;""'!$D$4:$D$66"")=CM$2),$F$3:$BP$3,$F107:$BP107)))"),0.01469155800000001)</f>
        <v>0.014691558</v>
      </c>
      <c r="CN107" s="207" t="str">
        <f>IFERROR(__xludf.DUMMYFUNCTION("IF(OR(CM107&gt;$BR107+$BS107*$BS$2,CM107&lt;$BR107-$BS107*$BS$2),AVEDEV(ARRAYFORMULA(XLOOKUP(FILTER(INDIRECT(""'""&amp;CM$1&amp;""'!$C$4:$C$66""),INDIRECT(""'""&amp;CM$1&amp;""'!$D$4:$D$66"")=CM$2),$F$3:$BP$3,$F107:$BP107))),"""")"),"")</f>
        <v/>
      </c>
      <c r="CO107" s="252"/>
      <c r="CP107" s="251">
        <f>IFERROR(__xludf.DUMMYFUNCTION("AVERAGE(ARRAYFORMULA(XLOOKUP(FILTER(INDIRECT(""'""&amp;CP$1&amp;""'!$C$4:$C$66""),INDIRECT(""'""&amp;CP$1&amp;""'!$D$4:$D$66"")=CP$2),$F$3:$BP$3,$F107:$BP107)))"),-0.17561456214285712)</f>
        <v>-0.1756145621</v>
      </c>
      <c r="CQ107" s="207" t="str">
        <f>IFERROR(__xludf.DUMMYFUNCTION("IF(OR(CP107&gt;$BR107+$BS107*$BS$2,CP107&lt;$BR107-$BS107*$BS$2),AVEDEV(ARRAYFORMULA(XLOOKUP(FILTER(INDIRECT(""'""&amp;CP$1&amp;""'!$C$4:$C$66""),INDIRECT(""'""&amp;CP$1&amp;""'!$D$4:$D$66"")=CP$2),$F$3:$BP$3,$F107:$BP107))),"""")"),"")</f>
        <v/>
      </c>
      <c r="CR107" s="251">
        <f>IFERROR(__xludf.DUMMYFUNCTION("AVERAGE(ARRAYFORMULA(XLOOKUP(FILTER(INDIRECT(""'""&amp;CR$1&amp;""'!$C$4:$C$66""),INDIRECT(""'""&amp;CR$1&amp;""'!$D$4:$D$66"")=CR$2),$F$3:$BP$3,$F107:$BP107)))"),0.13374819555555556)</f>
        <v>0.1337481956</v>
      </c>
      <c r="CS107" s="207" t="str">
        <f>IFERROR(__xludf.DUMMYFUNCTION("IF(OR(CR107&gt;$BR107+$BS107*$BS$2,CR107&lt;$BR107-$BS107*$BS$2),AVEDEV(ARRAYFORMULA(XLOOKUP(FILTER(INDIRECT(""'""&amp;CR$1&amp;""'!$C$4:$C$66""),INDIRECT(""'""&amp;CR$1&amp;""'!$D$4:$D$66"")=CR$2),$F$3:$BP$3,$F107:$BP107))),"""")"),"")</f>
        <v/>
      </c>
      <c r="CT107" s="251">
        <f>IFERROR(__xludf.DUMMYFUNCTION("AVERAGE(ARRAYFORMULA(XLOOKUP(FILTER(INDIRECT(""'""&amp;CT$1&amp;""'!$C$4:$C$66""),INDIRECT(""'""&amp;CT$1&amp;""'!$D$4:$D$66"")=CT$2),$F$3:$BP$3,$F107:$BP107)))"),0.2608102109090909)</f>
        <v>0.2608102109</v>
      </c>
      <c r="CU107" s="207" t="str">
        <f>IFERROR(__xludf.DUMMYFUNCTION("IF(OR(CT107&gt;$BR107+$BS107*$BS$2,CT107&lt;$BR107-$BS107*$BS$2),AVEDEV(ARRAYFORMULA(XLOOKUP(FILTER(INDIRECT(""'""&amp;CT$1&amp;""'!$C$4:$C$66""),INDIRECT(""'""&amp;CT$1&amp;""'!$D$4:$D$66"")=CT$2),$F$3:$BP$3,$F107:$BP107))),"""")"),"")</f>
        <v/>
      </c>
      <c r="CV107" s="251">
        <f>IFERROR(__xludf.DUMMYFUNCTION("AVERAGE(ARRAYFORMULA(XLOOKUP(FILTER(INDIRECT(""'""&amp;CV$1&amp;""'!$C$4:$C$66""),INDIRECT(""'""&amp;CV$1&amp;""'!$D$4:$D$66"")=CV$2),$F$3:$BP$3,$F107:$BP107)))"),-0.2705966)</f>
        <v>-0.2705966</v>
      </c>
      <c r="CW107" s="207" t="str">
        <f>IFERROR(__xludf.DUMMYFUNCTION("IF(OR(CV107&gt;$BR107+$BS107*$BS$2,CV107&lt;$BR107-$BS107*$BS$2),AVEDEV(ARRAYFORMULA(XLOOKUP(FILTER(INDIRECT(""'""&amp;CV$1&amp;""'!$C$4:$C$66""),INDIRECT(""'""&amp;CV$1&amp;""'!$D$4:$D$66"")=CV$2),$F$3:$BP$3,$F107:$BP107))),"""")"),"")</f>
        <v/>
      </c>
      <c r="CX107" s="251">
        <f>IFERROR(__xludf.DUMMYFUNCTION("AVERAGE(ARRAYFORMULA(XLOOKUP(FILTER(INDIRECT(""'""&amp;CX$1&amp;""'!$C$4:$C$66""),INDIRECT(""'""&amp;CX$1&amp;""'!$D$4:$D$66"")=CX$2),$F$3:$BP$3,$F107:$BP107)))"),0.7027336442857142)</f>
        <v>0.7027336443</v>
      </c>
      <c r="CY107" s="207" t="str">
        <f>IFERROR(__xludf.DUMMYFUNCTION("IF(OR(CX107&gt;$BR107+$BS107*$BS$2,CX107&lt;$BR107-$BS107*$BS$2),AVEDEV(ARRAYFORMULA(XLOOKUP(FILTER(INDIRECT(""'""&amp;CX$1&amp;""'!$C$4:$C$66""),INDIRECT(""'""&amp;CX$1&amp;""'!$D$4:$D$66"")=CX$2),$F$3:$BP$3,$F107:$BP107))),"""")"),"")</f>
        <v/>
      </c>
      <c r="CZ107" s="252"/>
      <c r="DA107" s="251">
        <f>IFERROR(__xludf.DUMMYFUNCTION("AVERAGE(ARRAYFORMULA(XLOOKUP(FILTER(INDIRECT(""'""&amp;DA$1&amp;""'!$C$4:$C$66""),INDIRECT(""'""&amp;DA$1&amp;""'!$D$4:$D$66"")=DA$2),$F$3:$BP$3,$F107:$BP107)))"),-0.08649892066666666)</f>
        <v>-0.08649892067</v>
      </c>
      <c r="DB107" s="207" t="str">
        <f>IFERROR(__xludf.DUMMYFUNCTION("IF(OR(DA107&gt;$BR107+$BS107*$BS$2,DA107&lt;$BR107-$BS107*$BS$2),AVEDEV(ARRAYFORMULA(XLOOKUP(FILTER(INDIRECT(""'""&amp;DA$1&amp;""'!$C$4:$C$66""),INDIRECT(""'""&amp;DA$1&amp;""'!$D$4:$D$66"")=DA$2),$F$3:$BP$3,$F107:$BP107))),"""")"),"")</f>
        <v/>
      </c>
      <c r="DC107" s="251">
        <f>IFERROR(__xludf.DUMMYFUNCTION("AVERAGE(ARRAYFORMULA(XLOOKUP(FILTER(INDIRECT(""'""&amp;DC$1&amp;""'!$C$4:$C$66""),INDIRECT(""'""&amp;DC$1&amp;""'!$D$4:$D$66"")=DC$2),$F$3:$BP$3,$F107:$BP107)))"),0.22235750000000007)</f>
        <v>0.2223575</v>
      </c>
      <c r="DD107" s="207" t="str">
        <f>IFERROR(__xludf.DUMMYFUNCTION("IF(OR(DC107&gt;$BR107+$BS107*$BS$2,DC107&lt;$BR107-$BS107*$BS$2),AVEDEV(ARRAYFORMULA(XLOOKUP(FILTER(INDIRECT(""'""&amp;DC$1&amp;""'!$C$4:$C$66""),INDIRECT(""'""&amp;DC$1&amp;""'!$D$4:$D$66"")=DC$2),$F$3:$BP$3,$F107:$BP107))),"""")"),"")</f>
        <v/>
      </c>
      <c r="DE107" s="251">
        <f>IFERROR(__xludf.DUMMYFUNCTION("AVERAGE(ARRAYFORMULA(XLOOKUP(FILTER(INDIRECT(""'""&amp;DE$1&amp;""'!$C$4:$C$66""),INDIRECT(""'""&amp;DE$1&amp;""'!$D$4:$D$66"")=DE$2),$F$3:$BP$3,$F107:$BP107)))"),1.8826603075000001)</f>
        <v>1.882660308</v>
      </c>
      <c r="DF107" s="207">
        <f>IFERROR(__xludf.DUMMYFUNCTION("IF(OR(DE107&gt;$BR107+$BS107*$BS$2,DE107&lt;$BR107-$BS107*$BS$2),AVEDEV(ARRAYFORMULA(XLOOKUP(FILTER(INDIRECT(""'""&amp;DE$1&amp;""'!$C$4:$C$66""),INDIRECT(""'""&amp;DE$1&amp;""'!$D$4:$D$66"")=DE$2),$F$3:$BP$3,$F107:$BP107))),"""")"),1.183986911875)</f>
        <v>1.183986912</v>
      </c>
      <c r="DG107" s="251">
        <f>IFERROR(__xludf.DUMMYFUNCTION("AVERAGE(ARRAYFORMULA(XLOOKUP(FILTER(INDIRECT(""'""&amp;DG$1&amp;""'!$C$4:$C$66""),INDIRECT(""'""&amp;DG$1&amp;""'!$D$4:$D$66"")=DG$2),$F$3:$BP$3,$F107:$BP107)))"),-0.21340639777777778)</f>
        <v>-0.2134063978</v>
      </c>
      <c r="DH107" s="207" t="str">
        <f>IFERROR(__xludf.DUMMYFUNCTION("IF(OR(DG107&gt;$BR107+$BS107*$BS$2,DG107&lt;$BR107-$BS107*$BS$2),AVEDEV(ARRAYFORMULA(XLOOKUP(FILTER(INDIRECT(""'""&amp;DG$1&amp;""'!$C$4:$C$66""),INDIRECT(""'""&amp;DG$1&amp;""'!$D$4:$D$66"")=DG$2),$F$3:$BP$3,$F107:$BP107))),"""")"),"")</f>
        <v/>
      </c>
      <c r="DI107" s="252"/>
    </row>
    <row r="108">
      <c r="A108" s="2"/>
      <c r="B108" s="204" t="s">
        <v>540</v>
      </c>
      <c r="C108" s="204" t="s">
        <v>551</v>
      </c>
      <c r="D108" s="205" t="b">
        <f>VLOOKUP(C108,'Feature Set List'!A105:C246,2,0)</f>
        <v>1</v>
      </c>
      <c r="E108" s="205" t="b">
        <f>VLOOKUP(C108,'Feature Set List'!A105:C246,3,0)</f>
        <v>1</v>
      </c>
      <c r="F108" s="205">
        <v>0.0</v>
      </c>
      <c r="G108" s="205">
        <v>0.0</v>
      </c>
      <c r="H108" s="205">
        <v>0.0</v>
      </c>
      <c r="I108" s="205">
        <v>0.0</v>
      </c>
      <c r="J108" s="205">
        <v>-1.0</v>
      </c>
      <c r="K108" s="205">
        <v>0.0</v>
      </c>
      <c r="L108" s="205">
        <v>-2.0</v>
      </c>
      <c r="M108" s="205">
        <v>0.0</v>
      </c>
      <c r="N108" s="205">
        <v>-1.0</v>
      </c>
      <c r="O108" s="205">
        <v>0.0</v>
      </c>
      <c r="P108" s="205">
        <v>-1.0</v>
      </c>
      <c r="Q108" s="205">
        <v>-1.0</v>
      </c>
      <c r="R108" s="205">
        <v>0.0</v>
      </c>
      <c r="S108" s="205">
        <v>0.0</v>
      </c>
      <c r="T108" s="205">
        <v>-4.0</v>
      </c>
      <c r="U108" s="205">
        <v>0.0</v>
      </c>
      <c r="V108" s="205">
        <v>0.0</v>
      </c>
      <c r="W108" s="205">
        <v>0.0</v>
      </c>
      <c r="X108" s="205">
        <v>0.0</v>
      </c>
      <c r="Y108" s="205">
        <v>0.0</v>
      </c>
      <c r="Z108" s="205">
        <v>0.0</v>
      </c>
      <c r="AA108" s="205">
        <v>0.0</v>
      </c>
      <c r="AB108" s="205">
        <v>0.0</v>
      </c>
      <c r="AC108" s="205">
        <v>0.0</v>
      </c>
      <c r="AD108" s="205">
        <v>0.0</v>
      </c>
      <c r="AE108" s="205">
        <v>0.0</v>
      </c>
      <c r="AF108" s="205">
        <v>0.0</v>
      </c>
      <c r="AG108" s="205">
        <v>0.0</v>
      </c>
      <c r="AH108" s="205">
        <v>0.0</v>
      </c>
      <c r="AI108" s="205">
        <v>0.0</v>
      </c>
      <c r="AJ108" s="205">
        <v>0.0</v>
      </c>
      <c r="AK108" s="205">
        <v>0.0</v>
      </c>
      <c r="AL108" s="205">
        <v>0.0</v>
      </c>
      <c r="AM108" s="205">
        <v>0.0</v>
      </c>
      <c r="AN108" s="205">
        <v>-3.0</v>
      </c>
      <c r="AO108" s="205">
        <v>0.0</v>
      </c>
      <c r="AP108" s="205">
        <v>0.0</v>
      </c>
      <c r="AQ108" s="205">
        <v>-1.0</v>
      </c>
      <c r="AR108" s="205">
        <v>0.0</v>
      </c>
      <c r="AS108" s="205">
        <v>-1.0</v>
      </c>
      <c r="AT108" s="205">
        <v>-1.0</v>
      </c>
      <c r="AU108" s="205">
        <v>0.0</v>
      </c>
      <c r="AV108" s="205">
        <v>0.0</v>
      </c>
      <c r="AW108" s="205">
        <v>-1.0</v>
      </c>
      <c r="AX108" s="205">
        <v>-3.0</v>
      </c>
      <c r="AY108" s="205">
        <v>0.0</v>
      </c>
      <c r="AZ108" s="205">
        <v>0.0</v>
      </c>
      <c r="BA108" s="205">
        <v>0.0</v>
      </c>
      <c r="BB108" s="205">
        <v>0.0</v>
      </c>
      <c r="BC108" s="205">
        <v>0.0</v>
      </c>
      <c r="BD108" s="205">
        <v>0.0</v>
      </c>
      <c r="BE108" s="205">
        <v>0.0</v>
      </c>
      <c r="BF108" s="205">
        <v>0.0</v>
      </c>
      <c r="BG108" s="205">
        <v>0.0</v>
      </c>
      <c r="BH108" s="205">
        <v>0.0</v>
      </c>
      <c r="BI108" s="205">
        <v>0.0</v>
      </c>
      <c r="BJ108" s="205">
        <v>-1.0</v>
      </c>
      <c r="BK108" s="205">
        <v>0.0</v>
      </c>
      <c r="BL108" s="205">
        <v>0.0</v>
      </c>
      <c r="BM108" s="205">
        <v>0.0</v>
      </c>
      <c r="BN108" s="205">
        <v>0.0</v>
      </c>
      <c r="BO108" s="205">
        <v>0.0</v>
      </c>
      <c r="BP108" s="205">
        <v>0.0</v>
      </c>
      <c r="BQ108" s="206"/>
      <c r="BR108" s="250">
        <f t="shared" si="1"/>
        <v>-0.3333333333</v>
      </c>
      <c r="BS108" s="250">
        <f t="shared" si="2"/>
        <v>0.5291005291</v>
      </c>
      <c r="BT108" s="206"/>
      <c r="BU108" s="207">
        <f>IFERROR(__xludf.DUMMYFUNCTION("AVERAGE(ARRAYFORMULA(XLOOKUP(FILTER(INDIRECT(""'""&amp;BU$1&amp;""'!$C$4:$C$66""),INDIRECT(""'""&amp;BU$1&amp;""'!$D$4:$D$66"")=BU$2),$F$3:$BP$3,$F108:$BP108)))"),-1.4285714285714286)</f>
        <v>-1.428571429</v>
      </c>
      <c r="BV108" s="207">
        <f>IFERROR(__xludf.DUMMYFUNCTION("IF(OR(BU108&gt;$BR108+$BS108*$BS$2,BU108&lt;$BR108-$BS108*$BS$2),AVEDEV(ARRAYFORMULA(XLOOKUP(FILTER(INDIRECT(""'""&amp;BU$1&amp;""'!$C$4:$C$66""),INDIRECT(""'""&amp;BU$1&amp;""'!$D$4:$D$66"")=BU$2),$F$3:$BP$3,$F108:$BP108))),"""")"),1.6326530612244898)</f>
        <v>1.632653061</v>
      </c>
      <c r="BW108" s="207">
        <f>IFERROR(__xludf.DUMMYFUNCTION("AVERAGE(ARRAYFORMULA(XLOOKUP(FILTER(INDIRECT(""'""&amp;BW$1&amp;""'!$C$4:$C$66""),INDIRECT(""'""&amp;BW$1&amp;""'!$D$4:$D$66"")=BW$2),$F$3:$BP$3,$F108:$BP108)))"),-0.19047619047619047)</f>
        <v>-0.1904761905</v>
      </c>
      <c r="BX108" s="207" t="str">
        <f>IFERROR(__xludf.DUMMYFUNCTION("IF(OR(BW108&gt;$BR108+$BS108*$BS$2,BW108&lt;$BR108-$BS108*$BS$2),AVEDEV(ARRAYFORMULA(XLOOKUP(FILTER(INDIRECT(""'""&amp;BW$1&amp;""'!$C$4:$C$66""),INDIRECT(""'""&amp;BW$1&amp;""'!$D$4:$D$66"")=BW$2),$F$3:$BP$3,$F108:$BP108))),"""")"),"")</f>
        <v/>
      </c>
      <c r="BY108" s="207">
        <f>IFERROR(__xludf.DUMMYFUNCTION("AVERAGE(ARRAYFORMULA(XLOOKUP(FILTER(INDIRECT(""'""&amp;BY$1&amp;""'!$C$4:$C$66""),INDIRECT(""'""&amp;BY$1&amp;""'!$D$4:$D$66"")=BY$2),$F$3:$BP$3,$F108:$BP108)))"),-0.18181818181818182)</f>
        <v>-0.1818181818</v>
      </c>
      <c r="BZ108" s="207" t="str">
        <f>IFERROR(__xludf.DUMMYFUNCTION("IF(OR(BY108&gt;$BR108+$BS108*$BS$2,BY108&lt;$BR108-$BS108*$BS$2),AVEDEV(ARRAYFORMULA(XLOOKUP(FILTER(INDIRECT(""'""&amp;BY$1&amp;""'!$C$4:$C$66""),INDIRECT(""'""&amp;BY$1&amp;""'!$D$4:$D$66"")=BY$2),$F$3:$BP$3,$F108:$BP108))),"""")"),"")</f>
        <v/>
      </c>
      <c r="CA108" s="209"/>
      <c r="CB108" s="207">
        <f>IFERROR(__xludf.DUMMYFUNCTION("AVERAGE(ARRAYFORMULA(XLOOKUP(FILTER(INDIRECT(""'""&amp;CB$1&amp;""'!$C$4:$C$66""),INDIRECT(""'""&amp;CB$1&amp;""'!$D$4:$D$66"")=CB$2),$F$3:$BP$3,$F108:$BP108)))"),-0.375)</f>
        <v>-0.375</v>
      </c>
      <c r="CC108" s="207" t="str">
        <f>IFERROR(__xludf.DUMMYFUNCTION("IF(OR(CB108&gt;$BR108+$BS108*$BS$2,CB108&lt;$BR108-$BS108*$BS$2),AVEDEV(ARRAYFORMULA(XLOOKUP(FILTER(INDIRECT(""'""&amp;CB$1&amp;""'!$C$4:$C$66""),INDIRECT(""'""&amp;CB$1&amp;""'!$D$4:$D$66"")=CB$2),$F$3:$BP$3,$F108:$BP108))),"""")"),"")</f>
        <v/>
      </c>
      <c r="CD108" s="207">
        <f>IFERROR(__xludf.DUMMYFUNCTION("AVERAGE(ARRAYFORMULA(XLOOKUP(FILTER(INDIRECT(""'""&amp;CD$1&amp;""'!$C$4:$C$66""),INDIRECT(""'""&amp;CD$1&amp;""'!$D$4:$D$66"")=CD$2),$F$3:$BP$3,$F108:$BP108)))"),-0.2903225806451613)</f>
        <v>-0.2903225806</v>
      </c>
      <c r="CE108" s="207" t="str">
        <f>IFERROR(__xludf.DUMMYFUNCTION("IF(OR(CD108&gt;$BR108+$BS108*$BS$2,CD108&lt;$BR108-$BS108*$BS$2),AVEDEV(ARRAYFORMULA(XLOOKUP(FILTER(INDIRECT(""'""&amp;CD$1&amp;""'!$C$4:$C$66""),INDIRECT(""'""&amp;CD$1&amp;""'!$D$4:$D$66"")=CD$2),$F$3:$BP$3,$F108:$BP108))),"""")"),"")</f>
        <v/>
      </c>
      <c r="CF108" s="207">
        <f>IFERROR(__xludf.DUMMYFUNCTION("AVERAGE(ARRAYFORMULA(XLOOKUP(FILTER(INDIRECT(""'""&amp;CF$1&amp;""'!$C$4:$C$66""),INDIRECT(""'""&amp;CF$1&amp;""'!$D$4:$D$66"")=CF$2),$F$3:$BP$3,$F108:$BP108)))"),0.0)</f>
        <v>0</v>
      </c>
      <c r="CG108" s="207" t="str">
        <f>IFERROR(__xludf.DUMMYFUNCTION("IF(OR(CF108&gt;$BR108+$BS108*$BS$2,CF108&lt;$BR108-$BS108*$BS$2),AVEDEV(ARRAYFORMULA(XLOOKUP(FILTER(INDIRECT(""'""&amp;CF$1&amp;""'!$C$4:$C$66""),INDIRECT(""'""&amp;CF$1&amp;""'!$D$4:$D$66"")=CF$2),$F$3:$BP$3,$F108:$BP108))),"""")"),"")</f>
        <v/>
      </c>
      <c r="CH108" s="206"/>
      <c r="CI108" s="251">
        <f>IFERROR(__xludf.DUMMYFUNCTION("AVERAGE(ARRAYFORMULA(XLOOKUP(FILTER(INDIRECT(""'""&amp;CI$1&amp;""'!$C$4:$C$66""),INDIRECT(""'""&amp;CI$1&amp;""'!$D$4:$D$66"")=CI$2),$F$3:$BP$3,$F108:$BP108)))"),-0.3333333333333333)</f>
        <v>-0.3333333333</v>
      </c>
      <c r="CJ108" s="207" t="str">
        <f>IFERROR(__xludf.DUMMYFUNCTION("IF(OR(CI108&gt;$BR108+$BS108*$BS$2,CI108&lt;$BR108-$BS108*$BS$2),AVEDEV(ARRAYFORMULA(XLOOKUP(FILTER(INDIRECT(""'""&amp;CI$1&amp;""'!$C$4:$C$66""),INDIRECT(""'""&amp;CI$1&amp;""'!$D$4:$D$66"")=CI$2),$F$3:$BP$3,$F108:$BP108))),"""")"),"")</f>
        <v/>
      </c>
      <c r="CK108" s="251">
        <f>IFERROR(__xludf.DUMMYFUNCTION("AVERAGE(ARRAYFORMULA(XLOOKUP(FILTER(INDIRECT(""'""&amp;CK$1&amp;""'!$C$4:$C$66""),INDIRECT(""'""&amp;CK$1&amp;""'!$D$4:$D$66"")=CK$2),$F$3:$BP$3,$F108:$BP108)))"),-0.38461538461538464)</f>
        <v>-0.3846153846</v>
      </c>
      <c r="CL108" s="207" t="str">
        <f>IFERROR(__xludf.DUMMYFUNCTION("IF(OR(CK108&gt;$BR108+$BS108*$BS$2,CK108&lt;$BR108-$BS108*$BS$2),AVEDEV(ARRAYFORMULA(XLOOKUP(FILTER(INDIRECT(""'""&amp;CK$1&amp;""'!$C$4:$C$66""),INDIRECT(""'""&amp;CK$1&amp;""'!$D$4:$D$66"")=CK$2),$F$3:$BP$3,$F108:$BP108))),"""")"),"")</f>
        <v/>
      </c>
      <c r="CM108" s="254">
        <f>IFERROR(__xludf.DUMMYFUNCTION("AVERAGE(ARRAYFORMULA(XLOOKUP(FILTER(INDIRECT(""'""&amp;CM$1&amp;""'!$C$4:$C$66""),INDIRECT(""'""&amp;CM$1&amp;""'!$D$4:$D$66"")=CM$2),$F$3:$BP$3,$F108:$BP108)))"),0.0)</f>
        <v>0</v>
      </c>
      <c r="CN108" s="207" t="str">
        <f>IFERROR(__xludf.DUMMYFUNCTION("IF(OR(CM108&gt;$BR108+$BS108*$BS$2,CM108&lt;$BR108-$BS108*$BS$2),AVEDEV(ARRAYFORMULA(XLOOKUP(FILTER(INDIRECT(""'""&amp;CM$1&amp;""'!$C$4:$C$66""),INDIRECT(""'""&amp;CM$1&amp;""'!$D$4:$D$66"")=CM$2),$F$3:$BP$3,$F108:$BP108))),"""")"),"")</f>
        <v/>
      </c>
      <c r="CO108" s="252"/>
      <c r="CP108" s="251">
        <f>IFERROR(__xludf.DUMMYFUNCTION("AVERAGE(ARRAYFORMULA(XLOOKUP(FILTER(INDIRECT(""'""&amp;CP$1&amp;""'!$C$4:$C$66""),INDIRECT(""'""&amp;CP$1&amp;""'!$D$4:$D$66"")=CP$2),$F$3:$BP$3,$F108:$BP108)))"),-0.07142857142857142)</f>
        <v>-0.07142857143</v>
      </c>
      <c r="CQ108" s="207" t="str">
        <f>IFERROR(__xludf.DUMMYFUNCTION("IF(OR(CP108&gt;$BR108+$BS108*$BS$2,CP108&lt;$BR108-$BS108*$BS$2),AVEDEV(ARRAYFORMULA(XLOOKUP(FILTER(INDIRECT(""'""&amp;CP$1&amp;""'!$C$4:$C$66""),INDIRECT(""'""&amp;CP$1&amp;""'!$D$4:$D$66"")=CP$2),$F$3:$BP$3,$F108:$BP108))),"""")"),"")</f>
        <v/>
      </c>
      <c r="CR108" s="251">
        <f>IFERROR(__xludf.DUMMYFUNCTION("AVERAGE(ARRAYFORMULA(XLOOKUP(FILTER(INDIRECT(""'""&amp;CR$1&amp;""'!$C$4:$C$66""),INDIRECT(""'""&amp;CR$1&amp;""'!$D$4:$D$66"")=CR$2),$F$3:$BP$3,$F108:$BP108)))"),-0.2222222222222222)</f>
        <v>-0.2222222222</v>
      </c>
      <c r="CS108" s="207" t="str">
        <f>IFERROR(__xludf.DUMMYFUNCTION("IF(OR(CR108&gt;$BR108+$BS108*$BS$2,CR108&lt;$BR108-$BS108*$BS$2),AVEDEV(ARRAYFORMULA(XLOOKUP(FILTER(INDIRECT(""'""&amp;CR$1&amp;""'!$C$4:$C$66""),INDIRECT(""'""&amp;CR$1&amp;""'!$D$4:$D$66"")=CR$2),$F$3:$BP$3,$F108:$BP108))),"""")"),"")</f>
        <v/>
      </c>
      <c r="CT108" s="251">
        <f>IFERROR(__xludf.DUMMYFUNCTION("AVERAGE(ARRAYFORMULA(XLOOKUP(FILTER(INDIRECT(""'""&amp;CT$1&amp;""'!$C$4:$C$66""),INDIRECT(""'""&amp;CT$1&amp;""'!$D$4:$D$66"")=CT$2),$F$3:$BP$3,$F108:$BP108)))"),-0.09090909090909091)</f>
        <v>-0.09090909091</v>
      </c>
      <c r="CU108" s="207" t="str">
        <f>IFERROR(__xludf.DUMMYFUNCTION("IF(OR(CT108&gt;$BR108+$BS108*$BS$2,CT108&lt;$BR108-$BS108*$BS$2),AVEDEV(ARRAYFORMULA(XLOOKUP(FILTER(INDIRECT(""'""&amp;CT$1&amp;""'!$C$4:$C$66""),INDIRECT(""'""&amp;CT$1&amp;""'!$D$4:$D$66"")=CT$2),$F$3:$BP$3,$F108:$BP108))),"""")"),"")</f>
        <v/>
      </c>
      <c r="CV108" s="251">
        <f>IFERROR(__xludf.DUMMYFUNCTION("AVERAGE(ARRAYFORMULA(XLOOKUP(FILTER(INDIRECT(""'""&amp;CV$1&amp;""'!$C$4:$C$66""),INDIRECT(""'""&amp;CV$1&amp;""'!$D$4:$D$66"")=CV$2),$F$3:$BP$3,$F108:$BP108)))"),0.0)</f>
        <v>0</v>
      </c>
      <c r="CW108" s="207" t="str">
        <f>IFERROR(__xludf.DUMMYFUNCTION("IF(OR(CV108&gt;$BR108+$BS108*$BS$2,CV108&lt;$BR108-$BS108*$BS$2),AVEDEV(ARRAYFORMULA(XLOOKUP(FILTER(INDIRECT(""'""&amp;CV$1&amp;""'!$C$4:$C$66""),INDIRECT(""'""&amp;CV$1&amp;""'!$D$4:$D$66"")=CV$2),$F$3:$BP$3,$F108:$BP108))),"""")"),"")</f>
        <v/>
      </c>
      <c r="CX108" s="254">
        <f>IFERROR(__xludf.DUMMYFUNCTION("AVERAGE(ARRAYFORMULA(XLOOKUP(FILTER(INDIRECT(""'""&amp;CX$1&amp;""'!$C$4:$C$66""),INDIRECT(""'""&amp;CX$1&amp;""'!$D$4:$D$66"")=CX$2),$F$3:$BP$3,$F108:$BP108)))"),-0.35714285714285715)</f>
        <v>-0.3571428571</v>
      </c>
      <c r="CY108" s="207" t="str">
        <f>IFERROR(__xludf.DUMMYFUNCTION("IF(OR(CX108&gt;$BR108+$BS108*$BS$2,CX108&lt;$BR108-$BS108*$BS$2),AVEDEV(ARRAYFORMULA(XLOOKUP(FILTER(INDIRECT(""'""&amp;CX$1&amp;""'!$C$4:$C$66""),INDIRECT(""'""&amp;CX$1&amp;""'!$D$4:$D$66"")=CX$2),$F$3:$BP$3,$F108:$BP108))),"""")"),"")</f>
        <v/>
      </c>
      <c r="CZ108" s="252"/>
      <c r="DA108" s="251">
        <f>IFERROR(__xludf.DUMMYFUNCTION("AVERAGE(ARRAYFORMULA(XLOOKUP(FILTER(INDIRECT(""'""&amp;DA$1&amp;""'!$C$4:$C$66""),INDIRECT(""'""&amp;DA$1&amp;""'!$D$4:$D$66"")=DA$2),$F$3:$BP$3,$F108:$BP108)))"),-0.16666666666666666)</f>
        <v>-0.1666666667</v>
      </c>
      <c r="DB108" s="207" t="str">
        <f>IFERROR(__xludf.DUMMYFUNCTION("IF(OR(DA108&gt;$BR108+$BS108*$BS$2,DA108&lt;$BR108-$BS108*$BS$2),AVEDEV(ARRAYFORMULA(XLOOKUP(FILTER(INDIRECT(""'""&amp;DA$1&amp;""'!$C$4:$C$66""),INDIRECT(""'""&amp;DA$1&amp;""'!$D$4:$D$66"")=DA$2),$F$3:$BP$3,$F108:$BP108))),"""")"),"")</f>
        <v/>
      </c>
      <c r="DC108" s="251">
        <f>IFERROR(__xludf.DUMMYFUNCTION("AVERAGE(ARRAYFORMULA(XLOOKUP(FILTER(INDIRECT(""'""&amp;DC$1&amp;""'!$C$4:$C$66""),INDIRECT(""'""&amp;DC$1&amp;""'!$D$4:$D$66"")=DC$2),$F$3:$BP$3,$F108:$BP108)))"),-0.2222222222222222)</f>
        <v>-0.2222222222</v>
      </c>
      <c r="DD108" s="207" t="str">
        <f>IFERROR(__xludf.DUMMYFUNCTION("IF(OR(DC108&gt;$BR108+$BS108*$BS$2,DC108&lt;$BR108-$BS108*$BS$2),AVEDEV(ARRAYFORMULA(XLOOKUP(FILTER(INDIRECT(""'""&amp;DC$1&amp;""'!$C$4:$C$66""),INDIRECT(""'""&amp;DC$1&amp;""'!$D$4:$D$66"")=DC$2),$F$3:$BP$3,$F108:$BP108))),"""")"),"")</f>
        <v/>
      </c>
      <c r="DE108" s="251">
        <f>IFERROR(__xludf.DUMMYFUNCTION("AVERAGE(ARRAYFORMULA(XLOOKUP(FILTER(INDIRECT(""'""&amp;DE$1&amp;""'!$C$4:$C$66""),INDIRECT(""'""&amp;DE$1&amp;""'!$D$4:$D$66"")=DE$2),$F$3:$BP$3,$F108:$BP108)))"),-1.125)</f>
        <v>-1.125</v>
      </c>
      <c r="DF108" s="207">
        <f>IFERROR(__xludf.DUMMYFUNCTION("IF(OR(DE108&gt;$BR108+$BS108*$BS$2,DE108&lt;$BR108-$BS108*$BS$2),AVEDEV(ARRAYFORMULA(XLOOKUP(FILTER(INDIRECT(""'""&amp;DE$1&amp;""'!$C$4:$C$66""),INDIRECT(""'""&amp;DE$1&amp;""'!$D$4:$D$66"")=DE$2),$F$3:$BP$3,$F108:$BP108))),"""")"),1.1875)</f>
        <v>1.1875</v>
      </c>
      <c r="DG108" s="251">
        <f>IFERROR(__xludf.DUMMYFUNCTION("AVERAGE(ARRAYFORMULA(XLOOKUP(FILTER(INDIRECT(""'""&amp;DG$1&amp;""'!$C$4:$C$66""),INDIRECT(""'""&amp;DG$1&amp;""'!$D$4:$D$66"")=DG$2),$F$3:$BP$3,$F108:$BP108)))"),0.0)</f>
        <v>0</v>
      </c>
      <c r="DH108" s="207" t="str">
        <f>IFERROR(__xludf.DUMMYFUNCTION("IF(OR(DG108&gt;$BR108+$BS108*$BS$2,DG108&lt;$BR108-$BS108*$BS$2),AVEDEV(ARRAYFORMULA(XLOOKUP(FILTER(INDIRECT(""'""&amp;DG$1&amp;""'!$C$4:$C$66""),INDIRECT(""'""&amp;DG$1&amp;""'!$D$4:$D$66"")=DG$2),$F$3:$BP$3,$F108:$BP108))),"""")"),"")</f>
        <v/>
      </c>
      <c r="DI108" s="252"/>
    </row>
    <row r="109">
      <c r="A109" s="2"/>
      <c r="B109" s="204" t="s">
        <v>540</v>
      </c>
      <c r="C109" s="204" t="s">
        <v>552</v>
      </c>
      <c r="D109" s="205" t="b">
        <f>VLOOKUP(C109,'Feature Set List'!A106:C246,2,0)</f>
        <v>1</v>
      </c>
      <c r="E109" s="205" t="b">
        <f>VLOOKUP(C109,'Feature Set List'!A106:C246,3,0)</f>
        <v>1</v>
      </c>
      <c r="F109" s="205">
        <v>0.0</v>
      </c>
      <c r="G109" s="205">
        <v>0.0</v>
      </c>
      <c r="H109" s="205">
        <v>0.0</v>
      </c>
      <c r="I109" s="205">
        <v>0.0</v>
      </c>
      <c r="J109" s="205">
        <v>-1.0</v>
      </c>
      <c r="K109" s="205">
        <v>0.0</v>
      </c>
      <c r="L109" s="205">
        <v>-2.0</v>
      </c>
      <c r="M109" s="205">
        <v>0.0</v>
      </c>
      <c r="N109" s="205">
        <v>-1.0</v>
      </c>
      <c r="O109" s="205">
        <v>0.0</v>
      </c>
      <c r="P109" s="205">
        <v>-1.0</v>
      </c>
      <c r="Q109" s="205">
        <v>-1.0</v>
      </c>
      <c r="R109" s="205">
        <v>0.0</v>
      </c>
      <c r="S109" s="205">
        <v>-2.0</v>
      </c>
      <c r="T109" s="205">
        <v>-4.0</v>
      </c>
      <c r="U109" s="205">
        <v>-1.0</v>
      </c>
      <c r="V109" s="205">
        <v>0.0</v>
      </c>
      <c r="W109" s="205">
        <v>0.0</v>
      </c>
      <c r="X109" s="205">
        <v>0.0</v>
      </c>
      <c r="Y109" s="205">
        <v>0.0</v>
      </c>
      <c r="Z109" s="205">
        <v>0.0</v>
      </c>
      <c r="AA109" s="205">
        <v>0.0</v>
      </c>
      <c r="AB109" s="205">
        <v>0.0</v>
      </c>
      <c r="AC109" s="205">
        <v>0.0</v>
      </c>
      <c r="AD109" s="205">
        <v>0.0</v>
      </c>
      <c r="AE109" s="205">
        <v>0.0</v>
      </c>
      <c r="AF109" s="205">
        <v>0.0</v>
      </c>
      <c r="AG109" s="205">
        <v>0.0</v>
      </c>
      <c r="AH109" s="205">
        <v>0.0</v>
      </c>
      <c r="AI109" s="205">
        <v>-1.0</v>
      </c>
      <c r="AJ109" s="205">
        <v>-1.0</v>
      </c>
      <c r="AK109" s="205">
        <v>0.0</v>
      </c>
      <c r="AL109" s="205">
        <v>0.0</v>
      </c>
      <c r="AM109" s="205">
        <v>-1.0</v>
      </c>
      <c r="AN109" s="205">
        <v>-3.0</v>
      </c>
      <c r="AO109" s="205">
        <v>0.0</v>
      </c>
      <c r="AP109" s="205">
        <v>0.0</v>
      </c>
      <c r="AQ109" s="205">
        <v>-2.0</v>
      </c>
      <c r="AR109" s="205">
        <v>-2.0</v>
      </c>
      <c r="AS109" s="205">
        <v>-1.0</v>
      </c>
      <c r="AT109" s="205">
        <v>-1.0</v>
      </c>
      <c r="AU109" s="205">
        <v>0.0</v>
      </c>
      <c r="AV109" s="205">
        <v>0.0</v>
      </c>
      <c r="AW109" s="205">
        <v>-1.0</v>
      </c>
      <c r="AX109" s="205">
        <v>-3.0</v>
      </c>
      <c r="AY109" s="205">
        <v>0.0</v>
      </c>
      <c r="AZ109" s="205">
        <v>0.0</v>
      </c>
      <c r="BA109" s="205">
        <v>0.0</v>
      </c>
      <c r="BB109" s="205">
        <v>0.0</v>
      </c>
      <c r="BC109" s="205">
        <v>0.0</v>
      </c>
      <c r="BD109" s="205">
        <v>0.0</v>
      </c>
      <c r="BE109" s="205">
        <v>0.0</v>
      </c>
      <c r="BF109" s="205">
        <v>0.0</v>
      </c>
      <c r="BG109" s="205">
        <v>0.0</v>
      </c>
      <c r="BH109" s="205">
        <v>0.0</v>
      </c>
      <c r="BI109" s="205">
        <v>0.0</v>
      </c>
      <c r="BJ109" s="205">
        <v>-1.0</v>
      </c>
      <c r="BK109" s="205">
        <v>-1.0</v>
      </c>
      <c r="BL109" s="205">
        <v>0.0</v>
      </c>
      <c r="BM109" s="205">
        <v>0.0</v>
      </c>
      <c r="BN109" s="205">
        <v>0.0</v>
      </c>
      <c r="BO109" s="205">
        <v>0.0</v>
      </c>
      <c r="BP109" s="205">
        <v>0.0</v>
      </c>
      <c r="BQ109" s="206"/>
      <c r="BR109" s="250">
        <f t="shared" si="1"/>
        <v>-0.4920634921</v>
      </c>
      <c r="BS109" s="250">
        <f t="shared" si="2"/>
        <v>0.6717057193</v>
      </c>
      <c r="BT109" s="206"/>
      <c r="BU109" s="207">
        <f>IFERROR(__xludf.DUMMYFUNCTION("AVERAGE(ARRAYFORMULA(XLOOKUP(FILTER(INDIRECT(""'""&amp;BU$1&amp;""'!$C$4:$C$66""),INDIRECT(""'""&amp;BU$1&amp;""'!$D$4:$D$66"")=BU$2),$F$3:$BP$3,$F109:$BP109)))"),-1.5714285714285714)</f>
        <v>-1.571428571</v>
      </c>
      <c r="BV109" s="207">
        <f>IFERROR(__xludf.DUMMYFUNCTION("IF(OR(BU109&gt;$BR109+$BS109*$BS$2,BU109&lt;$BR109-$BS109*$BS$2),AVEDEV(ARRAYFORMULA(XLOOKUP(FILTER(INDIRECT(""'""&amp;BU$1&amp;""'!$C$4:$C$66""),INDIRECT(""'""&amp;BU$1&amp;""'!$D$4:$D$66"")=BU$2),$F$3:$BP$3,$F109:$BP109))),"""")"),1.510204081632653)</f>
        <v>1.510204082</v>
      </c>
      <c r="BW109" s="207">
        <f>IFERROR(__xludf.DUMMYFUNCTION("AVERAGE(ARRAYFORMULA(XLOOKUP(FILTER(INDIRECT(""'""&amp;BW$1&amp;""'!$C$4:$C$66""),INDIRECT(""'""&amp;BW$1&amp;""'!$D$4:$D$66"")=BW$2),$F$3:$BP$3,$F109:$BP109)))"),-0.35714285714285715)</f>
        <v>-0.3571428571</v>
      </c>
      <c r="BX109" s="207" t="str">
        <f>IFERROR(__xludf.DUMMYFUNCTION("IF(OR(BW109&gt;$BR109+$BS109*$BS$2,BW109&lt;$BR109-$BS109*$BS$2),AVEDEV(ARRAYFORMULA(XLOOKUP(FILTER(INDIRECT(""'""&amp;BW$1&amp;""'!$C$4:$C$66""),INDIRECT(""'""&amp;BW$1&amp;""'!$D$4:$D$66"")=BW$2),$F$3:$BP$3,$F109:$BP109))),"""")"),"")</f>
        <v/>
      </c>
      <c r="BY109" s="207">
        <f>IFERROR(__xludf.DUMMYFUNCTION("AVERAGE(ARRAYFORMULA(XLOOKUP(FILTER(INDIRECT(""'""&amp;BY$1&amp;""'!$C$4:$C$66""),INDIRECT(""'""&amp;BY$1&amp;""'!$D$4:$D$66"")=BY$2),$F$3:$BP$3,$F109:$BP109)))"),-0.36363636363636365)</f>
        <v>-0.3636363636</v>
      </c>
      <c r="BZ109" s="207" t="str">
        <f>IFERROR(__xludf.DUMMYFUNCTION("IF(OR(BY109&gt;$BR109+$BS109*$BS$2,BY109&lt;$BR109-$BS109*$BS$2),AVEDEV(ARRAYFORMULA(XLOOKUP(FILTER(INDIRECT(""'""&amp;BY$1&amp;""'!$C$4:$C$66""),INDIRECT(""'""&amp;BY$1&amp;""'!$D$4:$D$66"")=BY$2),$F$3:$BP$3,$F109:$BP109))),"""")"),"")</f>
        <v/>
      </c>
      <c r="CA109" s="209"/>
      <c r="CB109" s="207">
        <f>IFERROR(__xludf.DUMMYFUNCTION("AVERAGE(ARRAYFORMULA(XLOOKUP(FILTER(INDIRECT(""'""&amp;CB$1&amp;""'!$C$4:$C$66""),INDIRECT(""'""&amp;CB$1&amp;""'!$D$4:$D$66"")=CB$2),$F$3:$BP$3,$F109:$BP109)))"),-0.5)</f>
        <v>-0.5</v>
      </c>
      <c r="CC109" s="207" t="str">
        <f>IFERROR(__xludf.DUMMYFUNCTION("IF(OR(CB109&gt;$BR109+$BS109*$BS$2,CB109&lt;$BR109-$BS109*$BS$2),AVEDEV(ARRAYFORMULA(XLOOKUP(FILTER(INDIRECT(""'""&amp;CB$1&amp;""'!$C$4:$C$66""),INDIRECT(""'""&amp;CB$1&amp;""'!$D$4:$D$66"")=CB$2),$F$3:$BP$3,$F109:$BP109))),"""")"),"")</f>
        <v/>
      </c>
      <c r="CD109" s="207">
        <f>IFERROR(__xludf.DUMMYFUNCTION("AVERAGE(ARRAYFORMULA(XLOOKUP(FILTER(INDIRECT(""'""&amp;CD$1&amp;""'!$C$4:$C$66""),INDIRECT(""'""&amp;CD$1&amp;""'!$D$4:$D$66"")=CD$2),$F$3:$BP$3,$F109:$BP109)))"),-0.3548387096774194)</f>
        <v>-0.3548387097</v>
      </c>
      <c r="CE109" s="207" t="str">
        <f>IFERROR(__xludf.DUMMYFUNCTION("IF(OR(CD109&gt;$BR109+$BS109*$BS$2,CD109&lt;$BR109-$BS109*$BS$2),AVEDEV(ARRAYFORMULA(XLOOKUP(FILTER(INDIRECT(""'""&amp;CD$1&amp;""'!$C$4:$C$66""),INDIRECT(""'""&amp;CD$1&amp;""'!$D$4:$D$66"")=CD$2),$F$3:$BP$3,$F109:$BP109))),"""")"),"")</f>
        <v/>
      </c>
      <c r="CF109" s="207">
        <f>IFERROR(__xludf.DUMMYFUNCTION("AVERAGE(ARRAYFORMULA(XLOOKUP(FILTER(INDIRECT(""'""&amp;CF$1&amp;""'!$C$4:$C$66""),INDIRECT(""'""&amp;CF$1&amp;""'!$D$4:$D$66"")=CF$2),$F$3:$BP$3,$F109:$BP109)))"),-0.8)</f>
        <v>-0.8</v>
      </c>
      <c r="CG109" s="207" t="str">
        <f>IFERROR(__xludf.DUMMYFUNCTION("IF(OR(CF109&gt;$BR109+$BS109*$BS$2,CF109&lt;$BR109-$BS109*$BS$2),AVEDEV(ARRAYFORMULA(XLOOKUP(FILTER(INDIRECT(""'""&amp;CF$1&amp;""'!$C$4:$C$66""),INDIRECT(""'""&amp;CF$1&amp;""'!$D$4:$D$66"")=CF$2),$F$3:$BP$3,$F109:$BP109))),"""")"),"")</f>
        <v/>
      </c>
      <c r="CH109" s="206"/>
      <c r="CI109" s="251">
        <f>IFERROR(__xludf.DUMMYFUNCTION("AVERAGE(ARRAYFORMULA(XLOOKUP(FILTER(INDIRECT(""'""&amp;CI$1&amp;""'!$C$4:$C$66""),INDIRECT(""'""&amp;CI$1&amp;""'!$D$4:$D$66"")=CI$2),$F$3:$BP$3,$F109:$BP109)))"),-0.3333333333333333)</f>
        <v>-0.3333333333</v>
      </c>
      <c r="CJ109" s="207" t="str">
        <f>IFERROR(__xludf.DUMMYFUNCTION("IF(OR(CI109&gt;$BR109+$BS109*$BS$2,CI109&lt;$BR109-$BS109*$BS$2),AVEDEV(ARRAYFORMULA(XLOOKUP(FILTER(INDIRECT(""'""&amp;CI$1&amp;""'!$C$4:$C$66""),INDIRECT(""'""&amp;CI$1&amp;""'!$D$4:$D$66"")=CI$2),$F$3:$BP$3,$F109:$BP109))),"""")"),"")</f>
        <v/>
      </c>
      <c r="CK109" s="251">
        <f>IFERROR(__xludf.DUMMYFUNCTION("AVERAGE(ARRAYFORMULA(XLOOKUP(FILTER(INDIRECT(""'""&amp;CK$1&amp;""'!$C$4:$C$66""),INDIRECT(""'""&amp;CK$1&amp;""'!$D$4:$D$66"")=CK$2),$F$3:$BP$3,$F109:$BP109)))"),-0.5128205128205128)</f>
        <v>-0.5128205128</v>
      </c>
      <c r="CL109" s="207" t="str">
        <f>IFERROR(__xludf.DUMMYFUNCTION("IF(OR(CK109&gt;$BR109+$BS109*$BS$2,CK109&lt;$BR109-$BS109*$BS$2),AVEDEV(ARRAYFORMULA(XLOOKUP(FILTER(INDIRECT(""'""&amp;CK$1&amp;""'!$C$4:$C$66""),INDIRECT(""'""&amp;CK$1&amp;""'!$D$4:$D$66"")=CK$2),$F$3:$BP$3,$F109:$BP109))),"""")"),"")</f>
        <v/>
      </c>
      <c r="CM109" s="251">
        <f>IFERROR(__xludf.DUMMYFUNCTION("AVERAGE(ARRAYFORMULA(XLOOKUP(FILTER(INDIRECT(""'""&amp;CM$1&amp;""'!$C$4:$C$66""),INDIRECT(""'""&amp;CM$1&amp;""'!$D$4:$D$66"")=CM$2),$F$3:$BP$3,$F109:$BP109)))"),-0.8)</f>
        <v>-0.8</v>
      </c>
      <c r="CN109" s="207" t="str">
        <f>IFERROR(__xludf.DUMMYFUNCTION("IF(OR(CM109&gt;$BR109+$BS109*$BS$2,CM109&lt;$BR109-$BS109*$BS$2),AVEDEV(ARRAYFORMULA(XLOOKUP(FILTER(INDIRECT(""'""&amp;CM$1&amp;""'!$C$4:$C$66""),INDIRECT(""'""&amp;CM$1&amp;""'!$D$4:$D$66"")=CM$2),$F$3:$BP$3,$F109:$BP109))),"""")"),"")</f>
        <v/>
      </c>
      <c r="CO109" s="252"/>
      <c r="CP109" s="251">
        <f>IFERROR(__xludf.DUMMYFUNCTION("AVERAGE(ARRAYFORMULA(XLOOKUP(FILTER(INDIRECT(""'""&amp;CP$1&amp;""'!$C$4:$C$66""),INDIRECT(""'""&amp;CP$1&amp;""'!$D$4:$D$66"")=CP$2),$F$3:$BP$3,$F109:$BP109)))"),-0.21428571428571427)</f>
        <v>-0.2142857143</v>
      </c>
      <c r="CQ109" s="207" t="str">
        <f>IFERROR(__xludf.DUMMYFUNCTION("IF(OR(CP109&gt;$BR109+$BS109*$BS$2,CP109&lt;$BR109-$BS109*$BS$2),AVEDEV(ARRAYFORMULA(XLOOKUP(FILTER(INDIRECT(""'""&amp;CP$1&amp;""'!$C$4:$C$66""),INDIRECT(""'""&amp;CP$1&amp;""'!$D$4:$D$66"")=CP$2),$F$3:$BP$3,$F109:$BP109))),"""")"),"")</f>
        <v/>
      </c>
      <c r="CR109" s="251">
        <f>IFERROR(__xludf.DUMMYFUNCTION("AVERAGE(ARRAYFORMULA(XLOOKUP(FILTER(INDIRECT(""'""&amp;CR$1&amp;""'!$C$4:$C$66""),INDIRECT(""'""&amp;CR$1&amp;""'!$D$4:$D$66"")=CR$2),$F$3:$BP$3,$F109:$BP109)))"),-0.4444444444444444)</f>
        <v>-0.4444444444</v>
      </c>
      <c r="CS109" s="207" t="str">
        <f>IFERROR(__xludf.DUMMYFUNCTION("IF(OR(CR109&gt;$BR109+$BS109*$BS$2,CR109&lt;$BR109-$BS109*$BS$2),AVEDEV(ARRAYFORMULA(XLOOKUP(FILTER(INDIRECT(""'""&amp;CR$1&amp;""'!$C$4:$C$66""),INDIRECT(""'""&amp;CR$1&amp;""'!$D$4:$D$66"")=CR$2),$F$3:$BP$3,$F109:$BP109))),"""")"),"")</f>
        <v/>
      </c>
      <c r="CT109" s="251">
        <f>IFERROR(__xludf.DUMMYFUNCTION("AVERAGE(ARRAYFORMULA(XLOOKUP(FILTER(INDIRECT(""'""&amp;CT$1&amp;""'!$C$4:$C$66""),INDIRECT(""'""&amp;CT$1&amp;""'!$D$4:$D$66"")=CT$2),$F$3:$BP$3,$F109:$BP109)))"),-0.09090909090909091)</f>
        <v>-0.09090909091</v>
      </c>
      <c r="CU109" s="207" t="str">
        <f>IFERROR(__xludf.DUMMYFUNCTION("IF(OR(CT109&gt;$BR109+$BS109*$BS$2,CT109&lt;$BR109-$BS109*$BS$2),AVEDEV(ARRAYFORMULA(XLOOKUP(FILTER(INDIRECT(""'""&amp;CT$1&amp;""'!$C$4:$C$66""),INDIRECT(""'""&amp;CT$1&amp;""'!$D$4:$D$66"")=CT$2),$F$3:$BP$3,$F109:$BP109))),"""")"),"")</f>
        <v/>
      </c>
      <c r="CV109" s="251">
        <f>IFERROR(__xludf.DUMMYFUNCTION("AVERAGE(ARRAYFORMULA(XLOOKUP(FILTER(INDIRECT(""'""&amp;CV$1&amp;""'!$C$4:$C$66""),INDIRECT(""'""&amp;CV$1&amp;""'!$D$4:$D$66"")=CV$2),$F$3:$BP$3,$F109:$BP109)))"),0.0)</f>
        <v>0</v>
      </c>
      <c r="CW109" s="207" t="str">
        <f>IFERROR(__xludf.DUMMYFUNCTION("IF(OR(CV109&gt;$BR109+$BS109*$BS$2,CV109&lt;$BR109-$BS109*$BS$2),AVEDEV(ARRAYFORMULA(XLOOKUP(FILTER(INDIRECT(""'""&amp;CV$1&amp;""'!$C$4:$C$66""),INDIRECT(""'""&amp;CV$1&amp;""'!$D$4:$D$66"")=CV$2),$F$3:$BP$3,$F109:$BP109))),"""")"),"")</f>
        <v/>
      </c>
      <c r="CX109" s="251">
        <f>IFERROR(__xludf.DUMMYFUNCTION("AVERAGE(ARRAYFORMULA(XLOOKUP(FILTER(INDIRECT(""'""&amp;CX$1&amp;""'!$C$4:$C$66""),INDIRECT(""'""&amp;CX$1&amp;""'!$D$4:$D$66"")=CX$2),$F$3:$BP$3,$F109:$BP109)))"),-0.5714285714285714)</f>
        <v>-0.5714285714</v>
      </c>
      <c r="CY109" s="207" t="str">
        <f>IFERROR(__xludf.DUMMYFUNCTION("IF(OR(CX109&gt;$BR109+$BS109*$BS$2,CX109&lt;$BR109-$BS109*$BS$2),AVEDEV(ARRAYFORMULA(XLOOKUP(FILTER(INDIRECT(""'""&amp;CX$1&amp;""'!$C$4:$C$66""),INDIRECT(""'""&amp;CX$1&amp;""'!$D$4:$D$66"")=CX$2),$F$3:$BP$3,$F109:$BP109))),"""")"),"")</f>
        <v/>
      </c>
      <c r="CZ109" s="252"/>
      <c r="DA109" s="251">
        <f>IFERROR(__xludf.DUMMYFUNCTION("AVERAGE(ARRAYFORMULA(XLOOKUP(FILTER(INDIRECT(""'""&amp;DA$1&amp;""'!$C$4:$C$66""),INDIRECT(""'""&amp;DA$1&amp;""'!$D$4:$D$66"")=DA$2),$F$3:$BP$3,$F109:$BP109)))"),-0.26666666666666666)</f>
        <v>-0.2666666667</v>
      </c>
      <c r="DB109" s="207" t="str">
        <f>IFERROR(__xludf.DUMMYFUNCTION("IF(OR(DA109&gt;$BR109+$BS109*$BS$2,DA109&lt;$BR109-$BS109*$BS$2),AVEDEV(ARRAYFORMULA(XLOOKUP(FILTER(INDIRECT(""'""&amp;DA$1&amp;""'!$C$4:$C$66""),INDIRECT(""'""&amp;DA$1&amp;""'!$D$4:$D$66"")=DA$2),$F$3:$BP$3,$F109:$BP109))),"""")"),"")</f>
        <v/>
      </c>
      <c r="DC109" s="251">
        <f>IFERROR(__xludf.DUMMYFUNCTION("AVERAGE(ARRAYFORMULA(XLOOKUP(FILTER(INDIRECT(""'""&amp;DC$1&amp;""'!$C$4:$C$66""),INDIRECT(""'""&amp;DC$1&amp;""'!$D$4:$D$66"")=DC$2),$F$3:$BP$3,$F109:$BP109)))"),-0.4444444444444444)</f>
        <v>-0.4444444444</v>
      </c>
      <c r="DD109" s="207" t="str">
        <f>IFERROR(__xludf.DUMMYFUNCTION("IF(OR(DC109&gt;$BR109+$BS109*$BS$2,DC109&lt;$BR109-$BS109*$BS$2),AVEDEV(ARRAYFORMULA(XLOOKUP(FILTER(INDIRECT(""'""&amp;DC$1&amp;""'!$C$4:$C$66""),INDIRECT(""'""&amp;DC$1&amp;""'!$D$4:$D$66"")=DC$2),$F$3:$BP$3,$F109:$BP109))),"""")"),"")</f>
        <v/>
      </c>
      <c r="DE109" s="251">
        <f>IFERROR(__xludf.DUMMYFUNCTION("AVERAGE(ARRAYFORMULA(XLOOKUP(FILTER(INDIRECT(""'""&amp;DE$1&amp;""'!$C$4:$C$66""),INDIRECT(""'""&amp;DE$1&amp;""'!$D$4:$D$66"")=DE$2),$F$3:$BP$3,$F109:$BP109)))"),-1.25)</f>
        <v>-1.25</v>
      </c>
      <c r="DF109" s="207">
        <f>IFERROR(__xludf.DUMMYFUNCTION("IF(OR(DE109&gt;$BR109+$BS109*$BS$2,DE109&lt;$BR109-$BS109*$BS$2),AVEDEV(ARRAYFORMULA(XLOOKUP(FILTER(INDIRECT(""'""&amp;DE$1&amp;""'!$C$4:$C$66""),INDIRECT(""'""&amp;DE$1&amp;""'!$D$4:$D$66"")=DE$2),$F$3:$BP$3,$F109:$BP109))),"""")"),1.125)</f>
        <v>1.125</v>
      </c>
      <c r="DG109" s="251">
        <f>IFERROR(__xludf.DUMMYFUNCTION("AVERAGE(ARRAYFORMULA(XLOOKUP(FILTER(INDIRECT(""'""&amp;DG$1&amp;""'!$C$4:$C$66""),INDIRECT(""'""&amp;DG$1&amp;""'!$D$4:$D$66"")=DG$2),$F$3:$BP$3,$F109:$BP109)))"),-0.2222222222222222)</f>
        <v>-0.2222222222</v>
      </c>
      <c r="DH109" s="207" t="str">
        <f>IFERROR(__xludf.DUMMYFUNCTION("IF(OR(DG109&gt;$BR109+$BS109*$BS$2,DG109&lt;$BR109-$BS109*$BS$2),AVEDEV(ARRAYFORMULA(XLOOKUP(FILTER(INDIRECT(""'""&amp;DG$1&amp;""'!$C$4:$C$66""),INDIRECT(""'""&amp;DG$1&amp;""'!$D$4:$D$66"")=DG$2),$F$3:$BP$3,$F109:$BP109))),"""")"),"")</f>
        <v/>
      </c>
      <c r="DI109" s="252"/>
    </row>
    <row r="110">
      <c r="A110" s="2"/>
      <c r="B110" s="204" t="s">
        <v>540</v>
      </c>
      <c r="C110" s="204" t="s">
        <v>553</v>
      </c>
      <c r="D110" s="205" t="b">
        <f>VLOOKUP(C110,'Feature Set List'!A107:C246,2,0)</f>
        <v>1</v>
      </c>
      <c r="E110" s="205" t="b">
        <f>VLOOKUP(C110,'Feature Set List'!A107:C246,3,0)</f>
        <v>1</v>
      </c>
      <c r="F110" s="205">
        <v>0.0</v>
      </c>
      <c r="G110" s="205">
        <v>0.0</v>
      </c>
      <c r="H110" s="205">
        <v>0.0</v>
      </c>
      <c r="I110" s="205">
        <v>1.0</v>
      </c>
      <c r="J110" s="205">
        <v>1.0</v>
      </c>
      <c r="K110" s="205">
        <v>1.0</v>
      </c>
      <c r="L110" s="205">
        <v>1.0</v>
      </c>
      <c r="M110" s="205">
        <v>1.0</v>
      </c>
      <c r="N110" s="205">
        <v>1.0</v>
      </c>
      <c r="O110" s="205">
        <v>1.0</v>
      </c>
      <c r="P110" s="205">
        <v>1.0</v>
      </c>
      <c r="Q110" s="205">
        <v>1.0</v>
      </c>
      <c r="R110" s="205">
        <v>1.0</v>
      </c>
      <c r="S110" s="205">
        <v>0.0</v>
      </c>
      <c r="T110" s="205">
        <v>0.0</v>
      </c>
      <c r="U110" s="205">
        <v>0.0</v>
      </c>
      <c r="V110" s="205">
        <v>0.0</v>
      </c>
      <c r="W110" s="205">
        <v>1.0</v>
      </c>
      <c r="X110" s="205">
        <v>-1.0</v>
      </c>
      <c r="Y110" s="205">
        <v>-1.0</v>
      </c>
      <c r="Z110" s="205">
        <v>0.0</v>
      </c>
      <c r="AA110" s="205">
        <v>0.0</v>
      </c>
      <c r="AB110" s="205">
        <v>0.0</v>
      </c>
      <c r="AC110" s="205">
        <v>-1.0</v>
      </c>
      <c r="AD110" s="205">
        <v>0.0</v>
      </c>
      <c r="AE110" s="205">
        <v>0.0</v>
      </c>
      <c r="AF110" s="205">
        <v>-1.0</v>
      </c>
      <c r="AG110" s="205">
        <v>0.0</v>
      </c>
      <c r="AH110" s="205">
        <v>1.0</v>
      </c>
      <c r="AI110" s="205">
        <v>0.0</v>
      </c>
      <c r="AJ110" s="205">
        <v>0.0</v>
      </c>
      <c r="AK110" s="205">
        <v>0.0</v>
      </c>
      <c r="AL110" s="205">
        <v>-1.0</v>
      </c>
      <c r="AM110" s="205">
        <v>-1.0</v>
      </c>
      <c r="AN110" s="205">
        <v>0.0</v>
      </c>
      <c r="AO110" s="205">
        <v>-1.0</v>
      </c>
      <c r="AP110" s="205">
        <v>-1.0</v>
      </c>
      <c r="AQ110" s="205">
        <v>0.0</v>
      </c>
      <c r="AR110" s="205">
        <v>1.0</v>
      </c>
      <c r="AS110" s="205">
        <v>0.0</v>
      </c>
      <c r="AT110" s="205">
        <v>0.0</v>
      </c>
      <c r="AU110" s="205">
        <v>0.0</v>
      </c>
      <c r="AV110" s="205">
        <v>0.0</v>
      </c>
      <c r="AW110" s="205">
        <v>0.0</v>
      </c>
      <c r="AX110" s="205">
        <v>0.0</v>
      </c>
      <c r="AY110" s="205">
        <v>0.0</v>
      </c>
      <c r="AZ110" s="205">
        <v>1.0</v>
      </c>
      <c r="BA110" s="205">
        <v>1.0</v>
      </c>
      <c r="BB110" s="205">
        <v>1.0</v>
      </c>
      <c r="BC110" s="205">
        <v>-1.0</v>
      </c>
      <c r="BD110" s="205">
        <v>-1.0</v>
      </c>
      <c r="BE110" s="205">
        <v>0.0</v>
      </c>
      <c r="BF110" s="205">
        <v>0.0</v>
      </c>
      <c r="BG110" s="205">
        <v>-1.0</v>
      </c>
      <c r="BH110" s="205">
        <v>0.0</v>
      </c>
      <c r="BI110" s="205">
        <v>0.0</v>
      </c>
      <c r="BJ110" s="205">
        <v>1.0</v>
      </c>
      <c r="BK110" s="205">
        <v>0.0</v>
      </c>
      <c r="BL110" s="205">
        <v>0.0</v>
      </c>
      <c r="BM110" s="205">
        <v>-1.0</v>
      </c>
      <c r="BN110" s="205">
        <v>0.0</v>
      </c>
      <c r="BO110" s="205">
        <v>-1.0</v>
      </c>
      <c r="BP110" s="205">
        <v>0.0</v>
      </c>
      <c r="BQ110" s="206"/>
      <c r="BR110" s="250">
        <f t="shared" si="1"/>
        <v>0.06349206349</v>
      </c>
      <c r="BS110" s="250">
        <f t="shared" si="2"/>
        <v>0.5054169816</v>
      </c>
      <c r="BT110" s="206"/>
      <c r="BU110" s="207">
        <f>IFERROR(__xludf.DUMMYFUNCTION("AVERAGE(ARRAYFORMULA(XLOOKUP(FILTER(INDIRECT(""'""&amp;BU$1&amp;""'!$C$4:$C$66""),INDIRECT(""'""&amp;BU$1&amp;""'!$D$4:$D$66"")=BU$2),$F$3:$BP$3,$F110:$BP110)))"),0.14285714285714285)</f>
        <v>0.1428571429</v>
      </c>
      <c r="BV110" s="207" t="str">
        <f>IFERROR(__xludf.DUMMYFUNCTION("IF(OR(BU110&gt;$BR110+$BS110*$BS$2,BU110&lt;$BR110-$BS110*$BS$2),AVEDEV(ARRAYFORMULA(XLOOKUP(FILTER(INDIRECT(""'""&amp;BU$1&amp;""'!$C$4:$C$66""),INDIRECT(""'""&amp;BU$1&amp;""'!$D$4:$D$66"")=BU$2),$F$3:$BP$3,$F110:$BP110))),"""")"),"")</f>
        <v/>
      </c>
      <c r="BW110" s="207">
        <f>IFERROR(__xludf.DUMMYFUNCTION("AVERAGE(ARRAYFORMULA(XLOOKUP(FILTER(INDIRECT(""'""&amp;BW$1&amp;""'!$C$4:$C$66""),INDIRECT(""'""&amp;BW$1&amp;""'!$D$4:$D$66"")=BW$2),$F$3:$BP$3,$F110:$BP110)))"),0.023809523809523808)</f>
        <v>0.02380952381</v>
      </c>
      <c r="BX110" s="207" t="str">
        <f>IFERROR(__xludf.DUMMYFUNCTION("IF(OR(BW110&gt;$BR110+$BS110*$BS$2,BW110&lt;$BR110-$BS110*$BS$2),AVEDEV(ARRAYFORMULA(XLOOKUP(FILTER(INDIRECT(""'""&amp;BW$1&amp;""'!$C$4:$C$66""),INDIRECT(""'""&amp;BW$1&amp;""'!$D$4:$D$66"")=BW$2),$F$3:$BP$3,$F110:$BP110))),"""")"),"")</f>
        <v/>
      </c>
      <c r="BY110" s="207">
        <f>IFERROR(__xludf.DUMMYFUNCTION("AVERAGE(ARRAYFORMULA(XLOOKUP(FILTER(INDIRECT(""'""&amp;BY$1&amp;""'!$C$4:$C$66""),INDIRECT(""'""&amp;BY$1&amp;""'!$D$4:$D$66"")=BY$2),$F$3:$BP$3,$F110:$BP110)))"),0.2727272727272727)</f>
        <v>0.2727272727</v>
      </c>
      <c r="BZ110" s="207" t="str">
        <f>IFERROR(__xludf.DUMMYFUNCTION("IF(OR(BY110&gt;$BR110+$BS110*$BS$2,BY110&lt;$BR110-$BS110*$BS$2),AVEDEV(ARRAYFORMULA(XLOOKUP(FILTER(INDIRECT(""'""&amp;BY$1&amp;""'!$C$4:$C$66""),INDIRECT(""'""&amp;BY$1&amp;""'!$D$4:$D$66"")=BY$2),$F$3:$BP$3,$F110:$BP110))),"""")"),"")</f>
        <v/>
      </c>
      <c r="CA110" s="209"/>
      <c r="CB110" s="207">
        <f>IFERROR(__xludf.DUMMYFUNCTION("AVERAGE(ARRAYFORMULA(XLOOKUP(FILTER(INDIRECT(""'""&amp;CB$1&amp;""'!$C$4:$C$66""),INDIRECT(""'""&amp;CB$1&amp;""'!$D$4:$D$66"")=CB$2),$F$3:$BP$3,$F110:$BP110)))"),0.125)</f>
        <v>0.125</v>
      </c>
      <c r="CC110" s="207" t="str">
        <f>IFERROR(__xludf.DUMMYFUNCTION("IF(OR(CB110&gt;$BR110+$BS110*$BS$2,CB110&lt;$BR110-$BS110*$BS$2),AVEDEV(ARRAYFORMULA(XLOOKUP(FILTER(INDIRECT(""'""&amp;CB$1&amp;""'!$C$4:$C$66""),INDIRECT(""'""&amp;CB$1&amp;""'!$D$4:$D$66"")=CB$2),$F$3:$BP$3,$F110:$BP110))),"""")"),"")</f>
        <v/>
      </c>
      <c r="CD110" s="207">
        <f>IFERROR(__xludf.DUMMYFUNCTION("AVERAGE(ARRAYFORMULA(XLOOKUP(FILTER(INDIRECT(""'""&amp;CD$1&amp;""'!$C$4:$C$66""),INDIRECT(""'""&amp;CD$1&amp;""'!$D$4:$D$66"")=CD$2),$F$3:$BP$3,$F110:$BP110)))"),-0.03225806451612903)</f>
        <v>-0.03225806452</v>
      </c>
      <c r="CE110" s="207" t="str">
        <f>IFERROR(__xludf.DUMMYFUNCTION("IF(OR(CD110&gt;$BR110+$BS110*$BS$2,CD110&lt;$BR110-$BS110*$BS$2),AVEDEV(ARRAYFORMULA(XLOOKUP(FILTER(INDIRECT(""'""&amp;CD$1&amp;""'!$C$4:$C$66""),INDIRECT(""'""&amp;CD$1&amp;""'!$D$4:$D$66"")=CD$2),$F$3:$BP$3,$F110:$BP110))),"""")"),"")</f>
        <v/>
      </c>
      <c r="CF110" s="207">
        <f>IFERROR(__xludf.DUMMYFUNCTION("AVERAGE(ARRAYFORMULA(XLOOKUP(FILTER(INDIRECT(""'""&amp;CF$1&amp;""'!$C$4:$C$66""),INDIRECT(""'""&amp;CF$1&amp;""'!$D$4:$D$66"")=CF$2),$F$3:$BP$3,$F110:$BP110)))"),0.6)</f>
        <v>0.6</v>
      </c>
      <c r="CG110" s="207">
        <f>IFERROR(__xludf.DUMMYFUNCTION("IF(OR(CF110&gt;$BR110+$BS110*$BS$2,CF110&lt;$BR110-$BS110*$BS$2),AVEDEV(ARRAYFORMULA(XLOOKUP(FILTER(INDIRECT(""'""&amp;CF$1&amp;""'!$C$4:$C$66""),INDIRECT(""'""&amp;CF$1&amp;""'!$D$4:$D$66"")=CF$2),$F$3:$BP$3,$F110:$BP110))),"""")"),0.4800000000000001)</f>
        <v>0.48</v>
      </c>
      <c r="CH110" s="206"/>
      <c r="CI110" s="251">
        <f>IFERROR(__xludf.DUMMYFUNCTION("AVERAGE(ARRAYFORMULA(XLOOKUP(FILTER(INDIRECT(""'""&amp;CI$1&amp;""'!$C$4:$C$66""),INDIRECT(""'""&amp;CI$1&amp;""'!$D$4:$D$66"")=CI$2),$F$3:$BP$3,$F110:$BP110)))"),0.06666666666666667)</f>
        <v>0.06666666667</v>
      </c>
      <c r="CJ110" s="207" t="str">
        <f>IFERROR(__xludf.DUMMYFUNCTION("IF(OR(CI110&gt;$BR110+$BS110*$BS$2,CI110&lt;$BR110-$BS110*$BS$2),AVEDEV(ARRAYFORMULA(XLOOKUP(FILTER(INDIRECT(""'""&amp;CI$1&amp;""'!$C$4:$C$66""),INDIRECT(""'""&amp;CI$1&amp;""'!$D$4:$D$66"")=CI$2),$F$3:$BP$3,$F110:$BP110))),"""")"),"")</f>
        <v/>
      </c>
      <c r="CK110" s="251">
        <f>IFERROR(__xludf.DUMMYFUNCTION("AVERAGE(ARRAYFORMULA(XLOOKUP(FILTER(INDIRECT(""'""&amp;CK$1&amp;""'!$C$4:$C$66""),INDIRECT(""'""&amp;CK$1&amp;""'!$D$4:$D$66"")=CK$2),$F$3:$BP$3,$F110:$BP110)))"),0.02564102564102564)</f>
        <v>0.02564102564</v>
      </c>
      <c r="CL110" s="207" t="str">
        <f>IFERROR(__xludf.DUMMYFUNCTION("IF(OR(CK110&gt;$BR110+$BS110*$BS$2,CK110&lt;$BR110-$BS110*$BS$2),AVEDEV(ARRAYFORMULA(XLOOKUP(FILTER(INDIRECT(""'""&amp;CK$1&amp;""'!$C$4:$C$66""),INDIRECT(""'""&amp;CK$1&amp;""'!$D$4:$D$66"")=CK$2),$F$3:$BP$3,$F110:$BP110))),"""")"),"")</f>
        <v/>
      </c>
      <c r="CM110" s="251">
        <f>IFERROR(__xludf.DUMMYFUNCTION("AVERAGE(ARRAYFORMULA(XLOOKUP(FILTER(INDIRECT(""'""&amp;CM$1&amp;""'!$C$4:$C$66""),INDIRECT(""'""&amp;CM$1&amp;""'!$D$4:$D$66"")=CM$2),$F$3:$BP$3,$F110:$BP110)))"),0.6)</f>
        <v>0.6</v>
      </c>
      <c r="CN110" s="207">
        <f>IFERROR(__xludf.DUMMYFUNCTION("IF(OR(CM110&gt;$BR110+$BS110*$BS$2,CM110&lt;$BR110-$BS110*$BS$2),AVEDEV(ARRAYFORMULA(XLOOKUP(FILTER(INDIRECT(""'""&amp;CM$1&amp;""'!$C$4:$C$66""),INDIRECT(""'""&amp;CM$1&amp;""'!$D$4:$D$66"")=CM$2),$F$3:$BP$3,$F110:$BP110))),"""")"),0.4800000000000001)</f>
        <v>0.48</v>
      </c>
      <c r="CO110" s="252"/>
      <c r="CP110" s="251">
        <f>IFERROR(__xludf.DUMMYFUNCTION("AVERAGE(ARRAYFORMULA(XLOOKUP(FILTER(INDIRECT(""'""&amp;CP$1&amp;""'!$C$4:$C$66""),INDIRECT(""'""&amp;CP$1&amp;""'!$D$4:$D$66"")=CP$2),$F$3:$BP$3,$F110:$BP110)))"),0.07142857142857142)</f>
        <v>0.07142857143</v>
      </c>
      <c r="CQ110" s="207" t="str">
        <f>IFERROR(__xludf.DUMMYFUNCTION("IF(OR(CP110&gt;$BR110+$BS110*$BS$2,CP110&lt;$BR110-$BS110*$BS$2),AVEDEV(ARRAYFORMULA(XLOOKUP(FILTER(INDIRECT(""'""&amp;CP$1&amp;""'!$C$4:$C$66""),INDIRECT(""'""&amp;CP$1&amp;""'!$D$4:$D$66"")=CP$2),$F$3:$BP$3,$F110:$BP110))),"""")"),"")</f>
        <v/>
      </c>
      <c r="CR110" s="251">
        <f>IFERROR(__xludf.DUMMYFUNCTION("AVERAGE(ARRAYFORMULA(XLOOKUP(FILTER(INDIRECT(""'""&amp;CR$1&amp;""'!$C$4:$C$66""),INDIRECT(""'""&amp;CR$1&amp;""'!$D$4:$D$66"")=CR$2),$F$3:$BP$3,$F110:$BP110)))"),0.3333333333333333)</f>
        <v>0.3333333333</v>
      </c>
      <c r="CS110" s="207" t="str">
        <f>IFERROR(__xludf.DUMMYFUNCTION("IF(OR(CR110&gt;$BR110+$BS110*$BS$2,CR110&lt;$BR110-$BS110*$BS$2),AVEDEV(ARRAYFORMULA(XLOOKUP(FILTER(INDIRECT(""'""&amp;CR$1&amp;""'!$C$4:$C$66""),INDIRECT(""'""&amp;CR$1&amp;""'!$D$4:$D$66"")=CR$2),$F$3:$BP$3,$F110:$BP110))),"""")"),"")</f>
        <v/>
      </c>
      <c r="CT110" s="251">
        <f>IFERROR(__xludf.DUMMYFUNCTION("AVERAGE(ARRAYFORMULA(XLOOKUP(FILTER(INDIRECT(""'""&amp;CT$1&amp;""'!$C$4:$C$66""),INDIRECT(""'""&amp;CT$1&amp;""'!$D$4:$D$66"")=CT$2),$F$3:$BP$3,$F110:$BP110)))"),0.0)</f>
        <v>0</v>
      </c>
      <c r="CU110" s="207" t="str">
        <f>IFERROR(__xludf.DUMMYFUNCTION("IF(OR(CT110&gt;$BR110+$BS110*$BS$2,CT110&lt;$BR110-$BS110*$BS$2),AVEDEV(ARRAYFORMULA(XLOOKUP(FILTER(INDIRECT(""'""&amp;CT$1&amp;""'!$C$4:$C$66""),INDIRECT(""'""&amp;CT$1&amp;""'!$D$4:$D$66"")=CT$2),$F$3:$BP$3,$F110:$BP110))),"""")"),"")</f>
        <v/>
      </c>
      <c r="CV110" s="251">
        <f>IFERROR(__xludf.DUMMYFUNCTION("AVERAGE(ARRAYFORMULA(XLOOKUP(FILTER(INDIRECT(""'""&amp;CV$1&amp;""'!$C$4:$C$66""),INDIRECT(""'""&amp;CV$1&amp;""'!$D$4:$D$66"")=CV$2),$F$3:$BP$3,$F110:$BP110)))"),-1.0)</f>
        <v>-1</v>
      </c>
      <c r="CW110" s="207">
        <f>IFERROR(__xludf.DUMMYFUNCTION("IF(OR(CV110&gt;$BR110+$BS110*$BS$2,CV110&lt;$BR110-$BS110*$BS$2),AVEDEV(ARRAYFORMULA(XLOOKUP(FILTER(INDIRECT(""'""&amp;CV$1&amp;""'!$C$4:$C$66""),INDIRECT(""'""&amp;CV$1&amp;""'!$D$4:$D$66"")=CV$2),$F$3:$BP$3,$F110:$BP110))),"""")"),0.0)</f>
        <v>0</v>
      </c>
      <c r="CX110" s="251">
        <f>IFERROR(__xludf.DUMMYFUNCTION("AVERAGE(ARRAYFORMULA(XLOOKUP(FILTER(INDIRECT(""'""&amp;CX$1&amp;""'!$C$4:$C$66""),INDIRECT(""'""&amp;CX$1&amp;""'!$D$4:$D$66"")=CX$2),$F$3:$BP$3,$F110:$BP110)))"),0.0)</f>
        <v>0</v>
      </c>
      <c r="CY110" s="207" t="str">
        <f>IFERROR(__xludf.DUMMYFUNCTION("IF(OR(CX110&gt;$BR110+$BS110*$BS$2,CX110&lt;$BR110-$BS110*$BS$2),AVEDEV(ARRAYFORMULA(XLOOKUP(FILTER(INDIRECT(""'""&amp;CX$1&amp;""'!$C$4:$C$66""),INDIRECT(""'""&amp;CX$1&amp;""'!$D$4:$D$66"")=CX$2),$F$3:$BP$3,$F110:$BP110))),"""")"),"")</f>
        <v/>
      </c>
      <c r="CZ110" s="252"/>
      <c r="DA110" s="251">
        <f>IFERROR(__xludf.DUMMYFUNCTION("AVERAGE(ARRAYFORMULA(XLOOKUP(FILTER(INDIRECT(""'""&amp;DA$1&amp;""'!$C$4:$C$66""),INDIRECT(""'""&amp;DA$1&amp;""'!$D$4:$D$66"")=DA$2),$F$3:$BP$3,$F110:$BP110)))"),0.03333333333333333)</f>
        <v>0.03333333333</v>
      </c>
      <c r="DB110" s="207" t="str">
        <f>IFERROR(__xludf.DUMMYFUNCTION("IF(OR(DA110&gt;$BR110+$BS110*$BS$2,DA110&lt;$BR110-$BS110*$BS$2),AVEDEV(ARRAYFORMULA(XLOOKUP(FILTER(INDIRECT(""'""&amp;DA$1&amp;""'!$C$4:$C$66""),INDIRECT(""'""&amp;DA$1&amp;""'!$D$4:$D$66"")=DA$2),$F$3:$BP$3,$F110:$BP110))),"""")"),"")</f>
        <v/>
      </c>
      <c r="DC110" s="251">
        <f>IFERROR(__xludf.DUMMYFUNCTION("AVERAGE(ARRAYFORMULA(XLOOKUP(FILTER(INDIRECT(""'""&amp;DC$1&amp;""'!$C$4:$C$66""),INDIRECT(""'""&amp;DC$1&amp;""'!$D$4:$D$66"")=DC$2),$F$3:$BP$3,$F110:$BP110)))"),0.4444444444444444)</f>
        <v>0.4444444444</v>
      </c>
      <c r="DD110" s="207" t="str">
        <f>IFERROR(__xludf.DUMMYFUNCTION("IF(OR(DC110&gt;$BR110+$BS110*$BS$2,DC110&lt;$BR110-$BS110*$BS$2),AVEDEV(ARRAYFORMULA(XLOOKUP(FILTER(INDIRECT(""'""&amp;DC$1&amp;""'!$C$4:$C$66""),INDIRECT(""'""&amp;DC$1&amp;""'!$D$4:$D$66"")=DC$2),$F$3:$BP$3,$F110:$BP110))),"""")"),"")</f>
        <v/>
      </c>
      <c r="DE110" s="251">
        <f>IFERROR(__xludf.DUMMYFUNCTION("AVERAGE(ARRAYFORMULA(XLOOKUP(FILTER(INDIRECT(""'""&amp;DE$1&amp;""'!$C$4:$C$66""),INDIRECT(""'""&amp;DE$1&amp;""'!$D$4:$D$66"")=DE$2),$F$3:$BP$3,$F110:$BP110)))"),0.375)</f>
        <v>0.375</v>
      </c>
      <c r="DF110" s="207" t="str">
        <f>IFERROR(__xludf.DUMMYFUNCTION("IF(OR(DE110&gt;$BR110+$BS110*$BS$2,DE110&lt;$BR110-$BS110*$BS$2),AVEDEV(ARRAYFORMULA(XLOOKUP(FILTER(INDIRECT(""'""&amp;DE$1&amp;""'!$C$4:$C$66""),INDIRECT(""'""&amp;DE$1&amp;""'!$D$4:$D$66"")=DE$2),$F$3:$BP$3,$F110:$BP110))),"""")"),"")</f>
        <v/>
      </c>
      <c r="DG110" s="251">
        <f>IFERROR(__xludf.DUMMYFUNCTION("AVERAGE(ARRAYFORMULA(XLOOKUP(FILTER(INDIRECT(""'""&amp;DG$1&amp;""'!$C$4:$C$66""),INDIRECT(""'""&amp;DG$1&amp;""'!$D$4:$D$66"")=DG$2),$F$3:$BP$3,$F110:$BP110)))"),-0.4444444444444444)</f>
        <v>-0.4444444444</v>
      </c>
      <c r="DH110" s="207">
        <f>IFERROR(__xludf.DUMMYFUNCTION("IF(OR(DG110&gt;$BR110+$BS110*$BS$2,DG110&lt;$BR110-$BS110*$BS$2),AVEDEV(ARRAYFORMULA(XLOOKUP(FILTER(INDIRECT(""'""&amp;DG$1&amp;""'!$C$4:$C$66""),INDIRECT(""'""&amp;DG$1&amp;""'!$D$4:$D$66"")=DG$2),$F$3:$BP$3,$F110:$BP110))),"""")"),0.6172839506172839)</f>
        <v>0.6172839506</v>
      </c>
      <c r="DI110" s="252"/>
    </row>
    <row r="111">
      <c r="A111" s="2"/>
      <c r="B111" s="204" t="s">
        <v>540</v>
      </c>
      <c r="C111" s="204" t="s">
        <v>554</v>
      </c>
      <c r="D111" s="205" t="b">
        <f>VLOOKUP(C111,'Feature Set List'!A108:C246,2,0)</f>
        <v>1</v>
      </c>
      <c r="E111" s="205" t="b">
        <f>VLOOKUP(C111,'Feature Set List'!A108:C246,3,0)</f>
        <v>1</v>
      </c>
      <c r="F111" s="205">
        <v>0.43879361</v>
      </c>
      <c r="G111" s="205">
        <v>0.12832643</v>
      </c>
      <c r="H111" s="205">
        <v>1.07037256</v>
      </c>
      <c r="I111" s="205">
        <v>-0.6664695</v>
      </c>
      <c r="J111" s="205">
        <v>-0.1655825</v>
      </c>
      <c r="K111" s="205">
        <v>0.21348315</v>
      </c>
      <c r="L111" s="205">
        <v>-0.5996452</v>
      </c>
      <c r="M111" s="205">
        <v>-0.0479007</v>
      </c>
      <c r="N111" s="205">
        <v>0.16913069</v>
      </c>
      <c r="O111" s="205">
        <v>0.35304554</v>
      </c>
      <c r="P111" s="205">
        <v>-0.8187463</v>
      </c>
      <c r="Q111" s="205">
        <v>0.16351271</v>
      </c>
      <c r="R111" s="205">
        <v>0.37049083</v>
      </c>
      <c r="S111" s="205">
        <v>0.0</v>
      </c>
      <c r="T111" s="205">
        <v>0.88409225</v>
      </c>
      <c r="U111" s="205">
        <v>-1.1948551</v>
      </c>
      <c r="V111" s="205">
        <v>0.41691307</v>
      </c>
      <c r="W111" s="205">
        <v>-0.5943229</v>
      </c>
      <c r="X111" s="205">
        <v>0.43435837</v>
      </c>
      <c r="Y111" s="205">
        <v>-1.4382614</v>
      </c>
      <c r="Z111" s="205">
        <v>-0.2060911</v>
      </c>
      <c r="AA111" s="205">
        <v>1.02927262</v>
      </c>
      <c r="AB111" s="205">
        <v>0.39000591</v>
      </c>
      <c r="AC111" s="205">
        <v>-1.2879066</v>
      </c>
      <c r="AD111" s="205">
        <v>-0.614725</v>
      </c>
      <c r="AE111" s="205">
        <v>-0.1774098</v>
      </c>
      <c r="AF111" s="205">
        <v>-1.4036665</v>
      </c>
      <c r="AG111" s="205">
        <v>0.11709048</v>
      </c>
      <c r="AH111" s="205">
        <v>-0.1505027</v>
      </c>
      <c r="AI111" s="205">
        <v>1.25221762</v>
      </c>
      <c r="AJ111" s="205">
        <v>-1.0487877</v>
      </c>
      <c r="AK111" s="205">
        <v>-0.0697812</v>
      </c>
      <c r="AL111" s="205">
        <v>0.66321703</v>
      </c>
      <c r="AM111" s="205">
        <v>0.05174453</v>
      </c>
      <c r="AN111" s="205">
        <v>0.8397398</v>
      </c>
      <c r="AO111" s="205">
        <v>-1.2905973</v>
      </c>
      <c r="AP111" s="205">
        <v>-1.2224423</v>
      </c>
      <c r="AQ111" s="205">
        <v>-1.2548788</v>
      </c>
      <c r="AR111" s="205">
        <v>0.3187463</v>
      </c>
      <c r="AS111" s="205">
        <v>0.24778238</v>
      </c>
      <c r="AT111" s="205">
        <v>-0.9062685</v>
      </c>
      <c r="AU111" s="205">
        <v>0.87344766</v>
      </c>
      <c r="AV111" s="205">
        <v>-0.2918391</v>
      </c>
      <c r="AW111" s="205">
        <v>-1.096984</v>
      </c>
      <c r="AX111" s="205">
        <v>0.3746304</v>
      </c>
      <c r="AY111" s="205">
        <v>0.55322295</v>
      </c>
      <c r="AZ111" s="205">
        <v>0.19810763</v>
      </c>
      <c r="BA111" s="205">
        <v>-0.1635127</v>
      </c>
      <c r="BB111" s="205">
        <v>-0.1428149</v>
      </c>
      <c r="BC111" s="205">
        <v>0.62418687</v>
      </c>
      <c r="BD111" s="205">
        <v>0.7909521</v>
      </c>
      <c r="BE111" s="205">
        <v>0.12773507</v>
      </c>
      <c r="BF111" s="205">
        <v>0.76788882</v>
      </c>
      <c r="BG111" s="205">
        <v>-1.3306919</v>
      </c>
      <c r="BH111" s="205">
        <v>-0.4908338</v>
      </c>
      <c r="BI111" s="205">
        <v>0.36073329</v>
      </c>
      <c r="BJ111" s="205">
        <v>-0.5079834</v>
      </c>
      <c r="BK111" s="205">
        <v>0.94382022</v>
      </c>
      <c r="BL111" s="205">
        <v>-0.2099349</v>
      </c>
      <c r="BM111" s="205">
        <v>-0.2534004</v>
      </c>
      <c r="BN111" s="205">
        <v>0.578356</v>
      </c>
      <c r="BO111" s="205">
        <v>-0.1933767</v>
      </c>
      <c r="BP111" s="205">
        <v>-0.5987581</v>
      </c>
      <c r="BQ111" s="206"/>
      <c r="BR111" s="250">
        <f t="shared" si="1"/>
        <v>-0.07450085889</v>
      </c>
      <c r="BS111" s="250">
        <f t="shared" si="2"/>
        <v>0.5765321966</v>
      </c>
      <c r="BT111" s="206"/>
      <c r="BU111" s="207">
        <f>IFERROR(__xludf.DUMMYFUNCTION("AVERAGE(ARRAYFORMULA(XLOOKUP(FILTER(INDIRECT(""'""&amp;BU$1&amp;""'!$C$4:$C$66""),INDIRECT(""'""&amp;BU$1&amp;""'!$D$4:$D$66"")=BU$2),$F$3:$BP$3,$F111:$BP111)))"),0.43934273857142864)</f>
        <v>0.4393427386</v>
      </c>
      <c r="BV111" s="207" t="str">
        <f>IFERROR(__xludf.DUMMYFUNCTION("IF(OR(BU111&gt;$BR111+$BS111*$BS$2,BU111&lt;$BR111-$BS111*$BS$2),AVEDEV(ARRAYFORMULA(XLOOKUP(FILTER(INDIRECT(""'""&amp;BU$1&amp;""'!$C$4:$C$66""),INDIRECT(""'""&amp;BU$1&amp;""'!$D$4:$D$66"")=BU$2),$F$3:$BP$3,$F111:$BP111))),"""")"),"")</f>
        <v/>
      </c>
      <c r="BW111" s="207">
        <f>IFERROR(__xludf.DUMMYFUNCTION("AVERAGE(ARRAYFORMULA(XLOOKUP(FILTER(INDIRECT(""'""&amp;BW$1&amp;""'!$C$4:$C$66""),INDIRECT(""'""&amp;BW$1&amp;""'!$D$4:$D$66"")=BW$2),$F$3:$BP$3,$F111:$BP111)))"),-0.24233758642857145)</f>
        <v>-0.2423375864</v>
      </c>
      <c r="BX111" s="207" t="str">
        <f>IFERROR(__xludf.DUMMYFUNCTION("IF(OR(BW111&gt;$BR111+$BS111*$BS$2,BW111&lt;$BR111-$BS111*$BS$2),AVEDEV(ARRAYFORMULA(XLOOKUP(FILTER(INDIRECT(""'""&amp;BW$1&amp;""'!$C$4:$C$66""),INDIRECT(""'""&amp;BW$1&amp;""'!$D$4:$D$66"")=BW$2),$F$3:$BP$3,$F111:$BP111))),"""")"),"")</f>
        <v/>
      </c>
      <c r="BY111" s="207">
        <f>IFERROR(__xludf.DUMMYFUNCTION("AVERAGE(ARRAYFORMULA(XLOOKUP(FILTER(INDIRECT(""'""&amp;BY$1&amp;""'!$C$4:$C$66""),INDIRECT(""'""&amp;BY$1&amp;""'!$D$4:$D$66"")=BY$2),$F$3:$BP$3,$F111:$BP111)))"),0.14735767454545454)</f>
        <v>0.1473576745</v>
      </c>
      <c r="BZ111" s="207" t="str">
        <f>IFERROR(__xludf.DUMMYFUNCTION("IF(OR(BY111&gt;$BR111+$BS111*$BS$2,BY111&lt;$BR111-$BS111*$BS$2),AVEDEV(ARRAYFORMULA(XLOOKUP(FILTER(INDIRECT(""'""&amp;BY$1&amp;""'!$C$4:$C$66""),INDIRECT(""'""&amp;BY$1&amp;""'!$D$4:$D$66"")=BY$2),$F$3:$BP$3,$F111:$BP111))),"""")"),"")</f>
        <v/>
      </c>
      <c r="CA111" s="209"/>
      <c r="CB111" s="207">
        <f>IFERROR(__xludf.DUMMYFUNCTION("AVERAGE(ARRAYFORMULA(XLOOKUP(FILTER(INDIRECT(""'""&amp;CB$1&amp;""'!$C$4:$C$66""),INDIRECT(""'""&amp;CB$1&amp;""'!$D$4:$D$66"")=CB$2),$F$3:$BP$3,$F111:$BP111)))"),-0.429559060625)</f>
        <v>-0.4295590606</v>
      </c>
      <c r="CC111" s="207" t="str">
        <f>IFERROR(__xludf.DUMMYFUNCTION("IF(OR(CB111&gt;$BR111+$BS111*$BS$2,CB111&lt;$BR111-$BS111*$BS$2),AVEDEV(ARRAYFORMULA(XLOOKUP(FILTER(INDIRECT(""'""&amp;CB$1&amp;""'!$C$4:$C$66""),INDIRECT(""'""&amp;CB$1&amp;""'!$D$4:$D$66"")=CB$2),$F$3:$BP$3,$F111:$BP111))),"""")"),"")</f>
        <v/>
      </c>
      <c r="CD111" s="207">
        <f>IFERROR(__xludf.DUMMYFUNCTION("AVERAGE(ARRAYFORMULA(XLOOKUP(FILTER(INDIRECT(""'""&amp;CD$1&amp;""'!$C$4:$C$66""),INDIRECT(""'""&amp;CD$1&amp;""'!$D$4:$D$66"")=CD$2),$F$3:$BP$3,$F111:$BP111)))"),0.0035071809677419373)</f>
        <v>0.003507180968</v>
      </c>
      <c r="CE111" s="207" t="str">
        <f>IFERROR(__xludf.DUMMYFUNCTION("IF(OR(CD111&gt;$BR111+$BS111*$BS$2,CD111&lt;$BR111-$BS111*$BS$2),AVEDEV(ARRAYFORMULA(XLOOKUP(FILTER(INDIRECT(""'""&amp;CD$1&amp;""'!$C$4:$C$66""),INDIRECT(""'""&amp;CD$1&amp;""'!$D$4:$D$66"")=CD$2),$F$3:$BP$3,$F111:$BP111))),"""")"),"")</f>
        <v/>
      </c>
      <c r="CF111" s="207">
        <f>IFERROR(__xludf.DUMMYFUNCTION("AVERAGE(ARRAYFORMULA(XLOOKUP(FILTER(INDIRECT(""'""&amp;CF$1&amp;""'!$C$4:$C$66""),INDIRECT(""'""&amp;CF$1&amp;""'!$D$4:$D$66"")=CF$2),$F$3:$BP$3,$F111:$BP111)))"),0.32755765800000003)</f>
        <v>0.327557658</v>
      </c>
      <c r="CG111" s="207" t="str">
        <f>IFERROR(__xludf.DUMMYFUNCTION("IF(OR(CF111&gt;$BR111+$BS111*$BS$2,CF111&lt;$BR111-$BS111*$BS$2),AVEDEV(ARRAYFORMULA(XLOOKUP(FILTER(INDIRECT(""'""&amp;CF$1&amp;""'!$C$4:$C$66""),INDIRECT(""'""&amp;CF$1&amp;""'!$D$4:$D$66"")=CF$2),$F$3:$BP$3,$F111:$BP111))),"""")"),"")</f>
        <v/>
      </c>
      <c r="CH111" s="206"/>
      <c r="CI111" s="251">
        <f>IFERROR(__xludf.DUMMYFUNCTION("AVERAGE(ARRAYFORMULA(XLOOKUP(FILTER(INDIRECT(""'""&amp;CI$1&amp;""'!$C$4:$C$66""),INDIRECT(""'""&amp;CI$1&amp;""'!$D$4:$D$66"")=CI$2),$F$3:$BP$3,$F111:$BP111)))"),0.20494776133333334)</f>
        <v>0.2049477613</v>
      </c>
      <c r="CJ111" s="207" t="str">
        <f>IFERROR(__xludf.DUMMYFUNCTION("IF(OR(CI111&gt;$BR111+$BS111*$BS$2,CI111&lt;$BR111-$BS111*$BS$2),AVEDEV(ARRAYFORMULA(XLOOKUP(FILTER(INDIRECT(""'""&amp;CI$1&amp;""'!$C$4:$C$66""),INDIRECT(""'""&amp;CI$1&amp;""'!$D$4:$D$66"")=CI$2),$F$3:$BP$3,$F111:$BP111))),"""")"),"")</f>
        <v/>
      </c>
      <c r="CK111" s="251">
        <f>IFERROR(__xludf.DUMMYFUNCTION("AVERAGE(ARRAYFORMULA(XLOOKUP(FILTER(INDIRECT(""'""&amp;CK$1&amp;""'!$C$4:$C$66""),INDIRECT(""'""&amp;CK$1&amp;""'!$D$4:$D$66"")=CK$2),$F$3:$BP$3,$F111:$BP111)))"),-0.2855812812820513)</f>
        <v>-0.2855812813</v>
      </c>
      <c r="CL111" s="207" t="str">
        <f>IFERROR(__xludf.DUMMYFUNCTION("IF(OR(CK111&gt;$BR111+$BS111*$BS$2,CK111&lt;$BR111-$BS111*$BS$2),AVEDEV(ARRAYFORMULA(XLOOKUP(FILTER(INDIRECT(""'""&amp;CK$1&amp;""'!$C$4:$C$66""),INDIRECT(""'""&amp;CK$1&amp;""'!$D$4:$D$66"")=CK$2),$F$3:$BP$3,$F111:$BP111))),"""")"),"")</f>
        <v/>
      </c>
      <c r="CM111" s="251">
        <f>IFERROR(__xludf.DUMMYFUNCTION("AVERAGE(ARRAYFORMULA(XLOOKUP(FILTER(INDIRECT(""'""&amp;CM$1&amp;""'!$C$4:$C$66""),INDIRECT(""'""&amp;CM$1&amp;""'!$D$4:$D$66"")=CM$2),$F$3:$BP$3,$F111:$BP111)))"),0.32755765800000003)</f>
        <v>0.327557658</v>
      </c>
      <c r="CN111" s="207" t="str">
        <f>IFERROR(__xludf.DUMMYFUNCTION("IF(OR(CM111&gt;$BR111+$BS111*$BS$2,CM111&lt;$BR111-$BS111*$BS$2),AVEDEV(ARRAYFORMULA(XLOOKUP(FILTER(INDIRECT(""'""&amp;CM$1&amp;""'!$C$4:$C$66""),INDIRECT(""'""&amp;CM$1&amp;""'!$D$4:$D$66"")=CM$2),$F$3:$BP$3,$F111:$BP111))),"""")"),"")</f>
        <v/>
      </c>
      <c r="CO111" s="252"/>
      <c r="CP111" s="251">
        <f>IFERROR(__xludf.DUMMYFUNCTION("AVERAGE(ARRAYFORMULA(XLOOKUP(FILTER(INDIRECT(""'""&amp;CP$1&amp;""'!$C$4:$C$66""),INDIRECT(""'""&amp;CP$1&amp;""'!$D$4:$D$66"")=CP$2),$F$3:$BP$3,$F111:$BP111)))"),-0.5895349285714284)</f>
        <v>-0.5895349286</v>
      </c>
      <c r="CQ111" s="207" t="str">
        <f>IFERROR(__xludf.DUMMYFUNCTION("IF(OR(CP111&gt;$BR111+$BS111*$BS$2,CP111&lt;$BR111-$BS111*$BS$2),AVEDEV(ARRAYFORMULA(XLOOKUP(FILTER(INDIRECT(""'""&amp;CP$1&amp;""'!$C$4:$C$66""),INDIRECT(""'""&amp;CP$1&amp;""'!$D$4:$D$66"")=CP$2),$F$3:$BP$3,$F111:$BP111))),"""")"),"")</f>
        <v/>
      </c>
      <c r="CR111" s="251">
        <f>IFERROR(__xludf.DUMMYFUNCTION("AVERAGE(ARRAYFORMULA(XLOOKUP(FILTER(INDIRECT(""'""&amp;CR$1&amp;""'!$C$4:$C$66""),INDIRECT(""'""&amp;CR$1&amp;""'!$D$4:$D$66"")=CR$2),$F$3:$BP$3,$F111:$BP111)))"),0.14196070777777778)</f>
        <v>0.1419607078</v>
      </c>
      <c r="CS111" s="207" t="str">
        <f>IFERROR(__xludf.DUMMYFUNCTION("IF(OR(CR111&gt;$BR111+$BS111*$BS$2,CR111&lt;$BR111-$BS111*$BS$2),AVEDEV(ARRAYFORMULA(XLOOKUP(FILTER(INDIRECT(""'""&amp;CR$1&amp;""'!$C$4:$C$66""),INDIRECT(""'""&amp;CR$1&amp;""'!$D$4:$D$66"")=CR$2),$F$3:$BP$3,$F111:$BP111))),"""")"),"")</f>
        <v/>
      </c>
      <c r="CT111" s="251">
        <f>IFERROR(__xludf.DUMMYFUNCTION("AVERAGE(ARRAYFORMULA(XLOOKUP(FILTER(INDIRECT(""'""&amp;CT$1&amp;""'!$C$4:$C$66""),INDIRECT(""'""&amp;CT$1&amp;""'!$D$4:$D$66"")=CT$2),$F$3:$BP$3,$F111:$BP111)))"),0.4895166890909092)</f>
        <v>0.4895166891</v>
      </c>
      <c r="CU111" s="207" t="str">
        <f>IFERROR(__xludf.DUMMYFUNCTION("IF(OR(CT111&gt;$BR111+$BS111*$BS$2,CT111&lt;$BR111-$BS111*$BS$2),AVEDEV(ARRAYFORMULA(XLOOKUP(FILTER(INDIRECT(""'""&amp;CT$1&amp;""'!$C$4:$C$66""),INDIRECT(""'""&amp;CT$1&amp;""'!$D$4:$D$66"")=CT$2),$F$3:$BP$3,$F111:$BP111))),"""")"),"")</f>
        <v/>
      </c>
      <c r="CV111" s="251">
        <f>IFERROR(__xludf.DUMMYFUNCTION("AVERAGE(ARRAYFORMULA(XLOOKUP(FILTER(INDIRECT(""'""&amp;CV$1&amp;""'!$C$4:$C$66""),INDIRECT(""'""&amp;CV$1&amp;""'!$D$4:$D$66"")=CV$2),$F$3:$BP$3,$F111:$BP111)))"),-1.30929925)</f>
        <v>-1.30929925</v>
      </c>
      <c r="CW111" s="207">
        <f>IFERROR(__xludf.DUMMYFUNCTION("IF(OR(CV111&gt;$BR111+$BS111*$BS$2,CV111&lt;$BR111-$BS111*$BS$2),AVEDEV(ARRAYFORMULA(XLOOKUP(FILTER(INDIRECT(""'""&amp;CV$1&amp;""'!$C$4:$C$66""),INDIRECT(""'""&amp;CV$1&amp;""'!$D$4:$D$66"")=CV$2),$F$3:$BP$3,$F111:$BP111))),"""")"),0.021392650000000013)</f>
        <v>0.02139265</v>
      </c>
      <c r="CX111" s="251">
        <f>IFERROR(__xludf.DUMMYFUNCTION("AVERAGE(ARRAYFORMULA(XLOOKUP(FILTER(INDIRECT(""'""&amp;CX$1&amp;""'!$C$4:$C$66""),INDIRECT(""'""&amp;CX$1&amp;""'!$D$4:$D$66"")=CX$2),$F$3:$BP$3,$F111:$BP111)))"),-0.3064796828571429)</f>
        <v>-0.3064796829</v>
      </c>
      <c r="CY111" s="207" t="str">
        <f>IFERROR(__xludf.DUMMYFUNCTION("IF(OR(CX111&gt;$BR111+$BS111*$BS$2,CX111&lt;$BR111-$BS111*$BS$2),AVEDEV(ARRAYFORMULA(XLOOKUP(FILTER(INDIRECT(""'""&amp;CX$1&amp;""'!$C$4:$C$66""),INDIRECT(""'""&amp;CX$1&amp;""'!$D$4:$D$66"")=CX$2),$F$3:$BP$3,$F111:$BP111))),"""")"),"")</f>
        <v/>
      </c>
      <c r="CZ111" s="252"/>
      <c r="DA111" s="251">
        <f>IFERROR(__xludf.DUMMYFUNCTION("AVERAGE(ARRAYFORMULA(XLOOKUP(FILTER(INDIRECT(""'""&amp;DA$1&amp;""'!$C$4:$C$66""),INDIRECT(""'""&amp;DA$1&amp;""'!$D$4:$D$66"")=DA$2),$F$3:$BP$3,$F111:$BP111)))"),-0.3105016723333334)</f>
        <v>-0.3105016723</v>
      </c>
      <c r="DB111" s="207" t="str">
        <f>IFERROR(__xludf.DUMMYFUNCTION("IF(OR(DA111&gt;$BR111+$BS111*$BS$2,DA111&lt;$BR111-$BS111*$BS$2),AVEDEV(ARRAYFORMULA(XLOOKUP(FILTER(INDIRECT(""'""&amp;DA$1&amp;""'!$C$4:$C$66""),INDIRECT(""'""&amp;DA$1&amp;""'!$D$4:$D$66"")=DA$2),$F$3:$BP$3,$F111:$BP111))),"""")"),"")</f>
        <v/>
      </c>
      <c r="DC111" s="251">
        <f>IFERROR(__xludf.DUMMYFUNCTION("AVERAGE(ARRAYFORMULA(XLOOKUP(FILTER(INDIRECT(""'""&amp;DC$1&amp;""'!$C$4:$C$66""),INDIRECT(""'""&amp;DC$1&amp;""'!$D$4:$D$66"")=DC$2),$F$3:$BP$3,$F111:$BP111)))"),0.18713450666666667)</f>
        <v>0.1871345067</v>
      </c>
      <c r="DD111" s="207" t="str">
        <f>IFERROR(__xludf.DUMMYFUNCTION("IF(OR(DC111&gt;$BR111+$BS111*$BS$2,DC111&lt;$BR111-$BS111*$BS$2),AVEDEV(ARRAYFORMULA(XLOOKUP(FILTER(INDIRECT(""'""&amp;DC$1&amp;""'!$C$4:$C$66""),INDIRECT(""'""&amp;DC$1&amp;""'!$D$4:$D$66"")=DC$2),$F$3:$BP$3,$F111:$BP111))),"""")"),"")</f>
        <v/>
      </c>
      <c r="DE111" s="251">
        <f>IFERROR(__xludf.DUMMYFUNCTION("AVERAGE(ARRAYFORMULA(XLOOKUP(FILTER(INDIRECT(""'""&amp;DE$1&amp;""'!$C$4:$C$66""),INDIRECT(""'""&amp;DE$1&amp;""'!$D$4:$D$66"")=DE$2),$F$3:$BP$3,$F111:$BP111)))"),0.44515079375)</f>
        <v>0.4451507938</v>
      </c>
      <c r="DF111" s="207" t="str">
        <f>IFERROR(__xludf.DUMMYFUNCTION("IF(OR(DE111&gt;$BR111+$BS111*$BS$2,DE111&lt;$BR111-$BS111*$BS$2),AVEDEV(ARRAYFORMULA(XLOOKUP(FILTER(INDIRECT(""'""&amp;DE$1&amp;""'!$C$4:$C$66""),INDIRECT(""'""&amp;DE$1&amp;""'!$D$4:$D$66"")=DE$2),$F$3:$BP$3,$F111:$BP111))),"""")"),"")</f>
        <v/>
      </c>
      <c r="DG111" s="251">
        <f>IFERROR(__xludf.DUMMYFUNCTION("AVERAGE(ARRAYFORMULA(XLOOKUP(FILTER(INDIRECT(""'""&amp;DG$1&amp;""'!$C$4:$C$66""),INDIRECT(""'""&amp;DG$1&amp;""'!$D$4:$D$66"")=DG$2),$F$3:$BP$3,$F111:$BP111)))"),-0.14961889999999997)</f>
        <v>-0.1496189</v>
      </c>
      <c r="DH111" s="207" t="str">
        <f>IFERROR(__xludf.DUMMYFUNCTION("IF(OR(DG111&gt;$BR111+$BS111*$BS$2,DG111&lt;$BR111-$BS111*$BS$2),AVEDEV(ARRAYFORMULA(XLOOKUP(FILTER(INDIRECT(""'""&amp;DG$1&amp;""'!$C$4:$C$66""),INDIRECT(""'""&amp;DG$1&amp;""'!$D$4:$D$66"")=DG$2),$F$3:$BP$3,$F111:$BP111))),"""")"),"")</f>
        <v/>
      </c>
      <c r="DI111" s="252"/>
    </row>
    <row r="112">
      <c r="A112" s="2"/>
      <c r="B112" s="204" t="s">
        <v>540</v>
      </c>
      <c r="C112" s="204" t="s">
        <v>555</v>
      </c>
      <c r="D112" s="205" t="b">
        <f>VLOOKUP(C112,'Feature Set List'!A109:C246,2,0)</f>
        <v>1</v>
      </c>
      <c r="E112" s="205" t="b">
        <f>VLOOKUP(C112,'Feature Set List'!A109:C246,3,0)</f>
        <v>1</v>
      </c>
      <c r="F112" s="205">
        <v>0.69456553</v>
      </c>
      <c r="G112" s="205">
        <v>0.03952339</v>
      </c>
      <c r="H112" s="205">
        <v>1.20430108</v>
      </c>
      <c r="I112" s="205">
        <v>-0.4411508</v>
      </c>
      <c r="J112" s="205">
        <v>-0.8311537</v>
      </c>
      <c r="K112" s="205">
        <v>0.0</v>
      </c>
      <c r="L112" s="205">
        <v>-1.101424</v>
      </c>
      <c r="M112" s="205">
        <v>-0.2290032</v>
      </c>
      <c r="N112" s="205">
        <v>0.15286254</v>
      </c>
      <c r="O112" s="205">
        <v>0.30281895</v>
      </c>
      <c r="P112" s="205">
        <v>-1.2874164</v>
      </c>
      <c r="Q112" s="205">
        <v>0.03254868</v>
      </c>
      <c r="R112" s="205">
        <v>0.43475734</v>
      </c>
      <c r="S112" s="205">
        <v>-0.2324906</v>
      </c>
      <c r="T112" s="205">
        <v>0.83173496</v>
      </c>
      <c r="U112" s="205">
        <v>-0.1662307</v>
      </c>
      <c r="V112" s="205">
        <v>0.1871549</v>
      </c>
      <c r="W112" s="205">
        <v>0.25690206</v>
      </c>
      <c r="X112" s="205">
        <v>-0.0848591</v>
      </c>
      <c r="Y112" s="205">
        <v>-0.3353676</v>
      </c>
      <c r="Z112" s="205">
        <v>0.49404243</v>
      </c>
      <c r="AA112" s="205">
        <v>0.90671316</v>
      </c>
      <c r="AB112" s="205">
        <v>-0.1255449</v>
      </c>
      <c r="AC112" s="205">
        <v>-0.5376344</v>
      </c>
      <c r="AD112" s="205">
        <v>0.26736414</v>
      </c>
      <c r="AE112" s="205">
        <v>-0.3963964</v>
      </c>
      <c r="AF112" s="205">
        <v>0.480093</v>
      </c>
      <c r="AG112" s="205">
        <v>-0.4318512</v>
      </c>
      <c r="AH112" s="205">
        <v>-0.5614647</v>
      </c>
      <c r="AI112" s="205">
        <v>1.27637315</v>
      </c>
      <c r="AJ112" s="205">
        <v>-1.5925603</v>
      </c>
      <c r="AK112" s="205">
        <v>-0.43127</v>
      </c>
      <c r="AL112" s="205">
        <v>0.28073235</v>
      </c>
      <c r="AM112" s="205">
        <v>-0.5213601</v>
      </c>
      <c r="AN112" s="205">
        <v>0.90787562</v>
      </c>
      <c r="AO112" s="205">
        <v>-0.3074688</v>
      </c>
      <c r="AP112" s="205">
        <v>0.51264167</v>
      </c>
      <c r="AQ112" s="205">
        <v>-1.2920663</v>
      </c>
      <c r="AR112" s="205">
        <v>0.33653008</v>
      </c>
      <c r="AS112" s="205">
        <v>0.13368207</v>
      </c>
      <c r="AT112" s="205">
        <v>-2.6742226</v>
      </c>
      <c r="AU112" s="205">
        <v>0.50566696</v>
      </c>
      <c r="AV112" s="205">
        <v>0.54925894</v>
      </c>
      <c r="AW112" s="205">
        <v>-1.5536181</v>
      </c>
      <c r="AX112" s="205">
        <v>0.63644289</v>
      </c>
      <c r="AY112" s="205">
        <v>0.52136007</v>
      </c>
      <c r="AZ112" s="205">
        <v>0.12961348</v>
      </c>
      <c r="BA112" s="205">
        <v>-0.5213601</v>
      </c>
      <c r="BB112" s="205">
        <v>-1.0607382</v>
      </c>
      <c r="BC112" s="205">
        <v>0.1034583</v>
      </c>
      <c r="BD112" s="205">
        <v>0.82417902</v>
      </c>
      <c r="BE112" s="205">
        <v>0.04301075</v>
      </c>
      <c r="BF112" s="205">
        <v>0.46091253</v>
      </c>
      <c r="BG112" s="205">
        <v>-0.1819239</v>
      </c>
      <c r="BH112" s="205">
        <v>-1.5222319</v>
      </c>
      <c r="BI112" s="205">
        <v>-0.1313572</v>
      </c>
      <c r="BJ112" s="205">
        <v>-1.273467</v>
      </c>
      <c r="BK112" s="205">
        <v>0.82766638</v>
      </c>
      <c r="BL112" s="205">
        <v>-0.628887</v>
      </c>
      <c r="BM112" s="205">
        <v>-1.1380413</v>
      </c>
      <c r="BN112" s="205">
        <v>0.70619006</v>
      </c>
      <c r="BO112" s="205">
        <v>-0.9840163</v>
      </c>
      <c r="BP112" s="205">
        <v>-0.5573961</v>
      </c>
      <c r="BQ112" s="206"/>
      <c r="BR112" s="250">
        <f t="shared" si="1"/>
        <v>-0.1284602606</v>
      </c>
      <c r="BS112" s="250">
        <f t="shared" si="2"/>
        <v>0.6094673442</v>
      </c>
      <c r="BT112" s="206"/>
      <c r="BU112" s="207">
        <f>IFERROR(__xludf.DUMMYFUNCTION("AVERAGE(ARRAYFORMULA(XLOOKUP(FILTER(INDIRECT(""'""&amp;BU$1&amp;""'!$C$4:$C$66""),INDIRECT(""'""&amp;BU$1&amp;""'!$D$4:$D$66"")=BU$2),$F$3:$BP$3,$F112:$BP112)))"),0.5376344042857143)</f>
        <v>0.5376344043</v>
      </c>
      <c r="BV112" s="207">
        <f>IFERROR(__xludf.DUMMYFUNCTION("IF(OR(BU112&gt;$BR112+$BS112*$BS$2,BU112&lt;$BR112-$BS112*$BS$2),AVEDEV(ARRAYFORMULA(XLOOKUP(FILTER(INDIRECT(""'""&amp;BU$1&amp;""'!$C$4:$C$66""),INDIRECT(""'""&amp;BU$1&amp;""'!$D$4:$D$66"")=BU$2),$F$3:$BP$3,$F112:$BP112))),"""")"),0.3827790995918367)</f>
        <v>0.3827790996</v>
      </c>
      <c r="BW112" s="207">
        <f>IFERROR(__xludf.DUMMYFUNCTION("AVERAGE(ARRAYFORMULA(XLOOKUP(FILTER(INDIRECT(""'""&amp;BW$1&amp;""'!$C$4:$C$66""),INDIRECT(""'""&amp;BW$1&amp;""'!$D$4:$D$66"")=BW$2),$F$3:$BP$3,$F112:$BP112)))"),-0.2352721395238095)</f>
        <v>-0.2352721395</v>
      </c>
      <c r="BX112" s="207" t="str">
        <f>IFERROR(__xludf.DUMMYFUNCTION("IF(OR(BW112&gt;$BR112+$BS112*$BS$2,BW112&lt;$BR112-$BS112*$BS$2),AVEDEV(ARRAYFORMULA(XLOOKUP(FILTER(INDIRECT(""'""&amp;BW$1&amp;""'!$C$4:$C$66""),INDIRECT(""'""&amp;BW$1&amp;""'!$D$4:$D$66"")=BW$2),$F$3:$BP$3,$F112:$BP112))),"""")"),"")</f>
        <v/>
      </c>
      <c r="BY112" s="207">
        <f>IFERROR(__xludf.DUMMYFUNCTION("AVERAGE(ARRAYFORMULA(XLOOKUP(FILTER(INDIRECT(""'""&amp;BY$1&amp;""'!$C$4:$C$66""),INDIRECT(""'""&amp;BY$1&amp;""'!$D$4:$D$66"")=BY$2),$F$3:$BP$3,$F112:$BP112)))"),-0.055322197272727254)</f>
        <v>-0.05532219727</v>
      </c>
      <c r="BZ112" s="207" t="str">
        <f>IFERROR(__xludf.DUMMYFUNCTION("IF(OR(BY112&gt;$BR112+$BS112*$BS$2,BY112&lt;$BR112-$BS112*$BS$2),AVEDEV(ARRAYFORMULA(XLOOKUP(FILTER(INDIRECT(""'""&amp;BY$1&amp;""'!$C$4:$C$66""),INDIRECT(""'""&amp;BY$1&amp;""'!$D$4:$D$66"")=BY$2),$F$3:$BP$3,$F112:$BP112))),"""")"),"")</f>
        <v/>
      </c>
      <c r="CA112" s="209"/>
      <c r="CB112" s="207">
        <f>IFERROR(__xludf.DUMMYFUNCTION("AVERAGE(ARRAYFORMULA(XLOOKUP(FILTER(INDIRECT(""'""&amp;CB$1&amp;""'!$C$4:$C$66""),INDIRECT(""'""&amp;CB$1&amp;""'!$D$4:$D$66"")=CB$2),$F$3:$BP$3,$F112:$BP112)))"),-0.11206771124999998)</f>
        <v>-0.1120677113</v>
      </c>
      <c r="CC112" s="207" t="str">
        <f>IFERROR(__xludf.DUMMYFUNCTION("IF(OR(CB112&gt;$BR112+$BS112*$BS$2,CB112&lt;$BR112-$BS112*$BS$2),AVEDEV(ARRAYFORMULA(XLOOKUP(FILTER(INDIRECT(""'""&amp;CB$1&amp;""'!$C$4:$C$66""),INDIRECT(""'""&amp;CB$1&amp;""'!$D$4:$D$66"")=CB$2),$F$3:$BP$3,$F112:$BP112))),"""")"),"")</f>
        <v/>
      </c>
      <c r="CD112" s="207">
        <f>IFERROR(__xludf.DUMMYFUNCTION("AVERAGE(ARRAYFORMULA(XLOOKUP(FILTER(INDIRECT(""'""&amp;CD$1&amp;""'!$C$4:$C$66""),INDIRECT(""'""&amp;CD$1&amp;""'!$D$4:$D$66"")=CD$2),$F$3:$BP$3,$F112:$BP112)))"),-0.18869233903225802)</f>
        <v>-0.188692339</v>
      </c>
      <c r="CE112" s="207" t="str">
        <f>IFERROR(__xludf.DUMMYFUNCTION("IF(OR(CD112&gt;$BR112+$BS112*$BS$2,CD112&lt;$BR112-$BS112*$BS$2),AVEDEV(ARRAYFORMULA(XLOOKUP(FILTER(INDIRECT(""'""&amp;CD$1&amp;""'!$C$4:$C$66""),INDIRECT(""'""&amp;CD$1&amp;""'!$D$4:$D$66"")=CD$2),$F$3:$BP$3,$F112:$BP112))),"""")"),"")</f>
        <v/>
      </c>
      <c r="CF112" s="207">
        <f>IFERROR(__xludf.DUMMYFUNCTION("AVERAGE(ARRAYFORMULA(XLOOKUP(FILTER(INDIRECT(""'""&amp;CF$1&amp;""'!$C$4:$C$66""),INDIRECT(""'""&amp;CF$1&amp;""'!$D$4:$D$66"")=CF$2),$F$3:$BP$3,$F112:$BP112)))"),0.199476888)</f>
        <v>0.199476888</v>
      </c>
      <c r="CG112" s="207" t="str">
        <f>IFERROR(__xludf.DUMMYFUNCTION("IF(OR(CF112&gt;$BR112+$BS112*$BS$2,CF112&lt;$BR112-$BS112*$BS$2),AVEDEV(ARRAYFORMULA(XLOOKUP(FILTER(INDIRECT(""'""&amp;CF$1&amp;""'!$C$4:$C$66""),INDIRECT(""'""&amp;CF$1&amp;""'!$D$4:$D$66"")=CF$2),$F$3:$BP$3,$F112:$BP112))),"""")"),"")</f>
        <v/>
      </c>
      <c r="CH112" s="206"/>
      <c r="CI112" s="251">
        <f>IFERROR(__xludf.DUMMYFUNCTION("AVERAGE(ARRAYFORMULA(XLOOKUP(FILTER(INDIRECT(""'""&amp;CI$1&amp;""'!$C$4:$C$66""),INDIRECT(""'""&amp;CI$1&amp;""'!$D$4:$D$66"")=CI$2),$F$3:$BP$3,$F112:$BP112)))"),0.206257862)</f>
        <v>0.206257862</v>
      </c>
      <c r="CJ112" s="207" t="str">
        <f>IFERROR(__xludf.DUMMYFUNCTION("IF(OR(CI112&gt;$BR112+$BS112*$BS$2,CI112&lt;$BR112-$BS112*$BS$2),AVEDEV(ARRAYFORMULA(XLOOKUP(FILTER(INDIRECT(""'""&amp;CI$1&amp;""'!$C$4:$C$66""),INDIRECT(""'""&amp;CI$1&amp;""'!$D$4:$D$66"")=CI$2),$F$3:$BP$3,$F112:$BP112))),"""")"),"")</f>
        <v/>
      </c>
      <c r="CK112" s="251">
        <f>IFERROR(__xludf.DUMMYFUNCTION("AVERAGE(ARRAYFORMULA(XLOOKUP(FILTER(INDIRECT(""'""&amp;CK$1&amp;""'!$C$4:$C$66""),INDIRECT(""'""&amp;CK$1&amp;""'!$D$4:$D$66"")=CK$2),$F$3:$BP$3,$F112:$BP112)))"),-0.29860133205128203)</f>
        <v>-0.2986013321</v>
      </c>
      <c r="CL112" s="207" t="str">
        <f>IFERROR(__xludf.DUMMYFUNCTION("IF(OR(CK112&gt;$BR112+$BS112*$BS$2,CK112&lt;$BR112-$BS112*$BS$2),AVEDEV(ARRAYFORMULA(XLOOKUP(FILTER(INDIRECT(""'""&amp;CK$1&amp;""'!$C$4:$C$66""),INDIRECT(""'""&amp;CK$1&amp;""'!$D$4:$D$66"")=CK$2),$F$3:$BP$3,$F112:$BP112))),"""")"),"")</f>
        <v/>
      </c>
      <c r="CM112" s="251">
        <f>IFERROR(__xludf.DUMMYFUNCTION("AVERAGE(ARRAYFORMULA(XLOOKUP(FILTER(INDIRECT(""'""&amp;CM$1&amp;""'!$C$4:$C$66""),INDIRECT(""'""&amp;CM$1&amp;""'!$D$4:$D$66"")=CM$2),$F$3:$BP$3,$F112:$BP112)))"),0.199476888)</f>
        <v>0.199476888</v>
      </c>
      <c r="CN112" s="207" t="str">
        <f>IFERROR(__xludf.DUMMYFUNCTION("IF(OR(CM112&gt;$BR112+$BS112*$BS$2,CM112&lt;$BR112-$BS112*$BS$2),AVEDEV(ARRAYFORMULA(XLOOKUP(FILTER(INDIRECT(""'""&amp;CM$1&amp;""'!$C$4:$C$66""),INDIRECT(""'""&amp;CM$1&amp;""'!$D$4:$D$66"")=CM$2),$F$3:$BP$3,$F112:$BP112))),"""")"),"")</f>
        <v/>
      </c>
      <c r="CO112" s="252"/>
      <c r="CP112" s="251">
        <f>IFERROR(__xludf.DUMMYFUNCTION("AVERAGE(ARRAYFORMULA(XLOOKUP(FILTER(INDIRECT(""'""&amp;CP$1&amp;""'!$C$4:$C$66""),INDIRECT(""'""&amp;CP$1&amp;""'!$D$4:$D$66"")=CP$2),$F$3:$BP$3,$F112:$BP112)))"),-0.22219454357142854)</f>
        <v>-0.2221945436</v>
      </c>
      <c r="CQ112" s="207" t="str">
        <f>IFERROR(__xludf.DUMMYFUNCTION("IF(OR(CP112&gt;$BR112+$BS112*$BS$2,CP112&lt;$BR112-$BS112*$BS$2),AVEDEV(ARRAYFORMULA(XLOOKUP(FILTER(INDIRECT(""'""&amp;CP$1&amp;""'!$C$4:$C$66""),INDIRECT(""'""&amp;CP$1&amp;""'!$D$4:$D$66"")=CP$2),$F$3:$BP$3,$F112:$BP112))),"""")"),"")</f>
        <v/>
      </c>
      <c r="CR112" s="251">
        <f>IFERROR(__xludf.DUMMYFUNCTION("AVERAGE(ARRAYFORMULA(XLOOKUP(FILTER(INDIRECT(""'""&amp;CR$1&amp;""'!$C$4:$C$66""),INDIRECT(""'""&amp;CR$1&amp;""'!$D$4:$D$66"")=CR$2),$F$3:$BP$3,$F112:$BP112)))"),-0.055668582222222214)</f>
        <v>-0.05566858222</v>
      </c>
      <c r="CS112" s="207" t="str">
        <f>IFERROR(__xludf.DUMMYFUNCTION("IF(OR(CR112&gt;$BR112+$BS112*$BS$2,CR112&lt;$BR112-$BS112*$BS$2),AVEDEV(ARRAYFORMULA(XLOOKUP(FILTER(INDIRECT(""'""&amp;CR$1&amp;""'!$C$4:$C$66""),INDIRECT(""'""&amp;CR$1&amp;""'!$D$4:$D$66"")=CR$2),$F$3:$BP$3,$F112:$BP112))),"""")"),"")</f>
        <v/>
      </c>
      <c r="CT112" s="251">
        <f>IFERROR(__xludf.DUMMYFUNCTION("AVERAGE(ARRAYFORMULA(XLOOKUP(FILTER(INDIRECT(""'""&amp;CT$1&amp;""'!$C$4:$C$66""),INDIRECT(""'""&amp;CT$1&amp;""'!$D$4:$D$66"")=CT$2),$F$3:$BP$3,$F112:$BP112)))"),0.35333280636363634)</f>
        <v>0.3533328064</v>
      </c>
      <c r="CU112" s="207" t="str">
        <f>IFERROR(__xludf.DUMMYFUNCTION("IF(OR(CT112&gt;$BR112+$BS112*$BS$2,CT112&lt;$BR112-$BS112*$BS$2),AVEDEV(ARRAYFORMULA(XLOOKUP(FILTER(INDIRECT(""'""&amp;CT$1&amp;""'!$C$4:$C$66""),INDIRECT(""'""&amp;CT$1&amp;""'!$D$4:$D$66"")=CT$2),$F$3:$BP$3,$F112:$BP112))),"""")"),"")</f>
        <v/>
      </c>
      <c r="CV112" s="251">
        <f>IFERROR(__xludf.DUMMYFUNCTION("AVERAGE(ARRAYFORMULA(XLOOKUP(FILTER(INDIRECT(""'""&amp;CV$1&amp;""'!$C$4:$C$66""),INDIRECT(""'""&amp;CV$1&amp;""'!$D$4:$D$66"")=CV$2),$F$3:$BP$3,$F112:$BP112)))"),-0.35977915)</f>
        <v>-0.35977915</v>
      </c>
      <c r="CW112" s="207" t="str">
        <f>IFERROR(__xludf.DUMMYFUNCTION("IF(OR(CV112&gt;$BR112+$BS112*$BS$2,CV112&lt;$BR112-$BS112*$BS$2),AVEDEV(ARRAYFORMULA(XLOOKUP(FILTER(INDIRECT(""'""&amp;CV$1&amp;""'!$C$4:$C$66""),INDIRECT(""'""&amp;CV$1&amp;""'!$D$4:$D$66"")=CV$2),$F$3:$BP$3,$F112:$BP112))),"""")"),"")</f>
        <v/>
      </c>
      <c r="CX112" s="251">
        <f>IFERROR(__xludf.DUMMYFUNCTION("AVERAGE(ARRAYFORMULA(XLOOKUP(FILTER(INDIRECT(""'""&amp;CX$1&amp;""'!$C$4:$C$66""),INDIRECT(""'""&amp;CX$1&amp;""'!$D$4:$D$66"")=CX$2),$F$3:$BP$3,$F112:$BP112)))"),-0.6372732235714286)</f>
        <v>-0.6372732236</v>
      </c>
      <c r="CY112" s="207" t="str">
        <f>IFERROR(__xludf.DUMMYFUNCTION("IF(OR(CX112&gt;$BR112+$BS112*$BS$2,CX112&lt;$BR112-$BS112*$BS$2),AVEDEV(ARRAYFORMULA(XLOOKUP(FILTER(INDIRECT(""'""&amp;CX$1&amp;""'!$C$4:$C$66""),INDIRECT(""'""&amp;CX$1&amp;""'!$D$4:$D$66"")=CX$2),$F$3:$BP$3,$F112:$BP112))),"""")"),"")</f>
        <v/>
      </c>
      <c r="CZ112" s="252"/>
      <c r="DA112" s="251">
        <f>IFERROR(__xludf.DUMMYFUNCTION("AVERAGE(ARRAYFORMULA(XLOOKUP(FILTER(INDIRECT(""'""&amp;DA$1&amp;""'!$C$4:$C$66""),INDIRECT(""'""&amp;DA$1&amp;""'!$D$4:$D$66"")=DA$2),$F$3:$BP$3,$F112:$BP112)))"),-0.3732635856666666)</f>
        <v>-0.3732635857</v>
      </c>
      <c r="DB112" s="207" t="str">
        <f>IFERROR(__xludf.DUMMYFUNCTION("IF(OR(DA112&gt;$BR112+$BS112*$BS$2,DA112&lt;$BR112-$BS112*$BS$2),AVEDEV(ARRAYFORMULA(XLOOKUP(FILTER(INDIRECT(""'""&amp;DA$1&amp;""'!$C$4:$C$66""),INDIRECT(""'""&amp;DA$1&amp;""'!$D$4:$D$66"")=DA$2),$F$3:$BP$3,$F112:$BP112))),"""")"),"")</f>
        <v/>
      </c>
      <c r="DC112" s="251">
        <f>IFERROR(__xludf.DUMMYFUNCTION("AVERAGE(ARRAYFORMULA(XLOOKUP(FILTER(INDIRECT(""'""&amp;DC$1&amp;""'!$C$4:$C$66""),INDIRECT(""'""&amp;DC$1&amp;""'!$D$4:$D$66"")=DC$2),$F$3:$BP$3,$F112:$BP112)))"),-0.01588686444444445)</f>
        <v>-0.01588686444</v>
      </c>
      <c r="DD112" s="207" t="str">
        <f>IFERROR(__xludf.DUMMYFUNCTION("IF(OR(DC112&gt;$BR112+$BS112*$BS$2,DC112&lt;$BR112-$BS112*$BS$2),AVEDEV(ARRAYFORMULA(XLOOKUP(FILTER(INDIRECT(""'""&amp;DC$1&amp;""'!$C$4:$C$66""),INDIRECT(""'""&amp;DC$1&amp;""'!$D$4:$D$66"")=DC$2),$F$3:$BP$3,$F112:$BP112))),"""")"),"")</f>
        <v/>
      </c>
      <c r="DE112" s="251">
        <f>IFERROR(__xludf.DUMMYFUNCTION("AVERAGE(ARRAYFORMULA(XLOOKUP(FILTER(INDIRECT(""'""&amp;DE$1&amp;""'!$C$4:$C$66""),INDIRECT(""'""&amp;DE$1&amp;""'!$D$4:$D$66"")=DE$2),$F$3:$BP$3,$F112:$BP112)))"),0.5475152575)</f>
        <v>0.5475152575</v>
      </c>
      <c r="DF112" s="207">
        <f>IFERROR(__xludf.DUMMYFUNCTION("IF(OR(DE112&gt;$BR112+$BS112*$BS$2,DE112&lt;$BR112-$BS112*$BS$2),AVEDEV(ARRAYFORMULA(XLOOKUP(FILTER(INDIRECT(""'""&amp;DE$1&amp;""'!$C$4:$C$66""),INDIRECT(""'""&amp;DE$1&amp;""'!$D$4:$D$66"")=DE$2),$F$3:$BP$3,$F112:$BP112))),"""")"),0.2755013068750001)</f>
        <v>0.2755013069</v>
      </c>
      <c r="DG112" s="251">
        <f>IFERROR(__xludf.DUMMYFUNCTION("AVERAGE(ARRAYFORMULA(XLOOKUP(FILTER(INDIRECT(""'""&amp;DG$1&amp;""'!$C$4:$C$66""),INDIRECT(""'""&amp;DG$1&amp;""'!$D$4:$D$66"")=DG$2),$F$3:$BP$3,$F112:$BP112)))"),-0.0517937411111111)</f>
        <v>-0.05179374111</v>
      </c>
      <c r="DH112" s="207" t="str">
        <f>IFERROR(__xludf.DUMMYFUNCTION("IF(OR(DG112&gt;$BR112+$BS112*$BS$2,DG112&lt;$BR112-$BS112*$BS$2),AVEDEV(ARRAYFORMULA(XLOOKUP(FILTER(INDIRECT(""'""&amp;DG$1&amp;""'!$C$4:$C$66""),INDIRECT(""'""&amp;DG$1&amp;""'!$D$4:$D$66"")=DG$2),$F$3:$BP$3,$F112:$BP112))),"""")"),"")</f>
        <v/>
      </c>
      <c r="DI112" s="252"/>
    </row>
    <row r="113">
      <c r="A113" s="2"/>
      <c r="B113" s="204" t="s">
        <v>540</v>
      </c>
      <c r="C113" s="204" t="s">
        <v>556</v>
      </c>
      <c r="D113" s="205" t="b">
        <f>VLOOKUP(C113,'Feature Set List'!A110:C246,2,0)</f>
        <v>1</v>
      </c>
      <c r="E113" s="205" t="b">
        <f>VLOOKUP(C113,'Feature Set List'!A110:C246,3,0)</f>
        <v>1</v>
      </c>
      <c r="F113" s="205">
        <v>-0.4306513</v>
      </c>
      <c r="G113" s="205">
        <v>-0.0754023</v>
      </c>
      <c r="H113" s="205">
        <v>-0.8839847</v>
      </c>
      <c r="I113" s="205">
        <v>0.79478927</v>
      </c>
      <c r="J113" s="205">
        <v>-0.3561686</v>
      </c>
      <c r="K113" s="205">
        <v>-0.0481226</v>
      </c>
      <c r="L113" s="205">
        <v>0.89961686</v>
      </c>
      <c r="M113" s="205">
        <v>0.08582375</v>
      </c>
      <c r="N113" s="205">
        <v>0.0640613</v>
      </c>
      <c r="O113" s="205">
        <v>-0.1416092</v>
      </c>
      <c r="P113" s="205">
        <v>0.60934866</v>
      </c>
      <c r="Q113" s="205">
        <v>0.0</v>
      </c>
      <c r="R113" s="205">
        <v>-0.1964751</v>
      </c>
      <c r="S113" s="205">
        <v>0.20199234</v>
      </c>
      <c r="T113" s="205">
        <v>-0.6485824</v>
      </c>
      <c r="U113" s="205">
        <v>1.4583908</v>
      </c>
      <c r="V113" s="205">
        <v>-0.1881992</v>
      </c>
      <c r="W113" s="205">
        <v>0.82727969</v>
      </c>
      <c r="X113" s="205">
        <v>-0.6384674</v>
      </c>
      <c r="Y113" s="205">
        <v>1.5451341</v>
      </c>
      <c r="Z113" s="205">
        <v>0.33716475</v>
      </c>
      <c r="AA113" s="205">
        <v>-0.8744828</v>
      </c>
      <c r="AB113" s="205">
        <v>-0.3362452</v>
      </c>
      <c r="AC113" s="205">
        <v>1.29318008</v>
      </c>
      <c r="AD113" s="205">
        <v>0.651341</v>
      </c>
      <c r="AE113" s="205">
        <v>0.32582375</v>
      </c>
      <c r="AF113" s="205">
        <v>1.61961686</v>
      </c>
      <c r="AG113" s="205">
        <v>0.03157088</v>
      </c>
      <c r="AH113" s="205">
        <v>0.15785441</v>
      </c>
      <c r="AI113" s="205">
        <v>-1.0701609</v>
      </c>
      <c r="AJ113" s="205">
        <v>1.20429119</v>
      </c>
      <c r="AK113" s="205">
        <v>0.12383142</v>
      </c>
      <c r="AL113" s="205">
        <v>-0.6366284</v>
      </c>
      <c r="AM113" s="205">
        <v>-0.0327969</v>
      </c>
      <c r="AN113" s="205">
        <v>-0.6479693</v>
      </c>
      <c r="AO113" s="205">
        <v>1.09333333</v>
      </c>
      <c r="AP113" s="205">
        <v>1.47034483</v>
      </c>
      <c r="AQ113" s="205">
        <v>1.32321839</v>
      </c>
      <c r="AR113" s="205">
        <v>-0.1281226</v>
      </c>
      <c r="AS113" s="205">
        <v>-0.1345594</v>
      </c>
      <c r="AT113" s="205">
        <v>0.75157088</v>
      </c>
      <c r="AU113" s="205">
        <v>-0.8704981</v>
      </c>
      <c r="AV113" s="205">
        <v>0.39203065</v>
      </c>
      <c r="AW113" s="205">
        <v>1.2662069</v>
      </c>
      <c r="AX113" s="205">
        <v>-0.1523372</v>
      </c>
      <c r="AY113" s="205">
        <v>-0.48</v>
      </c>
      <c r="AZ113" s="205">
        <v>-0.0116475</v>
      </c>
      <c r="BA113" s="205">
        <v>0.36659004</v>
      </c>
      <c r="BB113" s="205">
        <v>0.00398467</v>
      </c>
      <c r="BC113" s="205">
        <v>-0.514636</v>
      </c>
      <c r="BD113" s="205">
        <v>-0.5691954</v>
      </c>
      <c r="BE113" s="205">
        <v>-0.04659</v>
      </c>
      <c r="BF113" s="205">
        <v>-0.6381609</v>
      </c>
      <c r="BG113" s="205">
        <v>1.43478927</v>
      </c>
      <c r="BH113" s="205">
        <v>0.65624521</v>
      </c>
      <c r="BI113" s="205">
        <v>-0.2470498</v>
      </c>
      <c r="BJ113" s="205">
        <v>0.48398467</v>
      </c>
      <c r="BK113" s="205">
        <v>-0.7126437</v>
      </c>
      <c r="BL113" s="205">
        <v>0.33195402</v>
      </c>
      <c r="BM113" s="205">
        <v>-0.1336398</v>
      </c>
      <c r="BN113" s="205">
        <v>-0.5633716</v>
      </c>
      <c r="BO113" s="205">
        <v>-0.0076628</v>
      </c>
      <c r="BP113" s="205">
        <v>0.81501916</v>
      </c>
      <c r="BQ113" s="206"/>
      <c r="BR113" s="250">
        <f t="shared" si="1"/>
        <v>0.1619733656</v>
      </c>
      <c r="BS113" s="250">
        <f t="shared" si="2"/>
        <v>0.5747277004</v>
      </c>
      <c r="BT113" s="206"/>
      <c r="BU113" s="207">
        <f>IFERROR(__xludf.DUMMYFUNCTION("AVERAGE(ARRAYFORMULA(XLOOKUP(FILTER(INDIRECT(""'""&amp;BU$1&amp;""'!$C$4:$C$66""),INDIRECT(""'""&amp;BU$1&amp;""'!$D$4:$D$66"")=BU$2),$F$3:$BP$3,$F113:$BP113)))"),-0.21955118142857138)</f>
        <v>-0.2195511814</v>
      </c>
      <c r="BV113" s="207" t="str">
        <f>IFERROR(__xludf.DUMMYFUNCTION("IF(OR(BU113&gt;$BR113+$BS113*$BS$2,BU113&lt;$BR113-$BS113*$BS$2),AVEDEV(ARRAYFORMULA(XLOOKUP(FILTER(INDIRECT(""'""&amp;BU$1&amp;""'!$C$4:$C$66""),INDIRECT(""'""&amp;BU$1&amp;""'!$D$4:$D$66"")=BU$2),$F$3:$BP$3,$F113:$BP113))),"""")"),"")</f>
        <v/>
      </c>
      <c r="BW113" s="207">
        <f>IFERROR(__xludf.DUMMYFUNCTION("AVERAGE(ARRAYFORMULA(XLOOKUP(FILTER(INDIRECT(""'""&amp;BW$1&amp;""'!$C$4:$C$66""),INDIRECT(""'""&amp;BW$1&amp;""'!$D$4:$D$66"")=BW$2),$F$3:$BP$3,$F113:$BP113)))"),0.2992271511904762)</f>
        <v>0.2992271512</v>
      </c>
      <c r="BX113" s="207" t="str">
        <f>IFERROR(__xludf.DUMMYFUNCTION("IF(OR(BW113&gt;$BR113+$BS113*$BS$2,BW113&lt;$BR113-$BS113*$BS$2),AVEDEV(ARRAYFORMULA(XLOOKUP(FILTER(INDIRECT(""'""&amp;BW$1&amp;""'!$C$4:$C$66""),INDIRECT(""'""&amp;BW$1&amp;""'!$D$4:$D$66"")=BW$2),$F$3:$BP$3,$F113:$BP113))),"""")"),"")</f>
        <v/>
      </c>
      <c r="BY113" s="207">
        <f>IFERROR(__xludf.DUMMYFUNCTION("AVERAGE(ARRAYFORMULA(XLOOKUP(FILTER(INDIRECT(""'""&amp;BY$1&amp;""'!$C$4:$C$66""),INDIRECT(""'""&amp;BY$1&amp;""'!$D$4:$D$66"")=BY$2),$F$3:$BP$3,$F113:$BP113)))"),-0.016300930000000016)</f>
        <v>-0.01630093</v>
      </c>
      <c r="BZ113" s="207" t="str">
        <f>IFERROR(__xludf.DUMMYFUNCTION("IF(OR(BY113&gt;$BR113+$BS113*$BS$2,BY113&lt;$BR113-$BS113*$BS$2),AVEDEV(ARRAYFORMULA(XLOOKUP(FILTER(INDIRECT(""'""&amp;BY$1&amp;""'!$C$4:$C$66""),INDIRECT(""'""&amp;BY$1&amp;""'!$D$4:$D$66"")=BY$2),$F$3:$BP$3,$F113:$BP113))),"""")"),"")</f>
        <v/>
      </c>
      <c r="CA113" s="209"/>
      <c r="CB113" s="207">
        <f>IFERROR(__xludf.DUMMYFUNCTION("AVERAGE(ARRAYFORMULA(XLOOKUP(FILTER(INDIRECT(""'""&amp;CB$1&amp;""'!$C$4:$C$66""),INDIRECT(""'""&amp;CB$1&amp;""'!$D$4:$D$66"")=CB$2),$F$3:$BP$3,$F113:$BP113)))"),0.502068964375)</f>
        <v>0.5020689644</v>
      </c>
      <c r="CC113" s="207" t="str">
        <f>IFERROR(__xludf.DUMMYFUNCTION("IF(OR(CB113&gt;$BR113+$BS113*$BS$2,CB113&lt;$BR113-$BS113*$BS$2),AVEDEV(ARRAYFORMULA(XLOOKUP(FILTER(INDIRECT(""'""&amp;CB$1&amp;""'!$C$4:$C$66""),INDIRECT(""'""&amp;CB$1&amp;""'!$D$4:$D$66"")=CB$2),$F$3:$BP$3,$F113:$BP113))),"""")"),"")</f>
        <v/>
      </c>
      <c r="CD113" s="207">
        <f>IFERROR(__xludf.DUMMYFUNCTION("AVERAGE(ARRAYFORMULA(XLOOKUP(FILTER(INDIRECT(""'""&amp;CD$1&amp;""'!$C$4:$C$66""),INDIRECT(""'""&amp;CD$1&amp;""'!$D$4:$D$66"")=CD$2),$F$3:$BP$3,$F113:$BP113)))"),0.06909010258064514)</f>
        <v>0.06909010258</v>
      </c>
      <c r="CE113" s="207" t="str">
        <f>IFERROR(__xludf.DUMMYFUNCTION("IF(OR(CD113&gt;$BR113+$BS113*$BS$2,CD113&lt;$BR113-$BS113*$BS$2),AVEDEV(ARRAYFORMULA(XLOOKUP(FILTER(INDIRECT(""'""&amp;CD$1&amp;""'!$C$4:$C$66""),INDIRECT(""'""&amp;CD$1&amp;""'!$D$4:$D$66"")=CD$2),$F$3:$BP$3,$F113:$BP113))),"""")"),"")</f>
        <v/>
      </c>
      <c r="CF113" s="207">
        <f>IFERROR(__xludf.DUMMYFUNCTION("AVERAGE(ARRAYFORMULA(XLOOKUP(FILTER(INDIRECT(""'""&amp;CF$1&amp;""'!$C$4:$C$66""),INDIRECT(""'""&amp;CF$1&amp;""'!$D$4:$D$66"")=CF$2),$F$3:$BP$3,$F113:$BP113)))"),-0.143509572)</f>
        <v>-0.143509572</v>
      </c>
      <c r="CG113" s="207" t="str">
        <f>IFERROR(__xludf.DUMMYFUNCTION("IF(OR(CF113&gt;$BR113+$BS113*$BS$2,CF113&lt;$BR113-$BS113*$BS$2),AVEDEV(ARRAYFORMULA(XLOOKUP(FILTER(INDIRECT(""'""&amp;CF$1&amp;""'!$C$4:$C$66""),INDIRECT(""'""&amp;CF$1&amp;""'!$D$4:$D$66"")=CF$2),$F$3:$BP$3,$F113:$BP113))),"""")"),"")</f>
        <v/>
      </c>
      <c r="CH113" s="206"/>
      <c r="CI113" s="251">
        <f>IFERROR(__xludf.DUMMYFUNCTION("AVERAGE(ARRAYFORMULA(XLOOKUP(FILTER(INDIRECT(""'""&amp;CI$1&amp;""'!$C$4:$C$66""),INDIRECT(""'""&amp;CI$1&amp;""'!$D$4:$D$66"")=CI$2),$F$3:$BP$3,$F113:$BP113)))"),-0.10425542466666667)</f>
        <v>-0.1042554247</v>
      </c>
      <c r="CJ113" s="207" t="str">
        <f>IFERROR(__xludf.DUMMYFUNCTION("IF(OR(CI113&gt;$BR113+$BS113*$BS$2,CI113&lt;$BR113-$BS113*$BS$2),AVEDEV(ARRAYFORMULA(XLOOKUP(FILTER(INDIRECT(""'""&amp;CI$1&amp;""'!$C$4:$C$66""),INDIRECT(""'""&amp;CI$1&amp;""'!$D$4:$D$66"")=CI$2),$F$3:$BP$3,$F113:$BP113))),"""")"),"")</f>
        <v/>
      </c>
      <c r="CK113" s="251">
        <f>IFERROR(__xludf.DUMMYFUNCTION("AVERAGE(ARRAYFORMULA(XLOOKUP(FILTER(INDIRECT(""'""&amp;CK$1&amp;""'!$C$4:$C$66""),INDIRECT(""'""&amp;CK$1&amp;""'!$D$4:$D$66"")=CK$2),$F$3:$BP$3,$F113:$BP113)))"),0.35501012256410264)</f>
        <v>0.3550101226</v>
      </c>
      <c r="CL113" s="207" t="str">
        <f>IFERROR(__xludf.DUMMYFUNCTION("IF(OR(CK113&gt;$BR113+$BS113*$BS$2,CK113&lt;$BR113-$BS113*$BS$2),AVEDEV(ARRAYFORMULA(XLOOKUP(FILTER(INDIRECT(""'""&amp;CK$1&amp;""'!$C$4:$C$66""),INDIRECT(""'""&amp;CK$1&amp;""'!$D$4:$D$66"")=CK$2),$F$3:$BP$3,$F113:$BP113))),"""")"),"")</f>
        <v/>
      </c>
      <c r="CM113" s="251">
        <f>IFERROR(__xludf.DUMMYFUNCTION("AVERAGE(ARRAYFORMULA(XLOOKUP(FILTER(INDIRECT(""'""&amp;CM$1&amp;""'!$C$4:$C$66""),INDIRECT(""'""&amp;CM$1&amp;""'!$D$4:$D$66"")=CM$2),$F$3:$BP$3,$F113:$BP113)))"),-0.143509572)</f>
        <v>-0.143509572</v>
      </c>
      <c r="CN113" s="207" t="str">
        <f>IFERROR(__xludf.DUMMYFUNCTION("IF(OR(CM113&gt;$BR113+$BS113*$BS$2,CM113&lt;$BR113-$BS113*$BS$2),AVEDEV(ARRAYFORMULA(XLOOKUP(FILTER(INDIRECT(""'""&amp;CM$1&amp;""'!$C$4:$C$66""),INDIRECT(""'""&amp;CM$1&amp;""'!$D$4:$D$66"")=CM$2),$F$3:$BP$3,$F113:$BP113))),"""")"),"")</f>
        <v/>
      </c>
      <c r="CO113" s="252"/>
      <c r="CP113" s="251">
        <f>IFERROR(__xludf.DUMMYFUNCTION("AVERAGE(ARRAYFORMULA(XLOOKUP(FILTER(INDIRECT(""'""&amp;CP$1&amp;""'!$C$4:$C$66""),INDIRECT(""'""&amp;CP$1&amp;""'!$D$4:$D$66"")=CP$2),$F$3:$BP$3,$F113:$BP113)))"),0.6724028485714285)</f>
        <v>0.6724028486</v>
      </c>
      <c r="CQ113" s="207" t="str">
        <f>IFERROR(__xludf.DUMMYFUNCTION("IF(OR(CP113&gt;$BR113+$BS113*$BS$2,CP113&lt;$BR113-$BS113*$BS$2),AVEDEV(ARRAYFORMULA(XLOOKUP(FILTER(INDIRECT(""'""&amp;CP$1&amp;""'!$C$4:$C$66""),INDIRECT(""'""&amp;CP$1&amp;""'!$D$4:$D$66"")=CP$2),$F$3:$BP$3,$F113:$BP113))),"""")"),"")</f>
        <v/>
      </c>
      <c r="CR113" s="251">
        <f>IFERROR(__xludf.DUMMYFUNCTION("AVERAGE(ARRAYFORMULA(XLOOKUP(FILTER(INDIRECT(""'""&amp;CR$1&amp;""'!$C$4:$C$66""),INDIRECT(""'""&amp;CR$1&amp;""'!$D$4:$D$66"")=CR$2),$F$3:$BP$3,$F113:$BP113)))"),-0.003473805555555567)</f>
        <v>-0.003473805556</v>
      </c>
      <c r="CS113" s="207" t="str">
        <f>IFERROR(__xludf.DUMMYFUNCTION("IF(OR(CR113&gt;$BR113+$BS113*$BS$2,CR113&lt;$BR113-$BS113*$BS$2),AVEDEV(ARRAYFORMULA(XLOOKUP(FILTER(INDIRECT(""'""&amp;CR$1&amp;""'!$C$4:$C$66""),INDIRECT(""'""&amp;CR$1&amp;""'!$D$4:$D$66"")=CR$2),$F$3:$BP$3,$F113:$BP113))),"""")"),"")</f>
        <v/>
      </c>
      <c r="CT113" s="251">
        <f>IFERROR(__xludf.DUMMYFUNCTION("AVERAGE(ARRAYFORMULA(XLOOKUP(FILTER(INDIRECT(""'""&amp;CT$1&amp;""'!$C$4:$C$66""),INDIRECT(""'""&amp;CT$1&amp;""'!$D$4:$D$66"")=CT$2),$F$3:$BP$3,$F113:$BP113)))"),-0.39651689727272726)</f>
        <v>-0.3965168973</v>
      </c>
      <c r="CU113" s="207" t="str">
        <f>IFERROR(__xludf.DUMMYFUNCTION("IF(OR(CT113&gt;$BR113+$BS113*$BS$2,CT113&lt;$BR113-$BS113*$BS$2),AVEDEV(ARRAYFORMULA(XLOOKUP(FILTER(INDIRECT(""'""&amp;CT$1&amp;""'!$C$4:$C$66""),INDIRECT(""'""&amp;CT$1&amp;""'!$D$4:$D$66"")=CT$2),$F$3:$BP$3,$F113:$BP113))),"""")"),"")</f>
        <v/>
      </c>
      <c r="CV113" s="251">
        <f>IFERROR(__xludf.DUMMYFUNCTION("AVERAGE(ARRAYFORMULA(XLOOKUP(FILTER(INDIRECT(""'""&amp;CV$1&amp;""'!$C$4:$C$66""),INDIRECT(""'""&amp;CV$1&amp;""'!$D$4:$D$66"")=CV$2),$F$3:$BP$3,$F113:$BP113)))"),1.363984675)</f>
        <v>1.363984675</v>
      </c>
      <c r="CW113" s="207">
        <f>IFERROR(__xludf.DUMMYFUNCTION("IF(OR(CV113&gt;$BR113+$BS113*$BS$2,CV113&lt;$BR113-$BS113*$BS$2),AVEDEV(ARRAYFORMULA(XLOOKUP(FILTER(INDIRECT(""'""&amp;CV$1&amp;""'!$C$4:$C$66""),INDIRECT(""'""&amp;CV$1&amp;""'!$D$4:$D$66"")=CV$2),$F$3:$BP$3,$F113:$BP113))),"""")"),0.07080459500000003)</f>
        <v>0.070804595</v>
      </c>
      <c r="CX113" s="251">
        <f>IFERROR(__xludf.DUMMYFUNCTION("AVERAGE(ARRAYFORMULA(XLOOKUP(FILTER(INDIRECT(""'""&amp;CX$1&amp;""'!$C$4:$C$66""),INDIRECT(""'""&amp;CX$1&amp;""'!$D$4:$D$66"")=CX$2),$F$3:$BP$3,$F113:$BP113)))"),0.34227915642857143)</f>
        <v>0.3422791564</v>
      </c>
      <c r="CY113" s="207" t="str">
        <f>IFERROR(__xludf.DUMMYFUNCTION("IF(OR(CX113&gt;$BR113+$BS113*$BS$2,CX113&lt;$BR113-$BS113*$BS$2),AVEDEV(ARRAYFORMULA(XLOOKUP(FILTER(INDIRECT(""'""&amp;CX$1&amp;""'!$C$4:$C$66""),INDIRECT(""'""&amp;CX$1&amp;""'!$D$4:$D$66"")=CX$2),$F$3:$BP$3,$F113:$BP113))),"""")"),"")</f>
        <v/>
      </c>
      <c r="CZ113" s="252"/>
      <c r="DA113" s="251">
        <f>IFERROR(__xludf.DUMMYFUNCTION("AVERAGE(ARRAYFORMULA(XLOOKUP(FILTER(INDIRECT(""'""&amp;DA$1&amp;""'!$C$4:$C$66""),INDIRECT(""'""&amp;DA$1&amp;""'!$D$4:$D$66"")=DA$2),$F$3:$BP$3,$F113:$BP113)))"),0.37064623500000005)</f>
        <v>0.370646235</v>
      </c>
      <c r="DB113" s="207" t="str">
        <f>IFERROR(__xludf.DUMMYFUNCTION("IF(OR(DA113&gt;$BR113+$BS113*$BS$2,DA113&lt;$BR113-$BS113*$BS$2),AVEDEV(ARRAYFORMULA(XLOOKUP(FILTER(INDIRECT(""'""&amp;DA$1&amp;""'!$C$4:$C$66""),INDIRECT(""'""&amp;DA$1&amp;""'!$D$4:$D$66"")=DA$2),$F$3:$BP$3,$F113:$BP113))),"""")"),"")</f>
        <v/>
      </c>
      <c r="DC113" s="251">
        <f>IFERROR(__xludf.DUMMYFUNCTION("AVERAGE(ARRAYFORMULA(XLOOKUP(FILTER(INDIRECT(""'""&amp;DC$1&amp;""'!$C$4:$C$66""),INDIRECT(""'""&amp;DC$1&amp;""'!$D$4:$D$66"")=DC$2),$F$3:$BP$3,$F113:$BP113)))"),-0.028573853333333357)</f>
        <v>-0.02857385333</v>
      </c>
      <c r="DD113" s="207" t="str">
        <f>IFERROR(__xludf.DUMMYFUNCTION("IF(OR(DC113&gt;$BR113+$BS113*$BS$2,DC113&lt;$BR113-$BS113*$BS$2),AVEDEV(ARRAYFORMULA(XLOOKUP(FILTER(INDIRECT(""'""&amp;DC$1&amp;""'!$C$4:$C$66""),INDIRECT(""'""&amp;DC$1&amp;""'!$D$4:$D$66"")=DC$2),$F$3:$BP$3,$F113:$BP113))),"""")"),"")</f>
        <v/>
      </c>
      <c r="DE113" s="251">
        <f>IFERROR(__xludf.DUMMYFUNCTION("AVERAGE(ARRAYFORMULA(XLOOKUP(FILTER(INDIRECT(""'""&amp;DE$1&amp;""'!$C$4:$C$66""),INDIRECT(""'""&amp;DE$1&amp;""'!$D$4:$D$66"")=DE$2),$F$3:$BP$3,$F113:$BP113)))"),-0.26829119375)</f>
        <v>-0.2682911938</v>
      </c>
      <c r="DF113" s="207" t="str">
        <f>IFERROR(__xludf.DUMMYFUNCTION("IF(OR(DE113&gt;$BR113+$BS113*$BS$2,DE113&lt;$BR113-$BS113*$BS$2),AVEDEV(ARRAYFORMULA(XLOOKUP(FILTER(INDIRECT(""'""&amp;DE$1&amp;""'!$C$4:$C$66""),INDIRECT(""'""&amp;DE$1&amp;""'!$D$4:$D$66"")=DE$2),$F$3:$BP$3,$F113:$BP113))),"""")"),"")</f>
        <v/>
      </c>
      <c r="DG113" s="251">
        <f>IFERROR(__xludf.DUMMYFUNCTION("AVERAGE(ARRAYFORMULA(XLOOKUP(FILTER(INDIRECT(""'""&amp;DG$1&amp;""'!$C$4:$C$66""),INDIRECT(""'""&amp;DG$1&amp;""'!$D$4:$D$66"")=DG$2),$F$3:$BP$3,$F113:$BP113)))"),0.14951043888888887)</f>
        <v>0.1495104389</v>
      </c>
      <c r="DH113" s="207" t="str">
        <f>IFERROR(__xludf.DUMMYFUNCTION("IF(OR(DG113&gt;$BR113+$BS113*$BS$2,DG113&lt;$BR113-$BS113*$BS$2),AVEDEV(ARRAYFORMULA(XLOOKUP(FILTER(INDIRECT(""'""&amp;DG$1&amp;""'!$C$4:$C$66""),INDIRECT(""'""&amp;DG$1&amp;""'!$D$4:$D$66"")=DG$2),$F$3:$BP$3,$F113:$BP113))),"""")"),"")</f>
        <v/>
      </c>
      <c r="DI113" s="252"/>
    </row>
    <row r="114">
      <c r="A114" s="2"/>
      <c r="B114" s="204" t="s">
        <v>540</v>
      </c>
      <c r="C114" s="204" t="s">
        <v>557</v>
      </c>
      <c r="D114" s="205" t="b">
        <f>VLOOKUP(C114,'Feature Set List'!A111:C246,2,0)</f>
        <v>1</v>
      </c>
      <c r="E114" s="205" t="b">
        <f>VLOOKUP(C114,'Feature Set List'!A111:C246,3,0)</f>
        <v>1</v>
      </c>
      <c r="F114" s="205">
        <v>0.12390512</v>
      </c>
      <c r="G114" s="205">
        <v>-0.185538</v>
      </c>
      <c r="H114" s="205">
        <v>-0.8729621</v>
      </c>
      <c r="I114" s="205">
        <v>0.25752829</v>
      </c>
      <c r="J114" s="205">
        <v>2.97730324</v>
      </c>
      <c r="K114" s="205">
        <v>-0.3025382</v>
      </c>
      <c r="L114" s="205">
        <v>-1.0707244</v>
      </c>
      <c r="M114" s="205">
        <v>0.41736462</v>
      </c>
      <c r="N114" s="205">
        <v>-0.0905313</v>
      </c>
      <c r="O114" s="205">
        <v>-0.756857</v>
      </c>
      <c r="P114" s="205">
        <v>2.16021993</v>
      </c>
      <c r="Q114" s="205">
        <v>-0.2664791</v>
      </c>
      <c r="R114" s="205">
        <v>-0.4884598</v>
      </c>
      <c r="S114" s="205">
        <v>0.41608593</v>
      </c>
      <c r="T114" s="205">
        <v>-0.9796049</v>
      </c>
      <c r="U114" s="205">
        <v>-0.5557189</v>
      </c>
      <c r="V114" s="205">
        <v>-0.3585449</v>
      </c>
      <c r="W114" s="205">
        <v>-0.7856275</v>
      </c>
      <c r="X114" s="205">
        <v>1.14749696</v>
      </c>
      <c r="Y114" s="205">
        <v>0.81248002</v>
      </c>
      <c r="Z114" s="205">
        <v>-0.2749185</v>
      </c>
      <c r="AA114" s="205">
        <v>-0.4820664</v>
      </c>
      <c r="AB114" s="205">
        <v>0.23834793</v>
      </c>
      <c r="AC114" s="205">
        <v>0.40713509</v>
      </c>
      <c r="AD114" s="205">
        <v>0.13234448</v>
      </c>
      <c r="AE114" s="205">
        <v>0.75110287</v>
      </c>
      <c r="AF114" s="205">
        <v>-0.531296</v>
      </c>
      <c r="AG114" s="205">
        <v>-0.2476824</v>
      </c>
      <c r="AH114" s="205">
        <v>0.64880762</v>
      </c>
      <c r="AI114" s="205">
        <v>-0.8729621</v>
      </c>
      <c r="AJ114" s="205">
        <v>0.27159389</v>
      </c>
      <c r="AK114" s="205">
        <v>0.76900454</v>
      </c>
      <c r="AL114" s="205">
        <v>0.47874177</v>
      </c>
      <c r="AM114" s="205">
        <v>0.63090595</v>
      </c>
      <c r="AN114" s="205">
        <v>-0.5893485</v>
      </c>
      <c r="AO114" s="205">
        <v>1.39812032</v>
      </c>
      <c r="AP114" s="205">
        <v>-0.4559811</v>
      </c>
      <c r="AQ114" s="205">
        <v>0.08810178</v>
      </c>
      <c r="AR114" s="205">
        <v>-0.4343712</v>
      </c>
      <c r="AS114" s="205">
        <v>-0.1519084</v>
      </c>
      <c r="AT114" s="205">
        <v>5.03343776</v>
      </c>
      <c r="AU114" s="205">
        <v>0.32274151</v>
      </c>
      <c r="AV114" s="205">
        <v>-0.0084394</v>
      </c>
      <c r="AW114" s="205">
        <v>1.060546</v>
      </c>
      <c r="AX114" s="205">
        <v>-0.9302474</v>
      </c>
      <c r="AY114" s="205">
        <v>-0.0318394</v>
      </c>
      <c r="AZ114" s="205">
        <v>-0.5590435</v>
      </c>
      <c r="BA114" s="205">
        <v>0.22556103</v>
      </c>
      <c r="BB114" s="205">
        <v>1.16539863</v>
      </c>
      <c r="BC114" s="205">
        <v>0.21916757</v>
      </c>
      <c r="BD114" s="205">
        <v>-0.9757688</v>
      </c>
      <c r="BE114" s="205">
        <v>0.06892142</v>
      </c>
      <c r="BF114" s="205">
        <v>-0.0343968</v>
      </c>
      <c r="BG114" s="205">
        <v>0.0</v>
      </c>
      <c r="BH114" s="205">
        <v>1.70244869</v>
      </c>
      <c r="BI114" s="205">
        <v>0.1264625</v>
      </c>
      <c r="BJ114" s="205">
        <v>1.02346397</v>
      </c>
      <c r="BK114" s="205">
        <v>-1.0228758</v>
      </c>
      <c r="BL114" s="205">
        <v>-0.0359312</v>
      </c>
      <c r="BM114" s="205">
        <v>3.09110671</v>
      </c>
      <c r="BN114" s="205">
        <v>-0.0756985</v>
      </c>
      <c r="BO114" s="205">
        <v>1.62316987</v>
      </c>
      <c r="BP114" s="205">
        <v>-0.3121284</v>
      </c>
      <c r="BQ114" s="206"/>
      <c r="BR114" s="250">
        <f t="shared" si="1"/>
        <v>0.2388654938</v>
      </c>
      <c r="BS114" s="250">
        <f t="shared" si="2"/>
        <v>0.7324538991</v>
      </c>
      <c r="BT114" s="206"/>
      <c r="BU114" s="207">
        <f>IFERROR(__xludf.DUMMYFUNCTION("AVERAGE(ARRAYFORMULA(XLOOKUP(FILTER(INDIRECT(""'""&amp;BU$1&amp;""'!$C$4:$C$66""),INDIRECT(""'""&amp;BU$1&amp;""'!$D$4:$D$66"")=BU$2),$F$3:$BP$3,$F114:$BP114)))"),-0.7225588385714286)</f>
        <v>-0.7225588386</v>
      </c>
      <c r="BV114" s="207">
        <f>IFERROR(__xludf.DUMMYFUNCTION("IF(OR(BU114&gt;$BR114+$BS114*$BS$2,BU114&lt;$BR114-$BS114*$BS$2),AVEDEV(ARRAYFORMULA(XLOOKUP(FILTER(INDIRECT(""'""&amp;BU$1&amp;""'!$C$4:$C$66""),INDIRECT(""'""&amp;BU$1&amp;""'!$D$4:$D$66"")=BU$2),$F$3:$BP$3,$F114:$BP114))),"""")"),0.308951487755102)</f>
        <v>0.3089514878</v>
      </c>
      <c r="BW114" s="207">
        <f>IFERROR(__xludf.DUMMYFUNCTION("AVERAGE(ARRAYFORMULA(XLOOKUP(FILTER(INDIRECT(""'""&amp;BW$1&amp;""'!$C$4:$C$66""),INDIRECT(""'""&amp;BW$1&amp;""'!$D$4:$D$66"")=BW$2),$F$3:$BP$3,$F114:$BP114)))"),0.39056386833333334)</f>
        <v>0.3905638683</v>
      </c>
      <c r="BX114" s="207" t="str">
        <f>IFERROR(__xludf.DUMMYFUNCTION("IF(OR(BW114&gt;$BR114+$BS114*$BS$2,BW114&lt;$BR114-$BS114*$BS$2),AVEDEV(ARRAYFORMULA(XLOOKUP(FILTER(INDIRECT(""'""&amp;BW$1&amp;""'!$C$4:$C$66""),INDIRECT(""'""&amp;BW$1&amp;""'!$D$4:$D$66"")=BW$2),$F$3:$BP$3,$F114:$BP114))),"""")"),"")</f>
        <v/>
      </c>
      <c r="BY114" s="207">
        <f>IFERROR(__xludf.DUMMYFUNCTION("AVERAGE(ARRAYFORMULA(XLOOKUP(FILTER(INDIRECT(""'""&amp;BY$1&amp;""'!$C$4:$C$66""),INDIRECT(""'""&amp;BY$1&amp;""'!$D$4:$D$66"")=BY$2),$F$3:$BP$3,$F114:$BP114)))"),-0.06153524727272732)</f>
        <v>-0.06153524727</v>
      </c>
      <c r="BZ114" s="207" t="str">
        <f>IFERROR(__xludf.DUMMYFUNCTION("IF(OR(BY114&gt;$BR114+$BS114*$BS$2,BY114&lt;$BR114-$BS114*$BS$2),AVEDEV(ARRAYFORMULA(XLOOKUP(FILTER(INDIRECT(""'""&amp;BY$1&amp;""'!$C$4:$C$66""),INDIRECT(""'""&amp;BY$1&amp;""'!$D$4:$D$66"")=BY$2),$F$3:$BP$3,$F114:$BP114))),"""")"),"")</f>
        <v/>
      </c>
      <c r="CA114" s="209"/>
      <c r="CB114" s="207">
        <f>IFERROR(__xludf.DUMMYFUNCTION("AVERAGE(ARRAYFORMULA(XLOOKUP(FILTER(INDIRECT(""'""&amp;CB$1&amp;""'!$C$4:$C$66""),INDIRECT(""'""&amp;CB$1&amp;""'!$D$4:$D$66"")=CB$2),$F$3:$BP$3,$F114:$BP114)))"),0.22056613812499998)</f>
        <v>0.2205661381</v>
      </c>
      <c r="CC114" s="207" t="str">
        <f>IFERROR(__xludf.DUMMYFUNCTION("IF(OR(CB114&gt;$BR114+$BS114*$BS$2,CB114&lt;$BR114-$BS114*$BS$2),AVEDEV(ARRAYFORMULA(XLOOKUP(FILTER(INDIRECT(""'""&amp;CB$1&amp;""'!$C$4:$C$66""),INDIRECT(""'""&amp;CB$1&amp;""'!$D$4:$D$66"")=CB$2),$F$3:$BP$3,$F114:$BP114))),"""")"),"")</f>
        <v/>
      </c>
      <c r="CD114" s="207">
        <f>IFERROR(__xludf.DUMMYFUNCTION("AVERAGE(ARRAYFORMULA(XLOOKUP(FILTER(INDIRECT(""'""&amp;CD$1&amp;""'!$C$4:$C$66""),INDIRECT(""'""&amp;CD$1&amp;""'!$D$4:$D$66"")=CD$2),$F$3:$BP$3,$F114:$BP114)))"),0.3143656722580645)</f>
        <v>0.3143656723</v>
      </c>
      <c r="CE114" s="207" t="str">
        <f>IFERROR(__xludf.DUMMYFUNCTION("IF(OR(CD114&gt;$BR114+$BS114*$BS$2,CD114&lt;$BR114-$BS114*$BS$2),AVEDEV(ARRAYFORMULA(XLOOKUP(FILTER(INDIRECT(""'""&amp;CD$1&amp;""'!$C$4:$C$66""),INDIRECT(""'""&amp;CD$1&amp;""'!$D$4:$D$66"")=CD$2),$F$3:$BP$3,$F114:$BP114))),"""")"),"")</f>
        <v/>
      </c>
      <c r="CF114" s="207">
        <f>IFERROR(__xludf.DUMMYFUNCTION("AVERAGE(ARRAYFORMULA(XLOOKUP(FILTER(INDIRECT(""'""&amp;CF$1&amp;""'!$C$4:$C$66""),INDIRECT(""'""&amp;CF$1&amp;""'!$D$4:$D$66"")=CF$2),$F$3:$BP$3,$F114:$BP114)))"),-0.273716514)</f>
        <v>-0.273716514</v>
      </c>
      <c r="CG114" s="207" t="str">
        <f>IFERROR(__xludf.DUMMYFUNCTION("IF(OR(CF114&gt;$BR114+$BS114*$BS$2,CF114&lt;$BR114-$BS114*$BS$2),AVEDEV(ARRAYFORMULA(XLOOKUP(FILTER(INDIRECT(""'""&amp;CF$1&amp;""'!$C$4:$C$66""),INDIRECT(""'""&amp;CF$1&amp;""'!$D$4:$D$66"")=CF$2),$F$3:$BP$3,$F114:$BP114))),"""")"),"")</f>
        <v/>
      </c>
      <c r="CH114" s="206"/>
      <c r="CI114" s="251">
        <f>IFERROR(__xludf.DUMMYFUNCTION("AVERAGE(ARRAYFORMULA(XLOOKUP(FILTER(INDIRECT(""'""&amp;CI$1&amp;""'!$C$4:$C$66""),INDIRECT(""'""&amp;CI$1&amp;""'!$D$4:$D$66"")=CI$2),$F$3:$BP$3,$F114:$BP114)))"),-0.11494576400000002)</f>
        <v>-0.114945764</v>
      </c>
      <c r="CJ114" s="207" t="str">
        <f>IFERROR(__xludf.DUMMYFUNCTION("IF(OR(CI114&gt;$BR114+$BS114*$BS$2,CI114&lt;$BR114-$BS114*$BS$2),AVEDEV(ARRAYFORMULA(XLOOKUP(FILTER(INDIRECT(""'""&amp;CI$1&amp;""'!$C$4:$C$66""),INDIRECT(""'""&amp;CI$1&amp;""'!$D$4:$D$66"")=CI$2),$F$3:$BP$3,$F114:$BP114))),"""")"),"")</f>
        <v/>
      </c>
      <c r="CK114" s="251">
        <f>IFERROR(__xludf.DUMMYFUNCTION("AVERAGE(ARRAYFORMULA(XLOOKUP(FILTER(INDIRECT(""'""&amp;CK$1&amp;""'!$C$4:$C$66""),INDIRECT(""'""&amp;CK$1&amp;""'!$D$4:$D$66"")=CK$2),$F$3:$BP$3,$F114:$BP114)))"),0.3790904541025641)</f>
        <v>0.3790904541</v>
      </c>
      <c r="CL114" s="207" t="str">
        <f>IFERROR(__xludf.DUMMYFUNCTION("IF(OR(CK114&gt;$BR114+$BS114*$BS$2,CK114&lt;$BR114-$BS114*$BS$2),AVEDEV(ARRAYFORMULA(XLOOKUP(FILTER(INDIRECT(""'""&amp;CK$1&amp;""'!$C$4:$C$66""),INDIRECT(""'""&amp;CK$1&amp;""'!$D$4:$D$66"")=CK$2),$F$3:$BP$3,$F114:$BP114))),"""")"),"")</f>
        <v/>
      </c>
      <c r="CM114" s="251">
        <f>IFERROR(__xludf.DUMMYFUNCTION("AVERAGE(ARRAYFORMULA(XLOOKUP(FILTER(INDIRECT(""'""&amp;CM$1&amp;""'!$C$4:$C$66""),INDIRECT(""'""&amp;CM$1&amp;""'!$D$4:$D$66"")=CM$2),$F$3:$BP$3,$F114:$BP114)))"),-0.273716514)</f>
        <v>-0.273716514</v>
      </c>
      <c r="CN114" s="207" t="str">
        <f>IFERROR(__xludf.DUMMYFUNCTION("IF(OR(CM114&gt;$BR114+$BS114*$BS$2,CM114&lt;$BR114-$BS114*$BS$2),AVEDEV(ARRAYFORMULA(XLOOKUP(FILTER(INDIRECT(""'""&amp;CM$1&amp;""'!$C$4:$C$66""),INDIRECT(""'""&amp;CM$1&amp;""'!$D$4:$D$66"")=CM$2),$F$3:$BP$3,$F114:$BP114))),"""")"),"")</f>
        <v/>
      </c>
      <c r="CO114" s="252"/>
      <c r="CP114" s="251">
        <f>IFERROR(__xludf.DUMMYFUNCTION("AVERAGE(ARRAYFORMULA(XLOOKUP(FILTER(INDIRECT(""'""&amp;CP$1&amp;""'!$C$4:$C$66""),INDIRECT(""'""&amp;CP$1&amp;""'!$D$4:$D$66"")=CP$2),$F$3:$BP$3,$F114:$BP114)))"),0.23215541071428575)</f>
        <v>0.2321554107</v>
      </c>
      <c r="CQ114" s="207" t="str">
        <f>IFERROR(__xludf.DUMMYFUNCTION("IF(OR(CP114&gt;$BR114+$BS114*$BS$2,CP114&lt;$BR114-$BS114*$BS$2),AVEDEV(ARRAYFORMULA(XLOOKUP(FILTER(INDIRECT(""'""&amp;CP$1&amp;""'!$C$4:$C$66""),INDIRECT(""'""&amp;CP$1&amp;""'!$D$4:$D$66"")=CP$2),$F$3:$BP$3,$F114:$BP114))),"""")"),"")</f>
        <v/>
      </c>
      <c r="CR114" s="251">
        <f>IFERROR(__xludf.DUMMYFUNCTION("AVERAGE(ARRAYFORMULA(XLOOKUP(FILTER(INDIRECT(""'""&amp;CR$1&amp;""'!$C$4:$C$66""),INDIRECT(""'""&amp;CR$1&amp;""'!$D$4:$D$66"")=CR$2),$F$3:$BP$3,$F114:$BP114)))"),-0.06767968000000003)</f>
        <v>-0.06767968</v>
      </c>
      <c r="CS114" s="207" t="str">
        <f>IFERROR(__xludf.DUMMYFUNCTION("IF(OR(CR114&gt;$BR114+$BS114*$BS$2,CR114&lt;$BR114-$BS114*$BS$2),AVEDEV(ARRAYFORMULA(XLOOKUP(FILTER(INDIRECT(""'""&amp;CR$1&amp;""'!$C$4:$C$66""),INDIRECT(""'""&amp;CR$1&amp;""'!$D$4:$D$66"")=CR$2),$F$3:$BP$3,$F114:$BP114))),"""")"),"")</f>
        <v/>
      </c>
      <c r="CT114" s="251">
        <f>IFERROR(__xludf.DUMMYFUNCTION("AVERAGE(ARRAYFORMULA(XLOOKUP(FILTER(INDIRECT(""'""&amp;CT$1&amp;""'!$C$4:$C$66""),INDIRECT(""'""&amp;CT$1&amp;""'!$D$4:$D$66"")=CT$2),$F$3:$BP$3,$F114:$BP114)))"),-0.06792172636363636)</f>
        <v>-0.06792172636</v>
      </c>
      <c r="CU114" s="207" t="str">
        <f>IFERROR(__xludf.DUMMYFUNCTION("IF(OR(CT114&gt;$BR114+$BS114*$BS$2,CT114&lt;$BR114-$BS114*$BS$2),AVEDEV(ARRAYFORMULA(XLOOKUP(FILTER(INDIRECT(""'""&amp;CT$1&amp;""'!$C$4:$C$66""),INDIRECT(""'""&amp;CT$1&amp;""'!$D$4:$D$66"")=CT$2),$F$3:$BP$3,$F114:$BP114))),"""")"),"")</f>
        <v/>
      </c>
      <c r="CV114" s="251">
        <f>IFERROR(__xludf.DUMMYFUNCTION("AVERAGE(ARRAYFORMULA(XLOOKUP(FILTER(INDIRECT(""'""&amp;CV$1&amp;""'!$C$4:$C$66""),INDIRECT(""'""&amp;CV$1&amp;""'!$D$4:$D$66"")=CV$2),$F$3:$BP$3,$F114:$BP114)))"),0.203567545)</f>
        <v>0.203567545</v>
      </c>
      <c r="CW114" s="207" t="str">
        <f>IFERROR(__xludf.DUMMYFUNCTION("IF(OR(CV114&gt;$BR114+$BS114*$BS$2,CV114&lt;$BR114-$BS114*$BS$2),AVEDEV(ARRAYFORMULA(XLOOKUP(FILTER(INDIRECT(""'""&amp;CV$1&amp;""'!$C$4:$C$66""),INDIRECT(""'""&amp;CV$1&amp;""'!$D$4:$D$66"")=CV$2),$F$3:$BP$3,$F114:$BP114))),"""")"),"")</f>
        <v/>
      </c>
      <c r="CX114" s="251">
        <f>IFERROR(__xludf.DUMMYFUNCTION("AVERAGE(ARRAYFORMULA(XLOOKUP(FILTER(INDIRECT(""'""&amp;CX$1&amp;""'!$C$4:$C$66""),INDIRECT(""'""&amp;CX$1&amp;""'!$D$4:$D$66"")=CX$2),$F$3:$BP$3,$F114:$BP114)))"),0.7799099414285715)</f>
        <v>0.7799099414</v>
      </c>
      <c r="CY114" s="207" t="str">
        <f>IFERROR(__xludf.DUMMYFUNCTION("IF(OR(CX114&gt;$BR114+$BS114*$BS$2,CX114&lt;$BR114-$BS114*$BS$2),AVEDEV(ARRAYFORMULA(XLOOKUP(FILTER(INDIRECT(""'""&amp;CX$1&amp;""'!$C$4:$C$66""),INDIRECT(""'""&amp;CX$1&amp;""'!$D$4:$D$66"")=CX$2),$F$3:$BP$3,$F114:$BP114))),"""")"),"")</f>
        <v/>
      </c>
      <c r="CZ114" s="252"/>
      <c r="DA114" s="251">
        <f>IFERROR(__xludf.DUMMYFUNCTION("AVERAGE(ARRAYFORMULA(XLOOKUP(FILTER(INDIRECT(""'""&amp;DA$1&amp;""'!$C$4:$C$66""),INDIRECT(""'""&amp;DA$1&amp;""'!$D$4:$D$66"")=DA$2),$F$3:$BP$3,$F114:$BP114)))"),0.4592502580000001)</f>
        <v>0.459250258</v>
      </c>
      <c r="DB114" s="207" t="str">
        <f>IFERROR(__xludf.DUMMYFUNCTION("IF(OR(DA114&gt;$BR114+$BS114*$BS$2,DA114&lt;$BR114-$BS114*$BS$2),AVEDEV(ARRAYFORMULA(XLOOKUP(FILTER(INDIRECT(""'""&amp;DA$1&amp;""'!$C$4:$C$66""),INDIRECT(""'""&amp;DA$1&amp;""'!$D$4:$D$66"")=DA$2),$F$3:$BP$3,$F114:$BP114))),"""")"),"")</f>
        <v/>
      </c>
      <c r="DC114" s="251">
        <f>IFERROR(__xludf.DUMMYFUNCTION("AVERAGE(ARRAYFORMULA(XLOOKUP(FILTER(INDIRECT(""'""&amp;DC$1&amp;""'!$C$4:$C$66""),INDIRECT(""'""&amp;DC$1&amp;""'!$D$4:$D$66"")=DC$2),$F$3:$BP$3,$F114:$BP114)))"),-0.24676740444444448)</f>
        <v>-0.2467674044</v>
      </c>
      <c r="DD114" s="207" t="str">
        <f>IFERROR(__xludf.DUMMYFUNCTION("IF(OR(DC114&gt;$BR114+$BS114*$BS$2,DC114&lt;$BR114-$BS114*$BS$2),AVEDEV(ARRAYFORMULA(XLOOKUP(FILTER(INDIRECT(""'""&amp;DC$1&amp;""'!$C$4:$C$66""),INDIRECT(""'""&amp;DC$1&amp;""'!$D$4:$D$66"")=DC$2),$F$3:$BP$3,$F114:$BP114))),"""")"),"")</f>
        <v/>
      </c>
      <c r="DE114" s="251">
        <f>IFERROR(__xludf.DUMMYFUNCTION("AVERAGE(ARRAYFORMULA(XLOOKUP(FILTER(INDIRECT(""'""&amp;DE$1&amp;""'!$C$4:$C$66""),INDIRECT(""'""&amp;DE$1&amp;""'!$D$4:$D$66"")=DE$2),$F$3:$BP$3,$F114:$BP114)))"),-0.49188031249999997)</f>
        <v>-0.4918803125</v>
      </c>
      <c r="DF114" s="207" t="str">
        <f>IFERROR(__xludf.DUMMYFUNCTION("IF(OR(DE114&gt;$BR114+$BS114*$BS$2,DE114&lt;$BR114-$BS114*$BS$2),AVEDEV(ARRAYFORMULA(XLOOKUP(FILTER(INDIRECT(""'""&amp;DE$1&amp;""'!$C$4:$C$66""),INDIRECT(""'""&amp;DE$1&amp;""'!$D$4:$D$66"")=DE$2),$F$3:$BP$3,$F114:$BP114))),"""")"),"")</f>
        <v/>
      </c>
      <c r="DG114" s="251">
        <f>IFERROR(__xludf.DUMMYFUNCTION("AVERAGE(ARRAYFORMULA(XLOOKUP(FILTER(INDIRECT(""'""&amp;DG$1&amp;""'!$C$4:$C$66""),INDIRECT(""'""&amp;DG$1&amp;""'!$D$4:$D$66"")=DG$2),$F$3:$BP$3,$F114:$BP114)))"),0.5952304777777778)</f>
        <v>0.5952304778</v>
      </c>
      <c r="DH114" s="207" t="str">
        <f>IFERROR(__xludf.DUMMYFUNCTION("IF(OR(DG114&gt;$BR114+$BS114*$BS$2,DG114&lt;$BR114-$BS114*$BS$2),AVEDEV(ARRAYFORMULA(XLOOKUP(FILTER(INDIRECT(""'""&amp;DG$1&amp;""'!$C$4:$C$66""),INDIRECT(""'""&amp;DG$1&amp;""'!$D$4:$D$66"")=DG$2),$F$3:$BP$3,$F114:$BP114))),"""")"),"")</f>
        <v/>
      </c>
      <c r="DI114" s="252"/>
    </row>
    <row r="115">
      <c r="A115" s="2"/>
      <c r="B115" s="204" t="s">
        <v>540</v>
      </c>
      <c r="C115" s="204" t="s">
        <v>558</v>
      </c>
      <c r="D115" s="205" t="b">
        <f>VLOOKUP(C115,'Feature Set List'!A112:C246,2,0)</f>
        <v>1</v>
      </c>
      <c r="E115" s="205" t="b">
        <f>VLOOKUP(C115,'Feature Set List'!A112:C246,3,0)</f>
        <v>1</v>
      </c>
      <c r="F115" s="205">
        <v>2.4656062</v>
      </c>
      <c r="G115" s="205">
        <v>0.0</v>
      </c>
      <c r="H115" s="205">
        <v>0.0326077</v>
      </c>
      <c r="I115" s="205">
        <v>0.28076817</v>
      </c>
      <c r="J115" s="205">
        <v>1.98137575</v>
      </c>
      <c r="K115" s="205">
        <v>-0.256404</v>
      </c>
      <c r="L115" s="205">
        <v>-0.4783379</v>
      </c>
      <c r="M115" s="205">
        <v>-0.3182609</v>
      </c>
      <c r="N115" s="205">
        <v>-0.3084908</v>
      </c>
      <c r="O115" s="205">
        <v>-0.348304</v>
      </c>
      <c r="P115" s="205">
        <v>2.0766342</v>
      </c>
      <c r="Q115" s="205">
        <v>-0.3679052</v>
      </c>
      <c r="R115" s="205">
        <v>-0.387079</v>
      </c>
      <c r="S115" s="205">
        <v>-0.5043813</v>
      </c>
      <c r="T115" s="205">
        <v>-0.5338137</v>
      </c>
      <c r="U115" s="205">
        <v>-0.4692089</v>
      </c>
      <c r="V115" s="205">
        <v>-0.3539218</v>
      </c>
      <c r="W115" s="205">
        <v>-0.1340335</v>
      </c>
      <c r="X115" s="205">
        <v>3.75342717</v>
      </c>
      <c r="Y115" s="205">
        <v>0.42976216</v>
      </c>
      <c r="Z115" s="205">
        <v>-0.3612494</v>
      </c>
      <c r="AA115" s="205">
        <v>-0.1524135</v>
      </c>
      <c r="AB115" s="205">
        <v>0.28748512</v>
      </c>
      <c r="AC115" s="205">
        <v>2.68726529</v>
      </c>
      <c r="AD115" s="205">
        <v>1.23640583</v>
      </c>
      <c r="AE115" s="205">
        <v>0.27466186</v>
      </c>
      <c r="AF115" s="205">
        <v>0.49754221</v>
      </c>
      <c r="AG115" s="205">
        <v>-0.1182792</v>
      </c>
      <c r="AH115" s="205">
        <v>0.71065246</v>
      </c>
      <c r="AI115" s="205">
        <v>0.07987055</v>
      </c>
      <c r="AJ115" s="205">
        <v>-0.2749061</v>
      </c>
      <c r="AK115" s="205">
        <v>-0.2203768</v>
      </c>
      <c r="AL115" s="205">
        <v>2.47415504</v>
      </c>
      <c r="AM115" s="205">
        <v>0.10979147</v>
      </c>
      <c r="AN115" s="205">
        <v>-0.5338137</v>
      </c>
      <c r="AO115" s="205">
        <v>2.40210057</v>
      </c>
      <c r="AP115" s="205">
        <v>-0.2292309</v>
      </c>
      <c r="AQ115" s="205">
        <v>-0.3304125</v>
      </c>
      <c r="AR115" s="205">
        <v>-0.516142</v>
      </c>
      <c r="AS115" s="205">
        <v>-0.2668458</v>
      </c>
      <c r="AT115" s="205">
        <v>2.83748054</v>
      </c>
      <c r="AU115" s="205">
        <v>2.1572375</v>
      </c>
      <c r="AV115" s="205">
        <v>2.04060697</v>
      </c>
      <c r="AW115" s="205">
        <v>-0.2446799</v>
      </c>
      <c r="AX115" s="205">
        <v>-0.5338137</v>
      </c>
      <c r="AY115" s="205">
        <v>0.11101273</v>
      </c>
      <c r="AZ115" s="205">
        <v>-0.3263823</v>
      </c>
      <c r="BA115" s="205">
        <v>0.18734162</v>
      </c>
      <c r="BB115" s="205">
        <v>-0.4622477</v>
      </c>
      <c r="BC115" s="205">
        <v>0.46151498</v>
      </c>
      <c r="BD115" s="205">
        <v>-0.2659909</v>
      </c>
      <c r="BE115" s="205">
        <v>0.17451836</v>
      </c>
      <c r="BF115" s="205">
        <v>0.29542332</v>
      </c>
      <c r="BG115" s="205">
        <v>1.38356792</v>
      </c>
      <c r="BH115" s="205">
        <v>-0.0935487</v>
      </c>
      <c r="BI115" s="205">
        <v>-0.0145941</v>
      </c>
      <c r="BJ115" s="205">
        <v>0.08903001</v>
      </c>
      <c r="BK115" s="205">
        <v>-0.4243275</v>
      </c>
      <c r="BL115" s="205">
        <v>0.6447043</v>
      </c>
      <c r="BM115" s="205">
        <v>3.04021006</v>
      </c>
      <c r="BN115" s="205">
        <v>3.14157482</v>
      </c>
      <c r="BO115" s="205">
        <v>3.75892285</v>
      </c>
      <c r="BP115" s="205">
        <v>-0.2567704</v>
      </c>
      <c r="BQ115" s="206"/>
      <c r="BR115" s="250">
        <f t="shared" si="1"/>
        <v>0.5082078037</v>
      </c>
      <c r="BS115" s="250">
        <f t="shared" si="2"/>
        <v>0.9572188828</v>
      </c>
      <c r="BT115" s="206"/>
      <c r="BU115" s="207">
        <f>IFERROR(__xludf.DUMMYFUNCTION("AVERAGE(ARRAYFORMULA(XLOOKUP(FILTER(INDIRECT(""'""&amp;BU$1&amp;""'!$C$4:$C$66""),INDIRECT(""'""&amp;BU$1&amp;""'!$D$4:$D$66"")=BU$2),$F$3:$BP$3,$F115:$BP115)))"),-0.31977876857142856)</f>
        <v>-0.3197787686</v>
      </c>
      <c r="BV115" s="207" t="str">
        <f>IFERROR(__xludf.DUMMYFUNCTION("IF(OR(BU115&gt;$BR115+$BS115*$BS$2,BU115&lt;$BR115-$BS115*$BS$2),AVEDEV(ARRAYFORMULA(XLOOKUP(FILTER(INDIRECT(""'""&amp;BU$1&amp;""'!$C$4:$C$66""),INDIRECT(""'""&amp;BU$1&amp;""'!$D$4:$D$66"")=BU$2),$F$3:$BP$3,$F115:$BP115))),"""")"),"")</f>
        <v/>
      </c>
      <c r="BW115" s="207">
        <f>IFERROR(__xludf.DUMMYFUNCTION("AVERAGE(ARRAYFORMULA(XLOOKUP(FILTER(INDIRECT(""'""&amp;BW$1&amp;""'!$C$4:$C$66""),INDIRECT(""'""&amp;BW$1&amp;""'!$D$4:$D$66"")=BW$2),$F$3:$BP$3,$F115:$BP115)))"),0.6176728292857142)</f>
        <v>0.6176728293</v>
      </c>
      <c r="BX115" s="207" t="str">
        <f>IFERROR(__xludf.DUMMYFUNCTION("IF(OR(BW115&gt;$BR115+$BS115*$BS$2,BW115&lt;$BR115-$BS115*$BS$2),AVEDEV(ARRAYFORMULA(XLOOKUP(FILTER(INDIRECT(""'""&amp;BW$1&amp;""'!$C$4:$C$66""),INDIRECT(""'""&amp;BW$1&amp;""'!$D$4:$D$66"")=BW$2),$F$3:$BP$3,$F115:$BP115))),"""")"),"")</f>
        <v/>
      </c>
      <c r="BY115" s="207">
        <f>IFERROR(__xludf.DUMMYFUNCTION("AVERAGE(ARRAYFORMULA(XLOOKUP(FILTER(INDIRECT(""'""&amp;BY$1&amp;""'!$C$4:$C$66""),INDIRECT(""'""&amp;BY$1&amp;""'!$D$4:$D$66"")=BY$2),$F$3:$BP$3,$F115:$BP115)))"),0.45288008727272727)</f>
        <v>0.4528800873</v>
      </c>
      <c r="BZ115" s="207" t="str">
        <f>IFERROR(__xludf.DUMMYFUNCTION("IF(OR(BY115&gt;$BR115+$BS115*$BS$2,BY115&lt;$BR115-$BS115*$BS$2),AVEDEV(ARRAYFORMULA(XLOOKUP(FILTER(INDIRECT(""'""&amp;BY$1&amp;""'!$C$4:$C$66""),INDIRECT(""'""&amp;BY$1&amp;""'!$D$4:$D$66"")=BY$2),$F$3:$BP$3,$F115:$BP115))),"""")"),"")</f>
        <v/>
      </c>
      <c r="CA115" s="209"/>
      <c r="CB115" s="207">
        <f>IFERROR(__xludf.DUMMYFUNCTION("AVERAGE(ARRAYFORMULA(XLOOKUP(FILTER(INDIRECT(""'""&amp;CB$1&amp;""'!$C$4:$C$66""),INDIRECT(""'""&amp;CB$1&amp;""'!$D$4:$D$66"")=CB$2),$F$3:$BP$3,$F115:$BP115)))"),0.46369035249999996)</f>
        <v>0.4636903525</v>
      </c>
      <c r="CC115" s="207" t="str">
        <f>IFERROR(__xludf.DUMMYFUNCTION("IF(OR(CB115&gt;$BR115+$BS115*$BS$2,CB115&lt;$BR115-$BS115*$BS$2),AVEDEV(ARRAYFORMULA(XLOOKUP(FILTER(INDIRECT(""'""&amp;CB$1&amp;""'!$C$4:$C$66""),INDIRECT(""'""&amp;CB$1&amp;""'!$D$4:$D$66"")=CB$2),$F$3:$BP$3,$F115:$BP115))),"""")"),"")</f>
        <v/>
      </c>
      <c r="CD115" s="207">
        <f>IFERROR(__xludf.DUMMYFUNCTION("AVERAGE(ARRAYFORMULA(XLOOKUP(FILTER(INDIRECT(""'""&amp;CD$1&amp;""'!$C$4:$C$66""),INDIRECT(""'""&amp;CD$1&amp;""'!$D$4:$D$66"")=CD$2),$F$3:$BP$3,$F115:$BP115)))"),0.5832777687096774)</f>
        <v>0.5832777687</v>
      </c>
      <c r="CE115" s="207" t="str">
        <f>IFERROR(__xludf.DUMMYFUNCTION("IF(OR(CD115&gt;$BR115+$BS115*$BS$2,CD115&lt;$BR115-$BS115*$BS$2),AVEDEV(ARRAYFORMULA(XLOOKUP(FILTER(INDIRECT(""'""&amp;CD$1&amp;""'!$C$4:$C$66""),INDIRECT(""'""&amp;CD$1&amp;""'!$D$4:$D$66"")=CD$2),$F$3:$BP$3,$F115:$BP115))),"""")"),"")</f>
        <v/>
      </c>
      <c r="CF115" s="207">
        <f>IFERROR(__xludf.DUMMYFUNCTION("AVERAGE(ARRAYFORMULA(XLOOKUP(FILTER(INDIRECT(""'""&amp;CF$1&amp;""'!$C$4:$C$66""),INDIRECT(""'""&amp;CF$1&amp;""'!$D$4:$D$66"")=CF$2),$F$3:$BP$3,$F115:$BP115)))"),-0.279957256)</f>
        <v>-0.279957256</v>
      </c>
      <c r="CG115" s="207" t="str">
        <f>IFERROR(__xludf.DUMMYFUNCTION("IF(OR(CF115&gt;$BR115+$BS115*$BS$2,CF115&lt;$BR115-$BS115*$BS$2),AVEDEV(ARRAYFORMULA(XLOOKUP(FILTER(INDIRECT(""'""&amp;CF$1&amp;""'!$C$4:$C$66""),INDIRECT(""'""&amp;CF$1&amp;""'!$D$4:$D$66"")=CF$2),$F$3:$BP$3,$F115:$BP115))),"""")"),"")</f>
        <v/>
      </c>
      <c r="CH115" s="206"/>
      <c r="CI115" s="251">
        <f>IFERROR(__xludf.DUMMYFUNCTION("AVERAGE(ARRAYFORMULA(XLOOKUP(FILTER(INDIRECT(""'""&amp;CI$1&amp;""'!$C$4:$C$66""),INDIRECT(""'""&amp;CI$1&amp;""'!$D$4:$D$66"")=CI$2),$F$3:$BP$3,$F115:$BP115)))"),0.637710544)</f>
        <v>0.637710544</v>
      </c>
      <c r="CJ115" s="207" t="str">
        <f>IFERROR(__xludf.DUMMYFUNCTION("IF(OR(CI115&gt;$BR115+$BS115*$BS$2,CI115&lt;$BR115-$BS115*$BS$2),AVEDEV(ARRAYFORMULA(XLOOKUP(FILTER(INDIRECT(""'""&amp;CI$1&amp;""'!$C$4:$C$66""),INDIRECT(""'""&amp;CI$1&amp;""'!$D$4:$D$66"")=CI$2),$F$3:$BP$3,$F115:$BP115))),"""")"),"")</f>
        <v/>
      </c>
      <c r="CK115" s="251">
        <f>IFERROR(__xludf.DUMMYFUNCTION("AVERAGE(ARRAYFORMULA(XLOOKUP(FILTER(INDIRECT(""'""&amp;CK$1&amp;""'!$C$4:$C$66""),INDIRECT(""'""&amp;CK$1&amp;""'!$D$4:$D$66"")=CK$2),$F$3:$BP$3,$F115:$BP115)))"),0.5370242058974358)</f>
        <v>0.5370242059</v>
      </c>
      <c r="CL115" s="207" t="str">
        <f>IFERROR(__xludf.DUMMYFUNCTION("IF(OR(CK115&gt;$BR115+$BS115*$BS$2,CK115&lt;$BR115-$BS115*$BS$2),AVEDEV(ARRAYFORMULA(XLOOKUP(FILTER(INDIRECT(""'""&amp;CK$1&amp;""'!$C$4:$C$66""),INDIRECT(""'""&amp;CK$1&amp;""'!$D$4:$D$66"")=CK$2),$F$3:$BP$3,$F115:$BP115))),"""")"),"")</f>
        <v/>
      </c>
      <c r="CM115" s="251">
        <f>IFERROR(__xludf.DUMMYFUNCTION("AVERAGE(ARRAYFORMULA(XLOOKUP(FILTER(INDIRECT(""'""&amp;CM$1&amp;""'!$C$4:$C$66""),INDIRECT(""'""&amp;CM$1&amp;""'!$D$4:$D$66"")=CM$2),$F$3:$BP$3,$F115:$BP115)))"),-0.279957256)</f>
        <v>-0.279957256</v>
      </c>
      <c r="CN115" s="207" t="str">
        <f>IFERROR(__xludf.DUMMYFUNCTION("IF(OR(CM115&gt;$BR115+$BS115*$BS$2,CM115&lt;$BR115-$BS115*$BS$2),AVEDEV(ARRAYFORMULA(XLOOKUP(FILTER(INDIRECT(""'""&amp;CM$1&amp;""'!$C$4:$C$66""),INDIRECT(""'""&amp;CM$1&amp;""'!$D$4:$D$66"")=CM$2),$F$3:$BP$3,$F115:$BP115))),"""")"),"")</f>
        <v/>
      </c>
      <c r="CO115" s="252"/>
      <c r="CP115" s="251">
        <f>IFERROR(__xludf.DUMMYFUNCTION("AVERAGE(ARRAYFORMULA(XLOOKUP(FILTER(INDIRECT(""'""&amp;CP$1&amp;""'!$C$4:$C$66""),INDIRECT(""'""&amp;CP$1&amp;""'!$D$4:$D$66"")=CP$2),$F$3:$BP$3,$F115:$BP115)))"),0.42283149857142854)</f>
        <v>0.4228314986</v>
      </c>
      <c r="CQ115" s="207" t="str">
        <f>IFERROR(__xludf.DUMMYFUNCTION("IF(OR(CP115&gt;$BR115+$BS115*$BS$2,CP115&lt;$BR115-$BS115*$BS$2),AVEDEV(ARRAYFORMULA(XLOOKUP(FILTER(INDIRECT(""'""&amp;CP$1&amp;""'!$C$4:$C$66""),INDIRECT(""'""&amp;CP$1&amp;""'!$D$4:$D$66"")=CP$2),$F$3:$BP$3,$F115:$BP115))),"""")"),"")</f>
        <v/>
      </c>
      <c r="CR115" s="251">
        <f>IFERROR(__xludf.DUMMYFUNCTION("AVERAGE(ARRAYFORMULA(XLOOKUP(FILTER(INDIRECT(""'""&amp;CR$1&amp;""'!$C$4:$C$66""),INDIRECT(""'""&amp;CR$1&amp;""'!$D$4:$D$66"")=CR$2),$F$3:$BP$3,$F115:$BP115)))"),0.46955154777777774)</f>
        <v>0.4695515478</v>
      </c>
      <c r="CS115" s="207" t="str">
        <f>IFERROR(__xludf.DUMMYFUNCTION("IF(OR(CR115&gt;$BR115+$BS115*$BS$2,CR115&lt;$BR115-$BS115*$BS$2),AVEDEV(ARRAYFORMULA(XLOOKUP(FILTER(INDIRECT(""'""&amp;CR$1&amp;""'!$C$4:$C$66""),INDIRECT(""'""&amp;CR$1&amp;""'!$D$4:$D$66"")=CR$2),$F$3:$BP$3,$F115:$BP115))),"""")"),"")</f>
        <v/>
      </c>
      <c r="CT115" s="251">
        <f>IFERROR(__xludf.DUMMYFUNCTION("AVERAGE(ARRAYFORMULA(XLOOKUP(FILTER(INDIRECT(""'""&amp;CT$1&amp;""'!$C$4:$C$66""),INDIRECT(""'""&amp;CT$1&amp;""'!$D$4:$D$66"")=CT$2),$F$3:$BP$3,$F115:$BP115)))"),0.6528201481818182)</f>
        <v>0.6528201482</v>
      </c>
      <c r="CU115" s="207" t="str">
        <f>IFERROR(__xludf.DUMMYFUNCTION("IF(OR(CT115&gt;$BR115+$BS115*$BS$2,CT115&lt;$BR115-$BS115*$BS$2),AVEDEV(ARRAYFORMULA(XLOOKUP(FILTER(INDIRECT(""'""&amp;CT$1&amp;""'!$C$4:$C$66""),INDIRECT(""'""&amp;CT$1&amp;""'!$D$4:$D$66"")=CT$2),$F$3:$BP$3,$F115:$BP115))),"""")"),"")</f>
        <v/>
      </c>
      <c r="CV115" s="251">
        <f>IFERROR(__xludf.DUMMYFUNCTION("AVERAGE(ARRAYFORMULA(XLOOKUP(FILTER(INDIRECT(""'""&amp;CV$1&amp;""'!$C$4:$C$66""),INDIRECT(""'""&amp;CV$1&amp;""'!$D$4:$D$66"")=CV$2),$F$3:$BP$3,$F115:$BP115)))"),2.035416605)</f>
        <v>2.035416605</v>
      </c>
      <c r="CW115" s="207">
        <f>IFERROR(__xludf.DUMMYFUNCTION("IF(OR(CV115&gt;$BR115+$BS115*$BS$2,CV115&lt;$BR115-$BS115*$BS$2),AVEDEV(ARRAYFORMULA(XLOOKUP(FILTER(INDIRECT(""'""&amp;CV$1&amp;""'!$C$4:$C$66""),INDIRECT(""'""&amp;CV$1&amp;""'!$D$4:$D$66"")=CV$2),$F$3:$BP$3,$F115:$BP115))),"""")"),0.651848685)</f>
        <v>0.651848685</v>
      </c>
      <c r="CX115" s="251">
        <f>IFERROR(__xludf.DUMMYFUNCTION("AVERAGE(ARRAYFORMULA(XLOOKUP(FILTER(INDIRECT(""'""&amp;CX$1&amp;""'!$C$4:$C$66""),INDIRECT(""'""&amp;CX$1&amp;""'!$D$4:$D$66"")=CX$2),$F$3:$BP$3,$F115:$BP115)))"),0.5297529992857143)</f>
        <v>0.5297529993</v>
      </c>
      <c r="CY115" s="207" t="str">
        <f>IFERROR(__xludf.DUMMYFUNCTION("IF(OR(CX115&gt;$BR115+$BS115*$BS$2,CX115&lt;$BR115-$BS115*$BS$2),AVEDEV(ARRAYFORMULA(XLOOKUP(FILTER(INDIRECT(""'""&amp;CX$1&amp;""'!$C$4:$C$66""),INDIRECT(""'""&amp;CX$1&amp;""'!$D$4:$D$66"")=CX$2),$F$3:$BP$3,$F115:$BP115))),"""")"),"")</f>
        <v/>
      </c>
      <c r="CZ115" s="252"/>
      <c r="DA115" s="251">
        <f>IFERROR(__xludf.DUMMYFUNCTION("AVERAGE(ARRAYFORMULA(XLOOKUP(FILTER(INDIRECT(""'""&amp;DA$1&amp;""'!$C$4:$C$66""),INDIRECT(""'""&amp;DA$1&amp;""'!$D$4:$D$66"")=DA$2),$F$3:$BP$3,$F115:$BP115)))"),0.37101334333333325)</f>
        <v>0.3710133433</v>
      </c>
      <c r="DB115" s="207" t="str">
        <f>IFERROR(__xludf.DUMMYFUNCTION("IF(OR(DA115&gt;$BR115+$BS115*$BS$2,DA115&lt;$BR115-$BS115*$BS$2),AVEDEV(ARRAYFORMULA(XLOOKUP(FILTER(INDIRECT(""'""&amp;DA$1&amp;""'!$C$4:$C$66""),INDIRECT(""'""&amp;DA$1&amp;""'!$D$4:$D$66"")=DA$2),$F$3:$BP$3,$F115:$BP115))),"""")"),"")</f>
        <v/>
      </c>
      <c r="DC115" s="251">
        <f>IFERROR(__xludf.DUMMYFUNCTION("AVERAGE(ARRAYFORMULA(XLOOKUP(FILTER(INDIRECT(""'""&amp;DC$1&amp;""'!$C$4:$C$66""),INDIRECT(""'""&amp;DC$1&amp;""'!$D$4:$D$66"")=DC$2),$F$3:$BP$3,$F115:$BP115)))"),0.33331296666666665)</f>
        <v>0.3333129667</v>
      </c>
      <c r="DD115" s="207" t="str">
        <f>IFERROR(__xludf.DUMMYFUNCTION("IF(OR(DC115&gt;$BR115+$BS115*$BS$2,DC115&lt;$BR115-$BS115*$BS$2),AVEDEV(ARRAYFORMULA(XLOOKUP(FILTER(INDIRECT(""'""&amp;DC$1&amp;""'!$C$4:$C$66""),INDIRECT(""'""&amp;DC$1&amp;""'!$D$4:$D$66"")=DC$2),$F$3:$BP$3,$F115:$BP115))),"""")"),"")</f>
        <v/>
      </c>
      <c r="DE115" s="251">
        <f>IFERROR(__xludf.DUMMYFUNCTION("AVERAGE(ARRAYFORMULA(XLOOKUP(FILTER(INDIRECT(""'""&amp;DE$1&amp;""'!$C$4:$C$66""),INDIRECT(""'""&amp;DE$1&amp;""'!$D$4:$D$66"")=DE$2),$F$3:$BP$3,$F115:$BP115)))"),-0.287683565)</f>
        <v>-0.287683565</v>
      </c>
      <c r="DF115" s="207" t="str">
        <f>IFERROR(__xludf.DUMMYFUNCTION("IF(OR(DE115&gt;$BR115+$BS115*$BS$2,DE115&lt;$BR115-$BS115*$BS$2),AVEDEV(ARRAYFORMULA(XLOOKUP(FILTER(INDIRECT(""'""&amp;DE$1&amp;""'!$C$4:$C$66""),INDIRECT(""'""&amp;DE$1&amp;""'!$D$4:$D$66"")=DE$2),$F$3:$BP$3,$F115:$BP115))),"""")"),"")</f>
        <v/>
      </c>
      <c r="DG115" s="251">
        <f>IFERROR(__xludf.DUMMYFUNCTION("AVERAGE(ARRAYFORMULA(XLOOKUP(FILTER(INDIRECT(""'""&amp;DG$1&amp;""'!$C$4:$C$66""),INDIRECT(""'""&amp;DG$1&amp;""'!$D$4:$D$66"")=DG$2),$F$3:$BP$3,$F115:$BP115)))"),2.0310363477777775)</f>
        <v>2.031036348</v>
      </c>
      <c r="DH115" s="207">
        <f>IFERROR(__xludf.DUMMYFUNCTION("IF(OR(DG115&gt;$BR115+$BS115*$BS$2,DG115&lt;$BR115-$BS115*$BS$2),AVEDEV(ARRAYFORMULA(XLOOKUP(FILTER(INDIRECT(""'""&amp;DG$1&amp;""'!$C$4:$C$66""),INDIRECT(""'""&amp;DG$1&amp;""'!$D$4:$D$66"")=DG$2),$F$3:$BP$3,$F115:$BP115))),"""")"),1.1002269474074078)</f>
        <v>1.100226947</v>
      </c>
      <c r="DI115" s="252"/>
    </row>
    <row r="116">
      <c r="A116" s="2"/>
      <c r="B116" s="204" t="s">
        <v>540</v>
      </c>
      <c r="C116" s="204" t="s">
        <v>559</v>
      </c>
      <c r="D116" s="205" t="b">
        <f>VLOOKUP(C116,'Feature Set List'!A113:C246,2,0)</f>
        <v>1</v>
      </c>
      <c r="E116" s="205" t="b">
        <f>VLOOKUP(C116,'Feature Set List'!A113:C246,3,0)</f>
        <v>1</v>
      </c>
      <c r="F116" s="205">
        <v>-0.7950265</v>
      </c>
      <c r="G116" s="205">
        <v>1.22910536</v>
      </c>
      <c r="H116" s="205">
        <v>-1.1539141</v>
      </c>
      <c r="I116" s="205">
        <v>-0.525309</v>
      </c>
      <c r="J116" s="205">
        <v>0.28443202</v>
      </c>
      <c r="K116" s="205">
        <v>0.10785756</v>
      </c>
      <c r="L116" s="205">
        <v>1.38655091</v>
      </c>
      <c r="M116" s="205">
        <v>0.21085933</v>
      </c>
      <c r="N116" s="205">
        <v>0.0</v>
      </c>
      <c r="O116" s="205">
        <v>-0.1494997</v>
      </c>
      <c r="P116" s="205">
        <v>-0.2263096</v>
      </c>
      <c r="Q116" s="205">
        <v>0.18437316</v>
      </c>
      <c r="R116" s="205">
        <v>-0.6658328</v>
      </c>
      <c r="S116" s="205">
        <v>-0.1478811</v>
      </c>
      <c r="T116" s="205">
        <v>-0.4512949</v>
      </c>
      <c r="U116" s="205">
        <v>-0.5086816</v>
      </c>
      <c r="V116" s="205">
        <v>0.52869335</v>
      </c>
      <c r="W116" s="205">
        <v>-1.1656857</v>
      </c>
      <c r="X116" s="205">
        <v>0.45364921</v>
      </c>
      <c r="Y116" s="205">
        <v>-0.4199529</v>
      </c>
      <c r="Z116" s="205">
        <v>0.18584461</v>
      </c>
      <c r="AA116" s="205">
        <v>-0.8931725</v>
      </c>
      <c r="AB116" s="205">
        <v>0.60079459</v>
      </c>
      <c r="AC116" s="205">
        <v>0.63758093</v>
      </c>
      <c r="AD116" s="205">
        <v>-0.814744</v>
      </c>
      <c r="AE116" s="205">
        <v>0.31238964</v>
      </c>
      <c r="AF116" s="205">
        <v>-1.2320483</v>
      </c>
      <c r="AG116" s="205">
        <v>-0.2438199</v>
      </c>
      <c r="AH116" s="205">
        <v>1.35270747</v>
      </c>
      <c r="AI116" s="205">
        <v>-1.3053267</v>
      </c>
      <c r="AJ116" s="205">
        <v>0.19467334</v>
      </c>
      <c r="AK116" s="205">
        <v>0.47130665</v>
      </c>
      <c r="AL116" s="205">
        <v>-0.2664803</v>
      </c>
      <c r="AM116" s="205">
        <v>0.92451442</v>
      </c>
      <c r="AN116" s="205">
        <v>-0.7296939</v>
      </c>
      <c r="AO116" s="205">
        <v>-0.3847852</v>
      </c>
      <c r="AP116" s="205">
        <v>-0.6564155</v>
      </c>
      <c r="AQ116" s="205">
        <v>3.39949971</v>
      </c>
      <c r="AR116" s="205">
        <v>0.16377281</v>
      </c>
      <c r="AS116" s="205">
        <v>0.07989994</v>
      </c>
      <c r="AT116" s="205">
        <v>1.81621542</v>
      </c>
      <c r="AU116" s="205">
        <v>-0.5286933</v>
      </c>
      <c r="AV116" s="205">
        <v>-0.3271042</v>
      </c>
      <c r="AW116" s="205">
        <v>-0.1877575</v>
      </c>
      <c r="AX116" s="205">
        <v>-0.9889641</v>
      </c>
      <c r="AY116" s="205">
        <v>-0.3369629</v>
      </c>
      <c r="AZ116" s="205">
        <v>0.31827546</v>
      </c>
      <c r="BA116" s="205">
        <v>-0.1043261</v>
      </c>
      <c r="BB116" s="205">
        <v>0.88772808</v>
      </c>
      <c r="BC116" s="205">
        <v>0.01957034</v>
      </c>
      <c r="BD116" s="205">
        <v>-1.3370659</v>
      </c>
      <c r="BE116" s="205">
        <v>-0.8736021</v>
      </c>
      <c r="BF116" s="205">
        <v>-0.5744556</v>
      </c>
      <c r="BG116" s="205">
        <v>0.1608299</v>
      </c>
      <c r="BH116" s="205">
        <v>1.3424073</v>
      </c>
      <c r="BI116" s="205">
        <v>0.26530312</v>
      </c>
      <c r="BJ116" s="205">
        <v>2.92716304</v>
      </c>
      <c r="BK116" s="205">
        <v>-1.0503237</v>
      </c>
      <c r="BL116" s="205">
        <v>2.06047675</v>
      </c>
      <c r="BM116" s="205">
        <v>0.33740436</v>
      </c>
      <c r="BN116" s="205">
        <v>-0.5463508</v>
      </c>
      <c r="BO116" s="205">
        <v>2.18113596</v>
      </c>
      <c r="BP116" s="205">
        <v>1.70732784</v>
      </c>
      <c r="BQ116" s="206"/>
      <c r="BR116" s="250">
        <f t="shared" si="1"/>
        <v>0.1133470187</v>
      </c>
      <c r="BS116" s="250">
        <f t="shared" si="2"/>
        <v>0.7413110545</v>
      </c>
      <c r="BT116" s="206"/>
      <c r="BU116" s="207">
        <f>IFERROR(__xludf.DUMMYFUNCTION("AVERAGE(ARRAYFORMULA(XLOOKUP(FILTER(INDIRECT(""'""&amp;BU$1&amp;""'!$C$4:$C$66""),INDIRECT(""'""&amp;BU$1&amp;""'!$D$4:$D$66"")=BU$2),$F$3:$BP$3,$F116:$BP116)))"),-0.8324791857142858)</f>
        <v>-0.8324791857</v>
      </c>
      <c r="BV116" s="207">
        <f>IFERROR(__xludf.DUMMYFUNCTION("IF(OR(BU116&gt;$BR116+$BS116*$BS$2,BU116&lt;$BR116-$BS116*$BS$2),AVEDEV(ARRAYFORMULA(XLOOKUP(FILTER(INDIRECT(""'""&amp;BU$1&amp;""'!$C$4:$C$66""),INDIRECT(""'""&amp;BU$1&amp;""'!$D$4:$D$66"")=BU$2),$F$3:$BP$3,$F116:$BP116))),"""")"),0.3463207591836735)</f>
        <v>0.3463207592</v>
      </c>
      <c r="BW116" s="207">
        <f>IFERROR(__xludf.DUMMYFUNCTION("AVERAGE(ARRAYFORMULA(XLOOKUP(FILTER(INDIRECT(""'""&amp;BW$1&amp;""'!$C$4:$C$66""),INDIRECT(""'""&amp;BW$1&amp;""'!$D$4:$D$66"")=BW$2),$F$3:$BP$3,$F116:$BP116)))"),0.2035195747619048)</f>
        <v>0.2035195748</v>
      </c>
      <c r="BX116" s="207" t="str">
        <f>IFERROR(__xludf.DUMMYFUNCTION("IF(OR(BW116&gt;$BR116+$BS116*$BS$2,BW116&lt;$BR116-$BS116*$BS$2),AVEDEV(ARRAYFORMULA(XLOOKUP(FILTER(INDIRECT(""'""&amp;BW$1&amp;""'!$C$4:$C$66""),INDIRECT(""'""&amp;BW$1&amp;""'!$D$4:$D$66"")=BW$2),$F$3:$BP$3,$F116:$BP116))),"""")"),"")</f>
        <v/>
      </c>
      <c r="BY116" s="207">
        <f>IFERROR(__xludf.DUMMYFUNCTION("AVERAGE(ARRAYFORMULA(XLOOKUP(FILTER(INDIRECT(""'""&amp;BY$1&amp;""'!$C$4:$C$66""),INDIRECT(""'""&amp;BY$1&amp;""'!$D$4:$D$66"")=BY$2),$F$3:$BP$3,$F116:$BP116)))"),0.33986569818181817)</f>
        <v>0.3398656982</v>
      </c>
      <c r="BZ116" s="207" t="str">
        <f>IFERROR(__xludf.DUMMYFUNCTION("IF(OR(BY116&gt;$BR116+$BS116*$BS$2,BY116&lt;$BR116-$BS116*$BS$2),AVEDEV(ARRAYFORMULA(XLOOKUP(FILTER(INDIRECT(""'""&amp;BY$1&amp;""'!$C$4:$C$66""),INDIRECT(""'""&amp;BY$1&amp;""'!$D$4:$D$66"")=BY$2),$F$3:$BP$3,$F116:$BP116))),"""")"),"")</f>
        <v/>
      </c>
      <c r="CA116" s="209"/>
      <c r="CB116" s="207">
        <f>IFERROR(__xludf.DUMMYFUNCTION("AVERAGE(ARRAYFORMULA(XLOOKUP(FILTER(INDIRECT(""'""&amp;CB$1&amp;""'!$C$4:$C$66""),INDIRECT(""'""&amp;CB$1&amp;""'!$D$4:$D$66"")=CB$2),$F$3:$BP$3,$F116:$BP116)))"),-0.15791459000000002)</f>
        <v>-0.15791459</v>
      </c>
      <c r="CC116" s="207" t="str">
        <f>IFERROR(__xludf.DUMMYFUNCTION("IF(OR(CB116&gt;$BR116+$BS116*$BS$2,CB116&lt;$BR116-$BS116*$BS$2),AVEDEV(ARRAYFORMULA(XLOOKUP(FILTER(INDIRECT(""'""&amp;CB$1&amp;""'!$C$4:$C$66""),INDIRECT(""'""&amp;CB$1&amp;""'!$D$4:$D$66"")=CB$2),$F$3:$BP$3,$F116:$BP116))),"""")"),"")</f>
        <v/>
      </c>
      <c r="CD116" s="207">
        <f>IFERROR(__xludf.DUMMYFUNCTION("AVERAGE(ARRAYFORMULA(XLOOKUP(FILTER(INDIRECT(""'""&amp;CD$1&amp;""'!$C$4:$C$66""),INDIRECT(""'""&amp;CD$1&amp;""'!$D$4:$D$66"")=CD$2),$F$3:$BP$3,$F116:$BP116)))"),0.2706539912903225)</f>
        <v>0.2706539913</v>
      </c>
      <c r="CE116" s="207" t="str">
        <f>IFERROR(__xludf.DUMMYFUNCTION("IF(OR(CD116&gt;$BR116+$BS116*$BS$2,CD116&lt;$BR116-$BS116*$BS$2),AVEDEV(ARRAYFORMULA(XLOOKUP(FILTER(INDIRECT(""'""&amp;CD$1&amp;""'!$C$4:$C$66""),INDIRECT(""'""&amp;CD$1&amp;""'!$D$4:$D$66"")=CD$2),$F$3:$BP$3,$F116:$BP116))),"""")"),"")</f>
        <v/>
      </c>
      <c r="CF116" s="207">
        <f>IFERROR(__xludf.DUMMYFUNCTION("AVERAGE(ARRAYFORMULA(XLOOKUP(FILTER(INDIRECT(""'""&amp;CF$1&amp;""'!$C$4:$C$66""),INDIRECT(""'""&amp;CF$1&amp;""'!$D$4:$D$66"")=CF$2),$F$3:$BP$3,$F116:$BP116)))"),-0.07795762599999999)</f>
        <v>-0.077957626</v>
      </c>
      <c r="CG116" s="207" t="str">
        <f>IFERROR(__xludf.DUMMYFUNCTION("IF(OR(CF116&gt;$BR116+$BS116*$BS$2,CF116&lt;$BR116-$BS116*$BS$2),AVEDEV(ARRAYFORMULA(XLOOKUP(FILTER(INDIRECT(""'""&amp;CF$1&amp;""'!$C$4:$C$66""),INDIRECT(""'""&amp;CF$1&amp;""'!$D$4:$D$66"")=CF$2),$F$3:$BP$3,$F116:$BP116))),"""")"),"")</f>
        <v/>
      </c>
      <c r="CH116" s="206"/>
      <c r="CI116" s="251">
        <f>IFERROR(__xludf.DUMMYFUNCTION("AVERAGE(ARRAYFORMULA(XLOOKUP(FILTER(INDIRECT(""'""&amp;CI$1&amp;""'!$C$4:$C$66""),INDIRECT(""'""&amp;CI$1&amp;""'!$D$4:$D$66"")=CI$2),$F$3:$BP$3,$F116:$BP116)))"),-0.183997458)</f>
        <v>-0.183997458</v>
      </c>
      <c r="CJ116" s="207" t="str">
        <f>IFERROR(__xludf.DUMMYFUNCTION("IF(OR(CI116&gt;$BR116+$BS116*$BS$2,CI116&lt;$BR116-$BS116*$BS$2),AVEDEV(ARRAYFORMULA(XLOOKUP(FILTER(INDIRECT(""'""&amp;CI$1&amp;""'!$C$4:$C$66""),INDIRECT(""'""&amp;CI$1&amp;""'!$D$4:$D$66"")=CI$2),$F$3:$BP$3,$F116:$BP116))),"""")"),"")</f>
        <v/>
      </c>
      <c r="CK116" s="251">
        <f>IFERROR(__xludf.DUMMYFUNCTION("AVERAGE(ARRAYFORMULA(XLOOKUP(FILTER(INDIRECT(""'""&amp;CK$1&amp;""'!$C$4:$C$66""),INDIRECT(""'""&amp;CK$1&amp;""'!$D$4:$D$66"")=CK$2),$F$3:$BP$3,$F116:$BP116)))"),0.27330933897435894)</f>
        <v>0.273309339</v>
      </c>
      <c r="CL116" s="207" t="str">
        <f>IFERROR(__xludf.DUMMYFUNCTION("IF(OR(CK116&gt;$BR116+$BS116*$BS$2,CK116&lt;$BR116-$BS116*$BS$2),AVEDEV(ARRAYFORMULA(XLOOKUP(FILTER(INDIRECT(""'""&amp;CK$1&amp;""'!$C$4:$C$66""),INDIRECT(""'""&amp;CK$1&amp;""'!$D$4:$D$66"")=CK$2),$F$3:$BP$3,$F116:$BP116))),"""")"),"")</f>
        <v/>
      </c>
      <c r="CM116" s="251">
        <f>IFERROR(__xludf.DUMMYFUNCTION("AVERAGE(ARRAYFORMULA(XLOOKUP(FILTER(INDIRECT(""'""&amp;CM$1&amp;""'!$C$4:$C$66""),INDIRECT(""'""&amp;CM$1&amp;""'!$D$4:$D$66"")=CM$2),$F$3:$BP$3,$F116:$BP116)))"),-0.07795762599999999)</f>
        <v>-0.077957626</v>
      </c>
      <c r="CN116" s="207" t="str">
        <f>IFERROR(__xludf.DUMMYFUNCTION("IF(OR(CM116&gt;$BR116+$BS116*$BS$2,CM116&lt;$BR116-$BS116*$BS$2),AVEDEV(ARRAYFORMULA(XLOOKUP(FILTER(INDIRECT(""'""&amp;CM$1&amp;""'!$C$4:$C$66""),INDIRECT(""'""&amp;CM$1&amp;""'!$D$4:$D$66"")=CM$2),$F$3:$BP$3,$F116:$BP116))),"""")"),"")</f>
        <v/>
      </c>
      <c r="CO116" s="252"/>
      <c r="CP116" s="251">
        <f>IFERROR(__xludf.DUMMYFUNCTION("AVERAGE(ARRAYFORMULA(XLOOKUP(FILTER(INDIRECT(""'""&amp;CP$1&amp;""'!$C$4:$C$66""),INDIRECT(""'""&amp;CP$1&amp;""'!$D$4:$D$66"")=CP$2),$F$3:$BP$3,$F116:$BP116)))"),0.07593752071428568)</f>
        <v>0.07593752071</v>
      </c>
      <c r="CQ116" s="207" t="str">
        <f>IFERROR(__xludf.DUMMYFUNCTION("IF(OR(CP116&gt;$BR116+$BS116*$BS$2,CP116&lt;$BR116-$BS116*$BS$2),AVEDEV(ARRAYFORMULA(XLOOKUP(FILTER(INDIRECT(""'""&amp;CP$1&amp;""'!$C$4:$C$66""),INDIRECT(""'""&amp;CP$1&amp;""'!$D$4:$D$66"")=CP$2),$F$3:$BP$3,$F116:$BP116))),"""")"),"")</f>
        <v/>
      </c>
      <c r="CR116" s="251">
        <f>IFERROR(__xludf.DUMMYFUNCTION("AVERAGE(ARRAYFORMULA(XLOOKUP(FILTER(INDIRECT(""'""&amp;CR$1&amp;""'!$C$4:$C$66""),INDIRECT(""'""&amp;CR$1&amp;""'!$D$4:$D$66"")=CR$2),$F$3:$BP$3,$F116:$BP116)))"),0.22388987000000002)</f>
        <v>0.22388987</v>
      </c>
      <c r="CS116" s="207" t="str">
        <f>IFERROR(__xludf.DUMMYFUNCTION("IF(OR(CR116&gt;$BR116+$BS116*$BS$2,CR116&lt;$BR116-$BS116*$BS$2),AVEDEV(ARRAYFORMULA(XLOOKUP(FILTER(INDIRECT(""'""&amp;CR$1&amp;""'!$C$4:$C$66""),INDIRECT(""'""&amp;CR$1&amp;""'!$D$4:$D$66"")=CR$2),$F$3:$BP$3,$F116:$BP116))),"""")"),"")</f>
        <v/>
      </c>
      <c r="CT116" s="251">
        <f>IFERROR(__xludf.DUMMYFUNCTION("AVERAGE(ARRAYFORMULA(XLOOKUP(FILTER(INDIRECT(""'""&amp;CT$1&amp;""'!$C$4:$C$66""),INDIRECT(""'""&amp;CT$1&amp;""'!$D$4:$D$66"")=CT$2),$F$3:$BP$3,$F116:$BP116)))"),-0.28992990545454544)</f>
        <v>-0.2899299055</v>
      </c>
      <c r="CU116" s="207" t="str">
        <f>IFERROR(__xludf.DUMMYFUNCTION("IF(OR(CT116&gt;$BR116+$BS116*$BS$2,CT116&lt;$BR116-$BS116*$BS$2),AVEDEV(ARRAYFORMULA(XLOOKUP(FILTER(INDIRECT(""'""&amp;CT$1&amp;""'!$C$4:$C$66""),INDIRECT(""'""&amp;CT$1&amp;""'!$D$4:$D$66"")=CT$2),$F$3:$BP$3,$F116:$BP116))),"""")"),"")</f>
        <v/>
      </c>
      <c r="CV116" s="251">
        <f>IFERROR(__xludf.DUMMYFUNCTION("AVERAGE(ARRAYFORMULA(XLOOKUP(FILTER(INDIRECT(""'""&amp;CV$1&amp;""'!$C$4:$C$66""),INDIRECT(""'""&amp;CV$1&amp;""'!$D$4:$D$66"")=CV$2),$F$3:$BP$3,$F116:$BP116)))"),0.399205415)</f>
        <v>0.399205415</v>
      </c>
      <c r="CW116" s="207" t="str">
        <f>IFERROR(__xludf.DUMMYFUNCTION("IF(OR(CV116&gt;$BR116+$BS116*$BS$2,CV116&lt;$BR116-$BS116*$BS$2),AVEDEV(ARRAYFORMULA(XLOOKUP(FILTER(INDIRECT(""'""&amp;CV$1&amp;""'!$C$4:$C$66""),INDIRECT(""'""&amp;CV$1&amp;""'!$D$4:$D$66"")=CV$2),$F$3:$BP$3,$F116:$BP116))),"""")"),"")</f>
        <v/>
      </c>
      <c r="CX116" s="251">
        <f>IFERROR(__xludf.DUMMYFUNCTION("AVERAGE(ARRAYFORMULA(XLOOKUP(FILTER(INDIRECT(""'""&amp;CX$1&amp;""'!$C$4:$C$66""),INDIRECT(""'""&amp;CX$1&amp;""'!$D$4:$D$66"")=CX$2),$F$3:$BP$3,$F116:$BP116)))"),0.6493105178571429)</f>
        <v>0.6493105179</v>
      </c>
      <c r="CY116" s="207" t="str">
        <f>IFERROR(__xludf.DUMMYFUNCTION("IF(OR(CX116&gt;$BR116+$BS116*$BS$2,CX116&lt;$BR116-$BS116*$BS$2),AVEDEV(ARRAYFORMULA(XLOOKUP(FILTER(INDIRECT(""'""&amp;CX$1&amp;""'!$C$4:$C$66""),INDIRECT(""'""&amp;CX$1&amp;""'!$D$4:$D$66"")=CX$2),$F$3:$BP$3,$F116:$BP116))),"""")"),"")</f>
        <v/>
      </c>
      <c r="CZ116" s="252"/>
      <c r="DA116" s="251">
        <f>IFERROR(__xludf.DUMMYFUNCTION("AVERAGE(ARRAYFORMULA(XLOOKUP(FILTER(INDIRECT(""'""&amp;DA$1&amp;""'!$C$4:$C$66""),INDIRECT(""'""&amp;DA$1&amp;""'!$D$4:$D$66"")=DA$2),$F$3:$BP$3,$F116:$BP116)))"),0.18923042533333329)</f>
        <v>0.1892304253</v>
      </c>
      <c r="DB116" s="207" t="str">
        <f>IFERROR(__xludf.DUMMYFUNCTION("IF(OR(DA116&gt;$BR116+$BS116*$BS$2,DA116&lt;$BR116-$BS116*$BS$2),AVEDEV(ARRAYFORMULA(XLOOKUP(FILTER(INDIRECT(""'""&amp;DA$1&amp;""'!$C$4:$C$66""),INDIRECT(""'""&amp;DA$1&amp;""'!$D$4:$D$66"")=DA$2),$F$3:$BP$3,$F116:$BP116))),"""")"),"")</f>
        <v/>
      </c>
      <c r="DC116" s="251">
        <f>IFERROR(__xludf.DUMMYFUNCTION("AVERAGE(ARRAYFORMULA(XLOOKUP(FILTER(INDIRECT(""'""&amp;DC$1&amp;""'!$C$4:$C$66""),INDIRECT(""'""&amp;DC$1&amp;""'!$D$4:$D$66"")=DC$2),$F$3:$BP$3,$F116:$BP116)))"),0.3089726033333332)</f>
        <v>0.3089726033</v>
      </c>
      <c r="DD116" s="207" t="str">
        <f>IFERROR(__xludf.DUMMYFUNCTION("IF(OR(DC116&gt;$BR116+$BS116*$BS$2,DC116&lt;$BR116-$BS116*$BS$2),AVEDEV(ARRAYFORMULA(XLOOKUP(FILTER(INDIRECT(""'""&amp;DC$1&amp;""'!$C$4:$C$66""),INDIRECT(""'""&amp;DC$1&amp;""'!$D$4:$D$66"")=DC$2),$F$3:$BP$3,$F116:$BP116))),"""")"),"")</f>
        <v/>
      </c>
      <c r="DE116" s="251">
        <f>IFERROR(__xludf.DUMMYFUNCTION("AVERAGE(ARRAYFORMULA(XLOOKUP(FILTER(INDIRECT(""'""&amp;DE$1&amp;""'!$C$4:$C$66""),INDIRECT(""'""&amp;DE$1&amp;""'!$D$4:$D$66"")=DE$2),$F$3:$BP$3,$F116:$BP116)))"),-0.42227045375000005)</f>
        <v>-0.4222704538</v>
      </c>
      <c r="DF116" s="207" t="str">
        <f>IFERROR(__xludf.DUMMYFUNCTION("IF(OR(DE116&gt;$BR116+$BS116*$BS$2,DE116&lt;$BR116-$BS116*$BS$2),AVEDEV(ARRAYFORMULA(XLOOKUP(FILTER(INDIRECT(""'""&amp;DE$1&amp;""'!$C$4:$C$66""),INDIRECT(""'""&amp;DE$1&amp;""'!$D$4:$D$66"")=DE$2),$F$3:$BP$3,$F116:$BP116))),"""")"),"")</f>
        <v/>
      </c>
      <c r="DG116" s="251">
        <f>IFERROR(__xludf.DUMMYFUNCTION("AVERAGE(ARRAYFORMULA(XLOOKUP(FILTER(INDIRECT(""'""&amp;DG$1&amp;""'!$C$4:$C$66""),INDIRECT(""'""&amp;DG$1&amp;""'!$D$4:$D$66"")=DG$2),$F$3:$BP$3,$F116:$BP116)))"),0.10285461666666668)</f>
        <v>0.1028546167</v>
      </c>
      <c r="DH116" s="207" t="str">
        <f>IFERROR(__xludf.DUMMYFUNCTION("IF(OR(DG116&gt;$BR116+$BS116*$BS$2,DG116&lt;$BR116-$BS116*$BS$2),AVEDEV(ARRAYFORMULA(XLOOKUP(FILTER(INDIRECT(""'""&amp;DG$1&amp;""'!$C$4:$C$66""),INDIRECT(""'""&amp;DG$1&amp;""'!$D$4:$D$66"")=DG$2),$F$3:$BP$3,$F116:$BP116))),"""")"),"")</f>
        <v/>
      </c>
      <c r="DI116" s="252"/>
    </row>
    <row r="117">
      <c r="A117" s="2"/>
      <c r="B117" s="204" t="s">
        <v>540</v>
      </c>
      <c r="C117" s="204" t="s">
        <v>560</v>
      </c>
      <c r="D117" s="205" t="b">
        <f>VLOOKUP(C117,'Feature Set List'!A114:C246,2,0)</f>
        <v>1</v>
      </c>
      <c r="E117" s="205" t="b">
        <f>VLOOKUP(C117,'Feature Set List'!A114:C246,3,0)</f>
        <v>1</v>
      </c>
      <c r="F117" s="205">
        <v>0.0</v>
      </c>
      <c r="G117" s="205">
        <v>0.0</v>
      </c>
      <c r="H117" s="205">
        <v>0.0</v>
      </c>
      <c r="I117" s="205">
        <v>0.0</v>
      </c>
      <c r="J117" s="205">
        <v>0.0</v>
      </c>
      <c r="K117" s="205">
        <v>0.0</v>
      </c>
      <c r="L117" s="205">
        <v>0.0</v>
      </c>
      <c r="M117" s="205">
        <v>0.0</v>
      </c>
      <c r="N117" s="205">
        <v>0.0</v>
      </c>
      <c r="O117" s="205">
        <v>0.0</v>
      </c>
      <c r="P117" s="205">
        <v>0.0</v>
      </c>
      <c r="Q117" s="205">
        <v>0.0</v>
      </c>
      <c r="R117" s="205">
        <v>0.0</v>
      </c>
      <c r="S117" s="205">
        <v>0.0</v>
      </c>
      <c r="T117" s="205">
        <v>0.0</v>
      </c>
      <c r="U117" s="205">
        <v>0.0</v>
      </c>
      <c r="V117" s="205">
        <v>0.0</v>
      </c>
      <c r="W117" s="205">
        <v>0.0</v>
      </c>
      <c r="X117" s="205">
        <v>0.0</v>
      </c>
      <c r="Y117" s="205">
        <v>0.0</v>
      </c>
      <c r="Z117" s="205">
        <v>0.0</v>
      </c>
      <c r="AA117" s="205">
        <v>0.0</v>
      </c>
      <c r="AB117" s="205">
        <v>0.0</v>
      </c>
      <c r="AC117" s="205">
        <v>0.0</v>
      </c>
      <c r="AD117" s="205">
        <v>0.0</v>
      </c>
      <c r="AE117" s="205">
        <v>0.0</v>
      </c>
      <c r="AF117" s="205">
        <v>0.0</v>
      </c>
      <c r="AG117" s="205">
        <v>0.0</v>
      </c>
      <c r="AH117" s="205">
        <v>0.0</v>
      </c>
      <c r="AI117" s="205">
        <v>0.0</v>
      </c>
      <c r="AJ117" s="205">
        <v>0.0</v>
      </c>
      <c r="AK117" s="205">
        <v>0.0</v>
      </c>
      <c r="AL117" s="205">
        <v>0.0</v>
      </c>
      <c r="AM117" s="205">
        <v>0.0</v>
      </c>
      <c r="AN117" s="205">
        <v>0.0</v>
      </c>
      <c r="AO117" s="205">
        <v>0.0</v>
      </c>
      <c r="AP117" s="205">
        <v>0.0</v>
      </c>
      <c r="AQ117" s="205">
        <v>0.0</v>
      </c>
      <c r="AR117" s="205">
        <v>0.0</v>
      </c>
      <c r="AS117" s="205">
        <v>0.0</v>
      </c>
      <c r="AT117" s="205">
        <v>0.125</v>
      </c>
      <c r="AU117" s="205">
        <v>0.0</v>
      </c>
      <c r="AV117" s="205">
        <v>0.0</v>
      </c>
      <c r="AW117" s="205">
        <v>0.0</v>
      </c>
      <c r="AX117" s="205">
        <v>0.0</v>
      </c>
      <c r="AY117" s="205">
        <v>0.0</v>
      </c>
      <c r="AZ117" s="205">
        <v>0.0</v>
      </c>
      <c r="BA117" s="205">
        <v>0.0</v>
      </c>
      <c r="BB117" s="205">
        <v>0.0</v>
      </c>
      <c r="BC117" s="205">
        <v>0.0</v>
      </c>
      <c r="BD117" s="205">
        <v>0.0</v>
      </c>
      <c r="BE117" s="205">
        <v>0.0</v>
      </c>
      <c r="BF117" s="205">
        <v>0.0</v>
      </c>
      <c r="BG117" s="205">
        <v>0.0</v>
      </c>
      <c r="BH117" s="205">
        <v>0.0</v>
      </c>
      <c r="BI117" s="205">
        <v>0.0</v>
      </c>
      <c r="BJ117" s="205">
        <v>0.0</v>
      </c>
      <c r="BK117" s="205">
        <v>0.0</v>
      </c>
      <c r="BL117" s="205">
        <v>0.0</v>
      </c>
      <c r="BM117" s="205">
        <v>0.0</v>
      </c>
      <c r="BN117" s="205">
        <v>0.0</v>
      </c>
      <c r="BO117" s="205">
        <v>0.0</v>
      </c>
      <c r="BP117" s="205">
        <v>0.0</v>
      </c>
      <c r="BQ117" s="206"/>
      <c r="BR117" s="250">
        <f t="shared" si="1"/>
        <v>0.001984126984</v>
      </c>
      <c r="BS117" s="250">
        <f t="shared" si="2"/>
        <v>0.00390526581</v>
      </c>
      <c r="BT117" s="206"/>
      <c r="BU117" s="207">
        <f>IFERROR(__xludf.DUMMYFUNCTION("AVERAGE(ARRAYFORMULA(XLOOKUP(FILTER(INDIRECT(""'""&amp;BU$1&amp;""'!$C$4:$C$66""),INDIRECT(""'""&amp;BU$1&amp;""'!$D$4:$D$66"")=BU$2),$F$3:$BP$3,$F117:$BP117)))"),0.0)</f>
        <v>0</v>
      </c>
      <c r="BV117" s="207" t="str">
        <f>IFERROR(__xludf.DUMMYFUNCTION("IF(OR(BU117&gt;$BR117+$BS117*$BS$2,BU117&lt;$BR117-$BS117*$BS$2),AVEDEV(ARRAYFORMULA(XLOOKUP(FILTER(INDIRECT(""'""&amp;BU$1&amp;""'!$C$4:$C$66""),INDIRECT(""'""&amp;BU$1&amp;""'!$D$4:$D$66"")=BU$2),$F$3:$BP$3,$F117:$BP117))),"""")"),"")</f>
        <v/>
      </c>
      <c r="BW117" s="207">
        <f>IFERROR(__xludf.DUMMYFUNCTION("AVERAGE(ARRAYFORMULA(XLOOKUP(FILTER(INDIRECT(""'""&amp;BW$1&amp;""'!$C$4:$C$66""),INDIRECT(""'""&amp;BW$1&amp;""'!$D$4:$D$66"")=BW$2),$F$3:$BP$3,$F117:$BP117)))"),0.0)</f>
        <v>0</v>
      </c>
      <c r="BX117" s="207" t="str">
        <f>IFERROR(__xludf.DUMMYFUNCTION("IF(OR(BW117&gt;$BR117+$BS117*$BS$2,BW117&lt;$BR117-$BS117*$BS$2),AVEDEV(ARRAYFORMULA(XLOOKUP(FILTER(INDIRECT(""'""&amp;BW$1&amp;""'!$C$4:$C$66""),INDIRECT(""'""&amp;BW$1&amp;""'!$D$4:$D$66"")=BW$2),$F$3:$BP$3,$F117:$BP117))),"""")"),"")</f>
        <v/>
      </c>
      <c r="BY117" s="207">
        <f>IFERROR(__xludf.DUMMYFUNCTION("AVERAGE(ARRAYFORMULA(XLOOKUP(FILTER(INDIRECT(""'""&amp;BY$1&amp;""'!$C$4:$C$66""),INDIRECT(""'""&amp;BY$1&amp;""'!$D$4:$D$66"")=BY$2),$F$3:$BP$3,$F117:$BP117)))"),0.0)</f>
        <v>0</v>
      </c>
      <c r="BZ117" s="207" t="str">
        <f>IFERROR(__xludf.DUMMYFUNCTION("IF(OR(BY117&gt;$BR117+$BS117*$BS$2,BY117&lt;$BR117-$BS117*$BS$2),AVEDEV(ARRAYFORMULA(XLOOKUP(FILTER(INDIRECT(""'""&amp;BY$1&amp;""'!$C$4:$C$66""),INDIRECT(""'""&amp;BY$1&amp;""'!$D$4:$D$66"")=BY$2),$F$3:$BP$3,$F117:$BP117))),"""")"),"")</f>
        <v/>
      </c>
      <c r="CA117" s="209"/>
      <c r="CB117" s="207">
        <f>IFERROR(__xludf.DUMMYFUNCTION("AVERAGE(ARRAYFORMULA(XLOOKUP(FILTER(INDIRECT(""'""&amp;CB$1&amp;""'!$C$4:$C$66""),INDIRECT(""'""&amp;CB$1&amp;""'!$D$4:$D$66"")=CB$2),$F$3:$BP$3,$F117:$BP117)))"),0.0)</f>
        <v>0</v>
      </c>
      <c r="CC117" s="207" t="str">
        <f>IFERROR(__xludf.DUMMYFUNCTION("IF(OR(CB117&gt;$BR117+$BS117*$BS$2,CB117&lt;$BR117-$BS117*$BS$2),AVEDEV(ARRAYFORMULA(XLOOKUP(FILTER(INDIRECT(""'""&amp;CB$1&amp;""'!$C$4:$C$66""),INDIRECT(""'""&amp;CB$1&amp;""'!$D$4:$D$66"")=CB$2),$F$3:$BP$3,$F117:$BP117))),"""")"),"")</f>
        <v/>
      </c>
      <c r="CD117" s="207">
        <f>IFERROR(__xludf.DUMMYFUNCTION("AVERAGE(ARRAYFORMULA(XLOOKUP(FILTER(INDIRECT(""'""&amp;CD$1&amp;""'!$C$4:$C$66""),INDIRECT(""'""&amp;CD$1&amp;""'!$D$4:$D$66"")=CD$2),$F$3:$BP$3,$F117:$BP117)))"),0.0)</f>
        <v>0</v>
      </c>
      <c r="CE117" s="207" t="str">
        <f>IFERROR(__xludf.DUMMYFUNCTION("IF(OR(CD117&gt;$BR117+$BS117*$BS$2,CD117&lt;$BR117-$BS117*$BS$2),AVEDEV(ARRAYFORMULA(XLOOKUP(FILTER(INDIRECT(""'""&amp;CD$1&amp;""'!$C$4:$C$66""),INDIRECT(""'""&amp;CD$1&amp;""'!$D$4:$D$66"")=CD$2),$F$3:$BP$3,$F117:$BP117))),"""")"),"")</f>
        <v/>
      </c>
      <c r="CF117" s="207">
        <f>IFERROR(__xludf.DUMMYFUNCTION("AVERAGE(ARRAYFORMULA(XLOOKUP(FILTER(INDIRECT(""'""&amp;CF$1&amp;""'!$C$4:$C$66""),INDIRECT(""'""&amp;CF$1&amp;""'!$D$4:$D$66"")=CF$2),$F$3:$BP$3,$F117:$BP117)))"),0.0)</f>
        <v>0</v>
      </c>
      <c r="CG117" s="207" t="str">
        <f>IFERROR(__xludf.DUMMYFUNCTION("IF(OR(CF117&gt;$BR117+$BS117*$BS$2,CF117&lt;$BR117-$BS117*$BS$2),AVEDEV(ARRAYFORMULA(XLOOKUP(FILTER(INDIRECT(""'""&amp;CF$1&amp;""'!$C$4:$C$66""),INDIRECT(""'""&amp;CF$1&amp;""'!$D$4:$D$66"")=CF$2),$F$3:$BP$3,$F117:$BP117))),"""")"),"")</f>
        <v/>
      </c>
      <c r="CH117" s="206"/>
      <c r="CI117" s="251">
        <f>IFERROR(__xludf.DUMMYFUNCTION("AVERAGE(ARRAYFORMULA(XLOOKUP(FILTER(INDIRECT(""'""&amp;CI$1&amp;""'!$C$4:$C$66""),INDIRECT(""'""&amp;CI$1&amp;""'!$D$4:$D$66"")=CI$2),$F$3:$BP$3,$F117:$BP117)))"),0.0)</f>
        <v>0</v>
      </c>
      <c r="CJ117" s="207" t="str">
        <f>IFERROR(__xludf.DUMMYFUNCTION("IF(OR(CI117&gt;$BR117+$BS117*$BS$2,CI117&lt;$BR117-$BS117*$BS$2),AVEDEV(ARRAYFORMULA(XLOOKUP(FILTER(INDIRECT(""'""&amp;CI$1&amp;""'!$C$4:$C$66""),INDIRECT(""'""&amp;CI$1&amp;""'!$D$4:$D$66"")=CI$2),$F$3:$BP$3,$F117:$BP117))),"""")"),"")</f>
        <v/>
      </c>
      <c r="CK117" s="251">
        <f>IFERROR(__xludf.DUMMYFUNCTION("AVERAGE(ARRAYFORMULA(XLOOKUP(FILTER(INDIRECT(""'""&amp;CK$1&amp;""'!$C$4:$C$66""),INDIRECT(""'""&amp;CK$1&amp;""'!$D$4:$D$66"")=CK$2),$F$3:$BP$3,$F117:$BP117)))"),0.0)</f>
        <v>0</v>
      </c>
      <c r="CL117" s="207" t="str">
        <f>IFERROR(__xludf.DUMMYFUNCTION("IF(OR(CK117&gt;$BR117+$BS117*$BS$2,CK117&lt;$BR117-$BS117*$BS$2),AVEDEV(ARRAYFORMULA(XLOOKUP(FILTER(INDIRECT(""'""&amp;CK$1&amp;""'!$C$4:$C$66""),INDIRECT(""'""&amp;CK$1&amp;""'!$D$4:$D$66"")=CK$2),$F$3:$BP$3,$F117:$BP117))),"""")"),"")</f>
        <v/>
      </c>
      <c r="CM117" s="251">
        <f>IFERROR(__xludf.DUMMYFUNCTION("AVERAGE(ARRAYFORMULA(XLOOKUP(FILTER(INDIRECT(""'""&amp;CM$1&amp;""'!$C$4:$C$66""),INDIRECT(""'""&amp;CM$1&amp;""'!$D$4:$D$66"")=CM$2),$F$3:$BP$3,$F117:$BP117)))"),0.0)</f>
        <v>0</v>
      </c>
      <c r="CN117" s="207" t="str">
        <f>IFERROR(__xludf.DUMMYFUNCTION("IF(OR(CM117&gt;$BR117+$BS117*$BS$2,CM117&lt;$BR117-$BS117*$BS$2),AVEDEV(ARRAYFORMULA(XLOOKUP(FILTER(INDIRECT(""'""&amp;CM$1&amp;""'!$C$4:$C$66""),INDIRECT(""'""&amp;CM$1&amp;""'!$D$4:$D$66"")=CM$2),$F$3:$BP$3,$F117:$BP117))),"""")"),"")</f>
        <v/>
      </c>
      <c r="CO117" s="252"/>
      <c r="CP117" s="251">
        <f>IFERROR(__xludf.DUMMYFUNCTION("AVERAGE(ARRAYFORMULA(XLOOKUP(FILTER(INDIRECT(""'""&amp;CP$1&amp;""'!$C$4:$C$66""),INDIRECT(""'""&amp;CP$1&amp;""'!$D$4:$D$66"")=CP$2),$F$3:$BP$3,$F117:$BP117)))"),0.0)</f>
        <v>0</v>
      </c>
      <c r="CQ117" s="207" t="str">
        <f>IFERROR(__xludf.DUMMYFUNCTION("IF(OR(CP117&gt;$BR117+$BS117*$BS$2,CP117&lt;$BR117-$BS117*$BS$2),AVEDEV(ARRAYFORMULA(XLOOKUP(FILTER(INDIRECT(""'""&amp;CP$1&amp;""'!$C$4:$C$66""),INDIRECT(""'""&amp;CP$1&amp;""'!$D$4:$D$66"")=CP$2),$F$3:$BP$3,$F117:$BP117))),"""")"),"")</f>
        <v/>
      </c>
      <c r="CR117" s="251">
        <f>IFERROR(__xludf.DUMMYFUNCTION("AVERAGE(ARRAYFORMULA(XLOOKUP(FILTER(INDIRECT(""'""&amp;CR$1&amp;""'!$C$4:$C$66""),INDIRECT(""'""&amp;CR$1&amp;""'!$D$4:$D$66"")=CR$2),$F$3:$BP$3,$F117:$BP117)))"),0.0)</f>
        <v>0</v>
      </c>
      <c r="CS117" s="207" t="str">
        <f>IFERROR(__xludf.DUMMYFUNCTION("IF(OR(CR117&gt;$BR117+$BS117*$BS$2,CR117&lt;$BR117-$BS117*$BS$2),AVEDEV(ARRAYFORMULA(XLOOKUP(FILTER(INDIRECT(""'""&amp;CR$1&amp;""'!$C$4:$C$66""),INDIRECT(""'""&amp;CR$1&amp;""'!$D$4:$D$66"")=CR$2),$F$3:$BP$3,$F117:$BP117))),"""")"),"")</f>
        <v/>
      </c>
      <c r="CT117" s="251">
        <f>IFERROR(__xludf.DUMMYFUNCTION("AVERAGE(ARRAYFORMULA(XLOOKUP(FILTER(INDIRECT(""'""&amp;CT$1&amp;""'!$C$4:$C$66""),INDIRECT(""'""&amp;CT$1&amp;""'!$D$4:$D$66"")=CT$2),$F$3:$BP$3,$F117:$BP117)))"),0.0)</f>
        <v>0</v>
      </c>
      <c r="CU117" s="207" t="str">
        <f>IFERROR(__xludf.DUMMYFUNCTION("IF(OR(CT117&gt;$BR117+$BS117*$BS$2,CT117&lt;$BR117-$BS117*$BS$2),AVEDEV(ARRAYFORMULA(XLOOKUP(FILTER(INDIRECT(""'""&amp;CT$1&amp;""'!$C$4:$C$66""),INDIRECT(""'""&amp;CT$1&amp;""'!$D$4:$D$66"")=CT$2),$F$3:$BP$3,$F117:$BP117))),"""")"),"")</f>
        <v/>
      </c>
      <c r="CV117" s="251">
        <f>IFERROR(__xludf.DUMMYFUNCTION("AVERAGE(ARRAYFORMULA(XLOOKUP(FILTER(INDIRECT(""'""&amp;CV$1&amp;""'!$C$4:$C$66""),INDIRECT(""'""&amp;CV$1&amp;""'!$D$4:$D$66"")=CV$2),$F$3:$BP$3,$F117:$BP117)))"),0.0)</f>
        <v>0</v>
      </c>
      <c r="CW117" s="207" t="str">
        <f>IFERROR(__xludf.DUMMYFUNCTION("IF(OR(CV117&gt;$BR117+$BS117*$BS$2,CV117&lt;$BR117-$BS117*$BS$2),AVEDEV(ARRAYFORMULA(XLOOKUP(FILTER(INDIRECT(""'""&amp;CV$1&amp;""'!$C$4:$C$66""),INDIRECT(""'""&amp;CV$1&amp;""'!$D$4:$D$66"")=CV$2),$F$3:$BP$3,$F117:$BP117))),"""")"),"")</f>
        <v/>
      </c>
      <c r="CX117" s="251">
        <f>IFERROR(__xludf.DUMMYFUNCTION("AVERAGE(ARRAYFORMULA(XLOOKUP(FILTER(INDIRECT(""'""&amp;CX$1&amp;""'!$C$4:$C$66""),INDIRECT(""'""&amp;CX$1&amp;""'!$D$4:$D$66"")=CX$2),$F$3:$BP$3,$F117:$BP117)))"),0.0)</f>
        <v>0</v>
      </c>
      <c r="CY117" s="207" t="str">
        <f>IFERROR(__xludf.DUMMYFUNCTION("IF(OR(CX117&gt;$BR117+$BS117*$BS$2,CX117&lt;$BR117-$BS117*$BS$2),AVEDEV(ARRAYFORMULA(XLOOKUP(FILTER(INDIRECT(""'""&amp;CX$1&amp;""'!$C$4:$C$66""),INDIRECT(""'""&amp;CX$1&amp;""'!$D$4:$D$66"")=CX$2),$F$3:$BP$3,$F117:$BP117))),"""")"),"")</f>
        <v/>
      </c>
      <c r="CZ117" s="252"/>
      <c r="DA117" s="251">
        <f>IFERROR(__xludf.DUMMYFUNCTION("AVERAGE(ARRAYFORMULA(XLOOKUP(FILTER(INDIRECT(""'""&amp;DA$1&amp;""'!$C$4:$C$66""),INDIRECT(""'""&amp;DA$1&amp;""'!$D$4:$D$66"")=DA$2),$F$3:$BP$3,$F117:$BP117)))"),0.0)</f>
        <v>0</v>
      </c>
      <c r="DB117" s="207" t="str">
        <f>IFERROR(__xludf.DUMMYFUNCTION("IF(OR(DA117&gt;$BR117+$BS117*$BS$2,DA117&lt;$BR117-$BS117*$BS$2),AVEDEV(ARRAYFORMULA(XLOOKUP(FILTER(INDIRECT(""'""&amp;DA$1&amp;""'!$C$4:$C$66""),INDIRECT(""'""&amp;DA$1&amp;""'!$D$4:$D$66"")=DA$2),$F$3:$BP$3,$F117:$BP117))),"""")"),"")</f>
        <v/>
      </c>
      <c r="DC117" s="251">
        <f>IFERROR(__xludf.DUMMYFUNCTION("AVERAGE(ARRAYFORMULA(XLOOKUP(FILTER(INDIRECT(""'""&amp;DC$1&amp;""'!$C$4:$C$66""),INDIRECT(""'""&amp;DC$1&amp;""'!$D$4:$D$66"")=DC$2),$F$3:$BP$3,$F117:$BP117)))"),0.0)</f>
        <v>0</v>
      </c>
      <c r="DD117" s="207" t="str">
        <f>IFERROR(__xludf.DUMMYFUNCTION("IF(OR(DC117&gt;$BR117+$BS117*$BS$2,DC117&lt;$BR117-$BS117*$BS$2),AVEDEV(ARRAYFORMULA(XLOOKUP(FILTER(INDIRECT(""'""&amp;DC$1&amp;""'!$C$4:$C$66""),INDIRECT(""'""&amp;DC$1&amp;""'!$D$4:$D$66"")=DC$2),$F$3:$BP$3,$F117:$BP117))),"""")"),"")</f>
        <v/>
      </c>
      <c r="DE117" s="251">
        <f>IFERROR(__xludf.DUMMYFUNCTION("AVERAGE(ARRAYFORMULA(XLOOKUP(FILTER(INDIRECT(""'""&amp;DE$1&amp;""'!$C$4:$C$66""),INDIRECT(""'""&amp;DE$1&amp;""'!$D$4:$D$66"")=DE$2),$F$3:$BP$3,$F117:$BP117)))"),0.0)</f>
        <v>0</v>
      </c>
      <c r="DF117" s="207" t="str">
        <f>IFERROR(__xludf.DUMMYFUNCTION("IF(OR(DE117&gt;$BR117+$BS117*$BS$2,DE117&lt;$BR117-$BS117*$BS$2),AVEDEV(ARRAYFORMULA(XLOOKUP(FILTER(INDIRECT(""'""&amp;DE$1&amp;""'!$C$4:$C$66""),INDIRECT(""'""&amp;DE$1&amp;""'!$D$4:$D$66"")=DE$2),$F$3:$BP$3,$F117:$BP117))),"""")"),"")</f>
        <v/>
      </c>
      <c r="DG117" s="251">
        <f>IFERROR(__xludf.DUMMYFUNCTION("AVERAGE(ARRAYFORMULA(XLOOKUP(FILTER(INDIRECT(""'""&amp;DG$1&amp;""'!$C$4:$C$66""),INDIRECT(""'""&amp;DG$1&amp;""'!$D$4:$D$66"")=DG$2),$F$3:$BP$3,$F117:$BP117)))"),0.0)</f>
        <v>0</v>
      </c>
      <c r="DH117" s="207" t="str">
        <f>IFERROR(__xludf.DUMMYFUNCTION("IF(OR(DG117&gt;$BR117+$BS117*$BS$2,DG117&lt;$BR117-$BS117*$BS$2),AVEDEV(ARRAYFORMULA(XLOOKUP(FILTER(INDIRECT(""'""&amp;DG$1&amp;""'!$C$4:$C$66""),INDIRECT(""'""&amp;DG$1&amp;""'!$D$4:$D$66"")=DG$2),$F$3:$BP$3,$F117:$BP117))),"""")"),"")</f>
        <v/>
      </c>
      <c r="DI117" s="252"/>
    </row>
    <row r="118">
      <c r="A118" s="2"/>
      <c r="B118" s="204" t="s">
        <v>540</v>
      </c>
      <c r="C118" s="204" t="s">
        <v>561</v>
      </c>
      <c r="D118" s="205" t="b">
        <f>VLOOKUP(C118,'Feature Set List'!A115:C246,2,0)</f>
        <v>1</v>
      </c>
      <c r="E118" s="205" t="b">
        <f>VLOOKUP(C118,'Feature Set List'!A115:C246,3,0)</f>
        <v>1</v>
      </c>
      <c r="F118" s="205">
        <v>0.0</v>
      </c>
      <c r="G118" s="205">
        <v>0.0</v>
      </c>
      <c r="H118" s="205">
        <v>0.0</v>
      </c>
      <c r="I118" s="205">
        <v>0.0</v>
      </c>
      <c r="J118" s="205">
        <v>-4.0</v>
      </c>
      <c r="K118" s="205">
        <v>0.0</v>
      </c>
      <c r="L118" s="205">
        <v>-6.0</v>
      </c>
      <c r="M118" s="205">
        <v>0.0</v>
      </c>
      <c r="N118" s="205">
        <v>-4.0</v>
      </c>
      <c r="O118" s="205">
        <v>0.0</v>
      </c>
      <c r="P118" s="205">
        <v>-4.0</v>
      </c>
      <c r="Q118" s="205">
        <v>-4.0</v>
      </c>
      <c r="R118" s="205">
        <v>0.0</v>
      </c>
      <c r="S118" s="205">
        <v>0.0</v>
      </c>
      <c r="T118" s="205">
        <v>-9.0</v>
      </c>
      <c r="U118" s="205">
        <v>0.0</v>
      </c>
      <c r="V118" s="205">
        <v>0.0</v>
      </c>
      <c r="W118" s="205">
        <v>0.0</v>
      </c>
      <c r="X118" s="205">
        <v>0.0</v>
      </c>
      <c r="Y118" s="205">
        <v>0.0</v>
      </c>
      <c r="Z118" s="205">
        <v>0.0</v>
      </c>
      <c r="AA118" s="205">
        <v>0.0</v>
      </c>
      <c r="AB118" s="205">
        <v>0.0</v>
      </c>
      <c r="AC118" s="205">
        <v>0.0</v>
      </c>
      <c r="AD118" s="205">
        <v>0.0</v>
      </c>
      <c r="AE118" s="205">
        <v>0.0</v>
      </c>
      <c r="AF118" s="205">
        <v>0.0</v>
      </c>
      <c r="AG118" s="205">
        <v>0.0</v>
      </c>
      <c r="AH118" s="205">
        <v>0.0</v>
      </c>
      <c r="AI118" s="205">
        <v>0.0</v>
      </c>
      <c r="AJ118" s="205">
        <v>0.0</v>
      </c>
      <c r="AK118" s="205">
        <v>0.0</v>
      </c>
      <c r="AL118" s="205">
        <v>0.0</v>
      </c>
      <c r="AM118" s="205">
        <v>0.0</v>
      </c>
      <c r="AN118" s="205">
        <v>-8.0</v>
      </c>
      <c r="AO118" s="205">
        <v>0.0</v>
      </c>
      <c r="AP118" s="205">
        <v>0.0</v>
      </c>
      <c r="AQ118" s="205">
        <v>-4.0</v>
      </c>
      <c r="AR118" s="205">
        <v>0.0</v>
      </c>
      <c r="AS118" s="205">
        <v>-4.0</v>
      </c>
      <c r="AT118" s="205">
        <v>0.0</v>
      </c>
      <c r="AU118" s="205">
        <v>0.0</v>
      </c>
      <c r="AV118" s="205">
        <v>0.0</v>
      </c>
      <c r="AW118" s="205">
        <v>-4.0</v>
      </c>
      <c r="AX118" s="205">
        <v>-8.0</v>
      </c>
      <c r="AY118" s="205">
        <v>0.0</v>
      </c>
      <c r="AZ118" s="205">
        <v>0.0</v>
      </c>
      <c r="BA118" s="205">
        <v>0.0</v>
      </c>
      <c r="BB118" s="205">
        <v>0.0</v>
      </c>
      <c r="BC118" s="205">
        <v>0.0</v>
      </c>
      <c r="BD118" s="205">
        <v>0.0</v>
      </c>
      <c r="BE118" s="205">
        <v>0.0</v>
      </c>
      <c r="BF118" s="205">
        <v>0.0</v>
      </c>
      <c r="BG118" s="205">
        <v>0.0</v>
      </c>
      <c r="BH118" s="205">
        <v>0.0</v>
      </c>
      <c r="BI118" s="205">
        <v>0.0</v>
      </c>
      <c r="BJ118" s="205">
        <v>-4.0</v>
      </c>
      <c r="BK118" s="205">
        <v>0.0</v>
      </c>
      <c r="BL118" s="205">
        <v>0.0</v>
      </c>
      <c r="BM118" s="205">
        <v>0.0</v>
      </c>
      <c r="BN118" s="205">
        <v>0.0</v>
      </c>
      <c r="BO118" s="205">
        <v>0.0</v>
      </c>
      <c r="BP118" s="205">
        <v>0.0</v>
      </c>
      <c r="BQ118" s="206"/>
      <c r="BR118" s="250">
        <f t="shared" si="1"/>
        <v>-1</v>
      </c>
      <c r="BS118" s="250">
        <f t="shared" si="2"/>
        <v>1.619047619</v>
      </c>
      <c r="BT118" s="206"/>
      <c r="BU118" s="207">
        <f>IFERROR(__xludf.DUMMYFUNCTION("AVERAGE(ARRAYFORMULA(XLOOKUP(FILTER(INDIRECT(""'""&amp;BU$1&amp;""'!$C$4:$C$66""),INDIRECT(""'""&amp;BU$1&amp;""'!$D$4:$D$66"")=BU$2),$F$3:$BP$3,$F118:$BP118)))"),-3.5714285714285716)</f>
        <v>-3.571428571</v>
      </c>
      <c r="BV118" s="207">
        <f>IFERROR(__xludf.DUMMYFUNCTION("IF(OR(BU118&gt;$BR118+$BS118*$BS$2,BU118&lt;$BR118-$BS118*$BS$2),AVEDEV(ARRAYFORMULA(XLOOKUP(FILTER(INDIRECT(""'""&amp;BU$1&amp;""'!$C$4:$C$66""),INDIRECT(""'""&amp;BU$1&amp;""'!$D$4:$D$66"")=BU$2),$F$3:$BP$3,$F118:$BP118))),"""")"),4.0816326530612255)</f>
        <v>4.081632653</v>
      </c>
      <c r="BW118" s="207">
        <f>IFERROR(__xludf.DUMMYFUNCTION("AVERAGE(ARRAYFORMULA(XLOOKUP(FILTER(INDIRECT(""'""&amp;BW$1&amp;""'!$C$4:$C$66""),INDIRECT(""'""&amp;BW$1&amp;""'!$D$4:$D$66"")=BW$2),$F$3:$BP$3,$F118:$BP118)))"),-0.7619047619047619)</f>
        <v>-0.7619047619</v>
      </c>
      <c r="BX118" s="207" t="str">
        <f>IFERROR(__xludf.DUMMYFUNCTION("IF(OR(BW118&gt;$BR118+$BS118*$BS$2,BW118&lt;$BR118-$BS118*$BS$2),AVEDEV(ARRAYFORMULA(XLOOKUP(FILTER(INDIRECT(""'""&amp;BW$1&amp;""'!$C$4:$C$66""),INDIRECT(""'""&amp;BW$1&amp;""'!$D$4:$D$66"")=BW$2),$F$3:$BP$3,$F118:$BP118))),"""")"),"")</f>
        <v/>
      </c>
      <c r="BY118" s="207">
        <f>IFERROR(__xludf.DUMMYFUNCTION("AVERAGE(ARRAYFORMULA(XLOOKUP(FILTER(INDIRECT(""'""&amp;BY$1&amp;""'!$C$4:$C$66""),INDIRECT(""'""&amp;BY$1&amp;""'!$D$4:$D$66"")=BY$2),$F$3:$BP$3,$F118:$BP118)))"),-0.5454545454545454)</f>
        <v>-0.5454545455</v>
      </c>
      <c r="BZ118" s="207" t="str">
        <f>IFERROR(__xludf.DUMMYFUNCTION("IF(OR(BY118&gt;$BR118+$BS118*$BS$2,BY118&lt;$BR118-$BS118*$BS$2),AVEDEV(ARRAYFORMULA(XLOOKUP(FILTER(INDIRECT(""'""&amp;BY$1&amp;""'!$C$4:$C$66""),INDIRECT(""'""&amp;BY$1&amp;""'!$D$4:$D$66"")=BY$2),$F$3:$BP$3,$F118:$BP118))),"""")"),"")</f>
        <v/>
      </c>
      <c r="CA118" s="209"/>
      <c r="CB118" s="207">
        <f>IFERROR(__xludf.DUMMYFUNCTION("AVERAGE(ARRAYFORMULA(XLOOKUP(FILTER(INDIRECT(""'""&amp;CB$1&amp;""'!$C$4:$C$66""),INDIRECT(""'""&amp;CB$1&amp;""'!$D$4:$D$66"")=CB$2),$F$3:$BP$3,$F118:$BP118)))"),-1.0625)</f>
        <v>-1.0625</v>
      </c>
      <c r="CC118" s="207" t="str">
        <f>IFERROR(__xludf.DUMMYFUNCTION("IF(OR(CB118&gt;$BR118+$BS118*$BS$2,CB118&lt;$BR118-$BS118*$BS$2),AVEDEV(ARRAYFORMULA(XLOOKUP(FILTER(INDIRECT(""'""&amp;CB$1&amp;""'!$C$4:$C$66""),INDIRECT(""'""&amp;CB$1&amp;""'!$D$4:$D$66"")=CB$2),$F$3:$BP$3,$F118:$BP118))),"""")"),"")</f>
        <v/>
      </c>
      <c r="CD118" s="207">
        <f>IFERROR(__xludf.DUMMYFUNCTION("AVERAGE(ARRAYFORMULA(XLOOKUP(FILTER(INDIRECT(""'""&amp;CD$1&amp;""'!$C$4:$C$66""),INDIRECT(""'""&amp;CD$1&amp;""'!$D$4:$D$66"")=CD$2),$F$3:$BP$3,$F118:$BP118)))"),-0.967741935483871)</f>
        <v>-0.9677419355</v>
      </c>
      <c r="CE118" s="207" t="str">
        <f>IFERROR(__xludf.DUMMYFUNCTION("IF(OR(CD118&gt;$BR118+$BS118*$BS$2,CD118&lt;$BR118-$BS118*$BS$2),AVEDEV(ARRAYFORMULA(XLOOKUP(FILTER(INDIRECT(""'""&amp;CD$1&amp;""'!$C$4:$C$66""),INDIRECT(""'""&amp;CD$1&amp;""'!$D$4:$D$66"")=CD$2),$F$3:$BP$3,$F118:$BP118))),"""")"),"")</f>
        <v/>
      </c>
      <c r="CF118" s="207">
        <f>IFERROR(__xludf.DUMMYFUNCTION("AVERAGE(ARRAYFORMULA(XLOOKUP(FILTER(INDIRECT(""'""&amp;CF$1&amp;""'!$C$4:$C$66""),INDIRECT(""'""&amp;CF$1&amp;""'!$D$4:$D$66"")=CF$2),$F$3:$BP$3,$F118:$BP118)))"),0.0)</f>
        <v>0</v>
      </c>
      <c r="CG118" s="207" t="str">
        <f>IFERROR(__xludf.DUMMYFUNCTION("IF(OR(CF118&gt;$BR118+$BS118*$BS$2,CF118&lt;$BR118-$BS118*$BS$2),AVEDEV(ARRAYFORMULA(XLOOKUP(FILTER(INDIRECT(""'""&amp;CF$1&amp;""'!$C$4:$C$66""),INDIRECT(""'""&amp;CF$1&amp;""'!$D$4:$D$66"")=CF$2),$F$3:$BP$3,$F118:$BP118))),"""")"),"")</f>
        <v/>
      </c>
      <c r="CH118" s="206"/>
      <c r="CI118" s="251">
        <f>IFERROR(__xludf.DUMMYFUNCTION("AVERAGE(ARRAYFORMULA(XLOOKUP(FILTER(INDIRECT(""'""&amp;CI$1&amp;""'!$C$4:$C$66""),INDIRECT(""'""&amp;CI$1&amp;""'!$D$4:$D$66"")=CI$2),$F$3:$BP$3,$F118:$BP118)))"),-0.8666666666666667)</f>
        <v>-0.8666666667</v>
      </c>
      <c r="CJ118" s="207" t="str">
        <f>IFERROR(__xludf.DUMMYFUNCTION("IF(OR(CI118&gt;$BR118+$BS118*$BS$2,CI118&lt;$BR118-$BS118*$BS$2),AVEDEV(ARRAYFORMULA(XLOOKUP(FILTER(INDIRECT(""'""&amp;CI$1&amp;""'!$C$4:$C$66""),INDIRECT(""'""&amp;CI$1&amp;""'!$D$4:$D$66"")=CI$2),$F$3:$BP$3,$F118:$BP118))),"""")"),"")</f>
        <v/>
      </c>
      <c r="CK118" s="251">
        <f>IFERROR(__xludf.DUMMYFUNCTION("AVERAGE(ARRAYFORMULA(XLOOKUP(FILTER(INDIRECT(""'""&amp;CK$1&amp;""'!$C$4:$C$66""),INDIRECT(""'""&amp;CK$1&amp;""'!$D$4:$D$66"")=CK$2),$F$3:$BP$3,$F118:$BP118)))"),-1.2820512820512822)</f>
        <v>-1.282051282</v>
      </c>
      <c r="CL118" s="207" t="str">
        <f>IFERROR(__xludf.DUMMYFUNCTION("IF(OR(CK118&gt;$BR118+$BS118*$BS$2,CK118&lt;$BR118-$BS118*$BS$2),AVEDEV(ARRAYFORMULA(XLOOKUP(FILTER(INDIRECT(""'""&amp;CK$1&amp;""'!$C$4:$C$66""),INDIRECT(""'""&amp;CK$1&amp;""'!$D$4:$D$66"")=CK$2),$F$3:$BP$3,$F118:$BP118))),"""")"),"")</f>
        <v/>
      </c>
      <c r="CM118" s="251">
        <f>IFERROR(__xludf.DUMMYFUNCTION("AVERAGE(ARRAYFORMULA(XLOOKUP(FILTER(INDIRECT(""'""&amp;CM$1&amp;""'!$C$4:$C$66""),INDIRECT(""'""&amp;CM$1&amp;""'!$D$4:$D$66"")=CM$2),$F$3:$BP$3,$F118:$BP118)))"),0.0)</f>
        <v>0</v>
      </c>
      <c r="CN118" s="207" t="str">
        <f>IFERROR(__xludf.DUMMYFUNCTION("IF(OR(CM118&gt;$BR118+$BS118*$BS$2,CM118&lt;$BR118-$BS118*$BS$2),AVEDEV(ARRAYFORMULA(XLOOKUP(FILTER(INDIRECT(""'""&amp;CM$1&amp;""'!$C$4:$C$66""),INDIRECT(""'""&amp;CM$1&amp;""'!$D$4:$D$66"")=CM$2),$F$3:$BP$3,$F118:$BP118))),"""")"),"")</f>
        <v/>
      </c>
      <c r="CO118" s="252"/>
      <c r="CP118" s="251">
        <f>IFERROR(__xludf.DUMMYFUNCTION("AVERAGE(ARRAYFORMULA(XLOOKUP(FILTER(INDIRECT(""'""&amp;CP$1&amp;""'!$C$4:$C$66""),INDIRECT(""'""&amp;CP$1&amp;""'!$D$4:$D$66"")=CP$2),$F$3:$BP$3,$F118:$BP118)))"),-0.2857142857142857)</f>
        <v>-0.2857142857</v>
      </c>
      <c r="CQ118" s="207" t="str">
        <f>IFERROR(__xludf.DUMMYFUNCTION("IF(OR(CP118&gt;$BR118+$BS118*$BS$2,CP118&lt;$BR118-$BS118*$BS$2),AVEDEV(ARRAYFORMULA(XLOOKUP(FILTER(INDIRECT(""'""&amp;CP$1&amp;""'!$C$4:$C$66""),INDIRECT(""'""&amp;CP$1&amp;""'!$D$4:$D$66"")=CP$2),$F$3:$BP$3,$F118:$BP118))),"""")"),"")</f>
        <v/>
      </c>
      <c r="CR118" s="251">
        <f>IFERROR(__xludf.DUMMYFUNCTION("AVERAGE(ARRAYFORMULA(XLOOKUP(FILTER(INDIRECT(""'""&amp;CR$1&amp;""'!$C$4:$C$66""),INDIRECT(""'""&amp;CR$1&amp;""'!$D$4:$D$66"")=CR$2),$F$3:$BP$3,$F118:$BP118)))"),-0.6666666666666666)</f>
        <v>-0.6666666667</v>
      </c>
      <c r="CS118" s="207" t="str">
        <f>IFERROR(__xludf.DUMMYFUNCTION("IF(OR(CR118&gt;$BR118+$BS118*$BS$2,CR118&lt;$BR118-$BS118*$BS$2),AVEDEV(ARRAYFORMULA(XLOOKUP(FILTER(INDIRECT(""'""&amp;CR$1&amp;""'!$C$4:$C$66""),INDIRECT(""'""&amp;CR$1&amp;""'!$D$4:$D$66"")=CR$2),$F$3:$BP$3,$F118:$BP118))),"""")"),"")</f>
        <v/>
      </c>
      <c r="CT118" s="251">
        <f>IFERROR(__xludf.DUMMYFUNCTION("AVERAGE(ARRAYFORMULA(XLOOKUP(FILTER(INDIRECT(""'""&amp;CT$1&amp;""'!$C$4:$C$66""),INDIRECT(""'""&amp;CT$1&amp;""'!$D$4:$D$66"")=CT$2),$F$3:$BP$3,$F118:$BP118)))"),-0.36363636363636365)</f>
        <v>-0.3636363636</v>
      </c>
      <c r="CU118" s="207" t="str">
        <f>IFERROR(__xludf.DUMMYFUNCTION("IF(OR(CT118&gt;$BR118+$BS118*$BS$2,CT118&lt;$BR118-$BS118*$BS$2),AVEDEV(ARRAYFORMULA(XLOOKUP(FILTER(INDIRECT(""'""&amp;CT$1&amp;""'!$C$4:$C$66""),INDIRECT(""'""&amp;CT$1&amp;""'!$D$4:$D$66"")=CT$2),$F$3:$BP$3,$F118:$BP118))),"""")"),"")</f>
        <v/>
      </c>
      <c r="CV118" s="251">
        <f>IFERROR(__xludf.DUMMYFUNCTION("AVERAGE(ARRAYFORMULA(XLOOKUP(FILTER(INDIRECT(""'""&amp;CV$1&amp;""'!$C$4:$C$66""),INDIRECT(""'""&amp;CV$1&amp;""'!$D$4:$D$66"")=CV$2),$F$3:$BP$3,$F118:$BP118)))"),0.0)</f>
        <v>0</v>
      </c>
      <c r="CW118" s="207" t="str">
        <f>IFERROR(__xludf.DUMMYFUNCTION("IF(OR(CV118&gt;$BR118+$BS118*$BS$2,CV118&lt;$BR118-$BS118*$BS$2),AVEDEV(ARRAYFORMULA(XLOOKUP(FILTER(INDIRECT(""'""&amp;CV$1&amp;""'!$C$4:$C$66""),INDIRECT(""'""&amp;CV$1&amp;""'!$D$4:$D$66"")=CV$2),$F$3:$BP$3,$F118:$BP118))),"""")"),"")</f>
        <v/>
      </c>
      <c r="CX118" s="251">
        <f>IFERROR(__xludf.DUMMYFUNCTION("AVERAGE(ARRAYFORMULA(XLOOKUP(FILTER(INDIRECT(""'""&amp;CX$1&amp;""'!$C$4:$C$66""),INDIRECT(""'""&amp;CX$1&amp;""'!$D$4:$D$66"")=CX$2),$F$3:$BP$3,$F118:$BP118)))"),-1.4285714285714286)</f>
        <v>-1.428571429</v>
      </c>
      <c r="CY118" s="207" t="str">
        <f>IFERROR(__xludf.DUMMYFUNCTION("IF(OR(CX118&gt;$BR118+$BS118*$BS$2,CX118&lt;$BR118-$BS118*$BS$2),AVEDEV(ARRAYFORMULA(XLOOKUP(FILTER(INDIRECT(""'""&amp;CX$1&amp;""'!$C$4:$C$66""),INDIRECT(""'""&amp;CX$1&amp;""'!$D$4:$D$66"")=CX$2),$F$3:$BP$3,$F118:$BP118))),"""")"),"")</f>
        <v/>
      </c>
      <c r="CZ118" s="252"/>
      <c r="DA118" s="251">
        <f>IFERROR(__xludf.DUMMYFUNCTION("AVERAGE(ARRAYFORMULA(XLOOKUP(FILTER(INDIRECT(""'""&amp;DA$1&amp;""'!$C$4:$C$66""),INDIRECT(""'""&amp;DA$1&amp;""'!$D$4:$D$66"")=DA$2),$F$3:$BP$3,$F118:$BP118)))"),-0.6666666666666666)</f>
        <v>-0.6666666667</v>
      </c>
      <c r="DB118" s="207" t="str">
        <f>IFERROR(__xludf.DUMMYFUNCTION("IF(OR(DA118&gt;$BR118+$BS118*$BS$2,DA118&lt;$BR118-$BS118*$BS$2),AVEDEV(ARRAYFORMULA(XLOOKUP(FILTER(INDIRECT(""'""&amp;DA$1&amp;""'!$C$4:$C$66""),INDIRECT(""'""&amp;DA$1&amp;""'!$D$4:$D$66"")=DA$2),$F$3:$BP$3,$F118:$BP118))),"""")"),"")</f>
        <v/>
      </c>
      <c r="DC118" s="251">
        <f>IFERROR(__xludf.DUMMYFUNCTION("AVERAGE(ARRAYFORMULA(XLOOKUP(FILTER(INDIRECT(""'""&amp;DC$1&amp;""'!$C$4:$C$66""),INDIRECT(""'""&amp;DC$1&amp;""'!$D$4:$D$66"")=DC$2),$F$3:$BP$3,$F118:$BP118)))"),-0.6666666666666666)</f>
        <v>-0.6666666667</v>
      </c>
      <c r="DD118" s="207" t="str">
        <f>IFERROR(__xludf.DUMMYFUNCTION("IF(OR(DC118&gt;$BR118+$BS118*$BS$2,DC118&lt;$BR118-$BS118*$BS$2),AVEDEV(ARRAYFORMULA(XLOOKUP(FILTER(INDIRECT(""'""&amp;DC$1&amp;""'!$C$4:$C$66""),INDIRECT(""'""&amp;DC$1&amp;""'!$D$4:$D$66"")=DC$2),$F$3:$BP$3,$F118:$BP118))),"""")"),"")</f>
        <v/>
      </c>
      <c r="DE118" s="251">
        <f>IFERROR(__xludf.DUMMYFUNCTION("AVERAGE(ARRAYFORMULA(XLOOKUP(FILTER(INDIRECT(""'""&amp;DE$1&amp;""'!$C$4:$C$66""),INDIRECT(""'""&amp;DE$1&amp;""'!$D$4:$D$66"")=DE$2),$F$3:$BP$3,$F118:$BP118)))"),-3.125)</f>
        <v>-3.125</v>
      </c>
      <c r="DF118" s="207">
        <f>IFERROR(__xludf.DUMMYFUNCTION("IF(OR(DE118&gt;$BR118+$BS118*$BS$2,DE118&lt;$BR118-$BS118*$BS$2),AVEDEV(ARRAYFORMULA(XLOOKUP(FILTER(INDIRECT(""'""&amp;DE$1&amp;""'!$C$4:$C$66""),INDIRECT(""'""&amp;DE$1&amp;""'!$D$4:$D$66"")=DE$2),$F$3:$BP$3,$F118:$BP118))),"""")"),3.125)</f>
        <v>3.125</v>
      </c>
      <c r="DG118" s="251">
        <f>IFERROR(__xludf.DUMMYFUNCTION("AVERAGE(ARRAYFORMULA(XLOOKUP(FILTER(INDIRECT(""'""&amp;DG$1&amp;""'!$C$4:$C$66""),INDIRECT(""'""&amp;DG$1&amp;""'!$D$4:$D$66"")=DG$2),$F$3:$BP$3,$F118:$BP118)))"),0.0)</f>
        <v>0</v>
      </c>
      <c r="DH118" s="207" t="str">
        <f>IFERROR(__xludf.DUMMYFUNCTION("IF(OR(DG118&gt;$BR118+$BS118*$BS$2,DG118&lt;$BR118-$BS118*$BS$2),AVEDEV(ARRAYFORMULA(XLOOKUP(FILTER(INDIRECT(""'""&amp;DG$1&amp;""'!$C$4:$C$66""),INDIRECT(""'""&amp;DG$1&amp;""'!$D$4:$D$66"")=DG$2),$F$3:$BP$3,$F118:$BP118))),"""")"),"")</f>
        <v/>
      </c>
      <c r="DI118" s="252"/>
    </row>
    <row r="119">
      <c r="A119" s="2"/>
      <c r="B119" s="204" t="s">
        <v>540</v>
      </c>
      <c r="C119" s="204" t="s">
        <v>562</v>
      </c>
      <c r="D119" s="205" t="b">
        <f>VLOOKUP(C119,'Feature Set List'!A116:C246,2,0)</f>
        <v>1</v>
      </c>
      <c r="E119" s="205" t="b">
        <f>VLOOKUP(C119,'Feature Set List'!A116:C246,3,0)</f>
        <v>1</v>
      </c>
      <c r="F119" s="205">
        <v>0.19270679</v>
      </c>
      <c r="G119" s="205">
        <v>0.0</v>
      </c>
      <c r="H119" s="205">
        <v>-1.1443819</v>
      </c>
      <c r="I119" s="205">
        <v>0.28935666</v>
      </c>
      <c r="J119" s="205">
        <v>2.2158316</v>
      </c>
      <c r="K119" s="205">
        <v>-0.4838423</v>
      </c>
      <c r="L119" s="205">
        <v>-0.2769048</v>
      </c>
      <c r="M119" s="205">
        <v>0.04298844</v>
      </c>
      <c r="N119" s="205">
        <v>-0.4728728</v>
      </c>
      <c r="O119" s="205">
        <v>-0.7871331</v>
      </c>
      <c r="P119" s="205">
        <v>2.02608953</v>
      </c>
      <c r="Q119" s="205">
        <v>-0.50252</v>
      </c>
      <c r="R119" s="205">
        <v>-0.6732879</v>
      </c>
      <c r="S119" s="205">
        <v>-0.2490365</v>
      </c>
      <c r="T119" s="205">
        <v>-1.2792766</v>
      </c>
      <c r="U119" s="205">
        <v>-0.1019864</v>
      </c>
      <c r="V119" s="205">
        <v>-0.6359324</v>
      </c>
      <c r="W119" s="205">
        <v>-0.354877</v>
      </c>
      <c r="X119" s="205">
        <v>1.06255559</v>
      </c>
      <c r="Y119" s="205">
        <v>0.8846724</v>
      </c>
      <c r="Z119" s="205">
        <v>-0.3640676</v>
      </c>
      <c r="AA119" s="205">
        <v>-1.0400237</v>
      </c>
      <c r="AB119" s="205">
        <v>-0.0032612</v>
      </c>
      <c r="AC119" s="205">
        <v>1.45686333</v>
      </c>
      <c r="AD119" s="205">
        <v>0.42276905</v>
      </c>
      <c r="AE119" s="205">
        <v>0.1597984</v>
      </c>
      <c r="AF119" s="205">
        <v>0.08419804</v>
      </c>
      <c r="AG119" s="205">
        <v>-0.2795731</v>
      </c>
      <c r="AH119" s="205">
        <v>0.47909873</v>
      </c>
      <c r="AI119" s="205">
        <v>-1.2822413</v>
      </c>
      <c r="AJ119" s="205">
        <v>0.56418618</v>
      </c>
      <c r="AK119" s="205">
        <v>0.32582271</v>
      </c>
      <c r="AL119" s="205">
        <v>0.2158316</v>
      </c>
      <c r="AM119" s="205">
        <v>0.37563</v>
      </c>
      <c r="AN119" s="205">
        <v>-1.0192707</v>
      </c>
      <c r="AO119" s="205">
        <v>1.72368811</v>
      </c>
      <c r="AP119" s="205">
        <v>-0.1491254</v>
      </c>
      <c r="AQ119" s="205">
        <v>0.89060184</v>
      </c>
      <c r="AR119" s="205">
        <v>-0.7331752</v>
      </c>
      <c r="AS119" s="205">
        <v>-0.4473762</v>
      </c>
      <c r="AT119" s="205">
        <v>3.20308331</v>
      </c>
      <c r="AU119" s="205">
        <v>0.15801957</v>
      </c>
      <c r="AV119" s="205">
        <v>0.16128076</v>
      </c>
      <c r="AW119" s="205">
        <v>0.83723688</v>
      </c>
      <c r="AX119" s="205">
        <v>-0.8123332</v>
      </c>
      <c r="AY119" s="205">
        <v>-0.4619034</v>
      </c>
      <c r="AZ119" s="205">
        <v>-0.6279277</v>
      </c>
      <c r="BA119" s="205">
        <v>0.10495108</v>
      </c>
      <c r="BB119" s="205">
        <v>0.78387192</v>
      </c>
      <c r="BC119" s="205">
        <v>-0.3029944</v>
      </c>
      <c r="BD119" s="205">
        <v>-1.2448859</v>
      </c>
      <c r="BE119" s="205">
        <v>-0.0922028</v>
      </c>
      <c r="BF119" s="205">
        <v>-0.5250519</v>
      </c>
      <c r="BG119" s="205">
        <v>0.82834272</v>
      </c>
      <c r="BH119" s="205">
        <v>0.77823896</v>
      </c>
      <c r="BI119" s="205">
        <v>-0.0643344</v>
      </c>
      <c r="BJ119" s="205">
        <v>0.7957308</v>
      </c>
      <c r="BK119" s="205">
        <v>-1.2686036</v>
      </c>
      <c r="BL119" s="205">
        <v>0.32226505</v>
      </c>
      <c r="BM119" s="205">
        <v>2.47969167</v>
      </c>
      <c r="BN119" s="205">
        <v>0.06996739</v>
      </c>
      <c r="BO119" s="205">
        <v>1.57545212</v>
      </c>
      <c r="BP119" s="205">
        <v>-0.0933887</v>
      </c>
      <c r="BQ119" s="206"/>
      <c r="BR119" s="250">
        <f t="shared" si="1"/>
        <v>0.1228099862</v>
      </c>
      <c r="BS119" s="250">
        <f t="shared" si="2"/>
        <v>0.6950110049</v>
      </c>
      <c r="BT119" s="206"/>
      <c r="BU119" s="207">
        <f>IFERROR(__xludf.DUMMYFUNCTION("AVERAGE(ARRAYFORMULA(XLOOKUP(FILTER(INDIRECT(""'""&amp;BU$1&amp;""'!$C$4:$C$66""),INDIRECT(""'""&amp;BU$1&amp;""'!$D$4:$D$66"")=BU$2),$F$3:$BP$3,$F119:$BP119)))"),-0.8391851314285715)</f>
        <v>-0.8391851314</v>
      </c>
      <c r="BV119" s="207">
        <f>IFERROR(__xludf.DUMMYFUNCTION("IF(OR(BU119&gt;$BR119+$BS119*$BS$2,BU119&lt;$BR119-$BS119*$BS$2),AVEDEV(ARRAYFORMULA(XLOOKUP(FILTER(INDIRECT(""'""&amp;BU$1&amp;""'!$C$4:$C$66""),INDIRECT(""'""&amp;BU$1&amp;""'!$D$4:$D$66"")=BU$2),$F$3:$BP$3,$F119:$BP119))),"""")"),0.41579893551020414)</f>
        <v>0.4157989355</v>
      </c>
      <c r="BW119" s="207">
        <f>IFERROR(__xludf.DUMMYFUNCTION("AVERAGE(ARRAYFORMULA(XLOOKUP(FILTER(INDIRECT(""'""&amp;BW$1&amp;""'!$C$4:$C$66""),INDIRECT(""'""&amp;BW$1&amp;""'!$D$4:$D$66"")=BW$2),$F$3:$BP$3,$F119:$BP119)))"),0.32478505738095237)</f>
        <v>0.3247850574</v>
      </c>
      <c r="BX119" s="207" t="str">
        <f>IFERROR(__xludf.DUMMYFUNCTION("IF(OR(BW119&gt;$BR119+$BS119*$BS$2,BW119&lt;$BR119-$BS119*$BS$2),AVEDEV(ARRAYFORMULA(XLOOKUP(FILTER(INDIRECT(""'""&amp;BW$1&amp;""'!$C$4:$C$66""),INDIRECT(""'""&amp;BW$1&amp;""'!$D$4:$D$66"")=BW$2),$F$3:$BP$3,$F119:$BP119))),"""")"),"")</f>
        <v/>
      </c>
      <c r="BY119" s="207">
        <f>IFERROR(__xludf.DUMMYFUNCTION("AVERAGE(ARRAYFORMULA(XLOOKUP(FILTER(INDIRECT(""'""&amp;BY$1&amp;""'!$C$4:$C$66""),INDIRECT(""'""&amp;BY$1&amp;""'!$D$4:$D$66"")=BY$2),$F$3:$BP$3,$F119:$BP119)))"),-0.16230494272727275)</f>
        <v>-0.1623049427</v>
      </c>
      <c r="BZ119" s="207" t="str">
        <f>IFERROR(__xludf.DUMMYFUNCTION("IF(OR(BY119&gt;$BR119+$BS119*$BS$2,BY119&lt;$BR119-$BS119*$BS$2),AVEDEV(ARRAYFORMULA(XLOOKUP(FILTER(INDIRECT(""'""&amp;BY$1&amp;""'!$C$4:$C$66""),INDIRECT(""'""&amp;BY$1&amp;""'!$D$4:$D$66"")=BY$2),$F$3:$BP$3,$F119:$BP119))),"""")"),"")</f>
        <v/>
      </c>
      <c r="CA119" s="209"/>
      <c r="CB119" s="207">
        <f>IFERROR(__xludf.DUMMYFUNCTION("AVERAGE(ARRAYFORMULA(XLOOKUP(FILTER(INDIRECT(""'""&amp;CB$1&amp;""'!$C$4:$C$66""),INDIRECT(""'""&amp;CB$1&amp;""'!$D$4:$D$66"")=CB$2),$F$3:$BP$3,$F119:$BP119)))"),0.251148828125)</f>
        <v>0.2511488281</v>
      </c>
      <c r="CC119" s="207" t="str">
        <f>IFERROR(__xludf.DUMMYFUNCTION("IF(OR(CB119&gt;$BR119+$BS119*$BS$2,CB119&lt;$BR119-$BS119*$BS$2),AVEDEV(ARRAYFORMULA(XLOOKUP(FILTER(INDIRECT(""'""&amp;CB$1&amp;""'!$C$4:$C$66""),INDIRECT(""'""&amp;CB$1&amp;""'!$D$4:$D$66"")=CB$2),$F$3:$BP$3,$F119:$BP119))),"""")"),"")</f>
        <v/>
      </c>
      <c r="CD119" s="207">
        <f>IFERROR(__xludf.DUMMYFUNCTION("AVERAGE(ARRAYFORMULA(XLOOKUP(FILTER(INDIRECT(""'""&amp;CD$1&amp;""'!$C$4:$C$66""),INDIRECT(""'""&amp;CD$1&amp;""'!$D$4:$D$66"")=CD$2),$F$3:$BP$3,$F119:$BP119)))"),0.16823350387096775)</f>
        <v>0.1682335039</v>
      </c>
      <c r="CE119" s="207" t="str">
        <f>IFERROR(__xludf.DUMMYFUNCTION("IF(OR(CD119&gt;$BR119+$BS119*$BS$2,CD119&lt;$BR119-$BS119*$BS$2),AVEDEV(ARRAYFORMULA(XLOOKUP(FILTER(INDIRECT(""'""&amp;CD$1&amp;""'!$C$4:$C$66""),INDIRECT(""'""&amp;CD$1&amp;""'!$D$4:$D$66"")=CD$2),$F$3:$BP$3,$F119:$BP119))),"""")"),"")</f>
        <v/>
      </c>
      <c r="CF119" s="207">
        <f>IFERROR(__xludf.DUMMYFUNCTION("AVERAGE(ARRAYFORMULA(XLOOKUP(FILTER(INDIRECT(""'""&amp;CF$1&amp;""'!$C$4:$C$66""),INDIRECT(""'""&amp;CF$1&amp;""'!$D$4:$D$66"")=CF$2),$F$3:$BP$3,$F119:$BP119)))"),-0.58446488)</f>
        <v>-0.58446488</v>
      </c>
      <c r="CG119" s="207">
        <f>IFERROR(__xludf.DUMMYFUNCTION("IF(OR(CF119&gt;$BR119+$BS119*$BS$2,CF119&lt;$BR119-$BS119*$BS$2),AVEDEV(ARRAYFORMULA(XLOOKUP(FILTER(INDIRECT(""'""&amp;CF$1&amp;""'!$C$4:$C$66""),INDIRECT(""'""&amp;CF$1&amp;""'!$D$4:$D$66"")=CF$2),$F$3:$BP$3,$F119:$BP119))),"""")"),0.157936544)</f>
        <v>0.157936544</v>
      </c>
      <c r="CH119" s="206"/>
      <c r="CI119" s="251">
        <f>IFERROR(__xludf.DUMMYFUNCTION("AVERAGE(ARRAYFORMULA(XLOOKUP(FILTER(INDIRECT(""'""&amp;CI$1&amp;""'!$C$4:$C$66""),INDIRECT(""'""&amp;CI$1&amp;""'!$D$4:$D$66"")=CI$2),$F$3:$BP$3,$F119:$BP119)))"),-0.1863425273333333)</f>
        <v>-0.1863425273</v>
      </c>
      <c r="CJ119" s="207" t="str">
        <f>IFERROR(__xludf.DUMMYFUNCTION("IF(OR(CI119&gt;$BR119+$BS119*$BS$2,CI119&lt;$BR119-$BS119*$BS$2),AVEDEV(ARRAYFORMULA(XLOOKUP(FILTER(INDIRECT(""'""&amp;CI$1&amp;""'!$C$4:$C$66""),INDIRECT(""'""&amp;CI$1&amp;""'!$D$4:$D$66"")=CI$2),$F$3:$BP$3,$F119:$BP119))),"""")"),"")</f>
        <v/>
      </c>
      <c r="CK119" s="251">
        <f>IFERROR(__xludf.DUMMYFUNCTION("AVERAGE(ARRAYFORMULA(XLOOKUP(FILTER(INDIRECT(""'""&amp;CK$1&amp;""'!$C$4:$C$66""),INDIRECT(""'""&amp;CK$1&amp;""'!$D$4:$D$66"")=CK$2),$F$3:$BP$3,$F119:$BP119)))"),0.33249712897435896)</f>
        <v>0.332497129</v>
      </c>
      <c r="CL119" s="207" t="str">
        <f>IFERROR(__xludf.DUMMYFUNCTION("IF(OR(CK119&gt;$BR119+$BS119*$BS$2,CK119&lt;$BR119-$BS119*$BS$2),AVEDEV(ARRAYFORMULA(XLOOKUP(FILTER(INDIRECT(""'""&amp;CK$1&amp;""'!$C$4:$C$66""),INDIRECT(""'""&amp;CK$1&amp;""'!$D$4:$D$66"")=CK$2),$F$3:$BP$3,$F119:$BP119))),"""")"),"")</f>
        <v/>
      </c>
      <c r="CM119" s="251">
        <f>IFERROR(__xludf.DUMMYFUNCTION("AVERAGE(ARRAYFORMULA(XLOOKUP(FILTER(INDIRECT(""'""&amp;CM$1&amp;""'!$C$4:$C$66""),INDIRECT(""'""&amp;CM$1&amp;""'!$D$4:$D$66"")=CM$2),$F$3:$BP$3,$F119:$BP119)))"),-0.58446488)</f>
        <v>-0.58446488</v>
      </c>
      <c r="CN119" s="207">
        <f>IFERROR(__xludf.DUMMYFUNCTION("IF(OR(CM119&gt;$BR119+$BS119*$BS$2,CM119&lt;$BR119-$BS119*$BS$2),AVEDEV(ARRAYFORMULA(XLOOKUP(FILTER(INDIRECT(""'""&amp;CM$1&amp;""'!$C$4:$C$66""),INDIRECT(""'""&amp;CM$1&amp;""'!$D$4:$D$66"")=CM$2),$F$3:$BP$3,$F119:$BP119))),"""")"),0.157936544)</f>
        <v>0.157936544</v>
      </c>
      <c r="CO119" s="252"/>
      <c r="CP119" s="251">
        <f>IFERROR(__xludf.DUMMYFUNCTION("AVERAGE(ARRAYFORMULA(XLOOKUP(FILTER(INDIRECT(""'""&amp;CP$1&amp;""'!$C$4:$C$66""),INDIRECT(""'""&amp;CP$1&amp;""'!$D$4:$D$66"")=CP$2),$F$3:$BP$3,$F119:$BP119)))"),0.3247003485714286)</f>
        <v>0.3247003486</v>
      </c>
      <c r="CQ119" s="207" t="str">
        <f>IFERROR(__xludf.DUMMYFUNCTION("IF(OR(CP119&gt;$BR119+$BS119*$BS$2,CP119&lt;$BR119-$BS119*$BS$2),AVEDEV(ARRAYFORMULA(XLOOKUP(FILTER(INDIRECT(""'""&amp;CP$1&amp;""'!$C$4:$C$66""),INDIRECT(""'""&amp;CP$1&amp;""'!$D$4:$D$66"")=CP$2),$F$3:$BP$3,$F119:$BP119))),"""")"),"")</f>
        <v/>
      </c>
      <c r="CR119" s="251">
        <f>IFERROR(__xludf.DUMMYFUNCTION("AVERAGE(ARRAYFORMULA(XLOOKUP(FILTER(INDIRECT(""'""&amp;CR$1&amp;""'!$C$4:$C$66""),INDIRECT(""'""&amp;CR$1&amp;""'!$D$4:$D$66"")=CR$2),$F$3:$BP$3,$F119:$BP119)))"),-0.18285733555555556)</f>
        <v>-0.1828573356</v>
      </c>
      <c r="CS119" s="207" t="str">
        <f>IFERROR(__xludf.DUMMYFUNCTION("IF(OR(CR119&gt;$BR119+$BS119*$BS$2,CR119&lt;$BR119-$BS119*$BS$2),AVEDEV(ARRAYFORMULA(XLOOKUP(FILTER(INDIRECT(""'""&amp;CR$1&amp;""'!$C$4:$C$66""),INDIRECT(""'""&amp;CR$1&amp;""'!$D$4:$D$66"")=CR$2),$F$3:$BP$3,$F119:$BP119))),"""")"),"")</f>
        <v/>
      </c>
      <c r="CT119" s="251">
        <f>IFERROR(__xludf.DUMMYFUNCTION("AVERAGE(ARRAYFORMULA(XLOOKUP(FILTER(INDIRECT(""'""&amp;CT$1&amp;""'!$C$4:$C$66""),INDIRECT(""'""&amp;CT$1&amp;""'!$D$4:$D$66"")=CT$2),$F$3:$BP$3,$F119:$BP119)))"),-0.30461149454545455)</f>
        <v>-0.3046114945</v>
      </c>
      <c r="CU119" s="207" t="str">
        <f>IFERROR(__xludf.DUMMYFUNCTION("IF(OR(CT119&gt;$BR119+$BS119*$BS$2,CT119&lt;$BR119-$BS119*$BS$2),AVEDEV(ARRAYFORMULA(XLOOKUP(FILTER(INDIRECT(""'""&amp;CT$1&amp;""'!$C$4:$C$66""),INDIRECT(""'""&amp;CT$1&amp;""'!$D$4:$D$66"")=CT$2),$F$3:$BP$3,$F119:$BP119))),"""")"),"")</f>
        <v/>
      </c>
      <c r="CV119" s="251">
        <f>IFERROR(__xludf.DUMMYFUNCTION("AVERAGE(ARRAYFORMULA(XLOOKUP(FILTER(INDIRECT(""'""&amp;CV$1&amp;""'!$C$4:$C$66""),INDIRECT(""'""&amp;CV$1&amp;""'!$D$4:$D$66"")=CV$2),$F$3:$BP$3,$F119:$BP119)))"),1.142603025)</f>
        <v>1.142603025</v>
      </c>
      <c r="CW119" s="207">
        <f>IFERROR(__xludf.DUMMYFUNCTION("IF(OR(CV119&gt;$BR119+$BS119*$BS$2,CV119&lt;$BR119-$BS119*$BS$2),AVEDEV(ARRAYFORMULA(XLOOKUP(FILTER(INDIRECT(""'""&amp;CV$1&amp;""'!$C$4:$C$66""),INDIRECT(""'""&amp;CV$1&amp;""'!$D$4:$D$66"")=CV$2),$F$3:$BP$3,$F119:$BP119))),"""")"),0.314260305)</f>
        <v>0.314260305</v>
      </c>
      <c r="CX119" s="251">
        <f>IFERROR(__xludf.DUMMYFUNCTION("AVERAGE(ARRAYFORMULA(XLOOKUP(FILTER(INDIRECT(""'""&amp;CX$1&amp;""'!$C$4:$C$66""),INDIRECT(""'""&amp;CX$1&amp;""'!$D$4:$D$66"")=CX$2),$F$3:$BP$3,$F119:$BP119)))"),0.586866294285714)</f>
        <v>0.5868662943</v>
      </c>
      <c r="CY119" s="207" t="str">
        <f>IFERROR(__xludf.DUMMYFUNCTION("IF(OR(CX119&gt;$BR119+$BS119*$BS$2,CX119&lt;$BR119-$BS119*$BS$2),AVEDEV(ARRAYFORMULA(XLOOKUP(FILTER(INDIRECT(""'""&amp;CX$1&amp;""'!$C$4:$C$66""),INDIRECT(""'""&amp;CX$1&amp;""'!$D$4:$D$66"")=CX$2),$F$3:$BP$3,$F119:$BP119))),"""")"),"")</f>
        <v/>
      </c>
      <c r="CZ119" s="252"/>
      <c r="DA119" s="251">
        <f>IFERROR(__xludf.DUMMYFUNCTION("AVERAGE(ARRAYFORMULA(XLOOKUP(FILTER(INDIRECT(""'""&amp;DA$1&amp;""'!$C$4:$C$66""),INDIRECT(""'""&amp;DA$1&amp;""'!$D$4:$D$66"")=DA$2),$F$3:$BP$3,$F119:$BP119)))"),0.3422867836666666)</f>
        <v>0.3422867837</v>
      </c>
      <c r="DB119" s="207" t="str">
        <f>IFERROR(__xludf.DUMMYFUNCTION("IF(OR(DA119&gt;$BR119+$BS119*$BS$2,DA119&lt;$BR119-$BS119*$BS$2),AVEDEV(ARRAYFORMULA(XLOOKUP(FILTER(INDIRECT(""'""&amp;DA$1&amp;""'!$C$4:$C$66""),INDIRECT(""'""&amp;DA$1&amp;""'!$D$4:$D$66"")=DA$2),$F$3:$BP$3,$F119:$BP119))),"""")"),"")</f>
        <v/>
      </c>
      <c r="DC119" s="251">
        <f>IFERROR(__xludf.DUMMYFUNCTION("AVERAGE(ARRAYFORMULA(XLOOKUP(FILTER(INDIRECT(""'""&amp;DC$1&amp;""'!$C$4:$C$66""),INDIRECT(""'""&amp;DC$1&amp;""'!$D$4:$D$66"")=DC$2),$F$3:$BP$3,$F119:$BP119)))"),-0.26530948777777774)</f>
        <v>-0.2653094878</v>
      </c>
      <c r="DD119" s="207" t="str">
        <f>IFERROR(__xludf.DUMMYFUNCTION("IF(OR(DC119&gt;$BR119+$BS119*$BS$2,DC119&lt;$BR119-$BS119*$BS$2),AVEDEV(ARRAYFORMULA(XLOOKUP(FILTER(INDIRECT(""'""&amp;DC$1&amp;""'!$C$4:$C$66""),INDIRECT(""'""&amp;DC$1&amp;""'!$D$4:$D$66"")=DC$2),$F$3:$BP$3,$F119:$BP119))),"""")"),"")</f>
        <v/>
      </c>
      <c r="DE119" s="251">
        <f>IFERROR(__xludf.DUMMYFUNCTION("AVERAGE(ARRAYFORMULA(XLOOKUP(FILTER(INDIRECT(""'""&amp;DE$1&amp;""'!$C$4:$C$66""),INDIRECT(""'""&amp;DE$1&amp;""'!$D$4:$D$66"")=DE$2),$F$3:$BP$3,$F119:$BP119)))"),-0.7310628499999999)</f>
        <v>-0.73106285</v>
      </c>
      <c r="DF119" s="207">
        <f>IFERROR(__xludf.DUMMYFUNCTION("IF(OR(DE119&gt;$BR119+$BS119*$BS$2,DE119&lt;$BR119-$BS119*$BS$2),AVEDEV(ARRAYFORMULA(XLOOKUP(FILTER(INDIRECT(""'""&amp;DE$1&amp;""'!$C$4:$C$66""),INDIRECT(""'""&amp;DE$1&amp;""'!$D$4:$D$66"")=DE$2),$F$3:$BP$3,$F119:$BP119))),"""")"),0.29516563749999997)</f>
        <v>0.2951656375</v>
      </c>
      <c r="DG119" s="251">
        <f>IFERROR(__xludf.DUMMYFUNCTION("AVERAGE(ARRAYFORMULA(XLOOKUP(FILTER(INDIRECT(""'""&amp;DG$1&amp;""'!$C$4:$C$66""),INDIRECT(""'""&amp;DG$1&amp;""'!$D$4:$D$66"")=DG$2),$F$3:$BP$3,$F119:$BP119)))"),0.6334618066666666)</f>
        <v>0.6334618067</v>
      </c>
      <c r="DH119" s="207" t="str">
        <f>IFERROR(__xludf.DUMMYFUNCTION("IF(OR(DG119&gt;$BR119+$BS119*$BS$2,DG119&lt;$BR119-$BS119*$BS$2),AVEDEV(ARRAYFORMULA(XLOOKUP(FILTER(INDIRECT(""'""&amp;DG$1&amp;""'!$C$4:$C$66""),INDIRECT(""'""&amp;DG$1&amp;""'!$D$4:$D$66"")=DG$2),$F$3:$BP$3,$F119:$BP119))),"""")"),"")</f>
        <v/>
      </c>
      <c r="DI119" s="252"/>
    </row>
    <row r="120">
      <c r="A120" s="2"/>
      <c r="B120" s="204" t="s">
        <v>540</v>
      </c>
      <c r="C120" s="204" t="s">
        <v>563</v>
      </c>
      <c r="D120" s="205" t="b">
        <f>VLOOKUP(C120,'Feature Set List'!A117:C246,2,0)</f>
        <v>1</v>
      </c>
      <c r="E120" s="205" t="b">
        <f>VLOOKUP(C120,'Feature Set List'!A117:C246,3,0)</f>
        <v>1</v>
      </c>
      <c r="F120" s="205">
        <v>-0.3333333</v>
      </c>
      <c r="G120" s="205">
        <v>0.0</v>
      </c>
      <c r="H120" s="205">
        <v>-0.3333333</v>
      </c>
      <c r="I120" s="205">
        <v>0.66666667</v>
      </c>
      <c r="J120" s="205">
        <v>0.0</v>
      </c>
      <c r="K120" s="205">
        <v>-0.3333333</v>
      </c>
      <c r="L120" s="205">
        <v>0.66666667</v>
      </c>
      <c r="M120" s="205">
        <v>-0.3333333</v>
      </c>
      <c r="N120" s="205">
        <v>0.0</v>
      </c>
      <c r="O120" s="205">
        <v>-0.3333333</v>
      </c>
      <c r="P120" s="205">
        <v>0.66666667</v>
      </c>
      <c r="Q120" s="205">
        <v>-0.3333333</v>
      </c>
      <c r="R120" s="205">
        <v>0.0</v>
      </c>
      <c r="S120" s="205">
        <v>-0.3333333</v>
      </c>
      <c r="T120" s="205">
        <v>-0.3333333</v>
      </c>
      <c r="U120" s="205">
        <v>0.66666667</v>
      </c>
      <c r="V120" s="205">
        <v>-0.3333333</v>
      </c>
      <c r="W120" s="205">
        <v>0.66666667</v>
      </c>
      <c r="X120" s="205">
        <v>-0.3333333</v>
      </c>
      <c r="Y120" s="205">
        <v>0.66666667</v>
      </c>
      <c r="Z120" s="205">
        <v>0.66666667</v>
      </c>
      <c r="AA120" s="205">
        <v>-0.3333333</v>
      </c>
      <c r="AB120" s="205">
        <v>0.0</v>
      </c>
      <c r="AC120" s="205">
        <v>0.66666667</v>
      </c>
      <c r="AD120" s="205">
        <v>0.66666667</v>
      </c>
      <c r="AE120" s="205">
        <v>-0.3333333</v>
      </c>
      <c r="AF120" s="205">
        <v>0.66666667</v>
      </c>
      <c r="AG120" s="205">
        <v>-0.3333333</v>
      </c>
      <c r="AH120" s="205">
        <v>-0.3333333</v>
      </c>
      <c r="AI120" s="205">
        <v>-0.3333333</v>
      </c>
      <c r="AJ120" s="205">
        <v>2.0</v>
      </c>
      <c r="AK120" s="205">
        <v>0.0</v>
      </c>
      <c r="AL120" s="205">
        <v>-0.3333333</v>
      </c>
      <c r="AM120" s="205">
        <v>-0.3333333</v>
      </c>
      <c r="AN120" s="205">
        <v>0.0</v>
      </c>
      <c r="AO120" s="205">
        <v>0.66666667</v>
      </c>
      <c r="AP120" s="205">
        <v>0.66666667</v>
      </c>
      <c r="AQ120" s="205">
        <v>0.66666667</v>
      </c>
      <c r="AR120" s="205">
        <v>-0.3333333</v>
      </c>
      <c r="AS120" s="205">
        <v>-0.3333333</v>
      </c>
      <c r="AT120" s="205">
        <v>4.66666667</v>
      </c>
      <c r="AU120" s="205">
        <v>0.0</v>
      </c>
      <c r="AV120" s="205">
        <v>0.66666667</v>
      </c>
      <c r="AW120" s="205">
        <v>0.66666667</v>
      </c>
      <c r="AX120" s="205">
        <v>0.0</v>
      </c>
      <c r="AY120" s="205">
        <v>-0.3333333</v>
      </c>
      <c r="AZ120" s="205">
        <v>-0.3333333</v>
      </c>
      <c r="BA120" s="205">
        <v>0.0</v>
      </c>
      <c r="BB120" s="205">
        <v>-0.3333333</v>
      </c>
      <c r="BC120" s="205">
        <v>-0.3333333</v>
      </c>
      <c r="BD120" s="205">
        <v>-0.3333333</v>
      </c>
      <c r="BE120" s="205">
        <v>-0.3333333</v>
      </c>
      <c r="BF120" s="205">
        <v>-0.3333333</v>
      </c>
      <c r="BG120" s="205">
        <v>0.66666667</v>
      </c>
      <c r="BH120" s="205">
        <v>0.0</v>
      </c>
      <c r="BI120" s="205">
        <v>0.0</v>
      </c>
      <c r="BJ120" s="205">
        <v>-0.3333333</v>
      </c>
      <c r="BK120" s="205">
        <v>-0.3333333</v>
      </c>
      <c r="BL120" s="205">
        <v>0.0</v>
      </c>
      <c r="BM120" s="205">
        <v>-0.3333333</v>
      </c>
      <c r="BN120" s="205">
        <v>-0.3333333</v>
      </c>
      <c r="BO120" s="205">
        <v>-0.3333333</v>
      </c>
      <c r="BP120" s="205">
        <v>0.66666667</v>
      </c>
      <c r="BQ120" s="206"/>
      <c r="BR120" s="250">
        <f t="shared" si="1"/>
        <v>0.121693139</v>
      </c>
      <c r="BS120" s="250">
        <f t="shared" si="2"/>
        <v>0.4980263625</v>
      </c>
      <c r="BT120" s="206"/>
      <c r="BU120" s="207">
        <f>IFERROR(__xludf.DUMMYFUNCTION("AVERAGE(ARRAYFORMULA(XLOOKUP(FILTER(INDIRECT(""'""&amp;BU$1&amp;""'!$C$4:$C$66""),INDIRECT(""'""&amp;BU$1&amp;""'!$D$4:$D$66"")=BU$2),$F$3:$BP$3,$F120:$BP120)))"),-0.04761903285714285)</f>
        <v>-0.04761903286</v>
      </c>
      <c r="BV120" s="207" t="str">
        <f>IFERROR(__xludf.DUMMYFUNCTION("IF(OR(BU120&gt;$BR120+$BS120*$BS$2,BU120&lt;$BR120-$BS120*$BS$2),AVEDEV(ARRAYFORMULA(XLOOKUP(FILTER(INDIRECT(""'""&amp;BU$1&amp;""'!$C$4:$C$66""),INDIRECT(""'""&amp;BU$1&amp;""'!$D$4:$D$66"")=BU$2),$F$3:$BP$3,$F120:$BP120))),"""")"),"")</f>
        <v/>
      </c>
      <c r="BW120" s="207">
        <f>IFERROR(__xludf.DUMMYFUNCTION("AVERAGE(ARRAYFORMULA(XLOOKUP(FILTER(INDIRECT(""'""&amp;BW$1&amp;""'!$C$4:$C$66""),INDIRECT(""'""&amp;BW$1&amp;""'!$D$4:$D$66"")=BW$2),$F$3:$BP$3,$F120:$BP120)))"),0.1507936654761905)</f>
        <v>0.1507936655</v>
      </c>
      <c r="BX120" s="207" t="str">
        <f>IFERROR(__xludf.DUMMYFUNCTION("IF(OR(BW120&gt;$BR120+$BS120*$BS$2,BW120&lt;$BR120-$BS120*$BS$2),AVEDEV(ARRAYFORMULA(XLOOKUP(FILTER(INDIRECT(""'""&amp;BW$1&amp;""'!$C$4:$C$66""),INDIRECT(""'""&amp;BW$1&amp;""'!$D$4:$D$66"")=BW$2),$F$3:$BP$3,$F120:$BP120))),"""")"),"")</f>
        <v/>
      </c>
      <c r="BY120" s="207">
        <f>IFERROR(__xludf.DUMMYFUNCTION("AVERAGE(ARRAYFORMULA(XLOOKUP(FILTER(INDIRECT(""'""&amp;BY$1&amp;""'!$C$4:$C$66""),INDIRECT(""'""&amp;BY$1&amp;""'!$D$4:$D$66"")=BY$2),$F$3:$BP$3,$F120:$BP120)))"),-0.21212118454545453)</f>
        <v>-0.2121211845</v>
      </c>
      <c r="BZ120" s="207" t="str">
        <f>IFERROR(__xludf.DUMMYFUNCTION("IF(OR(BY120&gt;$BR120+$BS120*$BS$2,BY120&lt;$BR120-$BS120*$BS$2),AVEDEV(ARRAYFORMULA(XLOOKUP(FILTER(INDIRECT(""'""&amp;BY$1&amp;""'!$C$4:$C$66""),INDIRECT(""'""&amp;BY$1&amp;""'!$D$4:$D$66"")=BY$2),$F$3:$BP$3,$F120:$BP120))),"""")"),"")</f>
        <v/>
      </c>
      <c r="CA120" s="209"/>
      <c r="CB120" s="207">
        <f>IFERROR(__xludf.DUMMYFUNCTION("AVERAGE(ARRAYFORMULA(XLOOKUP(FILTER(INDIRECT(""'""&amp;CB$1&amp;""'!$C$4:$C$66""),INDIRECT(""'""&amp;CB$1&amp;""'!$D$4:$D$66"")=CB$2),$F$3:$BP$3,$F120:$BP120)))"),0.312500011875)</f>
        <v>0.3125000119</v>
      </c>
      <c r="CC120" s="207" t="str">
        <f>IFERROR(__xludf.DUMMYFUNCTION("IF(OR(CB120&gt;$BR120+$BS120*$BS$2,CB120&lt;$BR120-$BS120*$BS$2),AVEDEV(ARRAYFORMULA(XLOOKUP(FILTER(INDIRECT(""'""&amp;CB$1&amp;""'!$C$4:$C$66""),INDIRECT(""'""&amp;CB$1&amp;""'!$D$4:$D$66"")=CB$2),$F$3:$BP$3,$F120:$BP120))),"""")"),"")</f>
        <v/>
      </c>
      <c r="CD120" s="207">
        <f>IFERROR(__xludf.DUMMYFUNCTION("AVERAGE(ARRAYFORMULA(XLOOKUP(FILTER(INDIRECT(""'""&amp;CD$1&amp;""'!$C$4:$C$66""),INDIRECT(""'""&amp;CD$1&amp;""'!$D$4:$D$66"")=CD$2),$F$3:$BP$3,$F120:$BP120)))"),-0.021505358387096777)</f>
        <v>-0.02150535839</v>
      </c>
      <c r="CE120" s="207" t="str">
        <f>IFERROR(__xludf.DUMMYFUNCTION("IF(OR(CD120&gt;$BR120+$BS120*$BS$2,CD120&lt;$BR120-$BS120*$BS$2),AVEDEV(ARRAYFORMULA(XLOOKUP(FILTER(INDIRECT(""'""&amp;CD$1&amp;""'!$C$4:$C$66""),INDIRECT(""'""&amp;CD$1&amp;""'!$D$4:$D$66"")=CD$2),$F$3:$BP$3,$F120:$BP120))),"""")"),"")</f>
        <v/>
      </c>
      <c r="CF120" s="207">
        <f>IFERROR(__xludf.DUMMYFUNCTION("AVERAGE(ARRAYFORMULA(XLOOKUP(FILTER(INDIRECT(""'""&amp;CF$1&amp;""'!$C$4:$C$66""),INDIRECT(""'""&amp;CF$1&amp;""'!$D$4:$D$66"")=CF$2),$F$3:$BP$3,$F120:$BP120)))"),-0.3333333)</f>
        <v>-0.3333333</v>
      </c>
      <c r="CG120" s="207" t="str">
        <f>IFERROR(__xludf.DUMMYFUNCTION("IF(OR(CF120&gt;$BR120+$BS120*$BS$2,CF120&lt;$BR120-$BS120*$BS$2),AVEDEV(ARRAYFORMULA(XLOOKUP(FILTER(INDIRECT(""'""&amp;CF$1&amp;""'!$C$4:$C$66""),INDIRECT(""'""&amp;CF$1&amp;""'!$D$4:$D$66"")=CF$2),$F$3:$BP$3,$F120:$BP120))),"""")"),"")</f>
        <v/>
      </c>
      <c r="CH120" s="206"/>
      <c r="CI120" s="251">
        <f>IFERROR(__xludf.DUMMYFUNCTION("AVERAGE(ARRAYFORMULA(XLOOKUP(FILTER(INDIRECT(""'""&amp;CI$1&amp;""'!$C$4:$C$66""),INDIRECT(""'""&amp;CI$1&amp;""'!$D$4:$D$66"")=CI$2),$F$3:$BP$3,$F120:$BP120)))"),-0.06666664600000002)</f>
        <v>-0.066666646</v>
      </c>
      <c r="CJ120" s="207" t="str">
        <f>IFERROR(__xludf.DUMMYFUNCTION("IF(OR(CI120&gt;$BR120+$BS120*$BS$2,CI120&lt;$BR120-$BS120*$BS$2),AVEDEV(ARRAYFORMULA(XLOOKUP(FILTER(INDIRECT(""'""&amp;CI$1&amp;""'!$C$4:$C$66""),INDIRECT(""'""&amp;CI$1&amp;""'!$D$4:$D$66"")=CI$2),$F$3:$BP$3,$F120:$BP120))),"""")"),"")</f>
        <v/>
      </c>
      <c r="CK120" s="251">
        <f>IFERROR(__xludf.DUMMYFUNCTION("AVERAGE(ARRAYFORMULA(XLOOKUP(FILTER(INDIRECT(""'""&amp;CK$1&amp;""'!$C$4:$C$66""),INDIRECT(""'""&amp;CK$1&amp;""'!$D$4:$D$66"")=CK$2),$F$3:$BP$3,$F120:$BP120)))"),0.17094018410256412)</f>
        <v>0.1709401841</v>
      </c>
      <c r="CL120" s="207" t="str">
        <f>IFERROR(__xludf.DUMMYFUNCTION("IF(OR(CK120&gt;$BR120+$BS120*$BS$2,CK120&lt;$BR120-$BS120*$BS$2),AVEDEV(ARRAYFORMULA(XLOOKUP(FILTER(INDIRECT(""'""&amp;CK$1&amp;""'!$C$4:$C$66""),INDIRECT(""'""&amp;CK$1&amp;""'!$D$4:$D$66"")=CK$2),$F$3:$BP$3,$F120:$BP120))),"""")"),"")</f>
        <v/>
      </c>
      <c r="CM120" s="251">
        <f>IFERROR(__xludf.DUMMYFUNCTION("AVERAGE(ARRAYFORMULA(XLOOKUP(FILTER(INDIRECT(""'""&amp;CM$1&amp;""'!$C$4:$C$66""),INDIRECT(""'""&amp;CM$1&amp;""'!$D$4:$D$66"")=CM$2),$F$3:$BP$3,$F120:$BP120)))"),-0.3333333)</f>
        <v>-0.3333333</v>
      </c>
      <c r="CN120" s="207" t="str">
        <f>IFERROR(__xludf.DUMMYFUNCTION("IF(OR(CM120&gt;$BR120+$BS120*$BS$2,CM120&lt;$BR120-$BS120*$BS$2),AVEDEV(ARRAYFORMULA(XLOOKUP(FILTER(INDIRECT(""'""&amp;CM$1&amp;""'!$C$4:$C$66""),INDIRECT(""'""&amp;CM$1&amp;""'!$D$4:$D$66"")=CM$2),$F$3:$BP$3,$F120:$BP120))),"""")"),"")</f>
        <v/>
      </c>
      <c r="CO120" s="252"/>
      <c r="CP120" s="251">
        <f>IFERROR(__xludf.DUMMYFUNCTION("AVERAGE(ARRAYFORMULA(XLOOKUP(FILTER(INDIRECT(""'""&amp;CP$1&amp;""'!$C$4:$C$66""),INDIRECT(""'""&amp;CP$1&amp;""'!$D$4:$D$66"")=CP$2),$F$3:$BP$3,$F120:$BP120)))"),0.38095239214285714)</f>
        <v>0.3809523921</v>
      </c>
      <c r="CQ120" s="207" t="str">
        <f>IFERROR(__xludf.DUMMYFUNCTION("IF(OR(CP120&gt;$BR120+$BS120*$BS$2,CP120&lt;$BR120-$BS120*$BS$2),AVEDEV(ARRAYFORMULA(XLOOKUP(FILTER(INDIRECT(""'""&amp;CP$1&amp;""'!$C$4:$C$66""),INDIRECT(""'""&amp;CP$1&amp;""'!$D$4:$D$66"")=CP$2),$F$3:$BP$3,$F120:$BP120))),"""")"),"")</f>
        <v/>
      </c>
      <c r="CR120" s="251">
        <f>IFERROR(__xludf.DUMMYFUNCTION("AVERAGE(ARRAYFORMULA(XLOOKUP(FILTER(INDIRECT(""'""&amp;CR$1&amp;""'!$C$4:$C$66""),INDIRECT(""'""&amp;CR$1&amp;""'!$D$4:$D$66"")=CR$2),$F$3:$BP$3,$F120:$BP120)))"),-0.22222219222222223)</f>
        <v>-0.2222221922</v>
      </c>
      <c r="CS120" s="207" t="str">
        <f>IFERROR(__xludf.DUMMYFUNCTION("IF(OR(CR120&gt;$BR120+$BS120*$BS$2,CR120&lt;$BR120-$BS120*$BS$2),AVEDEV(ARRAYFORMULA(XLOOKUP(FILTER(INDIRECT(""'""&amp;CR$1&amp;""'!$C$4:$C$66""),INDIRECT(""'""&amp;CR$1&amp;""'!$D$4:$D$66"")=CR$2),$F$3:$BP$3,$F120:$BP120))),"""")"),"")</f>
        <v/>
      </c>
      <c r="CT120" s="251">
        <f>IFERROR(__xludf.DUMMYFUNCTION("AVERAGE(ARRAYFORMULA(XLOOKUP(FILTER(INDIRECT(""'""&amp;CT$1&amp;""'!$C$4:$C$66""),INDIRECT(""'""&amp;CT$1&amp;""'!$D$4:$D$66"")=CT$2),$F$3:$BP$3,$F120:$BP120)))"),-0.15151513)</f>
        <v>-0.15151513</v>
      </c>
      <c r="CU120" s="207" t="str">
        <f>IFERROR(__xludf.DUMMYFUNCTION("IF(OR(CT120&gt;$BR120+$BS120*$BS$2,CT120&lt;$BR120-$BS120*$BS$2),AVEDEV(ARRAYFORMULA(XLOOKUP(FILTER(INDIRECT(""'""&amp;CT$1&amp;""'!$C$4:$C$66""),INDIRECT(""'""&amp;CT$1&amp;""'!$D$4:$D$66"")=CT$2),$F$3:$BP$3,$F120:$BP120))),"""")"),"")</f>
        <v/>
      </c>
      <c r="CV120" s="251">
        <f>IFERROR(__xludf.DUMMYFUNCTION("AVERAGE(ARRAYFORMULA(XLOOKUP(FILTER(INDIRECT(""'""&amp;CV$1&amp;""'!$C$4:$C$66""),INDIRECT(""'""&amp;CV$1&amp;""'!$D$4:$D$66"")=CV$2),$F$3:$BP$3,$F120:$BP120)))"),0.66666667)</f>
        <v>0.66666667</v>
      </c>
      <c r="CW120" s="207">
        <f>IFERROR(__xludf.DUMMYFUNCTION("IF(OR(CV120&gt;$BR120+$BS120*$BS$2,CV120&lt;$BR120-$BS120*$BS$2),AVEDEV(ARRAYFORMULA(XLOOKUP(FILTER(INDIRECT(""'""&amp;CV$1&amp;""'!$C$4:$C$66""),INDIRECT(""'""&amp;CV$1&amp;""'!$D$4:$D$66"")=CV$2),$F$3:$BP$3,$F120:$BP120))),"""")"),0.0)</f>
        <v>0</v>
      </c>
      <c r="CX120" s="251">
        <f>IFERROR(__xludf.DUMMYFUNCTION("AVERAGE(ARRAYFORMULA(XLOOKUP(FILTER(INDIRECT(""'""&amp;CX$1&amp;""'!$C$4:$C$66""),INDIRECT(""'""&amp;CX$1&amp;""'!$D$4:$D$66"")=CX$2),$F$3:$BP$3,$F120:$BP120)))"),0.0952381107142857)</f>
        <v>0.09523811071</v>
      </c>
      <c r="CY120" s="207" t="str">
        <f>IFERROR(__xludf.DUMMYFUNCTION("IF(OR(CX120&gt;$BR120+$BS120*$BS$2,CX120&lt;$BR120-$BS120*$BS$2),AVEDEV(ARRAYFORMULA(XLOOKUP(FILTER(INDIRECT(""'""&amp;CX$1&amp;""'!$C$4:$C$66""),INDIRECT(""'""&amp;CX$1&amp;""'!$D$4:$D$66"")=CX$2),$F$3:$BP$3,$F120:$BP120))),"""")"),"")</f>
        <v/>
      </c>
      <c r="CZ120" s="252"/>
      <c r="DA120" s="251">
        <f>IFERROR(__xludf.DUMMYFUNCTION("AVERAGE(ARRAYFORMULA(XLOOKUP(FILTER(INDIRECT(""'""&amp;DA$1&amp;""'!$C$4:$C$66""),INDIRECT(""'""&amp;DA$1&amp;""'!$D$4:$D$66"")=DA$2),$F$3:$BP$3,$F120:$BP120)))"),0.15555557000000003)</f>
        <v>0.15555557</v>
      </c>
      <c r="DB120" s="207" t="str">
        <f>IFERROR(__xludf.DUMMYFUNCTION("IF(OR(DA120&gt;$BR120+$BS120*$BS$2,DA120&lt;$BR120-$BS120*$BS$2),AVEDEV(ARRAYFORMULA(XLOOKUP(FILTER(INDIRECT(""'""&amp;DA$1&amp;""'!$C$4:$C$66""),INDIRECT(""'""&amp;DA$1&amp;""'!$D$4:$D$66"")=DA$2),$F$3:$BP$3,$F120:$BP120))),"""")"),"")</f>
        <v/>
      </c>
      <c r="DC120" s="251">
        <f>IFERROR(__xludf.DUMMYFUNCTION("AVERAGE(ARRAYFORMULA(XLOOKUP(FILTER(INDIRECT(""'""&amp;DC$1&amp;""'!$C$4:$C$66""),INDIRECT(""'""&amp;DC$1&amp;""'!$D$4:$D$66"")=DC$2),$F$3:$BP$3,$F120:$BP120)))"),-0.14814812555555557)</f>
        <v>-0.1481481256</v>
      </c>
      <c r="DD120" s="207" t="str">
        <f>IFERROR(__xludf.DUMMYFUNCTION("IF(OR(DC120&gt;$BR120+$BS120*$BS$2,DC120&lt;$BR120-$BS120*$BS$2),AVEDEV(ARRAYFORMULA(XLOOKUP(FILTER(INDIRECT(""'""&amp;DC$1&amp;""'!$C$4:$C$66""),INDIRECT(""'""&amp;DC$1&amp;""'!$D$4:$D$66"")=DC$2),$F$3:$BP$3,$F120:$BP120))),"""")"),"")</f>
        <v/>
      </c>
      <c r="DE120" s="251">
        <f>IFERROR(__xludf.DUMMYFUNCTION("AVERAGE(ARRAYFORMULA(XLOOKUP(FILTER(INDIRECT(""'""&amp;DE$1&amp;""'!$C$4:$C$66""),INDIRECT(""'""&amp;DE$1&amp;""'!$D$4:$D$66"")=DE$2),$F$3:$BP$3,$F120:$BP120)))"),-0.08333331624999998)</f>
        <v>-0.08333331625</v>
      </c>
      <c r="DF120" s="207" t="str">
        <f>IFERROR(__xludf.DUMMYFUNCTION("IF(OR(DE120&gt;$BR120+$BS120*$BS$2,DE120&lt;$BR120-$BS120*$BS$2),AVEDEV(ARRAYFORMULA(XLOOKUP(FILTER(INDIRECT(""'""&amp;DE$1&amp;""'!$C$4:$C$66""),INDIRECT(""'""&amp;DE$1&amp;""'!$D$4:$D$66"")=DE$2),$F$3:$BP$3,$F120:$BP120))),"""")"),"")</f>
        <v/>
      </c>
      <c r="DG120" s="251">
        <f>IFERROR(__xludf.DUMMYFUNCTION("AVERAGE(ARRAYFORMULA(XLOOKUP(FILTER(INDIRECT(""'""&amp;DG$1&amp;""'!$C$4:$C$66""),INDIRECT(""'""&amp;DG$1&amp;""'!$D$4:$D$66"")=DG$2),$F$3:$BP$3,$F120:$BP120)))"),2.3333333327219602E-8)</f>
        <v>0.00000002333333333</v>
      </c>
      <c r="DH120" s="207" t="str">
        <f>IFERROR(__xludf.DUMMYFUNCTION("IF(OR(DG120&gt;$BR120+$BS120*$BS$2,DG120&lt;$BR120-$BS120*$BS$2),AVEDEV(ARRAYFORMULA(XLOOKUP(FILTER(INDIRECT(""'""&amp;DG$1&amp;""'!$C$4:$C$66""),INDIRECT(""'""&amp;DG$1&amp;""'!$D$4:$D$66"")=DG$2),$F$3:$BP$3,$F120:$BP120))),"""")"),"")</f>
        <v/>
      </c>
      <c r="DI120" s="252"/>
    </row>
    <row r="121">
      <c r="A121" s="2"/>
      <c r="B121" s="204" t="s">
        <v>540</v>
      </c>
      <c r="C121" s="204" t="s">
        <v>564</v>
      </c>
      <c r="D121" s="205" t="b">
        <f>VLOOKUP(C121,'Feature Set List'!A118:C246,2,0)</f>
        <v>1</v>
      </c>
      <c r="E121" s="205" t="b">
        <f>VLOOKUP(C121,'Feature Set List'!A118:C246,3,0)</f>
        <v>1</v>
      </c>
      <c r="F121" s="205">
        <v>0.62638172</v>
      </c>
      <c r="G121" s="205">
        <v>0.21714566</v>
      </c>
      <c r="H121" s="205">
        <v>0.8676001</v>
      </c>
      <c r="I121" s="205">
        <v>-0.1881602</v>
      </c>
      <c r="J121" s="205">
        <v>-0.8926554</v>
      </c>
      <c r="K121" s="205">
        <v>-0.0810612</v>
      </c>
      <c r="L121" s="205">
        <v>-0.8567919</v>
      </c>
      <c r="M121" s="205">
        <v>-0.5438467</v>
      </c>
      <c r="N121" s="205">
        <v>-0.0540408</v>
      </c>
      <c r="O121" s="205">
        <v>-0.3355441</v>
      </c>
      <c r="P121" s="205">
        <v>-0.6499632</v>
      </c>
      <c r="Q121" s="205">
        <v>-0.5276345</v>
      </c>
      <c r="R121" s="205">
        <v>-0.3276836</v>
      </c>
      <c r="S121" s="205">
        <v>-0.1473839</v>
      </c>
      <c r="T121" s="205">
        <v>0.13952346</v>
      </c>
      <c r="U121" s="205">
        <v>0.92262343</v>
      </c>
      <c r="V121" s="205">
        <v>-0.0363547</v>
      </c>
      <c r="W121" s="205">
        <v>0.28248588</v>
      </c>
      <c r="X121" s="205">
        <v>0.48734955</v>
      </c>
      <c r="Y121" s="205">
        <v>1.18398428</v>
      </c>
      <c r="Z121" s="205">
        <v>-0.1621223</v>
      </c>
      <c r="AA121" s="205">
        <v>0.80471629</v>
      </c>
      <c r="AB121" s="205">
        <v>-0.4888234</v>
      </c>
      <c r="AC121" s="205">
        <v>0.7629575</v>
      </c>
      <c r="AD121" s="205">
        <v>0.32473594</v>
      </c>
      <c r="AE121" s="205">
        <v>-0.5541636</v>
      </c>
      <c r="AF121" s="205">
        <v>1.81577008</v>
      </c>
      <c r="AG121" s="205">
        <v>-0.0628838</v>
      </c>
      <c r="AH121" s="205">
        <v>-0.7831</v>
      </c>
      <c r="AI121" s="205">
        <v>1.56128715</v>
      </c>
      <c r="AJ121" s="205">
        <v>-0.4298698</v>
      </c>
      <c r="AK121" s="205">
        <v>0.0</v>
      </c>
      <c r="AL121" s="205">
        <v>1.06165561</v>
      </c>
      <c r="AM121" s="205">
        <v>-0.0997298</v>
      </c>
      <c r="AN121" s="205">
        <v>0.37975927</v>
      </c>
      <c r="AO121" s="205">
        <v>0.9624171</v>
      </c>
      <c r="AP121" s="205">
        <v>1.54261852</v>
      </c>
      <c r="AQ121" s="205">
        <v>0.07074429</v>
      </c>
      <c r="AR121" s="205">
        <v>0.21763694</v>
      </c>
      <c r="AS121" s="205">
        <v>0.19454679</v>
      </c>
      <c r="AT121" s="205">
        <v>-0.4613117</v>
      </c>
      <c r="AU121" s="205">
        <v>0.41267502</v>
      </c>
      <c r="AV121" s="205">
        <v>0.02652911</v>
      </c>
      <c r="AW121" s="205">
        <v>-0.4121837</v>
      </c>
      <c r="AX121" s="205">
        <v>1.03463522</v>
      </c>
      <c r="AY121" s="205">
        <v>0.09923852</v>
      </c>
      <c r="AZ121" s="205">
        <v>-0.2122329</v>
      </c>
      <c r="BA121" s="205">
        <v>-0.0338983</v>
      </c>
      <c r="BB121" s="205">
        <v>-0.7973471</v>
      </c>
      <c r="BC121" s="205">
        <v>0.98305085</v>
      </c>
      <c r="BD121" s="205">
        <v>1.69786293</v>
      </c>
      <c r="BE121" s="205">
        <v>0.14836649</v>
      </c>
      <c r="BF121" s="205">
        <v>0.56251535</v>
      </c>
      <c r="BG121" s="205">
        <v>1.1348563</v>
      </c>
      <c r="BH121" s="205">
        <v>-0.5433554</v>
      </c>
      <c r="BI121" s="205">
        <v>-0.0599361</v>
      </c>
      <c r="BJ121" s="205">
        <v>-0.7998035</v>
      </c>
      <c r="BK121" s="205">
        <v>0.48489315</v>
      </c>
      <c r="BL121" s="205">
        <v>-0.5463031</v>
      </c>
      <c r="BM121" s="205">
        <v>-0.3851634</v>
      </c>
      <c r="BN121" s="205">
        <v>0.7629575</v>
      </c>
      <c r="BO121" s="205">
        <v>-0.6175387</v>
      </c>
      <c r="BP121" s="205">
        <v>-0.3989192</v>
      </c>
      <c r="BQ121" s="206"/>
      <c r="BR121" s="250">
        <f t="shared" si="1"/>
        <v>0.1473605397</v>
      </c>
      <c r="BS121" s="250">
        <f t="shared" si="2"/>
        <v>0.5542460333</v>
      </c>
      <c r="BT121" s="206"/>
      <c r="BU121" s="207">
        <f>IFERROR(__xludf.DUMMYFUNCTION("AVERAGE(ARRAYFORMULA(XLOOKUP(FILTER(INDIRECT(""'""&amp;BU$1&amp;""'!$C$4:$C$66""),INDIRECT(""'""&amp;BU$1&amp;""'!$D$4:$D$66"")=BU$2),$F$3:$BP$3,$F121:$BP121)))"),0.5693230871428571)</f>
        <v>0.5693230871</v>
      </c>
      <c r="BV121" s="207" t="str">
        <f>IFERROR(__xludf.DUMMYFUNCTION("IF(OR(BU121&gt;$BR121+$BS121*$BS$2,BU121&lt;$BR121-$BS121*$BS$2),AVEDEV(ARRAYFORMULA(XLOOKUP(FILTER(INDIRECT(""'""&amp;BU$1&amp;""'!$C$4:$C$66""),INDIRECT(""'""&amp;BU$1&amp;""'!$D$4:$D$66"")=BU$2),$F$3:$BP$3,$F121:$BP121))),"""")"),"")</f>
        <v/>
      </c>
      <c r="BW121" s="207">
        <f>IFERROR(__xludf.DUMMYFUNCTION("AVERAGE(ARRAYFORMULA(XLOOKUP(FILTER(INDIRECT(""'""&amp;BW$1&amp;""'!$C$4:$C$66""),INDIRECT(""'""&amp;BW$1&amp;""'!$D$4:$D$66"")=BW$2),$F$3:$BP$3,$F121:$BP121)))"),0.13014235119047618)</f>
        <v>0.1301423512</v>
      </c>
      <c r="BX121" s="207" t="str">
        <f>IFERROR(__xludf.DUMMYFUNCTION("IF(OR(BW121&gt;$BR121+$BS121*$BS$2,BW121&lt;$BR121-$BS121*$BS$2),AVEDEV(ARRAYFORMULA(XLOOKUP(FILTER(INDIRECT(""'""&amp;BW$1&amp;""'!$C$4:$C$66""),INDIRECT(""'""&amp;BW$1&amp;""'!$D$4:$D$66"")=BW$2),$F$3:$BP$3,$F121:$BP121))),"""")"),"")</f>
        <v/>
      </c>
      <c r="BY121" s="207">
        <f>IFERROR(__xludf.DUMMYFUNCTION("AVERAGE(ARRAYFORMULA(XLOOKUP(FILTER(INDIRECT(""'""&amp;BY$1&amp;""'!$C$4:$C$66""),INDIRECT(""'""&amp;BY$1&amp;""'!$D$4:$D$66"")=BY$2),$F$3:$BP$3,$F121:$BP121)))"),-0.14153323727272726)</f>
        <v>-0.1415332373</v>
      </c>
      <c r="BZ121" s="207" t="str">
        <f>IFERROR(__xludf.DUMMYFUNCTION("IF(OR(BY121&gt;$BR121+$BS121*$BS$2,BY121&lt;$BR121-$BS121*$BS$2),AVEDEV(ARRAYFORMULA(XLOOKUP(FILTER(INDIRECT(""'""&amp;BY$1&amp;""'!$C$4:$C$66""),INDIRECT(""'""&amp;BY$1&amp;""'!$D$4:$D$66"")=BY$2),$F$3:$BP$3,$F121:$BP121))),"""")"),"")</f>
        <v/>
      </c>
      <c r="CA121" s="209"/>
      <c r="CB121" s="207">
        <f>IFERROR(__xludf.DUMMYFUNCTION("AVERAGE(ARRAYFORMULA(XLOOKUP(FILTER(INDIRECT(""'""&amp;CB$1&amp;""'!$C$4:$C$66""),INDIRECT(""'""&amp;CB$1&amp;""'!$D$4:$D$66"")=CB$2),$F$3:$BP$3,$F121:$BP121)))"),0.21392163625)</f>
        <v>0.2139216363</v>
      </c>
      <c r="CC121" s="207" t="str">
        <f>IFERROR(__xludf.DUMMYFUNCTION("IF(OR(CB121&gt;$BR121+$BS121*$BS$2,CB121&lt;$BR121-$BS121*$BS$2),AVEDEV(ARRAYFORMULA(XLOOKUP(FILTER(INDIRECT(""'""&amp;CB$1&amp;""'!$C$4:$C$66""),INDIRECT(""'""&amp;CB$1&amp;""'!$D$4:$D$66"")=CB$2),$F$3:$BP$3,$F121:$BP121))),"""")"),"")</f>
        <v/>
      </c>
      <c r="CD121" s="207">
        <f>IFERROR(__xludf.DUMMYFUNCTION("AVERAGE(ARRAYFORMULA(XLOOKUP(FILTER(INDIRECT(""'""&amp;CD$1&amp;""'!$C$4:$C$66""),INDIRECT(""'""&amp;CD$1&amp;""'!$D$4:$D$66"")=CD$2),$F$3:$BP$3,$F121:$BP121)))"),0.0883194248387097)</f>
        <v>0.08831942484</v>
      </c>
      <c r="CE121" s="207" t="str">
        <f>IFERROR(__xludf.DUMMYFUNCTION("IF(OR(CD121&gt;$BR121+$BS121*$BS$2,CD121&lt;$BR121-$BS121*$BS$2),AVEDEV(ARRAYFORMULA(XLOOKUP(FILTER(INDIRECT(""'""&amp;CD$1&amp;""'!$C$4:$C$66""),INDIRECT(""'""&amp;CD$1&amp;""'!$D$4:$D$66"")=CD$2),$F$3:$BP$3,$F121:$BP121))),"""")"),"")</f>
        <v/>
      </c>
      <c r="CF121" s="207">
        <f>IFERROR(__xludf.DUMMYFUNCTION("AVERAGE(ARRAYFORMULA(XLOOKUP(FILTER(INDIRECT(""'""&amp;CF$1&amp;""'!$C$4:$C$66""),INDIRECT(""'""&amp;CF$1&amp;""'!$D$4:$D$66"")=CF$2),$F$3:$BP$3,$F121:$BP121)))"),0.016998278)</f>
        <v>0.016998278</v>
      </c>
      <c r="CG121" s="207" t="str">
        <f>IFERROR(__xludf.DUMMYFUNCTION("IF(OR(CF121&gt;$BR121+$BS121*$BS$2,CF121&lt;$BR121-$BS121*$BS$2),AVEDEV(ARRAYFORMULA(XLOOKUP(FILTER(INDIRECT(""'""&amp;CF$1&amp;""'!$C$4:$C$66""),INDIRECT(""'""&amp;CF$1&amp;""'!$D$4:$D$66"")=CF$2),$F$3:$BP$3,$F121:$BP121))),"""")"),"")</f>
        <v/>
      </c>
      <c r="CH121" s="206"/>
      <c r="CI121" s="251">
        <f>IFERROR(__xludf.DUMMYFUNCTION("AVERAGE(ARRAYFORMULA(XLOOKUP(FILTER(INDIRECT(""'""&amp;CI$1&amp;""'!$C$4:$C$66""),INDIRECT(""'""&amp;CI$1&amp;""'!$D$4:$D$66"")=CI$2),$F$3:$BP$3,$F121:$BP121)))"),0.23217883066666664)</f>
        <v>0.2321788307</v>
      </c>
      <c r="CJ121" s="207" t="str">
        <f>IFERROR(__xludf.DUMMYFUNCTION("IF(OR(CI121&gt;$BR121+$BS121*$BS$2,CI121&lt;$BR121-$BS121*$BS$2),AVEDEV(ARRAYFORMULA(XLOOKUP(FILTER(INDIRECT(""'""&amp;CI$1&amp;""'!$C$4:$C$66""),INDIRECT(""'""&amp;CI$1&amp;""'!$D$4:$D$66"")=CI$2),$F$3:$BP$3,$F121:$BP121))),"""")"),"")</f>
        <v/>
      </c>
      <c r="CK121" s="251">
        <f>IFERROR(__xludf.DUMMYFUNCTION("AVERAGE(ARRAYFORMULA(XLOOKUP(FILTER(INDIRECT(""'""&amp;CK$1&amp;""'!$C$4:$C$66""),INDIRECT(""'""&amp;CK$1&amp;""'!$D$4:$D$66"")=CK$2),$F$3:$BP$3,$F121:$BP121)))"),0.09850789102564103)</f>
        <v>0.09850789103</v>
      </c>
      <c r="CL121" s="207" t="str">
        <f>IFERROR(__xludf.DUMMYFUNCTION("IF(OR(CK121&gt;$BR121+$BS121*$BS$2,CK121&lt;$BR121-$BS121*$BS$2),AVEDEV(ARRAYFORMULA(XLOOKUP(FILTER(INDIRECT(""'""&amp;CK$1&amp;""'!$C$4:$C$66""),INDIRECT(""'""&amp;CK$1&amp;""'!$D$4:$D$66"")=CK$2),$F$3:$BP$3,$F121:$BP121))),"""")"),"")</f>
        <v/>
      </c>
      <c r="CM121" s="251">
        <f>IFERROR(__xludf.DUMMYFUNCTION("AVERAGE(ARRAYFORMULA(XLOOKUP(FILTER(INDIRECT(""'""&amp;CM$1&amp;""'!$C$4:$C$66""),INDIRECT(""'""&amp;CM$1&amp;""'!$D$4:$D$66"")=CM$2),$F$3:$BP$3,$F121:$BP121)))"),0.016998278)</f>
        <v>0.016998278</v>
      </c>
      <c r="CN121" s="207" t="str">
        <f>IFERROR(__xludf.DUMMYFUNCTION("IF(OR(CM121&gt;$BR121+$BS121*$BS$2,CM121&lt;$BR121-$BS121*$BS$2),AVEDEV(ARRAYFORMULA(XLOOKUP(FILTER(INDIRECT(""'""&amp;CM$1&amp;""'!$C$4:$C$66""),INDIRECT(""'""&amp;CM$1&amp;""'!$D$4:$D$66"")=CM$2),$F$3:$BP$3,$F121:$BP121))),"""")"),"")</f>
        <v/>
      </c>
      <c r="CO121" s="252"/>
      <c r="CP121" s="251">
        <f>IFERROR(__xludf.DUMMYFUNCTION("AVERAGE(ARRAYFORMULA(XLOOKUP(FILTER(INDIRECT(""'""&amp;CP$1&amp;""'!$C$4:$C$66""),INDIRECT(""'""&amp;CP$1&amp;""'!$D$4:$D$66"")=CP$2),$F$3:$BP$3,$F121:$BP121)))"),0.229673295)</f>
        <v>0.229673295</v>
      </c>
      <c r="CQ121" s="207" t="str">
        <f>IFERROR(__xludf.DUMMYFUNCTION("IF(OR(CP121&gt;$BR121+$BS121*$BS$2,CP121&lt;$BR121-$BS121*$BS$2),AVEDEV(ARRAYFORMULA(XLOOKUP(FILTER(INDIRECT(""'""&amp;CP$1&amp;""'!$C$4:$C$66""),INDIRECT(""'""&amp;CP$1&amp;""'!$D$4:$D$66"")=CP$2),$F$3:$BP$3,$F121:$BP121))),"""")"),"")</f>
        <v/>
      </c>
      <c r="CR121" s="251">
        <f>IFERROR(__xludf.DUMMYFUNCTION("AVERAGE(ARRAYFORMULA(XLOOKUP(FILTER(INDIRECT(""'""&amp;CR$1&amp;""'!$C$4:$C$66""),INDIRECT(""'""&amp;CR$1&amp;""'!$D$4:$D$66"")=CR$2),$F$3:$BP$3,$F121:$BP121)))"),-0.12331122555555557)</f>
        <v>-0.1233112256</v>
      </c>
      <c r="CS121" s="207" t="str">
        <f>IFERROR(__xludf.DUMMYFUNCTION("IF(OR(CR121&gt;$BR121+$BS121*$BS$2,CR121&lt;$BR121-$BS121*$BS$2),AVEDEV(ARRAYFORMULA(XLOOKUP(FILTER(INDIRECT(""'""&amp;CR$1&amp;""'!$C$4:$C$66""),INDIRECT(""'""&amp;CR$1&amp;""'!$D$4:$D$66"")=CR$2),$F$3:$BP$3,$F121:$BP121))),"""")"),"")</f>
        <v/>
      </c>
      <c r="CT121" s="251">
        <f>IFERROR(__xludf.DUMMYFUNCTION("AVERAGE(ARRAYFORMULA(XLOOKUP(FILTER(INDIRECT(""'""&amp;CT$1&amp;""'!$C$4:$C$66""),INDIRECT(""'""&amp;CT$1&amp;""'!$D$4:$D$66"")=CT$2),$F$3:$BP$3,$F121:$BP121)))"),0.2597083618181818)</f>
        <v>0.2597083618</v>
      </c>
      <c r="CU121" s="207" t="str">
        <f>IFERROR(__xludf.DUMMYFUNCTION("IF(OR(CT121&gt;$BR121+$BS121*$BS$2,CT121&lt;$BR121-$BS121*$BS$2),AVEDEV(ARRAYFORMULA(XLOOKUP(FILTER(INDIRECT(""'""&amp;CT$1&amp;""'!$C$4:$C$66""),INDIRECT(""'""&amp;CT$1&amp;""'!$D$4:$D$66"")=CT$2),$F$3:$BP$3,$F121:$BP121))),"""")"),"")</f>
        <v/>
      </c>
      <c r="CV121" s="251">
        <f>IFERROR(__xludf.DUMMYFUNCTION("AVERAGE(ARRAYFORMULA(XLOOKUP(FILTER(INDIRECT(""'""&amp;CV$1&amp;""'!$C$4:$C$66""),INDIRECT(""'""&amp;CV$1&amp;""'!$D$4:$D$66"")=CV$2),$F$3:$BP$3,$F121:$BP121)))"),0.9489069)</f>
        <v>0.9489069</v>
      </c>
      <c r="CW121" s="207">
        <f>IFERROR(__xludf.DUMMYFUNCTION("IF(OR(CV121&gt;$BR121+$BS121*$BS$2,CV121&lt;$BR121-$BS121*$BS$2),AVEDEV(ARRAYFORMULA(XLOOKUP(FILTER(INDIRECT(""'""&amp;CV$1&amp;""'!$C$4:$C$66""),INDIRECT(""'""&amp;CV$1&amp;""'!$D$4:$D$66"")=CV$2),$F$3:$BP$3,$F121:$BP121))),"""")"),0.18594940000000004)</f>
        <v>0.1859494</v>
      </c>
      <c r="CX121" s="251">
        <f>IFERROR(__xludf.DUMMYFUNCTION("AVERAGE(ARRAYFORMULA(XLOOKUP(FILTER(INDIRECT(""'""&amp;CX$1&amp;""'!$C$4:$C$66""),INDIRECT(""'""&amp;CX$1&amp;""'!$D$4:$D$66"")=CX$2),$F$3:$BP$3,$F121:$BP121)))"),-0.12355687000000001)</f>
        <v>-0.12355687</v>
      </c>
      <c r="CY121" s="207" t="str">
        <f>IFERROR(__xludf.DUMMYFUNCTION("IF(OR(CX121&gt;$BR121+$BS121*$BS$2,CX121&lt;$BR121-$BS121*$BS$2),AVEDEV(ARRAYFORMULA(XLOOKUP(FILTER(INDIRECT(""'""&amp;CX$1&amp;""'!$C$4:$C$66""),INDIRECT(""'""&amp;CX$1&amp;""'!$D$4:$D$66"")=CX$2),$F$3:$BP$3,$F121:$BP121))),"""")"),"")</f>
        <v/>
      </c>
      <c r="CZ121" s="252"/>
      <c r="DA121" s="251">
        <f>IFERROR(__xludf.DUMMYFUNCTION("AVERAGE(ARRAYFORMULA(XLOOKUP(FILTER(INDIRECT(""'""&amp;DA$1&amp;""'!$C$4:$C$66""),INDIRECT(""'""&amp;DA$1&amp;""'!$D$4:$D$66"")=DA$2),$F$3:$BP$3,$F121:$BP121)))"),0.08584295199999999)</f>
        <v>0.085842952</v>
      </c>
      <c r="DB121" s="207" t="str">
        <f>IFERROR(__xludf.DUMMYFUNCTION("IF(OR(DA121&gt;$BR121+$BS121*$BS$2,DA121&lt;$BR121-$BS121*$BS$2),AVEDEV(ARRAYFORMULA(XLOOKUP(FILTER(INDIRECT(""'""&amp;DA$1&amp;""'!$C$4:$C$66""),INDIRECT(""'""&amp;DA$1&amp;""'!$D$4:$D$66"")=DA$2),$F$3:$BP$3,$F121:$BP121))),"""")"),"")</f>
        <v/>
      </c>
      <c r="DC121" s="251">
        <f>IFERROR(__xludf.DUMMYFUNCTION("AVERAGE(ARRAYFORMULA(XLOOKUP(FILTER(INDIRECT(""'""&amp;DC$1&amp;""'!$C$4:$C$66""),INDIRECT(""'""&amp;DC$1&amp;""'!$D$4:$D$66"")=DC$2),$F$3:$BP$3,$F121:$BP121)))"),-0.13073500666666668)</f>
        <v>-0.1307350067</v>
      </c>
      <c r="DD121" s="207" t="str">
        <f>IFERROR(__xludf.DUMMYFUNCTION("IF(OR(DC121&gt;$BR121+$BS121*$BS$2,DC121&lt;$BR121-$BS121*$BS$2),AVEDEV(ARRAYFORMULA(XLOOKUP(FILTER(INDIRECT(""'""&amp;DC$1&amp;""'!$C$4:$C$66""),INDIRECT(""'""&amp;DC$1&amp;""'!$D$4:$D$66"")=DC$2),$F$3:$BP$3,$F121:$BP121))),"""")"),"")</f>
        <v/>
      </c>
      <c r="DE121" s="251">
        <f>IFERROR(__xludf.DUMMYFUNCTION("AVERAGE(ARRAYFORMULA(XLOOKUP(FILTER(INDIRECT(""'""&amp;DE$1&amp;""'!$C$4:$C$66""),INDIRECT(""'""&amp;DE$1&amp;""'!$D$4:$D$66"")=DE$2),$F$3:$BP$3,$F121:$BP121)))"),0.22040039374999998)</f>
        <v>0.2204003938</v>
      </c>
      <c r="DF121" s="207" t="str">
        <f>IFERROR(__xludf.DUMMYFUNCTION("IF(OR(DE121&gt;$BR121+$BS121*$BS$2,DE121&lt;$BR121-$BS121*$BS$2),AVEDEV(ARRAYFORMULA(XLOOKUP(FILTER(INDIRECT(""'""&amp;DE$1&amp;""'!$C$4:$C$66""),INDIRECT(""'""&amp;DE$1&amp;""'!$D$4:$D$66"")=DE$2),$F$3:$BP$3,$F121:$BP121))),"""")"),"")</f>
        <v/>
      </c>
      <c r="DG121" s="251">
        <f>IFERROR(__xludf.DUMMYFUNCTION("AVERAGE(ARRAYFORMULA(XLOOKUP(FILTER(INDIRECT(""'""&amp;DG$1&amp;""'!$C$4:$C$66""),INDIRECT(""'""&amp;DG$1&amp;""'!$D$4:$D$66"")=DG$2),$F$3:$BP$3,$F121:$BP121)))"),0.3905128344444444)</f>
        <v>0.3905128344</v>
      </c>
      <c r="DH121" s="207" t="str">
        <f>IFERROR(__xludf.DUMMYFUNCTION("IF(OR(DG121&gt;$BR121+$BS121*$BS$2,DG121&lt;$BR121-$BS121*$BS$2),AVEDEV(ARRAYFORMULA(XLOOKUP(FILTER(INDIRECT(""'""&amp;DG$1&amp;""'!$C$4:$C$66""),INDIRECT(""'""&amp;DG$1&amp;""'!$D$4:$D$66"")=DG$2),$F$3:$BP$3,$F121:$BP121))),"""")"),"")</f>
        <v/>
      </c>
      <c r="DI121" s="252"/>
    </row>
    <row r="122">
      <c r="A122" s="2"/>
      <c r="B122" s="204" t="s">
        <v>540</v>
      </c>
      <c r="C122" s="204" t="s">
        <v>565</v>
      </c>
      <c r="D122" s="205" t="b">
        <f>VLOOKUP(C122,'Feature Set List'!A119:C246,2,0)</f>
        <v>1</v>
      </c>
      <c r="E122" s="205" t="b">
        <f>VLOOKUP(C122,'Feature Set List'!A119:C246,3,0)</f>
        <v>1</v>
      </c>
      <c r="F122" s="205">
        <v>0.03063711</v>
      </c>
      <c r="G122" s="205">
        <v>-1.3027736</v>
      </c>
      <c r="H122" s="205">
        <v>0.03063711</v>
      </c>
      <c r="I122" s="205">
        <v>-0.9594987</v>
      </c>
      <c r="J122" s="205">
        <v>-0.2365092</v>
      </c>
      <c r="K122" s="205">
        <v>0.03063711</v>
      </c>
      <c r="L122" s="205">
        <v>-0.0011605</v>
      </c>
      <c r="M122" s="205">
        <v>0.03063711</v>
      </c>
      <c r="N122" s="205">
        <v>-1.1386794</v>
      </c>
      <c r="O122" s="205">
        <v>0.03063711</v>
      </c>
      <c r="P122" s="205">
        <v>-0.6573053</v>
      </c>
      <c r="Q122" s="205">
        <v>0.03063711</v>
      </c>
      <c r="R122" s="205">
        <v>-0.467216</v>
      </c>
      <c r="S122" s="205">
        <v>0.03063711</v>
      </c>
      <c r="T122" s="205">
        <v>0.03063711</v>
      </c>
      <c r="U122" s="205">
        <v>-1.5975397</v>
      </c>
      <c r="V122" s="205">
        <v>0.03063711</v>
      </c>
      <c r="W122" s="205">
        <v>-1.1233608</v>
      </c>
      <c r="X122" s="205">
        <v>0.03063711</v>
      </c>
      <c r="Y122" s="205">
        <v>-1.9234072</v>
      </c>
      <c r="Z122" s="205">
        <v>-0.5154926</v>
      </c>
      <c r="AA122" s="205">
        <v>0.03063711</v>
      </c>
      <c r="AB122" s="205">
        <v>0.0</v>
      </c>
      <c r="AC122" s="205">
        <v>-1.8382268</v>
      </c>
      <c r="AD122" s="205">
        <v>-1.418127</v>
      </c>
      <c r="AE122" s="205">
        <v>0.03063711</v>
      </c>
      <c r="AF122" s="205">
        <v>-1.9554369</v>
      </c>
      <c r="AG122" s="205">
        <v>0.03063711</v>
      </c>
      <c r="AH122" s="205">
        <v>0.03063711</v>
      </c>
      <c r="AI122" s="205">
        <v>0.03063711</v>
      </c>
      <c r="AJ122" s="205">
        <v>-0.1035163</v>
      </c>
      <c r="AK122" s="205">
        <v>-1.2767785</v>
      </c>
      <c r="AL122" s="205">
        <v>0.03063711</v>
      </c>
      <c r="AM122" s="205">
        <v>0.03063711</v>
      </c>
      <c r="AN122" s="205">
        <v>-0.9237554</v>
      </c>
      <c r="AO122" s="205">
        <v>-1.9118023</v>
      </c>
      <c r="AP122" s="205">
        <v>-2.0685157</v>
      </c>
      <c r="AQ122" s="205">
        <v>-0.9708715</v>
      </c>
      <c r="AR122" s="205">
        <v>0.03063711</v>
      </c>
      <c r="AS122" s="205">
        <v>0.03063711</v>
      </c>
      <c r="AT122" s="205">
        <v>-0.8487873</v>
      </c>
      <c r="AU122" s="205">
        <v>-0.920506</v>
      </c>
      <c r="AV122" s="205">
        <v>-0.6563769</v>
      </c>
      <c r="AW122" s="205">
        <v>-0.3581293</v>
      </c>
      <c r="AX122" s="205">
        <v>-1.4907741</v>
      </c>
      <c r="AY122" s="205">
        <v>0.03063711</v>
      </c>
      <c r="AZ122" s="205">
        <v>0.03063711</v>
      </c>
      <c r="BA122" s="205">
        <v>-1.1693165</v>
      </c>
      <c r="BB122" s="205">
        <v>0.03063711</v>
      </c>
      <c r="BC122" s="205">
        <v>0.03063711</v>
      </c>
      <c r="BD122" s="205">
        <v>0.03063711</v>
      </c>
      <c r="BE122" s="205">
        <v>0.03063711</v>
      </c>
      <c r="BF122" s="205">
        <v>0.03063711</v>
      </c>
      <c r="BG122" s="205">
        <v>-1.9106418</v>
      </c>
      <c r="BH122" s="205">
        <v>-0.9678542</v>
      </c>
      <c r="BI122" s="205">
        <v>-1.0353951</v>
      </c>
      <c r="BJ122" s="205">
        <v>0.03063711</v>
      </c>
      <c r="BK122" s="205">
        <v>0.03063711</v>
      </c>
      <c r="BL122" s="205">
        <v>-0.8155971</v>
      </c>
      <c r="BM122" s="205">
        <v>0.03063711</v>
      </c>
      <c r="BN122" s="205">
        <v>0.03063711</v>
      </c>
      <c r="BO122" s="205">
        <v>0.03063711</v>
      </c>
      <c r="BP122" s="205">
        <v>-0.9659974</v>
      </c>
      <c r="BQ122" s="206"/>
      <c r="BR122" s="250">
        <f t="shared" si="1"/>
        <v>-0.5171364871</v>
      </c>
      <c r="BS122" s="250">
        <f t="shared" si="2"/>
        <v>0.6006004134</v>
      </c>
      <c r="BT122" s="206"/>
      <c r="BU122" s="207">
        <f>IFERROR(__xludf.DUMMYFUNCTION("AVERAGE(ARRAYFORMULA(XLOOKUP(FILTER(INDIRECT(""'""&amp;BU$1&amp;""'!$C$4:$C$66""),INDIRECT(""'""&amp;BU$1&amp;""'!$D$4:$D$66"")=BU$2),$F$3:$BP$3,$F122:$BP122)))"),-0.6593279242857145)</f>
        <v>-0.6593279243</v>
      </c>
      <c r="BV122" s="207" t="str">
        <f>IFERROR(__xludf.DUMMYFUNCTION("IF(OR(BU122&gt;$BR122+$BS122*$BS$2,BU122&lt;$BR122-$BS122*$BS$2),AVEDEV(ARRAYFORMULA(XLOOKUP(FILTER(INDIRECT(""'""&amp;BU$1&amp;""'!$C$4:$C$66""),INDIRECT(""'""&amp;BU$1&amp;""'!$D$4:$D$66"")=BU$2),$F$3:$BP$3,$F122:$BP122))),"""")"),"")</f>
        <v/>
      </c>
      <c r="BW122" s="207">
        <f>IFERROR(__xludf.DUMMYFUNCTION("AVERAGE(ARRAYFORMULA(XLOOKUP(FILTER(INDIRECT(""'""&amp;BW$1&amp;""'!$C$4:$C$66""),INDIRECT(""'""&amp;BW$1&amp;""'!$D$4:$D$66"")=BW$2),$F$3:$BP$3,$F122:$BP122)))"),-0.6341849173809521)</f>
        <v>-0.6341849174</v>
      </c>
      <c r="BX122" s="207" t="str">
        <f>IFERROR(__xludf.DUMMYFUNCTION("IF(OR(BW122&gt;$BR122+$BS122*$BS$2,BW122&lt;$BR122-$BS122*$BS$2),AVEDEV(ARRAYFORMULA(XLOOKUP(FILTER(INDIRECT(""'""&amp;BW$1&amp;""'!$C$4:$C$66""),INDIRECT(""'""&amp;BW$1&amp;""'!$D$4:$D$66"")=BW$2),$F$3:$BP$3,$F122:$BP122))),"""")"),"")</f>
        <v/>
      </c>
      <c r="BY122" s="207">
        <f>IFERROR(__xludf.DUMMYFUNCTION("AVERAGE(ARRAYFORMULA(XLOOKUP(FILTER(INDIRECT(""'""&amp;BY$1&amp;""'!$C$4:$C$66""),INDIRECT(""'""&amp;BY$1&amp;""'!$D$4:$D$66"")=BY$2),$F$3:$BP$3,$F122:$BP122)))"),-0.04918396454545453)</f>
        <v>-0.04918396455</v>
      </c>
      <c r="BZ122" s="207" t="str">
        <f>IFERROR(__xludf.DUMMYFUNCTION("IF(OR(BY122&gt;$BR122+$BS122*$BS$2,BY122&lt;$BR122-$BS122*$BS$2),AVEDEV(ARRAYFORMULA(XLOOKUP(FILTER(INDIRECT(""'""&amp;BY$1&amp;""'!$C$4:$C$66""),INDIRECT(""'""&amp;BY$1&amp;""'!$D$4:$D$66"")=BY$2),$F$3:$BP$3,$F122:$BP122))),"""")"),"")</f>
        <v/>
      </c>
      <c r="CA122" s="209"/>
      <c r="CB122" s="207">
        <f>IFERROR(__xludf.DUMMYFUNCTION("AVERAGE(ARRAYFORMULA(XLOOKUP(FILTER(INDIRECT(""'""&amp;CB$1&amp;""'!$C$4:$C$66""),INDIRECT(""'""&amp;CB$1&amp;""'!$D$4:$D$66"")=CB$2),$F$3:$BP$3,$F122:$BP122)))"),-0.8266392031250002)</f>
        <v>-0.8266392031</v>
      </c>
      <c r="CC122" s="207" t="str">
        <f>IFERROR(__xludf.DUMMYFUNCTION("IF(OR(CB122&gt;$BR122+$BS122*$BS$2,CB122&lt;$BR122-$BS122*$BS$2),AVEDEV(ARRAYFORMULA(XLOOKUP(FILTER(INDIRECT(""'""&amp;CB$1&amp;""'!$C$4:$C$66""),INDIRECT(""'""&amp;CB$1&amp;""'!$D$4:$D$66"")=CB$2),$F$3:$BP$3,$F122:$BP122))),"""")"),"")</f>
        <v/>
      </c>
      <c r="CD122" s="207">
        <f>IFERROR(__xludf.DUMMYFUNCTION("AVERAGE(ARRAYFORMULA(XLOOKUP(FILTER(INDIRECT(""'""&amp;CD$1&amp;""'!$C$4:$C$66""),INDIRECT(""'""&amp;CD$1&amp;""'!$D$4:$D$66"")=CD$2),$F$3:$BP$3,$F122:$BP122)))"),-0.4715884238709677)</f>
        <v>-0.4715884239</v>
      </c>
      <c r="CE122" s="207" t="str">
        <f>IFERROR(__xludf.DUMMYFUNCTION("IF(OR(CD122&gt;$BR122+$BS122*$BS$2,CD122&lt;$BR122-$BS122*$BS$2),AVEDEV(ARRAYFORMULA(XLOOKUP(FILTER(INDIRECT(""'""&amp;CD$1&amp;""'!$C$4:$C$66""),INDIRECT(""'""&amp;CD$1&amp;""'!$D$4:$D$66"")=CD$2),$F$3:$BP$3,$F122:$BP122))),"""")"),"")</f>
        <v/>
      </c>
      <c r="CF122" s="207">
        <f>IFERROR(__xludf.DUMMYFUNCTION("AVERAGE(ARRAYFORMULA(XLOOKUP(FILTER(INDIRECT(""'""&amp;CF$1&amp;""'!$C$4:$C$66""),INDIRECT(""'""&amp;CF$1&amp;""'!$D$4:$D$66"")=CF$2),$F$3:$BP$3,$F122:$BP122)))"),0.030637110000000002)</f>
        <v>0.03063711</v>
      </c>
      <c r="CG122" s="207" t="str">
        <f>IFERROR(__xludf.DUMMYFUNCTION("IF(OR(CF122&gt;$BR122+$BS122*$BS$2,CF122&lt;$BR122-$BS122*$BS$2),AVEDEV(ARRAYFORMULA(XLOOKUP(FILTER(INDIRECT(""'""&amp;CF$1&amp;""'!$C$4:$C$66""),INDIRECT(""'""&amp;CF$1&amp;""'!$D$4:$D$66"")=CF$2),$F$3:$BP$3,$F122:$BP122))),"""")"),"")</f>
        <v/>
      </c>
      <c r="CH122" s="206"/>
      <c r="CI122" s="251">
        <f>IFERROR(__xludf.DUMMYFUNCTION("AVERAGE(ARRAYFORMULA(XLOOKUP(FILTER(INDIRECT(""'""&amp;CI$1&amp;""'!$C$4:$C$66""),INDIRECT(""'""&amp;CI$1&amp;""'!$D$4:$D$66"")=CI$2),$F$3:$BP$3,$F122:$BP122)))"),-0.3177440006666667)</f>
        <v>-0.3177440007</v>
      </c>
      <c r="CJ122" s="207" t="str">
        <f>IFERROR(__xludf.DUMMYFUNCTION("IF(OR(CI122&gt;$BR122+$BS122*$BS$2,CI122&lt;$BR122-$BS122*$BS$2),AVEDEV(ARRAYFORMULA(XLOOKUP(FILTER(INDIRECT(""'""&amp;CI$1&amp;""'!$C$4:$C$66""),INDIRECT(""'""&amp;CI$1&amp;""'!$D$4:$D$66"")=CI$2),$F$3:$BP$3,$F122:$BP122))),"""")"),"")</f>
        <v/>
      </c>
      <c r="CK122" s="251">
        <f>IFERROR(__xludf.DUMMYFUNCTION("AVERAGE(ARRAYFORMULA(XLOOKUP(FILTER(INDIRECT(""'""&amp;CK$1&amp;""'!$C$4:$C$66""),INDIRECT(""'""&amp;CK$1&amp;""'!$D$4:$D$66"")=CK$2),$F$3:$BP$3,$F122:$BP122)))"),-0.6976858528205127)</f>
        <v>-0.6976858528</v>
      </c>
      <c r="CL122" s="207" t="str">
        <f>IFERROR(__xludf.DUMMYFUNCTION("IF(OR(CK122&gt;$BR122+$BS122*$BS$2,CK122&lt;$BR122-$BS122*$BS$2),AVEDEV(ARRAYFORMULA(XLOOKUP(FILTER(INDIRECT(""'""&amp;CK$1&amp;""'!$C$4:$C$66""),INDIRECT(""'""&amp;CK$1&amp;""'!$D$4:$D$66"")=CK$2),$F$3:$BP$3,$F122:$BP122))),"""")"),"")</f>
        <v/>
      </c>
      <c r="CM122" s="254">
        <f>IFERROR(__xludf.DUMMYFUNCTION("AVERAGE(ARRAYFORMULA(XLOOKUP(FILTER(INDIRECT(""'""&amp;CM$1&amp;""'!$C$4:$C$66""),INDIRECT(""'""&amp;CM$1&amp;""'!$D$4:$D$66"")=CM$2),$F$3:$BP$3,$F122:$BP122)))"),0.030637110000000002)</f>
        <v>0.03063711</v>
      </c>
      <c r="CN122" s="207" t="str">
        <f>IFERROR(__xludf.DUMMYFUNCTION("IF(OR(CM122&gt;$BR122+$BS122*$BS$2,CM122&lt;$BR122-$BS122*$BS$2),AVEDEV(ARRAYFORMULA(XLOOKUP(FILTER(INDIRECT(""'""&amp;CM$1&amp;""'!$C$4:$C$66""),INDIRECT(""'""&amp;CM$1&amp;""'!$D$4:$D$66"")=CM$2),$F$3:$BP$3,$F122:$BP122))),"""")"),"")</f>
        <v/>
      </c>
      <c r="CO122" s="252"/>
      <c r="CP122" s="251">
        <f>IFERROR(__xludf.DUMMYFUNCTION("AVERAGE(ARRAYFORMULA(XLOOKUP(FILTER(INDIRECT(""'""&amp;CP$1&amp;""'!$C$4:$C$66""),INDIRECT(""'""&amp;CP$1&amp;""'!$D$4:$D$66"")=CP$2),$F$3:$BP$3,$F122:$BP122)))"),-0.9377012257142858)</f>
        <v>-0.9377012257</v>
      </c>
      <c r="CQ122" s="207" t="str">
        <f>IFERROR(__xludf.DUMMYFUNCTION("IF(OR(CP122&gt;$BR122+$BS122*$BS$2,CP122&lt;$BR122-$BS122*$BS$2),AVEDEV(ARRAYFORMULA(XLOOKUP(FILTER(INDIRECT(""'""&amp;CP$1&amp;""'!$C$4:$C$66""),INDIRECT(""'""&amp;CP$1&amp;""'!$D$4:$D$66"")=CP$2),$F$3:$BP$3,$F122:$BP122))),"""")"),"")</f>
        <v/>
      </c>
      <c r="CR122" s="251">
        <f>IFERROR(__xludf.DUMMYFUNCTION("AVERAGE(ARRAYFORMULA(XLOOKUP(FILTER(INDIRECT(""'""&amp;CR$1&amp;""'!$C$4:$C$66""),INDIRECT(""'""&amp;CR$1&amp;""'!$D$4:$D$66"")=CR$2),$F$3:$BP$3,$F122:$BP122)))"),0.02710404222222222)</f>
        <v>0.02710404222</v>
      </c>
      <c r="CS122" s="207" t="str">
        <f>IFERROR(__xludf.DUMMYFUNCTION("IF(OR(CR122&gt;$BR122+$BS122*$BS$2,CR122&lt;$BR122-$BS122*$BS$2),AVEDEV(ARRAYFORMULA(XLOOKUP(FILTER(INDIRECT(""'""&amp;CR$1&amp;""'!$C$4:$C$66""),INDIRECT(""'""&amp;CR$1&amp;""'!$D$4:$D$66"")=CR$2),$F$3:$BP$3,$F122:$BP122))),"""")"),"")</f>
        <v/>
      </c>
      <c r="CT122" s="251">
        <f>IFERROR(__xludf.DUMMYFUNCTION("AVERAGE(ARRAYFORMULA(XLOOKUP(FILTER(INDIRECT(""'""&amp;CT$1&amp;""'!$C$4:$C$66""),INDIRECT(""'""&amp;CT$1&amp;""'!$D$4:$D$66"")=CT$2),$F$3:$BP$3,$F122:$BP122)))"),-0.15352316636363636)</f>
        <v>-0.1535231664</v>
      </c>
      <c r="CU122" s="207" t="str">
        <f>IFERROR(__xludf.DUMMYFUNCTION("IF(OR(CT122&gt;$BR122+$BS122*$BS$2,CT122&lt;$BR122-$BS122*$BS$2),AVEDEV(ARRAYFORMULA(XLOOKUP(FILTER(INDIRECT(""'""&amp;CT$1&amp;""'!$C$4:$C$66""),INDIRECT(""'""&amp;CT$1&amp;""'!$D$4:$D$66"")=CT$2),$F$3:$BP$3,$F122:$BP122))),"""")"),"")</f>
        <v/>
      </c>
      <c r="CV122" s="251">
        <f>IFERROR(__xludf.DUMMYFUNCTION("AVERAGE(ARRAYFORMULA(XLOOKUP(FILTER(INDIRECT(""'""&amp;CV$1&amp;""'!$C$4:$C$66""),INDIRECT(""'""&amp;CV$1&amp;""'!$D$4:$D$66"")=CV$2),$F$3:$BP$3,$F122:$BP122)))"),-1.8744342999999999)</f>
        <v>-1.8744343</v>
      </c>
      <c r="CW122" s="207">
        <f>IFERROR(__xludf.DUMMYFUNCTION("IF(OR(CV122&gt;$BR122+$BS122*$BS$2,CV122&lt;$BR122-$BS122*$BS$2),AVEDEV(ARRAYFORMULA(XLOOKUP(FILTER(INDIRECT(""'""&amp;CV$1&amp;""'!$C$4:$C$66""),INDIRECT(""'""&amp;CV$1&amp;""'!$D$4:$D$66"")=CV$2),$F$3:$BP$3,$F122:$BP122))),"""")"),0.03620750000000006)</f>
        <v>0.0362075</v>
      </c>
      <c r="CX122" s="254">
        <f>IFERROR(__xludf.DUMMYFUNCTION("AVERAGE(ARRAYFORMULA(XLOOKUP(FILTER(INDIRECT(""'""&amp;CX$1&amp;""'!$C$4:$C$66""),INDIRECT(""'""&amp;CX$1&amp;""'!$D$4:$D$66"")=CX$2),$F$3:$BP$3,$F122:$BP122)))"),-0.5595583385714286)</f>
        <v>-0.5595583386</v>
      </c>
      <c r="CY122" s="207" t="str">
        <f>IFERROR(__xludf.DUMMYFUNCTION("IF(OR(CX122&gt;$BR122+$BS122*$BS$2,CX122&lt;$BR122-$BS122*$BS$2),AVEDEV(ARRAYFORMULA(XLOOKUP(FILTER(INDIRECT(""'""&amp;CX$1&amp;""'!$C$4:$C$66""),INDIRECT(""'""&amp;CX$1&amp;""'!$D$4:$D$66"")=CX$2),$F$3:$BP$3,$F122:$BP122))),"""")"),"")</f>
        <v/>
      </c>
      <c r="CZ122" s="252"/>
      <c r="DA122" s="251">
        <f>IFERROR(__xludf.DUMMYFUNCTION("AVERAGE(ARRAYFORMULA(XLOOKUP(FILTER(INDIRECT(""'""&amp;DA$1&amp;""'!$C$4:$C$66""),INDIRECT(""'""&amp;DA$1&amp;""'!$D$4:$D$66"")=DA$2),$F$3:$BP$3,$F122:$BP122)))"),-0.6513419193333333)</f>
        <v>-0.6513419193</v>
      </c>
      <c r="DB122" s="207" t="str">
        <f>IFERROR(__xludf.DUMMYFUNCTION("IF(OR(DA122&gt;$BR122+$BS122*$BS$2,DA122&lt;$BR122-$BS122*$BS$2),AVEDEV(ARRAYFORMULA(XLOOKUP(FILTER(INDIRECT(""'""&amp;DA$1&amp;""'!$C$4:$C$66""),INDIRECT(""'""&amp;DA$1&amp;""'!$D$4:$D$66"")=DA$2),$F$3:$BP$3,$F122:$BP122))),"""")"),"")</f>
        <v/>
      </c>
      <c r="DC122" s="251">
        <f>IFERROR(__xludf.DUMMYFUNCTION("AVERAGE(ARRAYFORMULA(XLOOKUP(FILTER(INDIRECT(""'""&amp;DC$1&amp;""'!$C$4:$C$66""),INDIRECT(""'""&amp;DC$1&amp;""'!$D$4:$D$66"")=DC$2),$F$3:$BP$3,$F122:$BP122)))"),-0.17260454888888888)</f>
        <v>-0.1726045489</v>
      </c>
      <c r="DD122" s="207" t="str">
        <f>IFERROR(__xludf.DUMMYFUNCTION("IF(OR(DC122&gt;$BR122+$BS122*$BS$2,DC122&lt;$BR122-$BS122*$BS$2),AVEDEV(ARRAYFORMULA(XLOOKUP(FILTER(INDIRECT(""'""&amp;DC$1&amp;""'!$C$4:$C$66""),INDIRECT(""'""&amp;DC$1&amp;""'!$D$4:$D$66"")=DC$2),$F$3:$BP$3,$F122:$BP122))),"""")"),"")</f>
        <v/>
      </c>
      <c r="DE122" s="251">
        <f>IFERROR(__xludf.DUMMYFUNCTION("AVERAGE(ARRAYFORMULA(XLOOKUP(FILTER(INDIRECT(""'""&amp;DE$1&amp;""'!$C$4:$C$66""),INDIRECT(""'""&amp;DE$1&amp;""'!$D$4:$D$66"")=DE$2),$F$3:$BP$3,$F122:$BP122)))"),-0.4362017075000001)</f>
        <v>-0.4362017075</v>
      </c>
      <c r="DF122" s="207" t="str">
        <f>IFERROR(__xludf.DUMMYFUNCTION("IF(OR(DE122&gt;$BR122+$BS122*$BS$2,DE122&lt;$BR122-$BS122*$BS$2),AVEDEV(ARRAYFORMULA(XLOOKUP(FILTER(INDIRECT(""'""&amp;DE$1&amp;""'!$C$4:$C$66""),INDIRECT(""'""&amp;DE$1&amp;""'!$D$4:$D$66"")=DE$2),$F$3:$BP$3,$F122:$BP122))),"""")"),"")</f>
        <v/>
      </c>
      <c r="DG122" s="251">
        <f>IFERROR(__xludf.DUMMYFUNCTION("AVERAGE(ARRAYFORMULA(XLOOKUP(FILTER(INDIRECT(""'""&amp;DG$1&amp;""'!$C$4:$C$66""),INDIRECT(""'""&amp;DG$1&amp;""'!$D$4:$D$66"")=DG$2),$F$3:$BP$3,$F122:$BP122)))"),-0.4690469822222223)</f>
        <v>-0.4690469822</v>
      </c>
      <c r="DH122" s="207" t="str">
        <f>IFERROR(__xludf.DUMMYFUNCTION("IF(OR(DG122&gt;$BR122+$BS122*$BS$2,DG122&lt;$BR122-$BS122*$BS$2),AVEDEV(ARRAYFORMULA(XLOOKUP(FILTER(INDIRECT(""'""&amp;DG$1&amp;""'!$C$4:$C$66""),INDIRECT(""'""&amp;DG$1&amp;""'!$D$4:$D$66"")=DG$2),$F$3:$BP$3,$F122:$BP122))),"""")"),"")</f>
        <v/>
      </c>
      <c r="DI122" s="252"/>
    </row>
    <row r="123">
      <c r="A123" s="2"/>
      <c r="B123" s="204" t="s">
        <v>540</v>
      </c>
      <c r="C123" s="204" t="s">
        <v>566</v>
      </c>
      <c r="D123" s="205" t="b">
        <f>VLOOKUP(C123,'Feature Set List'!A120:C246,2,0)</f>
        <v>1</v>
      </c>
      <c r="E123" s="205" t="b">
        <f>VLOOKUP(C123,'Feature Set List'!A120:C246,3,0)</f>
        <v>1</v>
      </c>
      <c r="F123" s="205">
        <v>-0.5</v>
      </c>
      <c r="G123" s="205">
        <v>0.0</v>
      </c>
      <c r="H123" s="205">
        <v>-0.5</v>
      </c>
      <c r="I123" s="205">
        <v>0.5</v>
      </c>
      <c r="J123" s="205">
        <v>0.0</v>
      </c>
      <c r="K123" s="205">
        <v>-0.5</v>
      </c>
      <c r="L123" s="205">
        <v>0.5</v>
      </c>
      <c r="M123" s="205">
        <v>-0.5</v>
      </c>
      <c r="N123" s="205">
        <v>0.0</v>
      </c>
      <c r="O123" s="205">
        <v>-0.5</v>
      </c>
      <c r="P123" s="205">
        <v>0.5</v>
      </c>
      <c r="Q123" s="205">
        <v>-0.5</v>
      </c>
      <c r="R123" s="205">
        <v>0.0</v>
      </c>
      <c r="S123" s="205">
        <v>-0.5</v>
      </c>
      <c r="T123" s="205">
        <v>-0.5</v>
      </c>
      <c r="U123" s="205">
        <v>0.5</v>
      </c>
      <c r="V123" s="205">
        <v>-0.5</v>
      </c>
      <c r="W123" s="205">
        <v>0.0</v>
      </c>
      <c r="X123" s="205">
        <v>-0.5</v>
      </c>
      <c r="Y123" s="205">
        <v>0.5</v>
      </c>
      <c r="Z123" s="205">
        <v>0.0</v>
      </c>
      <c r="AA123" s="205">
        <v>-0.5</v>
      </c>
      <c r="AB123" s="205">
        <v>0.0</v>
      </c>
      <c r="AC123" s="205">
        <v>1.0</v>
      </c>
      <c r="AD123" s="205">
        <v>0.5</v>
      </c>
      <c r="AE123" s="205">
        <v>-0.5</v>
      </c>
      <c r="AF123" s="205">
        <v>0.5</v>
      </c>
      <c r="AG123" s="205">
        <v>-0.5</v>
      </c>
      <c r="AH123" s="205">
        <v>-0.5</v>
      </c>
      <c r="AI123" s="205">
        <v>-0.5</v>
      </c>
      <c r="AJ123" s="205">
        <v>0.5</v>
      </c>
      <c r="AK123" s="205">
        <v>0.0</v>
      </c>
      <c r="AL123" s="205">
        <v>-0.5</v>
      </c>
      <c r="AM123" s="205">
        <v>-0.5</v>
      </c>
      <c r="AN123" s="205">
        <v>0.0</v>
      </c>
      <c r="AO123" s="205">
        <v>2.5</v>
      </c>
      <c r="AP123" s="205">
        <v>0.5</v>
      </c>
      <c r="AQ123" s="205">
        <v>1.0</v>
      </c>
      <c r="AR123" s="205">
        <v>-0.5</v>
      </c>
      <c r="AS123" s="205">
        <v>-0.5</v>
      </c>
      <c r="AT123" s="205">
        <v>2.0</v>
      </c>
      <c r="AU123" s="205">
        <v>0.0</v>
      </c>
      <c r="AV123" s="205">
        <v>0.5</v>
      </c>
      <c r="AW123" s="205">
        <v>0.5</v>
      </c>
      <c r="AX123" s="205">
        <v>0.0</v>
      </c>
      <c r="AY123" s="205">
        <v>-0.5</v>
      </c>
      <c r="AZ123" s="205">
        <v>-0.5</v>
      </c>
      <c r="BA123" s="205">
        <v>0.0</v>
      </c>
      <c r="BB123" s="205">
        <v>-0.5</v>
      </c>
      <c r="BC123" s="205">
        <v>-0.5</v>
      </c>
      <c r="BD123" s="205">
        <v>-0.5</v>
      </c>
      <c r="BE123" s="205">
        <v>-0.5</v>
      </c>
      <c r="BF123" s="205">
        <v>-0.5</v>
      </c>
      <c r="BG123" s="205">
        <v>0.5</v>
      </c>
      <c r="BH123" s="205">
        <v>2.0</v>
      </c>
      <c r="BI123" s="205">
        <v>0.0</v>
      </c>
      <c r="BJ123" s="205">
        <v>-0.5</v>
      </c>
      <c r="BK123" s="205">
        <v>-0.5</v>
      </c>
      <c r="BL123" s="205">
        <v>0.0</v>
      </c>
      <c r="BM123" s="205">
        <v>-0.5</v>
      </c>
      <c r="BN123" s="205">
        <v>-0.5</v>
      </c>
      <c r="BO123" s="205">
        <v>-0.5</v>
      </c>
      <c r="BP123" s="205">
        <v>0.0</v>
      </c>
      <c r="BQ123" s="206"/>
      <c r="BR123" s="250">
        <f t="shared" si="1"/>
        <v>-0.01587301587</v>
      </c>
      <c r="BS123" s="250">
        <f t="shared" si="2"/>
        <v>0.4764424288</v>
      </c>
      <c r="BT123" s="206"/>
      <c r="BU123" s="207">
        <f>IFERROR(__xludf.DUMMYFUNCTION("AVERAGE(ARRAYFORMULA(XLOOKUP(FILTER(INDIRECT(""'""&amp;BU$1&amp;""'!$C$4:$C$66""),INDIRECT(""'""&amp;BU$1&amp;""'!$D$4:$D$66"")=BU$2),$F$3:$BP$3,$F123:$BP123)))"),-0.21428571428571427)</f>
        <v>-0.2142857143</v>
      </c>
      <c r="BV123" s="207" t="str">
        <f>IFERROR(__xludf.DUMMYFUNCTION("IF(OR(BU123&gt;$BR123+$BS123*$BS$2,BU123&lt;$BR123-$BS123*$BS$2),AVEDEV(ARRAYFORMULA(XLOOKUP(FILTER(INDIRECT(""'""&amp;BU$1&amp;""'!$C$4:$C$66""),INDIRECT(""'""&amp;BU$1&amp;""'!$D$4:$D$66"")=BU$2),$F$3:$BP$3,$F123:$BP123))),"""")"),"")</f>
        <v/>
      </c>
      <c r="BW123" s="207">
        <f>IFERROR(__xludf.DUMMYFUNCTION("AVERAGE(ARRAYFORMULA(XLOOKUP(FILTER(INDIRECT(""'""&amp;BW$1&amp;""'!$C$4:$C$66""),INDIRECT(""'""&amp;BW$1&amp;""'!$D$4:$D$66"")=BW$2),$F$3:$BP$3,$F123:$BP123)))"),0.08333333333333333)</f>
        <v>0.08333333333</v>
      </c>
      <c r="BX123" s="207" t="str">
        <f>IFERROR(__xludf.DUMMYFUNCTION("IF(OR(BW123&gt;$BR123+$BS123*$BS$2,BW123&lt;$BR123-$BS123*$BS$2),AVEDEV(ARRAYFORMULA(XLOOKUP(FILTER(INDIRECT(""'""&amp;BW$1&amp;""'!$C$4:$C$66""),INDIRECT(""'""&amp;BW$1&amp;""'!$D$4:$D$66"")=BW$2),$F$3:$BP$3,$F123:$BP123))),"""")"),"")</f>
        <v/>
      </c>
      <c r="BY123" s="207">
        <f>IFERROR(__xludf.DUMMYFUNCTION("AVERAGE(ARRAYFORMULA(XLOOKUP(FILTER(INDIRECT(""'""&amp;BY$1&amp;""'!$C$4:$C$66""),INDIRECT(""'""&amp;BY$1&amp;""'!$D$4:$D$66"")=BY$2),$F$3:$BP$3,$F123:$BP123)))"),-0.36363636363636365)</f>
        <v>-0.3636363636</v>
      </c>
      <c r="BZ123" s="207" t="str">
        <f>IFERROR(__xludf.DUMMYFUNCTION("IF(OR(BY123&gt;$BR123+$BS123*$BS$2,BY123&lt;$BR123-$BS123*$BS$2),AVEDEV(ARRAYFORMULA(XLOOKUP(FILTER(INDIRECT(""'""&amp;BY$1&amp;""'!$C$4:$C$66""),INDIRECT(""'""&amp;BY$1&amp;""'!$D$4:$D$66"")=BY$2),$F$3:$BP$3,$F123:$BP123))),"""")"),"")</f>
        <v/>
      </c>
      <c r="CA123" s="209"/>
      <c r="CB123" s="207">
        <f>IFERROR(__xludf.DUMMYFUNCTION("AVERAGE(ARRAYFORMULA(XLOOKUP(FILTER(INDIRECT(""'""&amp;CB$1&amp;""'!$C$4:$C$66""),INDIRECT(""'""&amp;CB$1&amp;""'!$D$4:$D$66"")=CB$2),$F$3:$BP$3,$F123:$BP123)))"),0.21875)</f>
        <v>0.21875</v>
      </c>
      <c r="CC123" s="207" t="str">
        <f>IFERROR(__xludf.DUMMYFUNCTION("IF(OR(CB123&gt;$BR123+$BS123*$BS$2,CB123&lt;$BR123-$BS123*$BS$2),AVEDEV(ARRAYFORMULA(XLOOKUP(FILTER(INDIRECT(""'""&amp;CB$1&amp;""'!$C$4:$C$66""),INDIRECT(""'""&amp;CB$1&amp;""'!$D$4:$D$66"")=CB$2),$F$3:$BP$3,$F123:$BP123))),"""")"),"")</f>
        <v/>
      </c>
      <c r="CD123" s="207">
        <f>IFERROR(__xludf.DUMMYFUNCTION("AVERAGE(ARRAYFORMULA(XLOOKUP(FILTER(INDIRECT(""'""&amp;CD$1&amp;""'!$C$4:$C$66""),INDIRECT(""'""&amp;CD$1&amp;""'!$D$4:$D$66"")=CD$2),$F$3:$BP$3,$F123:$BP123)))"),-0.0967741935483871)</f>
        <v>-0.09677419355</v>
      </c>
      <c r="CE123" s="207" t="str">
        <f>IFERROR(__xludf.DUMMYFUNCTION("IF(OR(CD123&gt;$BR123+$BS123*$BS$2,CD123&lt;$BR123-$BS123*$BS$2),AVEDEV(ARRAYFORMULA(XLOOKUP(FILTER(INDIRECT(""'""&amp;CD$1&amp;""'!$C$4:$C$66""),INDIRECT(""'""&amp;CD$1&amp;""'!$D$4:$D$66"")=CD$2),$F$3:$BP$3,$F123:$BP123))),"""")"),"")</f>
        <v/>
      </c>
      <c r="CF123" s="207">
        <f>IFERROR(__xludf.DUMMYFUNCTION("AVERAGE(ARRAYFORMULA(XLOOKUP(FILTER(INDIRECT(""'""&amp;CF$1&amp;""'!$C$4:$C$66""),INDIRECT(""'""&amp;CF$1&amp;""'!$D$4:$D$66"")=CF$2),$F$3:$BP$3,$F123:$BP123)))"),-0.5)</f>
        <v>-0.5</v>
      </c>
      <c r="CG123" s="207">
        <f>IFERROR(__xludf.DUMMYFUNCTION("IF(OR(CF123&gt;$BR123+$BS123*$BS$2,CF123&lt;$BR123-$BS123*$BS$2),AVEDEV(ARRAYFORMULA(XLOOKUP(FILTER(INDIRECT(""'""&amp;CF$1&amp;""'!$C$4:$C$66""),INDIRECT(""'""&amp;CF$1&amp;""'!$D$4:$D$66"")=CF$2),$F$3:$BP$3,$F123:$BP123))),"""")"),0.0)</f>
        <v>0</v>
      </c>
      <c r="CH123" s="206"/>
      <c r="CI123" s="251">
        <f>IFERROR(__xludf.DUMMYFUNCTION("AVERAGE(ARRAYFORMULA(XLOOKUP(FILTER(INDIRECT(""'""&amp;CI$1&amp;""'!$C$4:$C$66""),INDIRECT(""'""&amp;CI$1&amp;""'!$D$4:$D$66"")=CI$2),$F$3:$BP$3,$F123:$BP123)))"),-0.26666666666666666)</f>
        <v>-0.2666666667</v>
      </c>
      <c r="CJ123" s="207" t="str">
        <f>IFERROR(__xludf.DUMMYFUNCTION("IF(OR(CI123&gt;$BR123+$BS123*$BS$2,CI123&lt;$BR123-$BS123*$BS$2),AVEDEV(ARRAYFORMULA(XLOOKUP(FILTER(INDIRECT(""'""&amp;CI$1&amp;""'!$C$4:$C$66""),INDIRECT(""'""&amp;CI$1&amp;""'!$D$4:$D$66"")=CI$2),$F$3:$BP$3,$F123:$BP123))),"""")"),"")</f>
        <v/>
      </c>
      <c r="CK123" s="251">
        <f>IFERROR(__xludf.DUMMYFUNCTION("AVERAGE(ARRAYFORMULA(XLOOKUP(FILTER(INDIRECT(""'""&amp;CK$1&amp;""'!$C$4:$C$66""),INDIRECT(""'""&amp;CK$1&amp;""'!$D$4:$D$66"")=CK$2),$F$3:$BP$3,$F123:$BP123)))"),0.1282051282051282)</f>
        <v>0.1282051282</v>
      </c>
      <c r="CL123" s="207" t="str">
        <f>IFERROR(__xludf.DUMMYFUNCTION("IF(OR(CK123&gt;$BR123+$BS123*$BS$2,CK123&lt;$BR123-$BS123*$BS$2),AVEDEV(ARRAYFORMULA(XLOOKUP(FILTER(INDIRECT(""'""&amp;CK$1&amp;""'!$C$4:$C$66""),INDIRECT(""'""&amp;CK$1&amp;""'!$D$4:$D$66"")=CK$2),$F$3:$BP$3,$F123:$BP123))),"""")"),"")</f>
        <v/>
      </c>
      <c r="CM123" s="251">
        <f>IFERROR(__xludf.DUMMYFUNCTION("AVERAGE(ARRAYFORMULA(XLOOKUP(FILTER(INDIRECT(""'""&amp;CM$1&amp;""'!$C$4:$C$66""),INDIRECT(""'""&amp;CM$1&amp;""'!$D$4:$D$66"")=CM$2),$F$3:$BP$3,$F123:$BP123)))"),-0.5)</f>
        <v>-0.5</v>
      </c>
      <c r="CN123" s="207">
        <f>IFERROR(__xludf.DUMMYFUNCTION("IF(OR(CM123&gt;$BR123+$BS123*$BS$2,CM123&lt;$BR123-$BS123*$BS$2),AVEDEV(ARRAYFORMULA(XLOOKUP(FILTER(INDIRECT(""'""&amp;CM$1&amp;""'!$C$4:$C$66""),INDIRECT(""'""&amp;CM$1&amp;""'!$D$4:$D$66"")=CM$2),$F$3:$BP$3,$F123:$BP123))),"""")"),0.0)</f>
        <v>0</v>
      </c>
      <c r="CO123" s="252"/>
      <c r="CP123" s="251">
        <f>IFERROR(__xludf.DUMMYFUNCTION("AVERAGE(ARRAYFORMULA(XLOOKUP(FILTER(INDIRECT(""'""&amp;CP$1&amp;""'!$C$4:$C$66""),INDIRECT(""'""&amp;CP$1&amp;""'!$D$4:$D$66"")=CP$2),$F$3:$BP$3,$F123:$BP123)))"),0.2857142857142857)</f>
        <v>0.2857142857</v>
      </c>
      <c r="CQ123" s="207" t="str">
        <f>IFERROR(__xludf.DUMMYFUNCTION("IF(OR(CP123&gt;$BR123+$BS123*$BS$2,CP123&lt;$BR123-$BS123*$BS$2),AVEDEV(ARRAYFORMULA(XLOOKUP(FILTER(INDIRECT(""'""&amp;CP$1&amp;""'!$C$4:$C$66""),INDIRECT(""'""&amp;CP$1&amp;""'!$D$4:$D$66"")=CP$2),$F$3:$BP$3,$F123:$BP123))),"""")"),"")</f>
        <v/>
      </c>
      <c r="CR123" s="251">
        <f>IFERROR(__xludf.DUMMYFUNCTION("AVERAGE(ARRAYFORMULA(XLOOKUP(FILTER(INDIRECT(""'""&amp;CR$1&amp;""'!$C$4:$C$66""),INDIRECT(""'""&amp;CR$1&amp;""'!$D$4:$D$66"")=CR$2),$F$3:$BP$3,$F123:$BP123)))"),-0.3888888888888889)</f>
        <v>-0.3888888889</v>
      </c>
      <c r="CS123" s="207" t="str">
        <f>IFERROR(__xludf.DUMMYFUNCTION("IF(OR(CR123&gt;$BR123+$BS123*$BS$2,CR123&lt;$BR123-$BS123*$BS$2),AVEDEV(ARRAYFORMULA(XLOOKUP(FILTER(INDIRECT(""'""&amp;CR$1&amp;""'!$C$4:$C$66""),INDIRECT(""'""&amp;CR$1&amp;""'!$D$4:$D$66"")=CR$2),$F$3:$BP$3,$F123:$BP123))),"""")"),"")</f>
        <v/>
      </c>
      <c r="CT123" s="251">
        <f>IFERROR(__xludf.DUMMYFUNCTION("AVERAGE(ARRAYFORMULA(XLOOKUP(FILTER(INDIRECT(""'""&amp;CT$1&amp;""'!$C$4:$C$66""),INDIRECT(""'""&amp;CT$1&amp;""'!$D$4:$D$66"")=CT$2),$F$3:$BP$3,$F123:$BP123)))"),-0.3181818181818182)</f>
        <v>-0.3181818182</v>
      </c>
      <c r="CU123" s="207" t="str">
        <f>IFERROR(__xludf.DUMMYFUNCTION("IF(OR(CT123&gt;$BR123+$BS123*$BS$2,CT123&lt;$BR123-$BS123*$BS$2),AVEDEV(ARRAYFORMULA(XLOOKUP(FILTER(INDIRECT(""'""&amp;CT$1&amp;""'!$C$4:$C$66""),INDIRECT(""'""&amp;CT$1&amp;""'!$D$4:$D$66"")=CT$2),$F$3:$BP$3,$F123:$BP123))),"""")"),"")</f>
        <v/>
      </c>
      <c r="CV123" s="251">
        <f>IFERROR(__xludf.DUMMYFUNCTION("AVERAGE(ARRAYFORMULA(XLOOKUP(FILTER(INDIRECT(""'""&amp;CV$1&amp;""'!$C$4:$C$66""),INDIRECT(""'""&amp;CV$1&amp;""'!$D$4:$D$66"")=CV$2),$F$3:$BP$3,$F123:$BP123)))"),0.75)</f>
        <v>0.75</v>
      </c>
      <c r="CW123" s="207">
        <f>IFERROR(__xludf.DUMMYFUNCTION("IF(OR(CV123&gt;$BR123+$BS123*$BS$2,CV123&lt;$BR123-$BS123*$BS$2),AVEDEV(ARRAYFORMULA(XLOOKUP(FILTER(INDIRECT(""'""&amp;CV$1&amp;""'!$C$4:$C$66""),INDIRECT(""'""&amp;CV$1&amp;""'!$D$4:$D$66"")=CV$2),$F$3:$BP$3,$F123:$BP123))),"""")"),0.25)</f>
        <v>0.25</v>
      </c>
      <c r="CX123" s="251">
        <f>IFERROR(__xludf.DUMMYFUNCTION("AVERAGE(ARRAYFORMULA(XLOOKUP(FILTER(INDIRECT(""'""&amp;CX$1&amp;""'!$C$4:$C$66""),INDIRECT(""'""&amp;CX$1&amp;""'!$D$4:$D$66"")=CX$2),$F$3:$BP$3,$F123:$BP123)))"),0.10714285714285714)</f>
        <v>0.1071428571</v>
      </c>
      <c r="CY123" s="207" t="str">
        <f>IFERROR(__xludf.DUMMYFUNCTION("IF(OR(CX123&gt;$BR123+$BS123*$BS$2,CX123&lt;$BR123-$BS123*$BS$2),AVEDEV(ARRAYFORMULA(XLOOKUP(FILTER(INDIRECT(""'""&amp;CX$1&amp;""'!$C$4:$C$66""),INDIRECT(""'""&amp;CX$1&amp;""'!$D$4:$D$66"")=CX$2),$F$3:$BP$3,$F123:$BP123))),"""")"),"")</f>
        <v/>
      </c>
      <c r="CZ123" s="252"/>
      <c r="DA123" s="251">
        <f>IFERROR(__xludf.DUMMYFUNCTION("AVERAGE(ARRAYFORMULA(XLOOKUP(FILTER(INDIRECT(""'""&amp;DA$1&amp;""'!$C$4:$C$66""),INDIRECT(""'""&amp;DA$1&amp;""'!$D$4:$D$66"")=DA$2),$F$3:$BP$3,$F123:$BP123)))"),0.1)</f>
        <v>0.1</v>
      </c>
      <c r="DB123" s="207" t="str">
        <f>IFERROR(__xludf.DUMMYFUNCTION("IF(OR(DA123&gt;$BR123+$BS123*$BS$2,DA123&lt;$BR123-$BS123*$BS$2),AVEDEV(ARRAYFORMULA(XLOOKUP(FILTER(INDIRECT(""'""&amp;DA$1&amp;""'!$C$4:$C$66""),INDIRECT(""'""&amp;DA$1&amp;""'!$D$4:$D$66"")=DA$2),$F$3:$BP$3,$F123:$BP123))),"""")"),"")</f>
        <v/>
      </c>
      <c r="DC123" s="251">
        <f>IFERROR(__xludf.DUMMYFUNCTION("AVERAGE(ARRAYFORMULA(XLOOKUP(FILTER(INDIRECT(""'""&amp;DC$1&amp;""'!$C$4:$C$66""),INDIRECT(""'""&amp;DC$1&amp;""'!$D$4:$D$66"")=DC$2),$F$3:$BP$3,$F123:$BP123)))"),-0.2777777777777778)</f>
        <v>-0.2777777778</v>
      </c>
      <c r="DD123" s="207" t="str">
        <f>IFERROR(__xludf.DUMMYFUNCTION("IF(OR(DC123&gt;$BR123+$BS123*$BS$2,DC123&lt;$BR123-$BS123*$BS$2),AVEDEV(ARRAYFORMULA(XLOOKUP(FILTER(INDIRECT(""'""&amp;DC$1&amp;""'!$C$4:$C$66""),INDIRECT(""'""&amp;DC$1&amp;""'!$D$4:$D$66"")=DC$2),$F$3:$BP$3,$F123:$BP123))),"""")"),"")</f>
        <v/>
      </c>
      <c r="DE123" s="251">
        <f>IFERROR(__xludf.DUMMYFUNCTION("AVERAGE(ARRAYFORMULA(XLOOKUP(FILTER(INDIRECT(""'""&amp;DE$1&amp;""'!$C$4:$C$66""),INDIRECT(""'""&amp;DE$1&amp;""'!$D$4:$D$66"")=DE$2),$F$3:$BP$3,$F123:$BP123)))"),-0.25)</f>
        <v>-0.25</v>
      </c>
      <c r="DF123" s="207" t="str">
        <f>IFERROR(__xludf.DUMMYFUNCTION("IF(OR(DE123&gt;$BR123+$BS123*$BS$2,DE123&lt;$BR123-$BS123*$BS$2),AVEDEV(ARRAYFORMULA(XLOOKUP(FILTER(INDIRECT(""'""&amp;DE$1&amp;""'!$C$4:$C$66""),INDIRECT(""'""&amp;DE$1&amp;""'!$D$4:$D$66"")=DE$2),$F$3:$BP$3,$F123:$BP123))),"""")"),"")</f>
        <v/>
      </c>
      <c r="DG123" s="251">
        <f>IFERROR(__xludf.DUMMYFUNCTION("AVERAGE(ARRAYFORMULA(XLOOKUP(FILTER(INDIRECT(""'""&amp;DG$1&amp;""'!$C$4:$C$66""),INDIRECT(""'""&amp;DG$1&amp;""'!$D$4:$D$66"")=DG$2),$F$3:$BP$3,$F123:$BP123)))"),-0.1111111111111111)</f>
        <v>-0.1111111111</v>
      </c>
      <c r="DH123" s="207" t="str">
        <f>IFERROR(__xludf.DUMMYFUNCTION("IF(OR(DG123&gt;$BR123+$BS123*$BS$2,DG123&lt;$BR123-$BS123*$BS$2),AVEDEV(ARRAYFORMULA(XLOOKUP(FILTER(INDIRECT(""'""&amp;DG$1&amp;""'!$C$4:$C$66""),INDIRECT(""'""&amp;DG$1&amp;""'!$D$4:$D$66"")=DG$2),$F$3:$BP$3,$F123:$BP123))),"""")"),"")</f>
        <v/>
      </c>
      <c r="DI123" s="252"/>
    </row>
    <row r="124">
      <c r="A124" s="2"/>
      <c r="B124" s="204" t="s">
        <v>540</v>
      </c>
      <c r="C124" s="204" t="s">
        <v>567</v>
      </c>
      <c r="D124" s="205" t="b">
        <f>VLOOKUP(C124,'Feature Set List'!A121:C246,2,0)</f>
        <v>1</v>
      </c>
      <c r="E124" s="205" t="b">
        <f>VLOOKUP(C124,'Feature Set List'!A121:C246,3,0)</f>
        <v>1</v>
      </c>
      <c r="F124" s="205">
        <v>1.53610419</v>
      </c>
      <c r="G124" s="205">
        <v>-0.1168359</v>
      </c>
      <c r="H124" s="205">
        <v>0.06895231</v>
      </c>
      <c r="I124" s="205">
        <v>0.06129094</v>
      </c>
      <c r="J124" s="205">
        <v>1.43842176</v>
      </c>
      <c r="K124" s="205">
        <v>-0.4303773</v>
      </c>
      <c r="L124" s="205">
        <v>-1.1762115</v>
      </c>
      <c r="M124" s="205">
        <v>-0.0459682</v>
      </c>
      <c r="N124" s="205">
        <v>-0.6797548</v>
      </c>
      <c r="O124" s="205">
        <v>-0.8015706</v>
      </c>
      <c r="P124" s="205">
        <v>1.39819958</v>
      </c>
      <c r="Q124" s="205">
        <v>-0.5726872</v>
      </c>
      <c r="R124" s="205">
        <v>-0.5619613</v>
      </c>
      <c r="S124" s="205">
        <v>-0.4817085</v>
      </c>
      <c r="T124" s="205">
        <v>-1.409117</v>
      </c>
      <c r="U124" s="205">
        <v>-0.8460065</v>
      </c>
      <c r="V124" s="205">
        <v>-0.5529592</v>
      </c>
      <c r="W124" s="205">
        <v>-0.5389772</v>
      </c>
      <c r="X124" s="205">
        <v>1.65102471</v>
      </c>
      <c r="Y124" s="205">
        <v>0.42903658</v>
      </c>
      <c r="Z124" s="205">
        <v>-0.4305689</v>
      </c>
      <c r="AA124" s="205">
        <v>-0.4353572</v>
      </c>
      <c r="AB124" s="205">
        <v>0.29687799</v>
      </c>
      <c r="AC124" s="205">
        <v>1.32924727</v>
      </c>
      <c r="AD124" s="205">
        <v>0.69143842</v>
      </c>
      <c r="AE124" s="205">
        <v>0.11300517</v>
      </c>
      <c r="AF124" s="205">
        <v>0.0</v>
      </c>
      <c r="AG124" s="205">
        <v>-0.072783</v>
      </c>
      <c r="AH124" s="205">
        <v>0.49607355</v>
      </c>
      <c r="AI124" s="205">
        <v>-0.1557173</v>
      </c>
      <c r="AJ124" s="205">
        <v>-0.2986018</v>
      </c>
      <c r="AK124" s="205">
        <v>0.03830684</v>
      </c>
      <c r="AL124" s="205">
        <v>1.41352231</v>
      </c>
      <c r="AM124" s="205">
        <v>0.38498372</v>
      </c>
      <c r="AN124" s="205">
        <v>-0.9486688</v>
      </c>
      <c r="AO124" s="205">
        <v>1.42118368</v>
      </c>
      <c r="AP124" s="205">
        <v>-0.6682628</v>
      </c>
      <c r="AQ124" s="205">
        <v>-0.3880483</v>
      </c>
      <c r="AR124" s="205">
        <v>-0.7423865</v>
      </c>
      <c r="AS124" s="205">
        <v>-0.2876844</v>
      </c>
      <c r="AT124" s="205">
        <v>1.71423099</v>
      </c>
      <c r="AU124" s="205">
        <v>1.20666539</v>
      </c>
      <c r="AV124" s="205">
        <v>0.8504118</v>
      </c>
      <c r="AW124" s="205">
        <v>-0.3003256</v>
      </c>
      <c r="AX124" s="205">
        <v>-1.1714231</v>
      </c>
      <c r="AY124" s="205">
        <v>0.13598927</v>
      </c>
      <c r="AZ124" s="205">
        <v>-0.7192109</v>
      </c>
      <c r="BA124" s="205">
        <v>-0.2239035</v>
      </c>
      <c r="BB124" s="205">
        <v>0.18195748</v>
      </c>
      <c r="BC124" s="205">
        <v>0.3888144</v>
      </c>
      <c r="BD124" s="205">
        <v>-0.8594139</v>
      </c>
      <c r="BE124" s="205">
        <v>0.29304731</v>
      </c>
      <c r="BF124" s="205">
        <v>0.08044436</v>
      </c>
      <c r="BG124" s="205">
        <v>0.69335376</v>
      </c>
      <c r="BH124" s="205">
        <v>0.03447615</v>
      </c>
      <c r="BI124" s="205">
        <v>0.01149205</v>
      </c>
      <c r="BJ124" s="205">
        <v>-0.0153227</v>
      </c>
      <c r="BK124" s="205">
        <v>-1.0743153</v>
      </c>
      <c r="BL124" s="205">
        <v>0.34093086</v>
      </c>
      <c r="BM124" s="205">
        <v>2.06473856</v>
      </c>
      <c r="BN124" s="205">
        <v>1.42118368</v>
      </c>
      <c r="BO124" s="205">
        <v>1.46715189</v>
      </c>
      <c r="BP124" s="205">
        <v>-0.5359127</v>
      </c>
      <c r="BQ124" s="213"/>
      <c r="BR124" s="250">
        <f t="shared" si="1"/>
        <v>0.0969923027</v>
      </c>
      <c r="BS124" s="250">
        <f t="shared" si="2"/>
        <v>0.6645329128</v>
      </c>
      <c r="BT124" s="213"/>
      <c r="BU124" s="207">
        <f>IFERROR(__xludf.DUMMYFUNCTION("AVERAGE(ARRAYFORMULA(XLOOKUP(FILTER(INDIRECT(""'""&amp;BU$1&amp;""'!$C$4:$C$66""),INDIRECT(""'""&amp;BU$1&amp;""'!$D$4:$D$66"")=BU$2),$F$3:$BP$3,$F124:$BP124)))"),-0.8894026857142857)</f>
        <v>-0.8894026857</v>
      </c>
      <c r="BV124" s="207">
        <f>IFERROR(__xludf.DUMMYFUNCTION("IF(OR(BU124&gt;$BR124+$BS124*$BS$2,BU124&lt;$BR124-$BS124*$BS$2),AVEDEV(ARRAYFORMULA(XLOOKUP(FILTER(INDIRECT(""'""&amp;BU$1&amp;""'!$C$4:$C$66""),INDIRECT(""'""&amp;BU$1&amp;""'!$D$4:$D$66"")=BU$2),$F$3:$BP$3,$F124:$BP124))),"""")"),0.29883241632653057)</f>
        <v>0.2988324163</v>
      </c>
      <c r="BW124" s="207">
        <f>IFERROR(__xludf.DUMMYFUNCTION("AVERAGE(ARRAYFORMULA(XLOOKUP(FILTER(INDIRECT(""'""&amp;BW$1&amp;""'!$C$4:$C$66""),INDIRECT(""'""&amp;BW$1&amp;""'!$D$4:$D$66"")=BW$2),$F$3:$BP$3,$F124:$BP124)))"),0.251174285)</f>
        <v>0.251174285</v>
      </c>
      <c r="BX124" s="207" t="str">
        <f>IFERROR(__xludf.DUMMYFUNCTION("IF(OR(BW124&gt;$BR124+$BS124*$BS$2,BW124&lt;$BR124-$BS124*$BS$2),AVEDEV(ARRAYFORMULA(XLOOKUP(FILTER(INDIRECT(""'""&amp;BW$1&amp;""'!$C$4:$C$66""),INDIRECT(""'""&amp;BW$1&amp;""'!$D$4:$D$66"")=BW$2),$F$3:$BP$3,$F124:$BP124))),"""")"),"")</f>
        <v/>
      </c>
      <c r="BY124" s="207">
        <f>IFERROR(__xludf.DUMMYFUNCTION("AVERAGE(ARRAYFORMULA(XLOOKUP(FILTER(INDIRECT(""'""&amp;BY$1&amp;""'!$C$4:$C$66""),INDIRECT(""'""&amp;BY$1&amp;""'!$D$4:$D$66"")=BY$2),$F$3:$BP$3,$F124:$BP124)))"),-0.03499852727272726)</f>
        <v>-0.03499852727</v>
      </c>
      <c r="BZ124" s="207" t="str">
        <f>IFERROR(__xludf.DUMMYFUNCTION("IF(OR(BY124&gt;$BR124+$BS124*$BS$2,BY124&lt;$BR124-$BS124*$BS$2),AVEDEV(ARRAYFORMULA(XLOOKUP(FILTER(INDIRECT(""'""&amp;BY$1&amp;""'!$C$4:$C$66""),INDIRECT(""'""&amp;BY$1&amp;""'!$D$4:$D$66"")=BY$2),$F$3:$BP$3,$F124:$BP124))),"""")"),"")</f>
        <v/>
      </c>
      <c r="CA124" s="209"/>
      <c r="CB124" s="207">
        <f>IFERROR(__xludf.DUMMYFUNCTION("AVERAGE(ARRAYFORMULA(XLOOKUP(FILTER(INDIRECT(""'""&amp;CB$1&amp;""'!$C$4:$C$66""),INDIRECT(""'""&amp;CB$1&amp;""'!$D$4:$D$66"")=CB$2),$F$3:$BP$3,$F124:$BP124)))"),0.08471795999999998)</f>
        <v>0.08471796</v>
      </c>
      <c r="CC124" s="207" t="str">
        <f>IFERROR(__xludf.DUMMYFUNCTION("IF(OR(CB124&gt;$BR124+$BS124*$BS$2,CB124&lt;$BR124-$BS124*$BS$2),AVEDEV(ARRAYFORMULA(XLOOKUP(FILTER(INDIRECT(""'""&amp;CB$1&amp;""'!$C$4:$C$66""),INDIRECT(""'""&amp;CB$1&amp;""'!$D$4:$D$66"")=CB$2),$F$3:$BP$3,$F124:$BP124))),"""")"),"")</f>
        <v/>
      </c>
      <c r="CD124" s="207">
        <f>IFERROR(__xludf.DUMMYFUNCTION("AVERAGE(ARRAYFORMULA(XLOOKUP(FILTER(INDIRECT(""'""&amp;CD$1&amp;""'!$C$4:$C$66""),INDIRECT(""'""&amp;CD$1&amp;""'!$D$4:$D$66"")=CD$2),$F$3:$BP$3,$F124:$BP124)))"),0.16772834258064517)</f>
        <v>0.1677283426</v>
      </c>
      <c r="CE124" s="207" t="str">
        <f>IFERROR(__xludf.DUMMYFUNCTION("IF(OR(CD124&gt;$BR124+$BS124*$BS$2,CD124&lt;$BR124-$BS124*$BS$2),AVEDEV(ARRAYFORMULA(XLOOKUP(FILTER(INDIRECT(""'""&amp;CD$1&amp;""'!$C$4:$C$66""),INDIRECT(""'""&amp;CD$1&amp;""'!$D$4:$D$66"")=CD$2),$F$3:$BP$3,$F124:$BP124))),"""")"),"")</f>
        <v/>
      </c>
      <c r="CF124" s="207">
        <f>IFERROR(__xludf.DUMMYFUNCTION("AVERAGE(ARRAYFORMULA(XLOOKUP(FILTER(INDIRECT(""'""&amp;CF$1&amp;""'!$C$4:$C$66""),INDIRECT(""'""&amp;CF$1&amp;""'!$D$4:$D$66"")=CF$2),$F$3:$BP$3,$F124:$BP124)))"),-0.532886428)</f>
        <v>-0.532886428</v>
      </c>
      <c r="CG124" s="207" t="str">
        <f>IFERROR(__xludf.DUMMYFUNCTION("IF(OR(CF124&gt;$BR124+$BS124*$BS$2,CF124&lt;$BR124-$BS124*$BS$2),AVEDEV(ARRAYFORMULA(XLOOKUP(FILTER(INDIRECT(""'""&amp;CF$1&amp;""'!$C$4:$C$66""),INDIRECT(""'""&amp;CF$1&amp;""'!$D$4:$D$66"")=CF$2),$F$3:$BP$3,$F124:$BP124))),"""")"),"")</f>
        <v/>
      </c>
      <c r="CH124" s="213"/>
      <c r="CI124" s="251">
        <f>IFERROR(__xludf.DUMMYFUNCTION("AVERAGE(ARRAYFORMULA(XLOOKUP(FILTER(INDIRECT(""'""&amp;CI$1&amp;""'!$C$4:$C$66""),INDIRECT(""'""&amp;CI$1&amp;""'!$D$4:$D$66"")=CI$2),$F$3:$BP$3,$F124:$BP124)))"),0.10891910333333331)</f>
        <v>0.1089191033</v>
      </c>
      <c r="CJ124" s="207" t="str">
        <f>IFERROR(__xludf.DUMMYFUNCTION("IF(OR(CI124&gt;$BR124+$BS124*$BS$2,CI124&lt;$BR124-$BS124*$BS$2),AVEDEV(ARRAYFORMULA(XLOOKUP(FILTER(INDIRECT(""'""&amp;CI$1&amp;""'!$C$4:$C$66""),INDIRECT(""'""&amp;CI$1&amp;""'!$D$4:$D$66"")=CI$2),$F$3:$BP$3,$F124:$BP124))),"""")"),"")</f>
        <v/>
      </c>
      <c r="CK124" s="251">
        <f>IFERROR(__xludf.DUMMYFUNCTION("AVERAGE(ARRAYFORMULA(XLOOKUP(FILTER(INDIRECT(""'""&amp;CK$1&amp;""'!$C$4:$C$66""),INDIRECT(""'""&amp;CK$1&amp;""'!$D$4:$D$66"")=CK$2),$F$3:$BP$3,$F124:$BP124)))"),0.15496098102564101)</f>
        <v>0.154960981</v>
      </c>
      <c r="CL124" s="207" t="str">
        <f>IFERROR(__xludf.DUMMYFUNCTION("IF(OR(CK124&gt;$BR124+$BS124*$BS$2,CK124&lt;$BR124-$BS124*$BS$2),AVEDEV(ARRAYFORMULA(XLOOKUP(FILTER(INDIRECT(""'""&amp;CK$1&amp;""'!$C$4:$C$66""),INDIRECT(""'""&amp;CK$1&amp;""'!$D$4:$D$66"")=CK$2),$F$3:$BP$3,$F124:$BP124))),"""")"),"")</f>
        <v/>
      </c>
      <c r="CM124" s="251">
        <f>IFERROR(__xludf.DUMMYFUNCTION("AVERAGE(ARRAYFORMULA(XLOOKUP(FILTER(INDIRECT(""'""&amp;CM$1&amp;""'!$C$4:$C$66""),INDIRECT(""'""&amp;CM$1&amp;""'!$D$4:$D$66"")=CM$2),$F$3:$BP$3,$F124:$BP124)))"),-0.532886428)</f>
        <v>-0.532886428</v>
      </c>
      <c r="CN124" s="207" t="str">
        <f>IFERROR(__xludf.DUMMYFUNCTION("IF(OR(CM124&gt;$BR124+$BS124*$BS$2,CM124&lt;$BR124-$BS124*$BS$2),AVEDEV(ARRAYFORMULA(XLOOKUP(FILTER(INDIRECT(""'""&amp;CM$1&amp;""'!$C$4:$C$66""),INDIRECT(""'""&amp;CM$1&amp;""'!$D$4:$D$66"")=CM$2),$F$3:$BP$3,$F124:$BP124))),"""")"),"")</f>
        <v/>
      </c>
      <c r="CO124" s="255"/>
      <c r="CP124" s="251">
        <f>IFERROR(__xludf.DUMMYFUNCTION("AVERAGE(ARRAYFORMULA(XLOOKUP(FILTER(INDIRECT(""'""&amp;CP$1&amp;""'!$C$4:$C$66""),INDIRECT(""'""&amp;CP$1&amp;""'!$D$4:$D$66"")=CP$2),$F$3:$BP$3,$F124:$BP124)))"),0.13291104571428572)</f>
        <v>0.1329110457</v>
      </c>
      <c r="CQ124" s="207" t="str">
        <f>IFERROR(__xludf.DUMMYFUNCTION("IF(OR(CP124&gt;$BR124+$BS124*$BS$2,CP124&lt;$BR124-$BS124*$BS$2),AVEDEV(ARRAYFORMULA(XLOOKUP(FILTER(INDIRECT(""'""&amp;CP$1&amp;""'!$C$4:$C$66""),INDIRECT(""'""&amp;CP$1&amp;""'!$D$4:$D$66"")=CP$2),$F$3:$BP$3,$F124:$BP124))),"""")"),"")</f>
        <v/>
      </c>
      <c r="CR124" s="251">
        <f>IFERROR(__xludf.DUMMYFUNCTION("AVERAGE(ARRAYFORMULA(XLOOKUP(FILTER(INDIRECT(""'""&amp;CR$1&amp;""'!$C$4:$C$66""),INDIRECT(""'""&amp;CR$1&amp;""'!$D$4:$D$66"")=CR$2),$F$3:$BP$3,$F124:$BP124)))"),-0.09576710333333331)</f>
        <v>-0.09576710333</v>
      </c>
      <c r="CS124" s="207" t="str">
        <f>IFERROR(__xludf.DUMMYFUNCTION("IF(OR(CR124&gt;$BR124+$BS124*$BS$2,CR124&lt;$BR124-$BS124*$BS$2),AVEDEV(ARRAYFORMULA(XLOOKUP(FILTER(INDIRECT(""'""&amp;CR$1&amp;""'!$C$4:$C$66""),INDIRECT(""'""&amp;CR$1&amp;""'!$D$4:$D$66"")=CR$2),$F$3:$BP$3,$F124:$BP124))),"""")"),"")</f>
        <v/>
      </c>
      <c r="CT124" s="251">
        <f>IFERROR(__xludf.DUMMYFUNCTION("AVERAGE(ARRAYFORMULA(XLOOKUP(FILTER(INDIRECT(""'""&amp;CT$1&amp;""'!$C$4:$C$66""),INDIRECT(""'""&amp;CT$1&amp;""'!$D$4:$D$66"")=CT$2),$F$3:$BP$3,$F124:$BP124)))"),0.25148438181818183)</f>
        <v>0.2514843818</v>
      </c>
      <c r="CU124" s="207" t="str">
        <f>IFERROR(__xludf.DUMMYFUNCTION("IF(OR(CT124&gt;$BR124+$BS124*$BS$2,CT124&lt;$BR124-$BS124*$BS$2),AVEDEV(ARRAYFORMULA(XLOOKUP(FILTER(INDIRECT(""'""&amp;CT$1&amp;""'!$C$4:$C$66""),INDIRECT(""'""&amp;CT$1&amp;""'!$D$4:$D$66"")=CT$2),$F$3:$BP$3,$F124:$BP124))),"""")"),"")</f>
        <v/>
      </c>
      <c r="CV124" s="251">
        <f>IFERROR(__xludf.DUMMYFUNCTION("AVERAGE(ARRAYFORMULA(XLOOKUP(FILTER(INDIRECT(""'""&amp;CV$1&amp;""'!$C$4:$C$66""),INDIRECT(""'""&amp;CV$1&amp;""'!$D$4:$D$66"")=CV$2),$F$3:$BP$3,$F124:$BP124)))"),1.011300515)</f>
        <v>1.011300515</v>
      </c>
      <c r="CW124" s="207">
        <f>IFERROR(__xludf.DUMMYFUNCTION("IF(OR(CV124&gt;$BR124+$BS124*$BS$2,CV124&lt;$BR124-$BS124*$BS$2),AVEDEV(ARRAYFORMULA(XLOOKUP(FILTER(INDIRECT(""'""&amp;CV$1&amp;""'!$C$4:$C$66""),INDIRECT(""'""&amp;CV$1&amp;""'!$D$4:$D$66"")=CV$2),$F$3:$BP$3,$F124:$BP124))),"""")"),0.31794675499999997)</f>
        <v>0.317946755</v>
      </c>
      <c r="CX124" s="251">
        <f>IFERROR(__xludf.DUMMYFUNCTION("AVERAGE(ARRAYFORMULA(XLOOKUP(FILTER(INDIRECT(""'""&amp;CX$1&amp;""'!$C$4:$C$66""),INDIRECT(""'""&amp;CX$1&amp;""'!$D$4:$D$66"")=CX$2),$F$3:$BP$3,$F124:$BP124)))"),0.23854215071428572)</f>
        <v>0.2385421507</v>
      </c>
      <c r="CY124" s="207" t="str">
        <f>IFERROR(__xludf.DUMMYFUNCTION("IF(OR(CX124&gt;$BR124+$BS124*$BS$2,CX124&lt;$BR124-$BS124*$BS$2),AVEDEV(ARRAYFORMULA(XLOOKUP(FILTER(INDIRECT(""'""&amp;CX$1&amp;""'!$C$4:$C$66""),INDIRECT(""'""&amp;CX$1&amp;""'!$D$4:$D$66"")=CX$2),$F$3:$BP$3,$F124:$BP124))),"""")"),"")</f>
        <v/>
      </c>
      <c r="CZ124" s="255"/>
      <c r="DA124" s="251">
        <f>IFERROR(__xludf.DUMMYFUNCTION("AVERAGE(ARRAYFORMULA(XLOOKUP(FILTER(INDIRECT(""'""&amp;DA$1&amp;""'!$C$4:$C$66""),INDIRECT(""'""&amp;DA$1&amp;""'!$D$4:$D$66"")=DA$2),$F$3:$BP$3,$F124:$BP124)))"),0.13393347000000003)</f>
        <v>0.13393347</v>
      </c>
      <c r="DB124" s="207" t="str">
        <f>IFERROR(__xludf.DUMMYFUNCTION("IF(OR(DA124&gt;$BR124+$BS124*$BS$2,DA124&lt;$BR124-$BS124*$BS$2),AVEDEV(ARRAYFORMULA(XLOOKUP(FILTER(INDIRECT(""'""&amp;DA$1&amp;""'!$C$4:$C$66""),INDIRECT(""'""&amp;DA$1&amp;""'!$D$4:$D$66"")=DA$2),$F$3:$BP$3,$F124:$BP124))),"""")"),"")</f>
        <v/>
      </c>
      <c r="DC124" s="251">
        <f>IFERROR(__xludf.DUMMYFUNCTION("AVERAGE(ARRAYFORMULA(XLOOKUP(FILTER(INDIRECT(""'""&amp;DC$1&amp;""'!$C$4:$C$66""),INDIRECT(""'""&amp;DC$1&amp;""'!$D$4:$D$66"")=DC$2),$F$3:$BP$3,$F124:$BP124)))"),-0.11981528444444439)</f>
        <v>-0.1198152844</v>
      </c>
      <c r="DD124" s="207" t="str">
        <f>IFERROR(__xludf.DUMMYFUNCTION("IF(OR(DC124&gt;$BR124+$BS124*$BS$2,DC124&lt;$BR124-$BS124*$BS$2),AVEDEV(ARRAYFORMULA(XLOOKUP(FILTER(INDIRECT(""'""&amp;DC$1&amp;""'!$C$4:$C$66""),INDIRECT(""'""&amp;DC$1&amp;""'!$D$4:$D$66"")=DC$2),$F$3:$BP$3,$F124:$BP124))),"""")"),"")</f>
        <v/>
      </c>
      <c r="DE124" s="251">
        <f>IFERROR(__xludf.DUMMYFUNCTION("AVERAGE(ARRAYFORMULA(XLOOKUP(FILTER(INDIRECT(""'""&amp;DE$1&amp;""'!$C$4:$C$66""),INDIRECT(""'""&amp;DE$1&amp;""'!$D$4:$D$66"")=DE$2),$F$3:$BP$3,$F124:$BP124)))"),-0.60565504125)</f>
        <v>-0.6056550413</v>
      </c>
      <c r="DF124" s="207">
        <f>IFERROR(__xludf.DUMMYFUNCTION("IF(OR(DE124&gt;$BR124+$BS124*$BS$2,DE124&lt;$BR124-$BS124*$BS$2),AVEDEV(ARRAYFORMULA(XLOOKUP(FILTER(INDIRECT(""'""&amp;DE$1&amp;""'!$C$4:$C$66""),INDIRECT(""'""&amp;DE$1&amp;""'!$D$4:$D$66"")=DE$2),$F$3:$BP$3,$F124:$BP124))),"""")"),0.3608324440625)</f>
        <v>0.3608324441</v>
      </c>
      <c r="DG124" s="251">
        <f>IFERROR(__xludf.DUMMYFUNCTION("AVERAGE(ARRAYFORMULA(XLOOKUP(FILTER(INDIRECT(""'""&amp;DG$1&amp;""'!$C$4:$C$66""),INDIRECT(""'""&amp;DG$1&amp;""'!$D$4:$D$66"")=DG$2),$F$3:$BP$3,$F124:$BP124)))"),0.9771223066666666)</f>
        <v>0.9771223067</v>
      </c>
      <c r="DH124" s="207">
        <f>IFERROR(__xludf.DUMMYFUNCTION("IF(OR(DG124&gt;$BR124+$BS124*$BS$2,DG124&lt;$BR124-$BS124*$BS$2),AVEDEV(ARRAYFORMULA(XLOOKUP(FILTER(INDIRECT(""'""&amp;DG$1&amp;""'!$C$4:$C$66""),INDIRECT(""'""&amp;DG$1&amp;""'!$D$4:$D$66"")=DG$2),$F$3:$BP$3,$F124:$BP124))),"""")"),0.665356665925926)</f>
        <v>0.6653566659</v>
      </c>
      <c r="DI124" s="255"/>
    </row>
    <row r="125">
      <c r="A125" s="2"/>
      <c r="B125" s="204" t="s">
        <v>540</v>
      </c>
      <c r="C125" s="204" t="s">
        <v>568</v>
      </c>
      <c r="D125" s="205" t="b">
        <f>VLOOKUP(C125,'Feature Set List'!A122:C246,2,0)</f>
        <v>1</v>
      </c>
      <c r="E125" s="205" t="b">
        <f>VLOOKUP(C125,'Feature Set List'!A122:C246,3,0)</f>
        <v>1</v>
      </c>
      <c r="F125" s="205">
        <v>0.08958811</v>
      </c>
      <c r="G125" s="205">
        <v>0.87621545</v>
      </c>
      <c r="H125" s="205">
        <v>-0.9544412</v>
      </c>
      <c r="I125" s="205">
        <v>-0.3006664</v>
      </c>
      <c r="J125" s="205">
        <v>1.26515896</v>
      </c>
      <c r="K125" s="205">
        <v>0.21632252</v>
      </c>
      <c r="L125" s="205">
        <v>-0.2589315</v>
      </c>
      <c r="M125" s="205">
        <v>-0.718453</v>
      </c>
      <c r="N125" s="205">
        <v>0.70577953</v>
      </c>
      <c r="O125" s="205">
        <v>-0.0764777</v>
      </c>
      <c r="P125" s="205">
        <v>1.07287228</v>
      </c>
      <c r="Q125" s="205">
        <v>0.40205397</v>
      </c>
      <c r="R125" s="205">
        <v>-0.1057577</v>
      </c>
      <c r="S125" s="205">
        <v>0.9352125</v>
      </c>
      <c r="T125" s="205">
        <v>-1.2714957</v>
      </c>
      <c r="U125" s="205">
        <v>-0.1940347</v>
      </c>
      <c r="V125" s="205">
        <v>-0.0131105</v>
      </c>
      <c r="W125" s="205">
        <v>-1.3318038</v>
      </c>
      <c r="X125" s="205">
        <v>1.01387523</v>
      </c>
      <c r="Y125" s="205">
        <v>0.42827488</v>
      </c>
      <c r="Z125" s="205">
        <v>-1.4189883</v>
      </c>
      <c r="AA125" s="205">
        <v>-0.2661422</v>
      </c>
      <c r="AB125" s="205">
        <v>0.31465093</v>
      </c>
      <c r="AC125" s="205">
        <v>0.42608981</v>
      </c>
      <c r="AD125" s="205">
        <v>-0.5482356</v>
      </c>
      <c r="AE125" s="205">
        <v>-0.6032995</v>
      </c>
      <c r="AF125" s="205">
        <v>-0.6681962</v>
      </c>
      <c r="AG125" s="205">
        <v>0.20321206</v>
      </c>
      <c r="AH125" s="205">
        <v>-0.3218617</v>
      </c>
      <c r="AI125" s="205">
        <v>-1.1078335</v>
      </c>
      <c r="AJ125" s="205">
        <v>-1.0287337</v>
      </c>
      <c r="AK125" s="205">
        <v>-0.2043046</v>
      </c>
      <c r="AL125" s="205">
        <v>0.20102699</v>
      </c>
      <c r="AM125" s="205">
        <v>0.88277068</v>
      </c>
      <c r="AN125" s="205">
        <v>-0.6828362</v>
      </c>
      <c r="AO125" s="205">
        <v>0.68174369</v>
      </c>
      <c r="AP125" s="205">
        <v>-0.6081066</v>
      </c>
      <c r="AQ125" s="205">
        <v>1.77209658</v>
      </c>
      <c r="AR125" s="205">
        <v>0.0</v>
      </c>
      <c r="AS125" s="205">
        <v>0.10051349</v>
      </c>
      <c r="AT125" s="205">
        <v>-1.2251721</v>
      </c>
      <c r="AU125" s="205">
        <v>-0.1997159</v>
      </c>
      <c r="AV125" s="205">
        <v>-1.0254561</v>
      </c>
      <c r="AW125" s="205">
        <v>-2.1658473</v>
      </c>
      <c r="AX125" s="205">
        <v>0.73200044</v>
      </c>
      <c r="AY125" s="205">
        <v>-0.3876325</v>
      </c>
      <c r="AZ125" s="205">
        <v>0.29717033</v>
      </c>
      <c r="BA125" s="205">
        <v>-0.4219382</v>
      </c>
      <c r="BB125" s="205">
        <v>0.5353436</v>
      </c>
      <c r="BC125" s="205">
        <v>0.33868677</v>
      </c>
      <c r="BD125" s="205">
        <v>-0.2825303</v>
      </c>
      <c r="BE125" s="205">
        <v>0.15514039</v>
      </c>
      <c r="BF125" s="205">
        <v>0.27531957</v>
      </c>
      <c r="BG125" s="205">
        <v>0.08084781</v>
      </c>
      <c r="BH125" s="205">
        <v>-0.7909975</v>
      </c>
      <c r="BI125" s="205">
        <v>0.54626898</v>
      </c>
      <c r="BJ125" s="205">
        <v>0.83251393</v>
      </c>
      <c r="BK125" s="205">
        <v>0.05681197</v>
      </c>
      <c r="BL125" s="205">
        <v>-0.4737245</v>
      </c>
      <c r="BM125" s="205">
        <v>0.9985797</v>
      </c>
      <c r="BN125" s="205">
        <v>0.01748061</v>
      </c>
      <c r="BO125" s="205">
        <v>0.46542117</v>
      </c>
      <c r="BP125" s="205">
        <v>-0.5973998</v>
      </c>
      <c r="BQ125" s="206"/>
      <c r="BR125" s="250">
        <f t="shared" si="1"/>
        <v>-0.0529378027</v>
      </c>
      <c r="BS125" s="250">
        <f t="shared" si="2"/>
        <v>0.5921549181</v>
      </c>
      <c r="BT125" s="206"/>
      <c r="BU125" s="207">
        <f>IFERROR(__xludf.DUMMYFUNCTION("AVERAGE(ARRAYFORMULA(XLOOKUP(FILTER(INDIRECT(""'""&amp;BU$1&amp;""'!$C$4:$C$66""),INDIRECT(""'""&amp;BU$1&amp;""'!$D$4:$D$66"")=BU$2),$F$3:$BP$3,$F125:$BP125)))"),-0.45739882714285723)</f>
        <v>-0.4573988271</v>
      </c>
      <c r="BV125" s="207" t="str">
        <f>IFERROR(__xludf.DUMMYFUNCTION("IF(OR(BU125&gt;$BR125+$BS125*$BS$2,BU125&lt;$BR125-$BS125*$BS$2),AVEDEV(ARRAYFORMULA(XLOOKUP(FILTER(INDIRECT(""'""&amp;BU$1&amp;""'!$C$4:$C$66""),INDIRECT(""'""&amp;BU$1&amp;""'!$D$4:$D$66"")=BU$2),$F$3:$BP$3,$F125:$BP125))),"""")"),"")</f>
        <v/>
      </c>
      <c r="BW125" s="207">
        <f>IFERROR(__xludf.DUMMYFUNCTION("AVERAGE(ARRAYFORMULA(XLOOKUP(FILTER(INDIRECT(""'""&amp;BW$1&amp;""'!$C$4:$C$66""),INDIRECT(""'""&amp;BW$1&amp;""'!$D$4:$D$66"")=BW$2),$F$3:$BP$3,$F125:$BP125)))"),0.023062958571428573)</f>
        <v>0.02306295857</v>
      </c>
      <c r="BX125" s="207" t="str">
        <f>IFERROR(__xludf.DUMMYFUNCTION("IF(OR(BW125&gt;$BR125+$BS125*$BS$2,BW125&lt;$BR125-$BS125*$BS$2),AVEDEV(ARRAYFORMULA(XLOOKUP(FILTER(INDIRECT(""'""&amp;BW$1&amp;""'!$C$4:$C$66""),INDIRECT(""'""&amp;BW$1&amp;""'!$D$4:$D$66"")=BW$2),$F$3:$BP$3,$F125:$BP125))),"""")"),"")</f>
        <v/>
      </c>
      <c r="BY125" s="207">
        <f>IFERROR(__xludf.DUMMYFUNCTION("AVERAGE(ARRAYFORMULA(XLOOKUP(FILTER(INDIRECT(""'""&amp;BY$1&amp;""'!$C$4:$C$66""),INDIRECT(""'""&amp;BY$1&amp;""'!$D$4:$D$66"")=BY$2),$F$3:$BP$3,$F125:$BP125)))"),0.06718113545454546)</f>
        <v>0.06718113545</v>
      </c>
      <c r="BZ125" s="207" t="str">
        <f>IFERROR(__xludf.DUMMYFUNCTION("IF(OR(BY125&gt;$BR125+$BS125*$BS$2,BY125&lt;$BR125-$BS125*$BS$2),AVEDEV(ARRAYFORMULA(XLOOKUP(FILTER(INDIRECT(""'""&amp;BY$1&amp;""'!$C$4:$C$66""),INDIRECT(""'""&amp;BY$1&amp;""'!$D$4:$D$66"")=BY$2),$F$3:$BP$3,$F125:$BP125))),"""")"),"")</f>
        <v/>
      </c>
      <c r="CA125" s="209"/>
      <c r="CB125" s="207">
        <f>IFERROR(__xludf.DUMMYFUNCTION("AVERAGE(ARRAYFORMULA(XLOOKUP(FILTER(INDIRECT(""'""&amp;CB$1&amp;""'!$C$4:$C$66""),INDIRECT(""'""&amp;CB$1&amp;""'!$D$4:$D$66"")=CB$2),$F$3:$BP$3,$F125:$BP125)))"),-0.25177537000000005)</f>
        <v>-0.25177537</v>
      </c>
      <c r="CC125" s="207" t="str">
        <f>IFERROR(__xludf.DUMMYFUNCTION("IF(OR(CB125&gt;$BR125+$BS125*$BS$2,CB125&lt;$BR125-$BS125*$BS$2),AVEDEV(ARRAYFORMULA(XLOOKUP(FILTER(INDIRECT(""'""&amp;CB$1&amp;""'!$C$4:$C$66""),INDIRECT(""'""&amp;CB$1&amp;""'!$D$4:$D$66"")=CB$2),$F$3:$BP$3,$F125:$BP125))),"""")"),"")</f>
        <v/>
      </c>
      <c r="CD125" s="207">
        <f>IFERROR(__xludf.DUMMYFUNCTION("AVERAGE(ARRAYFORMULA(XLOOKUP(FILTER(INDIRECT(""'""&amp;CD$1&amp;""'!$C$4:$C$66""),INDIRECT(""'""&amp;CD$1&amp;""'!$D$4:$D$66"")=CD$2),$F$3:$BP$3,$F125:$BP125)))"),0.123266474516129)</f>
        <v>0.1232664745</v>
      </c>
      <c r="CE125" s="207" t="str">
        <f>IFERROR(__xludf.DUMMYFUNCTION("IF(OR(CD125&gt;$BR125+$BS125*$BS$2,CD125&lt;$BR125-$BS125*$BS$2),AVEDEV(ARRAYFORMULA(XLOOKUP(FILTER(INDIRECT(""'""&amp;CD$1&amp;""'!$C$4:$C$66""),INDIRECT(""'""&amp;CD$1&amp;""'!$D$4:$D$66"")=CD$2),$F$3:$BP$3,$F125:$BP125))),"""")"),"")</f>
        <v/>
      </c>
      <c r="CF125" s="207">
        <f>IFERROR(__xludf.DUMMYFUNCTION("AVERAGE(ARRAYFORMULA(XLOOKUP(FILTER(INDIRECT(""'""&amp;CF$1&amp;""'!$C$4:$C$66""),INDIRECT(""'""&amp;CF$1&amp;""'!$D$4:$D$66"")=CF$2),$F$3:$BP$3,$F125:$BP125)))"),0.28624494)</f>
        <v>0.28624494</v>
      </c>
      <c r="CG125" s="207" t="str">
        <f>IFERROR(__xludf.DUMMYFUNCTION("IF(OR(CF125&gt;$BR125+$BS125*$BS$2,CF125&lt;$BR125-$BS125*$BS$2),AVEDEV(ARRAYFORMULA(XLOOKUP(FILTER(INDIRECT(""'""&amp;CF$1&amp;""'!$C$4:$C$66""),INDIRECT(""'""&amp;CF$1&amp;""'!$D$4:$D$66"")=CF$2),$F$3:$BP$3,$F125:$BP125))),"""")"),"")</f>
        <v/>
      </c>
      <c r="CH125" s="206"/>
      <c r="CI125" s="251">
        <f>IFERROR(__xludf.DUMMYFUNCTION("AVERAGE(ARRAYFORMULA(XLOOKUP(FILTER(INDIRECT(""'""&amp;CI$1&amp;""'!$C$4:$C$66""),INDIRECT(""'""&amp;CI$1&amp;""'!$D$4:$D$66"")=CI$2),$F$3:$BP$3,$F125:$BP125)))"),-0.33293274466666667)</f>
        <v>-0.3329327447</v>
      </c>
      <c r="CJ125" s="207" t="str">
        <f>IFERROR(__xludf.DUMMYFUNCTION("IF(OR(CI125&gt;$BR125+$BS125*$BS$2,CI125&lt;$BR125-$BS125*$BS$2),AVEDEV(ARRAYFORMULA(XLOOKUP(FILTER(INDIRECT(""'""&amp;CI$1&amp;""'!$C$4:$C$66""),INDIRECT(""'""&amp;CI$1&amp;""'!$D$4:$D$66"")=CI$2),$F$3:$BP$3,$F125:$BP125))),"""")"),"")</f>
        <v/>
      </c>
      <c r="CK125" s="251">
        <f>IFERROR(__xludf.DUMMYFUNCTION("AVERAGE(ARRAYFORMULA(XLOOKUP(FILTER(INDIRECT(""'""&amp;CK$1&amp;""'!$C$4:$C$66""),INDIRECT(""'""&amp;CK$1&amp;""'!$D$4:$D$66"")=CK$2),$F$3:$BP$3,$F125:$BP125)))"),0.05158460153846153)</f>
        <v>0.05158460154</v>
      </c>
      <c r="CL125" s="207" t="str">
        <f>IFERROR(__xludf.DUMMYFUNCTION("IF(OR(CK125&gt;$BR125+$BS125*$BS$2,CK125&lt;$BR125-$BS125*$BS$2),AVEDEV(ARRAYFORMULA(XLOOKUP(FILTER(INDIRECT(""'""&amp;CK$1&amp;""'!$C$4:$C$66""),INDIRECT(""'""&amp;CK$1&amp;""'!$D$4:$D$66"")=CK$2),$F$3:$BP$3,$F125:$BP125))),"""")"),"")</f>
        <v/>
      </c>
      <c r="CM125" s="251">
        <f>IFERROR(__xludf.DUMMYFUNCTION("AVERAGE(ARRAYFORMULA(XLOOKUP(FILTER(INDIRECT(""'""&amp;CM$1&amp;""'!$C$4:$C$66""),INDIRECT(""'""&amp;CM$1&amp;""'!$D$4:$D$66"")=CM$2),$F$3:$BP$3,$F125:$BP125)))"),0.28624494)</f>
        <v>0.28624494</v>
      </c>
      <c r="CN125" s="207" t="str">
        <f>IFERROR(__xludf.DUMMYFUNCTION("IF(OR(CM125&gt;$BR125+$BS125*$BS$2,CM125&lt;$BR125-$BS125*$BS$2),AVEDEV(ARRAYFORMULA(XLOOKUP(FILTER(INDIRECT(""'""&amp;CM$1&amp;""'!$C$4:$C$66""),INDIRECT(""'""&amp;CM$1&amp;""'!$D$4:$D$66"")=CM$2),$F$3:$BP$3,$F125:$BP125))),"""")"),"")</f>
        <v/>
      </c>
      <c r="CO125" s="252"/>
      <c r="CP125" s="251">
        <f>IFERROR(__xludf.DUMMYFUNCTION("AVERAGE(ARRAYFORMULA(XLOOKUP(FILTER(INDIRECT(""'""&amp;CP$1&amp;""'!$C$4:$C$66""),INDIRECT(""'""&amp;CP$1&amp;""'!$D$4:$D$66"")=CP$2),$F$3:$BP$3,$F125:$BP125)))"),-0.21945965285714286)</f>
        <v>-0.2194596529</v>
      </c>
      <c r="CQ125" s="207" t="str">
        <f>IFERROR(__xludf.DUMMYFUNCTION("IF(OR(CP125&gt;$BR125+$BS125*$BS$2,CP125&lt;$BR125-$BS125*$BS$2),AVEDEV(ARRAYFORMULA(XLOOKUP(FILTER(INDIRECT(""'""&amp;CP$1&amp;""'!$C$4:$C$66""),INDIRECT(""'""&amp;CP$1&amp;""'!$D$4:$D$66"")=CP$2),$F$3:$BP$3,$F125:$BP125))),"""")"),"")</f>
        <v/>
      </c>
      <c r="CR125" s="251">
        <f>IFERROR(__xludf.DUMMYFUNCTION("AVERAGE(ARRAYFORMULA(XLOOKUP(FILTER(INDIRECT(""'""&amp;CR$1&amp;""'!$C$4:$C$66""),INDIRECT(""'""&amp;CR$1&amp;""'!$D$4:$D$66"")=CR$2),$F$3:$BP$3,$F125:$BP125)))"),0.17781661)</f>
        <v>0.17781661</v>
      </c>
      <c r="CS125" s="207" t="str">
        <f>IFERROR(__xludf.DUMMYFUNCTION("IF(OR(CR125&gt;$BR125+$BS125*$BS$2,CR125&lt;$BR125-$BS125*$BS$2),AVEDEV(ARRAYFORMULA(XLOOKUP(FILTER(INDIRECT(""'""&amp;CR$1&amp;""'!$C$4:$C$66""),INDIRECT(""'""&amp;CR$1&amp;""'!$D$4:$D$66"")=CR$2),$F$3:$BP$3,$F125:$BP125))),"""")"),"")</f>
        <v/>
      </c>
      <c r="CT125" s="251">
        <f>IFERROR(__xludf.DUMMYFUNCTION("AVERAGE(ARRAYFORMULA(XLOOKUP(FILTER(INDIRECT(""'""&amp;CT$1&amp;""'!$C$4:$C$66""),INDIRECT(""'""&amp;CT$1&amp;""'!$D$4:$D$66"")=CT$2),$F$3:$BP$3,$F125:$BP125)))"),-0.11509390454545455)</f>
        <v>-0.1150939045</v>
      </c>
      <c r="CU125" s="207" t="str">
        <f>IFERROR(__xludf.DUMMYFUNCTION("IF(OR(CT125&gt;$BR125+$BS125*$BS$2,CT125&lt;$BR125-$BS125*$BS$2),AVEDEV(ARRAYFORMULA(XLOOKUP(FILTER(INDIRECT(""'""&amp;CT$1&amp;""'!$C$4:$C$66""),INDIRECT(""'""&amp;CT$1&amp;""'!$D$4:$D$66"")=CT$2),$F$3:$BP$3,$F125:$BP125))),"""")"),"")</f>
        <v/>
      </c>
      <c r="CV125" s="251">
        <f>IFERROR(__xludf.DUMMYFUNCTION("AVERAGE(ARRAYFORMULA(XLOOKUP(FILTER(INDIRECT(""'""&amp;CV$1&amp;""'!$C$4:$C$66""),INDIRECT(""'""&amp;CV$1&amp;""'!$D$4:$D$66"")=CV$2),$F$3:$BP$3,$F125:$BP125)))"),0.25346881)</f>
        <v>0.25346881</v>
      </c>
      <c r="CW125" s="207" t="str">
        <f>IFERROR(__xludf.DUMMYFUNCTION("IF(OR(CV125&gt;$BR125+$BS125*$BS$2,CV125&lt;$BR125-$BS125*$BS$2),AVEDEV(ARRAYFORMULA(XLOOKUP(FILTER(INDIRECT(""'""&amp;CV$1&amp;""'!$C$4:$C$66""),INDIRECT(""'""&amp;CV$1&amp;""'!$D$4:$D$66"")=CV$2),$F$3:$BP$3,$F125:$BP125))),"""")"),"")</f>
        <v/>
      </c>
      <c r="CX125" s="251">
        <f>IFERROR(__xludf.DUMMYFUNCTION("AVERAGE(ARRAYFORMULA(XLOOKUP(FILTER(INDIRECT(""'""&amp;CX$1&amp;""'!$C$4:$C$66""),INDIRECT(""'""&amp;CX$1&amp;""'!$D$4:$D$66"")=CX$2),$F$3:$BP$3,$F125:$BP125)))"),0.22481309071428576)</f>
        <v>0.2248130907</v>
      </c>
      <c r="CY125" s="207" t="str">
        <f>IFERROR(__xludf.DUMMYFUNCTION("IF(OR(CX125&gt;$BR125+$BS125*$BS$2,CX125&lt;$BR125-$BS125*$BS$2),AVEDEV(ARRAYFORMULA(XLOOKUP(FILTER(INDIRECT(""'""&amp;CX$1&amp;""'!$C$4:$C$66""),INDIRECT(""'""&amp;CX$1&amp;""'!$D$4:$D$66"")=CX$2),$F$3:$BP$3,$F125:$BP125))),"""")"),"")</f>
        <v/>
      </c>
      <c r="CZ125" s="252"/>
      <c r="DA125" s="251">
        <f>IFERROR(__xludf.DUMMYFUNCTION("AVERAGE(ARRAYFORMULA(XLOOKUP(FILTER(INDIRECT(""'""&amp;DA$1&amp;""'!$C$4:$C$66""),INDIRECT(""'""&amp;DA$1&amp;""'!$D$4:$D$66"")=DA$2),$F$3:$BP$3,$F125:$BP125)))"),-0.01606759133333331)</f>
        <v>-0.01606759133</v>
      </c>
      <c r="DB125" s="207" t="str">
        <f>IFERROR(__xludf.DUMMYFUNCTION("IF(OR(DA125&gt;$BR125+$BS125*$BS$2,DA125&lt;$BR125-$BS125*$BS$2),AVEDEV(ARRAYFORMULA(XLOOKUP(FILTER(INDIRECT(""'""&amp;DA$1&amp;""'!$C$4:$C$66""),INDIRECT(""'""&amp;DA$1&amp;""'!$D$4:$D$66"")=DA$2),$F$3:$BP$3,$F125:$BP125))),"""")"),"")</f>
        <v/>
      </c>
      <c r="DC125" s="251">
        <f>IFERROR(__xludf.DUMMYFUNCTION("AVERAGE(ARRAYFORMULA(XLOOKUP(FILTER(INDIRECT(""'""&amp;DC$1&amp;""'!$C$4:$C$66""),INDIRECT(""'""&amp;DC$1&amp;""'!$D$4:$D$66"")=DC$2),$F$3:$BP$3,$F125:$BP125)))"),0.05737037333333333)</f>
        <v>0.05737037333</v>
      </c>
      <c r="DD125" s="207" t="str">
        <f>IFERROR(__xludf.DUMMYFUNCTION("IF(OR(DC125&gt;$BR125+$BS125*$BS$2,DC125&lt;$BR125-$BS125*$BS$2),AVEDEV(ARRAYFORMULA(XLOOKUP(FILTER(INDIRECT(""'""&amp;DC$1&amp;""'!$C$4:$C$66""),INDIRECT(""'""&amp;DC$1&amp;""'!$D$4:$D$66"")=DC$2),$F$3:$BP$3,$F125:$BP125))),"""")"),"")</f>
        <v/>
      </c>
      <c r="DE125" s="251">
        <f>IFERROR(__xludf.DUMMYFUNCTION("AVERAGE(ARRAYFORMULA(XLOOKUP(FILTER(INDIRECT(""'""&amp;DE$1&amp;""'!$C$4:$C$66""),INDIRECT(""'""&amp;DE$1&amp;""'!$D$4:$D$66"")=DE$2),$F$3:$BP$3,$F125:$BP125)))"),-0.30648422)</f>
        <v>-0.30648422</v>
      </c>
      <c r="DF125" s="207" t="str">
        <f>IFERROR(__xludf.DUMMYFUNCTION("IF(OR(DE125&gt;$BR125+$BS125*$BS$2,DE125&lt;$BR125-$BS125*$BS$2),AVEDEV(ARRAYFORMULA(XLOOKUP(FILTER(INDIRECT(""'""&amp;DE$1&amp;""'!$C$4:$C$66""),INDIRECT(""'""&amp;DE$1&amp;""'!$D$4:$D$66"")=DE$2),$F$3:$BP$3,$F125:$BP125))),"""")"),"")</f>
        <v/>
      </c>
      <c r="DG125" s="251">
        <f>IFERROR(__xludf.DUMMYFUNCTION("AVERAGE(ARRAYFORMULA(XLOOKUP(FILTER(INDIRECT(""'""&amp;DG$1&amp;""'!$C$4:$C$66""),INDIRECT(""'""&amp;DG$1&amp;""'!$D$4:$D$66"")=DG$2),$F$3:$BP$3,$F125:$BP125)))"),0.12323828333333332)</f>
        <v>0.1232382833</v>
      </c>
      <c r="DH125" s="207" t="str">
        <f>IFERROR(__xludf.DUMMYFUNCTION("IF(OR(DG125&gt;$BR125+$BS125*$BS$2,DG125&lt;$BR125-$BS125*$BS$2),AVEDEV(ARRAYFORMULA(XLOOKUP(FILTER(INDIRECT(""'""&amp;DG$1&amp;""'!$C$4:$C$66""),INDIRECT(""'""&amp;DG$1&amp;""'!$D$4:$D$66"")=DG$2),$F$3:$BP$3,$F125:$BP125))),"""")"),"")</f>
        <v/>
      </c>
      <c r="DI125" s="252"/>
    </row>
    <row r="126">
      <c r="A126" s="2"/>
      <c r="B126" s="204" t="s">
        <v>540</v>
      </c>
      <c r="C126" s="204" t="s">
        <v>569</v>
      </c>
      <c r="D126" s="205" t="b">
        <f>VLOOKUP(C126,'Feature Set List'!A123:C246,2,0)</f>
        <v>1</v>
      </c>
      <c r="E126" s="205" t="b">
        <f>VLOOKUP(C126,'Feature Set List'!A123:C246,3,0)</f>
        <v>1</v>
      </c>
      <c r="F126" s="205">
        <v>-0.4625</v>
      </c>
      <c r="G126" s="205">
        <v>-0.4015625</v>
      </c>
      <c r="H126" s="205">
        <v>3.54427083</v>
      </c>
      <c r="I126" s="205">
        <v>0.25520833</v>
      </c>
      <c r="J126" s="205">
        <v>-1.0998958</v>
      </c>
      <c r="K126" s="205">
        <v>0.365625</v>
      </c>
      <c r="L126" s="205">
        <v>-0.2354167</v>
      </c>
      <c r="M126" s="205">
        <v>-0.3119792</v>
      </c>
      <c r="N126" s="205">
        <v>0.3078125</v>
      </c>
      <c r="O126" s="205">
        <v>1.45416667</v>
      </c>
      <c r="P126" s="205">
        <v>-0.9135417</v>
      </c>
      <c r="Q126" s="205">
        <v>-0.2291667</v>
      </c>
      <c r="R126" s="205">
        <v>1.23229167</v>
      </c>
      <c r="S126" s="205">
        <v>-0.0036458</v>
      </c>
      <c r="T126" s="205">
        <v>0.14583333</v>
      </c>
      <c r="U126" s="205">
        <v>3.52239583</v>
      </c>
      <c r="V126" s="205">
        <v>2.50416667</v>
      </c>
      <c r="W126" s="205">
        <v>3.0484375</v>
      </c>
      <c r="X126" s="205">
        <v>-0.896875</v>
      </c>
      <c r="Y126" s="205">
        <v>0.009375</v>
      </c>
      <c r="Z126" s="205">
        <v>1.29635417</v>
      </c>
      <c r="AA126" s="205">
        <v>1.0578125</v>
      </c>
      <c r="AB126" s="205">
        <v>-0.0817708</v>
      </c>
      <c r="AC126" s="205">
        <v>-0.6213542</v>
      </c>
      <c r="AD126" s="205">
        <v>-0.440625</v>
      </c>
      <c r="AE126" s="205">
        <v>-0.1463542</v>
      </c>
      <c r="AF126" s="205">
        <v>0.58177083</v>
      </c>
      <c r="AG126" s="205">
        <v>1.67447917</v>
      </c>
      <c r="AH126" s="205">
        <v>-0.2307292</v>
      </c>
      <c r="AI126" s="205">
        <v>3.221875</v>
      </c>
      <c r="AJ126" s="205">
        <v>0.84270833</v>
      </c>
      <c r="AK126" s="205">
        <v>-0.3692708</v>
      </c>
      <c r="AL126" s="205">
        <v>-0.4203125</v>
      </c>
      <c r="AM126" s="205">
        <v>-0.509375</v>
      </c>
      <c r="AN126" s="205">
        <v>-0.0640625</v>
      </c>
      <c r="AO126" s="205">
        <v>-0.8182292</v>
      </c>
      <c r="AP126" s="205">
        <v>1.17447917</v>
      </c>
      <c r="AQ126" s="205">
        <v>-0.4463542</v>
      </c>
      <c r="AR126" s="205">
        <v>0.54947917</v>
      </c>
      <c r="AS126" s="205">
        <v>-0.2265625</v>
      </c>
      <c r="AT126" s="205">
        <v>-0.596875</v>
      </c>
      <c r="AU126" s="205">
        <v>-0.484375</v>
      </c>
      <c r="AV126" s="205">
        <v>-0.1833333</v>
      </c>
      <c r="AW126" s="205">
        <v>-0.3848958</v>
      </c>
      <c r="AX126" s="205">
        <v>0.04270833</v>
      </c>
      <c r="AY126" s="205">
        <v>0.33385417</v>
      </c>
      <c r="AZ126" s="205">
        <v>0.5234375</v>
      </c>
      <c r="BA126" s="205">
        <v>0.4734375</v>
      </c>
      <c r="BB126" s="205">
        <v>-1.0159375</v>
      </c>
      <c r="BC126" s="205">
        <v>0.55729167</v>
      </c>
      <c r="BD126" s="205">
        <v>4.6890625</v>
      </c>
      <c r="BE126" s="205">
        <v>0.0</v>
      </c>
      <c r="BF126" s="205">
        <v>0.18541667</v>
      </c>
      <c r="BG126" s="205">
        <v>-0.2526042</v>
      </c>
      <c r="BH126" s="205">
        <v>0.19791667</v>
      </c>
      <c r="BI126" s="205">
        <v>0.05052083</v>
      </c>
      <c r="BJ126" s="205">
        <v>-0.8307292</v>
      </c>
      <c r="BK126" s="205">
        <v>10.4651042</v>
      </c>
      <c r="BL126" s="205">
        <v>0.38697917</v>
      </c>
      <c r="BM126" s="205">
        <v>-0.8760417</v>
      </c>
      <c r="BN126" s="205">
        <v>-0.5098958</v>
      </c>
      <c r="BO126" s="205">
        <v>-0.84375</v>
      </c>
      <c r="BP126" s="205">
        <v>1.12708333</v>
      </c>
      <c r="BQ126" s="206"/>
      <c r="BR126" s="250">
        <f t="shared" si="1"/>
        <v>0.4906878287</v>
      </c>
      <c r="BS126" s="250">
        <f t="shared" si="2"/>
        <v>1.071225332</v>
      </c>
      <c r="BT126" s="206"/>
      <c r="BU126" s="207">
        <f>IFERROR(__xludf.DUMMYFUNCTION("AVERAGE(ARRAYFORMULA(XLOOKUP(FILTER(INDIRECT(""'""&amp;BU$1&amp;""'!$C$4:$C$66""),INDIRECT(""'""&amp;BU$1&amp;""'!$D$4:$D$66"")=BU$2),$F$3:$BP$3,$F126:$BP126)))"),2.6857886942857148)</f>
        <v>2.685788694</v>
      </c>
      <c r="BV126" s="207">
        <f>IFERROR(__xludf.DUMMYFUNCTION("IF(OR(BU126&gt;$BR126+$BS126*$BS$2,BU126&lt;$BR126-$BS126*$BS$2),AVEDEV(ARRAYFORMULA(XLOOKUP(FILTER(INDIRECT(""'""&amp;BU$1&amp;""'!$C$4:$C$66""),INDIRECT(""'""&amp;BU$1&amp;""'!$D$4:$D$66"")=BU$2),$F$3:$BP$3,$F126:$BP126))),"""")"),2.8986394620408165)</f>
        <v>2.898639462</v>
      </c>
      <c r="BW126" s="207">
        <f>IFERROR(__xludf.DUMMYFUNCTION("AVERAGE(ARRAYFORMULA(XLOOKUP(FILTER(INDIRECT(""'""&amp;BW$1&amp;""'!$C$4:$C$66""),INDIRECT(""'""&amp;BW$1&amp;""'!$D$4:$D$66"")=BW$2),$F$3:$BP$3,$F126:$BP126)))"),0.11392112785714283)</f>
        <v>0.1139211279</v>
      </c>
      <c r="BX126" s="207" t="str">
        <f>IFERROR(__xludf.DUMMYFUNCTION("IF(OR(BW126&gt;$BR126+$BS126*$BS$2,BW126&lt;$BR126-$BS126*$BS$2),AVEDEV(ARRAYFORMULA(XLOOKUP(FILTER(INDIRECT(""'""&amp;BW$1&amp;""'!$C$4:$C$66""),INDIRECT(""'""&amp;BW$1&amp;""'!$D$4:$D$66"")=BW$2),$F$3:$BP$3,$F126:$BP126))),"""")"),"")</f>
        <v/>
      </c>
      <c r="BY126" s="207">
        <f>IFERROR(__xludf.DUMMYFUNCTION("AVERAGE(ARRAYFORMULA(XLOOKUP(FILTER(INDIRECT(""'""&amp;BY$1&amp;""'!$C$4:$C$66""),INDIRECT(""'""&amp;BY$1&amp;""'!$D$4:$D$66"")=BY$2),$F$3:$BP$3,$F126:$BP126)))"),0.3475852254545454)</f>
        <v>0.3475852255</v>
      </c>
      <c r="BZ126" s="207" t="str">
        <f>IFERROR(__xludf.DUMMYFUNCTION("IF(OR(BY126&gt;$BR126+$BS126*$BS$2,BY126&lt;$BR126-$BS126*$BS$2),AVEDEV(ARRAYFORMULA(XLOOKUP(FILTER(INDIRECT(""'""&amp;BY$1&amp;""'!$C$4:$C$66""),INDIRECT(""'""&amp;BY$1&amp;""'!$D$4:$D$66"")=BY$2),$F$3:$BP$3,$F126:$BP126))),"""")"),"")</f>
        <v/>
      </c>
      <c r="CA126" s="209"/>
      <c r="CB126" s="207">
        <f>IFERROR(__xludf.DUMMYFUNCTION("AVERAGE(ARRAYFORMULA(XLOOKUP(FILTER(INDIRECT(""'""&amp;CB$1&amp;""'!$C$4:$C$66""),INDIRECT(""'""&amp;CB$1&amp;""'!$D$4:$D$66"")=CB$2),$F$3:$BP$3,$F126:$BP126)))"),0.20518228875000002)</f>
        <v>0.2051822888</v>
      </c>
      <c r="CC126" s="207" t="str">
        <f>IFERROR(__xludf.DUMMYFUNCTION("IF(OR(CB126&gt;$BR126+$BS126*$BS$2,CB126&lt;$BR126-$BS126*$BS$2),AVEDEV(ARRAYFORMULA(XLOOKUP(FILTER(INDIRECT(""'""&amp;CB$1&amp;""'!$C$4:$C$66""),INDIRECT(""'""&amp;CB$1&amp;""'!$D$4:$D$66"")=CB$2),$F$3:$BP$3,$F126:$BP126))),"""")"),"")</f>
        <v/>
      </c>
      <c r="CD126" s="207">
        <f>IFERROR(__xludf.DUMMYFUNCTION("AVERAGE(ARRAYFORMULA(XLOOKUP(FILTER(INDIRECT(""'""&amp;CD$1&amp;""'!$C$4:$C$66""),INDIRECT(""'""&amp;CD$1&amp;""'!$D$4:$D$66"")=CD$2),$F$3:$BP$3,$F126:$BP126)))"),0.3027116874193549)</f>
        <v>0.3027116874</v>
      </c>
      <c r="CE126" s="207" t="str">
        <f>IFERROR(__xludf.DUMMYFUNCTION("IF(OR(CD126&gt;$BR126+$BS126*$BS$2,CD126&lt;$BR126-$BS126*$BS$2),AVEDEV(ARRAYFORMULA(XLOOKUP(FILTER(INDIRECT(""'""&amp;CD$1&amp;""'!$C$4:$C$66""),INDIRECT(""'""&amp;CD$1&amp;""'!$D$4:$D$66"")=CD$2),$F$3:$BP$3,$F126:$BP126))),"""")"),"")</f>
        <v/>
      </c>
      <c r="CF126" s="207">
        <f>IFERROR(__xludf.DUMMYFUNCTION("AVERAGE(ARRAYFORMULA(XLOOKUP(FILTER(INDIRECT(""'""&amp;CF$1&amp;""'!$C$4:$C$66""),INDIRECT(""'""&amp;CF$1&amp;""'!$D$4:$D$66"")=CF$2),$F$3:$BP$3,$F126:$BP126)))"),0.5417708419999999)</f>
        <v>0.541770842</v>
      </c>
      <c r="CG126" s="207" t="str">
        <f>IFERROR(__xludf.DUMMYFUNCTION("IF(OR(CF126&gt;$BR126+$BS126*$BS$2,CF126&lt;$BR126-$BS126*$BS$2),AVEDEV(ARRAYFORMULA(XLOOKUP(FILTER(INDIRECT(""'""&amp;CF$1&amp;""'!$C$4:$C$66""),INDIRECT(""'""&amp;CF$1&amp;""'!$D$4:$D$66"")=CF$2),$F$3:$BP$3,$F126:$BP126))),"""")"),"")</f>
        <v/>
      </c>
      <c r="CH126" s="206"/>
      <c r="CI126" s="251">
        <f>IFERROR(__xludf.DUMMYFUNCTION("AVERAGE(ARRAYFORMULA(XLOOKUP(FILTER(INDIRECT(""'""&amp;CI$1&amp;""'!$C$4:$C$66""),INDIRECT(""'""&amp;CI$1&amp;""'!$D$4:$D$66"")=CI$2),$F$3:$BP$3,$F126:$BP126)))"),0.6561458360000001)</f>
        <v>0.656145836</v>
      </c>
      <c r="CJ126" s="207" t="str">
        <f>IFERROR(__xludf.DUMMYFUNCTION("IF(OR(CI126&gt;$BR126+$BS126*$BS$2,CI126&lt;$BR126-$BS126*$BS$2),AVEDEV(ARRAYFORMULA(XLOOKUP(FILTER(INDIRECT(""'""&amp;CI$1&amp;""'!$C$4:$C$66""),INDIRECT(""'""&amp;CI$1&amp;""'!$D$4:$D$66"")=CI$2),$F$3:$BP$3,$F126:$BP126))),"""")"),"")</f>
        <v/>
      </c>
      <c r="CK126" s="251">
        <f>IFERROR(__xludf.DUMMYFUNCTION("AVERAGE(ARRAYFORMULA(XLOOKUP(FILTER(INDIRECT(""'""&amp;CK$1&amp;""'!$C$4:$C$66""),INDIRECT(""'""&amp;CK$1&amp;""'!$D$4:$D$66"")=CK$2),$F$3:$BP$3,$F126:$BP126)))"),0.11262819897435894)</f>
        <v>0.112628199</v>
      </c>
      <c r="CL126" s="207" t="str">
        <f>IFERROR(__xludf.DUMMYFUNCTION("IF(OR(CK126&gt;$BR126+$BS126*$BS$2,CK126&lt;$BR126-$BS126*$BS$2),AVEDEV(ARRAYFORMULA(XLOOKUP(FILTER(INDIRECT(""'""&amp;CK$1&amp;""'!$C$4:$C$66""),INDIRECT(""'""&amp;CK$1&amp;""'!$D$4:$D$66"")=CK$2),$F$3:$BP$3,$F126:$BP126))),"""")"),"")</f>
        <v/>
      </c>
      <c r="CM126" s="251">
        <f>IFERROR(__xludf.DUMMYFUNCTION("AVERAGE(ARRAYFORMULA(XLOOKUP(FILTER(INDIRECT(""'""&amp;CM$1&amp;""'!$C$4:$C$66""),INDIRECT(""'""&amp;CM$1&amp;""'!$D$4:$D$66"")=CM$2),$F$3:$BP$3,$F126:$BP126)))"),0.5417708419999999)</f>
        <v>0.541770842</v>
      </c>
      <c r="CN126" s="207" t="str">
        <f>IFERROR(__xludf.DUMMYFUNCTION("IF(OR(CM126&gt;$BR126+$BS126*$BS$2,CM126&lt;$BR126-$BS126*$BS$2),AVEDEV(ARRAYFORMULA(XLOOKUP(FILTER(INDIRECT(""'""&amp;CM$1&amp;""'!$C$4:$C$66""),INDIRECT(""'""&amp;CM$1&amp;""'!$D$4:$D$66"")=CM$2),$F$3:$BP$3,$F126:$BP126))),"""")"),"")</f>
        <v/>
      </c>
      <c r="CO126" s="252"/>
      <c r="CP126" s="251">
        <f>IFERROR(__xludf.DUMMYFUNCTION("AVERAGE(ARRAYFORMULA(XLOOKUP(FILTER(INDIRECT(""'""&amp;CP$1&amp;""'!$C$4:$C$66""),INDIRECT(""'""&amp;CP$1&amp;""'!$D$4:$D$66"")=CP$2),$F$3:$BP$3,$F126:$BP126)))"),0.19929314928571426)</f>
        <v>0.1992931493</v>
      </c>
      <c r="CQ126" s="207" t="str">
        <f>IFERROR(__xludf.DUMMYFUNCTION("IF(OR(CP126&gt;$BR126+$BS126*$BS$2,CP126&lt;$BR126-$BS126*$BS$2),AVEDEV(ARRAYFORMULA(XLOOKUP(FILTER(INDIRECT(""'""&amp;CP$1&amp;""'!$C$4:$C$66""),INDIRECT(""'""&amp;CP$1&amp;""'!$D$4:$D$66"")=CP$2),$F$3:$BP$3,$F126:$BP126))),"""")"),"")</f>
        <v/>
      </c>
      <c r="CR126" s="251">
        <f>IFERROR(__xludf.DUMMYFUNCTION("AVERAGE(ARRAYFORMULA(XLOOKUP(FILTER(INDIRECT(""'""&amp;CR$1&amp;""'!$C$4:$C$66""),INDIRECT(""'""&amp;CR$1&amp;""'!$D$4:$D$66"")=CR$2),$F$3:$BP$3,$F126:$BP126)))"),0.3447337933333332)</f>
        <v>0.3447337933</v>
      </c>
      <c r="CS126" s="207" t="str">
        <f>IFERROR(__xludf.DUMMYFUNCTION("IF(OR(CR126&gt;$BR126+$BS126*$BS$2,CR126&lt;$BR126-$BS126*$BS$2),AVEDEV(ARRAYFORMULA(XLOOKUP(FILTER(INDIRECT(""'""&amp;CR$1&amp;""'!$C$4:$C$66""),INDIRECT(""'""&amp;CR$1&amp;""'!$D$4:$D$66"")=CR$2),$F$3:$BP$3,$F126:$BP126))),"""")"),"")</f>
        <v/>
      </c>
      <c r="CT126" s="251">
        <f>IFERROR(__xludf.DUMMYFUNCTION("AVERAGE(ARRAYFORMULA(XLOOKUP(FILTER(INDIRECT(""'""&amp;CT$1&amp;""'!$C$4:$C$66""),INDIRECT(""'""&amp;CT$1&amp;""'!$D$4:$D$66"")=CT$2),$F$3:$BP$3,$F126:$BP126)))"),0.36884470454545465)</f>
        <v>0.3688447045</v>
      </c>
      <c r="CU126" s="207" t="str">
        <f>IFERROR(__xludf.DUMMYFUNCTION("IF(OR(CT126&gt;$BR126+$BS126*$BS$2,CT126&lt;$BR126-$BS126*$BS$2),AVEDEV(ARRAYFORMULA(XLOOKUP(FILTER(INDIRECT(""'""&amp;CT$1&amp;""'!$C$4:$C$66""),INDIRECT(""'""&amp;CT$1&amp;""'!$D$4:$D$66"")=CT$2),$F$3:$BP$3,$F126:$BP126))),"""")"),"")</f>
        <v/>
      </c>
      <c r="CV126" s="251">
        <f>IFERROR(__xludf.DUMMYFUNCTION("AVERAGE(ARRAYFORMULA(XLOOKUP(FILTER(INDIRECT(""'""&amp;CV$1&amp;""'!$C$4:$C$66""),INDIRECT(""'""&amp;CV$1&amp;""'!$D$4:$D$66"")=CV$2),$F$3:$BP$3,$F126:$BP126)))"),-0.4369792)</f>
        <v>-0.4369792</v>
      </c>
      <c r="CW126" s="207" t="str">
        <f>IFERROR(__xludf.DUMMYFUNCTION("IF(OR(CV126&gt;$BR126+$BS126*$BS$2,CV126&lt;$BR126-$BS126*$BS$2),AVEDEV(ARRAYFORMULA(XLOOKUP(FILTER(INDIRECT(""'""&amp;CV$1&amp;""'!$C$4:$C$66""),INDIRECT(""'""&amp;CV$1&amp;""'!$D$4:$D$66"")=CV$2),$F$3:$BP$3,$F126:$BP126))),"""")"),"")</f>
        <v/>
      </c>
      <c r="CX126" s="251">
        <f>IFERROR(__xludf.DUMMYFUNCTION("AVERAGE(ARRAYFORMULA(XLOOKUP(FILTER(INDIRECT(""'""&amp;CX$1&amp;""'!$C$4:$C$66""),INDIRECT(""'""&amp;CX$1&amp;""'!$D$4:$D$66"")=CX$2),$F$3:$BP$3,$F126:$BP126)))"),-0.021748519285714276)</f>
        <v>-0.02174851929</v>
      </c>
      <c r="CY126" s="207" t="str">
        <f>IFERROR(__xludf.DUMMYFUNCTION("IF(OR(CX126&gt;$BR126+$BS126*$BS$2,CX126&lt;$BR126-$BS126*$BS$2),AVEDEV(ARRAYFORMULA(XLOOKUP(FILTER(INDIRECT(""'""&amp;CX$1&amp;""'!$C$4:$C$66""),INDIRECT(""'""&amp;CX$1&amp;""'!$D$4:$D$66"")=CX$2),$F$3:$BP$3,$F126:$BP126))),"""")"),"")</f>
        <v/>
      </c>
      <c r="CZ126" s="252"/>
      <c r="DA126" s="251">
        <f>IFERROR(__xludf.DUMMYFUNCTION("AVERAGE(ARRAYFORMULA(XLOOKUP(FILTER(INDIRECT(""'""&amp;DA$1&amp;""'!$C$4:$C$66""),INDIRECT(""'""&amp;DA$1&amp;""'!$D$4:$D$66"")=DA$2),$F$3:$BP$3,$F126:$BP126)))"),0.245427082)</f>
        <v>0.245427082</v>
      </c>
      <c r="DB126" s="207" t="str">
        <f>IFERROR(__xludf.DUMMYFUNCTION("IF(OR(DA126&gt;$BR126+$BS126*$BS$2,DA126&lt;$BR126-$BS126*$BS$2),AVEDEV(ARRAYFORMULA(XLOOKUP(FILTER(INDIRECT(""'""&amp;DA$1&amp;""'!$C$4:$C$66""),INDIRECT(""'""&amp;DA$1&amp;""'!$D$4:$D$66"")=DA$2),$F$3:$BP$3,$F126:$BP126))),"""")"),"")</f>
        <v/>
      </c>
      <c r="DC126" s="251">
        <f>IFERROR(__xludf.DUMMYFUNCTION("AVERAGE(ARRAYFORMULA(XLOOKUP(FILTER(INDIRECT(""'""&amp;DC$1&amp;""'!$C$4:$C$66""),INDIRECT(""'""&amp;DC$1&amp;""'!$D$4:$D$66"")=DC$2),$F$3:$BP$3,$F126:$BP126)))"),0.4498263899999999)</f>
        <v>0.44982639</v>
      </c>
      <c r="DD126" s="207" t="str">
        <f>IFERROR(__xludf.DUMMYFUNCTION("IF(OR(DC126&gt;$BR126+$BS126*$BS$2,DC126&lt;$BR126-$BS126*$BS$2),AVEDEV(ARRAYFORMULA(XLOOKUP(FILTER(INDIRECT(""'""&amp;DC$1&amp;""'!$C$4:$C$66""),INDIRECT(""'""&amp;DC$1&amp;""'!$D$4:$D$66"")=DC$2),$F$3:$BP$3,$F126:$BP126))),"""")"),"")</f>
        <v/>
      </c>
      <c r="DE126" s="251">
        <f>IFERROR(__xludf.DUMMYFUNCTION("AVERAGE(ARRAYFORMULA(XLOOKUP(FILTER(INDIRECT(""'""&amp;DE$1&amp;""'!$C$4:$C$66""),INDIRECT(""'""&amp;DE$1&amp;""'!$D$4:$D$66"")=DE$2),$F$3:$BP$3,$F126:$BP126)))"),0.79394530875)</f>
        <v>0.7939453088</v>
      </c>
      <c r="DF126" s="207" t="str">
        <f>IFERROR(__xludf.DUMMYFUNCTION("IF(OR(DE126&gt;$BR126+$BS126*$BS$2,DE126&lt;$BR126-$BS126*$BS$2),AVEDEV(ARRAYFORMULA(XLOOKUP(FILTER(INDIRECT(""'""&amp;DE$1&amp;""'!$C$4:$C$66""),INDIRECT(""'""&amp;DE$1&amp;""'!$D$4:$D$66"")=DE$2),$F$3:$BP$3,$F126:$BP126))),"""")"),"")</f>
        <v/>
      </c>
      <c r="DG126" s="251">
        <f>IFERROR(__xludf.DUMMYFUNCTION("AVERAGE(ARRAYFORMULA(XLOOKUP(FILTER(INDIRECT(""'""&amp;DG$1&amp;""'!$C$4:$C$66""),INDIRECT(""'""&amp;DG$1&amp;""'!$D$4:$D$66"")=DG$2),$F$3:$BP$3,$F126:$BP126)))"),-0.37303241444444446)</f>
        <v>-0.3730324144</v>
      </c>
      <c r="DH126" s="207" t="str">
        <f>IFERROR(__xludf.DUMMYFUNCTION("IF(OR(DG126&gt;$BR126+$BS126*$BS$2,DG126&lt;$BR126-$BS126*$BS$2),AVEDEV(ARRAYFORMULA(XLOOKUP(FILTER(INDIRECT(""'""&amp;DG$1&amp;""'!$C$4:$C$66""),INDIRECT(""'""&amp;DG$1&amp;""'!$D$4:$D$66"")=DG$2),$F$3:$BP$3,$F126:$BP126))),"""")"),"")</f>
        <v/>
      </c>
      <c r="DI126" s="252"/>
    </row>
    <row r="127">
      <c r="A127" s="2"/>
      <c r="B127" s="204" t="s">
        <v>540</v>
      </c>
      <c r="C127" s="204" t="s">
        <v>570</v>
      </c>
      <c r="D127" s="205" t="b">
        <f>VLOOKUP(C127,'Feature Set List'!A124:C246,2,0)</f>
        <v>1</v>
      </c>
      <c r="E127" s="205" t="b">
        <f>VLOOKUP(C127,'Feature Set List'!A124:C246,3,0)</f>
        <v>1</v>
      </c>
      <c r="F127" s="205">
        <v>0.8389699</v>
      </c>
      <c r="G127" s="205">
        <v>0.25131865</v>
      </c>
      <c r="H127" s="205">
        <v>0.07198262</v>
      </c>
      <c r="I127" s="205">
        <v>0.55600372</v>
      </c>
      <c r="J127" s="205">
        <v>-0.1880236</v>
      </c>
      <c r="K127" s="205">
        <v>-0.2755197</v>
      </c>
      <c r="L127" s="205">
        <v>-0.4995346</v>
      </c>
      <c r="M127" s="205">
        <v>0.12100527</v>
      </c>
      <c r="N127" s="205">
        <v>0.73037543</v>
      </c>
      <c r="O127" s="205">
        <v>-0.2283587</v>
      </c>
      <c r="P127" s="205">
        <v>-0.4039715</v>
      </c>
      <c r="Q127" s="205">
        <v>-0.8147688</v>
      </c>
      <c r="R127" s="205">
        <v>1.07353397</v>
      </c>
      <c r="S127" s="205">
        <v>-0.4269314</v>
      </c>
      <c r="T127" s="205">
        <v>0.46168166</v>
      </c>
      <c r="U127" s="205">
        <v>-0.4914676</v>
      </c>
      <c r="V127" s="205">
        <v>-0.1700279</v>
      </c>
      <c r="W127" s="205">
        <v>0.89730065</v>
      </c>
      <c r="X127" s="205">
        <v>0.58578964</v>
      </c>
      <c r="Y127" s="205">
        <v>1.09339125</v>
      </c>
      <c r="Z127" s="205">
        <v>-0.1179026</v>
      </c>
      <c r="AA127" s="205">
        <v>0.31709587</v>
      </c>
      <c r="AB127" s="205">
        <v>0.65653118</v>
      </c>
      <c r="AC127" s="205">
        <v>0.16320199</v>
      </c>
      <c r="AD127" s="205">
        <v>0.81600993</v>
      </c>
      <c r="AE127" s="205">
        <v>-0.4393422</v>
      </c>
      <c r="AF127" s="205">
        <v>0.40521253</v>
      </c>
      <c r="AG127" s="205">
        <v>0.77939808</v>
      </c>
      <c r="AH127" s="205">
        <v>-0.8296618</v>
      </c>
      <c r="AI127" s="205">
        <v>-0.3990071</v>
      </c>
      <c r="AJ127" s="205">
        <v>-0.8861309</v>
      </c>
      <c r="AK127" s="205">
        <v>-0.6081291</v>
      </c>
      <c r="AL127" s="205">
        <v>0.55228048</v>
      </c>
      <c r="AM127" s="205">
        <v>-0.2569035</v>
      </c>
      <c r="AN127" s="205">
        <v>2.17561278</v>
      </c>
      <c r="AO127" s="205">
        <v>-0.2910332</v>
      </c>
      <c r="AP127" s="205">
        <v>0.61123177</v>
      </c>
      <c r="AQ127" s="205">
        <v>0.0</v>
      </c>
      <c r="AR127" s="205">
        <v>-0.3940428</v>
      </c>
      <c r="AS127" s="205">
        <v>1.15048092</v>
      </c>
      <c r="AT127" s="205">
        <v>0.08935774</v>
      </c>
      <c r="AU127" s="205">
        <v>1.56872479</v>
      </c>
      <c r="AV127" s="205">
        <v>-0.3555693</v>
      </c>
      <c r="AW127" s="205">
        <v>-0.4083152</v>
      </c>
      <c r="AX127" s="205">
        <v>3.10952529</v>
      </c>
      <c r="AY127" s="205">
        <v>0.22153273</v>
      </c>
      <c r="AZ127" s="205">
        <v>-0.2624884</v>
      </c>
      <c r="BA127" s="205">
        <v>0.44616817</v>
      </c>
      <c r="BB127" s="205">
        <v>-0.3319888</v>
      </c>
      <c r="BC127" s="205">
        <v>-0.3146137</v>
      </c>
      <c r="BD127" s="205">
        <v>0.46602544</v>
      </c>
      <c r="BE127" s="205">
        <v>-0.2153273</v>
      </c>
      <c r="BF127" s="205">
        <v>-0.3301272</v>
      </c>
      <c r="BG127" s="205">
        <v>0.67887062</v>
      </c>
      <c r="BH127" s="205">
        <v>-0.887372</v>
      </c>
      <c r="BI127" s="205">
        <v>0.778157</v>
      </c>
      <c r="BJ127" s="205">
        <v>-0.9246044</v>
      </c>
      <c r="BK127" s="205">
        <v>1.94477195</v>
      </c>
      <c r="BL127" s="205">
        <v>-1.1070431</v>
      </c>
      <c r="BM127" s="205">
        <v>-0.4306547</v>
      </c>
      <c r="BN127" s="205">
        <v>0.05522805</v>
      </c>
      <c r="BO127" s="205">
        <v>-0.6794912</v>
      </c>
      <c r="BP127" s="205">
        <v>-1.2851381</v>
      </c>
      <c r="BQ127" s="206"/>
      <c r="BR127" s="250">
        <f t="shared" si="1"/>
        <v>0.1335441217</v>
      </c>
      <c r="BS127" s="250">
        <f t="shared" si="2"/>
        <v>0.6261430191</v>
      </c>
      <c r="BT127" s="206"/>
      <c r="BU127" s="207">
        <f>IFERROR(__xludf.DUMMYFUNCTION("AVERAGE(ARRAYFORMULA(XLOOKUP(FILTER(INDIRECT(""'""&amp;BU$1&amp;""'!$C$4:$C$66""),INDIRECT(""'""&amp;BU$1&amp;""'!$D$4:$D$66"")=BU$2),$F$3:$BP$3,$F127:$BP127)))"),1.3572979914285714)</f>
        <v>1.357297991</v>
      </c>
      <c r="BV127" s="207">
        <f>IFERROR(__xludf.DUMMYFUNCTION("IF(OR(BU127&gt;$BR127+$BS127*$BS$2,BU127&lt;$BR127-$BS127*$BS$2),AVEDEV(ARRAYFORMULA(XLOOKUP(FILTER(INDIRECT(""'""&amp;BU$1&amp;""'!$C$4:$C$66""),INDIRECT(""'""&amp;BU$1&amp;""'!$D$4:$D$66"")=BU$2),$F$3:$BP$3,$F127:$BP127))),"""")"),0.90229029877551)</f>
        <v>0.9022902988</v>
      </c>
      <c r="BW127" s="207">
        <f>IFERROR(__xludf.DUMMYFUNCTION("AVERAGE(ARRAYFORMULA(XLOOKUP(FILTER(INDIRECT(""'""&amp;BW$1&amp;""'!$C$4:$C$66""),INDIRECT(""'""&amp;BW$1&amp;""'!$D$4:$D$66"")=BW$2),$F$3:$BP$3,$F127:$BP127)))"),0.019724304761904756)</f>
        <v>0.01972430476</v>
      </c>
      <c r="BX127" s="207" t="str">
        <f>IFERROR(__xludf.DUMMYFUNCTION("IF(OR(BW127&gt;$BR127+$BS127*$BS$2,BW127&lt;$BR127-$BS127*$BS$2),AVEDEV(ARRAYFORMULA(XLOOKUP(FILTER(INDIRECT(""'""&amp;BW$1&amp;""'!$C$4:$C$66""),INDIRECT(""'""&amp;BW$1&amp;""'!$D$4:$D$66"")=BW$2),$F$3:$BP$3,$F127:$BP127))),"""")"),"")</f>
        <v/>
      </c>
      <c r="BY127" s="207">
        <f>IFERROR(__xludf.DUMMYFUNCTION("AVERAGE(ARRAYFORMULA(XLOOKUP(FILTER(INDIRECT(""'""&amp;BY$1&amp;""'!$C$4:$C$66""),INDIRECT(""'""&amp;BY$1&amp;""'!$D$4:$D$66"")=BY$2),$F$3:$BP$3,$F127:$BP127)))"),-0.16026852090909094)</f>
        <v>-0.1602685209</v>
      </c>
      <c r="BZ127" s="207" t="str">
        <f>IFERROR(__xludf.DUMMYFUNCTION("IF(OR(BY127&gt;$BR127+$BS127*$BS$2,BY127&lt;$BR127-$BS127*$BS$2),AVEDEV(ARRAYFORMULA(XLOOKUP(FILTER(INDIRECT(""'""&amp;BY$1&amp;""'!$C$4:$C$66""),INDIRECT(""'""&amp;BY$1&amp;""'!$D$4:$D$66"")=BY$2),$F$3:$BP$3,$F127:$BP127))),"""")"),"")</f>
        <v/>
      </c>
      <c r="CA127" s="209"/>
      <c r="CB127" s="207">
        <f>IFERROR(__xludf.DUMMYFUNCTION("AVERAGE(ARRAYFORMULA(XLOOKUP(FILTER(INDIRECT(""'""&amp;CB$1&amp;""'!$C$4:$C$66""),INDIRECT(""'""&amp;CB$1&amp;""'!$D$4:$D$66"")=CB$2),$F$3:$BP$3,$F127:$BP127)))"),0.09761868249999998)</f>
        <v>0.0976186825</v>
      </c>
      <c r="CC127" s="207" t="str">
        <f>IFERROR(__xludf.DUMMYFUNCTION("IF(OR(CB127&gt;$BR127+$BS127*$BS$2,CB127&lt;$BR127-$BS127*$BS$2),AVEDEV(ARRAYFORMULA(XLOOKUP(FILTER(INDIRECT(""'""&amp;CB$1&amp;""'!$C$4:$C$66""),INDIRECT(""'""&amp;CB$1&amp;""'!$D$4:$D$66"")=CB$2),$F$3:$BP$3,$F127:$BP127))),"""")"),"")</f>
        <v/>
      </c>
      <c r="CD127" s="207">
        <f>IFERROR(__xludf.DUMMYFUNCTION("AVERAGE(ARRAYFORMULA(XLOOKUP(FILTER(INDIRECT(""'""&amp;CD$1&amp;""'!$C$4:$C$66""),INDIRECT(""'""&amp;CD$1&amp;""'!$D$4:$D$66"")=CD$2),$F$3:$BP$3,$F127:$BP127)))"),0.13709927612903225)</f>
        <v>0.1370992761</v>
      </c>
      <c r="CE127" s="207" t="str">
        <f>IFERROR(__xludf.DUMMYFUNCTION("IF(OR(CD127&gt;$BR127+$BS127*$BS$2,CD127&lt;$BR127-$BS127*$BS$2),AVEDEV(ARRAYFORMULA(XLOOKUP(FILTER(INDIRECT(""'""&amp;CD$1&amp;""'!$C$4:$C$66""),INDIRECT(""'""&amp;CD$1&amp;""'!$D$4:$D$66"")=CD$2),$F$3:$BP$3,$F127:$BP127))),"""")"),"")</f>
        <v/>
      </c>
      <c r="CF127" s="207">
        <f>IFERROR(__xludf.DUMMYFUNCTION("AVERAGE(ARRAYFORMULA(XLOOKUP(FILTER(INDIRECT(""'""&amp;CF$1&amp;""'!$C$4:$C$66""),INDIRECT(""'""&amp;CF$1&amp;""'!$D$4:$D$66"")=CF$2),$F$3:$BP$3,$F127:$BP127)))"),-0.3283897)</f>
        <v>-0.3283897</v>
      </c>
      <c r="CG127" s="207" t="str">
        <f>IFERROR(__xludf.DUMMYFUNCTION("IF(OR(CF127&gt;$BR127+$BS127*$BS$2,CF127&lt;$BR127-$BS127*$BS$2),AVEDEV(ARRAYFORMULA(XLOOKUP(FILTER(INDIRECT(""'""&amp;CF$1&amp;""'!$C$4:$C$66""),INDIRECT(""'""&amp;CF$1&amp;""'!$D$4:$D$66"")=CF$2),$F$3:$BP$3,$F127:$BP127))),"""")"),"")</f>
        <v/>
      </c>
      <c r="CH127" s="206"/>
      <c r="CI127" s="251">
        <f>IFERROR(__xludf.DUMMYFUNCTION("AVERAGE(ARRAYFORMULA(XLOOKUP(FILTER(INDIRECT(""'""&amp;CI$1&amp;""'!$C$4:$C$66""),INDIRECT(""'""&amp;CI$1&amp;""'!$D$4:$D$66"")=CI$2),$F$3:$BP$3,$F127:$BP127)))"),0.42444927066666666)</f>
        <v>0.4244492707</v>
      </c>
      <c r="CJ127" s="207" t="str">
        <f>IFERROR(__xludf.DUMMYFUNCTION("IF(OR(CI127&gt;$BR127+$BS127*$BS$2,CI127&lt;$BR127-$BS127*$BS$2),AVEDEV(ARRAYFORMULA(XLOOKUP(FILTER(INDIRECT(""'""&amp;CI$1&amp;""'!$C$4:$C$66""),INDIRECT(""'""&amp;CI$1&amp;""'!$D$4:$D$66"")=CI$2),$F$3:$BP$3,$F127:$BP127))),"""")"),"")</f>
        <v/>
      </c>
      <c r="CK127" s="251">
        <f>IFERROR(__xludf.DUMMYFUNCTION("AVERAGE(ARRAYFORMULA(XLOOKUP(FILTER(INDIRECT(""'""&amp;CK$1&amp;""'!$C$4:$C$66""),INDIRECT(""'""&amp;CK$1&amp;""'!$D$4:$D$66"")=CK$2),$F$3:$BP$3,$F127:$BP127)))"),0.048640782051282055)</f>
        <v>0.04864078205</v>
      </c>
      <c r="CL127" s="207" t="str">
        <f>IFERROR(__xludf.DUMMYFUNCTION("IF(OR(CK127&gt;$BR127+$BS127*$BS$2,CK127&lt;$BR127-$BS127*$BS$2),AVEDEV(ARRAYFORMULA(XLOOKUP(FILTER(INDIRECT(""'""&amp;CK$1&amp;""'!$C$4:$C$66""),INDIRECT(""'""&amp;CK$1&amp;""'!$D$4:$D$66"")=CK$2),$F$3:$BP$3,$F127:$BP127))),"""")"),"")</f>
        <v/>
      </c>
      <c r="CM127" s="253">
        <f>IFERROR(__xludf.DUMMYFUNCTION("AVERAGE(ARRAYFORMULA(XLOOKUP(FILTER(INDIRECT(""'""&amp;CM$1&amp;""'!$C$4:$C$66""),INDIRECT(""'""&amp;CM$1&amp;""'!$D$4:$D$66"")=CM$2),$F$3:$BP$3,$F127:$BP127)))"),-0.3283897)</f>
        <v>-0.3283897</v>
      </c>
      <c r="CN127" s="207" t="str">
        <f>IFERROR(__xludf.DUMMYFUNCTION("IF(OR(CM127&gt;$BR127+$BS127*$BS$2,CM127&lt;$BR127-$BS127*$BS$2),AVEDEV(ARRAYFORMULA(XLOOKUP(FILTER(INDIRECT(""'""&amp;CM$1&amp;""'!$C$4:$C$66""),INDIRECT(""'""&amp;CM$1&amp;""'!$D$4:$D$66"")=CM$2),$F$3:$BP$3,$F127:$BP127))),"""")"),"")</f>
        <v/>
      </c>
      <c r="CO127" s="252"/>
      <c r="CP127" s="251">
        <f>IFERROR(__xludf.DUMMYFUNCTION("AVERAGE(ARRAYFORMULA(XLOOKUP(FILTER(INDIRECT(""'""&amp;CP$1&amp;""'!$C$4:$C$66""),INDIRECT(""'""&amp;CP$1&amp;""'!$D$4:$D$66"")=CP$2),$F$3:$BP$3,$F127:$BP127)))"),-0.13151012357142858)</f>
        <v>-0.1315101236</v>
      </c>
      <c r="CQ127" s="207" t="str">
        <f>IFERROR(__xludf.DUMMYFUNCTION("IF(OR(CP127&gt;$BR127+$BS127*$BS$2,CP127&lt;$BR127-$BS127*$BS$2),AVEDEV(ARRAYFORMULA(XLOOKUP(FILTER(INDIRECT(""'""&amp;CP$1&amp;""'!$C$4:$C$66""),INDIRECT(""'""&amp;CP$1&amp;""'!$D$4:$D$66"")=CP$2),$F$3:$BP$3,$F127:$BP127))),"""")"),"")</f>
        <v/>
      </c>
      <c r="CR127" s="251">
        <f>IFERROR(__xludf.DUMMYFUNCTION("AVERAGE(ARRAYFORMULA(XLOOKUP(FILTER(INDIRECT(""'""&amp;CR$1&amp;""'!$C$4:$C$66""),INDIRECT(""'""&amp;CR$1&amp;""'!$D$4:$D$66"")=CR$2),$F$3:$BP$3,$F127:$BP127)))"),-0.09749370666666664)</f>
        <v>-0.09749370667</v>
      </c>
      <c r="CS127" s="207" t="str">
        <f>IFERROR(__xludf.DUMMYFUNCTION("IF(OR(CR127&gt;$BR127+$BS127*$BS$2,CR127&lt;$BR127-$BS127*$BS$2),AVEDEV(ARRAYFORMULA(XLOOKUP(FILTER(INDIRECT(""'""&amp;CR$1&amp;""'!$C$4:$C$66""),INDIRECT(""'""&amp;CR$1&amp;""'!$D$4:$D$66"")=CR$2),$F$3:$BP$3,$F127:$BP127))),"""")"),"")</f>
        <v/>
      </c>
      <c r="CT127" s="251">
        <f>IFERROR(__xludf.DUMMYFUNCTION("AVERAGE(ARRAYFORMULA(XLOOKUP(FILTER(INDIRECT(""'""&amp;CT$1&amp;""'!$C$4:$C$66""),INDIRECT(""'""&amp;CT$1&amp;""'!$D$4:$D$66"")=CT$2),$F$3:$BP$3,$F127:$BP127)))"),0.5387978427272728)</f>
        <v>0.5387978427</v>
      </c>
      <c r="CU127" s="207" t="str">
        <f>IFERROR(__xludf.DUMMYFUNCTION("IF(OR(CT127&gt;$BR127+$BS127*$BS$2,CT127&lt;$BR127-$BS127*$BS$2),AVEDEV(ARRAYFORMULA(XLOOKUP(FILTER(INDIRECT(""'""&amp;CT$1&amp;""'!$C$4:$C$66""),INDIRECT(""'""&amp;CT$1&amp;""'!$D$4:$D$66"")=CT$2),$F$3:$BP$3,$F127:$BP127))),"""")"),"")</f>
        <v/>
      </c>
      <c r="CV127" s="251">
        <f>IFERROR(__xludf.DUMMYFUNCTION("AVERAGE(ARRAYFORMULA(XLOOKUP(FILTER(INDIRECT(""'""&amp;CV$1&amp;""'!$C$4:$C$66""),INDIRECT(""'""&amp;CV$1&amp;""'!$D$4:$D$66"")=CV$2),$F$3:$BP$3,$F127:$BP127)))"),0.421036305)</f>
        <v>0.421036305</v>
      </c>
      <c r="CW127" s="207" t="str">
        <f>IFERROR(__xludf.DUMMYFUNCTION("IF(OR(CV127&gt;$BR127+$BS127*$BS$2,CV127&lt;$BR127-$BS127*$BS$2),AVEDEV(ARRAYFORMULA(XLOOKUP(FILTER(INDIRECT(""'""&amp;CV$1&amp;""'!$C$4:$C$66""),INDIRECT(""'""&amp;CV$1&amp;""'!$D$4:$D$66"")=CV$2),$F$3:$BP$3,$F127:$BP127))),"""")"),"")</f>
        <v/>
      </c>
      <c r="CX127" s="253">
        <f>IFERROR(__xludf.DUMMYFUNCTION("AVERAGE(ARRAYFORMULA(XLOOKUP(FILTER(INDIRECT(""'""&amp;CX$1&amp;""'!$C$4:$C$66""),INDIRECT(""'""&amp;CX$1&amp;""'!$D$4:$D$66"")=CX$2),$F$3:$BP$3,$F127:$BP127)))"),-0.23540623)</f>
        <v>-0.23540623</v>
      </c>
      <c r="CY127" s="207" t="str">
        <f>IFERROR(__xludf.DUMMYFUNCTION("IF(OR(CX127&gt;$BR127+$BS127*$BS$2,CX127&lt;$BR127-$BS127*$BS$2),AVEDEV(ARRAYFORMULA(XLOOKUP(FILTER(INDIRECT(""'""&amp;CX$1&amp;""'!$C$4:$C$66""),INDIRECT(""'""&amp;CX$1&amp;""'!$D$4:$D$66"")=CX$2),$F$3:$BP$3,$F127:$BP127))),"""")"),"")</f>
        <v/>
      </c>
      <c r="CZ127" s="252"/>
      <c r="DA127" s="251">
        <f>IFERROR(__xludf.DUMMYFUNCTION("AVERAGE(ARRAYFORMULA(XLOOKUP(FILTER(INDIRECT(""'""&amp;DA$1&amp;""'!$C$4:$C$66""),INDIRECT(""'""&amp;DA$1&amp;""'!$D$4:$D$66"")=DA$2),$F$3:$BP$3,$F127:$BP127)))"),-0.01898852066666666)</f>
        <v>-0.01898852067</v>
      </c>
      <c r="DB127" s="207" t="str">
        <f>IFERROR(__xludf.DUMMYFUNCTION("IF(OR(DA127&gt;$BR127+$BS127*$BS$2,DA127&lt;$BR127-$BS127*$BS$2),AVEDEV(ARRAYFORMULA(XLOOKUP(FILTER(INDIRECT(""'""&amp;DA$1&amp;""'!$C$4:$C$66""),INDIRECT(""'""&amp;DA$1&amp;""'!$D$4:$D$66"")=DA$2),$F$3:$BP$3,$F127:$BP127))),"""")"),"")</f>
        <v/>
      </c>
      <c r="DC127" s="251">
        <f>IFERROR(__xludf.DUMMYFUNCTION("AVERAGE(ARRAYFORMULA(XLOOKUP(FILTER(INDIRECT(""'""&amp;DC$1&amp;""'!$C$4:$C$66""),INDIRECT(""'""&amp;DC$1&amp;""'!$D$4:$D$66"")=DC$2),$F$3:$BP$3,$F127:$BP127)))"),-0.062467678888888885)</f>
        <v>-0.06246767889</v>
      </c>
      <c r="DD127" s="207" t="str">
        <f>IFERROR(__xludf.DUMMYFUNCTION("IF(OR(DC127&gt;$BR127+$BS127*$BS$2,DC127&lt;$BR127-$BS127*$BS$2),AVEDEV(ARRAYFORMULA(XLOOKUP(FILTER(INDIRECT(""'""&amp;DC$1&amp;""'!$C$4:$C$66""),INDIRECT(""'""&amp;DC$1&amp;""'!$D$4:$D$66"")=DC$2),$F$3:$BP$3,$F127:$BP127))),"""")"),"")</f>
        <v/>
      </c>
      <c r="DE127" s="251">
        <f>IFERROR(__xludf.DUMMYFUNCTION("AVERAGE(ARRAYFORMULA(XLOOKUP(FILTER(INDIRECT(""'""&amp;DE$1&amp;""'!$C$4:$C$66""),INDIRECT(""'""&amp;DE$1&amp;""'!$D$4:$D$66"")=DE$2),$F$3:$BP$3,$F127:$BP127)))"),0.5331213225)</f>
        <v>0.5331213225</v>
      </c>
      <c r="DF127" s="207" t="str">
        <f>IFERROR(__xludf.DUMMYFUNCTION("IF(OR(DE127&gt;$BR127+$BS127*$BS$2,DE127&lt;$BR127-$BS127*$BS$2),AVEDEV(ARRAYFORMULA(XLOOKUP(FILTER(INDIRECT(""'""&amp;DE$1&amp;""'!$C$4:$C$66""),INDIRECT(""'""&amp;DE$1&amp;""'!$D$4:$D$66"")=DE$2),$F$3:$BP$3,$F127:$BP127))),"""")"),"")</f>
        <v/>
      </c>
      <c r="DG127" s="251">
        <f>IFERROR(__xludf.DUMMYFUNCTION("AVERAGE(ARRAYFORMULA(XLOOKUP(FILTER(INDIRECT(""'""&amp;DG$1&amp;""'!$C$4:$C$66""),INDIRECT(""'""&amp;DG$1&amp;""'!$D$4:$D$66"")=DG$2),$F$3:$BP$3,$F127:$BP127)))"),0.04619575333333333)</f>
        <v>0.04619575333</v>
      </c>
      <c r="DH127" s="207" t="str">
        <f>IFERROR(__xludf.DUMMYFUNCTION("IF(OR(DG127&gt;$BR127+$BS127*$BS$2,DG127&lt;$BR127-$BS127*$BS$2),AVEDEV(ARRAYFORMULA(XLOOKUP(FILTER(INDIRECT(""'""&amp;DG$1&amp;""'!$C$4:$C$66""),INDIRECT(""'""&amp;DG$1&amp;""'!$D$4:$D$66"")=DG$2),$F$3:$BP$3,$F127:$BP127))),"""")"),"")</f>
        <v/>
      </c>
      <c r="DI127" s="252"/>
    </row>
    <row r="128">
      <c r="A128" s="2"/>
      <c r="B128" s="204" t="s">
        <v>540</v>
      </c>
      <c r="C128" s="204" t="s">
        <v>571</v>
      </c>
      <c r="D128" s="205" t="b">
        <f>VLOOKUP(C128,'Feature Set List'!A125:C246,2,0)</f>
        <v>1</v>
      </c>
      <c r="E128" s="205" t="b">
        <f>VLOOKUP(C128,'Feature Set List'!A125:C246,3,0)</f>
        <v>1</v>
      </c>
      <c r="F128" s="205">
        <v>0.0</v>
      </c>
      <c r="G128" s="205">
        <v>1.0</v>
      </c>
      <c r="H128" s="205">
        <v>0.0</v>
      </c>
      <c r="I128" s="205">
        <v>1.0</v>
      </c>
      <c r="J128" s="205">
        <v>1.0</v>
      </c>
      <c r="K128" s="205">
        <v>0.0</v>
      </c>
      <c r="L128" s="205">
        <v>0.0</v>
      </c>
      <c r="M128" s="205">
        <v>0.0</v>
      </c>
      <c r="N128" s="205">
        <v>0.0</v>
      </c>
      <c r="O128" s="205">
        <v>0.0</v>
      </c>
      <c r="P128" s="205">
        <v>0.0</v>
      </c>
      <c r="Q128" s="205">
        <v>0.0</v>
      </c>
      <c r="R128" s="205">
        <v>1.0</v>
      </c>
      <c r="S128" s="205">
        <v>0.0</v>
      </c>
      <c r="T128" s="205">
        <v>1.0</v>
      </c>
      <c r="U128" s="205">
        <v>0.0</v>
      </c>
      <c r="V128" s="205">
        <v>1.0</v>
      </c>
      <c r="W128" s="205">
        <v>1.0</v>
      </c>
      <c r="X128" s="205">
        <v>0.0</v>
      </c>
      <c r="Y128" s="205">
        <v>1.0</v>
      </c>
      <c r="Z128" s="205">
        <v>1.0</v>
      </c>
      <c r="AA128" s="205">
        <v>0.0</v>
      </c>
      <c r="AB128" s="205">
        <v>0.0</v>
      </c>
      <c r="AC128" s="205">
        <v>1.0</v>
      </c>
      <c r="AD128" s="205">
        <v>1.0</v>
      </c>
      <c r="AE128" s="205">
        <v>1.0</v>
      </c>
      <c r="AF128" s="205">
        <v>1.0</v>
      </c>
      <c r="AG128" s="205">
        <v>1.0</v>
      </c>
      <c r="AH128" s="205">
        <v>0.0</v>
      </c>
      <c r="AI128" s="205">
        <v>0.0</v>
      </c>
      <c r="AJ128" s="205">
        <v>0.0</v>
      </c>
      <c r="AK128" s="205">
        <v>0.0</v>
      </c>
      <c r="AL128" s="205">
        <v>0.0</v>
      </c>
      <c r="AM128" s="205">
        <v>0.0</v>
      </c>
      <c r="AN128" s="205">
        <v>1.0</v>
      </c>
      <c r="AO128" s="205">
        <v>1.0</v>
      </c>
      <c r="AP128" s="205">
        <v>1.0</v>
      </c>
      <c r="AQ128" s="205">
        <v>2.0</v>
      </c>
      <c r="AR128" s="205">
        <v>0.0</v>
      </c>
      <c r="AS128" s="205">
        <v>1.0</v>
      </c>
      <c r="AT128" s="205">
        <v>1.0</v>
      </c>
      <c r="AU128" s="205">
        <v>0.0</v>
      </c>
      <c r="AV128" s="205">
        <v>0.0</v>
      </c>
      <c r="AW128" s="205">
        <v>1.0</v>
      </c>
      <c r="AX128" s="205">
        <v>2.0</v>
      </c>
      <c r="AY128" s="205">
        <v>1.0</v>
      </c>
      <c r="AZ128" s="205">
        <v>0.0</v>
      </c>
      <c r="BA128" s="205">
        <v>1.0</v>
      </c>
      <c r="BB128" s="205">
        <v>0.0</v>
      </c>
      <c r="BC128" s="205">
        <v>0.0</v>
      </c>
      <c r="BD128" s="205">
        <v>1.0</v>
      </c>
      <c r="BE128" s="205">
        <v>0.0</v>
      </c>
      <c r="BF128" s="205">
        <v>0.0</v>
      </c>
      <c r="BG128" s="205">
        <v>0.0</v>
      </c>
      <c r="BH128" s="205">
        <v>0.0</v>
      </c>
      <c r="BI128" s="205">
        <v>0.0</v>
      </c>
      <c r="BJ128" s="205">
        <v>0.0</v>
      </c>
      <c r="BK128" s="205">
        <v>1.0</v>
      </c>
      <c r="BL128" s="205">
        <v>0.0</v>
      </c>
      <c r="BM128" s="205">
        <v>0.0</v>
      </c>
      <c r="BN128" s="205">
        <v>0.0</v>
      </c>
      <c r="BO128" s="205">
        <v>0.0</v>
      </c>
      <c r="BP128" s="205">
        <v>0.0</v>
      </c>
      <c r="BQ128" s="206"/>
      <c r="BR128" s="250">
        <f t="shared" si="1"/>
        <v>0.4444444444</v>
      </c>
      <c r="BS128" s="250">
        <f t="shared" si="2"/>
        <v>0.5220458554</v>
      </c>
      <c r="BT128" s="206"/>
      <c r="BU128" s="207">
        <f>IFERROR(__xludf.DUMMYFUNCTION("AVERAGE(ARRAYFORMULA(XLOOKUP(FILTER(INDIRECT(""'""&amp;BU$1&amp;""'!$C$4:$C$66""),INDIRECT(""'""&amp;BU$1&amp;""'!$D$4:$D$66"")=BU$2),$F$3:$BP$3,$F128:$BP128)))"),1.1428571428571428)</f>
        <v>1.142857143</v>
      </c>
      <c r="BV128" s="207">
        <f>IFERROR(__xludf.DUMMYFUNCTION("IF(OR(BU128&gt;$BR128+$BS128*$BS$2,BU128&lt;$BR128-$BS128*$BS$2),AVEDEV(ARRAYFORMULA(XLOOKUP(FILTER(INDIRECT(""'""&amp;BU$1&amp;""'!$C$4:$C$66""),INDIRECT(""'""&amp;BU$1&amp;""'!$D$4:$D$66"")=BU$2),$F$3:$BP$3,$F128:$BP128))),"""")"),0.24489795918367344)</f>
        <v>0.2448979592</v>
      </c>
      <c r="BW128" s="207">
        <f>IFERROR(__xludf.DUMMYFUNCTION("AVERAGE(ARRAYFORMULA(XLOOKUP(FILTER(INDIRECT(""'""&amp;BW$1&amp;""'!$C$4:$C$66""),INDIRECT(""'""&amp;BW$1&amp;""'!$D$4:$D$66"")=BW$2),$F$3:$BP$3,$F128:$BP128)))"),0.38095238095238093)</f>
        <v>0.380952381</v>
      </c>
      <c r="BX128" s="207" t="str">
        <f>IFERROR(__xludf.DUMMYFUNCTION("IF(OR(BW128&gt;$BR128+$BS128*$BS$2,BW128&lt;$BR128-$BS128*$BS$2),AVEDEV(ARRAYFORMULA(XLOOKUP(FILTER(INDIRECT(""'""&amp;BW$1&amp;""'!$C$4:$C$66""),INDIRECT(""'""&amp;BW$1&amp;""'!$D$4:$D$66"")=BW$2),$F$3:$BP$3,$F128:$BP128))),"""")"),"")</f>
        <v/>
      </c>
      <c r="BY128" s="207">
        <f>IFERROR(__xludf.DUMMYFUNCTION("AVERAGE(ARRAYFORMULA(XLOOKUP(FILTER(INDIRECT(""'""&amp;BY$1&amp;""'!$C$4:$C$66""),INDIRECT(""'""&amp;BY$1&amp;""'!$D$4:$D$66"")=BY$2),$F$3:$BP$3,$F128:$BP128)))"),0.2727272727272727)</f>
        <v>0.2727272727</v>
      </c>
      <c r="BZ128" s="207" t="str">
        <f>IFERROR(__xludf.DUMMYFUNCTION("IF(OR(BY128&gt;$BR128+$BS128*$BS$2,BY128&lt;$BR128-$BS128*$BS$2),AVEDEV(ARRAYFORMULA(XLOOKUP(FILTER(INDIRECT(""'""&amp;BY$1&amp;""'!$C$4:$C$66""),INDIRECT(""'""&amp;BY$1&amp;""'!$D$4:$D$66"")=BY$2),$F$3:$BP$3,$F128:$BP128))),"""")"),"")</f>
        <v/>
      </c>
      <c r="CA128" s="209"/>
      <c r="CB128" s="207">
        <f>IFERROR(__xludf.DUMMYFUNCTION("AVERAGE(ARRAYFORMULA(XLOOKUP(FILTER(INDIRECT(""'""&amp;CB$1&amp;""'!$C$4:$C$66""),INDIRECT(""'""&amp;CB$1&amp;""'!$D$4:$D$66"")=CB$2),$F$3:$BP$3,$F128:$BP128)))"),0.625)</f>
        <v>0.625</v>
      </c>
      <c r="CC128" s="207" t="str">
        <f>IFERROR(__xludf.DUMMYFUNCTION("IF(OR(CB128&gt;$BR128+$BS128*$BS$2,CB128&lt;$BR128-$BS128*$BS$2),AVEDEV(ARRAYFORMULA(XLOOKUP(FILTER(INDIRECT(""'""&amp;CB$1&amp;""'!$C$4:$C$66""),INDIRECT(""'""&amp;CB$1&amp;""'!$D$4:$D$66"")=CB$2),$F$3:$BP$3,$F128:$BP128))),"""")"),"")</f>
        <v/>
      </c>
      <c r="CD128" s="207">
        <f>IFERROR(__xludf.DUMMYFUNCTION("AVERAGE(ARRAYFORMULA(XLOOKUP(FILTER(INDIRECT(""'""&amp;CD$1&amp;""'!$C$4:$C$66""),INDIRECT(""'""&amp;CD$1&amp;""'!$D$4:$D$66"")=CD$2),$F$3:$BP$3,$F128:$BP128)))"),0.3548387096774194)</f>
        <v>0.3548387097</v>
      </c>
      <c r="CE128" s="207" t="str">
        <f>IFERROR(__xludf.DUMMYFUNCTION("IF(OR(CD128&gt;$BR128+$BS128*$BS$2,CD128&lt;$BR128-$BS128*$BS$2),AVEDEV(ARRAYFORMULA(XLOOKUP(FILTER(INDIRECT(""'""&amp;CD$1&amp;""'!$C$4:$C$66""),INDIRECT(""'""&amp;CD$1&amp;""'!$D$4:$D$66"")=CD$2),$F$3:$BP$3,$F128:$BP128))),"""")"),"")</f>
        <v/>
      </c>
      <c r="CF128" s="207">
        <f>IFERROR(__xludf.DUMMYFUNCTION("AVERAGE(ARRAYFORMULA(XLOOKUP(FILTER(INDIRECT(""'""&amp;CF$1&amp;""'!$C$4:$C$66""),INDIRECT(""'""&amp;CF$1&amp;""'!$D$4:$D$66"")=CF$2),$F$3:$BP$3,$F128:$BP128)))"),0.0)</f>
        <v>0</v>
      </c>
      <c r="CG128" s="207" t="str">
        <f>IFERROR(__xludf.DUMMYFUNCTION("IF(OR(CF128&gt;$BR128+$BS128*$BS$2,CF128&lt;$BR128-$BS128*$BS$2),AVEDEV(ARRAYFORMULA(XLOOKUP(FILTER(INDIRECT(""'""&amp;CF$1&amp;""'!$C$4:$C$66""),INDIRECT(""'""&amp;CF$1&amp;""'!$D$4:$D$66"")=CF$2),$F$3:$BP$3,$F128:$BP128))),"""")"),"")</f>
        <v/>
      </c>
      <c r="CH128" s="206"/>
      <c r="CI128" s="251">
        <f>IFERROR(__xludf.DUMMYFUNCTION("AVERAGE(ARRAYFORMULA(XLOOKUP(FILTER(INDIRECT(""'""&amp;CI$1&amp;""'!$C$4:$C$66""),INDIRECT(""'""&amp;CI$1&amp;""'!$D$4:$D$66"")=CI$2),$F$3:$BP$3,$F128:$BP128)))"),0.5333333333333333)</f>
        <v>0.5333333333</v>
      </c>
      <c r="CJ128" s="207" t="str">
        <f>IFERROR(__xludf.DUMMYFUNCTION("IF(OR(CI128&gt;$BR128+$BS128*$BS$2,CI128&lt;$BR128-$BS128*$BS$2),AVEDEV(ARRAYFORMULA(XLOOKUP(FILTER(INDIRECT(""'""&amp;CI$1&amp;""'!$C$4:$C$66""),INDIRECT(""'""&amp;CI$1&amp;""'!$D$4:$D$66"")=CI$2),$F$3:$BP$3,$F128:$BP128))),"""")"),"")</f>
        <v/>
      </c>
      <c r="CK128" s="251">
        <f>IFERROR(__xludf.DUMMYFUNCTION("AVERAGE(ARRAYFORMULA(XLOOKUP(FILTER(INDIRECT(""'""&amp;CK$1&amp;""'!$C$4:$C$66""),INDIRECT(""'""&amp;CK$1&amp;""'!$D$4:$D$66"")=CK$2),$F$3:$BP$3,$F128:$BP128)))"),0.46153846153846156)</f>
        <v>0.4615384615</v>
      </c>
      <c r="CL128" s="207" t="str">
        <f>IFERROR(__xludf.DUMMYFUNCTION("IF(OR(CK128&gt;$BR128+$BS128*$BS$2,CK128&lt;$BR128-$BS128*$BS$2),AVEDEV(ARRAYFORMULA(XLOOKUP(FILTER(INDIRECT(""'""&amp;CK$1&amp;""'!$C$4:$C$66""),INDIRECT(""'""&amp;CK$1&amp;""'!$D$4:$D$66"")=CK$2),$F$3:$BP$3,$F128:$BP128))),"""")"),"")</f>
        <v/>
      </c>
      <c r="CM128" s="254">
        <f>IFERROR(__xludf.DUMMYFUNCTION("AVERAGE(ARRAYFORMULA(XLOOKUP(FILTER(INDIRECT(""'""&amp;CM$1&amp;""'!$C$4:$C$66""),INDIRECT(""'""&amp;CM$1&amp;""'!$D$4:$D$66"")=CM$2),$F$3:$BP$3,$F128:$BP128)))"),0.0)</f>
        <v>0</v>
      </c>
      <c r="CN128" s="207" t="str">
        <f>IFERROR(__xludf.DUMMYFUNCTION("IF(OR(CM128&gt;$BR128+$BS128*$BS$2,CM128&lt;$BR128-$BS128*$BS$2),AVEDEV(ARRAYFORMULA(XLOOKUP(FILTER(INDIRECT(""'""&amp;CM$1&amp;""'!$C$4:$C$66""),INDIRECT(""'""&amp;CM$1&amp;""'!$D$4:$D$66"")=CM$2),$F$3:$BP$3,$F128:$BP128))),"""")"),"")</f>
        <v/>
      </c>
      <c r="CO128" s="252"/>
      <c r="CP128" s="251">
        <f>IFERROR(__xludf.DUMMYFUNCTION("AVERAGE(ARRAYFORMULA(XLOOKUP(FILTER(INDIRECT(""'""&amp;CP$1&amp;""'!$C$4:$C$66""),INDIRECT(""'""&amp;CP$1&amp;""'!$D$4:$D$66"")=CP$2),$F$3:$BP$3,$F128:$BP128)))"),0.42857142857142855)</f>
        <v>0.4285714286</v>
      </c>
      <c r="CQ128" s="207" t="str">
        <f>IFERROR(__xludf.DUMMYFUNCTION("IF(OR(CP128&gt;$BR128+$BS128*$BS$2,CP128&lt;$BR128-$BS128*$BS$2),AVEDEV(ARRAYFORMULA(XLOOKUP(FILTER(INDIRECT(""'""&amp;CP$1&amp;""'!$C$4:$C$66""),INDIRECT(""'""&amp;CP$1&amp;""'!$D$4:$D$66"")=CP$2),$F$3:$BP$3,$F128:$BP128))),"""")"),"")</f>
        <v/>
      </c>
      <c r="CR128" s="251">
        <f>IFERROR(__xludf.DUMMYFUNCTION("AVERAGE(ARRAYFORMULA(XLOOKUP(FILTER(INDIRECT(""'""&amp;CR$1&amp;""'!$C$4:$C$66""),INDIRECT(""'""&amp;CR$1&amp;""'!$D$4:$D$66"")=CR$2),$F$3:$BP$3,$F128:$BP128)))"),0.2222222222222222)</f>
        <v>0.2222222222</v>
      </c>
      <c r="CS128" s="207" t="str">
        <f>IFERROR(__xludf.DUMMYFUNCTION("IF(OR(CR128&gt;$BR128+$BS128*$BS$2,CR128&lt;$BR128-$BS128*$BS$2),AVEDEV(ARRAYFORMULA(XLOOKUP(FILTER(INDIRECT(""'""&amp;CR$1&amp;""'!$C$4:$C$66""),INDIRECT(""'""&amp;CR$1&amp;""'!$D$4:$D$66"")=CR$2),$F$3:$BP$3,$F128:$BP128))),"""")"),"")</f>
        <v/>
      </c>
      <c r="CT128" s="251">
        <f>IFERROR(__xludf.DUMMYFUNCTION("AVERAGE(ARRAYFORMULA(XLOOKUP(FILTER(INDIRECT(""'""&amp;CT$1&amp;""'!$C$4:$C$66""),INDIRECT(""'""&amp;CT$1&amp;""'!$D$4:$D$66"")=CT$2),$F$3:$BP$3,$F128:$BP128)))"),0.45454545454545453)</f>
        <v>0.4545454545</v>
      </c>
      <c r="CU128" s="207" t="str">
        <f>IFERROR(__xludf.DUMMYFUNCTION("IF(OR(CT128&gt;$BR128+$BS128*$BS$2,CT128&lt;$BR128-$BS128*$BS$2),AVEDEV(ARRAYFORMULA(XLOOKUP(FILTER(INDIRECT(""'""&amp;CT$1&amp;""'!$C$4:$C$66""),INDIRECT(""'""&amp;CT$1&amp;""'!$D$4:$D$66"")=CT$2),$F$3:$BP$3,$F128:$BP128))),"""")"),"")</f>
        <v/>
      </c>
      <c r="CV128" s="251">
        <f>IFERROR(__xludf.DUMMYFUNCTION("AVERAGE(ARRAYFORMULA(XLOOKUP(FILTER(INDIRECT(""'""&amp;CV$1&amp;""'!$C$4:$C$66""),INDIRECT(""'""&amp;CV$1&amp;""'!$D$4:$D$66"")=CV$2),$F$3:$BP$3,$F128:$BP128)))"),0.5)</f>
        <v>0.5</v>
      </c>
      <c r="CW128" s="207" t="str">
        <f>IFERROR(__xludf.DUMMYFUNCTION("IF(OR(CV128&gt;$BR128+$BS128*$BS$2,CV128&lt;$BR128-$BS128*$BS$2),AVEDEV(ARRAYFORMULA(XLOOKUP(FILTER(INDIRECT(""'""&amp;CV$1&amp;""'!$C$4:$C$66""),INDIRECT(""'""&amp;CV$1&amp;""'!$D$4:$D$66"")=CV$2),$F$3:$BP$3,$F128:$BP128))),"""")"),"")</f>
        <v/>
      </c>
      <c r="CX128" s="254">
        <f>IFERROR(__xludf.DUMMYFUNCTION("AVERAGE(ARRAYFORMULA(XLOOKUP(FILTER(INDIRECT(""'""&amp;CX$1&amp;""'!$C$4:$C$66""),INDIRECT(""'""&amp;CX$1&amp;""'!$D$4:$D$66"")=CX$2),$F$3:$BP$3,$F128:$BP128)))"),0.2857142857142857)</f>
        <v>0.2857142857</v>
      </c>
      <c r="CY128" s="207" t="str">
        <f>IFERROR(__xludf.DUMMYFUNCTION("IF(OR(CX128&gt;$BR128+$BS128*$BS$2,CX128&lt;$BR128-$BS128*$BS$2),AVEDEV(ARRAYFORMULA(XLOOKUP(FILTER(INDIRECT(""'""&amp;CX$1&amp;""'!$C$4:$C$66""),INDIRECT(""'""&amp;CX$1&amp;""'!$D$4:$D$66"")=CX$2),$F$3:$BP$3,$F128:$BP128))),"""")"),"")</f>
        <v/>
      </c>
      <c r="CZ128" s="252"/>
      <c r="DA128" s="251">
        <f>IFERROR(__xludf.DUMMYFUNCTION("AVERAGE(ARRAYFORMULA(XLOOKUP(FILTER(INDIRECT(""'""&amp;DA$1&amp;""'!$C$4:$C$66""),INDIRECT(""'""&amp;DA$1&amp;""'!$D$4:$D$66"")=DA$2),$F$3:$BP$3,$F128:$BP128)))"),0.43333333333333335)</f>
        <v>0.4333333333</v>
      </c>
      <c r="DB128" s="207" t="str">
        <f>IFERROR(__xludf.DUMMYFUNCTION("IF(OR(DA128&gt;$BR128+$BS128*$BS$2,DA128&lt;$BR128-$BS128*$BS$2),AVEDEV(ARRAYFORMULA(XLOOKUP(FILTER(INDIRECT(""'""&amp;DA$1&amp;""'!$C$4:$C$66""),INDIRECT(""'""&amp;DA$1&amp;""'!$D$4:$D$66"")=DA$2),$F$3:$BP$3,$F128:$BP128))),"""")"),"")</f>
        <v/>
      </c>
      <c r="DC128" s="251">
        <f>IFERROR(__xludf.DUMMYFUNCTION("AVERAGE(ARRAYFORMULA(XLOOKUP(FILTER(INDIRECT(""'""&amp;DC$1&amp;""'!$C$4:$C$66""),INDIRECT(""'""&amp;DC$1&amp;""'!$D$4:$D$66"")=DC$2),$F$3:$BP$3,$F128:$BP128)))"),0.1111111111111111)</f>
        <v>0.1111111111</v>
      </c>
      <c r="DD128" s="207" t="str">
        <f>IFERROR(__xludf.DUMMYFUNCTION("IF(OR(DC128&gt;$BR128+$BS128*$BS$2,DC128&lt;$BR128-$BS128*$BS$2),AVEDEV(ARRAYFORMULA(XLOOKUP(FILTER(INDIRECT(""'""&amp;DC$1&amp;""'!$C$4:$C$66""),INDIRECT(""'""&amp;DC$1&amp;""'!$D$4:$D$66"")=DC$2),$F$3:$BP$3,$F128:$BP128))),"""")"),"")</f>
        <v/>
      </c>
      <c r="DE128" s="251">
        <f>IFERROR(__xludf.DUMMYFUNCTION("AVERAGE(ARRAYFORMULA(XLOOKUP(FILTER(INDIRECT(""'""&amp;DE$1&amp;""'!$C$4:$C$66""),INDIRECT(""'""&amp;DE$1&amp;""'!$D$4:$D$66"")=DE$2),$F$3:$BP$3,$F128:$BP128)))"),0.75)</f>
        <v>0.75</v>
      </c>
      <c r="DF128" s="207" t="str">
        <f>IFERROR(__xludf.DUMMYFUNCTION("IF(OR(DE128&gt;$BR128+$BS128*$BS$2,DE128&lt;$BR128-$BS128*$BS$2),AVEDEV(ARRAYFORMULA(XLOOKUP(FILTER(INDIRECT(""'""&amp;DE$1&amp;""'!$C$4:$C$66""),INDIRECT(""'""&amp;DE$1&amp;""'!$D$4:$D$66"")=DE$2),$F$3:$BP$3,$F128:$BP128))),"""")"),"")</f>
        <v/>
      </c>
      <c r="DG128" s="251">
        <f>IFERROR(__xludf.DUMMYFUNCTION("AVERAGE(ARRAYFORMULA(XLOOKUP(FILTER(INDIRECT(""'""&amp;DG$1&amp;""'!$C$4:$C$66""),INDIRECT(""'""&amp;DG$1&amp;""'!$D$4:$D$66"")=DG$2),$F$3:$BP$3,$F128:$BP128)))"),0.2222222222222222)</f>
        <v>0.2222222222</v>
      </c>
      <c r="DH128" s="207" t="str">
        <f>IFERROR(__xludf.DUMMYFUNCTION("IF(OR(DG128&gt;$BR128+$BS128*$BS$2,DG128&lt;$BR128-$BS128*$BS$2),AVEDEV(ARRAYFORMULA(XLOOKUP(FILTER(INDIRECT(""'""&amp;DG$1&amp;""'!$C$4:$C$66""),INDIRECT(""'""&amp;DG$1&amp;""'!$D$4:$D$66"")=DG$2),$F$3:$BP$3,$F128:$BP128))),"""")"),"")</f>
        <v/>
      </c>
      <c r="DI128" s="252"/>
    </row>
    <row r="129">
      <c r="A129" s="2"/>
      <c r="B129" s="204" t="s">
        <v>540</v>
      </c>
      <c r="C129" s="204" t="s">
        <v>572</v>
      </c>
      <c r="D129" s="205" t="b">
        <f>VLOOKUP(C129,'Feature Set List'!A126:C246,2,0)</f>
        <v>1</v>
      </c>
      <c r="E129" s="205" t="b">
        <f>VLOOKUP(C129,'Feature Set List'!A126:C246,3,0)</f>
        <v>1</v>
      </c>
      <c r="F129" s="205">
        <v>2.45297821</v>
      </c>
      <c r="G129" s="205">
        <v>-0.4989238</v>
      </c>
      <c r="H129" s="205">
        <v>-0.3363441</v>
      </c>
      <c r="I129" s="205">
        <v>0.34801151</v>
      </c>
      <c r="J129" s="205">
        <v>-0.7204039</v>
      </c>
      <c r="K129" s="205">
        <v>0.28122548</v>
      </c>
      <c r="L129" s="205">
        <v>0.01126511</v>
      </c>
      <c r="M129" s="205">
        <v>0.31984873</v>
      </c>
      <c r="N129" s="205">
        <v>0.22369295</v>
      </c>
      <c r="O129" s="205">
        <v>0.60871839</v>
      </c>
      <c r="P129" s="205">
        <v>-0.64014</v>
      </c>
      <c r="Q129" s="205">
        <v>0.0</v>
      </c>
      <c r="R129" s="205">
        <v>1.16151355</v>
      </c>
      <c r="S129" s="205">
        <v>0.40514172</v>
      </c>
      <c r="T129" s="205">
        <v>0.43048822</v>
      </c>
      <c r="U129" s="205">
        <v>-0.6783207</v>
      </c>
      <c r="V129" s="205">
        <v>0.48480216</v>
      </c>
      <c r="W129" s="205">
        <v>-0.3210557</v>
      </c>
      <c r="X129" s="205">
        <v>1.65838547</v>
      </c>
      <c r="Y129" s="205">
        <v>-0.2715697</v>
      </c>
      <c r="Z129" s="205">
        <v>-0.4284766</v>
      </c>
      <c r="AA129" s="205">
        <v>0.91448573</v>
      </c>
      <c r="AB129" s="205">
        <v>1.17680192</v>
      </c>
      <c r="AC129" s="205">
        <v>-0.6992416</v>
      </c>
      <c r="AD129" s="205">
        <v>-0.4787673</v>
      </c>
      <c r="AE129" s="205">
        <v>-0.0535093</v>
      </c>
      <c r="AF129" s="205">
        <v>-0.0780511</v>
      </c>
      <c r="AG129" s="205">
        <v>1.21019493</v>
      </c>
      <c r="AH129" s="205">
        <v>0.03540464</v>
      </c>
      <c r="AI129" s="205">
        <v>0.15569995</v>
      </c>
      <c r="AJ129" s="205">
        <v>-0.8053348</v>
      </c>
      <c r="AK129" s="205">
        <v>-0.1351813</v>
      </c>
      <c r="AL129" s="205">
        <v>1.49906459</v>
      </c>
      <c r="AM129" s="205">
        <v>0.60590211</v>
      </c>
      <c r="AN129" s="205">
        <v>-0.0205186</v>
      </c>
      <c r="AO129" s="205">
        <v>-0.75432</v>
      </c>
      <c r="AP129" s="205">
        <v>-0.2820301</v>
      </c>
      <c r="AQ129" s="205">
        <v>-0.6612621</v>
      </c>
      <c r="AR129" s="205">
        <v>0.22892318</v>
      </c>
      <c r="AS129" s="205">
        <v>1.29226932</v>
      </c>
      <c r="AT129" s="205">
        <v>-0.6674579</v>
      </c>
      <c r="AU129" s="205">
        <v>2.1476132</v>
      </c>
      <c r="AV129" s="205">
        <v>-0.5563759</v>
      </c>
      <c r="AW129" s="205">
        <v>-0.7660276</v>
      </c>
      <c r="AX129" s="205">
        <v>2.30854338</v>
      </c>
      <c r="AY129" s="205">
        <v>0.53750679</v>
      </c>
      <c r="AZ129" s="205">
        <v>0.43571845</v>
      </c>
      <c r="BA129" s="205">
        <v>-0.2031743</v>
      </c>
      <c r="BB129" s="205">
        <v>0.22530225</v>
      </c>
      <c r="BC129" s="205">
        <v>-0.3797952</v>
      </c>
      <c r="BD129" s="205">
        <v>-0.5013377</v>
      </c>
      <c r="BE129" s="205">
        <v>-0.6102875</v>
      </c>
      <c r="BF129" s="205">
        <v>0.10420229</v>
      </c>
      <c r="BG129" s="205">
        <v>0.65699745</v>
      </c>
      <c r="BH129" s="205">
        <v>-0.7839311</v>
      </c>
      <c r="BI129" s="205">
        <v>0.9615578</v>
      </c>
      <c r="BJ129" s="205">
        <v>-0.2932952</v>
      </c>
      <c r="BK129" s="205">
        <v>-0.1605279</v>
      </c>
      <c r="BL129" s="205">
        <v>-0.8185713</v>
      </c>
      <c r="BM129" s="205">
        <v>-0.1106395</v>
      </c>
      <c r="BN129" s="205">
        <v>2.89513387</v>
      </c>
      <c r="BO129" s="205">
        <v>0.02454185</v>
      </c>
      <c r="BP129" s="205">
        <v>-0.8475026</v>
      </c>
      <c r="BQ129" s="206"/>
      <c r="BR129" s="250">
        <f t="shared" si="1"/>
        <v>0.178405727</v>
      </c>
      <c r="BS129" s="250">
        <f t="shared" si="2"/>
        <v>0.6613419828</v>
      </c>
      <c r="BT129" s="206"/>
      <c r="BU129" s="207">
        <f>IFERROR(__xludf.DUMMYFUNCTION("AVERAGE(ARRAYFORMULA(XLOOKUP(FILTER(INDIRECT(""'""&amp;BU$1&amp;""'!$C$4:$C$66""),INDIRECT(""'""&amp;BU$1&amp;""'!$D$4:$D$66"")=BU$2),$F$3:$BP$3,$F129:$BP129)))"),0.2189167714285714)</f>
        <v>0.2189167714</v>
      </c>
      <c r="BV129" s="207" t="str">
        <f>IFERROR(__xludf.DUMMYFUNCTION("IF(OR(BU129&gt;$BR129+$BS129*$BS$2,BU129&lt;$BR129-$BS129*$BS$2),AVEDEV(ARRAYFORMULA(XLOOKUP(FILTER(INDIRECT(""'""&amp;BU$1&amp;""'!$C$4:$C$66""),INDIRECT(""'""&amp;BU$1&amp;""'!$D$4:$D$66"")=BU$2),$F$3:$BP$3,$F129:$BP129))),"""")"),"")</f>
        <v/>
      </c>
      <c r="BW129" s="207">
        <f>IFERROR(__xludf.DUMMYFUNCTION("AVERAGE(ARRAYFORMULA(XLOOKUP(FILTER(INDIRECT(""'""&amp;BW$1&amp;""'!$C$4:$C$66""),INDIRECT(""'""&amp;BW$1&amp;""'!$D$4:$D$66"")=BW$2),$F$3:$BP$3,$F129:$BP129)))"),0.12112093857142855)</f>
        <v>0.1211209386</v>
      </c>
      <c r="BX129" s="207" t="str">
        <f>IFERROR(__xludf.DUMMYFUNCTION("IF(OR(BW129&gt;$BR129+$BS129*$BS$2,BW129&lt;$BR129-$BS129*$BS$2),AVEDEV(ARRAYFORMULA(XLOOKUP(FILTER(INDIRECT(""'""&amp;BW$1&amp;""'!$C$4:$C$66""),INDIRECT(""'""&amp;BW$1&amp;""'!$D$4:$D$66"")=BW$2),$F$3:$BP$3,$F129:$BP129))),"""")"),"")</f>
        <v/>
      </c>
      <c r="BY129" s="207">
        <f>IFERROR(__xludf.DUMMYFUNCTION("AVERAGE(ARRAYFORMULA(XLOOKUP(FILTER(INDIRECT(""'""&amp;BY$1&amp;""'!$C$4:$C$66""),INDIRECT(""'""&amp;BY$1&amp;""'!$D$4:$D$66"")=BY$2),$F$3:$BP$3,$F129:$BP129)))"),0.54578738)</f>
        <v>0.54578738</v>
      </c>
      <c r="BZ129" s="207" t="str">
        <f>IFERROR(__xludf.DUMMYFUNCTION("IF(OR(BY129&gt;$BR129+$BS129*$BS$2,BY129&lt;$BR129-$BS129*$BS$2),AVEDEV(ARRAYFORMULA(XLOOKUP(FILTER(INDIRECT(""'""&amp;BY$1&amp;""'!$C$4:$C$66""),INDIRECT(""'""&amp;BY$1&amp;""'!$D$4:$D$66"")=BY$2),$F$3:$BP$3,$F129:$BP129))),"""")"),"")</f>
        <v/>
      </c>
      <c r="CA129" s="209"/>
      <c r="CB129" s="207">
        <f>IFERROR(__xludf.DUMMYFUNCTION("AVERAGE(ARRAYFORMULA(XLOOKUP(FILTER(INDIRECT(""'""&amp;CB$1&amp;""'!$C$4:$C$66""),INDIRECT(""'""&amp;CB$1&amp;""'!$D$4:$D$66"")=CB$2),$F$3:$BP$3,$F129:$BP129)))"),-0.20249793625)</f>
        <v>-0.2024979363</v>
      </c>
      <c r="CC129" s="207" t="str">
        <f>IFERROR(__xludf.DUMMYFUNCTION("IF(OR(CB129&gt;$BR129+$BS129*$BS$2,CB129&lt;$BR129-$BS129*$BS$2),AVEDEV(ARRAYFORMULA(XLOOKUP(FILTER(INDIRECT(""'""&amp;CB$1&amp;""'!$C$4:$C$66""),INDIRECT(""'""&amp;CB$1&amp;""'!$D$4:$D$66"")=CB$2),$F$3:$BP$3,$F129:$BP129))),"""")"),"")</f>
        <v/>
      </c>
      <c r="CD129" s="207">
        <f>IFERROR(__xludf.DUMMYFUNCTION("AVERAGE(ARRAYFORMULA(XLOOKUP(FILTER(INDIRECT(""'""&amp;CD$1&amp;""'!$C$4:$C$66""),INDIRECT(""'""&amp;CD$1&amp;""'!$D$4:$D$66"")=CD$2),$F$3:$BP$3,$F129:$BP129)))"),0.3703313570967742)</f>
        <v>0.3703313571</v>
      </c>
      <c r="CE129" s="207" t="str">
        <f>IFERROR(__xludf.DUMMYFUNCTION("IF(OR(CD129&gt;$BR129+$BS129*$BS$2,CD129&lt;$BR129-$BS129*$BS$2),AVEDEV(ARRAYFORMULA(XLOOKUP(FILTER(INDIRECT(""'""&amp;CD$1&amp;""'!$C$4:$C$66""),INDIRECT(""'""&amp;CD$1&amp;""'!$D$4:$D$66"")=CD$2),$F$3:$BP$3,$F129:$BP129))),"""")"),"")</f>
        <v/>
      </c>
      <c r="CF129" s="207">
        <f>IFERROR(__xludf.DUMMYFUNCTION("AVERAGE(ARRAYFORMULA(XLOOKUP(FILTER(INDIRECT(""'""&amp;CF$1&amp;""'!$C$4:$C$66""),INDIRECT(""'""&amp;CF$1&amp;""'!$D$4:$D$66"")=CF$2),$F$3:$BP$3,$F129:$BP129)))"),0.356540806)</f>
        <v>0.356540806</v>
      </c>
      <c r="CG129" s="207" t="str">
        <f>IFERROR(__xludf.DUMMYFUNCTION("IF(OR(CF129&gt;$BR129+$BS129*$BS$2,CF129&lt;$BR129-$BS129*$BS$2),AVEDEV(ARRAYFORMULA(XLOOKUP(FILTER(INDIRECT(""'""&amp;CF$1&amp;""'!$C$4:$C$66""),INDIRECT(""'""&amp;CF$1&amp;""'!$D$4:$D$66"")=CF$2),$F$3:$BP$3,$F129:$BP129))),"""")"),"")</f>
        <v/>
      </c>
      <c r="CH129" s="206"/>
      <c r="CI129" s="251">
        <f>IFERROR(__xludf.DUMMYFUNCTION("AVERAGE(ARRAYFORMULA(XLOOKUP(FILTER(INDIRECT(""'""&amp;CI$1&amp;""'!$C$4:$C$66""),INDIRECT(""'""&amp;CI$1&amp;""'!$D$4:$D$66"")=CI$2),$F$3:$BP$3,$F129:$BP129)))"),0.6399469000000001)</f>
        <v>0.6399469</v>
      </c>
      <c r="CJ129" s="207" t="str">
        <f>IFERROR(__xludf.DUMMYFUNCTION("IF(OR(CI129&gt;$BR129+$BS129*$BS$2,CI129&lt;$BR129-$BS129*$BS$2),AVEDEV(ARRAYFORMULA(XLOOKUP(FILTER(INDIRECT(""'""&amp;CI$1&amp;""'!$C$4:$C$66""),INDIRECT(""'""&amp;CI$1&amp;""'!$D$4:$D$66"")=CI$2),$F$3:$BP$3,$F129:$BP129))),"""")"),"")</f>
        <v/>
      </c>
      <c r="CK129" s="251">
        <f>IFERROR(__xludf.DUMMYFUNCTION("AVERAGE(ARRAYFORMULA(XLOOKUP(FILTER(INDIRECT(""'""&amp;CK$1&amp;""'!$C$4:$C$66""),INDIRECT(""'""&amp;CK$1&amp;""'!$D$4:$D$66"")=CK$2),$F$3:$BP$3,$F129:$BP129)))"),0.03594303512820512)</f>
        <v>0.03594303513</v>
      </c>
      <c r="CL129" s="207" t="str">
        <f>IFERROR(__xludf.DUMMYFUNCTION("IF(OR(CK129&gt;$BR129+$BS129*$BS$2,CK129&lt;$BR129-$BS129*$BS$2),AVEDEV(ARRAYFORMULA(XLOOKUP(FILTER(INDIRECT(""'""&amp;CK$1&amp;""'!$C$4:$C$66""),INDIRECT(""'""&amp;CK$1&amp;""'!$D$4:$D$66"")=CK$2),$F$3:$BP$3,$F129:$BP129))),"""")"),"")</f>
        <v/>
      </c>
      <c r="CM129" s="251">
        <f>IFERROR(__xludf.DUMMYFUNCTION("AVERAGE(ARRAYFORMULA(XLOOKUP(FILTER(INDIRECT(""'""&amp;CM$1&amp;""'!$C$4:$C$66""),INDIRECT(""'""&amp;CM$1&amp;""'!$D$4:$D$66"")=CM$2),$F$3:$BP$3,$F129:$BP129)))"),0.356540806)</f>
        <v>0.356540806</v>
      </c>
      <c r="CN129" s="207" t="str">
        <f>IFERROR(__xludf.DUMMYFUNCTION("IF(OR(CM129&gt;$BR129+$BS129*$BS$2,CM129&lt;$BR129-$BS129*$BS$2),AVEDEV(ARRAYFORMULA(XLOOKUP(FILTER(INDIRECT(""'""&amp;CM$1&amp;""'!$C$4:$C$66""),INDIRECT(""'""&amp;CM$1&amp;""'!$D$4:$D$66"")=CM$2),$F$3:$BP$3,$F129:$BP129))),"""")"),"")</f>
        <v/>
      </c>
      <c r="CO129" s="252"/>
      <c r="CP129" s="251">
        <f>IFERROR(__xludf.DUMMYFUNCTION("AVERAGE(ARRAYFORMULA(XLOOKUP(FILTER(INDIRECT(""'""&amp;CP$1&amp;""'!$C$4:$C$66""),INDIRECT(""'""&amp;CP$1&amp;""'!$D$4:$D$66"")=CP$2),$F$3:$BP$3,$F129:$BP129)))"),-0.3191159157142857)</f>
        <v>-0.3191159157</v>
      </c>
      <c r="CQ129" s="207" t="str">
        <f>IFERROR(__xludf.DUMMYFUNCTION("IF(OR(CP129&gt;$BR129+$BS129*$BS$2,CP129&lt;$BR129-$BS129*$BS$2),AVEDEV(ARRAYFORMULA(XLOOKUP(FILTER(INDIRECT(""'""&amp;CP$1&amp;""'!$C$4:$C$66""),INDIRECT(""'""&amp;CP$1&amp;""'!$D$4:$D$66"")=CP$2),$F$3:$BP$3,$F129:$BP129))),"""")"),"")</f>
        <v/>
      </c>
      <c r="CR129" s="251">
        <f>IFERROR(__xludf.DUMMYFUNCTION("AVERAGE(ARRAYFORMULA(XLOOKUP(FILTER(INDIRECT(""'""&amp;CR$1&amp;""'!$C$4:$C$66""),INDIRECT(""'""&amp;CR$1&amp;""'!$D$4:$D$66"")=CR$2),$F$3:$BP$3,$F129:$BP129)))"),0.6983028544444444)</f>
        <v>0.6983028544</v>
      </c>
      <c r="CS129" s="207" t="str">
        <f>IFERROR(__xludf.DUMMYFUNCTION("IF(OR(CR129&gt;$BR129+$BS129*$BS$2,CR129&lt;$BR129-$BS129*$BS$2),AVEDEV(ARRAYFORMULA(XLOOKUP(FILTER(INDIRECT(""'""&amp;CR$1&amp;""'!$C$4:$C$66""),INDIRECT(""'""&amp;CR$1&amp;""'!$D$4:$D$66"")=CR$2),$F$3:$BP$3,$F129:$BP129))),"""")"),"")</f>
        <v/>
      </c>
      <c r="CT129" s="251">
        <f>IFERROR(__xludf.DUMMYFUNCTION("AVERAGE(ARRAYFORMULA(XLOOKUP(FILTER(INDIRECT(""'""&amp;CT$1&amp;""'!$C$4:$C$66""),INDIRECT(""'""&amp;CT$1&amp;""'!$D$4:$D$66"")=CT$2),$F$3:$BP$3,$F129:$BP129)))"),1.1373008718181818)</f>
        <v>1.137300872</v>
      </c>
      <c r="CU129" s="207">
        <f>IFERROR(__xludf.DUMMYFUNCTION("IF(OR(CT129&gt;$BR129+$BS129*$BS$2,CT129&lt;$BR129-$BS129*$BS$2),AVEDEV(ARRAYFORMULA(XLOOKUP(FILTER(INDIRECT(""'""&amp;CT$1&amp;""'!$C$4:$C$66""),INDIRECT(""'""&amp;CT$1&amp;""'!$D$4:$D$66"")=CT$2),$F$3:$BP$3,$F129:$BP129))),"""")"),0.622088232231405)</f>
        <v>0.6220882322</v>
      </c>
      <c r="CV129" s="251">
        <f>IFERROR(__xludf.DUMMYFUNCTION("AVERAGE(ARRAYFORMULA(XLOOKUP(FILTER(INDIRECT(""'""&amp;CV$1&amp;""'!$C$4:$C$66""),INDIRECT(""'""&amp;CV$1&amp;""'!$D$4:$D$66"")=CV$2),$F$3:$BP$3,$F129:$BP129)))"),-0.021122075000000018)</f>
        <v>-0.021122075</v>
      </c>
      <c r="CW129" s="207" t="str">
        <f>IFERROR(__xludf.DUMMYFUNCTION("IF(OR(CV129&gt;$BR129+$BS129*$BS$2,CV129&lt;$BR129-$BS129*$BS$2),AVEDEV(ARRAYFORMULA(XLOOKUP(FILTER(INDIRECT(""'""&amp;CV$1&amp;""'!$C$4:$C$66""),INDIRECT(""'""&amp;CV$1&amp;""'!$D$4:$D$66"")=CV$2),$F$3:$BP$3,$F129:$BP129))),"""")"),"")</f>
        <v/>
      </c>
      <c r="CX129" s="251">
        <f>IFERROR(__xludf.DUMMYFUNCTION("AVERAGE(ARRAYFORMULA(XLOOKUP(FILTER(INDIRECT(""'""&amp;CX$1&amp;""'!$C$4:$C$66""),INDIRECT(""'""&amp;CX$1&amp;""'!$D$4:$D$66"")=CX$2),$F$3:$BP$3,$F129:$BP129)))"),-0.13459826357142854)</f>
        <v>-0.1345982636</v>
      </c>
      <c r="CY129" s="207" t="str">
        <f>IFERROR(__xludf.DUMMYFUNCTION("IF(OR(CX129&gt;$BR129+$BS129*$BS$2,CX129&lt;$BR129-$BS129*$BS$2),AVEDEV(ARRAYFORMULA(XLOOKUP(FILTER(INDIRECT(""'""&amp;CX$1&amp;""'!$C$4:$C$66""),INDIRECT(""'""&amp;CX$1&amp;""'!$D$4:$D$66"")=CX$2),$F$3:$BP$3,$F129:$BP129))),"""")"),"")</f>
        <v/>
      </c>
      <c r="CZ129" s="252"/>
      <c r="DA129" s="251">
        <f>IFERROR(__xludf.DUMMYFUNCTION("AVERAGE(ARRAYFORMULA(XLOOKUP(FILTER(INDIRECT(""'""&amp;DA$1&amp;""'!$C$4:$C$66""),INDIRECT(""'""&amp;DA$1&amp;""'!$D$4:$D$66"")=DA$2),$F$3:$BP$3,$F129:$BP129)))"),-0.07100252066666668)</f>
        <v>-0.07100252067</v>
      </c>
      <c r="DB129" s="207" t="str">
        <f>IFERROR(__xludf.DUMMYFUNCTION("IF(OR(DA129&gt;$BR129+$BS129*$BS$2,DA129&lt;$BR129-$BS129*$BS$2),AVEDEV(ARRAYFORMULA(XLOOKUP(FILTER(INDIRECT(""'""&amp;DA$1&amp;""'!$C$4:$C$66""),INDIRECT(""'""&amp;DA$1&amp;""'!$D$4:$D$66"")=DA$2),$F$3:$BP$3,$F129:$BP129))),"""")"),"")</f>
        <v/>
      </c>
      <c r="DC129" s="251">
        <f>IFERROR(__xludf.DUMMYFUNCTION("AVERAGE(ARRAYFORMULA(XLOOKUP(FILTER(INDIRECT(""'""&amp;DC$1&amp;""'!$C$4:$C$66""),INDIRECT(""'""&amp;DC$1&amp;""'!$D$4:$D$66"")=DC$2),$F$3:$BP$3,$F129:$BP129)))"),0.6676546022222222)</f>
        <v>0.6676546022</v>
      </c>
      <c r="DD129" s="207" t="str">
        <f>IFERROR(__xludf.DUMMYFUNCTION("IF(OR(DC129&gt;$BR129+$BS129*$BS$2,DC129&lt;$BR129-$BS129*$BS$2),AVEDEV(ARRAYFORMULA(XLOOKUP(FILTER(INDIRECT(""'""&amp;DC$1&amp;""'!$C$4:$C$66""),INDIRECT(""'""&amp;DC$1&amp;""'!$D$4:$D$66"")=DC$2),$F$3:$BP$3,$F129:$BP129))),"""")"),"")</f>
        <v/>
      </c>
      <c r="DE129" s="251">
        <f>IFERROR(__xludf.DUMMYFUNCTION("AVERAGE(ARRAYFORMULA(XLOOKUP(FILTER(INDIRECT(""'""&amp;DE$1&amp;""'!$C$4:$C$66""),INDIRECT(""'""&amp;DE$1&amp;""'!$D$4:$D$66"")=DE$2),$F$3:$BP$3,$F129:$BP129)))"),0.54862103)</f>
        <v>0.54862103</v>
      </c>
      <c r="DF129" s="207" t="str">
        <f>IFERROR(__xludf.DUMMYFUNCTION("IF(OR(DE129&gt;$BR129+$BS129*$BS$2,DE129&lt;$BR129-$BS129*$BS$2),AVEDEV(ARRAYFORMULA(XLOOKUP(FILTER(INDIRECT(""'""&amp;DE$1&amp;""'!$C$4:$C$66""),INDIRECT(""'""&amp;DE$1&amp;""'!$D$4:$D$66"")=DE$2),$F$3:$BP$3,$F129:$BP129))),"""")"),"")</f>
        <v/>
      </c>
      <c r="DG129" s="251">
        <f>IFERROR(__xludf.DUMMYFUNCTION("AVERAGE(ARRAYFORMULA(XLOOKUP(FILTER(INDIRECT(""'""&amp;DG$1&amp;""'!$C$4:$C$66""),INDIRECT(""'""&amp;DG$1&amp;""'!$D$4:$D$66"")=DG$2),$F$3:$BP$3,$F129:$BP129)))"),0.6131931399999999)</f>
        <v>0.61319314</v>
      </c>
      <c r="DH129" s="207" t="str">
        <f>IFERROR(__xludf.DUMMYFUNCTION("IF(OR(DG129&gt;$BR129+$BS129*$BS$2,DG129&lt;$BR129-$BS129*$BS$2),AVEDEV(ARRAYFORMULA(XLOOKUP(FILTER(INDIRECT(""'""&amp;DG$1&amp;""'!$C$4:$C$66""),INDIRECT(""'""&amp;DG$1&amp;""'!$D$4:$D$66"")=DG$2),$F$3:$BP$3,$F129:$BP129))),"""")"),"")</f>
        <v/>
      </c>
      <c r="DI129" s="252"/>
    </row>
    <row r="130">
      <c r="A130" s="2"/>
      <c r="B130" s="204" t="s">
        <v>540</v>
      </c>
      <c r="C130" s="204" t="s">
        <v>573</v>
      </c>
      <c r="D130" s="205" t="b">
        <f>VLOOKUP(C130,'Feature Set List'!A127:C246,2,0)</f>
        <v>1</v>
      </c>
      <c r="E130" s="205" t="b">
        <f>VLOOKUP(C130,'Feature Set List'!A127:C246,3,0)</f>
        <v>0</v>
      </c>
      <c r="F130" s="205">
        <v>2.10643543</v>
      </c>
      <c r="G130" s="205">
        <v>-0.5466293</v>
      </c>
      <c r="H130" s="205">
        <v>0.71818414</v>
      </c>
      <c r="I130" s="205">
        <v>-0.7766726</v>
      </c>
      <c r="J130" s="205">
        <v>-0.0870526</v>
      </c>
      <c r="K130" s="205">
        <v>0.23004336</v>
      </c>
      <c r="L130" s="205">
        <v>0.22528267</v>
      </c>
      <c r="M130" s="205">
        <v>-0.4393437</v>
      </c>
      <c r="N130" s="205">
        <v>-0.682819</v>
      </c>
      <c r="O130" s="205">
        <v>0.84145201</v>
      </c>
      <c r="P130" s="205">
        <v>0.0</v>
      </c>
      <c r="Q130" s="205">
        <v>-0.0785514</v>
      </c>
      <c r="R130" s="205">
        <v>-0.6777183</v>
      </c>
      <c r="S130" s="205">
        <v>1.34812548</v>
      </c>
      <c r="T130" s="205">
        <v>-0.8128709</v>
      </c>
      <c r="U130" s="205">
        <v>-0.848049</v>
      </c>
      <c r="V130" s="205">
        <v>0.36028224</v>
      </c>
      <c r="W130" s="205">
        <v>-0.6957409</v>
      </c>
      <c r="X130" s="205">
        <v>1.06248406</v>
      </c>
      <c r="Y130" s="205">
        <v>-0.6858795</v>
      </c>
      <c r="Z130" s="205">
        <v>-0.1849868</v>
      </c>
      <c r="AA130" s="205">
        <v>0.18124628</v>
      </c>
      <c r="AB130" s="205">
        <v>0.49936241</v>
      </c>
      <c r="AC130" s="205">
        <v>0.6627561</v>
      </c>
      <c r="AD130" s="205">
        <v>-0.4709683</v>
      </c>
      <c r="AE130" s="205">
        <v>0.30043356</v>
      </c>
      <c r="AF130" s="205">
        <v>0.08858284</v>
      </c>
      <c r="AG130" s="205">
        <v>0.48082972</v>
      </c>
      <c r="AH130" s="205">
        <v>1.02677888</v>
      </c>
      <c r="AI130" s="205">
        <v>-0.1346595</v>
      </c>
      <c r="AJ130" s="205">
        <v>-0.5700927</v>
      </c>
      <c r="AK130" s="205">
        <v>-0.179376</v>
      </c>
      <c r="AL130" s="205">
        <v>0.98257247</v>
      </c>
      <c r="AM130" s="205">
        <v>0.70611239</v>
      </c>
      <c r="AN130" s="205">
        <v>-0.1181671</v>
      </c>
      <c r="AO130" s="205">
        <v>-0.0402958</v>
      </c>
      <c r="AP130" s="205">
        <v>-0.7441979</v>
      </c>
      <c r="AQ130" s="205">
        <v>-0.7345065</v>
      </c>
      <c r="AR130" s="205">
        <v>0.63334183</v>
      </c>
      <c r="AS130" s="205">
        <v>-0.1453711</v>
      </c>
      <c r="AT130" s="205">
        <v>-0.2800306</v>
      </c>
      <c r="AU130" s="205">
        <v>-0.1162969</v>
      </c>
      <c r="AV130" s="205">
        <v>0.42727195</v>
      </c>
      <c r="AW130" s="205">
        <v>-0.7290657</v>
      </c>
      <c r="AX130" s="205">
        <v>-0.7812633</v>
      </c>
      <c r="AY130" s="205">
        <v>0.10354501</v>
      </c>
      <c r="AZ130" s="205">
        <v>0.74113746</v>
      </c>
      <c r="BA130" s="205">
        <v>-0.5954263</v>
      </c>
      <c r="BB130" s="205">
        <v>-0.2997535</v>
      </c>
      <c r="BC130" s="205">
        <v>0.65969566</v>
      </c>
      <c r="BD130" s="205">
        <v>-0.0576384</v>
      </c>
      <c r="BE130" s="205">
        <v>-0.2234124</v>
      </c>
      <c r="BF130" s="205">
        <v>1.34982572</v>
      </c>
      <c r="BG130" s="205">
        <v>0.51738502</v>
      </c>
      <c r="BH130" s="205">
        <v>-0.0385956</v>
      </c>
      <c r="BI130" s="205">
        <v>0.37405424</v>
      </c>
      <c r="BJ130" s="205">
        <v>0.60528777</v>
      </c>
      <c r="BK130" s="205">
        <v>-0.3220267</v>
      </c>
      <c r="BL130" s="205">
        <v>0.31709598</v>
      </c>
      <c r="BM130" s="205">
        <v>1.5351526</v>
      </c>
      <c r="BN130" s="205">
        <v>1.14579614</v>
      </c>
      <c r="BO130" s="205">
        <v>1.25801241</v>
      </c>
      <c r="BP130" s="205">
        <v>0.16951458</v>
      </c>
      <c r="BQ130" s="206"/>
      <c r="BR130" s="250">
        <f t="shared" si="1"/>
        <v>0.1358828906</v>
      </c>
      <c r="BS130" s="250">
        <f t="shared" si="2"/>
        <v>0.5563602772</v>
      </c>
      <c r="BT130" s="206"/>
      <c r="BU130" s="207">
        <f>IFERROR(__xludf.DUMMYFUNCTION("AVERAGE(ARRAYFORMULA(XLOOKUP(FILTER(INDIRECT(""'""&amp;BU$1&amp;""'!$C$4:$C$66""),INDIRECT(""'""&amp;BU$1&amp;""'!$D$4:$D$66"")=BU$2),$F$3:$BP$3,$F130:$BP130)))"),-0.48330480000000003)</f>
        <v>-0.4833048</v>
      </c>
      <c r="BV130" s="207">
        <f>IFERROR(__xludf.DUMMYFUNCTION("IF(OR(BU130&gt;$BR130+$BS130*$BS$2,BU130&lt;$BR130-$BS130*$BS$2),AVEDEV(ARRAYFORMULA(XLOOKUP(FILTER(INDIRECT(""'""&amp;BU$1&amp;""'!$C$4:$C$66""),INDIRECT(""'""&amp;BU$1&amp;""'!$D$4:$D$66"")=BU$2),$F$3:$BP$3,$F130:$BP130))),"""")"),0.2720234857142857)</f>
        <v>0.2720234857</v>
      </c>
      <c r="BW130" s="207">
        <f>IFERROR(__xludf.DUMMYFUNCTION("AVERAGE(ARRAYFORMULA(XLOOKUP(FILTER(INDIRECT(""'""&amp;BW$1&amp;""'!$C$4:$C$66""),INDIRECT(""'""&amp;BW$1&amp;""'!$D$4:$D$66"")=BW$2),$F$3:$BP$3,$F130:$BP130)))"),0.07641879166666667)</f>
        <v>0.07641879167</v>
      </c>
      <c r="BX130" s="207" t="str">
        <f>IFERROR(__xludf.DUMMYFUNCTION("IF(OR(BW130&gt;$BR130+$BS130*$BS$2,BW130&lt;$BR130-$BS130*$BS$2),AVEDEV(ARRAYFORMULA(XLOOKUP(FILTER(INDIRECT(""'""&amp;BW$1&amp;""'!$C$4:$C$66""),INDIRECT(""'""&amp;BW$1&amp;""'!$D$4:$D$66"")=BW$2),$F$3:$BP$3,$F130:$BP130))),"""")"),"")</f>
        <v/>
      </c>
      <c r="BY130" s="207">
        <f>IFERROR(__xludf.DUMMYFUNCTION("AVERAGE(ARRAYFORMULA(XLOOKUP(FILTER(INDIRECT(""'""&amp;BY$1&amp;""'!$C$4:$C$66""),INDIRECT(""'""&amp;BY$1&amp;""'!$D$4:$D$66"")=BY$2),$F$3:$BP$3,$F130:$BP130)))"),0.69421066)</f>
        <v>0.69421066</v>
      </c>
      <c r="BZ130" s="207">
        <f>IFERROR(__xludf.DUMMYFUNCTION("IF(OR(BY130&gt;$BR130+$BS130*$BS$2,BY130&lt;$BR130-$BS130*$BS$2),AVEDEV(ARRAYFORMULA(XLOOKUP(FILTER(INDIRECT(""'""&amp;BY$1&amp;""'!$C$4:$C$66""),INDIRECT(""'""&amp;BY$1&amp;""'!$D$4:$D$66"")=BY$2),$F$3:$BP$3,$F130:$BP130))),"""")"),0.4779238436363636)</f>
        <v>0.4779238436</v>
      </c>
      <c r="CA130" s="209"/>
      <c r="CB130" s="207">
        <f>IFERROR(__xludf.DUMMYFUNCTION("AVERAGE(ARRAYFORMULA(XLOOKUP(FILTER(INDIRECT(""'""&amp;CB$1&amp;""'!$C$4:$C$66""),INDIRECT(""'""&amp;CB$1&amp;""'!$D$4:$D$66"")=CB$2),$F$3:$BP$3,$F130:$BP130)))"),-0.297359308125)</f>
        <v>-0.2973593081</v>
      </c>
      <c r="CC130" s="207" t="str">
        <f>IFERROR(__xludf.DUMMYFUNCTION("IF(OR(CB130&gt;$BR130+$BS130*$BS$2,CB130&lt;$BR130-$BS130*$BS$2),AVEDEV(ARRAYFORMULA(XLOOKUP(FILTER(INDIRECT(""'""&amp;CB$1&amp;""'!$C$4:$C$66""),INDIRECT(""'""&amp;CB$1&amp;""'!$D$4:$D$66"")=CB$2),$F$3:$BP$3,$F130:$BP130))),"""")"),"")</f>
        <v/>
      </c>
      <c r="CD130" s="207">
        <f>IFERROR(__xludf.DUMMYFUNCTION("AVERAGE(ARRAYFORMULA(XLOOKUP(FILTER(INDIRECT(""'""&amp;CD$1&amp;""'!$C$4:$C$66""),INDIRECT(""'""&amp;CD$1&amp;""'!$D$4:$D$66"")=CD$2),$F$3:$BP$3,$F130:$BP130)))"),0.20441350612903225)</f>
        <v>0.2044135061</v>
      </c>
      <c r="CE130" s="207" t="str">
        <f>IFERROR(__xludf.DUMMYFUNCTION("IF(OR(CD130&gt;$BR130+$BS130*$BS$2,CD130&lt;$BR130-$BS130*$BS$2),AVEDEV(ARRAYFORMULA(XLOOKUP(FILTER(INDIRECT(""'""&amp;CD$1&amp;""'!$C$4:$C$66""),INDIRECT(""'""&amp;CD$1&amp;""'!$D$4:$D$66"")=CD$2),$F$3:$BP$3,$F130:$BP130))),"""")"),"")</f>
        <v/>
      </c>
      <c r="CF130" s="207">
        <f>IFERROR(__xludf.DUMMYFUNCTION("AVERAGE(ARRAYFORMULA(XLOOKUP(FILTER(INDIRECT(""'""&amp;CF$1&amp;""'!$C$4:$C$66""),INDIRECT(""'""&amp;CF$1&amp;""'!$D$4:$D$66"")=CF$2),$F$3:$BP$3,$F130:$BP130)))"),0.9827765000000002)</f>
        <v>0.9827765</v>
      </c>
      <c r="CG130" s="207">
        <f>IFERROR(__xludf.DUMMYFUNCTION("IF(OR(CF130&gt;$BR130+$BS130*$BS$2,CF130&lt;$BR130-$BS130*$BS$2),AVEDEV(ARRAYFORMULA(XLOOKUP(FILTER(INDIRECT(""'""&amp;CF$1&amp;""'!$C$4:$C$66""),INDIRECT(""'""&amp;CF$1&amp;""'!$D$4:$D$66"")=CF$2),$F$3:$BP$3,$F130:$BP130))),"""")"),0.29295928)</f>
        <v>0.29295928</v>
      </c>
      <c r="CH130" s="206"/>
      <c r="CI130" s="251">
        <f>IFERROR(__xludf.DUMMYFUNCTION("AVERAGE(ARRAYFORMULA(XLOOKUP(FILTER(INDIRECT(""'""&amp;CI$1&amp;""'!$C$4:$C$66""),INDIRECT(""'""&amp;CI$1&amp;""'!$D$4:$D$66"")=CI$2),$F$3:$BP$3,$F130:$BP130)))"),0.1593935746666667)</f>
        <v>0.1593935747</v>
      </c>
      <c r="CJ130" s="207" t="str">
        <f>IFERROR(__xludf.DUMMYFUNCTION("IF(OR(CI130&gt;$BR130+$BS130*$BS$2,CI130&lt;$BR130-$BS130*$BS$2),AVEDEV(ARRAYFORMULA(XLOOKUP(FILTER(INDIRECT(""'""&amp;CI$1&amp;""'!$C$4:$C$66""),INDIRECT(""'""&amp;CI$1&amp;""'!$D$4:$D$66"")=CI$2),$F$3:$BP$3,$F130:$BP130))),"""")"),"")</f>
        <v/>
      </c>
      <c r="CK130" s="251">
        <f>IFERROR(__xludf.DUMMYFUNCTION("AVERAGE(ARRAYFORMULA(XLOOKUP(FILTER(INDIRECT(""'""&amp;CK$1&amp;""'!$C$4:$C$66""),INDIRECT(""'""&amp;CK$1&amp;""'!$D$4:$D$66"")=CK$2),$F$3:$BP$3,$F130:$BP130)))"),0.012308038205128208)</f>
        <v>0.01230803821</v>
      </c>
      <c r="CL130" s="207" t="str">
        <f>IFERROR(__xludf.DUMMYFUNCTION("IF(OR(CK130&gt;$BR130+$BS130*$BS$2,CK130&lt;$BR130-$BS130*$BS$2),AVEDEV(ARRAYFORMULA(XLOOKUP(FILTER(INDIRECT(""'""&amp;CK$1&amp;""'!$C$4:$C$66""),INDIRECT(""'""&amp;CK$1&amp;""'!$D$4:$D$66"")=CK$2),$F$3:$BP$3,$F130:$BP130))),"""")"),"")</f>
        <v/>
      </c>
      <c r="CM130" s="251">
        <f>IFERROR(__xludf.DUMMYFUNCTION("AVERAGE(ARRAYFORMULA(XLOOKUP(FILTER(INDIRECT(""'""&amp;CM$1&amp;""'!$C$4:$C$66""),INDIRECT(""'""&amp;CM$1&amp;""'!$D$4:$D$66"")=CM$2),$F$3:$BP$3,$F130:$BP130)))"),0.9827765000000002)</f>
        <v>0.9827765</v>
      </c>
      <c r="CN130" s="207">
        <f>IFERROR(__xludf.DUMMYFUNCTION("IF(OR(CM130&gt;$BR130+$BS130*$BS$2,CM130&lt;$BR130-$BS130*$BS$2),AVEDEV(ARRAYFORMULA(XLOOKUP(FILTER(INDIRECT(""'""&amp;CM$1&amp;""'!$C$4:$C$66""),INDIRECT(""'""&amp;CM$1&amp;""'!$D$4:$D$66"")=CM$2),$F$3:$BP$3,$F130:$BP130))),"""")"),0.29295928)</f>
        <v>0.29295928</v>
      </c>
      <c r="CO130" s="252"/>
      <c r="CP130" s="251">
        <f>IFERROR(__xludf.DUMMYFUNCTION("AVERAGE(ARRAYFORMULA(XLOOKUP(FILTER(INDIRECT(""'""&amp;CP$1&amp;""'!$C$4:$C$66""),INDIRECT(""'""&amp;CP$1&amp;""'!$D$4:$D$66"")=CP$2),$F$3:$BP$3,$F130:$BP130)))"),-0.19222259000000003)</f>
        <v>-0.19222259</v>
      </c>
      <c r="CQ130" s="207" t="str">
        <f>IFERROR(__xludf.DUMMYFUNCTION("IF(OR(CP130&gt;$BR130+$BS130*$BS$2,CP130&lt;$BR130-$BS130*$BS$2),AVEDEV(ARRAYFORMULA(XLOOKUP(FILTER(INDIRECT(""'""&amp;CP$1&amp;""'!$C$4:$C$66""),INDIRECT(""'""&amp;CP$1&amp;""'!$D$4:$D$66"")=CP$2),$F$3:$BP$3,$F130:$BP130))),"""")"),"")</f>
        <v/>
      </c>
      <c r="CR130" s="251">
        <f>IFERROR(__xludf.DUMMYFUNCTION("AVERAGE(ARRAYFORMULA(XLOOKUP(FILTER(INDIRECT(""'""&amp;CR$1&amp;""'!$C$4:$C$66""),INDIRECT(""'""&amp;CR$1&amp;""'!$D$4:$D$66"")=CR$2),$F$3:$BP$3,$F130:$BP130)))"),0.8017418077777778)</f>
        <v>0.8017418078</v>
      </c>
      <c r="CS130" s="207">
        <f>IFERROR(__xludf.DUMMYFUNCTION("IF(OR(CR130&gt;$BR130+$BS130*$BS$2,CR130&lt;$BR130-$BS130*$BS$2),AVEDEV(ARRAYFORMULA(XLOOKUP(FILTER(INDIRECT(""'""&amp;CR$1&amp;""'!$C$4:$C$66""),INDIRECT(""'""&amp;CR$1&amp;""'!$D$4:$D$66"")=CR$2),$F$3:$BP$3,$F130:$BP130))),"""")"),0.4781177219753086)</f>
        <v>0.478117722</v>
      </c>
      <c r="CT130" s="251">
        <f>IFERROR(__xludf.DUMMYFUNCTION("AVERAGE(ARRAYFORMULA(XLOOKUP(FILTER(INDIRECT(""'""&amp;CT$1&amp;""'!$C$4:$C$66""),INDIRECT(""'""&amp;CT$1&amp;""'!$D$4:$D$66"")=CT$2),$F$3:$BP$3,$F130:$BP130)))"),0.32898224090909095)</f>
        <v>0.3289822409</v>
      </c>
      <c r="CU130" s="207" t="str">
        <f>IFERROR(__xludf.DUMMYFUNCTION("IF(OR(CT130&gt;$BR130+$BS130*$BS$2,CT130&lt;$BR130-$BS130*$BS$2),AVEDEV(ARRAYFORMULA(XLOOKUP(FILTER(INDIRECT(""'""&amp;CT$1&amp;""'!$C$4:$C$66""),INDIRECT(""'""&amp;CT$1&amp;""'!$D$4:$D$66"")=CT$2),$F$3:$BP$3,$F130:$BP130))),"""")"),"")</f>
        <v/>
      </c>
      <c r="CV130" s="251">
        <f>IFERROR(__xludf.DUMMYFUNCTION("AVERAGE(ARRAYFORMULA(XLOOKUP(FILTER(INDIRECT(""'""&amp;CV$1&amp;""'!$C$4:$C$66""),INDIRECT(""'""&amp;CV$1&amp;""'!$D$4:$D$66"")=CV$2),$F$3:$BP$3,$F130:$BP130)))"),0.59007056)</f>
        <v>0.59007056</v>
      </c>
      <c r="CW130" s="207" t="str">
        <f>IFERROR(__xludf.DUMMYFUNCTION("IF(OR(CV130&gt;$BR130+$BS130*$BS$2,CV130&lt;$BR130-$BS130*$BS$2),AVEDEV(ARRAYFORMULA(XLOOKUP(FILTER(INDIRECT(""'""&amp;CV$1&amp;""'!$C$4:$C$66""),INDIRECT(""'""&amp;CV$1&amp;""'!$D$4:$D$66"")=CV$2),$F$3:$BP$3,$F130:$BP130))),"""")"),"")</f>
        <v/>
      </c>
      <c r="CX130" s="251">
        <f>IFERROR(__xludf.DUMMYFUNCTION("AVERAGE(ARRAYFORMULA(XLOOKUP(FILTER(INDIRECT(""'""&amp;CX$1&amp;""'!$C$4:$C$66""),INDIRECT(""'""&amp;CX$1&amp;""'!$D$4:$D$66"")=CX$2),$F$3:$BP$3,$F130:$BP130)))"),0.04707253714285716)</f>
        <v>0.04707253714</v>
      </c>
      <c r="CY130" s="207" t="str">
        <f>IFERROR(__xludf.DUMMYFUNCTION("IF(OR(CX130&gt;$BR130+$BS130*$BS$2,CX130&lt;$BR130-$BS130*$BS$2),AVEDEV(ARRAYFORMULA(XLOOKUP(FILTER(INDIRECT(""'""&amp;CX$1&amp;""'!$C$4:$C$66""),INDIRECT(""'""&amp;CX$1&amp;""'!$D$4:$D$66"")=CX$2),$F$3:$BP$3,$F130:$BP130))),"""")"),"")</f>
        <v/>
      </c>
      <c r="CZ130" s="252"/>
      <c r="DA130" s="251">
        <f>IFERROR(__xludf.DUMMYFUNCTION("AVERAGE(ARRAYFORMULA(XLOOKUP(FILTER(INDIRECT(""'""&amp;DA$1&amp;""'!$C$4:$C$66""),INDIRECT(""'""&amp;DA$1&amp;""'!$D$4:$D$66"")=DA$2),$F$3:$BP$3,$F130:$BP130)))"),-0.02460710533333333)</f>
        <v>-0.02460710533</v>
      </c>
      <c r="DB130" s="207" t="str">
        <f>IFERROR(__xludf.DUMMYFUNCTION("IF(OR(DA130&gt;$BR130+$BS130*$BS$2,DA130&lt;$BR130-$BS130*$BS$2),AVEDEV(ARRAYFORMULA(XLOOKUP(FILTER(INDIRECT(""'""&amp;DA$1&amp;""'!$C$4:$C$66""),INDIRECT(""'""&amp;DA$1&amp;""'!$D$4:$D$66"")=DA$2),$F$3:$BP$3,$F130:$BP130))),"""")"),"")</f>
        <v/>
      </c>
      <c r="DC130" s="251">
        <f>IFERROR(__xludf.DUMMYFUNCTION("AVERAGE(ARRAYFORMULA(XLOOKUP(FILTER(INDIRECT(""'""&amp;DC$1&amp;""'!$C$4:$C$66""),INDIRECT(""'""&amp;DC$1&amp;""'!$D$4:$D$66"")=DC$2),$F$3:$BP$3,$F130:$BP130)))"),0.6726175255555555)</f>
        <v>0.6726175256</v>
      </c>
      <c r="DD130" s="207" t="str">
        <f>IFERROR(__xludf.DUMMYFUNCTION("IF(OR(DC130&gt;$BR130+$BS130*$BS$2,DC130&lt;$BR130-$BS130*$BS$2),AVEDEV(ARRAYFORMULA(XLOOKUP(FILTER(INDIRECT(""'""&amp;DC$1&amp;""'!$C$4:$C$66""),INDIRECT(""'""&amp;DC$1&amp;""'!$D$4:$D$66"")=DC$2),$F$3:$BP$3,$F130:$BP130))),"""")"),"")</f>
        <v/>
      </c>
      <c r="DE130" s="251">
        <f>IFERROR(__xludf.DUMMYFUNCTION("AVERAGE(ARRAYFORMULA(XLOOKUP(FILTER(INDIRECT(""'""&amp;DE$1&amp;""'!$C$4:$C$66""),INDIRECT(""'""&amp;DE$1&amp;""'!$D$4:$D$66"")=DE$2),$F$3:$BP$3,$F130:$BP130)))"),-0.40616552375)</f>
        <v>-0.4061655238</v>
      </c>
      <c r="DF130" s="207" t="str">
        <f>IFERROR(__xludf.DUMMYFUNCTION("IF(OR(DE130&gt;$BR130+$BS130*$BS$2,DE130&lt;$BR130-$BS130*$BS$2),AVEDEV(ARRAYFORMULA(XLOOKUP(FILTER(INDIRECT(""'""&amp;DE$1&amp;""'!$C$4:$C$66""),INDIRECT(""'""&amp;DE$1&amp;""'!$D$4:$D$66"")=DE$2),$F$3:$BP$3,$F130:$BP130))),"""")"),"")</f>
        <v/>
      </c>
      <c r="DG130" s="251">
        <f>IFERROR(__xludf.DUMMYFUNCTION("AVERAGE(ARRAYFORMULA(XLOOKUP(FILTER(INDIRECT(""'""&amp;DG$1&amp;""'!$C$4:$C$66""),INDIRECT(""'""&amp;DG$1&amp;""'!$D$4:$D$66"")=DG$2),$F$3:$BP$3,$F130:$BP130)))"),0.80746597)</f>
        <v>0.80746597</v>
      </c>
      <c r="DH130" s="207">
        <f>IFERROR(__xludf.DUMMYFUNCTION("IF(OR(DG130&gt;$BR130+$BS130*$BS$2,DG130&lt;$BR130-$BS130*$BS$2),AVEDEV(ARRAYFORMULA(XLOOKUP(FILTER(INDIRECT(""'""&amp;DG$1&amp;""'!$C$4:$C$66""),INDIRECT(""'""&amp;DG$1&amp;""'!$D$4:$D$66"")=DG$2),$F$3:$BP$3,$F130:$BP130))),"""")"),0.33247586444444444)</f>
        <v>0.3324758644</v>
      </c>
      <c r="DI130" s="252"/>
    </row>
    <row r="131">
      <c r="A131" s="2"/>
      <c r="B131" s="204" t="s">
        <v>540</v>
      </c>
      <c r="C131" s="204" t="s">
        <v>574</v>
      </c>
      <c r="D131" s="205" t="b">
        <f>VLOOKUP(C131,'Feature Set List'!A128:C246,2,0)</f>
        <v>1</v>
      </c>
      <c r="E131" s="205" t="b">
        <f>VLOOKUP(C131,'Feature Set List'!A128:C246,3,0)</f>
        <v>0</v>
      </c>
      <c r="F131" s="205">
        <v>1.10710368</v>
      </c>
      <c r="G131" s="205">
        <v>-0.5714482</v>
      </c>
      <c r="H131" s="205">
        <v>0.28565551</v>
      </c>
      <c r="I131" s="205">
        <v>-0.5714482</v>
      </c>
      <c r="J131" s="205">
        <v>-0.5714482</v>
      </c>
      <c r="K131" s="205">
        <v>0.28565551</v>
      </c>
      <c r="L131" s="205">
        <v>0.42855184</v>
      </c>
      <c r="M131" s="205">
        <v>-0.5714482</v>
      </c>
      <c r="N131" s="205">
        <v>-0.5714482</v>
      </c>
      <c r="O131" s="205">
        <v>0.57131103</v>
      </c>
      <c r="P131" s="205">
        <v>0.28565551</v>
      </c>
      <c r="Q131" s="205">
        <v>-0.2857926</v>
      </c>
      <c r="R131" s="205">
        <v>-0.5714482</v>
      </c>
      <c r="S131" s="205">
        <v>0.57131103</v>
      </c>
      <c r="T131" s="205">
        <v>-0.5714482</v>
      </c>
      <c r="U131" s="205">
        <v>-0.5714482</v>
      </c>
      <c r="V131" s="205">
        <v>0.42855184</v>
      </c>
      <c r="W131" s="205">
        <v>-0.5714482</v>
      </c>
      <c r="X131" s="205">
        <v>0.85751509</v>
      </c>
      <c r="Y131" s="205">
        <v>-0.5714482</v>
      </c>
      <c r="Z131" s="205">
        <v>-0.5714482</v>
      </c>
      <c r="AA131" s="205">
        <v>0.14275919</v>
      </c>
      <c r="AB131" s="205">
        <v>0.68568294</v>
      </c>
      <c r="AC131" s="205">
        <v>0.35710368</v>
      </c>
      <c r="AD131" s="205">
        <v>-0.5714482</v>
      </c>
      <c r="AE131" s="205">
        <v>0.42855184</v>
      </c>
      <c r="AF131" s="205">
        <v>0.35710368</v>
      </c>
      <c r="AG131" s="205">
        <v>0.57131103</v>
      </c>
      <c r="AH131" s="205">
        <v>0.71420735</v>
      </c>
      <c r="AI131" s="205">
        <v>-0.2857926</v>
      </c>
      <c r="AJ131" s="205">
        <v>-0.5714482</v>
      </c>
      <c r="AK131" s="205">
        <v>-0.4857378</v>
      </c>
      <c r="AL131" s="205">
        <v>0.68568294</v>
      </c>
      <c r="AM131" s="205">
        <v>0.85751509</v>
      </c>
      <c r="AN131" s="205">
        <v>0.0</v>
      </c>
      <c r="AO131" s="205">
        <v>-0.5714482</v>
      </c>
      <c r="AP131" s="205">
        <v>-0.5714482</v>
      </c>
      <c r="AQ131" s="205">
        <v>-0.5714482</v>
      </c>
      <c r="AR131" s="205">
        <v>0.42855184</v>
      </c>
      <c r="AS131" s="205">
        <v>-0.5714482</v>
      </c>
      <c r="AT131" s="205">
        <v>-0.4571722</v>
      </c>
      <c r="AU131" s="205">
        <v>-0.5714482</v>
      </c>
      <c r="AV131" s="205">
        <v>-0.0714482</v>
      </c>
      <c r="AW131" s="205">
        <v>-0.5714482</v>
      </c>
      <c r="AX131" s="205">
        <v>-0.4285518</v>
      </c>
      <c r="AY131" s="205">
        <v>0.28565551</v>
      </c>
      <c r="AZ131" s="205">
        <v>0.28565551</v>
      </c>
      <c r="BA131" s="205">
        <v>-0.5714482</v>
      </c>
      <c r="BB131" s="205">
        <v>-0.5714482</v>
      </c>
      <c r="BC131" s="205">
        <v>0.49986286</v>
      </c>
      <c r="BD131" s="205">
        <v>0.0</v>
      </c>
      <c r="BE131" s="205">
        <v>0.21420735</v>
      </c>
      <c r="BF131" s="205">
        <v>0.14275919</v>
      </c>
      <c r="BG131" s="205">
        <v>0.35710368</v>
      </c>
      <c r="BH131" s="205">
        <v>-0.4285518</v>
      </c>
      <c r="BI131" s="205">
        <v>-0.2143445</v>
      </c>
      <c r="BJ131" s="205">
        <v>0.42855184</v>
      </c>
      <c r="BK131" s="205">
        <v>-0.1428963</v>
      </c>
      <c r="BL131" s="205">
        <v>0.0</v>
      </c>
      <c r="BM131" s="205">
        <v>0.57131103</v>
      </c>
      <c r="BN131" s="205">
        <v>0.92882611</v>
      </c>
      <c r="BO131" s="205">
        <v>0.71420735</v>
      </c>
      <c r="BP131" s="205">
        <v>0.05704882</v>
      </c>
      <c r="BQ131" s="206"/>
      <c r="BR131" s="250">
        <f t="shared" si="1"/>
        <v>-0.004217938571</v>
      </c>
      <c r="BS131" s="250">
        <f t="shared" si="2"/>
        <v>0.4658464077</v>
      </c>
      <c r="BT131" s="206"/>
      <c r="BU131" s="207">
        <f>IFERROR(__xludf.DUMMYFUNCTION("AVERAGE(ARRAYFORMULA(XLOOKUP(FILTER(INDIRECT(""'""&amp;BU$1&amp;""'!$C$4:$C$66""),INDIRECT(""'""&amp;BU$1&amp;""'!$D$4:$D$66"")=BU$2),$F$3:$BP$3,$F131:$BP131)))"),-0.32654181428571427)</f>
        <v>-0.3265418143</v>
      </c>
      <c r="BV131" s="207" t="str">
        <f>IFERROR(__xludf.DUMMYFUNCTION("IF(OR(BU131&gt;$BR131+$BS131*$BS$2,BU131&lt;$BR131-$BS131*$BS$2),AVEDEV(ARRAYFORMULA(XLOOKUP(FILTER(INDIRECT(""'""&amp;BU$1&amp;""'!$C$4:$C$66""),INDIRECT(""'""&amp;BU$1&amp;""'!$D$4:$D$66"")=BU$2),$F$3:$BP$3,$F131:$BP131))),"""")"),"")</f>
        <v/>
      </c>
      <c r="BW131" s="207">
        <f>IFERROR(__xludf.DUMMYFUNCTION("AVERAGE(ARRAYFORMULA(XLOOKUP(FILTER(INDIRECT(""'""&amp;BW$1&amp;""'!$C$4:$C$66""),INDIRECT(""'""&amp;BW$1&amp;""'!$D$4:$D$66"")=BW$2),$F$3:$BP$3,$F131:$BP131)))"),-0.08471777333333333)</f>
        <v>-0.08471777333</v>
      </c>
      <c r="BX131" s="207" t="str">
        <f>IFERROR(__xludf.DUMMYFUNCTION("IF(OR(BW131&gt;$BR131+$BS131*$BS$2,BW131&lt;$BR131-$BS131*$BS$2),AVEDEV(ARRAYFORMULA(XLOOKUP(FILTER(INDIRECT(""'""&amp;BW$1&amp;""'!$C$4:$C$66""),INDIRECT(""'""&amp;BW$1&amp;""'!$D$4:$D$66"")=BW$2),$F$3:$BP$3,$F131:$BP131))),"""")"),"")</f>
        <v/>
      </c>
      <c r="BY131" s="207">
        <f>IFERROR(__xludf.DUMMYFUNCTION("AVERAGE(ARRAYFORMULA(XLOOKUP(FILTER(INDIRECT(""'""&amp;BY$1&amp;""'!$C$4:$C$66""),INDIRECT(""'""&amp;BY$1&amp;""'!$D$4:$D$66"")=BY$2),$F$3:$BP$3,$F131:$BP131)))"),0.4772602618181818)</f>
        <v>0.4772602618</v>
      </c>
      <c r="BZ131" s="207">
        <f>IFERROR(__xludf.DUMMYFUNCTION("IF(OR(BY131&gt;$BR131+$BS131*$BS$2,BY131&lt;$BR131-$BS131*$BS$2),AVEDEV(ARRAYFORMULA(XLOOKUP(FILTER(INDIRECT(""'""&amp;BY$1&amp;""'!$C$4:$C$66""),INDIRECT(""'""&amp;BY$1&amp;""'!$D$4:$D$66"")=BY$2),$F$3:$BP$3,$F131:$BP131))),"""")"),0.2178545059504132)</f>
        <v>0.217854506</v>
      </c>
      <c r="CA131" s="209"/>
      <c r="CB131" s="207">
        <f>IFERROR(__xludf.DUMMYFUNCTION("AVERAGE(ARRAYFORMULA(XLOOKUP(FILTER(INDIRECT(""'""&amp;CB$1&amp;""'!$C$4:$C$66""),INDIRECT(""'""&amp;CB$1&amp;""'!$D$4:$D$66"")=CB$2),$F$3:$BP$3,$F131:$BP131)))"),-0.35270676374999993)</f>
        <v>-0.3527067638</v>
      </c>
      <c r="CC131" s="207" t="str">
        <f>IFERROR(__xludf.DUMMYFUNCTION("IF(OR(CB131&gt;$BR131+$BS131*$BS$2,CB131&lt;$BR131-$BS131*$BS$2),AVEDEV(ARRAYFORMULA(XLOOKUP(FILTER(INDIRECT(""'""&amp;CB$1&amp;""'!$C$4:$C$66""),INDIRECT(""'""&amp;CB$1&amp;""'!$D$4:$D$66"")=CB$2),$F$3:$BP$3,$F131:$BP131))),"""")"),"")</f>
        <v/>
      </c>
      <c r="CD131" s="207">
        <f>IFERROR(__xludf.DUMMYFUNCTION("AVERAGE(ARRAYFORMULA(XLOOKUP(FILTER(INDIRECT(""'""&amp;CD$1&amp;""'!$C$4:$C$66""),INDIRECT(""'""&amp;CD$1&amp;""'!$D$4:$D$66"")=CD$2),$F$3:$BP$3,$F131:$BP131)))"),0.09261143322580648)</f>
        <v>0.09261143323</v>
      </c>
      <c r="CE131" s="207" t="str">
        <f>IFERROR(__xludf.DUMMYFUNCTION("IF(OR(CD131&gt;$BR131+$BS131*$BS$2,CD131&lt;$BR131-$BS131*$BS$2),AVEDEV(ARRAYFORMULA(XLOOKUP(FILTER(INDIRECT(""'""&amp;CD$1&amp;""'!$C$4:$C$66""),INDIRECT(""'""&amp;CD$1&amp;""'!$D$4:$D$66"")=CD$2),$F$3:$BP$3,$F131:$BP131))),"""")"),"")</f>
        <v/>
      </c>
      <c r="CF131" s="207">
        <f>IFERROR(__xludf.DUMMYFUNCTION("AVERAGE(ARRAYFORMULA(XLOOKUP(FILTER(INDIRECT(""'""&amp;CF$1&amp;""'!$C$4:$C$66""),INDIRECT(""'""&amp;CF$1&amp;""'!$D$4:$D$66"")=CF$2),$F$3:$BP$3,$F131:$BP131)))"),0.39991772000000003)</f>
        <v>0.39991772</v>
      </c>
      <c r="CG131" s="207" t="str">
        <f>IFERROR(__xludf.DUMMYFUNCTION("IF(OR(CF131&gt;$BR131+$BS131*$BS$2,CF131&lt;$BR131-$BS131*$BS$2),AVEDEV(ARRAYFORMULA(XLOOKUP(FILTER(INDIRECT(""'""&amp;CF$1&amp;""'!$C$4:$C$66""),INDIRECT(""'""&amp;CF$1&amp;""'!$D$4:$D$66"")=CF$2),$F$3:$BP$3,$F131:$BP131))),"""")"),"")</f>
        <v/>
      </c>
      <c r="CH131" s="206"/>
      <c r="CI131" s="251">
        <f>IFERROR(__xludf.DUMMYFUNCTION("AVERAGE(ARRAYFORMULA(XLOOKUP(FILTER(INDIRECT(""'""&amp;CI$1&amp;""'!$C$4:$C$66""),INDIRECT(""'""&amp;CI$1&amp;""'!$D$4:$D$66"")=CI$2),$F$3:$BP$3,$F131:$BP131)))"),0.019537376000000037)</f>
        <v>0.019537376</v>
      </c>
      <c r="CJ131" s="207" t="str">
        <f>IFERROR(__xludf.DUMMYFUNCTION("IF(OR(CI131&gt;$BR131+$BS131*$BS$2,CI131&lt;$BR131-$BS131*$BS$2),AVEDEV(ARRAYFORMULA(XLOOKUP(FILTER(INDIRECT(""'""&amp;CI$1&amp;""'!$C$4:$C$66""),INDIRECT(""'""&amp;CI$1&amp;""'!$D$4:$D$66"")=CI$2),$F$3:$BP$3,$F131:$BP131))),"""")"),"")</f>
        <v/>
      </c>
      <c r="CK131" s="251">
        <f>IFERROR(__xludf.DUMMYFUNCTION("AVERAGE(ARRAYFORMULA(XLOOKUP(FILTER(INDIRECT(""'""&amp;CK$1&amp;""'!$C$4:$C$66""),INDIRECT(""'""&amp;CK$1&amp;""'!$D$4:$D$66"")=CK$2),$F$3:$BP$3,$F131:$BP131)))"),-0.0703545958974359)</f>
        <v>-0.0703545959</v>
      </c>
      <c r="CL131" s="207" t="str">
        <f>IFERROR(__xludf.DUMMYFUNCTION("IF(OR(CK131&gt;$BR131+$BS131*$BS$2,CK131&lt;$BR131-$BS131*$BS$2),AVEDEV(ARRAYFORMULA(XLOOKUP(FILTER(INDIRECT(""'""&amp;CK$1&amp;""'!$C$4:$C$66""),INDIRECT(""'""&amp;CK$1&amp;""'!$D$4:$D$66"")=CK$2),$F$3:$BP$3,$F131:$BP131))),"""")"),"")</f>
        <v/>
      </c>
      <c r="CM131" s="251">
        <f>IFERROR(__xludf.DUMMYFUNCTION("AVERAGE(ARRAYFORMULA(XLOOKUP(FILTER(INDIRECT(""'""&amp;CM$1&amp;""'!$C$4:$C$66""),INDIRECT(""'""&amp;CM$1&amp;""'!$D$4:$D$66"")=CM$2),$F$3:$BP$3,$F131:$BP131)))"),0.39991772000000003)</f>
        <v>0.39991772</v>
      </c>
      <c r="CN131" s="207" t="str">
        <f>IFERROR(__xludf.DUMMYFUNCTION("IF(OR(CM131&gt;$BR131+$BS131*$BS$2,CM131&lt;$BR131-$BS131*$BS$2),AVEDEV(ARRAYFORMULA(XLOOKUP(FILTER(INDIRECT(""'""&amp;CM$1&amp;""'!$C$4:$C$66""),INDIRECT(""'""&amp;CM$1&amp;""'!$D$4:$D$66"")=CM$2),$F$3:$BP$3,$F131:$BP131))),"""")"),"")</f>
        <v/>
      </c>
      <c r="CO131" s="252"/>
      <c r="CP131" s="251">
        <f>IFERROR(__xludf.DUMMYFUNCTION("AVERAGE(ARRAYFORMULA(XLOOKUP(FILTER(INDIRECT(""'""&amp;CP$1&amp;""'!$C$4:$C$66""),INDIRECT(""'""&amp;CP$1&amp;""'!$D$4:$D$66"")=CP$2),$F$3:$BP$3,$F131:$BP131)))"),-0.24390724142857137)</f>
        <v>-0.2439072414</v>
      </c>
      <c r="CQ131" s="207" t="str">
        <f>IFERROR(__xludf.DUMMYFUNCTION("IF(OR(CP131&gt;$BR131+$BS131*$BS$2,CP131&lt;$BR131-$BS131*$BS$2),AVEDEV(ARRAYFORMULA(XLOOKUP(FILTER(INDIRECT(""'""&amp;CP$1&amp;""'!$C$4:$C$66""),INDIRECT(""'""&amp;CP$1&amp;""'!$D$4:$D$66"")=CP$2),$F$3:$BP$3,$F131:$BP131))),"""")"),"")</f>
        <v/>
      </c>
      <c r="CR131" s="251">
        <f>IFERROR(__xludf.DUMMYFUNCTION("AVERAGE(ARRAYFORMULA(XLOOKUP(FILTER(INDIRECT(""'""&amp;CR$1&amp;""'!$C$4:$C$66""),INDIRECT(""'""&amp;CR$1&amp;""'!$D$4:$D$66"")=CR$2),$F$3:$BP$3,$F131:$BP131)))"),0.5515785966666666)</f>
        <v>0.5515785967</v>
      </c>
      <c r="CS131" s="207">
        <f>IFERROR(__xludf.DUMMYFUNCTION("IF(OR(CR131&gt;$BR131+$BS131*$BS$2,CR131&lt;$BR131-$BS131*$BS$2),AVEDEV(ARRAYFORMULA(XLOOKUP(FILTER(INDIRECT(""'""&amp;CR$1&amp;""'!$C$4:$C$66""),INDIRECT(""'""&amp;CR$1&amp;""'!$D$4:$D$66"")=CR$2),$F$3:$BP$3,$F131:$BP131))),"""")"),0.20020587629629627)</f>
        <v>0.2002058763</v>
      </c>
      <c r="CT131" s="251">
        <f>IFERROR(__xludf.DUMMYFUNCTION("AVERAGE(ARRAYFORMULA(XLOOKUP(FILTER(INDIRECT(""'""&amp;CT$1&amp;""'!$C$4:$C$66""),INDIRECT(""'""&amp;CT$1&amp;""'!$D$4:$D$66"")=CT$2),$F$3:$BP$3,$F131:$BP131)))"),0.10517128272727277)</f>
        <v>0.1051712827</v>
      </c>
      <c r="CU131" s="207" t="str">
        <f>IFERROR(__xludf.DUMMYFUNCTION("IF(OR(CT131&gt;$BR131+$BS131*$BS$2,CT131&lt;$BR131-$BS131*$BS$2),AVEDEV(ARRAYFORMULA(XLOOKUP(FILTER(INDIRECT(""'""&amp;CT$1&amp;""'!$C$4:$C$66""),INDIRECT(""'""&amp;CT$1&amp;""'!$D$4:$D$66"")=CT$2),$F$3:$BP$3,$F131:$BP131))),"""")"),"")</f>
        <v/>
      </c>
      <c r="CV131" s="251">
        <f>IFERROR(__xludf.DUMMYFUNCTION("AVERAGE(ARRAYFORMULA(XLOOKUP(FILTER(INDIRECT(""'""&amp;CV$1&amp;""'!$C$4:$C$66""),INDIRECT(""'""&amp;CV$1&amp;""'!$D$4:$D$66"")=CV$2),$F$3:$BP$3,$F131:$BP131)))"),0.35710368)</f>
        <v>0.35710368</v>
      </c>
      <c r="CW131" s="207" t="str">
        <f>IFERROR(__xludf.DUMMYFUNCTION("IF(OR(CV131&gt;$BR131+$BS131*$BS$2,CV131&lt;$BR131-$BS131*$BS$2),AVEDEV(ARRAYFORMULA(XLOOKUP(FILTER(INDIRECT(""'""&amp;CV$1&amp;""'!$C$4:$C$66""),INDIRECT(""'""&amp;CV$1&amp;""'!$D$4:$D$66"")=CV$2),$F$3:$BP$3,$F131:$BP131))),"""")"),"")</f>
        <v/>
      </c>
      <c r="CX131" s="251">
        <f>IFERROR(__xludf.DUMMYFUNCTION("AVERAGE(ARRAYFORMULA(XLOOKUP(FILTER(INDIRECT(""'""&amp;CX$1&amp;""'!$C$4:$C$66""),INDIRECT(""'""&amp;CX$1&amp;""'!$D$4:$D$66"")=CX$2),$F$3:$BP$3,$F131:$BP131)))"),-0.11328462142857142)</f>
        <v>-0.1132846214</v>
      </c>
      <c r="CY131" s="207" t="str">
        <f>IFERROR(__xludf.DUMMYFUNCTION("IF(OR(CX131&gt;$BR131+$BS131*$BS$2,CX131&lt;$BR131-$BS131*$BS$2),AVEDEV(ARRAYFORMULA(XLOOKUP(FILTER(INDIRECT(""'""&amp;CX$1&amp;""'!$C$4:$C$66""),INDIRECT(""'""&amp;CX$1&amp;""'!$D$4:$D$66"")=CX$2),$F$3:$BP$3,$F131:$BP131))),"""")"),"")</f>
        <v/>
      </c>
      <c r="CZ131" s="252"/>
      <c r="DA131" s="251">
        <f>IFERROR(__xludf.DUMMYFUNCTION("AVERAGE(ARRAYFORMULA(XLOOKUP(FILTER(INDIRECT(""'""&amp;DA$1&amp;""'!$C$4:$C$66""),INDIRECT(""'""&amp;DA$1&amp;""'!$D$4:$D$66"")=DA$2),$F$3:$BP$3,$F131:$BP131)))"),-0.13192998533333333)</f>
        <v>-0.1319299853</v>
      </c>
      <c r="DB131" s="207" t="str">
        <f>IFERROR(__xludf.DUMMYFUNCTION("IF(OR(DA131&gt;$BR131+$BS131*$BS$2,DA131&lt;$BR131-$BS131*$BS$2),AVEDEV(ARRAYFORMULA(XLOOKUP(FILTER(INDIRECT(""'""&amp;DA$1&amp;""'!$C$4:$C$66""),INDIRECT(""'""&amp;DA$1&amp;""'!$D$4:$D$66"")=DA$2),$F$3:$BP$3,$F131:$BP131))),"""")"),"")</f>
        <v/>
      </c>
      <c r="DC131" s="251">
        <f>IFERROR(__xludf.DUMMYFUNCTION("AVERAGE(ARRAYFORMULA(XLOOKUP(FILTER(INDIRECT(""'""&amp;DC$1&amp;""'!$C$4:$C$66""),INDIRECT(""'""&amp;DC$1&amp;""'!$D$4:$D$66"")=DC$2),$F$3:$BP$3,$F131:$BP131)))"),0.34518802666666665)</f>
        <v>0.3451880267</v>
      </c>
      <c r="DD131" s="207" t="str">
        <f>IFERROR(__xludf.DUMMYFUNCTION("IF(OR(DC131&gt;$BR131+$BS131*$BS$2,DC131&lt;$BR131-$BS131*$BS$2),AVEDEV(ARRAYFORMULA(XLOOKUP(FILTER(INDIRECT(""'""&amp;DC$1&amp;""'!$C$4:$C$66""),INDIRECT(""'""&amp;DC$1&amp;""'!$D$4:$D$66"")=DC$2),$F$3:$BP$3,$F131:$BP131))),"""")"),"")</f>
        <v/>
      </c>
      <c r="DE131" s="251">
        <f>IFERROR(__xludf.DUMMYFUNCTION("AVERAGE(ARRAYFORMULA(XLOOKUP(FILTER(INDIRECT(""'""&amp;DE$1&amp;""'!$C$4:$C$66""),INDIRECT(""'""&amp;DE$1&amp;""'!$D$4:$D$66"")=DE$2),$F$3:$BP$3,$F131:$BP131)))"),-0.37503428625)</f>
        <v>-0.3750342863</v>
      </c>
      <c r="DF131" s="207" t="str">
        <f>IFERROR(__xludf.DUMMYFUNCTION("IF(OR(DE131&gt;$BR131+$BS131*$BS$2,DE131&lt;$BR131-$BS131*$BS$2),AVEDEV(ARRAYFORMULA(XLOOKUP(FILTER(INDIRECT(""'""&amp;DE$1&amp;""'!$C$4:$C$66""),INDIRECT(""'""&amp;DE$1&amp;""'!$D$4:$D$66"")=DE$2),$F$3:$BP$3,$F131:$BP131))),"""")"),"")</f>
        <v/>
      </c>
      <c r="DG131" s="251">
        <f>IFERROR(__xludf.DUMMYFUNCTION("AVERAGE(ARRAYFORMULA(XLOOKUP(FILTER(INDIRECT(""'""&amp;DG$1&amp;""'!$C$4:$C$66""),INDIRECT(""'""&amp;DG$1&amp;""'!$D$4:$D$66"")=DG$2),$F$3:$BP$3,$F131:$BP131)))"),0.5047997788888889)</f>
        <v>0.5047997789</v>
      </c>
      <c r="DH131" s="207">
        <f>IFERROR(__xludf.DUMMYFUNCTION("IF(OR(DG131&gt;$BR131+$BS131*$BS$2,DG131&lt;$BR131-$BS131*$BS$2),AVEDEV(ARRAYFORMULA(XLOOKUP(FILTER(INDIRECT(""'""&amp;DG$1&amp;""'!$C$4:$C$66""),INDIRECT(""'""&amp;DG$1&amp;""'!$D$4:$D$66"")=DG$2),$F$3:$BP$3,$F131:$BP131))),"""")"),0.2275857898765432)</f>
        <v>0.2275857899</v>
      </c>
      <c r="DI131" s="252"/>
    </row>
    <row r="132">
      <c r="A132" s="2"/>
      <c r="B132" s="204" t="s">
        <v>540</v>
      </c>
      <c r="C132" s="204" t="s">
        <v>575</v>
      </c>
      <c r="D132" s="205" t="b">
        <f>VLOOKUP(C132,'Feature Set List'!A129:C246,2,0)</f>
        <v>1</v>
      </c>
      <c r="E132" s="205" t="b">
        <f>VLOOKUP(C132,'Feature Set List'!A129:C246,3,0)</f>
        <v>0</v>
      </c>
      <c r="F132" s="205">
        <v>11.6908605</v>
      </c>
      <c r="G132" s="205">
        <v>-0.2866966</v>
      </c>
      <c r="H132" s="205">
        <v>0.69477605</v>
      </c>
      <c r="I132" s="205">
        <v>-0.348534</v>
      </c>
      <c r="J132" s="205">
        <v>0.01623532</v>
      </c>
      <c r="K132" s="205">
        <v>-0.4702512</v>
      </c>
      <c r="L132" s="205">
        <v>-0.5498997</v>
      </c>
      <c r="M132" s="205">
        <v>0.05586859</v>
      </c>
      <c r="N132" s="205">
        <v>-0.4823322</v>
      </c>
      <c r="O132" s="205">
        <v>8.82102951</v>
      </c>
      <c r="P132" s="205">
        <v>-0.4207812</v>
      </c>
      <c r="Q132" s="205">
        <v>-0.4552574</v>
      </c>
      <c r="R132" s="205">
        <v>0.62314965</v>
      </c>
      <c r="S132" s="205">
        <v>12.6315538</v>
      </c>
      <c r="T132" s="205">
        <v>-0.5679018</v>
      </c>
      <c r="U132" s="205">
        <v>-0.5451724</v>
      </c>
      <c r="V132" s="205">
        <v>-0.4023971</v>
      </c>
      <c r="W132" s="205">
        <v>0.22013179</v>
      </c>
      <c r="X132" s="205">
        <v>2.52220418</v>
      </c>
      <c r="Y132" s="205">
        <v>0.15662305</v>
      </c>
      <c r="Z132" s="205">
        <v>0.15041543</v>
      </c>
      <c r="AA132" s="205">
        <v>-0.0974119</v>
      </c>
      <c r="AB132" s="205">
        <v>-0.3491548</v>
      </c>
      <c r="AC132" s="205">
        <v>0.35526693</v>
      </c>
      <c r="AD132" s="205">
        <v>0.01766784</v>
      </c>
      <c r="AE132" s="205">
        <v>-0.4569287</v>
      </c>
      <c r="AF132" s="205">
        <v>-0.4309044</v>
      </c>
      <c r="AG132" s="205">
        <v>-0.12845</v>
      </c>
      <c r="AH132" s="205">
        <v>0.0</v>
      </c>
      <c r="AI132" s="205">
        <v>1.08490116</v>
      </c>
      <c r="AJ132" s="205">
        <v>-0.2573775</v>
      </c>
      <c r="AK132" s="205">
        <v>-0.2124916</v>
      </c>
      <c r="AL132" s="205">
        <v>0.5949766</v>
      </c>
      <c r="AM132" s="205">
        <v>-0.382676</v>
      </c>
      <c r="AN132" s="205">
        <v>-0.5192914</v>
      </c>
      <c r="AO132" s="205">
        <v>0.18384108</v>
      </c>
      <c r="AP132" s="205">
        <v>0.23923217</v>
      </c>
      <c r="AQ132" s="205">
        <v>-0.3991978</v>
      </c>
      <c r="AR132" s="205">
        <v>5.58351638</v>
      </c>
      <c r="AS132" s="205">
        <v>-0.369449</v>
      </c>
      <c r="AT132" s="205">
        <v>0.25833254</v>
      </c>
      <c r="AU132" s="205">
        <v>1.10543406</v>
      </c>
      <c r="AV132" s="205">
        <v>1.14315729</v>
      </c>
      <c r="AW132" s="205">
        <v>-0.4058829</v>
      </c>
      <c r="AX132" s="205">
        <v>-0.5232547</v>
      </c>
      <c r="AY132" s="205">
        <v>-0.2077166</v>
      </c>
      <c r="AZ132" s="205">
        <v>8.60137523</v>
      </c>
      <c r="BA132" s="205">
        <v>-0.449193</v>
      </c>
      <c r="BB132" s="205">
        <v>-0.1093496</v>
      </c>
      <c r="BC132" s="205">
        <v>1.28115748</v>
      </c>
      <c r="BD132" s="205">
        <v>0.53528794</v>
      </c>
      <c r="BE132" s="205">
        <v>-0.5317544</v>
      </c>
      <c r="BF132" s="205">
        <v>14.3649126</v>
      </c>
      <c r="BG132" s="205">
        <v>0.0974119</v>
      </c>
      <c r="BH132" s="205">
        <v>-0.2172667</v>
      </c>
      <c r="BI132" s="205">
        <v>0.26358514</v>
      </c>
      <c r="BJ132" s="205">
        <v>-0.2158342</v>
      </c>
      <c r="BK132" s="205">
        <v>-0.2938592</v>
      </c>
      <c r="BL132" s="205">
        <v>-0.0062076</v>
      </c>
      <c r="BM132" s="205">
        <v>3.65581129</v>
      </c>
      <c r="BN132" s="205">
        <v>1.98166364</v>
      </c>
      <c r="BO132" s="205">
        <v>0.0563461</v>
      </c>
      <c r="BP132" s="205">
        <v>1.29405023</v>
      </c>
      <c r="BQ132" s="206"/>
      <c r="BR132" s="250">
        <f t="shared" si="1"/>
        <v>1.098220633</v>
      </c>
      <c r="BS132" s="250">
        <f t="shared" si="2"/>
        <v>1.917455808</v>
      </c>
      <c r="BT132" s="206"/>
      <c r="BU132" s="207">
        <f>IFERROR(__xludf.DUMMYFUNCTION("AVERAGE(ARRAYFORMULA(XLOOKUP(FILTER(INDIRECT(""'""&amp;BU$1&amp;""'!$C$4:$C$66""),INDIRECT(""'""&amp;BU$1&amp;""'!$D$4:$D$66"")=BU$2),$F$3:$BP$3,$F132:$BP132)))"),-0.2282971957142857)</f>
        <v>-0.2282971957</v>
      </c>
      <c r="BV132" s="207" t="str">
        <f>IFERROR(__xludf.DUMMYFUNCTION("IF(OR(BU132&gt;$BR132+$BS132*$BS$2,BU132&lt;$BR132-$BS132*$BS$2),AVEDEV(ARRAYFORMULA(XLOOKUP(FILTER(INDIRECT(""'""&amp;BU$1&amp;""'!$C$4:$C$66""),INDIRECT(""'""&amp;BU$1&amp;""'!$D$4:$D$66"")=BU$2),$F$3:$BP$3,$F132:$BP132))),"""")"),"")</f>
        <v/>
      </c>
      <c r="BW132" s="207">
        <f>IFERROR(__xludf.DUMMYFUNCTION("AVERAGE(ARRAYFORMULA(XLOOKUP(FILTER(INDIRECT(""'""&amp;BW$1&amp;""'!$C$4:$C$66""),INDIRECT(""'""&amp;BW$1&amp;""'!$D$4:$D$66"")=BW$2),$F$3:$BP$3,$F132:$BP132)))"),0.6280498059523809)</f>
        <v>0.628049806</v>
      </c>
      <c r="BX132" s="207" t="str">
        <f>IFERROR(__xludf.DUMMYFUNCTION("IF(OR(BW132&gt;$BR132+$BS132*$BS$2,BW132&lt;$BR132-$BS132*$BS$2),AVEDEV(ARRAYFORMULA(XLOOKUP(FILTER(INDIRECT(""'""&amp;BW$1&amp;""'!$C$4:$C$66""),INDIRECT(""'""&amp;BW$1&amp;""'!$D$4:$D$66"")=BW$2),$F$3:$BP$3,$F132:$BP132))),"""")"),"")</f>
        <v/>
      </c>
      <c r="BY132" s="207">
        <f>IFERROR(__xludf.DUMMYFUNCTION("AVERAGE(ARRAYFORMULA(XLOOKUP(FILTER(INDIRECT(""'""&amp;BY$1&amp;""'!$C$4:$C$66""),INDIRECT(""'""&amp;BY$1&amp;""'!$D$4:$D$66"")=BY$2),$F$3:$BP$3,$F132:$BP132)))"),3.8339656654545453)</f>
        <v>3.833965665</v>
      </c>
      <c r="BZ132" s="207">
        <f>IFERROR(__xludf.DUMMYFUNCTION("IF(OR(BY132&gt;$BR132+$BS132*$BS$2,BY132&lt;$BR132-$BS132*$BS$2),AVEDEV(ARRAYFORMULA(XLOOKUP(FILTER(INDIRECT(""'""&amp;BY$1&amp;""'!$C$4:$C$66""),INDIRECT(""'""&amp;BY$1&amp;""'!$D$4:$D$66"")=BY$2),$F$3:$BP$3,$F132:$BP132))),"""")"),4.8016284323966945)</f>
        <v>4.801628432</v>
      </c>
      <c r="CA132" s="209"/>
      <c r="CB132" s="207">
        <f>IFERROR(__xludf.DUMMYFUNCTION("AVERAGE(ARRAYFORMULA(XLOOKUP(FILTER(INDIRECT(""'""&amp;CB$1&amp;""'!$C$4:$C$66""),INDIRECT(""'""&amp;CB$1&amp;""'!$D$4:$D$66"")=CB$2),$F$3:$BP$3,$F132:$BP132)))"),-0.133186300625)</f>
        <v>-0.1331863006</v>
      </c>
      <c r="CC132" s="207" t="str">
        <f>IFERROR(__xludf.DUMMYFUNCTION("IF(OR(CB132&gt;$BR132+$BS132*$BS$2,CB132&lt;$BR132-$BS132*$BS$2),AVEDEV(ARRAYFORMULA(XLOOKUP(FILTER(INDIRECT(""'""&amp;CB$1&amp;""'!$C$4:$C$66""),INDIRECT(""'""&amp;CB$1&amp;""'!$D$4:$D$66"")=CB$2),$F$3:$BP$3,$F132:$BP132))),"""")"),"")</f>
        <v/>
      </c>
      <c r="CD132" s="207">
        <f>IFERROR(__xludf.DUMMYFUNCTION("AVERAGE(ARRAYFORMULA(XLOOKUP(FILTER(INDIRECT(""'""&amp;CD$1&amp;""'!$C$4:$C$66""),INDIRECT(""'""&amp;CD$1&amp;""'!$D$4:$D$66"")=CD$2),$F$3:$BP$3,$F132:$BP132)))"),0.21980677612903227)</f>
        <v>0.2198067761</v>
      </c>
      <c r="CE132" s="207" t="str">
        <f>IFERROR(__xludf.DUMMYFUNCTION("IF(OR(CD132&gt;$BR132+$BS132*$BS$2,CD132&lt;$BR132-$BS132*$BS$2),AVEDEV(ARRAYFORMULA(XLOOKUP(FILTER(INDIRECT(""'""&amp;CD$1&amp;""'!$C$4:$C$66""),INDIRECT(""'""&amp;CD$1&amp;""'!$D$4:$D$66"")=CD$2),$F$3:$BP$3,$F132:$BP132))),"""")"),"")</f>
        <v/>
      </c>
      <c r="CF132" s="207">
        <f>IFERROR(__xludf.DUMMYFUNCTION("AVERAGE(ARRAYFORMULA(XLOOKUP(FILTER(INDIRECT(""'""&amp;CF$1&amp;""'!$C$4:$C$66""),INDIRECT(""'""&amp;CF$1&amp;""'!$D$4:$D$66"")=CF$2),$F$3:$BP$3,$F132:$BP132)))"),10.000477504)</f>
        <v>10.0004775</v>
      </c>
      <c r="CG132" s="207">
        <f>IFERROR(__xludf.DUMMYFUNCTION("IF(OR(CF132&gt;$BR132+$BS132*$BS$2,CF132&lt;$BR132-$BS132*$BS$2),AVEDEV(ARRAYFORMULA(XLOOKUP(FILTER(INDIRECT(""'""&amp;CF$1&amp;""'!$C$4:$C$66""),INDIRECT(""'""&amp;CF$1&amp;""'!$D$4:$D$66"")=CF$2),$F$3:$BP$3,$F132:$BP132))),"""")"),2.7982045567999996)</f>
        <v>2.798204557</v>
      </c>
      <c r="CH132" s="206"/>
      <c r="CI132" s="251">
        <f>IFERROR(__xludf.DUMMYFUNCTION("AVERAGE(ARRAYFORMULA(XLOOKUP(FILTER(INDIRECT(""'""&amp;CI$1&amp;""'!$C$4:$C$66""),INDIRECT(""'""&amp;CI$1&amp;""'!$D$4:$D$66"")=CI$2),$F$3:$BP$3,$F132:$BP132)))"),1.0137554539999998)</f>
        <v>1.013755454</v>
      </c>
      <c r="CJ132" s="207" t="str">
        <f>IFERROR(__xludf.DUMMYFUNCTION("IF(OR(CI132&gt;$BR132+$BS132*$BS$2,CI132&lt;$BR132-$BS132*$BS$2),AVEDEV(ARRAYFORMULA(XLOOKUP(FILTER(INDIRECT(""'""&amp;CI$1&amp;""'!$C$4:$C$66""),INDIRECT(""'""&amp;CI$1&amp;""'!$D$4:$D$66"")=CI$2),$F$3:$BP$3,$F132:$BP132))),"""")"),"")</f>
        <v/>
      </c>
      <c r="CK132" s="251">
        <f>IFERROR(__xludf.DUMMYFUNCTION("AVERAGE(ARRAYFORMULA(XLOOKUP(FILTER(INDIRECT(""'""&amp;CK$1&amp;""'!$C$4:$C$66""),INDIRECT(""'""&amp;CK$1&amp;""'!$D$4:$D$66"")=CK$2),$F$3:$BP$3,$F132:$BP132)))"),0.05227624794871794)</f>
        <v>0.05227624795</v>
      </c>
      <c r="CL132" s="207" t="str">
        <f>IFERROR(__xludf.DUMMYFUNCTION("IF(OR(CK132&gt;$BR132+$BS132*$BS$2,CK132&lt;$BR132-$BS132*$BS$2),AVEDEV(ARRAYFORMULA(XLOOKUP(FILTER(INDIRECT(""'""&amp;CK$1&amp;""'!$C$4:$C$66""),INDIRECT(""'""&amp;CK$1&amp;""'!$D$4:$D$66"")=CK$2),$F$3:$BP$3,$F132:$BP132))),"""")"),"")</f>
        <v/>
      </c>
      <c r="CM132" s="251">
        <f>IFERROR(__xludf.DUMMYFUNCTION("AVERAGE(ARRAYFORMULA(XLOOKUP(FILTER(INDIRECT(""'""&amp;CM$1&amp;""'!$C$4:$C$66""),INDIRECT(""'""&amp;CM$1&amp;""'!$D$4:$D$66"")=CM$2),$F$3:$BP$3,$F132:$BP132)))"),10.000477504)</f>
        <v>10.0004775</v>
      </c>
      <c r="CN132" s="207">
        <f>IFERROR(__xludf.DUMMYFUNCTION("IF(OR(CM132&gt;$BR132+$BS132*$BS$2,CM132&lt;$BR132-$BS132*$BS$2),AVEDEV(ARRAYFORMULA(XLOOKUP(FILTER(INDIRECT(""'""&amp;CM$1&amp;""'!$C$4:$C$66""),INDIRECT(""'""&amp;CM$1&amp;""'!$D$4:$D$66"")=CM$2),$F$3:$BP$3,$F132:$BP132))),"""")"),2.7982045567999996)</f>
        <v>2.798204557</v>
      </c>
      <c r="CO132" s="252"/>
      <c r="CP132" s="251">
        <f>IFERROR(__xludf.DUMMYFUNCTION("AVERAGE(ARRAYFORMULA(XLOOKUP(FILTER(INDIRECT(""'""&amp;CP$1&amp;""'!$C$4:$C$66""),INDIRECT(""'""&amp;CP$1&amp;""'!$D$4:$D$66"")=CP$2),$F$3:$BP$3,$F132:$BP132)))"),-0.08492843785714288)</f>
        <v>-0.08492843786</v>
      </c>
      <c r="CQ132" s="207" t="str">
        <f>IFERROR(__xludf.DUMMYFUNCTION("IF(OR(CP132&gt;$BR132+$BS132*$BS$2,CP132&lt;$BR132-$BS132*$BS$2),AVEDEV(ARRAYFORMULA(XLOOKUP(FILTER(INDIRECT(""'""&amp;CP$1&amp;""'!$C$4:$C$66""),INDIRECT(""'""&amp;CP$1&amp;""'!$D$4:$D$66"")=CP$2),$F$3:$BP$3,$F132:$BP132))),"""")"),"")</f>
        <v/>
      </c>
      <c r="CR132" s="251">
        <f>IFERROR(__xludf.DUMMYFUNCTION("AVERAGE(ARRAYFORMULA(XLOOKUP(FILTER(INDIRECT(""'""&amp;CR$1&amp;""'!$C$4:$C$66""),INDIRECT(""'""&amp;CR$1&amp;""'!$D$4:$D$66"")=CR$2),$F$3:$BP$3,$F132:$BP132)))"),4.7097273911111115)</f>
        <v>4.709727391</v>
      </c>
      <c r="CS132" s="207">
        <f>IFERROR(__xludf.DUMMYFUNCTION("IF(OR(CR132&gt;$BR132+$BS132*$BS$2,CR132&lt;$BR132-$BS132*$BS$2),AVEDEV(ARRAYFORMULA(XLOOKUP(FILTER(INDIRECT(""'""&amp;CR$1&amp;""'!$C$4:$C$66""),INDIRECT(""'""&amp;CR$1&amp;""'!$D$4:$D$66"")=CR$2),$F$3:$BP$3,$F132:$BP132))),"""")"),5.090202105679013)</f>
        <v>5.090202106</v>
      </c>
      <c r="CT132" s="251">
        <f>IFERROR(__xludf.DUMMYFUNCTION("AVERAGE(ARRAYFORMULA(XLOOKUP(FILTER(INDIRECT(""'""&amp;CT$1&amp;""'!$C$4:$C$66""),INDIRECT(""'""&amp;CT$1&amp;""'!$D$4:$D$66"")=CT$2),$F$3:$BP$3,$F132:$BP132)))"),1.6062154254545455)</f>
        <v>1.606215425</v>
      </c>
      <c r="CU132" s="207" t="str">
        <f>IFERROR(__xludf.DUMMYFUNCTION("IF(OR(CT132&gt;$BR132+$BS132*$BS$2,CT132&lt;$BR132-$BS132*$BS$2),AVEDEV(ARRAYFORMULA(XLOOKUP(FILTER(INDIRECT(""'""&amp;CT$1&amp;""'!$C$4:$C$66""),INDIRECT(""'""&amp;CT$1&amp;""'!$D$4:$D$66"")=CT$2),$F$3:$BP$3,$F132:$BP132))),"""")"),"")</f>
        <v/>
      </c>
      <c r="CV132" s="251">
        <f>IFERROR(__xludf.DUMMYFUNCTION("AVERAGE(ARRAYFORMULA(XLOOKUP(FILTER(INDIRECT(""'""&amp;CV$1&amp;""'!$C$4:$C$66""),INDIRECT(""'""&amp;CV$1&amp;""'!$D$4:$D$66"")=CV$2),$F$3:$BP$3,$F132:$BP132)))"),0.226339415)</f>
        <v>0.226339415</v>
      </c>
      <c r="CW132" s="207" t="str">
        <f>IFERROR(__xludf.DUMMYFUNCTION("IF(OR(CV132&gt;$BR132+$BS132*$BS$2,CV132&lt;$BR132-$BS132*$BS$2),AVEDEV(ARRAYFORMULA(XLOOKUP(FILTER(INDIRECT(""'""&amp;CV$1&amp;""'!$C$4:$C$66""),INDIRECT(""'""&amp;CV$1&amp;""'!$D$4:$D$66"")=CV$2),$F$3:$BP$3,$F132:$BP132))),"""")"),"")</f>
        <v/>
      </c>
      <c r="CX132" s="251">
        <f>IFERROR(__xludf.DUMMYFUNCTION("AVERAGE(ARRAYFORMULA(XLOOKUP(FILTER(INDIRECT(""'""&amp;CX$1&amp;""'!$C$4:$C$66""),INDIRECT(""'""&amp;CX$1&amp;""'!$D$4:$D$66"")=CX$2),$F$3:$BP$3,$F132:$BP132)))"),0.2598980835714286)</f>
        <v>0.2598980836</v>
      </c>
      <c r="CY132" s="207" t="str">
        <f>IFERROR(__xludf.DUMMYFUNCTION("IF(OR(CX132&gt;$BR132+$BS132*$BS$2,CX132&lt;$BR132-$BS132*$BS$2),AVEDEV(ARRAYFORMULA(XLOOKUP(FILTER(INDIRECT(""'""&amp;CX$1&amp;""'!$C$4:$C$66""),INDIRECT(""'""&amp;CX$1&amp;""'!$D$4:$D$66"")=CX$2),$F$3:$BP$3,$F132:$BP132))),"""")"),"")</f>
        <v/>
      </c>
      <c r="CZ132" s="252"/>
      <c r="DA132" s="251">
        <f>IFERROR(__xludf.DUMMYFUNCTION("AVERAGE(ARRAYFORMULA(XLOOKUP(FILTER(INDIRECT(""'""&amp;DA$1&amp;""'!$C$4:$C$66""),INDIRECT(""'""&amp;DA$1&amp;""'!$D$4:$D$66"")=DA$2),$F$3:$BP$3,$F132:$BP132)))"),0.3808423286666667)</f>
        <v>0.3808423287</v>
      </c>
      <c r="DB132" s="207" t="str">
        <f>IFERROR(__xludf.DUMMYFUNCTION("IF(OR(DA132&gt;$BR132+$BS132*$BS$2,DA132&lt;$BR132-$BS132*$BS$2),AVEDEV(ARRAYFORMULA(XLOOKUP(FILTER(INDIRECT(""'""&amp;DA$1&amp;""'!$C$4:$C$66""),INDIRECT(""'""&amp;DA$1&amp;""'!$D$4:$D$66"")=DA$2),$F$3:$BP$3,$F132:$BP132))),"""")"),"")</f>
        <v/>
      </c>
      <c r="DC132" s="251">
        <f>IFERROR(__xludf.DUMMYFUNCTION("AVERAGE(ARRAYFORMULA(XLOOKUP(FILTER(INDIRECT(""'""&amp;DC$1&amp;""'!$C$4:$C$66""),INDIRECT(""'""&amp;DC$1&amp;""'!$D$4:$D$66"")=DC$2),$F$3:$BP$3,$F132:$BP132)))"),4.602388611111111)</f>
        <v>4.602388611</v>
      </c>
      <c r="DD132" s="207">
        <f>IFERROR(__xludf.DUMMYFUNCTION("IF(OR(DC132&gt;$BR132+$BS132*$BS$2,DC132&lt;$BR132-$BS132*$BS$2),AVEDEV(ARRAYFORMULA(XLOOKUP(FILTER(INDIRECT(""'""&amp;DC$1&amp;""'!$C$4:$C$66""),INDIRECT(""'""&amp;DC$1&amp;""'!$D$4:$D$66"")=DC$2),$F$3:$BP$3,$F132:$BP132))),"""")"),5.185614354567901)</f>
        <v>5.185614355</v>
      </c>
      <c r="DE132" s="251">
        <f>IFERROR(__xludf.DUMMYFUNCTION("AVERAGE(ARRAYFORMULA(XLOOKUP(FILTER(INDIRECT(""'""&amp;DE$1&amp;""'!$C$4:$C$66""),INDIRECT(""'""&amp;DE$1&amp;""'!$D$4:$D$66"")=DE$2),$F$3:$BP$3,$F132:$BP132)))"),-0.04724955750000001)</f>
        <v>-0.0472495575</v>
      </c>
      <c r="DF132" s="207" t="str">
        <f>IFERROR(__xludf.DUMMYFUNCTION("IF(OR(DE132&gt;$BR132+$BS132*$BS$2,DE132&lt;$BR132-$BS132*$BS$2),AVEDEV(ARRAYFORMULA(XLOOKUP(FILTER(INDIRECT(""'""&amp;DE$1&amp;""'!$C$4:$C$66""),INDIRECT(""'""&amp;DE$1&amp;""'!$D$4:$D$66"")=DE$2),$F$3:$BP$3,$F132:$BP132))),"""")"),"")</f>
        <v/>
      </c>
      <c r="DG132" s="251">
        <f>IFERROR(__xludf.DUMMYFUNCTION("AVERAGE(ARRAYFORMULA(XLOOKUP(FILTER(INDIRECT(""'""&amp;DG$1&amp;""'!$C$4:$C$66""),INDIRECT(""'""&amp;DG$1&amp;""'!$D$4:$D$66"")=DG$2),$F$3:$BP$3,$F132:$BP132)))"),1.7196755011111113)</f>
        <v>1.719675501</v>
      </c>
      <c r="DH132" s="207" t="str">
        <f>IFERROR(__xludf.DUMMYFUNCTION("IF(OR(DG132&gt;$BR132+$BS132*$BS$2,DG132&lt;$BR132-$BS132*$BS$2),AVEDEV(ARRAYFORMULA(XLOOKUP(FILTER(INDIRECT(""'""&amp;DG$1&amp;""'!$C$4:$C$66""),INDIRECT(""'""&amp;DG$1&amp;""'!$D$4:$D$66"")=DG$2),$F$3:$BP$3,$F132:$BP132))),"""")"),"")</f>
        <v/>
      </c>
      <c r="DI132" s="252"/>
    </row>
    <row r="133">
      <c r="A133" s="2"/>
      <c r="B133" s="204" t="s">
        <v>540</v>
      </c>
      <c r="C133" s="204" t="s">
        <v>576</v>
      </c>
      <c r="D133" s="205" t="b">
        <f>VLOOKUP(C133,'Feature Set List'!A130:C246,2,0)</f>
        <v>1</v>
      </c>
      <c r="E133" s="205" t="b">
        <f>VLOOKUP(C133,'Feature Set List'!A130:C246,3,0)</f>
        <v>1</v>
      </c>
      <c r="F133" s="205">
        <v>-0.1499456</v>
      </c>
      <c r="G133" s="205">
        <v>1.51848831</v>
      </c>
      <c r="H133" s="205">
        <v>4.04839587</v>
      </c>
      <c r="I133" s="205">
        <v>0.32939097</v>
      </c>
      <c r="J133" s="205">
        <v>-0.3900353</v>
      </c>
      <c r="K133" s="205">
        <v>0.46859706</v>
      </c>
      <c r="L133" s="205">
        <v>1.07123437</v>
      </c>
      <c r="M133" s="205">
        <v>-0.1016857</v>
      </c>
      <c r="N133" s="205">
        <v>0.06824361</v>
      </c>
      <c r="O133" s="205">
        <v>0.79431756</v>
      </c>
      <c r="P133" s="205">
        <v>-0.4755574</v>
      </c>
      <c r="Q133" s="205">
        <v>0.45731376</v>
      </c>
      <c r="R133" s="205">
        <v>-0.2258021</v>
      </c>
      <c r="S133" s="205">
        <v>-0.2271615</v>
      </c>
      <c r="T133" s="205">
        <v>2.63458401</v>
      </c>
      <c r="U133" s="205">
        <v>-0.4699565</v>
      </c>
      <c r="V133" s="205">
        <v>0.69154432</v>
      </c>
      <c r="W133" s="205">
        <v>-0.4140701</v>
      </c>
      <c r="X133" s="205">
        <v>-0.2566612</v>
      </c>
      <c r="Y133" s="205">
        <v>0.22009244</v>
      </c>
      <c r="Z133" s="205">
        <v>-0.2675367</v>
      </c>
      <c r="AA133" s="205">
        <v>1.48994018</v>
      </c>
      <c r="AB133" s="205">
        <v>-0.218869</v>
      </c>
      <c r="AC133" s="205">
        <v>0.97471452</v>
      </c>
      <c r="AD133" s="205">
        <v>-0.2574769</v>
      </c>
      <c r="AE133" s="205">
        <v>-0.1113377</v>
      </c>
      <c r="AF133" s="205">
        <v>-0.3942088</v>
      </c>
      <c r="AG133" s="205">
        <v>1.00326264</v>
      </c>
      <c r="AH133" s="205">
        <v>0.2271615</v>
      </c>
      <c r="AI133" s="205">
        <v>0.52446982</v>
      </c>
      <c r="AJ133" s="205">
        <v>-0.2822186</v>
      </c>
      <c r="AK133" s="205">
        <v>-0.12969</v>
      </c>
      <c r="AL133" s="205">
        <v>0.03262643</v>
      </c>
      <c r="AM133" s="205">
        <v>-0.180261</v>
      </c>
      <c r="AN133" s="205">
        <v>1.73735726</v>
      </c>
      <c r="AO133" s="205">
        <v>0.20595432</v>
      </c>
      <c r="AP133" s="205">
        <v>-0.3193312</v>
      </c>
      <c r="AQ133" s="205">
        <v>-0.3095432</v>
      </c>
      <c r="AR133" s="205">
        <v>3.53045133</v>
      </c>
      <c r="AS133" s="205">
        <v>-0.055329</v>
      </c>
      <c r="AT133" s="205">
        <v>10.3181077</v>
      </c>
      <c r="AU133" s="205">
        <v>1.62996194</v>
      </c>
      <c r="AV133" s="205">
        <v>-0.3168842</v>
      </c>
      <c r="AW133" s="205">
        <v>-0.223491</v>
      </c>
      <c r="AX133" s="205">
        <v>-0.376876</v>
      </c>
      <c r="AY133" s="205">
        <v>0.20241979</v>
      </c>
      <c r="AZ133" s="205">
        <v>0.1523926</v>
      </c>
      <c r="BA133" s="205">
        <v>-0.3061446</v>
      </c>
      <c r="BB133" s="205">
        <v>-0.394603</v>
      </c>
      <c r="BC133" s="205">
        <v>10.6620446</v>
      </c>
      <c r="BD133" s="205">
        <v>2.97580207</v>
      </c>
      <c r="BE133" s="205">
        <v>-0.2026917</v>
      </c>
      <c r="BF133" s="205">
        <v>-0.2100326</v>
      </c>
      <c r="BG133" s="205">
        <v>0.954323</v>
      </c>
      <c r="BH133" s="205">
        <v>-0.3066884</v>
      </c>
      <c r="BI133" s="205">
        <v>0.04159869</v>
      </c>
      <c r="BJ133" s="205">
        <v>-0.0908102</v>
      </c>
      <c r="BK133" s="205">
        <v>2.64274062</v>
      </c>
      <c r="BL133" s="205">
        <v>0.64355628</v>
      </c>
      <c r="BM133" s="205">
        <v>0.0</v>
      </c>
      <c r="BN133" s="205">
        <v>-0.3728929</v>
      </c>
      <c r="BO133" s="205">
        <v>0.15687874</v>
      </c>
      <c r="BP133" s="205">
        <v>-0.2472811</v>
      </c>
      <c r="BQ133" s="206"/>
      <c r="BR133" s="250">
        <f t="shared" si="1"/>
        <v>0.7003633827</v>
      </c>
      <c r="BS133" s="250">
        <f t="shared" si="2"/>
        <v>1.167616249</v>
      </c>
      <c r="BT133" s="206"/>
      <c r="BU133" s="207">
        <f>IFERROR(__xludf.DUMMYFUNCTION("AVERAGE(ARRAYFORMULA(XLOOKUP(FILTER(INDIRECT(""'""&amp;BU$1&amp;""'!$C$4:$C$66""),INDIRECT(""'""&amp;BU$1&amp;""'!$D$4:$D$66"")=BU$2),$F$3:$BP$3,$F133:$BP133)))"),1.2704847514285713)</f>
        <v>1.270484751</v>
      </c>
      <c r="BV133" s="207" t="str">
        <f>IFERROR(__xludf.DUMMYFUNCTION("IF(OR(BU133&gt;$BR133+$BS133*$BS$2,BU133&lt;$BR133-$BS133*$BS$2),AVEDEV(ARRAYFORMULA(XLOOKUP(FILTER(INDIRECT(""'""&amp;BU$1&amp;""'!$C$4:$C$66""),INDIRECT(""'""&amp;BU$1&amp;""'!$D$4:$D$66"")=BU$2),$F$3:$BP$3,$F133:$BP133))),"""")"),"")</f>
        <v/>
      </c>
      <c r="BW133" s="207">
        <f>IFERROR(__xludf.DUMMYFUNCTION("AVERAGE(ARRAYFORMULA(XLOOKUP(FILTER(INDIRECT(""'""&amp;BW$1&amp;""'!$C$4:$C$66""),INDIRECT(""'""&amp;BW$1&amp;""'!$D$4:$D$66"")=BW$2),$F$3:$BP$3,$F133:$BP133)))"),0.16480942142857144)</f>
        <v>0.1648094214</v>
      </c>
      <c r="BX133" s="207" t="str">
        <f>IFERROR(__xludf.DUMMYFUNCTION("IF(OR(BW133&gt;$BR133+$BS133*$BS$2,BW133&lt;$BR133-$BS133*$BS$2),AVEDEV(ARRAYFORMULA(XLOOKUP(FILTER(INDIRECT(""'""&amp;BW$1&amp;""'!$C$4:$C$66""),INDIRECT(""'""&amp;BW$1&amp;""'!$D$4:$D$66"")=BW$2),$F$3:$BP$3,$F133:$BP133))),"""")"),"")</f>
        <v/>
      </c>
      <c r="BY133" s="207">
        <f>IFERROR(__xludf.DUMMYFUNCTION("AVERAGE(ARRAYFORMULA(XLOOKUP(FILTER(INDIRECT(""'""&amp;BY$1&amp;""'!$C$4:$C$66""),INDIRECT(""'""&amp;BY$1&amp;""'!$D$4:$D$66"")=BY$2),$F$3:$BP$3,$F133:$BP133)))"),0.2980869072727273)</f>
        <v>0.2980869073</v>
      </c>
      <c r="BZ133" s="207" t="str">
        <f>IFERROR(__xludf.DUMMYFUNCTION("IF(OR(BY133&gt;$BR133+$BS133*$BS$2,BY133&lt;$BR133-$BS133*$BS$2),AVEDEV(ARRAYFORMULA(XLOOKUP(FILTER(INDIRECT(""'""&amp;BY$1&amp;""'!$C$4:$C$66""),INDIRECT(""'""&amp;BY$1&amp;""'!$D$4:$D$66"")=BY$2),$F$3:$BP$3,$F133:$BP133))),"""")"),"")</f>
        <v/>
      </c>
      <c r="CA133" s="209"/>
      <c r="CB133" s="207">
        <f>IFERROR(__xludf.DUMMYFUNCTION("AVERAGE(ARRAYFORMULA(XLOOKUP(FILTER(INDIRECT(""'""&amp;CB$1&amp;""'!$C$4:$C$66""),INDIRECT(""'""&amp;CB$1&amp;""'!$D$4:$D$66"")=CB$2),$F$3:$BP$3,$F133:$BP133)))"),0.11372603812500001)</f>
        <v>0.1137260381</v>
      </c>
      <c r="CC133" s="207" t="str">
        <f>IFERROR(__xludf.DUMMYFUNCTION("IF(OR(CB133&gt;$BR133+$BS133*$BS$2,CB133&lt;$BR133-$BS133*$BS$2),AVEDEV(ARRAYFORMULA(XLOOKUP(FILTER(INDIRECT(""'""&amp;CB$1&amp;""'!$C$4:$C$66""),INDIRECT(""'""&amp;CB$1&amp;""'!$D$4:$D$66"")=CB$2),$F$3:$BP$3,$F133:$BP133))),"""")"),"")</f>
        <v/>
      </c>
      <c r="CD133" s="207">
        <f>IFERROR(__xludf.DUMMYFUNCTION("AVERAGE(ARRAYFORMULA(XLOOKUP(FILTER(INDIRECT(""'""&amp;CD$1&amp;""'!$C$4:$C$66""),INDIRECT(""'""&amp;CD$1&amp;""'!$D$4:$D$66"")=CD$2),$F$3:$BP$3,$F133:$BP133)))"),0.31229192193548394)</f>
        <v>0.3122919219</v>
      </c>
      <c r="CE133" s="207" t="str">
        <f>IFERROR(__xludf.DUMMYFUNCTION("IF(OR(CD133&gt;$BR133+$BS133*$BS$2,CD133&lt;$BR133-$BS133*$BS$2),AVEDEV(ARRAYFORMULA(XLOOKUP(FILTER(INDIRECT(""'""&amp;CD$1&amp;""'!$C$4:$C$66""),INDIRECT(""'""&amp;CD$1&amp;""'!$D$4:$D$66"")=CD$2),$F$3:$BP$3,$F133:$BP133))),"""")"),"")</f>
        <v/>
      </c>
      <c r="CF133" s="207">
        <f>IFERROR(__xludf.DUMMYFUNCTION("AVERAGE(ARRAYFORMULA(XLOOKUP(FILTER(INDIRECT(""'""&amp;CF$1&amp;""'!$C$4:$C$66""),INDIRECT(""'""&amp;CF$1&amp;""'!$D$4:$D$66"")=CF$2),$F$3:$BP$3,$F133:$BP133)))"),0.807993478)</f>
        <v>0.807993478</v>
      </c>
      <c r="CG133" s="207" t="str">
        <f>IFERROR(__xludf.DUMMYFUNCTION("IF(OR(CF133&gt;$BR133+$BS133*$BS$2,CF133&lt;$BR133-$BS133*$BS$2),AVEDEV(ARRAYFORMULA(XLOOKUP(FILTER(INDIRECT(""'""&amp;CF$1&amp;""'!$C$4:$C$66""),INDIRECT(""'""&amp;CF$1&amp;""'!$D$4:$D$66"")=CF$2),$F$3:$BP$3,$F133:$BP133))),"""")"),"")</f>
        <v/>
      </c>
      <c r="CH133" s="206"/>
      <c r="CI133" s="251">
        <f>IFERROR(__xludf.DUMMYFUNCTION("AVERAGE(ARRAYFORMULA(XLOOKUP(FILTER(INDIRECT(""'""&amp;CI$1&amp;""'!$C$4:$C$66""),INDIRECT(""'""&amp;CI$1&amp;""'!$D$4:$D$66"")=CI$2),$F$3:$BP$3,$F133:$BP133)))"),0.42310223199999997)</f>
        <v>0.423102232</v>
      </c>
      <c r="CJ133" s="207" t="str">
        <f>IFERROR(__xludf.DUMMYFUNCTION("IF(OR(CI133&gt;$BR133+$BS133*$BS$2,CI133&lt;$BR133-$BS133*$BS$2),AVEDEV(ARRAYFORMULA(XLOOKUP(FILTER(INDIRECT(""'""&amp;CI$1&amp;""'!$C$4:$C$66""),INDIRECT(""'""&amp;CI$1&amp;""'!$D$4:$D$66"")=CI$2),$F$3:$BP$3,$F133:$BP133))),"""")"),"")</f>
        <v/>
      </c>
      <c r="CK133" s="251">
        <f>IFERROR(__xludf.DUMMYFUNCTION("AVERAGE(ARRAYFORMULA(XLOOKUP(FILTER(INDIRECT(""'""&amp;CK$1&amp;""'!$C$4:$C$66""),INDIRECT(""'""&amp;CK$1&amp;""'!$D$4:$D$66"")=CK$2),$F$3:$BP$3,$F133:$BP133)))"),0.15551547307692304)</f>
        <v>0.1555154731</v>
      </c>
      <c r="CL133" s="207" t="str">
        <f>IFERROR(__xludf.DUMMYFUNCTION("IF(OR(CK133&gt;$BR133+$BS133*$BS$2,CK133&lt;$BR133-$BS133*$BS$2),AVEDEV(ARRAYFORMULA(XLOOKUP(FILTER(INDIRECT(""'""&amp;CK$1&amp;""'!$C$4:$C$66""),INDIRECT(""'""&amp;CK$1&amp;""'!$D$4:$D$66"")=CK$2),$F$3:$BP$3,$F133:$BP133))),"""")"),"")</f>
        <v/>
      </c>
      <c r="CM133" s="253">
        <f>IFERROR(__xludf.DUMMYFUNCTION("AVERAGE(ARRAYFORMULA(XLOOKUP(FILTER(INDIRECT(""'""&amp;CM$1&amp;""'!$C$4:$C$66""),INDIRECT(""'""&amp;CM$1&amp;""'!$D$4:$D$66"")=CM$2),$F$3:$BP$3,$F133:$BP133)))"),0.807993478)</f>
        <v>0.807993478</v>
      </c>
      <c r="CN133" s="207" t="str">
        <f>IFERROR(__xludf.DUMMYFUNCTION("IF(OR(CM133&gt;$BR133+$BS133*$BS$2,CM133&lt;$BR133-$BS133*$BS$2),AVEDEV(ARRAYFORMULA(XLOOKUP(FILTER(INDIRECT(""'""&amp;CM$1&amp;""'!$C$4:$C$66""),INDIRECT(""'""&amp;CM$1&amp;""'!$D$4:$D$66"")=CM$2),$F$3:$BP$3,$F133:$BP133))),"""")"),"")</f>
        <v/>
      </c>
      <c r="CO133" s="252"/>
      <c r="CP133" s="251">
        <f>IFERROR(__xludf.DUMMYFUNCTION("AVERAGE(ARRAYFORMULA(XLOOKUP(FILTER(INDIRECT(""'""&amp;CP$1&amp;""'!$C$4:$C$66""),INDIRECT(""'""&amp;CP$1&amp;""'!$D$4:$D$66"")=CP$2),$F$3:$BP$3,$F133:$BP133)))"),-0.020282764285714287)</f>
        <v>-0.02028276429</v>
      </c>
      <c r="CQ133" s="207" t="str">
        <f>IFERROR(__xludf.DUMMYFUNCTION("IF(OR(CP133&gt;$BR133+$BS133*$BS$2,CP133&lt;$BR133-$BS133*$BS$2),AVEDEV(ARRAYFORMULA(XLOOKUP(FILTER(INDIRECT(""'""&amp;CP$1&amp;""'!$C$4:$C$66""),INDIRECT(""'""&amp;CP$1&amp;""'!$D$4:$D$66"")=CP$2),$F$3:$BP$3,$F133:$BP133))),"""")"),"")</f>
        <v/>
      </c>
      <c r="CR133" s="251">
        <f>IFERROR(__xludf.DUMMYFUNCTION("AVERAGE(ARRAYFORMULA(XLOOKUP(FILTER(INDIRECT(""'""&amp;CR$1&amp;""'!$C$4:$C$66""),INDIRECT(""'""&amp;CR$1&amp;""'!$D$4:$D$66"")=CR$2),$F$3:$BP$3,$F133:$BP133)))"),0.27033110111111114)</f>
        <v>0.2703311011</v>
      </c>
      <c r="CS133" s="207" t="str">
        <f>IFERROR(__xludf.DUMMYFUNCTION("IF(OR(CR133&gt;$BR133+$BS133*$BS$2,CR133&lt;$BR133-$BS133*$BS$2),AVEDEV(ARRAYFORMULA(XLOOKUP(FILTER(INDIRECT(""'""&amp;CR$1&amp;""'!$C$4:$C$66""),INDIRECT(""'""&amp;CR$1&amp;""'!$D$4:$D$66"")=CR$2),$F$3:$BP$3,$F133:$BP133))),"""")"),"")</f>
        <v/>
      </c>
      <c r="CT133" s="251">
        <f>IFERROR(__xludf.DUMMYFUNCTION("AVERAGE(ARRAYFORMULA(XLOOKUP(FILTER(INDIRECT(""'""&amp;CT$1&amp;""'!$C$4:$C$66""),INDIRECT(""'""&amp;CT$1&amp;""'!$D$4:$D$66"")=CT$2),$F$3:$BP$3,$F133:$BP133)))"),0.2734316981818182)</f>
        <v>0.2734316982</v>
      </c>
      <c r="CU133" s="207" t="str">
        <f>IFERROR(__xludf.DUMMYFUNCTION("IF(OR(CT133&gt;$BR133+$BS133*$BS$2,CT133&lt;$BR133-$BS133*$BS$2),AVEDEV(ARRAYFORMULA(XLOOKUP(FILTER(INDIRECT(""'""&amp;CT$1&amp;""'!$C$4:$C$66""),INDIRECT(""'""&amp;CT$1&amp;""'!$D$4:$D$66"")=CT$2),$F$3:$BP$3,$F133:$BP133))),"""")"),"")</f>
        <v/>
      </c>
      <c r="CV133" s="251">
        <f>IFERROR(__xludf.DUMMYFUNCTION("AVERAGE(ARRAYFORMULA(XLOOKUP(FILTER(INDIRECT(""'""&amp;CV$1&amp;""'!$C$4:$C$66""),INDIRECT(""'""&amp;CV$1&amp;""'!$D$4:$D$66"")=CV$2),$F$3:$BP$3,$F133:$BP133)))"),0.96451876)</f>
        <v>0.96451876</v>
      </c>
      <c r="CW133" s="207" t="str">
        <f>IFERROR(__xludf.DUMMYFUNCTION("IF(OR(CV133&gt;$BR133+$BS133*$BS$2,CV133&lt;$BR133-$BS133*$BS$2),AVEDEV(ARRAYFORMULA(XLOOKUP(FILTER(INDIRECT(""'""&amp;CV$1&amp;""'!$C$4:$C$66""),INDIRECT(""'""&amp;CV$1&amp;""'!$D$4:$D$66"")=CV$2),$F$3:$BP$3,$F133:$BP133))),"""")"),"")</f>
        <v/>
      </c>
      <c r="CX133" s="253">
        <f>IFERROR(__xludf.DUMMYFUNCTION("AVERAGE(ARRAYFORMULA(XLOOKUP(FILTER(INDIRECT(""'""&amp;CX$1&amp;""'!$C$4:$C$66""),INDIRECT(""'""&amp;CX$1&amp;""'!$D$4:$D$66"")=CX$2),$F$3:$BP$3,$F133:$BP133)))"),-0.04777343142857144)</f>
        <v>-0.04777343143</v>
      </c>
      <c r="CY133" s="207" t="str">
        <f>IFERROR(__xludf.DUMMYFUNCTION("IF(OR(CX133&gt;$BR133+$BS133*$BS$2,CX133&lt;$BR133-$BS133*$BS$2),AVEDEV(ARRAYFORMULA(XLOOKUP(FILTER(INDIRECT(""'""&amp;CX$1&amp;""'!$C$4:$C$66""),INDIRECT(""'""&amp;CX$1&amp;""'!$D$4:$D$66"")=CX$2),$F$3:$BP$3,$F133:$BP133))),"""")"),"")</f>
        <v/>
      </c>
      <c r="CZ133" s="252"/>
      <c r="DA133" s="251">
        <f>IFERROR(__xludf.DUMMYFUNCTION("AVERAGE(ARRAYFORMULA(XLOOKUP(FILTER(INDIRECT(""'""&amp;DA$1&amp;""'!$C$4:$C$66""),INDIRECT(""'""&amp;DA$1&amp;""'!$D$4:$D$66"")=DA$2),$F$3:$BP$3,$F133:$BP133)))"),0.09707359533333333)</f>
        <v>0.09707359533</v>
      </c>
      <c r="DB133" s="207" t="str">
        <f>IFERROR(__xludf.DUMMYFUNCTION("IF(OR(DA133&gt;$BR133+$BS133*$BS$2,DA133&lt;$BR133-$BS133*$BS$2),AVEDEV(ARRAYFORMULA(XLOOKUP(FILTER(INDIRECT(""'""&amp;DA$1&amp;""'!$C$4:$C$66""),INDIRECT(""'""&amp;DA$1&amp;""'!$D$4:$D$66"")=DA$2),$F$3:$BP$3,$F133:$BP133))),"""")"),"")</f>
        <v/>
      </c>
      <c r="DC133" s="251">
        <f>IFERROR(__xludf.DUMMYFUNCTION("AVERAGE(ARRAYFORMULA(XLOOKUP(FILTER(INDIRECT(""'""&amp;DC$1&amp;""'!$C$4:$C$66""),INDIRECT(""'""&amp;DC$1&amp;""'!$D$4:$D$66"")=DC$2),$F$3:$BP$3,$F133:$BP133)))"),0.5638330033333334)</f>
        <v>0.5638330033</v>
      </c>
      <c r="DD133" s="207" t="str">
        <f>IFERROR(__xludf.DUMMYFUNCTION("IF(OR(DC133&gt;$BR133+$BS133*$BS$2,DC133&lt;$BR133-$BS133*$BS$2),AVEDEV(ARRAYFORMULA(XLOOKUP(FILTER(INDIRECT(""'""&amp;DC$1&amp;""'!$C$4:$C$66""),INDIRECT(""'""&amp;DC$1&amp;""'!$D$4:$D$66"")=DC$2),$F$3:$BP$3,$F133:$BP133))),"""")"),"")</f>
        <v/>
      </c>
      <c r="DE133" s="251">
        <f>IFERROR(__xludf.DUMMYFUNCTION("AVERAGE(ARRAYFORMULA(XLOOKUP(FILTER(INDIRECT(""'""&amp;DE$1&amp;""'!$C$4:$C$66""),INDIRECT(""'""&amp;DE$1&amp;""'!$D$4:$D$66"")=DE$2),$F$3:$BP$3,$F133:$BP133)))"),0.37710202375)</f>
        <v>0.3771020238</v>
      </c>
      <c r="DF133" s="207" t="str">
        <f>IFERROR(__xludf.DUMMYFUNCTION("IF(OR(DE133&gt;$BR133+$BS133*$BS$2,DE133&lt;$BR133-$BS133*$BS$2),AVEDEV(ARRAYFORMULA(XLOOKUP(FILTER(INDIRECT(""'""&amp;DE$1&amp;""'!$C$4:$C$66""),INDIRECT(""'""&amp;DE$1&amp;""'!$D$4:$D$66"")=DE$2),$F$3:$BP$3,$F133:$BP133))),"""")"),"")</f>
        <v/>
      </c>
      <c r="DG133" s="251">
        <f>IFERROR(__xludf.DUMMYFUNCTION("AVERAGE(ARRAYFORMULA(XLOOKUP(FILTER(INDIRECT(""'""&amp;DG$1&amp;""'!$C$4:$C$66""),INDIRECT(""'""&amp;DG$1&amp;""'!$D$4:$D$66"")=DG$2),$F$3:$BP$3,$F133:$BP133)))"),0.4927043644444445)</f>
        <v>0.4927043644</v>
      </c>
      <c r="DH133" s="207" t="str">
        <f>IFERROR(__xludf.DUMMYFUNCTION("IF(OR(DG133&gt;$BR133+$BS133*$BS$2,DG133&lt;$BR133-$BS133*$BS$2),AVEDEV(ARRAYFORMULA(XLOOKUP(FILTER(INDIRECT(""'""&amp;DG$1&amp;""'!$C$4:$C$66""),INDIRECT(""'""&amp;DG$1&amp;""'!$D$4:$D$66"")=DG$2),$F$3:$BP$3,$F133:$BP133))),"""")"),"")</f>
        <v/>
      </c>
      <c r="DI133" s="252"/>
    </row>
    <row r="134">
      <c r="A134" s="2"/>
      <c r="B134" s="204" t="s">
        <v>540</v>
      </c>
      <c r="C134" s="204" t="s">
        <v>577</v>
      </c>
      <c r="D134" s="205" t="b">
        <f>VLOOKUP(C134,'Feature Set List'!A131:C246,2,0)</f>
        <v>1</v>
      </c>
      <c r="E134" s="205" t="b">
        <f>VLOOKUP(C134,'Feature Set List'!A131:C246,3,0)</f>
        <v>0</v>
      </c>
      <c r="F134" s="205">
        <v>0.0</v>
      </c>
      <c r="G134" s="205">
        <v>0.0</v>
      </c>
      <c r="H134" s="205">
        <v>0.0</v>
      </c>
      <c r="I134" s="205">
        <v>0.0</v>
      </c>
      <c r="J134" s="205">
        <v>0.0</v>
      </c>
      <c r="K134" s="205">
        <v>0.0</v>
      </c>
      <c r="L134" s="205">
        <v>0.0</v>
      </c>
      <c r="M134" s="205">
        <v>0.0</v>
      </c>
      <c r="N134" s="205">
        <v>0.0</v>
      </c>
      <c r="O134" s="215">
        <v>-1.0E-4</v>
      </c>
      <c r="P134" s="205">
        <v>0.0</v>
      </c>
      <c r="Q134" s="205">
        <v>-0.0125</v>
      </c>
      <c r="R134" s="205">
        <v>0.0</v>
      </c>
      <c r="S134" s="205">
        <v>0.0</v>
      </c>
      <c r="T134" s="205">
        <v>0.0</v>
      </c>
      <c r="U134" s="205">
        <v>0.0</v>
      </c>
      <c r="V134" s="205">
        <v>0.0</v>
      </c>
      <c r="W134" s="205">
        <v>0.0</v>
      </c>
      <c r="X134" s="205">
        <v>0.0</v>
      </c>
      <c r="Y134" s="205">
        <v>-0.1906</v>
      </c>
      <c r="Z134" s="205">
        <v>0.0</v>
      </c>
      <c r="AA134" s="205">
        <v>0.0</v>
      </c>
      <c r="AB134" s="205">
        <v>0.0</v>
      </c>
      <c r="AC134" s="205">
        <v>0.0</v>
      </c>
      <c r="AD134" s="205">
        <v>0.0</v>
      </c>
      <c r="AE134" s="205">
        <v>0.0</v>
      </c>
      <c r="AF134" s="205">
        <v>0.0</v>
      </c>
      <c r="AG134" s="205">
        <v>0.0</v>
      </c>
      <c r="AH134" s="205">
        <v>0.0</v>
      </c>
      <c r="AI134" s="205">
        <v>0.0</v>
      </c>
      <c r="AJ134" s="205">
        <v>0.0</v>
      </c>
      <c r="AK134" s="205">
        <v>0.0</v>
      </c>
      <c r="AL134" s="205">
        <v>0.0</v>
      </c>
      <c r="AM134" s="205">
        <v>0.0</v>
      </c>
      <c r="AN134" s="205">
        <v>-0.0809</v>
      </c>
      <c r="AO134" s="205">
        <v>0.0</v>
      </c>
      <c r="AP134" s="205">
        <v>0.0</v>
      </c>
      <c r="AQ134" s="205">
        <v>0.0</v>
      </c>
      <c r="AR134" s="205">
        <v>0.0</v>
      </c>
      <c r="AS134" s="205">
        <v>0.0</v>
      </c>
      <c r="AT134" s="205">
        <v>-0.2046</v>
      </c>
      <c r="AU134" s="205">
        <v>0.0</v>
      </c>
      <c r="AV134" s="205">
        <v>0.0</v>
      </c>
      <c r="AW134" s="205">
        <v>0.0</v>
      </c>
      <c r="AX134" s="205">
        <v>-0.0183</v>
      </c>
      <c r="AY134" s="205">
        <v>0.0</v>
      </c>
      <c r="AZ134" s="205">
        <v>0.0</v>
      </c>
      <c r="BA134" s="205">
        <v>-0.0207</v>
      </c>
      <c r="BB134" s="205">
        <v>0.0</v>
      </c>
      <c r="BC134" s="205">
        <v>0.0</v>
      </c>
      <c r="BD134" s="205">
        <v>0.0</v>
      </c>
      <c r="BE134" s="205">
        <v>0.0</v>
      </c>
      <c r="BF134" s="205">
        <v>0.0</v>
      </c>
      <c r="BG134" s="205">
        <v>0.0</v>
      </c>
      <c r="BH134" s="205">
        <v>0.0</v>
      </c>
      <c r="BI134" s="205">
        <v>0.0</v>
      </c>
      <c r="BJ134" s="205">
        <v>0.0</v>
      </c>
      <c r="BK134" s="205">
        <v>0.0</v>
      </c>
      <c r="BL134" s="205">
        <v>0.0</v>
      </c>
      <c r="BM134" s="205">
        <v>0.0</v>
      </c>
      <c r="BN134" s="205">
        <v>0.0</v>
      </c>
      <c r="BO134" s="205">
        <v>0.0</v>
      </c>
      <c r="BP134" s="205">
        <v>0.0</v>
      </c>
      <c r="BQ134" s="206"/>
      <c r="BR134" s="250">
        <f t="shared" si="1"/>
        <v>-0.008376190476</v>
      </c>
      <c r="BS134" s="250">
        <f t="shared" si="2"/>
        <v>0.0151537415</v>
      </c>
      <c r="BT134" s="206"/>
      <c r="BU134" s="207">
        <f>IFERROR(__xludf.DUMMYFUNCTION("AVERAGE(ARRAYFORMULA(XLOOKUP(FILTER(INDIRECT(""'""&amp;BU$1&amp;""'!$C$4:$C$66""),INDIRECT(""'""&amp;BU$1&amp;""'!$D$4:$D$66"")=BU$2),$F$3:$BP$3,$F134:$BP134)))"),-0.017128571428571427)</f>
        <v>-0.01712857143</v>
      </c>
      <c r="BV134" s="207" t="str">
        <f>IFERROR(__xludf.DUMMYFUNCTION("IF(OR(BU134&gt;$BR134+$BS134*$BS$2,BU134&lt;$BR134-$BS134*$BS$2),AVEDEV(ARRAYFORMULA(XLOOKUP(FILTER(INDIRECT(""'""&amp;BU$1&amp;""'!$C$4:$C$66""),INDIRECT(""'""&amp;BU$1&amp;""'!$D$4:$D$66"")=BU$2),$F$3:$BP$3,$F134:$BP134))),"""")"),"")</f>
        <v/>
      </c>
      <c r="BW134" s="207">
        <f>IFERROR(__xludf.DUMMYFUNCTION("AVERAGE(ARRAYFORMULA(XLOOKUP(FILTER(INDIRECT(""'""&amp;BW$1&amp;""'!$C$4:$C$66""),INDIRECT(""'""&amp;BW$1&amp;""'!$D$4:$D$66"")=BW$2),$F$3:$BP$3,$F134:$BP134)))"),-0.004835714285714286)</f>
        <v>-0.004835714286</v>
      </c>
      <c r="BX134" s="207" t="str">
        <f>IFERROR(__xludf.DUMMYFUNCTION("IF(OR(BW134&gt;$BR134+$BS134*$BS$2,BW134&lt;$BR134-$BS134*$BS$2),AVEDEV(ARRAYFORMULA(XLOOKUP(FILTER(INDIRECT(""'""&amp;BW$1&amp;""'!$C$4:$C$66""),INDIRECT(""'""&amp;BW$1&amp;""'!$D$4:$D$66"")=BW$2),$F$3:$BP$3,$F134:$BP134))),"""")"),"")</f>
        <v/>
      </c>
      <c r="BY134" s="207">
        <f>IFERROR(__xludf.DUMMYFUNCTION("AVERAGE(ARRAYFORMULA(XLOOKUP(FILTER(INDIRECT(""'""&amp;BY$1&amp;""'!$C$4:$C$66""),INDIRECT(""'""&amp;BY$1&amp;""'!$D$4:$D$66"")=BY$2),$F$3:$BP$3,$F134:$BP134)))"),-9.090909090909091E-6)</f>
        <v>-0.000009090909091</v>
      </c>
      <c r="BZ134" s="207" t="str">
        <f>IFERROR(__xludf.DUMMYFUNCTION("IF(OR(BY134&gt;$BR134+$BS134*$BS$2,BY134&lt;$BR134-$BS134*$BS$2),AVEDEV(ARRAYFORMULA(XLOOKUP(FILTER(INDIRECT(""'""&amp;BY$1&amp;""'!$C$4:$C$66""),INDIRECT(""'""&amp;BY$1&amp;""'!$D$4:$D$66"")=BY$2),$F$3:$BP$3,$F134:$BP134))),"""")"),"")</f>
        <v/>
      </c>
      <c r="CA134" s="209"/>
      <c r="CB134" s="207">
        <f>IFERROR(__xludf.DUMMYFUNCTION("AVERAGE(ARRAYFORMULA(XLOOKUP(FILTER(INDIRECT(""'""&amp;CB$1&amp;""'!$C$4:$C$66""),INDIRECT(""'""&amp;CB$1&amp;""'!$D$4:$D$66"")=CB$2),$F$3:$BP$3,$F134:$BP134)))"),-0.00129375)</f>
        <v>-0.00129375</v>
      </c>
      <c r="CC134" s="207" t="str">
        <f>IFERROR(__xludf.DUMMYFUNCTION("IF(OR(CB134&gt;$BR134+$BS134*$BS$2,CB134&lt;$BR134-$BS134*$BS$2),AVEDEV(ARRAYFORMULA(XLOOKUP(FILTER(INDIRECT(""'""&amp;CB$1&amp;""'!$C$4:$C$66""),INDIRECT(""'""&amp;CB$1&amp;""'!$D$4:$D$66"")=CB$2),$F$3:$BP$3,$F134:$BP134))),"""")"),"")</f>
        <v/>
      </c>
      <c r="CD134" s="207">
        <f>IFERROR(__xludf.DUMMYFUNCTION("AVERAGE(ARRAYFORMULA(XLOOKUP(FILTER(INDIRECT(""'""&amp;CD$1&amp;""'!$C$4:$C$66""),INDIRECT(""'""&amp;CD$1&amp;""'!$D$4:$D$66"")=CD$2),$F$3:$BP$3,$F134:$BP134)))"),-0.007141935483870967)</f>
        <v>-0.007141935484</v>
      </c>
      <c r="CE134" s="207" t="str">
        <f>IFERROR(__xludf.DUMMYFUNCTION("IF(OR(CD134&gt;$BR134+$BS134*$BS$2,CD134&lt;$BR134-$BS134*$BS$2),AVEDEV(ARRAYFORMULA(XLOOKUP(FILTER(INDIRECT(""'""&amp;CD$1&amp;""'!$C$4:$C$66""),INDIRECT(""'""&amp;CD$1&amp;""'!$D$4:$D$66"")=CD$2),$F$3:$BP$3,$F134:$BP134))),"""")"),"")</f>
        <v/>
      </c>
      <c r="CF134" s="207">
        <f>IFERROR(__xludf.DUMMYFUNCTION("AVERAGE(ARRAYFORMULA(XLOOKUP(FILTER(INDIRECT(""'""&amp;CF$1&amp;""'!$C$4:$C$66""),INDIRECT(""'""&amp;CF$1&amp;""'!$D$4:$D$66"")=CF$2),$F$3:$BP$3,$F134:$BP134)))"),-2.0E-5)</f>
        <v>-0.00002</v>
      </c>
      <c r="CG134" s="207" t="str">
        <f>IFERROR(__xludf.DUMMYFUNCTION("IF(OR(CF134&gt;$BR134+$BS134*$BS$2,CF134&lt;$BR134-$BS134*$BS$2),AVEDEV(ARRAYFORMULA(XLOOKUP(FILTER(INDIRECT(""'""&amp;CF$1&amp;""'!$C$4:$C$66""),INDIRECT(""'""&amp;CF$1&amp;""'!$D$4:$D$66"")=CF$2),$F$3:$BP$3,$F134:$BP134))),"""")"),"")</f>
        <v/>
      </c>
      <c r="CH134" s="206"/>
      <c r="CI134" s="251">
        <f>IFERROR(__xludf.DUMMYFUNCTION("AVERAGE(ARRAYFORMULA(XLOOKUP(FILTER(INDIRECT(""'""&amp;CI$1&amp;""'!$C$4:$C$66""),INDIRECT(""'""&amp;CI$1&amp;""'!$D$4:$D$66"")=CI$2),$F$3:$BP$3,$F134:$BP134)))"),-0.00138)</f>
        <v>-0.00138</v>
      </c>
      <c r="CJ134" s="207" t="str">
        <f>IFERROR(__xludf.DUMMYFUNCTION("IF(OR(CI134&gt;$BR134+$BS134*$BS$2,CI134&lt;$BR134-$BS134*$BS$2),AVEDEV(ARRAYFORMULA(XLOOKUP(FILTER(INDIRECT(""'""&amp;CI$1&amp;""'!$C$4:$C$66""),INDIRECT(""'""&amp;CI$1&amp;""'!$D$4:$D$66"")=CI$2),$F$3:$BP$3,$F134:$BP134))),"""")"),"")</f>
        <v/>
      </c>
      <c r="CK134" s="251">
        <f>IFERROR(__xludf.DUMMYFUNCTION("AVERAGE(ARRAYFORMULA(XLOOKUP(FILTER(INDIRECT(""'""&amp;CK$1&amp;""'!$C$4:$C$66""),INDIRECT(""'""&amp;CK$1&amp;""'!$D$4:$D$66"")=CK$2),$F$3:$BP$3,$F134:$BP134)))"),-0.0077512820512820515)</f>
        <v>-0.007751282051</v>
      </c>
      <c r="CL134" s="207" t="str">
        <f>IFERROR(__xludf.DUMMYFUNCTION("IF(OR(CK134&gt;$BR134+$BS134*$BS$2,CK134&lt;$BR134-$BS134*$BS$2),AVEDEV(ARRAYFORMULA(XLOOKUP(FILTER(INDIRECT(""'""&amp;CK$1&amp;""'!$C$4:$C$66""),INDIRECT(""'""&amp;CK$1&amp;""'!$D$4:$D$66"")=CK$2),$F$3:$BP$3,$F134:$BP134))),"""")"),"")</f>
        <v/>
      </c>
      <c r="CM134" s="251">
        <f>IFERROR(__xludf.DUMMYFUNCTION("AVERAGE(ARRAYFORMULA(XLOOKUP(FILTER(INDIRECT(""'""&amp;CM$1&amp;""'!$C$4:$C$66""),INDIRECT(""'""&amp;CM$1&amp;""'!$D$4:$D$66"")=CM$2),$F$3:$BP$3,$F134:$BP134)))"),-2.0E-5)</f>
        <v>-0.00002</v>
      </c>
      <c r="CN134" s="207" t="str">
        <f>IFERROR(__xludf.DUMMYFUNCTION("IF(OR(CM134&gt;$BR134+$BS134*$BS$2,CM134&lt;$BR134-$BS134*$BS$2),AVEDEV(ARRAYFORMULA(XLOOKUP(FILTER(INDIRECT(""'""&amp;CM$1&amp;""'!$C$4:$C$66""),INDIRECT(""'""&amp;CM$1&amp;""'!$D$4:$D$66"")=CM$2),$F$3:$BP$3,$F134:$BP134))),"""")"),"")</f>
        <v/>
      </c>
      <c r="CO134" s="252"/>
      <c r="CP134" s="251">
        <f>IFERROR(__xludf.DUMMYFUNCTION("AVERAGE(ARRAYFORMULA(XLOOKUP(FILTER(INDIRECT(""'""&amp;CP$1&amp;""'!$C$4:$C$66""),INDIRECT(""'""&amp;CP$1&amp;""'!$D$4:$D$66"")=CP$2),$F$3:$BP$3,$F134:$BP134)))"),0.0)</f>
        <v>0</v>
      </c>
      <c r="CQ134" s="207" t="str">
        <f>IFERROR(__xludf.DUMMYFUNCTION("IF(OR(CP134&gt;$BR134+$BS134*$BS$2,CP134&lt;$BR134-$BS134*$BS$2),AVEDEV(ARRAYFORMULA(XLOOKUP(FILTER(INDIRECT(""'""&amp;CP$1&amp;""'!$C$4:$C$66""),INDIRECT(""'""&amp;CP$1&amp;""'!$D$4:$D$66"")=CP$2),$F$3:$BP$3,$F134:$BP134))),"""")"),"")</f>
        <v/>
      </c>
      <c r="CR134" s="251">
        <f>IFERROR(__xludf.DUMMYFUNCTION("AVERAGE(ARRAYFORMULA(XLOOKUP(FILTER(INDIRECT(""'""&amp;CR$1&amp;""'!$C$4:$C$66""),INDIRECT(""'""&amp;CR$1&amp;""'!$D$4:$D$66"")=CR$2),$F$3:$BP$3,$F134:$BP134)))"),-1.1111111111111112E-5)</f>
        <v>-0.00001111111111</v>
      </c>
      <c r="CS134" s="207" t="str">
        <f>IFERROR(__xludf.DUMMYFUNCTION("IF(OR(CR134&gt;$BR134+$BS134*$BS$2,CR134&lt;$BR134-$BS134*$BS$2),AVEDEV(ARRAYFORMULA(XLOOKUP(FILTER(INDIRECT(""'""&amp;CR$1&amp;""'!$C$4:$C$66""),INDIRECT(""'""&amp;CR$1&amp;""'!$D$4:$D$66"")=CR$2),$F$3:$BP$3,$F134:$BP134))),"""")"),"")</f>
        <v/>
      </c>
      <c r="CT134" s="251">
        <f>IFERROR(__xludf.DUMMYFUNCTION("AVERAGE(ARRAYFORMULA(XLOOKUP(FILTER(INDIRECT(""'""&amp;CT$1&amp;""'!$C$4:$C$66""),INDIRECT(""'""&amp;CT$1&amp;""'!$D$4:$D$66"")=CT$2),$F$3:$BP$3,$F134:$BP134)))"),0.0)</f>
        <v>0</v>
      </c>
      <c r="CU134" s="207" t="str">
        <f>IFERROR(__xludf.DUMMYFUNCTION("IF(OR(CT134&gt;$BR134+$BS134*$BS$2,CT134&lt;$BR134-$BS134*$BS$2),AVEDEV(ARRAYFORMULA(XLOOKUP(FILTER(INDIRECT(""'""&amp;CT$1&amp;""'!$C$4:$C$66""),INDIRECT(""'""&amp;CT$1&amp;""'!$D$4:$D$66"")=CT$2),$F$3:$BP$3,$F134:$BP134))),"""")"),"")</f>
        <v/>
      </c>
      <c r="CV134" s="251">
        <f>IFERROR(__xludf.DUMMYFUNCTION("AVERAGE(ARRAYFORMULA(XLOOKUP(FILTER(INDIRECT(""'""&amp;CV$1&amp;""'!$C$4:$C$66""),INDIRECT(""'""&amp;CV$1&amp;""'!$D$4:$D$66"")=CV$2),$F$3:$BP$3,$F134:$BP134)))"),0.0)</f>
        <v>0</v>
      </c>
      <c r="CW134" s="207" t="str">
        <f>IFERROR(__xludf.DUMMYFUNCTION("IF(OR(CV134&gt;$BR134+$BS134*$BS$2,CV134&lt;$BR134-$BS134*$BS$2),AVEDEV(ARRAYFORMULA(XLOOKUP(FILTER(INDIRECT(""'""&amp;CV$1&amp;""'!$C$4:$C$66""),INDIRECT(""'""&amp;CV$1&amp;""'!$D$4:$D$66"")=CV$2),$F$3:$BP$3,$F134:$BP134))),"""")"),"")</f>
        <v/>
      </c>
      <c r="CX134" s="251">
        <f>IFERROR(__xludf.DUMMYFUNCTION("AVERAGE(ARRAYFORMULA(XLOOKUP(FILTER(INDIRECT(""'""&amp;CX$1&amp;""'!$C$4:$C$66""),INDIRECT(""'""&amp;CX$1&amp;""'!$D$4:$D$66"")=CX$2),$F$3:$BP$3,$F134:$BP134)))"),-0.014507142857142857)</f>
        <v>-0.01450714286</v>
      </c>
      <c r="CY134" s="207" t="str">
        <f>IFERROR(__xludf.DUMMYFUNCTION("IF(OR(CX134&gt;$BR134+$BS134*$BS$2,CX134&lt;$BR134-$BS134*$BS$2),AVEDEV(ARRAYFORMULA(XLOOKUP(FILTER(INDIRECT(""'""&amp;CX$1&amp;""'!$C$4:$C$66""),INDIRECT(""'""&amp;CX$1&amp;""'!$D$4:$D$66"")=CX$2),$F$3:$BP$3,$F134:$BP134))),"""")"),"")</f>
        <v/>
      </c>
      <c r="CZ134" s="252"/>
      <c r="DA134" s="251">
        <f>IFERROR(__xludf.DUMMYFUNCTION("AVERAGE(ARRAYFORMULA(XLOOKUP(FILTER(INDIRECT(""'""&amp;DA$1&amp;""'!$C$4:$C$66""),INDIRECT(""'""&amp;DA$1&amp;""'!$D$4:$D$66"")=DA$2),$F$3:$BP$3,$F134:$BP134)))"),-0.007043333333333333)</f>
        <v>-0.007043333333</v>
      </c>
      <c r="DB134" s="207" t="str">
        <f>IFERROR(__xludf.DUMMYFUNCTION("IF(OR(DA134&gt;$BR134+$BS134*$BS$2,DA134&lt;$BR134-$BS134*$BS$2),AVEDEV(ARRAYFORMULA(XLOOKUP(FILTER(INDIRECT(""'""&amp;DA$1&amp;""'!$C$4:$C$66""),INDIRECT(""'""&amp;DA$1&amp;""'!$D$4:$D$66"")=DA$2),$F$3:$BP$3,$F134:$BP134))),"""")"),"")</f>
        <v/>
      </c>
      <c r="DC134" s="251">
        <f>IFERROR(__xludf.DUMMYFUNCTION("AVERAGE(ARRAYFORMULA(XLOOKUP(FILTER(INDIRECT(""'""&amp;DC$1&amp;""'!$C$4:$C$66""),INDIRECT(""'""&amp;DC$1&amp;""'!$D$4:$D$66"")=DC$2),$F$3:$BP$3,$F134:$BP134)))"),-1.1111111111111112E-5)</f>
        <v>-0.00001111111111</v>
      </c>
      <c r="DD134" s="207" t="str">
        <f>IFERROR(__xludf.DUMMYFUNCTION("IF(OR(DC134&gt;$BR134+$BS134*$BS$2,DC134&lt;$BR134-$BS134*$BS$2),AVEDEV(ARRAYFORMULA(XLOOKUP(FILTER(INDIRECT(""'""&amp;DC$1&amp;""'!$C$4:$C$66""),INDIRECT(""'""&amp;DC$1&amp;""'!$D$4:$D$66"")=DC$2),$F$3:$BP$3,$F134:$BP134))),"""")"),"")</f>
        <v/>
      </c>
      <c r="DE134" s="251">
        <f>IFERROR(__xludf.DUMMYFUNCTION("AVERAGE(ARRAYFORMULA(XLOOKUP(FILTER(INDIRECT(""'""&amp;DE$1&amp;""'!$C$4:$C$66""),INDIRECT(""'""&amp;DE$1&amp;""'!$D$4:$D$66"")=DE$2),$F$3:$BP$3,$F134:$BP134)))"),-0.00385)</f>
        <v>-0.00385</v>
      </c>
      <c r="DF134" s="207" t="str">
        <f>IFERROR(__xludf.DUMMYFUNCTION("IF(OR(DE134&gt;$BR134+$BS134*$BS$2,DE134&lt;$BR134-$BS134*$BS$2),AVEDEV(ARRAYFORMULA(XLOOKUP(FILTER(INDIRECT(""'""&amp;DE$1&amp;""'!$C$4:$C$66""),INDIRECT(""'""&amp;DE$1&amp;""'!$D$4:$D$66"")=DE$2),$F$3:$BP$3,$F134:$BP134))),"""")"),"")</f>
        <v/>
      </c>
      <c r="DG134" s="251">
        <f>IFERROR(__xludf.DUMMYFUNCTION("AVERAGE(ARRAYFORMULA(XLOOKUP(FILTER(INDIRECT(""'""&amp;DG$1&amp;""'!$C$4:$C$66""),INDIRECT(""'""&amp;DG$1&amp;""'!$D$4:$D$66"")=DG$2),$F$3:$BP$3,$F134:$BP134)))"),0.0)</f>
        <v>0</v>
      </c>
      <c r="DH134" s="207" t="str">
        <f>IFERROR(__xludf.DUMMYFUNCTION("IF(OR(DG134&gt;$BR134+$BS134*$BS$2,DG134&lt;$BR134-$BS134*$BS$2),AVEDEV(ARRAYFORMULA(XLOOKUP(FILTER(INDIRECT(""'""&amp;DG$1&amp;""'!$C$4:$C$66""),INDIRECT(""'""&amp;DG$1&amp;""'!$D$4:$D$66"")=DG$2),$F$3:$BP$3,$F134:$BP134))),"""")"),"")</f>
        <v/>
      </c>
      <c r="DI134" s="252"/>
    </row>
    <row r="135">
      <c r="A135" s="2"/>
      <c r="B135" s="204" t="s">
        <v>540</v>
      </c>
      <c r="C135" s="204" t="s">
        <v>578</v>
      </c>
      <c r="D135" s="205" t="b">
        <f>VLOOKUP(C135,'Feature Set List'!A132:C246,2,0)</f>
        <v>1</v>
      </c>
      <c r="E135" s="205" t="b">
        <f>VLOOKUP(C135,'Feature Set List'!A132:C246,3,0)</f>
        <v>1</v>
      </c>
      <c r="F135" s="205">
        <v>0.77198917</v>
      </c>
      <c r="G135" s="205">
        <v>0.4594046</v>
      </c>
      <c r="H135" s="205">
        <v>1.29228687</v>
      </c>
      <c r="I135" s="205">
        <v>0.58728011</v>
      </c>
      <c r="J135" s="205">
        <v>-0.0947226</v>
      </c>
      <c r="K135" s="205">
        <v>0.38971583</v>
      </c>
      <c r="L135" s="205">
        <v>-0.0399188</v>
      </c>
      <c r="M135" s="205">
        <v>0.09742896</v>
      </c>
      <c r="N135" s="205">
        <v>0.0</v>
      </c>
      <c r="O135" s="205">
        <v>0.03788904</v>
      </c>
      <c r="P135" s="205">
        <v>-1.2381597</v>
      </c>
      <c r="Q135" s="205">
        <v>-1.2110961</v>
      </c>
      <c r="R135" s="205">
        <v>-0.6184032</v>
      </c>
      <c r="S135" s="205">
        <v>0.27063599</v>
      </c>
      <c r="T135" s="205">
        <v>0.34709066</v>
      </c>
      <c r="U135" s="205">
        <v>0.09066306</v>
      </c>
      <c r="V135" s="205">
        <v>0.13599459</v>
      </c>
      <c r="W135" s="205">
        <v>-0.7801083</v>
      </c>
      <c r="X135" s="205">
        <v>-0.0304465</v>
      </c>
      <c r="Y135" s="205">
        <v>-2.8917456</v>
      </c>
      <c r="Z135" s="205">
        <v>-0.9519621</v>
      </c>
      <c r="AA135" s="205">
        <v>1.24221922</v>
      </c>
      <c r="AB135" s="205">
        <v>0.38159675</v>
      </c>
      <c r="AC135" s="205">
        <v>-0.4607578</v>
      </c>
      <c r="AD135" s="205">
        <v>0.09269283</v>
      </c>
      <c r="AE135" s="205">
        <v>0.00879567</v>
      </c>
      <c r="AF135" s="205">
        <v>-0.2198917</v>
      </c>
      <c r="AG135" s="205">
        <v>0.21853857</v>
      </c>
      <c r="AH135" s="205">
        <v>-0.0290934</v>
      </c>
      <c r="AI135" s="205">
        <v>-0.0994587</v>
      </c>
      <c r="AJ135" s="205">
        <v>0.47361299</v>
      </c>
      <c r="AK135" s="205">
        <v>-0.4133965</v>
      </c>
      <c r="AL135" s="205">
        <v>0.16644114</v>
      </c>
      <c r="AM135" s="205">
        <v>-0.9844384</v>
      </c>
      <c r="AN135" s="205">
        <v>-0.9594046</v>
      </c>
      <c r="AO135" s="205">
        <v>-0.0446549</v>
      </c>
      <c r="AP135" s="205">
        <v>-1.2002706</v>
      </c>
      <c r="AQ135" s="205">
        <v>-1.3971583</v>
      </c>
      <c r="AR135" s="205">
        <v>0.68132612</v>
      </c>
      <c r="AS135" s="205">
        <v>0.50202977</v>
      </c>
      <c r="AT135" s="205">
        <v>0.83558863</v>
      </c>
      <c r="AU135" s="205">
        <v>-1.3261164</v>
      </c>
      <c r="AV135" s="205">
        <v>-0.9560217</v>
      </c>
      <c r="AW135" s="205">
        <v>-0.4722598</v>
      </c>
      <c r="AX135" s="205">
        <v>-1.7929635</v>
      </c>
      <c r="AY135" s="205">
        <v>-0.1759134</v>
      </c>
      <c r="AZ135" s="205">
        <v>0.64817321</v>
      </c>
      <c r="BA135" s="205">
        <v>-0.8430311</v>
      </c>
      <c r="BB135" s="205">
        <v>-0.6393775</v>
      </c>
      <c r="BC135" s="205">
        <v>1.66508796</v>
      </c>
      <c r="BD135" s="205">
        <v>0.73477673</v>
      </c>
      <c r="BE135" s="205">
        <v>0.14682003</v>
      </c>
      <c r="BF135" s="205">
        <v>0.46549391</v>
      </c>
      <c r="BG135" s="205">
        <v>0.05345061</v>
      </c>
      <c r="BH135" s="205">
        <v>-0.6102842</v>
      </c>
      <c r="BI135" s="205">
        <v>-0.2916103</v>
      </c>
      <c r="BJ135" s="205">
        <v>-0.9627876</v>
      </c>
      <c r="BK135" s="205">
        <v>0.91136671</v>
      </c>
      <c r="BL135" s="205">
        <v>0.08863329</v>
      </c>
      <c r="BM135" s="205">
        <v>-0.1339648</v>
      </c>
      <c r="BN135" s="205">
        <v>0.02841678</v>
      </c>
      <c r="BO135" s="205">
        <v>0.41339648</v>
      </c>
      <c r="BP135" s="205">
        <v>-0.0101488</v>
      </c>
      <c r="BQ135" s="206"/>
      <c r="BR135" s="250">
        <f t="shared" si="1"/>
        <v>-0.1212814384</v>
      </c>
      <c r="BS135" s="250">
        <f t="shared" si="2"/>
        <v>0.5911228152</v>
      </c>
      <c r="BT135" s="206"/>
      <c r="BU135" s="207">
        <f>IFERROR(__xludf.DUMMYFUNCTION("AVERAGE(ARRAYFORMULA(XLOOKUP(FILTER(INDIRECT(""'""&amp;BU$1&amp;""'!$C$4:$C$66""),INDIRECT(""'""&amp;BU$1&amp;""'!$D$4:$D$66"")=BU$2),$F$3:$BP$3,$F135:$BP135)))"),-0.3403247714285714)</f>
        <v>-0.3403247714</v>
      </c>
      <c r="BV135" s="207" t="str">
        <f>IFERROR(__xludf.DUMMYFUNCTION("IF(OR(BU135&gt;$BR135+$BS135*$BS$2,BU135&lt;$BR135-$BS135*$BS$2),AVEDEV(ARRAYFORMULA(XLOOKUP(FILTER(INDIRECT(""'""&amp;BU$1&amp;""'!$C$4:$C$66""),INDIRECT(""'""&amp;BU$1&amp;""'!$D$4:$D$66"")=BU$2),$F$3:$BP$3,$F135:$BP135))),"""")"),"")</f>
        <v/>
      </c>
      <c r="BW135" s="207">
        <f>IFERROR(__xludf.DUMMYFUNCTION("AVERAGE(ARRAYFORMULA(XLOOKUP(FILTER(INDIRECT(""'""&amp;BW$1&amp;""'!$C$4:$C$66""),INDIRECT(""'""&amp;BW$1&amp;""'!$D$4:$D$66"")=BW$2),$F$3:$BP$3,$F135:$BP135)))"),-0.26564211357142853)</f>
        <v>-0.2656421136</v>
      </c>
      <c r="BX135" s="207" t="str">
        <f>IFERROR(__xludf.DUMMYFUNCTION("IF(OR(BW135&gt;$BR135+$BS135*$BS$2,BW135&lt;$BR135-$BS135*$BS$2),AVEDEV(ARRAYFORMULA(XLOOKUP(FILTER(INDIRECT(""'""&amp;BW$1&amp;""'!$C$4:$C$66""),INDIRECT(""'""&amp;BW$1&amp;""'!$D$4:$D$66"")=BW$2),$F$3:$BP$3,$F135:$BP135))),"""")"),"")</f>
        <v/>
      </c>
      <c r="BY135" s="207">
        <f>IFERROR(__xludf.DUMMYFUNCTION("AVERAGE(ARRAYFORMULA(XLOOKUP(FILTER(INDIRECT(""'""&amp;BY$1&amp;""'!$C$4:$C$66""),INDIRECT(""'""&amp;BY$1&amp;""'!$D$4:$D$66"")=BY$2),$F$3:$BP$3,$F135:$BP135)))"),0.19141346272727275)</f>
        <v>0.1914134627</v>
      </c>
      <c r="BZ135" s="207" t="str">
        <f>IFERROR(__xludf.DUMMYFUNCTION("IF(OR(BY135&gt;$BR135+$BS135*$BS$2,BY135&lt;$BR135-$BS135*$BS$2),AVEDEV(ARRAYFORMULA(XLOOKUP(FILTER(INDIRECT(""'""&amp;BY$1&amp;""'!$C$4:$C$66""),INDIRECT(""'""&amp;BY$1&amp;""'!$D$4:$D$66"")=BY$2),$F$3:$BP$3,$F135:$BP135))),"""")"),"")</f>
        <v/>
      </c>
      <c r="CA135" s="209"/>
      <c r="CB135" s="207">
        <f>IFERROR(__xludf.DUMMYFUNCTION("AVERAGE(ARRAYFORMULA(XLOOKUP(FILTER(INDIRECT(""'""&amp;CB$1&amp;""'!$C$4:$C$66""),INDIRECT(""'""&amp;CB$1&amp;""'!$D$4:$D$66"")=CB$2),$F$3:$BP$3,$F135:$BP135)))"),-0.03691643687500001)</f>
        <v>-0.03691643688</v>
      </c>
      <c r="CC135" s="207" t="str">
        <f>IFERROR(__xludf.DUMMYFUNCTION("IF(OR(CB135&gt;$BR135+$BS135*$BS$2,CB135&lt;$BR135-$BS135*$BS$2),AVEDEV(ARRAYFORMULA(XLOOKUP(FILTER(INDIRECT(""'""&amp;CB$1&amp;""'!$C$4:$C$66""),INDIRECT(""'""&amp;CB$1&amp;""'!$D$4:$D$66"")=CB$2),$F$3:$BP$3,$F135:$BP135))),"""")"),"")</f>
        <v/>
      </c>
      <c r="CD135" s="207">
        <f>IFERROR(__xludf.DUMMYFUNCTION("AVERAGE(ARRAYFORMULA(XLOOKUP(FILTER(INDIRECT(""'""&amp;CD$1&amp;""'!$C$4:$C$66""),INDIRECT(""'""&amp;CD$1&amp;""'!$D$4:$D$66"")=CD$2),$F$3:$BP$3,$F135:$BP135)))"),-0.3592911067741935)</f>
        <v>-0.3592911068</v>
      </c>
      <c r="CE135" s="207" t="str">
        <f>IFERROR(__xludf.DUMMYFUNCTION("IF(OR(CD135&gt;$BR135+$BS135*$BS$2,CD135&lt;$BR135-$BS135*$BS$2),AVEDEV(ARRAYFORMULA(XLOOKUP(FILTER(INDIRECT(""'""&amp;CD$1&amp;""'!$C$4:$C$66""),INDIRECT(""'""&amp;CD$1&amp;""'!$D$4:$D$66"")=CD$2),$F$3:$BP$3,$F135:$BP135))),"""")"),"")</f>
        <v/>
      </c>
      <c r="CF135" s="207">
        <f>IFERROR(__xludf.DUMMYFUNCTION("AVERAGE(ARRAYFORMULA(XLOOKUP(FILTER(INDIRECT(""'""&amp;CF$1&amp;""'!$C$4:$C$66""),INDIRECT(""'""&amp;CF$1&amp;""'!$D$4:$D$66"")=CF$2),$F$3:$BP$3,$F135:$BP135)))"),0.420703654)</f>
        <v>0.420703654</v>
      </c>
      <c r="CG135" s="207" t="str">
        <f>IFERROR(__xludf.DUMMYFUNCTION("IF(OR(CF135&gt;$BR135+$BS135*$BS$2,CF135&lt;$BR135-$BS135*$BS$2),AVEDEV(ARRAYFORMULA(XLOOKUP(FILTER(INDIRECT(""'""&amp;CF$1&amp;""'!$C$4:$C$66""),INDIRECT(""'""&amp;CF$1&amp;""'!$D$4:$D$66"")=CF$2),$F$3:$BP$3,$F135:$BP135))),"""")"),"")</f>
        <v/>
      </c>
      <c r="CH135" s="206"/>
      <c r="CI135" s="251">
        <f>IFERROR(__xludf.DUMMYFUNCTION("AVERAGE(ARRAYFORMULA(XLOOKUP(FILTER(INDIRECT(""'""&amp;CI$1&amp;""'!$C$4:$C$66""),INDIRECT(""'""&amp;CI$1&amp;""'!$D$4:$D$66"")=CI$2),$F$3:$BP$3,$F135:$BP135)))"),0.12665764866666665)</f>
        <v>0.1266576487</v>
      </c>
      <c r="CJ135" s="207" t="str">
        <f>IFERROR(__xludf.DUMMYFUNCTION("IF(OR(CI135&gt;$BR135+$BS135*$BS$2,CI135&lt;$BR135-$BS135*$BS$2),AVEDEV(ARRAYFORMULA(XLOOKUP(FILTER(INDIRECT(""'""&amp;CI$1&amp;""'!$C$4:$C$66""),INDIRECT(""'""&amp;CI$1&amp;""'!$D$4:$D$66"")=CI$2),$F$3:$BP$3,$F135:$BP135))),"""")"),"")</f>
        <v/>
      </c>
      <c r="CK135" s="251">
        <f>IFERROR(__xludf.DUMMYFUNCTION("AVERAGE(ARRAYFORMULA(XLOOKUP(FILTER(INDIRECT(""'""&amp;CK$1&amp;""'!$C$4:$C$66""),INDIRECT(""'""&amp;CK$1&amp;""'!$D$4:$D$66"")=CK$2),$F$3:$BP$3,$F135:$BP135)))"),-0.4191908664102563)</f>
        <v>-0.4191908664</v>
      </c>
      <c r="CL135" s="207" t="str">
        <f>IFERROR(__xludf.DUMMYFUNCTION("IF(OR(CK135&gt;$BR135+$BS135*$BS$2,CK135&lt;$BR135-$BS135*$BS$2),AVEDEV(ARRAYFORMULA(XLOOKUP(FILTER(INDIRECT(""'""&amp;CK$1&amp;""'!$C$4:$C$66""),INDIRECT(""'""&amp;CK$1&amp;""'!$D$4:$D$66"")=CK$2),$F$3:$BP$3,$F135:$BP135))),"""")"),"")</f>
        <v/>
      </c>
      <c r="CM135" s="251">
        <f>IFERROR(__xludf.DUMMYFUNCTION("AVERAGE(ARRAYFORMULA(XLOOKUP(FILTER(INDIRECT(""'""&amp;CM$1&amp;""'!$C$4:$C$66""),INDIRECT(""'""&amp;CM$1&amp;""'!$D$4:$D$66"")=CM$2),$F$3:$BP$3,$F135:$BP135)))"),0.420703654)</f>
        <v>0.420703654</v>
      </c>
      <c r="CN135" s="207" t="str">
        <f>IFERROR(__xludf.DUMMYFUNCTION("IF(OR(CM135&gt;$BR135+$BS135*$BS$2,CM135&lt;$BR135-$BS135*$BS$2),AVEDEV(ARRAYFORMULA(XLOOKUP(FILTER(INDIRECT(""'""&amp;CM$1&amp;""'!$C$4:$C$66""),INDIRECT(""'""&amp;CM$1&amp;""'!$D$4:$D$66"")=CM$2),$F$3:$BP$3,$F135:$BP135))),"""")"),"")</f>
        <v/>
      </c>
      <c r="CO135" s="252"/>
      <c r="CP135" s="251">
        <f>IFERROR(__xludf.DUMMYFUNCTION("AVERAGE(ARRAYFORMULA(XLOOKUP(FILTER(INDIRECT(""'""&amp;CP$1&amp;""'!$C$4:$C$66""),INDIRECT(""'""&amp;CP$1&amp;""'!$D$4:$D$66"")=CP$2),$F$3:$BP$3,$F135:$BP135)))"),-0.13415813000000001)</f>
        <v>-0.13415813</v>
      </c>
      <c r="CQ135" s="207" t="str">
        <f>IFERROR(__xludf.DUMMYFUNCTION("IF(OR(CP135&gt;$BR135+$BS135*$BS$2,CP135&lt;$BR135-$BS135*$BS$2),AVEDEV(ARRAYFORMULA(XLOOKUP(FILTER(INDIRECT(""'""&amp;CP$1&amp;""'!$C$4:$C$66""),INDIRECT(""'""&amp;CP$1&amp;""'!$D$4:$D$66"")=CP$2),$F$3:$BP$3,$F135:$BP135))),"""")"),"")</f>
        <v/>
      </c>
      <c r="CR135" s="251">
        <f>IFERROR(__xludf.DUMMYFUNCTION("AVERAGE(ARRAYFORMULA(XLOOKUP(FILTER(INDIRECT(""'""&amp;CR$1&amp;""'!$C$4:$C$66""),INDIRECT(""'""&amp;CR$1&amp;""'!$D$4:$D$66"")=CR$2),$F$3:$BP$3,$F135:$BP135)))"),0.2436475777777778)</f>
        <v>0.2436475778</v>
      </c>
      <c r="CS135" s="207" t="str">
        <f>IFERROR(__xludf.DUMMYFUNCTION("IF(OR(CR135&gt;$BR135+$BS135*$BS$2,CR135&lt;$BR135-$BS135*$BS$2),AVEDEV(ARRAYFORMULA(XLOOKUP(FILTER(INDIRECT(""'""&amp;CR$1&amp;""'!$C$4:$C$66""),INDIRECT(""'""&amp;CR$1&amp;""'!$D$4:$D$66"")=CR$2),$F$3:$BP$3,$F135:$BP135))),"""")"),"")</f>
        <v/>
      </c>
      <c r="CT135" s="251">
        <f>IFERROR(__xludf.DUMMYFUNCTION("AVERAGE(ARRAYFORMULA(XLOOKUP(FILTER(INDIRECT(""'""&amp;CT$1&amp;""'!$C$4:$C$66""),INDIRECT(""'""&amp;CT$1&amp;""'!$D$4:$D$66"")=CT$2),$F$3:$BP$3,$F135:$BP135)))"),-0.0061508145454545774)</f>
        <v>-0.006150814545</v>
      </c>
      <c r="CU135" s="207" t="str">
        <f>IFERROR(__xludf.DUMMYFUNCTION("IF(OR(CT135&gt;$BR135+$BS135*$BS$2,CT135&lt;$BR135-$BS135*$BS$2),AVEDEV(ARRAYFORMULA(XLOOKUP(FILTER(INDIRECT(""'""&amp;CT$1&amp;""'!$C$4:$C$66""),INDIRECT(""'""&amp;CT$1&amp;""'!$D$4:$D$66"")=CT$2),$F$3:$BP$3,$F135:$BP135))),"""")"),"")</f>
        <v/>
      </c>
      <c r="CV135" s="251">
        <f>IFERROR(__xludf.DUMMYFUNCTION("AVERAGE(ARRAYFORMULA(XLOOKUP(FILTER(INDIRECT(""'""&amp;CV$1&amp;""'!$C$4:$C$66""),INDIRECT(""'""&amp;CV$1&amp;""'!$D$4:$D$66"")=CV$2),$F$3:$BP$3,$F135:$BP135)))"),-0.203653595)</f>
        <v>-0.203653595</v>
      </c>
      <c r="CW135" s="207" t="str">
        <f>IFERROR(__xludf.DUMMYFUNCTION("IF(OR(CV135&gt;$BR135+$BS135*$BS$2,CV135&lt;$BR135-$BS135*$BS$2),AVEDEV(ARRAYFORMULA(XLOOKUP(FILTER(INDIRECT(""'""&amp;CV$1&amp;""'!$C$4:$C$66""),INDIRECT(""'""&amp;CV$1&amp;""'!$D$4:$D$66"")=CV$2),$F$3:$BP$3,$F135:$BP135))),"""")"),"")</f>
        <v/>
      </c>
      <c r="CX135" s="251">
        <f>IFERROR(__xludf.DUMMYFUNCTION("AVERAGE(ARRAYFORMULA(XLOOKUP(FILTER(INDIRECT(""'""&amp;CX$1&amp;""'!$C$4:$C$66""),INDIRECT(""'""&amp;CX$1&amp;""'!$D$4:$D$66"")=CX$2),$F$3:$BP$3,$F135:$BP135)))"),-0.6833075514285715)</f>
        <v>-0.6833075514</v>
      </c>
      <c r="CY135" s="207" t="str">
        <f>IFERROR(__xludf.DUMMYFUNCTION("IF(OR(CX135&gt;$BR135+$BS135*$BS$2,CX135&lt;$BR135-$BS135*$BS$2),AVEDEV(ARRAYFORMULA(XLOOKUP(FILTER(INDIRECT(""'""&amp;CX$1&amp;""'!$C$4:$C$66""),INDIRECT(""'""&amp;CX$1&amp;""'!$D$4:$D$66"")=CX$2),$F$3:$BP$3,$F135:$BP135))),"""")"),"")</f>
        <v/>
      </c>
      <c r="CZ135" s="252"/>
      <c r="DA135" s="251">
        <f>IFERROR(__xludf.DUMMYFUNCTION("AVERAGE(ARRAYFORMULA(XLOOKUP(FILTER(INDIRECT(""'""&amp;DA$1&amp;""'!$C$4:$C$66""),INDIRECT(""'""&amp;DA$1&amp;""'!$D$4:$D$66"")=DA$2),$F$3:$BP$3,$F135:$BP135)))"),-0.16799728966666666)</f>
        <v>-0.1679972897</v>
      </c>
      <c r="DB135" s="207" t="str">
        <f>IFERROR(__xludf.DUMMYFUNCTION("IF(OR(DA135&gt;$BR135+$BS135*$BS$2,DA135&lt;$BR135-$BS135*$BS$2),AVEDEV(ARRAYFORMULA(XLOOKUP(FILTER(INDIRECT(""'""&amp;DA$1&amp;""'!$C$4:$C$66""),INDIRECT(""'""&amp;DA$1&amp;""'!$D$4:$D$66"")=DA$2),$F$3:$BP$3,$F135:$BP135))),"""")"),"")</f>
        <v/>
      </c>
      <c r="DC135" s="251">
        <f>IFERROR(__xludf.DUMMYFUNCTION("AVERAGE(ARRAYFORMULA(XLOOKUP(FILTER(INDIRECT(""'""&amp;DC$1&amp;""'!$C$4:$C$66""),INDIRECT(""'""&amp;DC$1&amp;""'!$D$4:$D$66"")=DC$2),$F$3:$BP$3,$F135:$BP135)))"),0.10855510222222223)</f>
        <v>0.1085551022</v>
      </c>
      <c r="DD135" s="207" t="str">
        <f>IFERROR(__xludf.DUMMYFUNCTION("IF(OR(DC135&gt;$BR135+$BS135*$BS$2,DC135&lt;$BR135-$BS135*$BS$2),AVEDEV(ARRAYFORMULA(XLOOKUP(FILTER(INDIRECT(""'""&amp;DC$1&amp;""'!$C$4:$C$66""),INDIRECT(""'""&amp;DC$1&amp;""'!$D$4:$D$66"")=DC$2),$F$3:$BP$3,$F135:$BP135))),"""")"),"")</f>
        <v/>
      </c>
      <c r="DE135" s="251">
        <f>IFERROR(__xludf.DUMMYFUNCTION("AVERAGE(ARRAYFORMULA(XLOOKUP(FILTER(INDIRECT(""'""&amp;DE$1&amp;""'!$C$4:$C$66""),INDIRECT(""'""&amp;DE$1&amp;""'!$D$4:$D$66"")=DE$2),$F$3:$BP$3,$F135:$BP135)))"),-0.5628382925)</f>
        <v>-0.5628382925</v>
      </c>
      <c r="DF135" s="207" t="str">
        <f>IFERROR(__xludf.DUMMYFUNCTION("IF(OR(DE135&gt;$BR135+$BS135*$BS$2,DE135&lt;$BR135-$BS135*$BS$2),AVEDEV(ARRAYFORMULA(XLOOKUP(FILTER(INDIRECT(""'""&amp;DE$1&amp;""'!$C$4:$C$66""),INDIRECT(""'""&amp;DE$1&amp;""'!$D$4:$D$66"")=DE$2),$F$3:$BP$3,$F135:$BP135))),"""")"),"")</f>
        <v/>
      </c>
      <c r="DG135" s="251">
        <f>IFERROR(__xludf.DUMMYFUNCTION("AVERAGE(ARRAYFORMULA(XLOOKUP(FILTER(INDIRECT(""'""&amp;DG$1&amp;""'!$C$4:$C$66""),INDIRECT(""'""&amp;DG$1&amp;""'!$D$4:$D$66"")=DG$2),$F$3:$BP$3,$F135:$BP135)))"),-0.07141783111111111)</f>
        <v>-0.07141783111</v>
      </c>
      <c r="DH135" s="207" t="str">
        <f>IFERROR(__xludf.DUMMYFUNCTION("IF(OR(DG135&gt;$BR135+$BS135*$BS$2,DG135&lt;$BR135-$BS135*$BS$2),AVEDEV(ARRAYFORMULA(XLOOKUP(FILTER(INDIRECT(""'""&amp;DG$1&amp;""'!$C$4:$C$66""),INDIRECT(""'""&amp;DG$1&amp;""'!$D$4:$D$66"")=DG$2),$F$3:$BP$3,$F135:$BP135))),"""")"),"")</f>
        <v/>
      </c>
      <c r="DI135" s="252"/>
    </row>
    <row r="136">
      <c r="A136" s="2"/>
      <c r="B136" s="204" t="s">
        <v>540</v>
      </c>
      <c r="C136" s="204" t="s">
        <v>579</v>
      </c>
      <c r="D136" s="205" t="b">
        <f>VLOOKUP(C136,'Feature Set List'!A133:C246,2,0)</f>
        <v>1</v>
      </c>
      <c r="E136" s="205" t="b">
        <f>VLOOKUP(C136,'Feature Set List'!A133:C246,3,0)</f>
        <v>1</v>
      </c>
      <c r="F136" s="205">
        <v>-0.2994012</v>
      </c>
      <c r="G136" s="205">
        <v>-0.0032934</v>
      </c>
      <c r="H136" s="205">
        <v>1.39520958</v>
      </c>
      <c r="I136" s="205">
        <v>-0.0857784</v>
      </c>
      <c r="J136" s="205">
        <v>-0.7756886</v>
      </c>
      <c r="K136" s="205">
        <v>0.03922156</v>
      </c>
      <c r="L136" s="205">
        <v>0.89820359</v>
      </c>
      <c r="M136" s="205">
        <v>-0.3988024</v>
      </c>
      <c r="N136" s="205">
        <v>-0.4962575</v>
      </c>
      <c r="O136" s="205">
        <v>0.87125749</v>
      </c>
      <c r="P136" s="205">
        <v>-0.8426048</v>
      </c>
      <c r="Q136" s="205">
        <v>0.2994012</v>
      </c>
      <c r="R136" s="205">
        <v>-0.1273952</v>
      </c>
      <c r="S136" s="205">
        <v>0.2994012</v>
      </c>
      <c r="T136" s="205">
        <v>0.66317365</v>
      </c>
      <c r="U136" s="205">
        <v>-0.8233533</v>
      </c>
      <c r="V136" s="205">
        <v>0.73502994</v>
      </c>
      <c r="W136" s="205">
        <v>-0.4693114</v>
      </c>
      <c r="X136" s="205">
        <v>0.28458084</v>
      </c>
      <c r="Y136" s="205">
        <v>0.0</v>
      </c>
      <c r="Z136" s="205">
        <v>-0.1968563</v>
      </c>
      <c r="AA136" s="205">
        <v>0.29266467</v>
      </c>
      <c r="AB136" s="205">
        <v>0.30434132</v>
      </c>
      <c r="AC136" s="205">
        <v>3.89221557</v>
      </c>
      <c r="AD136" s="205">
        <v>0.6497006</v>
      </c>
      <c r="AE136" s="205">
        <v>0.29296407</v>
      </c>
      <c r="AF136" s="205">
        <v>-0.812994</v>
      </c>
      <c r="AG136" s="205">
        <v>0.42260479</v>
      </c>
      <c r="AH136" s="205">
        <v>1.48802395</v>
      </c>
      <c r="AI136" s="205">
        <v>0.29476048</v>
      </c>
      <c r="AJ136" s="205">
        <v>-0.3008982</v>
      </c>
      <c r="AK136" s="205">
        <v>-0.2994012</v>
      </c>
      <c r="AL136" s="205">
        <v>1.34730539</v>
      </c>
      <c r="AM136" s="205">
        <v>-0.2994012</v>
      </c>
      <c r="AN136" s="205">
        <v>-0.0489521</v>
      </c>
      <c r="AO136" s="205">
        <v>0.28188623</v>
      </c>
      <c r="AP136" s="205">
        <v>-0.8233533</v>
      </c>
      <c r="AQ136" s="205">
        <v>-0.3901198</v>
      </c>
      <c r="AR136" s="205">
        <v>12.6257485</v>
      </c>
      <c r="AS136" s="205">
        <v>-0.3115269</v>
      </c>
      <c r="AT136" s="205">
        <v>66.6916168</v>
      </c>
      <c r="AU136" s="205">
        <v>1.45958084</v>
      </c>
      <c r="AV136" s="205">
        <v>-0.3125749</v>
      </c>
      <c r="AW136" s="205">
        <v>-0.3857784</v>
      </c>
      <c r="AX136" s="205">
        <v>-0.8592216</v>
      </c>
      <c r="AY136" s="205">
        <v>0.89820359</v>
      </c>
      <c r="AZ136" s="205">
        <v>1.29790419</v>
      </c>
      <c r="BA136" s="205">
        <v>-0.5335329</v>
      </c>
      <c r="BB136" s="205">
        <v>-0.4610778</v>
      </c>
      <c r="BC136" s="205">
        <v>165.568862</v>
      </c>
      <c r="BD136" s="205">
        <v>0.2245509</v>
      </c>
      <c r="BE136" s="205">
        <v>-0.2808383</v>
      </c>
      <c r="BF136" s="205">
        <v>0.2994012</v>
      </c>
      <c r="BG136" s="205">
        <v>3.89221557</v>
      </c>
      <c r="BH136" s="205">
        <v>-0.2994012</v>
      </c>
      <c r="BI136" s="205">
        <v>0.64670659</v>
      </c>
      <c r="BJ136" s="205">
        <v>-0.008982</v>
      </c>
      <c r="BK136" s="205">
        <v>-0.3008982</v>
      </c>
      <c r="BL136" s="205">
        <v>-0.0261976</v>
      </c>
      <c r="BM136" s="205">
        <v>0.78742515</v>
      </c>
      <c r="BN136" s="205">
        <v>-0.2994012</v>
      </c>
      <c r="BO136" s="205">
        <v>0.82185629</v>
      </c>
      <c r="BP136" s="205">
        <v>-0.2994012</v>
      </c>
      <c r="BQ136" s="206"/>
      <c r="BR136" s="250">
        <f t="shared" si="1"/>
        <v>4.096719417</v>
      </c>
      <c r="BS136" s="250">
        <f t="shared" si="2"/>
        <v>7.384002192</v>
      </c>
      <c r="BT136" s="206"/>
      <c r="BU136" s="207">
        <f>IFERROR(__xludf.DUMMYFUNCTION("AVERAGE(ARRAYFORMULA(XLOOKUP(FILTER(INDIRECT(""'""&amp;BU$1&amp;""'!$C$4:$C$66""),INDIRECT(""'""&amp;BU$1&amp;""'!$D$4:$D$66"")=BU$2),$F$3:$BP$3,$F136:$BP136)))"),-0.1891702357142857)</f>
        <v>-0.1891702357</v>
      </c>
      <c r="BV136" s="207" t="str">
        <f>IFERROR(__xludf.DUMMYFUNCTION("IF(OR(BU136&gt;$BR136+$BS136*$BS$2,BU136&lt;$BR136-$BS136*$BS$2),AVEDEV(ARRAYFORMULA(XLOOKUP(FILTER(INDIRECT(""'""&amp;BU$1&amp;""'!$C$4:$C$66""),INDIRECT(""'""&amp;BU$1&amp;""'!$D$4:$D$66"")=BU$2),$F$3:$BP$3,$F136:$BP136))),"""")"),"")</f>
        <v/>
      </c>
      <c r="BW136" s="207">
        <f>IFERROR(__xludf.DUMMYFUNCTION("AVERAGE(ARRAYFORMULA(XLOOKUP(FILTER(INDIRECT(""'""&amp;BW$1&amp;""'!$C$4:$C$66""),INDIRECT(""'""&amp;BW$1&amp;""'!$D$4:$D$66"")=BW$2),$F$3:$BP$3,$F136:$BP136)))"),0.4873966390476192)</f>
        <v>0.487396639</v>
      </c>
      <c r="BX136" s="207" t="str">
        <f>IFERROR(__xludf.DUMMYFUNCTION("IF(OR(BW136&gt;$BR136+$BS136*$BS$2,BW136&lt;$BR136-$BS136*$BS$2),AVEDEV(ARRAYFORMULA(XLOOKUP(FILTER(INDIRECT(""'""&amp;BW$1&amp;""'!$C$4:$C$66""),INDIRECT(""'""&amp;BW$1&amp;""'!$D$4:$D$66"")=BW$2),$F$3:$BP$3,$F136:$BP136))),"""")"),"")</f>
        <v/>
      </c>
      <c r="BY136" s="207">
        <f>IFERROR(__xludf.DUMMYFUNCTION("AVERAGE(ARRAYFORMULA(XLOOKUP(FILTER(INDIRECT(""'""&amp;BY$1&amp;""'!$C$4:$C$66""),INDIRECT(""'""&amp;BY$1&amp;""'!$D$4:$D$66"")=BY$2),$F$3:$BP$3,$F136:$BP136)))"),0.48101524272727275)</f>
        <v>0.4810152427</v>
      </c>
      <c r="BZ136" s="207" t="str">
        <f>IFERROR(__xludf.DUMMYFUNCTION("IF(OR(BY136&gt;$BR136+$BS136*$BS$2,BY136&lt;$BR136-$BS136*$BS$2),AVEDEV(ARRAYFORMULA(XLOOKUP(FILTER(INDIRECT(""'""&amp;BY$1&amp;""'!$C$4:$C$66""),INDIRECT(""'""&amp;BY$1&amp;""'!$D$4:$D$66"")=BY$2),$F$3:$BP$3,$F136:$BP136))),"""")"),"")</f>
        <v/>
      </c>
      <c r="CA136" s="209"/>
      <c r="CB136" s="207">
        <f>IFERROR(__xludf.DUMMYFUNCTION("AVERAGE(ARRAYFORMULA(XLOOKUP(FILTER(INDIRECT(""'""&amp;CB$1&amp;""'!$C$4:$C$66""),INDIRECT(""'""&amp;CB$1&amp;""'!$D$4:$D$66"")=CB$2),$F$3:$BP$3,$F136:$BP136)))"),-0.14874063562499995)</f>
        <v>-0.1487406356</v>
      </c>
      <c r="CC136" s="207" t="str">
        <f>IFERROR(__xludf.DUMMYFUNCTION("IF(OR(CB136&gt;$BR136+$BS136*$BS$2,CB136&lt;$BR136-$BS136*$BS$2),AVEDEV(ARRAYFORMULA(XLOOKUP(FILTER(INDIRECT(""'""&amp;CB$1&amp;""'!$C$4:$C$66""),INDIRECT(""'""&amp;CB$1&amp;""'!$D$4:$D$66"")=CB$2),$F$3:$BP$3,$F136:$BP136))),"""")"),"")</f>
        <v/>
      </c>
      <c r="CD136" s="207">
        <f>IFERROR(__xludf.DUMMYFUNCTION("AVERAGE(ARRAYFORMULA(XLOOKUP(FILTER(INDIRECT(""'""&amp;CD$1&amp;""'!$C$4:$C$66""),INDIRECT(""'""&amp;CD$1&amp;""'!$D$4:$D$66"")=CD$2),$F$3:$BP$3,$F136:$BP136)))"),0.44012362419354845)</f>
        <v>0.4401236242</v>
      </c>
      <c r="CE136" s="207" t="str">
        <f>IFERROR(__xludf.DUMMYFUNCTION("IF(OR(CD136&gt;$BR136+$BS136*$BS$2,CD136&lt;$BR136-$BS136*$BS$2),AVEDEV(ARRAYFORMULA(XLOOKUP(FILTER(INDIRECT(""'""&amp;CD$1&amp;""'!$C$4:$C$66""),INDIRECT(""'""&amp;CD$1&amp;""'!$D$4:$D$66"")=CD$2),$F$3:$BP$3,$F136:$BP136))),"""")"),"")</f>
        <v/>
      </c>
      <c r="CF136" s="207">
        <f>IFERROR(__xludf.DUMMYFUNCTION("AVERAGE(ARRAYFORMULA(XLOOKUP(FILTER(INDIRECT(""'""&amp;CF$1&amp;""'!$C$4:$C$66""),INDIRECT(""'""&amp;CF$1&amp;""'!$D$4:$D$66"")=CF$2),$F$3:$BP$3,$F136:$BP136)))"),3.078742516)</f>
        <v>3.078742516</v>
      </c>
      <c r="CG136" s="207" t="str">
        <f>IFERROR(__xludf.DUMMYFUNCTION("IF(OR(CF136&gt;$BR136+$BS136*$BS$2,CF136&lt;$BR136-$BS136*$BS$2),AVEDEV(ARRAYFORMULA(XLOOKUP(FILTER(INDIRECT(""'""&amp;CF$1&amp;""'!$C$4:$C$66""),INDIRECT(""'""&amp;CF$1&amp;""'!$D$4:$D$66"")=CF$2),$F$3:$BP$3,$F136:$BP136))),"""")"),"")</f>
        <v/>
      </c>
      <c r="CH136" s="206"/>
      <c r="CI136" s="251">
        <f>IFERROR(__xludf.DUMMYFUNCTION("AVERAGE(ARRAYFORMULA(XLOOKUP(FILTER(INDIRECT(""'""&amp;CI$1&amp;""'!$C$4:$C$66""),INDIRECT(""'""&amp;CI$1&amp;""'!$D$4:$D$66"")=CI$2),$F$3:$BP$3,$F136:$BP136)))"),0.020439124666666652)</f>
        <v>0.02043912467</v>
      </c>
      <c r="CJ136" s="207" t="str">
        <f>IFERROR(__xludf.DUMMYFUNCTION("IF(OR(CI136&gt;$BR136+$BS136*$BS$2,CI136&lt;$BR136-$BS136*$BS$2),AVEDEV(ARRAYFORMULA(XLOOKUP(FILTER(INDIRECT(""'""&amp;CI$1&amp;""'!$C$4:$C$66""),INDIRECT(""'""&amp;CI$1&amp;""'!$D$4:$D$66"")=CI$2),$F$3:$BP$3,$F136:$BP136))),"""")"),"")</f>
        <v/>
      </c>
      <c r="CK136" s="251">
        <f>IFERROR(__xludf.DUMMYFUNCTION("AVERAGE(ARRAYFORMULA(XLOOKUP(FILTER(INDIRECT(""'""&amp;CK$1&amp;""'!$C$4:$C$66""),INDIRECT(""'""&amp;CK$1&amp;""'!$D$4:$D$66"")=CK$2),$F$3:$BP$3,$F136:$BP136)))"),0.23174957974358984)</f>
        <v>0.2317495797</v>
      </c>
      <c r="CL136" s="207" t="str">
        <f>IFERROR(__xludf.DUMMYFUNCTION("IF(OR(CK136&gt;$BR136+$BS136*$BS$2,CK136&lt;$BR136-$BS136*$BS$2),AVEDEV(ARRAYFORMULA(XLOOKUP(FILTER(INDIRECT(""'""&amp;CK$1&amp;""'!$C$4:$C$66""),INDIRECT(""'""&amp;CK$1&amp;""'!$D$4:$D$66"")=CK$2),$F$3:$BP$3,$F136:$BP136))),"""")"),"")</f>
        <v/>
      </c>
      <c r="CM136" s="251">
        <f>IFERROR(__xludf.DUMMYFUNCTION("AVERAGE(ARRAYFORMULA(XLOOKUP(FILTER(INDIRECT(""'""&amp;CM$1&amp;""'!$C$4:$C$66""),INDIRECT(""'""&amp;CM$1&amp;""'!$D$4:$D$66"")=CM$2),$F$3:$BP$3,$F136:$BP136)))"),3.078742516)</f>
        <v>3.078742516</v>
      </c>
      <c r="CN136" s="207" t="str">
        <f>IFERROR(__xludf.DUMMYFUNCTION("IF(OR(CM136&gt;$BR136+$BS136*$BS$2,CM136&lt;$BR136-$BS136*$BS$2),AVEDEV(ARRAYFORMULA(XLOOKUP(FILTER(INDIRECT(""'""&amp;CM$1&amp;""'!$C$4:$C$66""),INDIRECT(""'""&amp;CM$1&amp;""'!$D$4:$D$66"")=CM$2),$F$3:$BP$3,$F136:$BP136))),"""")"),"")</f>
        <v/>
      </c>
      <c r="CO136" s="252"/>
      <c r="CP136" s="251">
        <f>IFERROR(__xludf.DUMMYFUNCTION("AVERAGE(ARRAYFORMULA(XLOOKUP(FILTER(INDIRECT(""'""&amp;CP$1&amp;""'!$C$4:$C$66""),INDIRECT(""'""&amp;CP$1&amp;""'!$D$4:$D$66"")=CP$2),$F$3:$BP$3,$F136:$BP136)))"),-0.12361847285714286)</f>
        <v>-0.1236184729</v>
      </c>
      <c r="CQ136" s="207" t="str">
        <f>IFERROR(__xludf.DUMMYFUNCTION("IF(OR(CP136&gt;$BR136+$BS136*$BS$2,CP136&lt;$BR136-$BS136*$BS$2),AVEDEV(ARRAYFORMULA(XLOOKUP(FILTER(INDIRECT(""'""&amp;CP$1&amp;""'!$C$4:$C$66""),INDIRECT(""'""&amp;CP$1&amp;""'!$D$4:$D$66"")=CP$2),$F$3:$BP$3,$F136:$BP136))),"""")"),"")</f>
        <v/>
      </c>
      <c r="CR136" s="251">
        <f>IFERROR(__xludf.DUMMYFUNCTION("AVERAGE(ARRAYFORMULA(XLOOKUP(FILTER(INDIRECT(""'""&amp;CR$1&amp;""'!$C$4:$C$66""),INDIRECT(""'""&amp;CR$1&amp;""'!$D$4:$D$66"")=CR$2),$F$3:$BP$3,$F136:$BP136)))"),0.49101796444444445)</f>
        <v>0.4910179644</v>
      </c>
      <c r="CS136" s="207" t="str">
        <f>IFERROR(__xludf.DUMMYFUNCTION("IF(OR(CR136&gt;$BR136+$BS136*$BS$2,CR136&lt;$BR136-$BS136*$BS$2),AVEDEV(ARRAYFORMULA(XLOOKUP(FILTER(INDIRECT(""'""&amp;CR$1&amp;""'!$C$4:$C$66""),INDIRECT(""'""&amp;CR$1&amp;""'!$D$4:$D$66"")=CR$2),$F$3:$BP$3,$F136:$BP136))),"""")"),"")</f>
        <v/>
      </c>
      <c r="CT136" s="251">
        <f>IFERROR(__xludf.DUMMYFUNCTION("AVERAGE(ARRAYFORMULA(XLOOKUP(FILTER(INDIRECT(""'""&amp;CT$1&amp;""'!$C$4:$C$66""),INDIRECT(""'""&amp;CT$1&amp;""'!$D$4:$D$66"")=CT$2),$F$3:$BP$3,$F136:$BP136)))"),0.3717202)</f>
        <v>0.3717202</v>
      </c>
      <c r="CU136" s="207" t="str">
        <f>IFERROR(__xludf.DUMMYFUNCTION("IF(OR(CT136&gt;$BR136+$BS136*$BS$2,CT136&lt;$BR136-$BS136*$BS$2),AVEDEV(ARRAYFORMULA(XLOOKUP(FILTER(INDIRECT(""'""&amp;CT$1&amp;""'!$C$4:$C$66""),INDIRECT(""'""&amp;CT$1&amp;""'!$D$4:$D$66"")=CT$2),$F$3:$BP$3,$F136:$BP136))),"""")"),"")</f>
        <v/>
      </c>
      <c r="CV136" s="251">
        <f>IFERROR(__xludf.DUMMYFUNCTION("AVERAGE(ARRAYFORMULA(XLOOKUP(FILTER(INDIRECT(""'""&amp;CV$1&amp;""'!$C$4:$C$66""),INDIRECT(""'""&amp;CV$1&amp;""'!$D$4:$D$66"")=CV$2),$F$3:$BP$3,$F136:$BP136)))"),3.89221557)</f>
        <v>3.89221557</v>
      </c>
      <c r="CW136" s="207" t="str">
        <f>IFERROR(__xludf.DUMMYFUNCTION("IF(OR(CV136&gt;$BR136+$BS136*$BS$2,CV136&lt;$BR136-$BS136*$BS$2),AVEDEV(ARRAYFORMULA(XLOOKUP(FILTER(INDIRECT(""'""&amp;CV$1&amp;""'!$C$4:$C$66""),INDIRECT(""'""&amp;CV$1&amp;""'!$D$4:$D$66"")=CV$2),$F$3:$BP$3,$F136:$BP136))),"""")"),"")</f>
        <v/>
      </c>
      <c r="CX136" s="251">
        <f>IFERROR(__xludf.DUMMYFUNCTION("AVERAGE(ARRAYFORMULA(XLOOKUP(FILTER(INDIRECT(""'""&amp;CX$1&amp;""'!$C$4:$C$66""),INDIRECT(""'""&amp;CX$1&amp;""'!$D$4:$D$66"")=CX$2),$F$3:$BP$3,$F136:$BP136)))"),-0.044563727857142854)</f>
        <v>-0.04456372786</v>
      </c>
      <c r="CY136" s="207" t="str">
        <f>IFERROR(__xludf.DUMMYFUNCTION("IF(OR(CX136&gt;$BR136+$BS136*$BS$2,CX136&lt;$BR136-$BS136*$BS$2),AVEDEV(ARRAYFORMULA(XLOOKUP(FILTER(INDIRECT(""'""&amp;CX$1&amp;""'!$C$4:$C$66""),INDIRECT(""'""&amp;CX$1&amp;""'!$D$4:$D$66"")=CX$2),$F$3:$BP$3,$F136:$BP136))),"""")"),"")</f>
        <v/>
      </c>
      <c r="CZ136" s="252"/>
      <c r="DA136" s="251">
        <f>IFERROR(__xludf.DUMMYFUNCTION("AVERAGE(ARRAYFORMULA(XLOOKUP(FILTER(INDIRECT(""'""&amp;DA$1&amp;""'!$C$4:$C$66""),INDIRECT(""'""&amp;DA$1&amp;""'!$D$4:$D$66"")=DA$2),$F$3:$BP$3,$F136:$BP136)))"),-0.08714569866666667)</f>
        <v>-0.08714569867</v>
      </c>
      <c r="DB136" s="207" t="str">
        <f>IFERROR(__xludf.DUMMYFUNCTION("IF(OR(DA136&gt;$BR136+$BS136*$BS$2,DA136&lt;$BR136-$BS136*$BS$2),AVEDEV(ARRAYFORMULA(XLOOKUP(FILTER(INDIRECT(""'""&amp;DA$1&amp;""'!$C$4:$C$66""),INDIRECT(""'""&amp;DA$1&amp;""'!$D$4:$D$66"")=DA$2),$F$3:$BP$3,$F136:$BP136))),"""")"),"")</f>
        <v/>
      </c>
      <c r="DC136" s="251">
        <f>IFERROR(__xludf.DUMMYFUNCTION("AVERAGE(ARRAYFORMULA(XLOOKUP(FILTER(INDIRECT(""'""&amp;DC$1&amp;""'!$C$4:$C$66""),INDIRECT(""'""&amp;DC$1&amp;""'!$D$4:$D$66"")=DC$2),$F$3:$BP$3,$F136:$BP136)))"),0.5861111122222222)</f>
        <v>0.5861111122</v>
      </c>
      <c r="DD136" s="207" t="str">
        <f>IFERROR(__xludf.DUMMYFUNCTION("IF(OR(DC136&gt;$BR136+$BS136*$BS$2,DC136&lt;$BR136-$BS136*$BS$2),AVEDEV(ARRAYFORMULA(XLOOKUP(FILTER(INDIRECT(""'""&amp;DC$1&amp;""'!$C$4:$C$66""),INDIRECT(""'""&amp;DC$1&amp;""'!$D$4:$D$66"")=DC$2),$F$3:$BP$3,$F136:$BP136))),"""")"),"")</f>
        <v/>
      </c>
      <c r="DE136" s="251">
        <f>IFERROR(__xludf.DUMMYFUNCTION("AVERAGE(ARRAYFORMULA(XLOOKUP(FILTER(INDIRECT(""'""&amp;DE$1&amp;""'!$C$4:$C$66""),INDIRECT(""'""&amp;DE$1&amp;""'!$D$4:$D$66"")=DE$2),$F$3:$BP$3,$F136:$BP136)))"),0.05947603999999998)</f>
        <v>0.05947604</v>
      </c>
      <c r="DF136" s="207" t="str">
        <f>IFERROR(__xludf.DUMMYFUNCTION("IF(OR(DE136&gt;$BR136+$BS136*$BS$2,DE136&lt;$BR136-$BS136*$BS$2),AVEDEV(ARRAYFORMULA(XLOOKUP(FILTER(INDIRECT(""'""&amp;DE$1&amp;""'!$C$4:$C$66""),INDIRECT(""'""&amp;DE$1&amp;""'!$D$4:$D$66"")=DE$2),$F$3:$BP$3,$F136:$BP136))),"""")"),"")</f>
        <v/>
      </c>
      <c r="DG136" s="251">
        <f>IFERROR(__xludf.DUMMYFUNCTION("AVERAGE(ARRAYFORMULA(XLOOKUP(FILTER(INDIRECT(""'""&amp;DG$1&amp;""'!$C$4:$C$66""),INDIRECT(""'""&amp;DG$1&amp;""'!$D$4:$D$66"")=DG$2),$F$3:$BP$3,$F136:$BP136)))"),2.5011643322222223)</f>
        <v>2.501164332</v>
      </c>
      <c r="DH136" s="207" t="str">
        <f>IFERROR(__xludf.DUMMYFUNCTION("IF(OR(DG136&gt;$BR136+$BS136*$BS$2,DG136&lt;$BR136-$BS136*$BS$2),AVEDEV(ARRAYFORMULA(XLOOKUP(FILTER(INDIRECT(""'""&amp;DG$1&amp;""'!$C$4:$C$66""),INDIRECT(""'""&amp;DG$1&amp;""'!$D$4:$D$66"")=DG$2),$F$3:$BP$3,$F136:$BP136))),"""")"),"")</f>
        <v/>
      </c>
      <c r="DI136" s="252"/>
    </row>
    <row r="137">
      <c r="A137" s="2"/>
      <c r="B137" s="204" t="s">
        <v>540</v>
      </c>
      <c r="C137" s="204" t="s">
        <v>580</v>
      </c>
      <c r="D137" s="205" t="b">
        <f>VLOOKUP(C137,'Feature Set List'!A134:C246,2,0)</f>
        <v>1</v>
      </c>
      <c r="E137" s="205" t="b">
        <f>VLOOKUP(C137,'Feature Set List'!A134:C246,3,0)</f>
        <v>0</v>
      </c>
      <c r="F137" s="205">
        <v>1.59051273</v>
      </c>
      <c r="G137" s="205">
        <v>-0.3390303</v>
      </c>
      <c r="H137" s="205">
        <v>-0.7115452</v>
      </c>
      <c r="I137" s="205">
        <v>0.10115103</v>
      </c>
      <c r="J137" s="205">
        <v>-0.9264039</v>
      </c>
      <c r="K137" s="205">
        <v>1.03662365</v>
      </c>
      <c r="L137" s="205">
        <v>-0.2936868</v>
      </c>
      <c r="M137" s="205">
        <v>0.42762469</v>
      </c>
      <c r="N137" s="205">
        <v>-0.2608999</v>
      </c>
      <c r="O137" s="205">
        <v>0.26299268</v>
      </c>
      <c r="P137" s="205">
        <v>-0.9550052</v>
      </c>
      <c r="Q137" s="205">
        <v>-1.5488664</v>
      </c>
      <c r="R137" s="205">
        <v>0.07743286</v>
      </c>
      <c r="S137" s="205">
        <v>0.69410534</v>
      </c>
      <c r="T137" s="205">
        <v>-0.1974189</v>
      </c>
      <c r="U137" s="205">
        <v>-0.8789676</v>
      </c>
      <c r="V137" s="205">
        <v>0.0</v>
      </c>
      <c r="W137" s="205">
        <v>1.8018835</v>
      </c>
      <c r="X137" s="205">
        <v>0.09766306</v>
      </c>
      <c r="Y137" s="205">
        <v>0.47436345</v>
      </c>
      <c r="Z137" s="205">
        <v>-0.1450994</v>
      </c>
      <c r="AA137" s="205">
        <v>0.42622951</v>
      </c>
      <c r="AB137" s="205">
        <v>2.45483083</v>
      </c>
      <c r="AC137" s="205">
        <v>0.12347401</v>
      </c>
      <c r="AD137" s="205">
        <v>0.64248343</v>
      </c>
      <c r="AE137" s="205">
        <v>-0.018835</v>
      </c>
      <c r="AF137" s="205">
        <v>0.72619463</v>
      </c>
      <c r="AG137" s="205">
        <v>0.3439135</v>
      </c>
      <c r="AH137" s="205">
        <v>-0.3341472</v>
      </c>
      <c r="AI137" s="205">
        <v>-0.0279037</v>
      </c>
      <c r="AJ137" s="205">
        <v>-0.2560167</v>
      </c>
      <c r="AK137" s="205">
        <v>-0.463202</v>
      </c>
      <c r="AL137" s="205">
        <v>-0.1848622</v>
      </c>
      <c r="AM137" s="205">
        <v>-1.04639</v>
      </c>
      <c r="AN137" s="205">
        <v>-1.6050924</v>
      </c>
      <c r="AO137" s="205">
        <v>-0.837112</v>
      </c>
      <c r="AP137" s="205">
        <v>0.17788629</v>
      </c>
      <c r="AQ137" s="205">
        <v>-0.4046041</v>
      </c>
      <c r="AR137" s="205">
        <v>-0.0418556</v>
      </c>
      <c r="AS137" s="205">
        <v>-0.5280781</v>
      </c>
      <c r="AT137" s="205">
        <v>1.02895012</v>
      </c>
      <c r="AU137" s="205">
        <v>-0.7129404</v>
      </c>
      <c r="AV137" s="205">
        <v>1.40006976</v>
      </c>
      <c r="AW137" s="205">
        <v>-0.4199512</v>
      </c>
      <c r="AX137" s="205">
        <v>-0.1116149</v>
      </c>
      <c r="AY137" s="205">
        <v>-0.6975933</v>
      </c>
      <c r="AZ137" s="205">
        <v>0.9996512</v>
      </c>
      <c r="BA137" s="205">
        <v>0.44087897</v>
      </c>
      <c r="BB137" s="205">
        <v>-0.0844088</v>
      </c>
      <c r="BC137" s="205">
        <v>6.13184513</v>
      </c>
      <c r="BD137" s="205">
        <v>0.90687129</v>
      </c>
      <c r="BE137" s="205">
        <v>0.728985</v>
      </c>
      <c r="BF137" s="205">
        <v>0.46320195</v>
      </c>
      <c r="BG137" s="205">
        <v>0.89361702</v>
      </c>
      <c r="BH137" s="205">
        <v>-0.5650506</v>
      </c>
      <c r="BI137" s="205">
        <v>0.01674224</v>
      </c>
      <c r="BJ137" s="205">
        <v>-1.4610394</v>
      </c>
      <c r="BK137" s="205">
        <v>-1.1733519</v>
      </c>
      <c r="BL137" s="205">
        <v>1.56330659</v>
      </c>
      <c r="BM137" s="205">
        <v>0.14858737</v>
      </c>
      <c r="BN137" s="205">
        <v>2.24764562</v>
      </c>
      <c r="BO137" s="205">
        <v>0.42762469</v>
      </c>
      <c r="BP137" s="205">
        <v>-0.5580746</v>
      </c>
      <c r="BQ137" s="206"/>
      <c r="BR137" s="250">
        <f t="shared" si="1"/>
        <v>0.1756872133</v>
      </c>
      <c r="BS137" s="250">
        <f t="shared" si="2"/>
        <v>0.7587336901</v>
      </c>
      <c r="BT137" s="206"/>
      <c r="BU137" s="207">
        <f>IFERROR(__xludf.DUMMYFUNCTION("AVERAGE(ARRAYFORMULA(XLOOKUP(FILTER(INDIRECT(""'""&amp;BU$1&amp;""'!$C$4:$C$66""),INDIRECT(""'""&amp;BU$1&amp;""'!$D$4:$D$66"")=BU$2),$F$3:$BP$3,$F137:$BP137)))"),0.008879379999999961)</f>
        <v>0.00887938</v>
      </c>
      <c r="BV137" s="207" t="str">
        <f>IFERROR(__xludf.DUMMYFUNCTION("IF(OR(BU137&gt;$BR137+$BS137*$BS$2,BU137&lt;$BR137-$BS137*$BS$2),AVEDEV(ARRAYFORMULA(XLOOKUP(FILTER(INDIRECT(""'""&amp;BU$1&amp;""'!$C$4:$C$66""),INDIRECT(""'""&amp;BU$1&amp;""'!$D$4:$D$66"")=BU$2),$F$3:$BP$3,$F137:$BP137))),"""")"),"")</f>
        <v/>
      </c>
      <c r="BW137" s="207">
        <f>IFERROR(__xludf.DUMMYFUNCTION("AVERAGE(ARRAYFORMULA(XLOOKUP(FILTER(INDIRECT(""'""&amp;BW$1&amp;""'!$C$4:$C$66""),INDIRECT(""'""&amp;BW$1&amp;""'!$D$4:$D$66"")=BW$2),$F$3:$BP$3,$F137:$BP137)))"),-0.016139319523809505)</f>
        <v>-0.01613931952</v>
      </c>
      <c r="BX137" s="207" t="str">
        <f>IFERROR(__xludf.DUMMYFUNCTION("IF(OR(BW137&gt;$BR137+$BS137*$BS$2,BW137&lt;$BR137-$BS137*$BS$2),AVEDEV(ARRAYFORMULA(XLOOKUP(FILTER(INDIRECT(""'""&amp;BW$1&amp;""'!$C$4:$C$66""),INDIRECT(""'""&amp;BW$1&amp;""'!$D$4:$D$66"")=BW$2),$F$3:$BP$3,$F137:$BP137))),"""")"),"")</f>
        <v/>
      </c>
      <c r="BY137" s="207">
        <f>IFERROR(__xludf.DUMMYFUNCTION("AVERAGE(ARRAYFORMULA(XLOOKUP(FILTER(INDIRECT(""'""&amp;BY$1&amp;""'!$C$4:$C$66""),INDIRECT(""'""&amp;BY$1&amp;""'!$D$4:$D$66"")=BY$2),$F$3:$BP$3,$F137:$BP137)))"),0.4758854681818182)</f>
        <v>0.4758854682</v>
      </c>
      <c r="BZ137" s="207" t="str">
        <f>IFERROR(__xludf.DUMMYFUNCTION("IF(OR(BY137&gt;$BR137+$BS137*$BS$2,BY137&lt;$BR137-$BS137*$BS$2),AVEDEV(ARRAYFORMULA(XLOOKUP(FILTER(INDIRECT(""'""&amp;BY$1&amp;""'!$C$4:$C$66""),INDIRECT(""'""&amp;BY$1&amp;""'!$D$4:$D$66"")=BY$2),$F$3:$BP$3,$F137:$BP137))),"""")"),"")</f>
        <v/>
      </c>
      <c r="CA137" s="209"/>
      <c r="CB137" s="207">
        <f>IFERROR(__xludf.DUMMYFUNCTION("AVERAGE(ARRAYFORMULA(XLOOKUP(FILTER(INDIRECT(""'""&amp;CB$1&amp;""'!$C$4:$C$66""),INDIRECT(""'""&amp;CB$1&amp;""'!$D$4:$D$66"")=CB$2),$F$3:$BP$3,$F137:$BP137)))"),0.021756193750000027)</f>
        <v>0.02175619375</v>
      </c>
      <c r="CC137" s="207" t="str">
        <f>IFERROR(__xludf.DUMMYFUNCTION("IF(OR(CB137&gt;$BR137+$BS137*$BS$2,CB137&lt;$BR137-$BS137*$BS$2),AVEDEV(ARRAYFORMULA(XLOOKUP(FILTER(INDIRECT(""'""&amp;CB$1&amp;""'!$C$4:$C$66""),INDIRECT(""'""&amp;CB$1&amp;""'!$D$4:$D$66"")=CB$2),$F$3:$BP$3,$F137:$BP137))),"""")"),"")</f>
        <v/>
      </c>
      <c r="CD137" s="207">
        <f>IFERROR(__xludf.DUMMYFUNCTION("AVERAGE(ARRAYFORMULA(XLOOKUP(FILTER(INDIRECT(""'""&amp;CD$1&amp;""'!$C$4:$C$66""),INDIRECT(""'""&amp;CD$1&amp;""'!$D$4:$D$66"")=CD$2),$F$3:$BP$3,$F137:$BP137)))"),-0.05508061677419356)</f>
        <v>-0.05508061677</v>
      </c>
      <c r="CE137" s="207" t="str">
        <f>IFERROR(__xludf.DUMMYFUNCTION("IF(OR(CD137&gt;$BR137+$BS137*$BS$2,CD137&lt;$BR137-$BS137*$BS$2),AVEDEV(ARRAYFORMULA(XLOOKUP(FILTER(INDIRECT(""'""&amp;CD$1&amp;""'!$C$4:$C$66""),INDIRECT(""'""&amp;CD$1&amp;""'!$D$4:$D$66"")=CD$2),$F$3:$BP$3,$F137:$BP137))),"""")"),"")</f>
        <v/>
      </c>
      <c r="CF137" s="207">
        <f>IFERROR(__xludf.DUMMYFUNCTION("AVERAGE(ARRAYFORMULA(XLOOKUP(FILTER(INDIRECT(""'""&amp;CF$1&amp;""'!$C$4:$C$66""),INDIRECT(""'""&amp;CF$1&amp;""'!$D$4:$D$66"")=CF$2),$F$3:$BP$3,$F137:$BP137)))"),0.475619114)</f>
        <v>0.475619114</v>
      </c>
      <c r="CG137" s="207" t="str">
        <f>IFERROR(__xludf.DUMMYFUNCTION("IF(OR(CF137&gt;$BR137+$BS137*$BS$2,CF137&lt;$BR137-$BS137*$BS$2),AVEDEV(ARRAYFORMULA(XLOOKUP(FILTER(INDIRECT(""'""&amp;CF$1&amp;""'!$C$4:$C$66""),INDIRECT(""'""&amp;CF$1&amp;""'!$D$4:$D$66"")=CF$2),$F$3:$BP$3,$F137:$BP137))),"""")"),"")</f>
        <v/>
      </c>
      <c r="CH137" s="206"/>
      <c r="CI137" s="251">
        <f>IFERROR(__xludf.DUMMYFUNCTION("AVERAGE(ARRAYFORMULA(XLOOKUP(FILTER(INDIRECT(""'""&amp;CI$1&amp;""'!$C$4:$C$66""),INDIRECT(""'""&amp;CI$1&amp;""'!$D$4:$D$66"")=CI$2),$F$3:$BP$3,$F137:$BP137)))"),0.8048831546666667)</f>
        <v>0.8048831547</v>
      </c>
      <c r="CJ137" s="207" t="str">
        <f>IFERROR(__xludf.DUMMYFUNCTION("IF(OR(CI137&gt;$BR137+$BS137*$BS$2,CI137&lt;$BR137-$BS137*$BS$2),AVEDEV(ARRAYFORMULA(XLOOKUP(FILTER(INDIRECT(""'""&amp;CI$1&amp;""'!$C$4:$C$66""),INDIRECT(""'""&amp;CI$1&amp;""'!$D$4:$D$66"")=CI$2),$F$3:$BP$3,$F137:$BP137))),"""")"),"")</f>
        <v/>
      </c>
      <c r="CK137" s="251">
        <f>IFERROR(__xludf.DUMMYFUNCTION("AVERAGE(ARRAYFORMULA(XLOOKUP(FILTER(INDIRECT(""'""&amp;CK$1&amp;""'!$C$4:$C$66""),INDIRECT(""'""&amp;CK$1&amp;""'!$D$4:$D$66"")=CK$2),$F$3:$BP$3,$F137:$BP137)))"),-0.2220242717948718)</f>
        <v>-0.2220242718</v>
      </c>
      <c r="CL137" s="207" t="str">
        <f>IFERROR(__xludf.DUMMYFUNCTION("IF(OR(CK137&gt;$BR137+$BS137*$BS$2,CK137&lt;$BR137-$BS137*$BS$2),AVEDEV(ARRAYFORMULA(XLOOKUP(FILTER(INDIRECT(""'""&amp;CK$1&amp;""'!$C$4:$C$66""),INDIRECT(""'""&amp;CK$1&amp;""'!$D$4:$D$66"")=CK$2),$F$3:$BP$3,$F137:$BP137))),"""")"),"")</f>
        <v/>
      </c>
      <c r="CM137" s="251">
        <f>IFERROR(__xludf.DUMMYFUNCTION("AVERAGE(ARRAYFORMULA(XLOOKUP(FILTER(INDIRECT(""'""&amp;CM$1&amp;""'!$C$4:$C$66""),INDIRECT(""'""&amp;CM$1&amp;""'!$D$4:$D$66"")=CM$2),$F$3:$BP$3,$F137:$BP137)))"),0.475619114)</f>
        <v>0.475619114</v>
      </c>
      <c r="CN137" s="207" t="str">
        <f>IFERROR(__xludf.DUMMYFUNCTION("IF(OR(CM137&gt;$BR137+$BS137*$BS$2,CM137&lt;$BR137-$BS137*$BS$2),AVEDEV(ARRAYFORMULA(XLOOKUP(FILTER(INDIRECT(""'""&amp;CM$1&amp;""'!$C$4:$C$66""),INDIRECT(""'""&amp;CM$1&amp;""'!$D$4:$D$66"")=CM$2),$F$3:$BP$3,$F137:$BP137))),"""")"),"")</f>
        <v/>
      </c>
      <c r="CO137" s="252"/>
      <c r="CP137" s="251">
        <f>IFERROR(__xludf.DUMMYFUNCTION("AVERAGE(ARRAYFORMULA(XLOOKUP(FILTER(INDIRECT(""'""&amp;CP$1&amp;""'!$C$4:$C$66""),INDIRECT(""'""&amp;CP$1&amp;""'!$D$4:$D$66"")=CP$2),$F$3:$BP$3,$F137:$BP137)))"),-0.026080026428571396)</f>
        <v>-0.02608002643</v>
      </c>
      <c r="CQ137" s="207" t="str">
        <f>IFERROR(__xludf.DUMMYFUNCTION("IF(OR(CP137&gt;$BR137+$BS137*$BS$2,CP137&lt;$BR137-$BS137*$BS$2),AVEDEV(ARRAYFORMULA(XLOOKUP(FILTER(INDIRECT(""'""&amp;CP$1&amp;""'!$C$4:$C$66""),INDIRECT(""'""&amp;CP$1&amp;""'!$D$4:$D$66"")=CP$2),$F$3:$BP$3,$F137:$BP137))),"""")"),"")</f>
        <v/>
      </c>
      <c r="CR137" s="251">
        <f>IFERROR(__xludf.DUMMYFUNCTION("AVERAGE(ARRAYFORMULA(XLOOKUP(FILTER(INDIRECT(""'""&amp;CR$1&amp;""'!$C$4:$C$66""),INDIRECT(""'""&amp;CR$1&amp;""'!$D$4:$D$66"")=CR$2),$F$3:$BP$3,$F137:$BP137)))"),0.48544742888888887)</f>
        <v>0.4854474289</v>
      </c>
      <c r="CS137" s="207" t="str">
        <f>IFERROR(__xludf.DUMMYFUNCTION("IF(OR(CR137&gt;$BR137+$BS137*$BS$2,CR137&lt;$BR137-$BS137*$BS$2),AVEDEV(ARRAYFORMULA(XLOOKUP(FILTER(INDIRECT(""'""&amp;CR$1&amp;""'!$C$4:$C$66""),INDIRECT(""'""&amp;CR$1&amp;""'!$D$4:$D$66"")=CR$2),$F$3:$BP$3,$F137:$BP137))),"""")"),"")</f>
        <v/>
      </c>
      <c r="CT137" s="251">
        <f>IFERROR(__xludf.DUMMYFUNCTION("AVERAGE(ARRAYFORMULA(XLOOKUP(FILTER(INDIRECT(""'""&amp;CT$1&amp;""'!$C$4:$C$66""),INDIRECT(""'""&amp;CT$1&amp;""'!$D$4:$D$66"")=CT$2),$F$3:$BP$3,$F137:$BP137)))"),0.3404255336363637)</f>
        <v>0.3404255336</v>
      </c>
      <c r="CU137" s="207" t="str">
        <f>IFERROR(__xludf.DUMMYFUNCTION("IF(OR(CT137&gt;$BR137+$BS137*$BS$2,CT137&lt;$BR137-$BS137*$BS$2),AVEDEV(ARRAYFORMULA(XLOOKUP(FILTER(INDIRECT(""'""&amp;CT$1&amp;""'!$C$4:$C$66""),INDIRECT(""'""&amp;CT$1&amp;""'!$D$4:$D$66"")=CT$2),$F$3:$BP$3,$F137:$BP137))),"""")"),"")</f>
        <v/>
      </c>
      <c r="CV137" s="251">
        <f>IFERROR(__xludf.DUMMYFUNCTION("AVERAGE(ARRAYFORMULA(XLOOKUP(FILTER(INDIRECT(""'""&amp;CV$1&amp;""'!$C$4:$C$66""),INDIRECT(""'""&amp;CV$1&amp;""'!$D$4:$D$66"")=CV$2),$F$3:$BP$3,$F137:$BP137)))"),0.508545515)</f>
        <v>0.508545515</v>
      </c>
      <c r="CW137" s="207" t="str">
        <f>IFERROR(__xludf.DUMMYFUNCTION("IF(OR(CV137&gt;$BR137+$BS137*$BS$2,CV137&lt;$BR137-$BS137*$BS$2),AVEDEV(ARRAYFORMULA(XLOOKUP(FILTER(INDIRECT(""'""&amp;CV$1&amp;""'!$C$4:$C$66""),INDIRECT(""'""&amp;CV$1&amp;""'!$D$4:$D$66"")=CV$2),$F$3:$BP$3,$F137:$BP137))),"""")"),"")</f>
        <v/>
      </c>
      <c r="CX137" s="251">
        <f>IFERROR(__xludf.DUMMYFUNCTION("AVERAGE(ARRAYFORMULA(XLOOKUP(FILTER(INDIRECT(""'""&amp;CX$1&amp;""'!$C$4:$C$66""),INDIRECT(""'""&amp;CX$1&amp;""'!$D$4:$D$66"")=CX$2),$F$3:$BP$3,$F137:$BP137)))"),-0.34313119642857143)</f>
        <v>-0.3431311964</v>
      </c>
      <c r="CY137" s="207" t="str">
        <f>IFERROR(__xludf.DUMMYFUNCTION("IF(OR(CX137&gt;$BR137+$BS137*$BS$2,CX137&lt;$BR137-$BS137*$BS$2),AVEDEV(ARRAYFORMULA(XLOOKUP(FILTER(INDIRECT(""'""&amp;CX$1&amp;""'!$C$4:$C$66""),INDIRECT(""'""&amp;CX$1&amp;""'!$D$4:$D$66"")=CX$2),$F$3:$BP$3,$F137:$BP137))),"""")"),"")</f>
        <v/>
      </c>
      <c r="CZ137" s="252"/>
      <c r="DA137" s="251">
        <f>IFERROR(__xludf.DUMMYFUNCTION("AVERAGE(ARRAYFORMULA(XLOOKUP(FILTER(INDIRECT(""'""&amp;DA$1&amp;""'!$C$4:$C$66""),INDIRECT(""'""&amp;DA$1&amp;""'!$D$4:$D$66"")=DA$2),$F$3:$BP$3,$F137:$BP137)))"),-0.029796536666666658)</f>
        <v>-0.02979653667</v>
      </c>
      <c r="DB137" s="207" t="str">
        <f>IFERROR(__xludf.DUMMYFUNCTION("IF(OR(DA137&gt;$BR137+$BS137*$BS$2,DA137&lt;$BR137-$BS137*$BS$2),AVEDEV(ARRAYFORMULA(XLOOKUP(FILTER(INDIRECT(""'""&amp;DA$1&amp;""'!$C$4:$C$66""),INDIRECT(""'""&amp;DA$1&amp;""'!$D$4:$D$66"")=DA$2),$F$3:$BP$3,$F137:$BP137))),"""")"),"")</f>
        <v/>
      </c>
      <c r="DC137" s="251">
        <f>IFERROR(__xludf.DUMMYFUNCTION("AVERAGE(ARRAYFORMULA(XLOOKUP(FILTER(INDIRECT(""'""&amp;DC$1&amp;""'!$C$4:$C$66""),INDIRECT(""'""&amp;DC$1&amp;""'!$D$4:$D$66"")=DC$2),$F$3:$BP$3,$F137:$BP137)))"),0.5711738877777778)</f>
        <v>0.5711738878</v>
      </c>
      <c r="DD137" s="207" t="str">
        <f>IFERROR(__xludf.DUMMYFUNCTION("IF(OR(DC137&gt;$BR137+$BS137*$BS$2,DC137&lt;$BR137-$BS137*$BS$2),AVEDEV(ARRAYFORMULA(XLOOKUP(FILTER(INDIRECT(""'""&amp;DC$1&amp;""'!$C$4:$C$66""),INDIRECT(""'""&amp;DC$1&amp;""'!$D$4:$D$66"")=DC$2),$F$3:$BP$3,$F137:$BP137))),"""")"),"")</f>
        <v/>
      </c>
      <c r="DE137" s="251">
        <f>IFERROR(__xludf.DUMMYFUNCTION("AVERAGE(ARRAYFORMULA(XLOOKUP(FILTER(INDIRECT(""'""&amp;DE$1&amp;""'!$C$4:$C$66""),INDIRECT(""'""&amp;DE$1&amp;""'!$D$4:$D$66"")=DE$2),$F$3:$BP$3,$F137:$BP137)))"),-0.363995455)</f>
        <v>-0.363995455</v>
      </c>
      <c r="DF137" s="207" t="str">
        <f>IFERROR(__xludf.DUMMYFUNCTION("IF(OR(DE137&gt;$BR137+$BS137*$BS$2,DE137&lt;$BR137-$BS137*$BS$2),AVEDEV(ARRAYFORMULA(XLOOKUP(FILTER(INDIRECT(""'""&amp;DE$1&amp;""'!$C$4:$C$66""),INDIRECT(""'""&amp;DE$1&amp;""'!$D$4:$D$66"")=DE$2),$F$3:$BP$3,$F137:$BP137))),"""")"),"")</f>
        <v/>
      </c>
      <c r="DG137" s="251">
        <f>IFERROR(__xludf.DUMMYFUNCTION("AVERAGE(ARRAYFORMULA(XLOOKUP(FILTER(INDIRECT(""'""&amp;DG$1&amp;""'!$C$4:$C$66""),INDIRECT(""'""&amp;DG$1&amp;""'!$D$4:$D$66"")=DG$2),$F$3:$BP$3,$F137:$BP137)))"),0.5183893377777777)</f>
        <v>0.5183893378</v>
      </c>
      <c r="DH137" s="207" t="str">
        <f>IFERROR(__xludf.DUMMYFUNCTION("IF(OR(DG137&gt;$BR137+$BS137*$BS$2,DG137&lt;$BR137-$BS137*$BS$2),AVEDEV(ARRAYFORMULA(XLOOKUP(FILTER(INDIRECT(""'""&amp;DG$1&amp;""'!$C$4:$C$66""),INDIRECT(""'""&amp;DG$1&amp;""'!$D$4:$D$66"")=DG$2),$F$3:$BP$3,$F137:$BP137))),"""")"),"")</f>
        <v/>
      </c>
      <c r="DI137" s="252"/>
    </row>
    <row r="138">
      <c r="A138" s="2"/>
      <c r="B138" s="204" t="s">
        <v>540</v>
      </c>
      <c r="C138" s="204" t="s">
        <v>581</v>
      </c>
      <c r="D138" s="205" t="b">
        <f>VLOOKUP(C138,'Feature Set List'!A135:C246,2,0)</f>
        <v>1</v>
      </c>
      <c r="E138" s="205" t="b">
        <f>VLOOKUP(C138,'Feature Set List'!A135:C246,3,0)</f>
        <v>1</v>
      </c>
      <c r="F138" s="205">
        <v>-0.1470291</v>
      </c>
      <c r="G138" s="205">
        <v>1.18469445</v>
      </c>
      <c r="H138" s="205">
        <v>-0.1493406</v>
      </c>
      <c r="I138" s="205">
        <v>-0.0703775</v>
      </c>
      <c r="J138" s="205">
        <v>-0.1925165</v>
      </c>
      <c r="K138" s="205">
        <v>-0.249644</v>
      </c>
      <c r="L138" s="205">
        <v>-0.0518853</v>
      </c>
      <c r="M138" s="205">
        <v>0.25595938</v>
      </c>
      <c r="N138" s="205">
        <v>-0.2954616</v>
      </c>
      <c r="O138" s="205">
        <v>-0.1866551</v>
      </c>
      <c r="P138" s="205">
        <v>-0.2392009</v>
      </c>
      <c r="Q138" s="205">
        <v>0.53292882</v>
      </c>
      <c r="R138" s="205">
        <v>0.6204363</v>
      </c>
      <c r="S138" s="205">
        <v>2.90966504</v>
      </c>
      <c r="T138" s="205">
        <v>-0.2082843</v>
      </c>
      <c r="U138" s="205">
        <v>-0.1861185</v>
      </c>
      <c r="V138" s="205">
        <v>-0.1998225</v>
      </c>
      <c r="W138" s="205">
        <v>0.40455699</v>
      </c>
      <c r="X138" s="205">
        <v>1.44474026</v>
      </c>
      <c r="Y138" s="205">
        <v>0.17340516</v>
      </c>
      <c r="Z138" s="205">
        <v>0.40001651</v>
      </c>
      <c r="AA138" s="205">
        <v>-0.2590552</v>
      </c>
      <c r="AB138" s="205">
        <v>-0.0584071</v>
      </c>
      <c r="AC138" s="205">
        <v>3.63738055</v>
      </c>
      <c r="AD138" s="205">
        <v>3.8755495</v>
      </c>
      <c r="AE138" s="205">
        <v>1.52357955</v>
      </c>
      <c r="AF138" s="205">
        <v>-0.2862155</v>
      </c>
      <c r="AG138" s="205">
        <v>0.0</v>
      </c>
      <c r="AH138" s="205">
        <v>-0.1553671</v>
      </c>
      <c r="AI138" s="205">
        <v>-0.2135265</v>
      </c>
      <c r="AJ138" s="205">
        <v>0.48257074</v>
      </c>
      <c r="AK138" s="205">
        <v>0.0883743</v>
      </c>
      <c r="AL138" s="205">
        <v>0.71165872</v>
      </c>
      <c r="AM138" s="205">
        <v>0.66873052</v>
      </c>
      <c r="AN138" s="205">
        <v>-0.0525458</v>
      </c>
      <c r="AO138" s="205">
        <v>0.17959672</v>
      </c>
      <c r="AP138" s="205">
        <v>-0.1964378</v>
      </c>
      <c r="AQ138" s="205">
        <v>1.00844117</v>
      </c>
      <c r="AR138" s="205">
        <v>1.82655357</v>
      </c>
      <c r="AS138" s="205">
        <v>-0.1258952</v>
      </c>
      <c r="AT138" s="205">
        <v>185.973665</v>
      </c>
      <c r="AU138" s="205">
        <v>-0.2634718</v>
      </c>
      <c r="AV138" s="205">
        <v>1.22225662</v>
      </c>
      <c r="AW138" s="205">
        <v>0.44253194</v>
      </c>
      <c r="AX138" s="205">
        <v>-0.2960395</v>
      </c>
      <c r="AY138" s="205">
        <v>0.96097249</v>
      </c>
      <c r="AZ138" s="205">
        <v>-0.1415805</v>
      </c>
      <c r="BA138" s="205">
        <v>-0.2332982</v>
      </c>
      <c r="BB138" s="205">
        <v>0.81278765</v>
      </c>
      <c r="BC138" s="205">
        <v>50.9562256</v>
      </c>
      <c r="BD138" s="205">
        <v>-0.1648608</v>
      </c>
      <c r="BE138" s="205">
        <v>-0.0924607</v>
      </c>
      <c r="BF138" s="205">
        <v>0.07186346</v>
      </c>
      <c r="BG138" s="205">
        <v>4.58551586</v>
      </c>
      <c r="BH138" s="205">
        <v>1.25858048</v>
      </c>
      <c r="BI138" s="205">
        <v>-0.1056694</v>
      </c>
      <c r="BJ138" s="205">
        <v>0.09250201</v>
      </c>
      <c r="BK138" s="205">
        <v>-0.1877696</v>
      </c>
      <c r="BL138" s="205">
        <v>-0.2285101</v>
      </c>
      <c r="BM138" s="205">
        <v>1.45505954</v>
      </c>
      <c r="BN138" s="205">
        <v>0.81443873</v>
      </c>
      <c r="BO138" s="205">
        <v>-0.1506615</v>
      </c>
      <c r="BP138" s="205">
        <v>-0.0463955</v>
      </c>
      <c r="BQ138" s="206"/>
      <c r="BR138" s="250">
        <f t="shared" si="1"/>
        <v>4.208583078</v>
      </c>
      <c r="BS138" s="250">
        <f t="shared" si="2"/>
        <v>7.266338325</v>
      </c>
      <c r="BT138" s="206"/>
      <c r="BU138" s="207">
        <f>IFERROR(__xludf.DUMMYFUNCTION("AVERAGE(ARRAYFORMULA(XLOOKUP(FILTER(INDIRECT(""'""&amp;BU$1&amp;""'!$C$4:$C$66""),INDIRECT(""'""&amp;BU$1&amp;""'!$D$4:$D$66"")=BU$2),$F$3:$BP$3,$F138:$BP138)))"),-0.10546302999999999)</f>
        <v>-0.10546303</v>
      </c>
      <c r="BV138" s="207" t="str">
        <f>IFERROR(__xludf.DUMMYFUNCTION("IF(OR(BU138&gt;$BR138+$BS138*$BS$2,BU138&lt;$BR138-$BS138*$BS$2),AVEDEV(ARRAYFORMULA(XLOOKUP(FILTER(INDIRECT(""'""&amp;BU$1&amp;""'!$C$4:$C$66""),INDIRECT(""'""&amp;BU$1&amp;""'!$D$4:$D$66"")=BU$2),$F$3:$BP$3,$F138:$BP138))),"""")"),"")</f>
        <v/>
      </c>
      <c r="BW138" s="207">
        <f>IFERROR(__xludf.DUMMYFUNCTION("AVERAGE(ARRAYFORMULA(XLOOKUP(FILTER(INDIRECT(""'""&amp;BW$1&amp;""'!$C$4:$C$66""),INDIRECT(""'""&amp;BW$1&amp;""'!$D$4:$D$66"")=BW$2),$F$3:$BP$3,$F138:$BP138)))"),0.558680819047619)</f>
        <v>0.558680819</v>
      </c>
      <c r="BX138" s="207" t="str">
        <f>IFERROR(__xludf.DUMMYFUNCTION("IF(OR(BW138&gt;$BR138+$BS138*$BS$2,BW138&lt;$BR138-$BS138*$BS$2),AVEDEV(ARRAYFORMULA(XLOOKUP(FILTER(INDIRECT(""'""&amp;BW$1&amp;""'!$C$4:$C$66""),INDIRECT(""'""&amp;BW$1&amp;""'!$D$4:$D$66"")=BW$2),$F$3:$BP$3,$F138:$BP138))),"""")"),"")</f>
        <v/>
      </c>
      <c r="BY138" s="207">
        <f>IFERROR(__xludf.DUMMYFUNCTION("AVERAGE(ARRAYFORMULA(XLOOKUP(FILTER(INDIRECT(""'""&amp;BY$1&amp;""'!$C$4:$C$66""),INDIRECT(""'""&amp;BY$1&amp;""'!$D$4:$D$66"")=BY$2),$F$3:$BP$3,$F138:$BP138)))"),0.512166430909091)</f>
        <v>0.5121664309</v>
      </c>
      <c r="BZ138" s="207" t="str">
        <f>IFERROR(__xludf.DUMMYFUNCTION("IF(OR(BY138&gt;$BR138+$BS138*$BS$2,BY138&lt;$BR138-$BS138*$BS$2),AVEDEV(ARRAYFORMULA(XLOOKUP(FILTER(INDIRECT(""'""&amp;BY$1&amp;""'!$C$4:$C$66""),INDIRECT(""'""&amp;BY$1&amp;""'!$D$4:$D$66"")=BY$2),$F$3:$BP$3,$F138:$BP138))),"""")"),"")</f>
        <v/>
      </c>
      <c r="CA138" s="209"/>
      <c r="CB138" s="207">
        <f>IFERROR(__xludf.DUMMYFUNCTION("AVERAGE(ARRAYFORMULA(XLOOKUP(FILTER(INDIRECT(""'""&amp;CB$1&amp;""'!$C$4:$C$66""),INDIRECT(""'""&amp;CB$1&amp;""'!$D$4:$D$66"")=CB$2),$F$3:$BP$3,$F138:$BP138)))"),0.340853506875)</f>
        <v>0.3408535069</v>
      </c>
      <c r="CC138" s="207" t="str">
        <f>IFERROR(__xludf.DUMMYFUNCTION("IF(OR(CB138&gt;$BR138+$BS138*$BS$2,CB138&lt;$BR138-$BS138*$BS$2),AVEDEV(ARRAYFORMULA(XLOOKUP(FILTER(INDIRECT(""'""&amp;CB$1&amp;""'!$C$4:$C$66""),INDIRECT(""'""&amp;CB$1&amp;""'!$D$4:$D$66"")=CB$2),$F$3:$BP$3,$F138:$BP138))),"""")"),"")</f>
        <v/>
      </c>
      <c r="CD138" s="207">
        <f>IFERROR(__xludf.DUMMYFUNCTION("AVERAGE(ARRAYFORMULA(XLOOKUP(FILTER(INDIRECT(""'""&amp;CD$1&amp;""'!$C$4:$C$66""),INDIRECT(""'""&amp;CD$1&amp;""'!$D$4:$D$66"")=CD$2),$F$3:$BP$3,$F138:$BP138)))"),0.5281473264516129)</f>
        <v>0.5281473265</v>
      </c>
      <c r="CE138" s="207" t="str">
        <f>IFERROR(__xludf.DUMMYFUNCTION("IF(OR(CD138&gt;$BR138+$BS138*$BS$2,CD138&lt;$BR138-$BS138*$BS$2),AVEDEV(ARRAYFORMULA(XLOOKUP(FILTER(INDIRECT(""'""&amp;CD$1&amp;""'!$C$4:$C$66""),INDIRECT(""'""&amp;CD$1&amp;""'!$D$4:$D$66"")=CD$2),$F$3:$BP$3,$F138:$BP138))),"""")"),"")</f>
        <v/>
      </c>
      <c r="CF138" s="207">
        <f>IFERROR(__xludf.DUMMYFUNCTION("AVERAGE(ARRAYFORMULA(XLOOKUP(FILTER(INDIRECT(""'""&amp;CF$1&amp;""'!$C$4:$C$66""),INDIRECT(""'""&amp;CF$1&amp;""'!$D$4:$D$66"")=CF$2),$F$3:$BP$3,$F138:$BP138)))"),0.8959692940000001)</f>
        <v>0.895969294</v>
      </c>
      <c r="CG138" s="207" t="str">
        <f>IFERROR(__xludf.DUMMYFUNCTION("IF(OR(CF138&gt;$BR138+$BS138*$BS$2,CF138&lt;$BR138-$BS138*$BS$2),AVEDEV(ARRAYFORMULA(XLOOKUP(FILTER(INDIRECT(""'""&amp;CF$1&amp;""'!$C$4:$C$66""),INDIRECT(""'""&amp;CF$1&amp;""'!$D$4:$D$66"")=CF$2),$F$3:$BP$3,$F138:$BP138))),"""")"),"")</f>
        <v/>
      </c>
      <c r="CH138" s="206"/>
      <c r="CI138" s="251">
        <f>IFERROR(__xludf.DUMMYFUNCTION("AVERAGE(ARRAYFORMULA(XLOOKUP(FILTER(INDIRECT(""'""&amp;CI$1&amp;""'!$C$4:$C$66""),INDIRECT(""'""&amp;CI$1&amp;""'!$D$4:$D$66"")=CI$2),$F$3:$BP$3,$F138:$BP138)))"),0.38466142466666664)</f>
        <v>0.3846614247</v>
      </c>
      <c r="CJ138" s="207" t="str">
        <f>IFERROR(__xludf.DUMMYFUNCTION("IF(OR(CI138&gt;$BR138+$BS138*$BS$2,CI138&lt;$BR138-$BS138*$BS$2),AVEDEV(ARRAYFORMULA(XLOOKUP(FILTER(INDIRECT(""'""&amp;CI$1&amp;""'!$C$4:$C$66""),INDIRECT(""'""&amp;CI$1&amp;""'!$D$4:$D$66"")=CI$2),$F$3:$BP$3,$F138:$BP138))),"""")"),"")</f>
        <v/>
      </c>
      <c r="CK138" s="251">
        <f>IFERROR(__xludf.DUMMYFUNCTION("AVERAGE(ARRAYFORMULA(XLOOKUP(FILTER(INDIRECT(""'""&amp;CK$1&amp;""'!$C$4:$C$66""),INDIRECT(""'""&amp;CK$1&amp;""'!$D$4:$D$66"")=CK$2),$F$3:$BP$3,$F138:$BP138)))"),0.46918424846153844)</f>
        <v>0.4691842485</v>
      </c>
      <c r="CL138" s="207" t="str">
        <f>IFERROR(__xludf.DUMMYFUNCTION("IF(OR(CK138&gt;$BR138+$BS138*$BS$2,CK138&lt;$BR138-$BS138*$BS$2),AVEDEV(ARRAYFORMULA(XLOOKUP(FILTER(INDIRECT(""'""&amp;CK$1&amp;""'!$C$4:$C$66""),INDIRECT(""'""&amp;CK$1&amp;""'!$D$4:$D$66"")=CK$2),$F$3:$BP$3,$F138:$BP138))),"""")"),"")</f>
        <v/>
      </c>
      <c r="CM138" s="251">
        <f>IFERROR(__xludf.DUMMYFUNCTION("AVERAGE(ARRAYFORMULA(XLOOKUP(FILTER(INDIRECT(""'""&amp;CM$1&amp;""'!$C$4:$C$66""),INDIRECT(""'""&amp;CM$1&amp;""'!$D$4:$D$66"")=CM$2),$F$3:$BP$3,$F138:$BP138)))"),0.8959692940000001)</f>
        <v>0.895969294</v>
      </c>
      <c r="CN138" s="207" t="str">
        <f>IFERROR(__xludf.DUMMYFUNCTION("IF(OR(CM138&gt;$BR138+$BS138*$BS$2,CM138&lt;$BR138-$BS138*$BS$2),AVEDEV(ARRAYFORMULA(XLOOKUP(FILTER(INDIRECT(""'""&amp;CM$1&amp;""'!$C$4:$C$66""),INDIRECT(""'""&amp;CM$1&amp;""'!$D$4:$D$66"")=CM$2),$F$3:$BP$3,$F138:$BP138))),"""")"),"")</f>
        <v/>
      </c>
      <c r="CO138" s="252"/>
      <c r="CP138" s="251">
        <f>IFERROR(__xludf.DUMMYFUNCTION("AVERAGE(ARRAYFORMULA(XLOOKUP(FILTER(INDIRECT(""'""&amp;CP$1&amp;""'!$C$4:$C$66""),INDIRECT(""'""&amp;CP$1&amp;""'!$D$4:$D$66"")=CP$2),$F$3:$BP$3,$F138:$BP138)))"),0.4567519014285714)</f>
        <v>0.4567519014</v>
      </c>
      <c r="CQ138" s="207" t="str">
        <f>IFERROR(__xludf.DUMMYFUNCTION("IF(OR(CP138&gt;$BR138+$BS138*$BS$2,CP138&lt;$BR138-$BS138*$BS$2),AVEDEV(ARRAYFORMULA(XLOOKUP(FILTER(INDIRECT(""'""&amp;CP$1&amp;""'!$C$4:$C$66""),INDIRECT(""'""&amp;CP$1&amp;""'!$D$4:$D$66"")=CP$2),$F$3:$BP$3,$F138:$BP138))),"""")"),"")</f>
        <v/>
      </c>
      <c r="CR138" s="251">
        <f>IFERROR(__xludf.DUMMYFUNCTION("AVERAGE(ARRAYFORMULA(XLOOKUP(FILTER(INDIRECT(""'""&amp;CR$1&amp;""'!$C$4:$C$66""),INDIRECT(""'""&amp;CR$1&amp;""'!$D$4:$D$66"")=CR$2),$F$3:$BP$3,$F138:$BP138)))"),0.5445964833333333)</f>
        <v>0.5445964833</v>
      </c>
      <c r="CS138" s="207" t="str">
        <f>IFERROR(__xludf.DUMMYFUNCTION("IF(OR(CR138&gt;$BR138+$BS138*$BS$2,CR138&lt;$BR138-$BS138*$BS$2),AVEDEV(ARRAYFORMULA(XLOOKUP(FILTER(INDIRECT(""'""&amp;CR$1&amp;""'!$C$4:$C$66""),INDIRECT(""'""&amp;CR$1&amp;""'!$D$4:$D$66"")=CR$2),$F$3:$BP$3,$F138:$BP138))),"""")"),"")</f>
        <v/>
      </c>
      <c r="CT138" s="251">
        <f>IFERROR(__xludf.DUMMYFUNCTION("AVERAGE(ARRAYFORMULA(XLOOKUP(FILTER(INDIRECT(""'""&amp;CT$1&amp;""'!$C$4:$C$66""),INDIRECT(""'""&amp;CT$1&amp;""'!$D$4:$D$66"")=CT$2),$F$3:$BP$3,$F138:$BP138)))"),0.26114153727272726)</f>
        <v>0.2611415373</v>
      </c>
      <c r="CU138" s="207" t="str">
        <f>IFERROR(__xludf.DUMMYFUNCTION("IF(OR(CT138&gt;$BR138+$BS138*$BS$2,CT138&lt;$BR138-$BS138*$BS$2),AVEDEV(ARRAYFORMULA(XLOOKUP(FILTER(INDIRECT(""'""&amp;CT$1&amp;""'!$C$4:$C$66""),INDIRECT(""'""&amp;CT$1&amp;""'!$D$4:$D$66"")=CT$2),$F$3:$BP$3,$F138:$BP138))),"""")"),"")</f>
        <v/>
      </c>
      <c r="CV138" s="251">
        <f>IFERROR(__xludf.DUMMYFUNCTION("AVERAGE(ARRAYFORMULA(XLOOKUP(FILTER(INDIRECT(""'""&amp;CV$1&amp;""'!$C$4:$C$66""),INDIRECT(""'""&amp;CV$1&amp;""'!$D$4:$D$66"")=CV$2),$F$3:$BP$3,$F138:$BP138)))"),4.111448205)</f>
        <v>4.111448205</v>
      </c>
      <c r="CW138" s="207" t="str">
        <f>IFERROR(__xludf.DUMMYFUNCTION("IF(OR(CV138&gt;$BR138+$BS138*$BS$2,CV138&lt;$BR138-$BS138*$BS$2),AVEDEV(ARRAYFORMULA(XLOOKUP(FILTER(INDIRECT(""'""&amp;CV$1&amp;""'!$C$4:$C$66""),INDIRECT(""'""&amp;CV$1&amp;""'!$D$4:$D$66"")=CV$2),$F$3:$BP$3,$F138:$BP138))),"""")"),"")</f>
        <v/>
      </c>
      <c r="CX138" s="251">
        <f>IFERROR(__xludf.DUMMYFUNCTION("AVERAGE(ARRAYFORMULA(XLOOKUP(FILTER(INDIRECT(""'""&amp;CX$1&amp;""'!$C$4:$C$66""),INDIRECT(""'""&amp;CX$1&amp;""'!$D$4:$D$66"")=CX$2),$F$3:$BP$3,$F138:$BP138)))"),0.37868213428571423)</f>
        <v>0.3786821343</v>
      </c>
      <c r="CY138" s="207" t="str">
        <f>IFERROR(__xludf.DUMMYFUNCTION("IF(OR(CX138&gt;$BR138+$BS138*$BS$2,CX138&lt;$BR138-$BS138*$BS$2),AVEDEV(ARRAYFORMULA(XLOOKUP(FILTER(INDIRECT(""'""&amp;CX$1&amp;""'!$C$4:$C$66""),INDIRECT(""'""&amp;CX$1&amp;""'!$D$4:$D$66"")=CX$2),$F$3:$BP$3,$F138:$BP138))),"""")"),"")</f>
        <v/>
      </c>
      <c r="CZ138" s="252"/>
      <c r="DA138" s="251">
        <f>IFERROR(__xludf.DUMMYFUNCTION("AVERAGE(ARRAYFORMULA(XLOOKUP(FILTER(INDIRECT(""'""&amp;DA$1&amp;""'!$C$4:$C$66""),INDIRECT(""'""&amp;DA$1&amp;""'!$D$4:$D$66"")=DA$2),$F$3:$BP$3,$F138:$BP138)))"),0.234140297)</f>
        <v>0.234140297</v>
      </c>
      <c r="DB138" s="207" t="str">
        <f>IFERROR(__xludf.DUMMYFUNCTION("IF(OR(DA138&gt;$BR138+$BS138*$BS$2,DA138&lt;$BR138-$BS138*$BS$2),AVEDEV(ARRAYFORMULA(XLOOKUP(FILTER(INDIRECT(""'""&amp;DA$1&amp;""'!$C$4:$C$66""),INDIRECT(""'""&amp;DA$1&amp;""'!$D$4:$D$66"")=DA$2),$F$3:$BP$3,$F138:$BP138))),"""")"),"")</f>
        <v/>
      </c>
      <c r="DC138" s="251">
        <f>IFERROR(__xludf.DUMMYFUNCTION("AVERAGE(ARRAYFORMULA(XLOOKUP(FILTER(INDIRECT(""'""&amp;DC$1&amp;""'!$C$4:$C$66""),INDIRECT(""'""&amp;DC$1&amp;""'!$D$4:$D$66"")=DC$2),$F$3:$BP$3,$F138:$BP138)))"),0.1601185155555556)</f>
        <v>0.1601185156</v>
      </c>
      <c r="DD138" s="207" t="str">
        <f>IFERROR(__xludf.DUMMYFUNCTION("IF(OR(DC138&gt;$BR138+$BS138*$BS$2,DC138&lt;$BR138-$BS138*$BS$2),AVEDEV(ARRAYFORMULA(XLOOKUP(FILTER(INDIRECT(""'""&amp;DC$1&amp;""'!$C$4:$C$66""),INDIRECT(""'""&amp;DC$1&amp;""'!$D$4:$D$66"")=DC$2),$F$3:$BP$3,$F138:$BP138))),"""")"),"")</f>
        <v/>
      </c>
      <c r="DE138" s="251">
        <f>IFERROR(__xludf.DUMMYFUNCTION("AVERAGE(ARRAYFORMULA(XLOOKUP(FILTER(INDIRECT(""'""&amp;DE$1&amp;""'!$C$4:$C$66""),INDIRECT(""'""&amp;DE$1&amp;""'!$D$4:$D$66"")=DE$2),$F$3:$BP$3,$F138:$BP138)))"),0.1876302775)</f>
        <v>0.1876302775</v>
      </c>
      <c r="DF138" s="207" t="str">
        <f>IFERROR(__xludf.DUMMYFUNCTION("IF(OR(DE138&gt;$BR138+$BS138*$BS$2,DE138&lt;$BR138-$BS138*$BS$2),AVEDEV(ARRAYFORMULA(XLOOKUP(FILTER(INDIRECT(""'""&amp;DE$1&amp;""'!$C$4:$C$66""),INDIRECT(""'""&amp;DE$1&amp;""'!$D$4:$D$66"")=DE$2),$F$3:$BP$3,$F138:$BP138))),"""")"),"")</f>
        <v/>
      </c>
      <c r="DG138" s="251">
        <f>IFERROR(__xludf.DUMMYFUNCTION("AVERAGE(ARRAYFORMULA(XLOOKUP(FILTER(INDIRECT(""'""&amp;DG$1&amp;""'!$C$4:$C$66""),INDIRECT(""'""&amp;DG$1&amp;""'!$D$4:$D$66"")=DG$2),$F$3:$BP$3,$F138:$BP138)))"),1.913464822222222)</f>
        <v>1.913464822</v>
      </c>
      <c r="DH138" s="207" t="str">
        <f>IFERROR(__xludf.DUMMYFUNCTION("IF(OR(DG138&gt;$BR138+$BS138*$BS$2,DG138&lt;$BR138-$BS138*$BS$2),AVEDEV(ARRAYFORMULA(XLOOKUP(FILTER(INDIRECT(""'""&amp;DG$1&amp;""'!$C$4:$C$66""),INDIRECT(""'""&amp;DG$1&amp;""'!$D$4:$D$66"")=DG$2),$F$3:$BP$3,$F138:$BP138))),"""")"),"")</f>
        <v/>
      </c>
      <c r="DI138" s="252"/>
    </row>
    <row r="139">
      <c r="A139" s="2"/>
      <c r="B139" s="204" t="s">
        <v>540</v>
      </c>
      <c r="C139" s="204" t="s">
        <v>582</v>
      </c>
      <c r="D139" s="205" t="b">
        <f>VLOOKUP(C139,'Feature Set List'!A136:C246,2,0)</f>
        <v>1</v>
      </c>
      <c r="E139" s="205" t="b">
        <f>VLOOKUP(C139,'Feature Set List'!A136:C246,3,0)</f>
        <v>0</v>
      </c>
      <c r="F139" s="205">
        <v>0.08948881</v>
      </c>
      <c r="G139" s="205">
        <v>2.90213723</v>
      </c>
      <c r="H139" s="205">
        <v>-0.1794776</v>
      </c>
      <c r="I139" s="205">
        <v>0.63392076</v>
      </c>
      <c r="J139" s="205">
        <v>1.98725159</v>
      </c>
      <c r="K139" s="205">
        <v>-0.072241</v>
      </c>
      <c r="L139" s="205">
        <v>-0.2899638</v>
      </c>
      <c r="M139" s="205">
        <v>0.35320585</v>
      </c>
      <c r="N139" s="205">
        <v>-0.0929884</v>
      </c>
      <c r="O139" s="205">
        <v>-0.4374453</v>
      </c>
      <c r="P139" s="205">
        <v>0.79915011</v>
      </c>
      <c r="Q139" s="205">
        <v>-0.5631046</v>
      </c>
      <c r="R139" s="205">
        <v>-0.1817273</v>
      </c>
      <c r="S139" s="205">
        <v>0.04274466</v>
      </c>
      <c r="T139" s="205">
        <v>-0.4606924</v>
      </c>
      <c r="U139" s="205">
        <v>1.62654668</v>
      </c>
      <c r="V139" s="205">
        <v>-0.4769404</v>
      </c>
      <c r="W139" s="205">
        <v>1.31533558</v>
      </c>
      <c r="X139" s="205">
        <v>-0.1307337</v>
      </c>
      <c r="Y139" s="205">
        <v>0.05399325</v>
      </c>
      <c r="Z139" s="205">
        <v>-0.2684664</v>
      </c>
      <c r="AA139" s="205">
        <v>-0.1709786</v>
      </c>
      <c r="AB139" s="205">
        <v>-0.2204724</v>
      </c>
      <c r="AC139" s="205">
        <v>2.14973128</v>
      </c>
      <c r="AD139" s="205">
        <v>4.20447444</v>
      </c>
      <c r="AE139" s="205">
        <v>0.00874891</v>
      </c>
      <c r="AF139" s="205">
        <v>0.76590426</v>
      </c>
      <c r="AG139" s="205">
        <v>-0.3022122</v>
      </c>
      <c r="AH139" s="205">
        <v>-0.1259843</v>
      </c>
      <c r="AI139" s="205">
        <v>-0.5640295</v>
      </c>
      <c r="AJ139" s="205">
        <v>1.95475566</v>
      </c>
      <c r="AK139" s="205">
        <v>-0.1962255</v>
      </c>
      <c r="AL139" s="205">
        <v>-0.1449819</v>
      </c>
      <c r="AM139" s="205">
        <v>-0.4596925</v>
      </c>
      <c r="AN139" s="205">
        <v>-0.5204349</v>
      </c>
      <c r="AO139" s="205">
        <v>2.03974503</v>
      </c>
      <c r="AP139" s="205">
        <v>0.63892013</v>
      </c>
      <c r="AQ139" s="205">
        <v>6.00674916</v>
      </c>
      <c r="AR139" s="205">
        <v>-0.1607299</v>
      </c>
      <c r="AS139" s="205">
        <v>0.51818523</v>
      </c>
      <c r="AT139" s="205">
        <v>112.063492</v>
      </c>
      <c r="AU139" s="205">
        <v>-0.5576803</v>
      </c>
      <c r="AV139" s="205">
        <v>0.04699413</v>
      </c>
      <c r="AW139" s="205">
        <v>6.28921385</v>
      </c>
      <c r="AX139" s="205">
        <v>-0.671691</v>
      </c>
      <c r="AY139" s="205">
        <v>-0.3154606</v>
      </c>
      <c r="AZ139" s="205">
        <v>-0.1754781</v>
      </c>
      <c r="BA139" s="205">
        <v>-0.2394701</v>
      </c>
      <c r="BB139" s="205">
        <v>-0.1847269</v>
      </c>
      <c r="BC139" s="205">
        <v>2.1672291</v>
      </c>
      <c r="BD139" s="205">
        <v>0.76190476</v>
      </c>
      <c r="BE139" s="205">
        <v>1.95725534</v>
      </c>
      <c r="BF139" s="205">
        <v>0.03149606</v>
      </c>
      <c r="BG139" s="205">
        <v>3.33708286</v>
      </c>
      <c r="BH139" s="205">
        <v>0.05274341</v>
      </c>
      <c r="BI139" s="205">
        <v>-0.3142107</v>
      </c>
      <c r="BJ139" s="205">
        <v>-0.1617298</v>
      </c>
      <c r="BK139" s="205">
        <v>-0.2327209</v>
      </c>
      <c r="BL139" s="205">
        <v>0.0</v>
      </c>
      <c r="BM139" s="205">
        <v>0.15173103</v>
      </c>
      <c r="BN139" s="205">
        <v>-0.4086989</v>
      </c>
      <c r="BO139" s="205">
        <v>0.12523435</v>
      </c>
      <c r="BP139" s="205">
        <v>0.61642295</v>
      </c>
      <c r="BQ139" s="206"/>
      <c r="BR139" s="250">
        <f t="shared" si="1"/>
        <v>2.32397458</v>
      </c>
      <c r="BS139" s="250">
        <f t="shared" si="2"/>
        <v>3.83680324</v>
      </c>
      <c r="BT139" s="206"/>
      <c r="BU139" s="207">
        <f>IFERROR(__xludf.DUMMYFUNCTION("AVERAGE(ARRAYFORMULA(XLOOKUP(FILTER(INDIRECT(""'""&amp;BU$1&amp;""'!$C$4:$C$66""),INDIRECT(""'""&amp;BU$1&amp;""'!$D$4:$D$66"")=BU$2),$F$3:$BP$3,$F139:$BP139)))"),-0.006824137142857202)</f>
        <v>-0.006824137143</v>
      </c>
      <c r="BV139" s="207" t="str">
        <f>IFERROR(__xludf.DUMMYFUNCTION("IF(OR(BU139&gt;$BR139+$BS139*$BS$2,BU139&lt;$BR139-$BS139*$BS$2),AVEDEV(ARRAYFORMULA(XLOOKUP(FILTER(INDIRECT(""'""&amp;BU$1&amp;""'!$C$4:$C$66""),INDIRECT(""'""&amp;BU$1&amp;""'!$D$4:$D$66"")=BU$2),$F$3:$BP$3,$F139:$BP139))),"""")"),"")</f>
        <v/>
      </c>
      <c r="BW139" s="207">
        <f>IFERROR(__xludf.DUMMYFUNCTION("AVERAGE(ARRAYFORMULA(XLOOKUP(FILTER(INDIRECT(""'""&amp;BW$1&amp;""'!$C$4:$C$66""),INDIRECT(""'""&amp;BW$1&amp;""'!$D$4:$D$66"")=BW$2),$F$3:$BP$3,$F139:$BP139)))"),0.8134334414285718)</f>
        <v>0.8134334414</v>
      </c>
      <c r="BX139" s="207" t="str">
        <f>IFERROR(__xludf.DUMMYFUNCTION("IF(OR(BW139&gt;$BR139+$BS139*$BS$2,BW139&lt;$BR139-$BS139*$BS$2),AVEDEV(ARRAYFORMULA(XLOOKUP(FILTER(INDIRECT(""'""&amp;BW$1&amp;""'!$C$4:$C$66""),INDIRECT(""'""&amp;BW$1&amp;""'!$D$4:$D$66"")=BW$2),$F$3:$BP$3,$F139:$BP139))),"""")"),"")</f>
        <v/>
      </c>
      <c r="BY139" s="207">
        <f>IFERROR(__xludf.DUMMYFUNCTION("AVERAGE(ARRAYFORMULA(XLOOKUP(FILTER(INDIRECT(""'""&amp;BY$1&amp;""'!$C$4:$C$66""),INDIRECT(""'""&amp;BY$1&amp;""'!$D$4:$D$66"")=BY$2),$F$3:$BP$3,$F139:$BP139)))"),-0.15975277454545453)</f>
        <v>-0.1597527745</v>
      </c>
      <c r="BZ139" s="207" t="str">
        <f>IFERROR(__xludf.DUMMYFUNCTION("IF(OR(BY139&gt;$BR139+$BS139*$BS$2,BY139&lt;$BR139-$BS139*$BS$2),AVEDEV(ARRAYFORMULA(XLOOKUP(FILTER(INDIRECT(""'""&amp;BY$1&amp;""'!$C$4:$C$66""),INDIRECT(""'""&amp;BY$1&amp;""'!$D$4:$D$66"")=BY$2),$F$3:$BP$3,$F139:$BP139))),"""")"),"")</f>
        <v/>
      </c>
      <c r="CA139" s="209"/>
      <c r="CB139" s="207">
        <f>IFERROR(__xludf.DUMMYFUNCTION("AVERAGE(ARRAYFORMULA(XLOOKUP(FILTER(INDIRECT(""'""&amp;CB$1&amp;""'!$C$4:$C$66""),INDIRECT(""'""&amp;CB$1&amp;""'!$D$4:$D$66"")=CB$2),$F$3:$BP$3,$F139:$BP139)))"),1.175196845625)</f>
        <v>1.175196846</v>
      </c>
      <c r="CC139" s="207" t="str">
        <f>IFERROR(__xludf.DUMMYFUNCTION("IF(OR(CB139&gt;$BR139+$BS139*$BS$2,CB139&lt;$BR139-$BS139*$BS$2),AVEDEV(ARRAYFORMULA(XLOOKUP(FILTER(INDIRECT(""'""&amp;CB$1&amp;""'!$C$4:$C$66""),INDIRECT(""'""&amp;CB$1&amp;""'!$D$4:$D$66"")=CB$2),$F$3:$BP$3,$F139:$BP139))),"""")"),"")</f>
        <v/>
      </c>
      <c r="CD139" s="207">
        <f>IFERROR(__xludf.DUMMYFUNCTION("AVERAGE(ARRAYFORMULA(XLOOKUP(FILTER(INDIRECT(""'""&amp;CD$1&amp;""'!$C$4:$C$66""),INDIRECT(""'""&amp;CD$1&amp;""'!$D$4:$D$66"")=CD$2),$F$3:$BP$3,$F139:$BP139)))"),0.055370497096774204)</f>
        <v>0.0553704971</v>
      </c>
      <c r="CE139" s="207" t="str">
        <f>IFERROR(__xludf.DUMMYFUNCTION("IF(OR(CD139&gt;$BR139+$BS139*$BS$2,CD139&lt;$BR139-$BS139*$BS$2),AVEDEV(ARRAYFORMULA(XLOOKUP(FILTER(INDIRECT(""'""&amp;CD$1&amp;""'!$C$4:$C$66""),INDIRECT(""'""&amp;CD$1&amp;""'!$D$4:$D$66"")=CD$2),$F$3:$BP$3,$F139:$BP139))),"""")"),"")</f>
        <v/>
      </c>
      <c r="CF139" s="207">
        <f>IFERROR(__xludf.DUMMYFUNCTION("AVERAGE(ARRAYFORMULA(XLOOKUP(FILTER(INDIRECT(""'""&amp;CF$1&amp;""'!$C$4:$C$66""),INDIRECT(""'""&amp;CF$1&amp;""'!$D$4:$D$66"")=CF$2),$F$3:$BP$3,$F139:$BP139)))"),-0.13988251599999998)</f>
        <v>-0.139882516</v>
      </c>
      <c r="CG139" s="207" t="str">
        <f>IFERROR(__xludf.DUMMYFUNCTION("IF(OR(CF139&gt;$BR139+$BS139*$BS$2,CF139&lt;$BR139-$BS139*$BS$2),AVEDEV(ARRAYFORMULA(XLOOKUP(FILTER(INDIRECT(""'""&amp;CF$1&amp;""'!$C$4:$C$66""),INDIRECT(""'""&amp;CF$1&amp;""'!$D$4:$D$66"")=CF$2),$F$3:$BP$3,$F139:$BP139))),"""")"),"")</f>
        <v/>
      </c>
      <c r="CH139" s="206"/>
      <c r="CI139" s="251">
        <f>IFERROR(__xludf.DUMMYFUNCTION("AVERAGE(ARRAYFORMULA(XLOOKUP(FILTER(INDIRECT(""'""&amp;CI$1&amp;""'!$C$4:$C$66""),INDIRECT(""'""&amp;CI$1&amp;""'!$D$4:$D$66"")=CI$2),$F$3:$BP$3,$F139:$BP139)))"),0.336057998)</f>
        <v>0.336057998</v>
      </c>
      <c r="CJ139" s="207" t="str">
        <f>IFERROR(__xludf.DUMMYFUNCTION("IF(OR(CI139&gt;$BR139+$BS139*$BS$2,CI139&lt;$BR139-$BS139*$BS$2),AVEDEV(ARRAYFORMULA(XLOOKUP(FILTER(INDIRECT(""'""&amp;CI$1&amp;""'!$C$4:$C$66""),INDIRECT(""'""&amp;CI$1&amp;""'!$D$4:$D$66"")=CI$2),$F$3:$BP$3,$F139:$BP139))),"""")"),"")</f>
        <v/>
      </c>
      <c r="CK139" s="251">
        <f>IFERROR(__xludf.DUMMYFUNCTION("AVERAGE(ARRAYFORMULA(XLOOKUP(FILTER(INDIRECT(""'""&amp;CK$1&amp;""'!$C$4:$C$66""),INDIRECT(""'""&amp;CK$1&amp;""'!$D$4:$D$66"")=CK$2),$F$3:$BP$3,$F139:$BP139)))"),0.724369706923077)</f>
        <v>0.7243697069</v>
      </c>
      <c r="CL139" s="207" t="str">
        <f>IFERROR(__xludf.DUMMYFUNCTION("IF(OR(CK139&gt;$BR139+$BS139*$BS$2,CK139&lt;$BR139-$BS139*$BS$2),AVEDEV(ARRAYFORMULA(XLOOKUP(FILTER(INDIRECT(""'""&amp;CK$1&amp;""'!$C$4:$C$66""),INDIRECT(""'""&amp;CK$1&amp;""'!$D$4:$D$66"")=CK$2),$F$3:$BP$3,$F139:$BP139))),"""")"),"")</f>
        <v/>
      </c>
      <c r="CM139" s="251">
        <f>IFERROR(__xludf.DUMMYFUNCTION("AVERAGE(ARRAYFORMULA(XLOOKUP(FILTER(INDIRECT(""'""&amp;CM$1&amp;""'!$C$4:$C$66""),INDIRECT(""'""&amp;CM$1&amp;""'!$D$4:$D$66"")=CM$2),$F$3:$BP$3,$F139:$BP139)))"),-0.13988251599999998)</f>
        <v>-0.139882516</v>
      </c>
      <c r="CN139" s="207" t="str">
        <f>IFERROR(__xludf.DUMMYFUNCTION("IF(OR(CM139&gt;$BR139+$BS139*$BS$2,CM139&lt;$BR139-$BS139*$BS$2),AVEDEV(ARRAYFORMULA(XLOOKUP(FILTER(INDIRECT(""'""&amp;CM$1&amp;""'!$C$4:$C$66""),INDIRECT(""'""&amp;CM$1&amp;""'!$D$4:$D$66"")=CM$2),$F$3:$BP$3,$F139:$BP139))),"""")"),"")</f>
        <v/>
      </c>
      <c r="CO139" s="252"/>
      <c r="CP139" s="251">
        <f>IFERROR(__xludf.DUMMYFUNCTION("AVERAGE(ARRAYFORMULA(XLOOKUP(FILTER(INDIRECT(""'""&amp;CP$1&amp;""'!$C$4:$C$66""),INDIRECT(""'""&amp;CP$1&amp;""'!$D$4:$D$66"")=CP$2),$F$3:$BP$3,$F139:$BP139)))"),1.1885657078571428)</f>
        <v>1.188565708</v>
      </c>
      <c r="CQ139" s="207" t="str">
        <f>IFERROR(__xludf.DUMMYFUNCTION("IF(OR(CP139&gt;$BR139+$BS139*$BS$2,CP139&lt;$BR139-$BS139*$BS$2),AVEDEV(ARRAYFORMULA(XLOOKUP(FILTER(INDIRECT(""'""&amp;CP$1&amp;""'!$C$4:$C$66""),INDIRECT(""'""&amp;CP$1&amp;""'!$D$4:$D$66"")=CP$2),$F$3:$BP$3,$F139:$BP139))),"""")"),"")</f>
        <v/>
      </c>
      <c r="CR139" s="251">
        <f>IFERROR(__xludf.DUMMYFUNCTION("AVERAGE(ARRAYFORMULA(XLOOKUP(FILTER(INDIRECT(""'""&amp;CR$1&amp;""'!$C$4:$C$66""),INDIRECT(""'""&amp;CR$1&amp;""'!$D$4:$D$66"")=CR$2),$F$3:$BP$3,$F139:$BP139)))"),-0.16020221333333332)</f>
        <v>-0.1602022133</v>
      </c>
      <c r="CS139" s="207" t="str">
        <f>IFERROR(__xludf.DUMMYFUNCTION("IF(OR(CR139&gt;$BR139+$BS139*$BS$2,CR139&lt;$BR139-$BS139*$BS$2),AVEDEV(ARRAYFORMULA(XLOOKUP(FILTER(INDIRECT(""'""&amp;CR$1&amp;""'!$C$4:$C$66""),INDIRECT(""'""&amp;CR$1&amp;""'!$D$4:$D$66"")=CR$2),$F$3:$BP$3,$F139:$BP139))),"""")"),"")</f>
        <v/>
      </c>
      <c r="CT139" s="251">
        <f>IFERROR(__xludf.DUMMYFUNCTION("AVERAGE(ARRAYFORMULA(XLOOKUP(FILTER(INDIRECT(""'""&amp;CT$1&amp;""'!$C$4:$C$66""),INDIRECT(""'""&amp;CT$1&amp;""'!$D$4:$D$66"")=CT$2),$F$3:$BP$3,$F139:$BP139)))"),-0.18372702818181816)</f>
        <v>-0.1837270282</v>
      </c>
      <c r="CU139" s="207" t="str">
        <f>IFERROR(__xludf.DUMMYFUNCTION("IF(OR(CT139&gt;$BR139+$BS139*$BS$2,CT139&lt;$BR139-$BS139*$BS$2),AVEDEV(ARRAYFORMULA(XLOOKUP(FILTER(INDIRECT(""'""&amp;CT$1&amp;""'!$C$4:$C$66""),INDIRECT(""'""&amp;CT$1&amp;""'!$D$4:$D$66"")=CT$2),$F$3:$BP$3,$F139:$BP139))),"""")"),"")</f>
        <v/>
      </c>
      <c r="CV139" s="251">
        <f>IFERROR(__xludf.DUMMYFUNCTION("AVERAGE(ARRAYFORMULA(XLOOKUP(FILTER(INDIRECT(""'""&amp;CV$1&amp;""'!$C$4:$C$66""),INDIRECT(""'""&amp;CV$1&amp;""'!$D$4:$D$66"")=CV$2),$F$3:$BP$3,$F139:$BP139)))"),2.74340707)</f>
        <v>2.74340707</v>
      </c>
      <c r="CW139" s="207" t="str">
        <f>IFERROR(__xludf.DUMMYFUNCTION("IF(OR(CV139&gt;$BR139+$BS139*$BS$2,CV139&lt;$BR139-$BS139*$BS$2),AVEDEV(ARRAYFORMULA(XLOOKUP(FILTER(INDIRECT(""'""&amp;CV$1&amp;""'!$C$4:$C$66""),INDIRECT(""'""&amp;CV$1&amp;""'!$D$4:$D$66"")=CV$2),$F$3:$BP$3,$F139:$BP139))),"""")"),"")</f>
        <v/>
      </c>
      <c r="CX139" s="251">
        <f>IFERROR(__xludf.DUMMYFUNCTION("AVERAGE(ARRAYFORMULA(XLOOKUP(FILTER(INDIRECT(""'""&amp;CX$1&amp;""'!$C$4:$C$66""),INDIRECT(""'""&amp;CX$1&amp;""'!$D$4:$D$66"")=CX$2),$F$3:$BP$3,$F139:$BP139)))"),0.8511775364285715)</f>
        <v>0.8511775364</v>
      </c>
      <c r="CY139" s="207" t="str">
        <f>IFERROR(__xludf.DUMMYFUNCTION("IF(OR(CX139&gt;$BR139+$BS139*$BS$2,CX139&lt;$BR139-$BS139*$BS$2),AVEDEV(ARRAYFORMULA(XLOOKUP(FILTER(INDIRECT(""'""&amp;CX$1&amp;""'!$C$4:$C$66""),INDIRECT(""'""&amp;CX$1&amp;""'!$D$4:$D$66"")=CX$2),$F$3:$BP$3,$F139:$BP139))),"""")"),"")</f>
        <v/>
      </c>
      <c r="CZ139" s="252"/>
      <c r="DA139" s="251">
        <f>IFERROR(__xludf.DUMMYFUNCTION("AVERAGE(ARRAYFORMULA(XLOOKUP(FILTER(INDIRECT(""'""&amp;DA$1&amp;""'!$C$4:$C$66""),INDIRECT(""'""&amp;DA$1&amp;""'!$D$4:$D$66"")=DA$2),$F$3:$BP$3,$F139:$BP139)))"),0.8645585980000002)</f>
        <v>0.864558598</v>
      </c>
      <c r="DB139" s="207" t="str">
        <f>IFERROR(__xludf.DUMMYFUNCTION("IF(OR(DA139&gt;$BR139+$BS139*$BS$2,DA139&lt;$BR139-$BS139*$BS$2),AVEDEV(ARRAYFORMULA(XLOOKUP(FILTER(INDIRECT(""'""&amp;DA$1&amp;""'!$C$4:$C$66""),INDIRECT(""'""&amp;DA$1&amp;""'!$D$4:$D$66"")=DA$2),$F$3:$BP$3,$F139:$BP139))),"""")"),"")</f>
        <v/>
      </c>
      <c r="DC139" s="251">
        <f>IFERROR(__xludf.DUMMYFUNCTION("AVERAGE(ARRAYFORMULA(XLOOKUP(FILTER(INDIRECT(""'""&amp;DC$1&amp;""'!$C$4:$C$66""),INDIRECT(""'""&amp;DC$1&amp;""'!$D$4:$D$66"")=DC$2),$F$3:$BP$3,$F139:$BP139)))"),-0.20861282555555555)</f>
        <v>-0.2086128256</v>
      </c>
      <c r="DD139" s="207" t="str">
        <f>IFERROR(__xludf.DUMMYFUNCTION("IF(OR(DC139&gt;$BR139+$BS139*$BS$2,DC139&lt;$BR139-$BS139*$BS$2),AVEDEV(ARRAYFORMULA(XLOOKUP(FILTER(INDIRECT(""'""&amp;DC$1&amp;""'!$C$4:$C$66""),INDIRECT(""'""&amp;DC$1&amp;""'!$D$4:$D$66"")=DC$2),$F$3:$BP$3,$F139:$BP139))),"""")"),"")</f>
        <v/>
      </c>
      <c r="DE139" s="251">
        <f>IFERROR(__xludf.DUMMYFUNCTION("AVERAGE(ARRAYFORMULA(XLOOKUP(FILTER(INDIRECT(""'""&amp;DE$1&amp;""'!$C$4:$C$66""),INDIRECT(""'""&amp;DE$1&amp;""'!$D$4:$D$66"")=DE$2),$F$3:$BP$3,$F139:$BP139)))"),-0.389770025)</f>
        <v>-0.389770025</v>
      </c>
      <c r="DF139" s="207" t="str">
        <f>IFERROR(__xludf.DUMMYFUNCTION("IF(OR(DE139&gt;$BR139+$BS139*$BS$2,DE139&lt;$BR139-$BS139*$BS$2),AVEDEV(ARRAYFORMULA(XLOOKUP(FILTER(INDIRECT(""'""&amp;DE$1&amp;""'!$C$4:$C$66""),INDIRECT(""'""&amp;DE$1&amp;""'!$D$4:$D$66"")=DE$2),$F$3:$BP$3,$F139:$BP139))),"""")"),"")</f>
        <v/>
      </c>
      <c r="DG139" s="251">
        <f>IFERROR(__xludf.DUMMYFUNCTION("AVERAGE(ARRAYFORMULA(XLOOKUP(FILTER(INDIRECT(""'""&amp;DG$1&amp;""'!$C$4:$C$66""),INDIRECT(""'""&amp;DG$1&amp;""'!$D$4:$D$66"")=DG$2),$F$3:$BP$3,$F139:$BP139)))"),0.5387937566666666)</f>
        <v>0.5387937567</v>
      </c>
      <c r="DH139" s="207" t="str">
        <f>IFERROR(__xludf.DUMMYFUNCTION("IF(OR(DG139&gt;$BR139+$BS139*$BS$2,DG139&lt;$BR139-$BS139*$BS$2),AVEDEV(ARRAYFORMULA(XLOOKUP(FILTER(INDIRECT(""'""&amp;DG$1&amp;""'!$C$4:$C$66""),INDIRECT(""'""&amp;DG$1&amp;""'!$D$4:$D$66"")=DG$2),$F$3:$BP$3,$F139:$BP139))),"""")"),"")</f>
        <v/>
      </c>
      <c r="DI139" s="252"/>
    </row>
    <row r="140">
      <c r="A140" s="2"/>
      <c r="B140" s="204" t="s">
        <v>540</v>
      </c>
      <c r="C140" s="204" t="s">
        <v>583</v>
      </c>
      <c r="D140" s="205" t="b">
        <f>VLOOKUP(C140,'Feature Set List'!A137:C246,2,0)</f>
        <v>1</v>
      </c>
      <c r="E140" s="205" t="b">
        <f>VLOOKUP(C140,'Feature Set List'!A137:C246,3,0)</f>
        <v>1</v>
      </c>
      <c r="F140" s="205">
        <v>-0.0484718</v>
      </c>
      <c r="G140" s="205">
        <v>1.64165219</v>
      </c>
      <c r="H140" s="205">
        <v>-0.0484718</v>
      </c>
      <c r="I140" s="205">
        <v>0.04523767</v>
      </c>
      <c r="J140" s="205">
        <v>-0.0206824</v>
      </c>
      <c r="K140" s="205">
        <v>-0.0808928</v>
      </c>
      <c r="L140" s="205">
        <v>-0.0027151</v>
      </c>
      <c r="M140" s="205">
        <v>0.40430417</v>
      </c>
      <c r="N140" s="205">
        <v>-0.0636442</v>
      </c>
      <c r="O140" s="205">
        <v>-0.0659999</v>
      </c>
      <c r="P140" s="205">
        <v>0.0</v>
      </c>
      <c r="Q140" s="205">
        <v>0.27573816</v>
      </c>
      <c r="R140" s="205">
        <v>1.29069094</v>
      </c>
      <c r="S140" s="205">
        <v>3.04589647</v>
      </c>
      <c r="T140" s="205">
        <v>-0.0570162</v>
      </c>
      <c r="U140" s="205">
        <v>0.05134655</v>
      </c>
      <c r="V140" s="205">
        <v>-0.0775788</v>
      </c>
      <c r="W140" s="205">
        <v>0.99562796</v>
      </c>
      <c r="X140" s="205">
        <v>3.00636841</v>
      </c>
      <c r="Y140" s="205">
        <v>0.05134655</v>
      </c>
      <c r="Z140" s="205">
        <v>0.89101835</v>
      </c>
      <c r="AA140" s="205">
        <v>-0.056577</v>
      </c>
      <c r="AB140" s="205">
        <v>-0.0751033</v>
      </c>
      <c r="AC140" s="205">
        <v>0.07630113</v>
      </c>
      <c r="AD140" s="205">
        <v>3.98019604</v>
      </c>
      <c r="AE140" s="205">
        <v>3.02872772</v>
      </c>
      <c r="AF140" s="205">
        <v>-0.0982612</v>
      </c>
      <c r="AG140" s="205">
        <v>0.22618834</v>
      </c>
      <c r="AH140" s="205">
        <v>-0.0651215</v>
      </c>
      <c r="AI140" s="205">
        <v>-0.0276696</v>
      </c>
      <c r="AJ140" s="205">
        <v>1.44481044</v>
      </c>
      <c r="AK140" s="205">
        <v>0.20690344</v>
      </c>
      <c r="AL140" s="205">
        <v>-0.1050488</v>
      </c>
      <c r="AM140" s="205">
        <v>1.22640794</v>
      </c>
      <c r="AN140" s="205">
        <v>0.02203989</v>
      </c>
      <c r="AO140" s="205">
        <v>-0.0149328</v>
      </c>
      <c r="AP140" s="205">
        <v>0.05134655</v>
      </c>
      <c r="AQ140" s="205">
        <v>1.20684354</v>
      </c>
      <c r="AR140" s="205">
        <v>-0.0609291</v>
      </c>
      <c r="AS140" s="205">
        <v>-0.0469545</v>
      </c>
      <c r="AT140" s="205">
        <v>180.123615</v>
      </c>
      <c r="AU140" s="205">
        <v>-0.0859236</v>
      </c>
      <c r="AV140" s="205">
        <v>1.41366713</v>
      </c>
      <c r="AW140" s="205">
        <v>0.71094608</v>
      </c>
      <c r="AX140" s="205">
        <v>-0.0567767</v>
      </c>
      <c r="AY140" s="205">
        <v>-0.0900761</v>
      </c>
      <c r="AZ140" s="205">
        <v>-0.0798547</v>
      </c>
      <c r="BA140" s="205">
        <v>-0.0922721</v>
      </c>
      <c r="BB140" s="205">
        <v>1.01758799</v>
      </c>
      <c r="BC140" s="205">
        <v>-0.0463956</v>
      </c>
      <c r="BD140" s="205">
        <v>-0.0152123</v>
      </c>
      <c r="BE140" s="205">
        <v>0.05753529</v>
      </c>
      <c r="BF140" s="205">
        <v>-0.0526242</v>
      </c>
      <c r="BG140" s="205">
        <v>6.24008305</v>
      </c>
      <c r="BH140" s="205">
        <v>1.44880318</v>
      </c>
      <c r="BI140" s="205">
        <v>-0.0940289</v>
      </c>
      <c r="BJ140" s="205">
        <v>-0.0531034</v>
      </c>
      <c r="BK140" s="205">
        <v>-0.0443193</v>
      </c>
      <c r="BL140" s="205">
        <v>-0.0451578</v>
      </c>
      <c r="BM140" s="205">
        <v>0.63628197</v>
      </c>
      <c r="BN140" s="205">
        <v>1.44880318</v>
      </c>
      <c r="BO140" s="205">
        <v>-0.0443193</v>
      </c>
      <c r="BP140" s="205">
        <v>0.03305983</v>
      </c>
      <c r="BQ140" s="206"/>
      <c r="BR140" s="250">
        <f t="shared" si="1"/>
        <v>3.404495879</v>
      </c>
      <c r="BS140" s="250">
        <f t="shared" si="2"/>
        <v>5.718425602</v>
      </c>
      <c r="BT140" s="206"/>
      <c r="BU140" s="207">
        <f>IFERROR(__xludf.DUMMYFUNCTION("AVERAGE(ARRAYFORMULA(XLOOKUP(FILTER(INDIRECT(""'""&amp;BU$1&amp;""'!$C$4:$C$66""),INDIRECT(""'""&amp;BU$1&amp;""'!$D$4:$D$66"")=BU$2),$F$3:$BP$3,$F140:$BP140)))"),0.10743875)</f>
        <v>0.10743875</v>
      </c>
      <c r="BV140" s="207" t="str">
        <f>IFERROR(__xludf.DUMMYFUNCTION("IF(OR(BU140&gt;$BR140+$BS140*$BS$2,BU140&lt;$BR140-$BS140*$BS$2),AVEDEV(ARRAYFORMULA(XLOOKUP(FILTER(INDIRECT(""'""&amp;BU$1&amp;""'!$C$4:$C$66""),INDIRECT(""'""&amp;BU$1&amp;""'!$D$4:$D$66"")=BU$2),$F$3:$BP$3,$F140:$BP140))),"""")"),"")</f>
        <v/>
      </c>
      <c r="BW140" s="207">
        <f>IFERROR(__xludf.DUMMYFUNCTION("AVERAGE(ARRAYFORMULA(XLOOKUP(FILTER(INDIRECT(""'""&amp;BW$1&amp;""'!$C$4:$C$66""),INDIRECT(""'""&amp;BW$1&amp;""'!$D$4:$D$66"")=BW$2),$F$3:$BP$3,$F140:$BP140)))"),0.5979089500000001)</f>
        <v>0.59790895</v>
      </c>
      <c r="BX140" s="207" t="str">
        <f>IFERROR(__xludf.DUMMYFUNCTION("IF(OR(BW140&gt;$BR140+$BS140*$BS$2,BW140&lt;$BR140-$BS140*$BS$2),AVEDEV(ARRAYFORMULA(XLOOKUP(FILTER(INDIRECT(""'""&amp;BW$1&amp;""'!$C$4:$C$66""),INDIRECT(""'""&amp;BW$1&amp;""'!$D$4:$D$66"")=BW$2),$F$3:$BP$3,$F140:$BP140))),"""")"),"")</f>
        <v/>
      </c>
      <c r="BY140" s="207">
        <f>IFERROR(__xludf.DUMMYFUNCTION("AVERAGE(ARRAYFORMULA(XLOOKUP(FILTER(INDIRECT(""'""&amp;BY$1&amp;""'!$C$4:$C$66""),INDIRECT(""'""&amp;BY$1&amp;""'!$D$4:$D$66"")=BY$2),$F$3:$BP$3,$F140:$BP140)))"),0.7809314181818181)</f>
        <v>0.7809314182</v>
      </c>
      <c r="BZ140" s="207" t="str">
        <f>IFERROR(__xludf.DUMMYFUNCTION("IF(OR(BY140&gt;$BR140+$BS140*$BS$2,BY140&lt;$BR140-$BS140*$BS$2),AVEDEV(ARRAYFORMULA(XLOOKUP(FILTER(INDIRECT(""'""&amp;BY$1&amp;""'!$C$4:$C$66""),INDIRECT(""'""&amp;BY$1&amp;""'!$D$4:$D$66"")=BY$2),$F$3:$BP$3,$F140:$BP140))),"""")"),"")</f>
        <v/>
      </c>
      <c r="CA140" s="209"/>
      <c r="CB140" s="207">
        <f>IFERROR(__xludf.DUMMYFUNCTION("AVERAGE(ARRAYFORMULA(XLOOKUP(FILTER(INDIRECT(""'""&amp;CB$1&amp;""'!$C$4:$C$66""),INDIRECT(""'""&amp;CB$1&amp;""'!$D$4:$D$66"")=CB$2),$F$3:$BP$3,$F140:$BP140)))"),0.543428458125)</f>
        <v>0.5434284581</v>
      </c>
      <c r="CC140" s="207" t="str">
        <f>IFERROR(__xludf.DUMMYFUNCTION("IF(OR(CB140&gt;$BR140+$BS140*$BS$2,CB140&lt;$BR140-$BS140*$BS$2),AVEDEV(ARRAYFORMULA(XLOOKUP(FILTER(INDIRECT(""'""&amp;CB$1&amp;""'!$C$4:$C$66""),INDIRECT(""'""&amp;CB$1&amp;""'!$D$4:$D$66"")=CB$2),$F$3:$BP$3,$F140:$BP140))),"""")"),"")</f>
        <v/>
      </c>
      <c r="CD140" s="207">
        <f>IFERROR(__xludf.DUMMYFUNCTION("AVERAGE(ARRAYFORMULA(XLOOKUP(FILTER(INDIRECT(""'""&amp;CD$1&amp;""'!$C$4:$C$66""),INDIRECT(""'""&amp;CD$1&amp;""'!$D$4:$D$66"")=CD$2),$F$3:$BP$3,$F140:$BP140)))"),0.6040915193548387)</f>
        <v>0.6040915194</v>
      </c>
      <c r="CE140" s="207" t="str">
        <f>IFERROR(__xludf.DUMMYFUNCTION("IF(OR(CD140&gt;$BR140+$BS140*$BS$2,CD140&lt;$BR140-$BS140*$BS$2),AVEDEV(ARRAYFORMULA(XLOOKUP(FILTER(INDIRECT(""'""&amp;CD$1&amp;""'!$C$4:$C$66""),INDIRECT(""'""&amp;CD$1&amp;""'!$D$4:$D$66"")=CD$2),$F$3:$BP$3,$F140:$BP140))),"""")"),"")</f>
        <v/>
      </c>
      <c r="CF140" s="207">
        <f>IFERROR(__xludf.DUMMYFUNCTION("AVERAGE(ARRAYFORMULA(XLOOKUP(FILTER(INDIRECT(""'""&amp;CF$1&amp;""'!$C$4:$C$66""),INDIRECT(""'""&amp;CF$1&amp;""'!$D$4:$D$66"")=CF$2),$F$3:$BP$3,$F140:$BP140)))"),0.557297714)</f>
        <v>0.557297714</v>
      </c>
      <c r="CG140" s="207" t="str">
        <f>IFERROR(__xludf.DUMMYFUNCTION("IF(OR(CF140&gt;$BR140+$BS140*$BS$2,CF140&lt;$BR140-$BS140*$BS$2),AVEDEV(ARRAYFORMULA(XLOOKUP(FILTER(INDIRECT(""'""&amp;CF$1&amp;""'!$C$4:$C$66""),INDIRECT(""'""&amp;CF$1&amp;""'!$D$4:$D$66"")=CF$2),$F$3:$BP$3,$F140:$BP140))),"""")"),"")</f>
        <v/>
      </c>
      <c r="CH140" s="206"/>
      <c r="CI140" s="251">
        <f>IFERROR(__xludf.DUMMYFUNCTION("AVERAGE(ARRAYFORMULA(XLOOKUP(FILTER(INDIRECT(""'""&amp;CI$1&amp;""'!$C$4:$C$66""),INDIRECT(""'""&amp;CI$1&amp;""'!$D$4:$D$66"")=CI$2),$F$3:$BP$3,$F140:$BP140)))"),0.70104943)</f>
        <v>0.70104943</v>
      </c>
      <c r="CJ140" s="207" t="str">
        <f>IFERROR(__xludf.DUMMYFUNCTION("IF(OR(CI140&gt;$BR140+$BS140*$BS$2,CI140&lt;$BR140-$BS140*$BS$2),AVEDEV(ARRAYFORMULA(XLOOKUP(FILTER(INDIRECT(""'""&amp;CI$1&amp;""'!$C$4:$C$66""),INDIRECT(""'""&amp;CI$1&amp;""'!$D$4:$D$66"")=CI$2),$F$3:$BP$3,$F140:$BP140))),"""")"),"")</f>
        <v/>
      </c>
      <c r="CK140" s="251">
        <f>IFERROR(__xludf.DUMMYFUNCTION("AVERAGE(ARRAYFORMULA(XLOOKUP(FILTER(INDIRECT(""'""&amp;CK$1&amp;""'!$C$4:$C$66""),INDIRECT(""'""&amp;CK$1&amp;""'!$D$4:$D$66"")=CK$2),$F$3:$BP$3,$F140:$BP140)))"),0.5435021033333335)</f>
        <v>0.5435021033</v>
      </c>
      <c r="CL140" s="207" t="str">
        <f>IFERROR(__xludf.DUMMYFUNCTION("IF(OR(CK140&gt;$BR140+$BS140*$BS$2,CK140&lt;$BR140-$BS140*$BS$2),AVEDEV(ARRAYFORMULA(XLOOKUP(FILTER(INDIRECT(""'""&amp;CK$1&amp;""'!$C$4:$C$66""),INDIRECT(""'""&amp;CK$1&amp;""'!$D$4:$D$66"")=CK$2),$F$3:$BP$3,$F140:$BP140))),"""")"),"")</f>
        <v/>
      </c>
      <c r="CM140" s="251">
        <f>IFERROR(__xludf.DUMMYFUNCTION("AVERAGE(ARRAYFORMULA(XLOOKUP(FILTER(INDIRECT(""'""&amp;CM$1&amp;""'!$C$4:$C$66""),INDIRECT(""'""&amp;CM$1&amp;""'!$D$4:$D$66"")=CM$2),$F$3:$BP$3,$F140:$BP140)))"),0.557297714)</f>
        <v>0.557297714</v>
      </c>
      <c r="CN140" s="207" t="str">
        <f>IFERROR(__xludf.DUMMYFUNCTION("IF(OR(CM140&gt;$BR140+$BS140*$BS$2,CM140&lt;$BR140-$BS140*$BS$2),AVEDEV(ARRAYFORMULA(XLOOKUP(FILTER(INDIRECT(""'""&amp;CM$1&amp;""'!$C$4:$C$66""),INDIRECT(""'""&amp;CM$1&amp;""'!$D$4:$D$66"")=CM$2),$F$3:$BP$3,$F140:$BP140))),"""")"),"")</f>
        <v/>
      </c>
      <c r="CO140" s="252"/>
      <c r="CP140" s="251">
        <f>IFERROR(__xludf.DUMMYFUNCTION("AVERAGE(ARRAYFORMULA(XLOOKUP(FILTER(INDIRECT(""'""&amp;CP$1&amp;""'!$C$4:$C$66""),INDIRECT(""'""&amp;CP$1&amp;""'!$D$4:$D$66"")=CP$2),$F$3:$BP$3,$F140:$BP140)))"),0.6475414692857143)</f>
        <v>0.6475414693</v>
      </c>
      <c r="CQ140" s="207" t="str">
        <f>IFERROR(__xludf.DUMMYFUNCTION("IF(OR(CP140&gt;$BR140+$BS140*$BS$2,CP140&lt;$BR140-$BS140*$BS$2),AVEDEV(ARRAYFORMULA(XLOOKUP(FILTER(INDIRECT(""'""&amp;CP$1&amp;""'!$C$4:$C$66""),INDIRECT(""'""&amp;CP$1&amp;""'!$D$4:$D$66"")=CP$2),$F$3:$BP$3,$F140:$BP140))),"""")"),"")</f>
        <v/>
      </c>
      <c r="CR140" s="251">
        <f>IFERROR(__xludf.DUMMYFUNCTION("AVERAGE(ARRAYFORMULA(XLOOKUP(FILTER(INDIRECT(""'""&amp;CR$1&amp;""'!$C$4:$C$66""),INDIRECT(""'""&amp;CR$1&amp;""'!$D$4:$D$66"")=CR$2),$F$3:$BP$3,$F140:$BP140)))"),0.9694977222222223)</f>
        <v>0.9694977222</v>
      </c>
      <c r="CS140" s="207" t="str">
        <f>IFERROR(__xludf.DUMMYFUNCTION("IF(OR(CR140&gt;$BR140+$BS140*$BS$2,CR140&lt;$BR140-$BS140*$BS$2),AVEDEV(ARRAYFORMULA(XLOOKUP(FILTER(INDIRECT(""'""&amp;CR$1&amp;""'!$C$4:$C$66""),INDIRECT(""'""&amp;CR$1&amp;""'!$D$4:$D$66"")=CR$2),$F$3:$BP$3,$F140:$BP140))),"""")"),"")</f>
        <v/>
      </c>
      <c r="CT140" s="251">
        <f>IFERROR(__xludf.DUMMYFUNCTION("AVERAGE(ARRAYFORMULA(XLOOKUP(FILTER(INDIRECT(""'""&amp;CT$1&amp;""'!$C$4:$C$66""),INDIRECT(""'""&amp;CT$1&amp;""'!$D$4:$D$66"")=CT$2),$F$3:$BP$3,$F140:$BP140)))"),0.3040357554545455)</f>
        <v>0.3040357555</v>
      </c>
      <c r="CU140" s="207" t="str">
        <f>IFERROR(__xludf.DUMMYFUNCTION("IF(OR(CT140&gt;$BR140+$BS140*$BS$2,CT140&lt;$BR140-$BS140*$BS$2),AVEDEV(ARRAYFORMULA(XLOOKUP(FILTER(INDIRECT(""'""&amp;CT$1&amp;""'!$C$4:$C$66""),INDIRECT(""'""&amp;CT$1&amp;""'!$D$4:$D$66"")=CT$2),$F$3:$BP$3,$F140:$BP140))),"""")"),"")</f>
        <v/>
      </c>
      <c r="CV140" s="251">
        <f>IFERROR(__xludf.DUMMYFUNCTION("AVERAGE(ARRAYFORMULA(XLOOKUP(FILTER(INDIRECT(""'""&amp;CV$1&amp;""'!$C$4:$C$66""),INDIRECT(""'""&amp;CV$1&amp;""'!$D$4:$D$66"")=CV$2),$F$3:$BP$3,$F140:$BP140)))"),3.15819209)</f>
        <v>3.15819209</v>
      </c>
      <c r="CW140" s="207" t="str">
        <f>IFERROR(__xludf.DUMMYFUNCTION("IF(OR(CV140&gt;$BR140+$BS140*$BS$2,CV140&lt;$BR140-$BS140*$BS$2),AVEDEV(ARRAYFORMULA(XLOOKUP(FILTER(INDIRECT(""'""&amp;CV$1&amp;""'!$C$4:$C$66""),INDIRECT(""'""&amp;CV$1&amp;""'!$D$4:$D$66"")=CV$2),$F$3:$BP$3,$F140:$BP140))),"""")"),"")</f>
        <v/>
      </c>
      <c r="CX140" s="251">
        <f>IFERROR(__xludf.DUMMYFUNCTION("AVERAGE(ARRAYFORMULA(XLOOKUP(FILTER(INDIRECT(""'""&amp;CX$1&amp;""'!$C$4:$C$66""),INDIRECT(""'""&amp;CX$1&amp;""'!$D$4:$D$66"")=CX$2),$F$3:$BP$3,$F140:$BP140)))"),0.4555252314285715)</f>
        <v>0.4555252314</v>
      </c>
      <c r="CY140" s="207" t="str">
        <f>IFERROR(__xludf.DUMMYFUNCTION("IF(OR(CX140&gt;$BR140+$BS140*$BS$2,CX140&lt;$BR140-$BS140*$BS$2),AVEDEV(ARRAYFORMULA(XLOOKUP(FILTER(INDIRECT(""'""&amp;CX$1&amp;""'!$C$4:$C$66""),INDIRECT(""'""&amp;CX$1&amp;""'!$D$4:$D$66"")=CX$2),$F$3:$BP$3,$F140:$BP140))),"""")"),"")</f>
        <v/>
      </c>
      <c r="CZ140" s="252"/>
      <c r="DA140" s="251">
        <f>IFERROR(__xludf.DUMMYFUNCTION("AVERAGE(ARRAYFORMULA(XLOOKUP(FILTER(INDIRECT(""'""&amp;DA$1&amp;""'!$C$4:$C$66""),INDIRECT(""'""&amp;DA$1&amp;""'!$D$4:$D$66"")=DA$2),$F$3:$BP$3,$F140:$BP140)))"),0.3956159783333334)</f>
        <v>0.3956159783</v>
      </c>
      <c r="DB140" s="207" t="str">
        <f>IFERROR(__xludf.DUMMYFUNCTION("IF(OR(DA140&gt;$BR140+$BS140*$BS$2,DA140&lt;$BR140-$BS140*$BS$2),AVEDEV(ARRAYFORMULA(XLOOKUP(FILTER(INDIRECT(""'""&amp;DA$1&amp;""'!$C$4:$C$66""),INDIRECT(""'""&amp;DA$1&amp;""'!$D$4:$D$66"")=DA$2),$F$3:$BP$3,$F140:$BP140))),"""")"),"")</f>
        <v/>
      </c>
      <c r="DC140" s="251">
        <f>IFERROR(__xludf.DUMMYFUNCTION("AVERAGE(ARRAYFORMULA(XLOOKUP(FILTER(INDIRECT(""'""&amp;DC$1&amp;""'!$C$4:$C$66""),INDIRECT(""'""&amp;DC$1&amp;""'!$D$4:$D$66"")=DC$2),$F$3:$BP$3,$F140:$BP140)))"),0.2843668855555556)</f>
        <v>0.2843668856</v>
      </c>
      <c r="DD140" s="207" t="str">
        <f>IFERROR(__xludf.DUMMYFUNCTION("IF(OR(DC140&gt;$BR140+$BS140*$BS$2,DC140&lt;$BR140-$BS140*$BS$2),AVEDEV(ARRAYFORMULA(XLOOKUP(FILTER(INDIRECT(""'""&amp;DC$1&amp;""'!$C$4:$C$66""),INDIRECT(""'""&amp;DC$1&amp;""'!$D$4:$D$66"")=DC$2),$F$3:$BP$3,$F140:$BP140))),"""")"),"")</f>
        <v/>
      </c>
      <c r="DE140" s="251">
        <f>IFERROR(__xludf.DUMMYFUNCTION("AVERAGE(ARRAYFORMULA(XLOOKUP(FILTER(INDIRECT(""'""&amp;DE$1&amp;""'!$C$4:$C$66""),INDIRECT(""'""&amp;DE$1&amp;""'!$D$4:$D$66"")=DE$2),$F$3:$BP$3,$F140:$BP140)))"),0.27028308125)</f>
        <v>0.2702830813</v>
      </c>
      <c r="DF140" s="207" t="str">
        <f>IFERROR(__xludf.DUMMYFUNCTION("IF(OR(DE140&gt;$BR140+$BS140*$BS$2,DE140&lt;$BR140-$BS140*$BS$2),AVEDEV(ARRAYFORMULA(XLOOKUP(FILTER(INDIRECT(""'""&amp;DE$1&amp;""'!$C$4:$C$66""),INDIRECT(""'""&amp;DE$1&amp;""'!$D$4:$D$66"")=DE$2),$F$3:$BP$3,$F140:$BP140))),"""")"),"")</f>
        <v/>
      </c>
      <c r="DG140" s="251">
        <f>IFERROR(__xludf.DUMMYFUNCTION("AVERAGE(ARRAYFORMULA(XLOOKUP(FILTER(INDIRECT(""'""&amp;DG$1&amp;""'!$C$4:$C$66""),INDIRECT(""'""&amp;DG$1&amp;""'!$D$4:$D$66"")=DG$2),$F$3:$BP$3,$F140:$BP140)))"),1.7426949655555555)</f>
        <v>1.742694966</v>
      </c>
      <c r="DH140" s="207" t="str">
        <f>IFERROR(__xludf.DUMMYFUNCTION("IF(OR(DG140&gt;$BR140+$BS140*$BS$2,DG140&lt;$BR140-$BS140*$BS$2),AVEDEV(ARRAYFORMULA(XLOOKUP(FILTER(INDIRECT(""'""&amp;DG$1&amp;""'!$C$4:$C$66""),INDIRECT(""'""&amp;DG$1&amp;""'!$D$4:$D$66"")=DG$2),$F$3:$BP$3,$F140:$BP140))),"""")"),"")</f>
        <v/>
      </c>
      <c r="DI140" s="252"/>
    </row>
    <row r="141">
      <c r="A141" s="2"/>
      <c r="B141" s="204" t="s">
        <v>540</v>
      </c>
      <c r="C141" s="204" t="s">
        <v>584</v>
      </c>
      <c r="D141" s="205" t="b">
        <f>VLOOKUP(C141,'Feature Set List'!A138:C246,2,0)</f>
        <v>1</v>
      </c>
      <c r="E141" s="205" t="b">
        <f>VLOOKUP(C141,'Feature Set List'!A138:C246,3,0)</f>
        <v>0</v>
      </c>
      <c r="F141" s="205">
        <v>0.50301568</v>
      </c>
      <c r="G141" s="205">
        <v>2.50904704</v>
      </c>
      <c r="H141" s="205">
        <v>0.47165259</v>
      </c>
      <c r="I141" s="205">
        <v>0.0</v>
      </c>
      <c r="J141" s="205">
        <v>0.7575392</v>
      </c>
      <c r="K141" s="205">
        <v>-0.3811821</v>
      </c>
      <c r="L141" s="205">
        <v>0.55528749</v>
      </c>
      <c r="M141" s="205">
        <v>-0.1021311</v>
      </c>
      <c r="N141" s="205">
        <v>-0.6622437</v>
      </c>
      <c r="O141" s="205">
        <v>0.12102935</v>
      </c>
      <c r="P141" s="205">
        <v>-0.9927624</v>
      </c>
      <c r="Q141" s="205">
        <v>-0.575392</v>
      </c>
      <c r="R141" s="205">
        <v>-0.7880981</v>
      </c>
      <c r="S141" s="205">
        <v>-0.575392</v>
      </c>
      <c r="T141" s="205">
        <v>-0.0172899</v>
      </c>
      <c r="U141" s="205">
        <v>0.51347004</v>
      </c>
      <c r="V141" s="205">
        <v>-0.1986329</v>
      </c>
      <c r="W141" s="205">
        <v>0.25613189</v>
      </c>
      <c r="X141" s="205">
        <v>0.34579815</v>
      </c>
      <c r="Y141" s="205">
        <v>0.51347004</v>
      </c>
      <c r="Z141" s="205">
        <v>-0.4503418</v>
      </c>
      <c r="AA141" s="205">
        <v>-0.3634901</v>
      </c>
      <c r="AB141" s="205">
        <v>-0.4917571</v>
      </c>
      <c r="AC141" s="205">
        <v>-0.9943707</v>
      </c>
      <c r="AD141" s="205">
        <v>3.66184158</v>
      </c>
      <c r="AE141" s="205">
        <v>0.33614797</v>
      </c>
      <c r="AF141" s="205">
        <v>0.79171693</v>
      </c>
      <c r="AG141" s="205">
        <v>-0.5741858</v>
      </c>
      <c r="AH141" s="205">
        <v>0.34579815</v>
      </c>
      <c r="AI141" s="205">
        <v>-0.9107358</v>
      </c>
      <c r="AJ141" s="205">
        <v>-0.4917571</v>
      </c>
      <c r="AK141" s="205">
        <v>-0.4917571</v>
      </c>
      <c r="AL141" s="205">
        <v>0.44632087</v>
      </c>
      <c r="AM141" s="205">
        <v>0.42983514</v>
      </c>
      <c r="AN141" s="205">
        <v>1.08685163</v>
      </c>
      <c r="AO141" s="205">
        <v>1.11741053</v>
      </c>
      <c r="AP141" s="205">
        <v>0.51347004</v>
      </c>
      <c r="AQ141" s="205">
        <v>12.1499799</v>
      </c>
      <c r="AR141" s="205">
        <v>-0.6172095</v>
      </c>
      <c r="AS141" s="205">
        <v>0.54402895</v>
      </c>
      <c r="AT141" s="205">
        <v>1813.94331</v>
      </c>
      <c r="AU141" s="205">
        <v>-0.8689184</v>
      </c>
      <c r="AV141" s="205">
        <v>0.7535183</v>
      </c>
      <c r="AW141" s="205">
        <v>20.1274628</v>
      </c>
      <c r="AX141" s="205">
        <v>-0.4917571</v>
      </c>
      <c r="AY141" s="205">
        <v>-0.659429</v>
      </c>
      <c r="AZ141" s="205">
        <v>0.00321673</v>
      </c>
      <c r="BA141" s="205">
        <v>-0.3952553</v>
      </c>
      <c r="BB141" s="205">
        <v>0.00402091</v>
      </c>
      <c r="BC141" s="205">
        <v>-0.4917571</v>
      </c>
      <c r="BD141" s="205">
        <v>-0.1568154</v>
      </c>
      <c r="BE141" s="205">
        <v>0.59750704</v>
      </c>
      <c r="BF141" s="205">
        <v>-0.1568154</v>
      </c>
      <c r="BG141" s="205">
        <v>-0.9943707</v>
      </c>
      <c r="BH141" s="205">
        <v>-0.8266988</v>
      </c>
      <c r="BI141" s="205">
        <v>-0.4459188</v>
      </c>
      <c r="BJ141" s="205">
        <v>0.46200241</v>
      </c>
      <c r="BK141" s="205">
        <v>0.01085645</v>
      </c>
      <c r="BL141" s="205">
        <v>-0.2573382</v>
      </c>
      <c r="BM141" s="205">
        <v>-0.637314</v>
      </c>
      <c r="BN141" s="205">
        <v>-0.5544833</v>
      </c>
      <c r="BO141" s="205">
        <v>0.38801769</v>
      </c>
      <c r="BP141" s="205">
        <v>0.01085645</v>
      </c>
      <c r="BQ141" s="206"/>
      <c r="BR141" s="250">
        <f t="shared" si="1"/>
        <v>29.32785732</v>
      </c>
      <c r="BS141" s="250">
        <f t="shared" si="2"/>
        <v>56.65445882</v>
      </c>
      <c r="BT141" s="206"/>
      <c r="BU141" s="207">
        <f>IFERROR(__xludf.DUMMYFUNCTION("AVERAGE(ARRAYFORMULA(XLOOKUP(FILTER(INDIRECT(""'""&amp;BU$1&amp;""'!$C$4:$C$66""),INDIRECT(""'""&amp;BU$1&amp;""'!$D$4:$D$66"")=BU$2),$F$3:$BP$3,$F141:$BP141)))"),0.04181746714285715)</f>
        <v>0.04181746714</v>
      </c>
      <c r="BV141" s="207" t="str">
        <f>IFERROR(__xludf.DUMMYFUNCTION("IF(OR(BU141&gt;$BR141+$BS141*$BS$2,BU141&lt;$BR141-$BS141*$BS$2),AVEDEV(ARRAYFORMULA(XLOOKUP(FILTER(INDIRECT(""'""&amp;BU$1&amp;""'!$C$4:$C$66""),INDIRECT(""'""&amp;BU$1&amp;""'!$D$4:$D$66"")=BU$2),$F$3:$BP$3,$F141:$BP141))),"""")"),"")</f>
        <v/>
      </c>
      <c r="BW141" s="207">
        <f>IFERROR(__xludf.DUMMYFUNCTION("AVERAGE(ARRAYFORMULA(XLOOKUP(FILTER(INDIRECT(""'""&amp;BW$1&amp;""'!$C$4:$C$66""),INDIRECT(""'""&amp;BW$1&amp;""'!$D$4:$D$66"")=BW$2),$F$3:$BP$3,$F141:$BP141)))"),0.8011086264285716)</f>
        <v>0.8011086264</v>
      </c>
      <c r="BX141" s="207" t="str">
        <f>IFERROR(__xludf.DUMMYFUNCTION("IF(OR(BW141&gt;$BR141+$BS141*$BS$2,BW141&lt;$BR141-$BS141*$BS$2),AVEDEV(ARRAYFORMULA(XLOOKUP(FILTER(INDIRECT(""'""&amp;BW$1&amp;""'!$C$4:$C$66""),INDIRECT(""'""&amp;BW$1&amp;""'!$D$4:$D$66"")=BW$2),$F$3:$BP$3,$F141:$BP141))),"""")"),"")</f>
        <v/>
      </c>
      <c r="BY141" s="207">
        <f>IFERROR(__xludf.DUMMYFUNCTION("AVERAGE(ARRAYFORMULA(XLOOKUP(FILTER(INDIRECT(""'""&amp;BY$1&amp;""'!$C$4:$C$66""),INDIRECT(""'""&amp;BY$1&amp;""'!$D$4:$D$66"")=BY$2),$F$3:$BP$3,$F141:$BP141)))"),-0.018861711818181828)</f>
        <v>-0.01886171182</v>
      </c>
      <c r="BZ141" s="207" t="str">
        <f>IFERROR(__xludf.DUMMYFUNCTION("IF(OR(BY141&gt;$BR141+$BS141*$BS$2,BY141&lt;$BR141-$BS141*$BS$2),AVEDEV(ARRAYFORMULA(XLOOKUP(FILTER(INDIRECT(""'""&amp;BY$1&amp;""'!$C$4:$C$66""),INDIRECT(""'""&amp;BY$1&amp;""'!$D$4:$D$66"")=BY$2),$F$3:$BP$3,$F141:$BP141))),"""")"),"")</f>
        <v/>
      </c>
      <c r="CA141" s="209"/>
      <c r="CB141" s="207">
        <f>IFERROR(__xludf.DUMMYFUNCTION("AVERAGE(ARRAYFORMULA(XLOOKUP(FILTER(INDIRECT(""'""&amp;CB$1&amp;""'!$C$4:$C$66""),INDIRECT(""'""&amp;CB$1&amp;""'!$D$4:$D$66"")=CB$2),$F$3:$BP$3,$F141:$BP141)))"),0.69368215)</f>
        <v>0.69368215</v>
      </c>
      <c r="CC141" s="207" t="str">
        <f>IFERROR(__xludf.DUMMYFUNCTION("IF(OR(CB141&gt;$BR141+$BS141*$BS$2,CB141&lt;$BR141-$BS141*$BS$2),AVEDEV(ARRAYFORMULA(XLOOKUP(FILTER(INDIRECT(""'""&amp;CB$1&amp;""'!$C$4:$C$66""),INDIRECT(""'""&amp;CB$1&amp;""'!$D$4:$D$66"")=CB$2),$F$3:$BP$3,$F141:$BP141))),"""")"),"")</f>
        <v/>
      </c>
      <c r="CD141" s="207">
        <f>IFERROR(__xludf.DUMMYFUNCTION("AVERAGE(ARRAYFORMULA(XLOOKUP(FILTER(INDIRECT(""'""&amp;CD$1&amp;""'!$C$4:$C$66""),INDIRECT(""'""&amp;CD$1&amp;""'!$D$4:$D$66"")=CD$2),$F$3:$BP$3,$F141:$BP141)))"),-0.3053036993548387)</f>
        <v>-0.3053036994</v>
      </c>
      <c r="CE141" s="207" t="str">
        <f>IFERROR(__xludf.DUMMYFUNCTION("IF(OR(CD141&gt;$BR141+$BS141*$BS$2,CD141&lt;$BR141-$BS141*$BS$2),AVEDEV(ARRAYFORMULA(XLOOKUP(FILTER(INDIRECT(""'""&amp;CD$1&amp;""'!$C$4:$C$66""),INDIRECT(""'""&amp;CD$1&amp;""'!$D$4:$D$66"")=CD$2),$F$3:$BP$3,$F141:$BP141))),"""")"),"")</f>
        <v/>
      </c>
      <c r="CF141" s="207">
        <f>IFERROR(__xludf.DUMMYFUNCTION("AVERAGE(ARRAYFORMULA(XLOOKUP(FILTER(INDIRECT(""'""&amp;CF$1&amp;""'!$C$4:$C$66""),INDIRECT(""'""&amp;CF$1&amp;""'!$D$4:$D$66"")=CF$2),$F$3:$BP$3,$F141:$BP141)))"),-0.245034164)</f>
        <v>-0.245034164</v>
      </c>
      <c r="CG141" s="207" t="str">
        <f>IFERROR(__xludf.DUMMYFUNCTION("IF(OR(CF141&gt;$BR141+$BS141*$BS$2,CF141&lt;$BR141-$BS141*$BS$2),AVEDEV(ARRAYFORMULA(XLOOKUP(FILTER(INDIRECT(""'""&amp;CF$1&amp;""'!$C$4:$C$66""),INDIRECT(""'""&amp;CF$1&amp;""'!$D$4:$D$66"")=CF$2),$F$3:$BP$3,$F141:$BP141))),"""")"),"")</f>
        <v/>
      </c>
      <c r="CH141" s="206"/>
      <c r="CI141" s="251">
        <f>IFERROR(__xludf.DUMMYFUNCTION("AVERAGE(ARRAYFORMULA(XLOOKUP(FILTER(INDIRECT(""'""&amp;CI$1&amp;""'!$C$4:$C$66""),INDIRECT(""'""&amp;CI$1&amp;""'!$D$4:$D$66"")=CI$2),$F$3:$BP$3,$F141:$BP141)))"),0.12984855)</f>
        <v>0.12984855</v>
      </c>
      <c r="CJ141" s="207" t="str">
        <f>IFERROR(__xludf.DUMMYFUNCTION("IF(OR(CI141&gt;$BR141+$BS141*$BS$2,CI141&lt;$BR141-$BS141*$BS$2),AVEDEV(ARRAYFORMULA(XLOOKUP(FILTER(INDIRECT(""'""&amp;CI$1&amp;""'!$C$4:$C$66""),INDIRECT(""'""&amp;CI$1&amp;""'!$D$4:$D$66"")=CI$2),$F$3:$BP$3,$F141:$BP141))),"""")"),"")</f>
        <v/>
      </c>
      <c r="CK141" s="251">
        <f>IFERROR(__xludf.DUMMYFUNCTION("AVERAGE(ARRAYFORMULA(XLOOKUP(FILTER(INDIRECT(""'""&amp;CK$1&amp;""'!$C$4:$C$66""),INDIRECT(""'""&amp;CK$1&amp;""'!$D$4:$D$66"")=CK$2),$F$3:$BP$3,$F141:$BP141)))"),0.8461126120512822)</f>
        <v>0.8461126121</v>
      </c>
      <c r="CL141" s="207" t="str">
        <f>IFERROR(__xludf.DUMMYFUNCTION("IF(OR(CK141&gt;$BR141+$BS141*$BS$2,CK141&lt;$BR141-$BS141*$BS$2),AVEDEV(ARRAYFORMULA(XLOOKUP(FILTER(INDIRECT(""'""&amp;CK$1&amp;""'!$C$4:$C$66""),INDIRECT(""'""&amp;CK$1&amp;""'!$D$4:$D$66"")=CK$2),$F$3:$BP$3,$F141:$BP141))),"""")"),"")</f>
        <v/>
      </c>
      <c r="CM141" s="251">
        <f>IFERROR(__xludf.DUMMYFUNCTION("AVERAGE(ARRAYFORMULA(XLOOKUP(FILTER(INDIRECT(""'""&amp;CM$1&amp;""'!$C$4:$C$66""),INDIRECT(""'""&amp;CM$1&amp;""'!$D$4:$D$66"")=CM$2),$F$3:$BP$3,$F141:$BP141)))"),-0.245034164)</f>
        <v>-0.245034164</v>
      </c>
      <c r="CN141" s="207" t="str">
        <f>IFERROR(__xludf.DUMMYFUNCTION("IF(OR(CM141&gt;$BR141+$BS141*$BS$2,CM141&lt;$BR141-$BS141*$BS$2),AVEDEV(ARRAYFORMULA(XLOOKUP(FILTER(INDIRECT(""'""&amp;CM$1&amp;""'!$C$4:$C$66""),INDIRECT(""'""&amp;CM$1&amp;""'!$D$4:$D$66"")=CM$2),$F$3:$BP$3,$F141:$BP141))),"""")"),"")</f>
        <v/>
      </c>
      <c r="CO141" s="252"/>
      <c r="CP141" s="251">
        <f>IFERROR(__xludf.DUMMYFUNCTION("AVERAGE(ARRAYFORMULA(XLOOKUP(FILTER(INDIRECT(""'""&amp;CP$1&amp;""'!$C$4:$C$66""),INDIRECT(""'""&amp;CP$1&amp;""'!$D$4:$D$66"")=CP$2),$F$3:$BP$3,$F141:$BP141)))"),0.7271526257142857)</f>
        <v>0.7271526257</v>
      </c>
      <c r="CQ141" s="207" t="str">
        <f>IFERROR(__xludf.DUMMYFUNCTION("IF(OR(CP141&gt;$BR141+$BS141*$BS$2,CP141&lt;$BR141-$BS141*$BS$2),AVEDEV(ARRAYFORMULA(XLOOKUP(FILTER(INDIRECT(""'""&amp;CP$1&amp;""'!$C$4:$C$66""),INDIRECT(""'""&amp;CP$1&amp;""'!$D$4:$D$66"")=CP$2),$F$3:$BP$3,$F141:$BP141))),"""")"),"")</f>
        <v/>
      </c>
      <c r="CR141" s="251">
        <f>IFERROR(__xludf.DUMMYFUNCTION("AVERAGE(ARRAYFORMULA(XLOOKUP(FILTER(INDIRECT(""'""&amp;CR$1&amp;""'!$C$4:$C$66""),INDIRECT(""'""&amp;CR$1&amp;""'!$D$4:$D$66"")=CR$2),$F$3:$BP$3,$F141:$BP141)))"),0.07880981888888888)</f>
        <v>0.07880981889</v>
      </c>
      <c r="CS141" s="207" t="str">
        <f>IFERROR(__xludf.DUMMYFUNCTION("IF(OR(CR141&gt;$BR141+$BS141*$BS$2,CR141&lt;$BR141-$BS141*$BS$2),AVEDEV(ARRAYFORMULA(XLOOKUP(FILTER(INDIRECT(""'""&amp;CR$1&amp;""'!$C$4:$C$66""),INDIRECT(""'""&amp;CR$1&amp;""'!$D$4:$D$66"")=CR$2),$F$3:$BP$3,$F141:$BP141))),"""")"),"")</f>
        <v/>
      </c>
      <c r="CT141" s="251">
        <f>IFERROR(__xludf.DUMMYFUNCTION("AVERAGE(ARRAYFORMULA(XLOOKUP(FILTER(INDIRECT(""'""&amp;CT$1&amp;""'!$C$4:$C$66""),INDIRECT(""'""&amp;CT$1&amp;""'!$D$4:$D$66"")=CT$2),$F$3:$BP$3,$F141:$BP141)))"),-0.3561062890909091)</f>
        <v>-0.3561062891</v>
      </c>
      <c r="CU141" s="207" t="str">
        <f>IFERROR(__xludf.DUMMYFUNCTION("IF(OR(CT141&gt;$BR141+$BS141*$BS$2,CT141&lt;$BR141-$BS141*$BS$2),AVEDEV(ARRAYFORMULA(XLOOKUP(FILTER(INDIRECT(""'""&amp;CT$1&amp;""'!$C$4:$C$66""),INDIRECT(""'""&amp;CT$1&amp;""'!$D$4:$D$66"")=CT$2),$F$3:$BP$3,$F141:$BP141))),"""")"),"")</f>
        <v/>
      </c>
      <c r="CV141" s="251">
        <f>IFERROR(__xludf.DUMMYFUNCTION("AVERAGE(ARRAYFORMULA(XLOOKUP(FILTER(INDIRECT(""'""&amp;CV$1&amp;""'!$C$4:$C$66""),INDIRECT(""'""&amp;CV$1&amp;""'!$D$4:$D$66"")=CV$2),$F$3:$BP$3,$F141:$BP141)))"),-0.9943707)</f>
        <v>-0.9943707</v>
      </c>
      <c r="CW141" s="207" t="str">
        <f>IFERROR(__xludf.DUMMYFUNCTION("IF(OR(CV141&gt;$BR141+$BS141*$BS$2,CV141&lt;$BR141-$BS141*$BS$2),AVEDEV(ARRAYFORMULA(XLOOKUP(FILTER(INDIRECT(""'""&amp;CV$1&amp;""'!$C$4:$C$66""),INDIRECT(""'""&amp;CV$1&amp;""'!$D$4:$D$66"")=CV$2),$F$3:$BP$3,$F141:$BP141))),"""")"),"")</f>
        <v/>
      </c>
      <c r="CX141" s="251">
        <f>IFERROR(__xludf.DUMMYFUNCTION("AVERAGE(ARRAYFORMULA(XLOOKUP(FILTER(INDIRECT(""'""&amp;CX$1&amp;""'!$C$4:$C$66""),INDIRECT(""'""&amp;CX$1&amp;""'!$D$4:$D$66"")=CX$2),$F$3:$BP$3,$F141:$BP141)))"),2.040898387857143)</f>
        <v>2.040898388</v>
      </c>
      <c r="CY141" s="207" t="str">
        <f>IFERROR(__xludf.DUMMYFUNCTION("IF(OR(CX141&gt;$BR141+$BS141*$BS$2,CX141&lt;$BR141-$BS141*$BS$2),AVEDEV(ARRAYFORMULA(XLOOKUP(FILTER(INDIRECT(""'""&amp;CX$1&amp;""'!$C$4:$C$66""),INDIRECT(""'""&amp;CX$1&amp;""'!$D$4:$D$66"")=CX$2),$F$3:$BP$3,$F141:$BP141))),"""")"),"")</f>
        <v/>
      </c>
      <c r="CZ141" s="252"/>
      <c r="DA141" s="251">
        <f>IFERROR(__xludf.DUMMYFUNCTION("AVERAGE(ARRAYFORMULA(XLOOKUP(FILTER(INDIRECT(""'""&amp;DA$1&amp;""'!$C$4:$C$66""),INDIRECT(""'""&amp;DA$1&amp;""'!$D$4:$D$66"")=DA$2),$F$3:$BP$3,$F141:$BP141)))"),0.9266050180000001)</f>
        <v>0.926605018</v>
      </c>
      <c r="DB141" s="207" t="str">
        <f>IFERROR(__xludf.DUMMYFUNCTION("IF(OR(DA141&gt;$BR141+$BS141*$BS$2,DA141&lt;$BR141-$BS141*$BS$2),AVEDEV(ARRAYFORMULA(XLOOKUP(FILTER(INDIRECT(""'""&amp;DA$1&amp;""'!$C$4:$C$66""),INDIRECT(""'""&amp;DA$1&amp;""'!$D$4:$D$66"")=DA$2),$F$3:$BP$3,$F141:$BP141))),"""")"),"")</f>
        <v/>
      </c>
      <c r="DC141" s="251">
        <f>IFERROR(__xludf.DUMMYFUNCTION("AVERAGE(ARRAYFORMULA(XLOOKUP(FILTER(INDIRECT(""'""&amp;DC$1&amp;""'!$C$4:$C$66""),INDIRECT(""'""&amp;DC$1&amp;""'!$D$4:$D$66"")=DC$2),$F$3:$BP$3,$F141:$BP141)))"),-0.12210159444444445)</f>
        <v>-0.1221015944</v>
      </c>
      <c r="DD141" s="207" t="str">
        <f>IFERROR(__xludf.DUMMYFUNCTION("IF(OR(DC141&gt;$BR141+$BS141*$BS$2,DC141&lt;$BR141-$BS141*$BS$2),AVEDEV(ARRAYFORMULA(XLOOKUP(FILTER(INDIRECT(""'""&amp;DC$1&amp;""'!$C$4:$C$66""),INDIRECT(""'""&amp;DC$1&amp;""'!$D$4:$D$66"")=DC$2),$F$3:$BP$3,$F141:$BP141))),"""")"),"")</f>
        <v/>
      </c>
      <c r="DE141" s="251">
        <f>IFERROR(__xludf.DUMMYFUNCTION("AVERAGE(ARRAYFORMULA(XLOOKUP(FILTER(INDIRECT(""'""&amp;DE$1&amp;""'!$C$4:$C$66""),INDIRECT(""'""&amp;DE$1&amp;""'!$D$4:$D$66"")=DE$2),$F$3:$BP$3,$F141:$BP141)))"),-0.569410925)</f>
        <v>-0.569410925</v>
      </c>
      <c r="DF141" s="207" t="str">
        <f>IFERROR(__xludf.DUMMYFUNCTION("IF(OR(DE141&gt;$BR141+$BS141*$BS$2,DE141&lt;$BR141-$BS141*$BS$2),AVEDEV(ARRAYFORMULA(XLOOKUP(FILTER(INDIRECT(""'""&amp;DE$1&amp;""'!$C$4:$C$66""),INDIRECT(""'""&amp;DE$1&amp;""'!$D$4:$D$66"")=DE$2),$F$3:$BP$3,$F141:$BP141))),"""")"),"")</f>
        <v/>
      </c>
      <c r="DG141" s="251">
        <f>IFERROR(__xludf.DUMMYFUNCTION("AVERAGE(ARRAYFORMULA(XLOOKUP(FILTER(INDIRECT(""'""&amp;DG$1&amp;""'!$C$4:$C$66""),INDIRECT(""'""&amp;DG$1&amp;""'!$D$4:$D$66"")=DG$2),$F$3:$BP$3,$F141:$BP141)))"),-0.21288476777777782)</f>
        <v>-0.2128847678</v>
      </c>
      <c r="DH141" s="207" t="str">
        <f>IFERROR(__xludf.DUMMYFUNCTION("IF(OR(DG141&gt;$BR141+$BS141*$BS$2,DG141&lt;$BR141-$BS141*$BS$2),AVEDEV(ARRAYFORMULA(XLOOKUP(FILTER(INDIRECT(""'""&amp;DG$1&amp;""'!$C$4:$C$66""),INDIRECT(""'""&amp;DG$1&amp;""'!$D$4:$D$66"")=DG$2),$F$3:$BP$3,$F141:$BP141))),"""")"),"")</f>
        <v/>
      </c>
      <c r="DI141" s="252"/>
    </row>
    <row r="142">
      <c r="A142" s="2"/>
      <c r="B142" s="204" t="s">
        <v>540</v>
      </c>
      <c r="C142" s="204" t="s">
        <v>585</v>
      </c>
      <c r="D142" s="205" t="b">
        <f>VLOOKUP(C142,'Feature Set List'!A139:C246,2,0)</f>
        <v>1</v>
      </c>
      <c r="E142" s="205" t="b">
        <f>VLOOKUP(C142,'Feature Set List'!A139:C246,3,0)</f>
        <v>1</v>
      </c>
      <c r="F142" s="205">
        <v>-0.1034211</v>
      </c>
      <c r="G142" s="205">
        <v>0.14630301</v>
      </c>
      <c r="H142" s="205">
        <v>0.02522466</v>
      </c>
      <c r="I142" s="205">
        <v>-0.2023648</v>
      </c>
      <c r="J142" s="205">
        <v>-0.6172474</v>
      </c>
      <c r="K142" s="205">
        <v>-0.3166325</v>
      </c>
      <c r="L142" s="205">
        <v>0.18224815</v>
      </c>
      <c r="M142" s="205">
        <v>0.0</v>
      </c>
      <c r="N142" s="205">
        <v>-0.5936623</v>
      </c>
      <c r="O142" s="205">
        <v>0.00693678</v>
      </c>
      <c r="P142" s="205">
        <v>-0.7996216</v>
      </c>
      <c r="Q142" s="205">
        <v>1.00268012</v>
      </c>
      <c r="R142" s="205">
        <v>0.66277787</v>
      </c>
      <c r="S142" s="205">
        <v>-0.7996216</v>
      </c>
      <c r="T142" s="205">
        <v>-0.2765884</v>
      </c>
      <c r="U142" s="205">
        <v>-0.7996216</v>
      </c>
      <c r="V142" s="205">
        <v>-0.0435125</v>
      </c>
      <c r="W142" s="205">
        <v>0.03342267</v>
      </c>
      <c r="X142" s="205">
        <v>2.27778654</v>
      </c>
      <c r="Y142" s="205">
        <v>0.36575753</v>
      </c>
      <c r="Z142" s="205">
        <v>0.56629355</v>
      </c>
      <c r="AA142" s="205">
        <v>-0.3899732</v>
      </c>
      <c r="AB142" s="205">
        <v>0.47737664</v>
      </c>
      <c r="AC142" s="205">
        <v>8.14251931</v>
      </c>
      <c r="AD142" s="205">
        <v>-0.7996216</v>
      </c>
      <c r="AE142" s="205">
        <v>2.1573388</v>
      </c>
      <c r="AF142" s="205">
        <v>-0.6805612</v>
      </c>
      <c r="AG142" s="205">
        <v>-0.0372064</v>
      </c>
      <c r="AH142" s="205">
        <v>0.66277787</v>
      </c>
      <c r="AI142" s="205">
        <v>-0.1267539</v>
      </c>
      <c r="AJ142" s="205">
        <v>0.8677282</v>
      </c>
      <c r="AK142" s="205">
        <v>-0.1223396</v>
      </c>
      <c r="AL142" s="205">
        <v>3.00993221</v>
      </c>
      <c r="AM142" s="205">
        <v>0.46917862</v>
      </c>
      <c r="AN142" s="205">
        <v>-0.0901781</v>
      </c>
      <c r="AO142" s="205">
        <v>1.00772505</v>
      </c>
      <c r="AP142" s="205">
        <v>-0.7385653</v>
      </c>
      <c r="AQ142" s="205">
        <v>-0.7996216</v>
      </c>
      <c r="AR142" s="205">
        <v>12.2226076</v>
      </c>
      <c r="AS142" s="205">
        <v>-0.1867255</v>
      </c>
      <c r="AT142" s="205">
        <v>-0.7996216</v>
      </c>
      <c r="AU142" s="205">
        <v>-0.062431</v>
      </c>
      <c r="AV142" s="205">
        <v>-0.7996216</v>
      </c>
      <c r="AW142" s="205">
        <v>0.12612329</v>
      </c>
      <c r="AX142" s="205">
        <v>-0.7856409</v>
      </c>
      <c r="AY142" s="205">
        <v>2.45120605</v>
      </c>
      <c r="AZ142" s="205">
        <v>0.49944821</v>
      </c>
      <c r="BA142" s="205">
        <v>-0.3809554</v>
      </c>
      <c r="BB142" s="205">
        <v>-0.7996216</v>
      </c>
      <c r="BC142" s="205">
        <v>232.780703</v>
      </c>
      <c r="BD142" s="205">
        <v>-0.2255084</v>
      </c>
      <c r="BE142" s="205">
        <v>-0.1507173</v>
      </c>
      <c r="BF142" s="205">
        <v>0.82673814</v>
      </c>
      <c r="BG142" s="205">
        <v>8.81727889</v>
      </c>
      <c r="BH142" s="205">
        <v>-0.7996216</v>
      </c>
      <c r="BI142" s="205">
        <v>0.49251143</v>
      </c>
      <c r="BJ142" s="205">
        <v>0.67349834</v>
      </c>
      <c r="BK142" s="205">
        <v>-0.4501971</v>
      </c>
      <c r="BL142" s="205">
        <v>-0.3681539</v>
      </c>
      <c r="BM142" s="205">
        <v>2.94623995</v>
      </c>
      <c r="BN142" s="205">
        <v>0.15954596</v>
      </c>
      <c r="BO142" s="205">
        <v>0.32224499</v>
      </c>
      <c r="BP142" s="205">
        <v>0.01072048</v>
      </c>
      <c r="BQ142" s="206"/>
      <c r="BR142" s="250">
        <f t="shared" si="1"/>
        <v>4.289634021</v>
      </c>
      <c r="BS142" s="250">
        <f t="shared" si="2"/>
        <v>7.771573737</v>
      </c>
      <c r="BT142" s="206"/>
      <c r="BU142" s="207">
        <f>IFERROR(__xludf.DUMMYFUNCTION("AVERAGE(ARRAYFORMULA(XLOOKUP(FILTER(INDIRECT(""'""&amp;BU$1&amp;""'!$C$4:$C$66""),INDIRECT(""'""&amp;BU$1&amp;""'!$D$4:$D$66"")=BU$2),$F$3:$BP$3,$F142:$BP142)))"),-0.3108065185714285)</f>
        <v>-0.3108065186</v>
      </c>
      <c r="BV142" s="207" t="str">
        <f>IFERROR(__xludf.DUMMYFUNCTION("IF(OR(BU142&gt;$BR142+$BS142*$BS$2,BU142&lt;$BR142-$BS142*$BS$2),AVEDEV(ARRAYFORMULA(XLOOKUP(FILTER(INDIRECT(""'""&amp;BU$1&amp;""'!$C$4:$C$66""),INDIRECT(""'""&amp;BU$1&amp;""'!$D$4:$D$66"")=BU$2),$F$3:$BP$3,$F142:$BP142))),"""")"),"")</f>
        <v/>
      </c>
      <c r="BW142" s="207">
        <f>IFERROR(__xludf.DUMMYFUNCTION("AVERAGE(ARRAYFORMULA(XLOOKUP(FILTER(INDIRECT(""'""&amp;BW$1&amp;""'!$C$4:$C$66""),INDIRECT(""'""&amp;BW$1&amp;""'!$D$4:$D$66"")=BW$2),$F$3:$BP$3,$F142:$BP142)))"),0.8207776178571431)</f>
        <v>0.8207776179</v>
      </c>
      <c r="BX142" s="207" t="str">
        <f>IFERROR(__xludf.DUMMYFUNCTION("IF(OR(BW142&gt;$BR142+$BS142*$BS$2,BW142&lt;$BR142-$BS142*$BS$2),AVEDEV(ARRAYFORMULA(XLOOKUP(FILTER(INDIRECT(""'""&amp;BW$1&amp;""'!$C$4:$C$66""),INDIRECT(""'""&amp;BW$1&amp;""'!$D$4:$D$66"")=BW$2),$F$3:$BP$3,$F142:$BP142))),"""")"),"")</f>
        <v/>
      </c>
      <c r="BY142" s="207">
        <f>IFERROR(__xludf.DUMMYFUNCTION("AVERAGE(ARRAYFORMULA(XLOOKUP(FILTER(INDIRECT(""'""&amp;BY$1&amp;""'!$C$4:$C$66""),INDIRECT(""'""&amp;BY$1&amp;""'!$D$4:$D$66"")=BY$2),$F$3:$BP$3,$F142:$BP142)))"),0.5403293572727274)</f>
        <v>0.5403293573</v>
      </c>
      <c r="BZ142" s="207" t="str">
        <f>IFERROR(__xludf.DUMMYFUNCTION("IF(OR(BY142&gt;$BR142+$BS142*$BS$2,BY142&lt;$BR142-$BS142*$BS$2),AVEDEV(ARRAYFORMULA(XLOOKUP(FILTER(INDIRECT(""'""&amp;BY$1&amp;""'!$C$4:$C$66""),INDIRECT(""'""&amp;BY$1&amp;""'!$D$4:$D$66"")=BY$2),$F$3:$BP$3,$F142:$BP142))),"""")"),"")</f>
        <v/>
      </c>
      <c r="CA142" s="209"/>
      <c r="CB142" s="207">
        <f>IFERROR(__xludf.DUMMYFUNCTION("AVERAGE(ARRAYFORMULA(XLOOKUP(FILTER(INDIRECT(""'""&amp;CB$1&amp;""'!$C$4:$C$66""),INDIRECT(""'""&amp;CB$1&amp;""'!$D$4:$D$66"")=CB$2),$F$3:$BP$3,$F142:$BP142)))"),-0.184253498125)</f>
        <v>-0.1842534981</v>
      </c>
      <c r="CC142" s="207" t="str">
        <f>IFERROR(__xludf.DUMMYFUNCTION("IF(OR(CB142&gt;$BR142+$BS142*$BS$2,CB142&lt;$BR142-$BS142*$BS$2),AVEDEV(ARRAYFORMULA(XLOOKUP(FILTER(INDIRECT(""'""&amp;CB$1&amp;""'!$C$4:$C$66""),INDIRECT(""'""&amp;CB$1&amp;""'!$D$4:$D$66"")=CB$2),$F$3:$BP$3,$F142:$BP142))),"""")"),"")</f>
        <v/>
      </c>
      <c r="CD142" s="207">
        <f>IFERROR(__xludf.DUMMYFUNCTION("AVERAGE(ARRAYFORMULA(XLOOKUP(FILTER(INDIRECT(""'""&amp;CD$1&amp;""'!$C$4:$C$66""),INDIRECT(""'""&amp;CD$1&amp;""'!$D$4:$D$66"")=CD$2),$F$3:$BP$3,$F142:$BP142)))"),0.9653246441935484)</f>
        <v>0.9653246442</v>
      </c>
      <c r="CE142" s="207" t="str">
        <f>IFERROR(__xludf.DUMMYFUNCTION("IF(OR(CD142&gt;$BR142+$BS142*$BS$2,CD142&lt;$BR142-$BS142*$BS$2),AVEDEV(ARRAYFORMULA(XLOOKUP(FILTER(INDIRECT(""'""&amp;CD$1&amp;""'!$C$4:$C$66""),INDIRECT(""'""&amp;CD$1&amp;""'!$D$4:$D$66"")=CD$2),$F$3:$BP$3,$F142:$BP142))),"""")"),"")</f>
        <v/>
      </c>
      <c r="CF142" s="207">
        <f>IFERROR(__xludf.DUMMYFUNCTION("AVERAGE(ARRAYFORMULA(XLOOKUP(FILTER(INDIRECT(""'""&amp;CF$1&amp;""'!$C$4:$C$66""),INDIRECT(""'""&amp;CF$1&amp;""'!$D$4:$D$66"")=CF$2),$F$3:$BP$3,$F142:$BP142)))"),2.551221826)</f>
        <v>2.551221826</v>
      </c>
      <c r="CG142" s="207" t="str">
        <f>IFERROR(__xludf.DUMMYFUNCTION("IF(OR(CF142&gt;$BR142+$BS142*$BS$2,CF142&lt;$BR142-$BS142*$BS$2),AVEDEV(ARRAYFORMULA(XLOOKUP(FILTER(INDIRECT(""'""&amp;CF$1&amp;""'!$C$4:$C$66""),INDIRECT(""'""&amp;CF$1&amp;""'!$D$4:$D$66"")=CF$2),$F$3:$BP$3,$F142:$BP142))),"""")"),"")</f>
        <v/>
      </c>
      <c r="CH142" s="206"/>
      <c r="CI142" s="251">
        <f>IFERROR(__xludf.DUMMYFUNCTION("AVERAGE(ARRAYFORMULA(XLOOKUP(FILTER(INDIRECT(""'""&amp;CI$1&amp;""'!$C$4:$C$66""),INDIRECT(""'""&amp;CI$1&amp;""'!$D$4:$D$66"")=CI$2),$F$3:$BP$3,$F142:$BP142)))"),0.04975143066666666)</f>
        <v>0.04975143067</v>
      </c>
      <c r="CJ142" s="207" t="str">
        <f>IFERROR(__xludf.DUMMYFUNCTION("IF(OR(CI142&gt;$BR142+$BS142*$BS$2,CI142&lt;$BR142-$BS142*$BS$2),AVEDEV(ARRAYFORMULA(XLOOKUP(FILTER(INDIRECT(""'""&amp;CI$1&amp;""'!$C$4:$C$66""),INDIRECT(""'""&amp;CI$1&amp;""'!$D$4:$D$66"")=CI$2),$F$3:$BP$3,$F142:$BP142))),"""")"),"")</f>
        <v/>
      </c>
      <c r="CK142" s="251">
        <f>IFERROR(__xludf.DUMMYFUNCTION("AVERAGE(ARRAYFORMULA(XLOOKUP(FILTER(INDIRECT(""'""&amp;CK$1&amp;""'!$C$4:$C$66""),INDIRECT(""'""&amp;CK$1&amp;""'!$D$4:$D$66"")=CK$2),$F$3:$BP$3,$F142:$BP142)))"),0.6458577887179486)</f>
        <v>0.6458577887</v>
      </c>
      <c r="CL142" s="207" t="str">
        <f>IFERROR(__xludf.DUMMYFUNCTION("IF(OR(CK142&gt;$BR142+$BS142*$BS$2,CK142&lt;$BR142-$BS142*$BS$2),AVEDEV(ARRAYFORMULA(XLOOKUP(FILTER(INDIRECT(""'""&amp;CK$1&amp;""'!$C$4:$C$66""),INDIRECT(""'""&amp;CK$1&amp;""'!$D$4:$D$66"")=CK$2),$F$3:$BP$3,$F142:$BP142))),"""")"),"")</f>
        <v/>
      </c>
      <c r="CM142" s="251">
        <f>IFERROR(__xludf.DUMMYFUNCTION("AVERAGE(ARRAYFORMULA(XLOOKUP(FILTER(INDIRECT(""'""&amp;CM$1&amp;""'!$C$4:$C$66""),INDIRECT(""'""&amp;CM$1&amp;""'!$D$4:$D$66"")=CM$2),$F$3:$BP$3,$F142:$BP142)))"),2.551221826)</f>
        <v>2.551221826</v>
      </c>
      <c r="CN142" s="207" t="str">
        <f>IFERROR(__xludf.DUMMYFUNCTION("IF(OR(CM142&gt;$BR142+$BS142*$BS$2,CM142&lt;$BR142-$BS142*$BS$2),AVEDEV(ARRAYFORMULA(XLOOKUP(FILTER(INDIRECT(""'""&amp;CM$1&amp;""'!$C$4:$C$66""),INDIRECT(""'""&amp;CM$1&amp;""'!$D$4:$D$66"")=CM$2),$F$3:$BP$3,$F142:$BP142))),"""")"),"")</f>
        <v/>
      </c>
      <c r="CO142" s="252"/>
      <c r="CP142" s="251">
        <f>IFERROR(__xludf.DUMMYFUNCTION("AVERAGE(ARRAYFORMULA(XLOOKUP(FILTER(INDIRECT(""'""&amp;CP$1&amp;""'!$C$4:$C$66""),INDIRECT(""'""&amp;CP$1&amp;""'!$D$4:$D$66"")=CP$2),$F$3:$BP$3,$F142:$BP142)))"),-0.066812895)</f>
        <v>-0.066812895</v>
      </c>
      <c r="CQ142" s="207" t="str">
        <f>IFERROR(__xludf.DUMMYFUNCTION("IF(OR(CP142&gt;$BR142+$BS142*$BS$2,CP142&lt;$BR142-$BS142*$BS$2),AVEDEV(ARRAYFORMULA(XLOOKUP(FILTER(INDIRECT(""'""&amp;CP$1&amp;""'!$C$4:$C$66""),INDIRECT(""'""&amp;CP$1&amp;""'!$D$4:$D$66"")=CP$2),$F$3:$BP$3,$F142:$BP142))),"""")"),"")</f>
        <v/>
      </c>
      <c r="CR142" s="251">
        <f>IFERROR(__xludf.DUMMYFUNCTION("AVERAGE(ARRAYFORMULA(XLOOKUP(FILTER(INDIRECT(""'""&amp;CR$1&amp;""'!$C$4:$C$66""),INDIRECT(""'""&amp;CR$1&amp;""'!$D$4:$D$66"")=CR$2),$F$3:$BP$3,$F142:$BP142)))"),0.4289523088888889)</f>
        <v>0.4289523089</v>
      </c>
      <c r="CS142" s="207" t="str">
        <f>IFERROR(__xludf.DUMMYFUNCTION("IF(OR(CR142&gt;$BR142+$BS142*$BS$2,CR142&lt;$BR142-$BS142*$BS$2),AVEDEV(ARRAYFORMULA(XLOOKUP(FILTER(INDIRECT(""'""&amp;CR$1&amp;""'!$C$4:$C$66""),INDIRECT(""'""&amp;CR$1&amp;""'!$D$4:$D$66"")=CR$2),$F$3:$BP$3,$F142:$BP142))),"""")"),"")</f>
        <v/>
      </c>
      <c r="CT142" s="251">
        <f>IFERROR(__xludf.DUMMYFUNCTION("AVERAGE(ARRAYFORMULA(XLOOKUP(FILTER(INDIRECT(""'""&amp;CT$1&amp;""'!$C$4:$C$66""),INDIRECT(""'""&amp;CT$1&amp;""'!$D$4:$D$66"")=CT$2),$F$3:$BP$3,$F142:$BP142)))"),0.6797758472727273)</f>
        <v>0.6797758473</v>
      </c>
      <c r="CU142" s="207" t="str">
        <f>IFERROR(__xludf.DUMMYFUNCTION("IF(OR(CT142&gt;$BR142+$BS142*$BS$2,CT142&lt;$BR142-$BS142*$BS$2),AVEDEV(ARRAYFORMULA(XLOOKUP(FILTER(INDIRECT(""'""&amp;CT$1&amp;""'!$C$4:$C$66""),INDIRECT(""'""&amp;CT$1&amp;""'!$D$4:$D$66"")=CT$2),$F$3:$BP$3,$F142:$BP142))),"""")"),"")</f>
        <v/>
      </c>
      <c r="CV142" s="251">
        <f>IFERROR(__xludf.DUMMYFUNCTION("AVERAGE(ARRAYFORMULA(XLOOKUP(FILTER(INDIRECT(""'""&amp;CV$1&amp;""'!$C$4:$C$66""),INDIRECT(""'""&amp;CV$1&amp;""'!$D$4:$D$66"")=CV$2),$F$3:$BP$3,$F142:$BP142)))"),8.4798991)</f>
        <v>8.4798991</v>
      </c>
      <c r="CW142" s="207" t="str">
        <f>IFERROR(__xludf.DUMMYFUNCTION("IF(OR(CV142&gt;$BR142+$BS142*$BS$2,CV142&lt;$BR142-$BS142*$BS$2),AVEDEV(ARRAYFORMULA(XLOOKUP(FILTER(INDIRECT(""'""&amp;CV$1&amp;""'!$C$4:$C$66""),INDIRECT(""'""&amp;CV$1&amp;""'!$D$4:$D$66"")=CV$2),$F$3:$BP$3,$F142:$BP142))),"""")"),"")</f>
        <v/>
      </c>
      <c r="CX142" s="251">
        <f>IFERROR(__xludf.DUMMYFUNCTION("AVERAGE(ARRAYFORMULA(XLOOKUP(FILTER(INDIRECT(""'""&amp;CX$1&amp;""'!$C$4:$C$66""),INDIRECT(""'""&amp;CX$1&amp;""'!$D$4:$D$66"")=CX$2),$F$3:$BP$3,$F142:$BP142)))"),0.12975384357142852)</f>
        <v>0.1297538436</v>
      </c>
      <c r="CY142" s="207" t="str">
        <f>IFERROR(__xludf.DUMMYFUNCTION("IF(OR(CX142&gt;$BR142+$BS142*$BS$2,CX142&lt;$BR142-$BS142*$BS$2),AVEDEV(ARRAYFORMULA(XLOOKUP(FILTER(INDIRECT(""'""&amp;CX$1&amp;""'!$C$4:$C$66""),INDIRECT(""'""&amp;CX$1&amp;""'!$D$4:$D$66"")=CX$2),$F$3:$BP$3,$F142:$BP142))),"""")"),"")</f>
        <v/>
      </c>
      <c r="CZ142" s="252"/>
      <c r="DA142" s="251">
        <f>IFERROR(__xludf.DUMMYFUNCTION("AVERAGE(ARRAYFORMULA(XLOOKUP(FILTER(INDIRECT(""'""&amp;DA$1&amp;""'!$C$4:$C$66""),INDIRECT(""'""&amp;DA$1&amp;""'!$D$4:$D$66"")=DA$2),$F$3:$BP$3,$F142:$BP142)))"),-0.04271963033333335)</f>
        <v>-0.04271963033</v>
      </c>
      <c r="DB142" s="207" t="str">
        <f>IFERROR(__xludf.DUMMYFUNCTION("IF(OR(DA142&gt;$BR142+$BS142*$BS$2,DA142&lt;$BR142-$BS142*$BS$2),AVEDEV(ARRAYFORMULA(XLOOKUP(FILTER(INDIRECT(""'""&amp;DA$1&amp;""'!$C$4:$C$66""),INDIRECT(""'""&amp;DA$1&amp;""'!$D$4:$D$66"")=DA$2),$F$3:$BP$3,$F142:$BP142))),"""")"),"")</f>
        <v/>
      </c>
      <c r="DC142" s="251">
        <f>IFERROR(__xludf.DUMMYFUNCTION("AVERAGE(ARRAYFORMULA(XLOOKUP(FILTER(INDIRECT(""'""&amp;DC$1&amp;""'!$C$4:$C$66""),INDIRECT(""'""&amp;DC$1&amp;""'!$D$4:$D$66"")=DC$2),$F$3:$BP$3,$F142:$BP142)))"),-0.11168216222222223)</f>
        <v>-0.1116821622</v>
      </c>
      <c r="DD142" s="207" t="str">
        <f>IFERROR(__xludf.DUMMYFUNCTION("IF(OR(DC142&gt;$BR142+$BS142*$BS$2,DC142&lt;$BR142-$BS142*$BS$2),AVEDEV(ARRAYFORMULA(XLOOKUP(FILTER(INDIRECT(""'""&amp;DC$1&amp;""'!$C$4:$C$66""),INDIRECT(""'""&amp;DC$1&amp;""'!$D$4:$D$66"")=DC$2),$F$3:$BP$3,$F142:$BP142))),"""")"),"")</f>
        <v/>
      </c>
      <c r="DE142" s="251">
        <f>IFERROR(__xludf.DUMMYFUNCTION("AVERAGE(ARRAYFORMULA(XLOOKUP(FILTER(INDIRECT(""'""&amp;DE$1&amp;""'!$C$4:$C$66""),INDIRECT(""'""&amp;DE$1&amp;""'!$D$4:$D$66"")=DE$2),$F$3:$BP$3,$F142:$BP142)))"),0.36253901124999993)</f>
        <v>0.3625390113</v>
      </c>
      <c r="DF142" s="207" t="str">
        <f>IFERROR(__xludf.DUMMYFUNCTION("IF(OR(DE142&gt;$BR142+$BS142*$BS$2,DE142&lt;$BR142-$BS142*$BS$2),AVEDEV(ARRAYFORMULA(XLOOKUP(FILTER(INDIRECT(""'""&amp;DE$1&amp;""'!$C$4:$C$66""),INDIRECT(""'""&amp;DE$1&amp;""'!$D$4:$D$66"")=DE$2),$F$3:$BP$3,$F142:$BP142))),"""")"),"")</f>
        <v/>
      </c>
      <c r="DG142" s="251">
        <f>IFERROR(__xludf.DUMMYFUNCTION("AVERAGE(ARRAYFORMULA(XLOOKUP(FILTER(INDIRECT(""'""&amp;DG$1&amp;""'!$C$4:$C$66""),INDIRECT(""'""&amp;DG$1&amp;""'!$D$4:$D$66"")=DG$2),$F$3:$BP$3,$F142:$BP142)))"),4.325958628888889)</f>
        <v>4.325958629</v>
      </c>
      <c r="DH142" s="207" t="str">
        <f>IFERROR(__xludf.DUMMYFUNCTION("IF(OR(DG142&gt;$BR142+$BS142*$BS$2,DG142&lt;$BR142-$BS142*$BS$2),AVEDEV(ARRAYFORMULA(XLOOKUP(FILTER(INDIRECT(""'""&amp;DG$1&amp;""'!$C$4:$C$66""),INDIRECT(""'""&amp;DG$1&amp;""'!$D$4:$D$66"")=DG$2),$F$3:$BP$3,$F142:$BP142))),"""")"),"")</f>
        <v/>
      </c>
      <c r="DI142" s="252"/>
    </row>
    <row r="143">
      <c r="A143" s="2"/>
      <c r="B143" s="204" t="s">
        <v>540</v>
      </c>
      <c r="C143" s="204" t="s">
        <v>586</v>
      </c>
      <c r="D143" s="205" t="b">
        <f>VLOOKUP(C143,'Feature Set List'!A140:C246,2,0)</f>
        <v>1</v>
      </c>
      <c r="E143" s="205" t="b">
        <f>VLOOKUP(C143,'Feature Set List'!A140:C246,3,0)</f>
        <v>0</v>
      </c>
      <c r="F143" s="205">
        <v>0.44067797</v>
      </c>
      <c r="G143" s="205">
        <v>1.45056497</v>
      </c>
      <c r="H143" s="205">
        <v>-0.430791</v>
      </c>
      <c r="I143" s="205">
        <v>0.45621469</v>
      </c>
      <c r="J143" s="205">
        <v>0.71045198</v>
      </c>
      <c r="K143" s="205">
        <v>0.11935028</v>
      </c>
      <c r="L143" s="205">
        <v>-0.6101695</v>
      </c>
      <c r="M143" s="205">
        <v>0.3799435</v>
      </c>
      <c r="N143" s="205">
        <v>-0.3446328</v>
      </c>
      <c r="O143" s="205">
        <v>-0.5402542</v>
      </c>
      <c r="P143" s="205">
        <v>0.07344633</v>
      </c>
      <c r="Q143" s="205">
        <v>-1.1326977</v>
      </c>
      <c r="R143" s="205">
        <v>-0.2655367</v>
      </c>
      <c r="S143" s="205">
        <v>0.14971751</v>
      </c>
      <c r="T143" s="205">
        <v>-0.843291</v>
      </c>
      <c r="U143" s="205">
        <v>0.63347458</v>
      </c>
      <c r="V143" s="205">
        <v>-0.6814972</v>
      </c>
      <c r="W143" s="205">
        <v>1.37146893</v>
      </c>
      <c r="X143" s="205">
        <v>-0.2189266</v>
      </c>
      <c r="Y143" s="205">
        <v>0.17584746</v>
      </c>
      <c r="Z143" s="205">
        <v>-0.555791</v>
      </c>
      <c r="AA143" s="205">
        <v>-0.1384181</v>
      </c>
      <c r="AB143" s="205">
        <v>0.22881356</v>
      </c>
      <c r="AC143" s="205">
        <v>1.57062147</v>
      </c>
      <c r="AD143" s="205">
        <v>2.58403955</v>
      </c>
      <c r="AE143" s="205">
        <v>-0.1384181</v>
      </c>
      <c r="AF143" s="205">
        <v>0.92584746</v>
      </c>
      <c r="AG143" s="205">
        <v>-0.5261299</v>
      </c>
      <c r="AH143" s="205">
        <v>-0.4357345</v>
      </c>
      <c r="AI143" s="205">
        <v>-0.8884887</v>
      </c>
      <c r="AJ143" s="205">
        <v>1.09816384</v>
      </c>
      <c r="AK143" s="205">
        <v>-0.6320621</v>
      </c>
      <c r="AL143" s="205">
        <v>-0.1560734</v>
      </c>
      <c r="AM143" s="205">
        <v>-0.8468927</v>
      </c>
      <c r="AN143" s="205">
        <v>-1.0933616</v>
      </c>
      <c r="AO143" s="205">
        <v>0.39124294</v>
      </c>
      <c r="AP143" s="205">
        <v>0.51271186</v>
      </c>
      <c r="AQ143" s="205">
        <v>2.41313559</v>
      </c>
      <c r="AR143" s="205">
        <v>-0.319209</v>
      </c>
      <c r="AS143" s="205">
        <v>-7.062E-4</v>
      </c>
      <c r="AT143" s="205">
        <v>-1.4639831</v>
      </c>
      <c r="AU143" s="205">
        <v>-0.8829802</v>
      </c>
      <c r="AV143" s="205">
        <v>0.45621469</v>
      </c>
      <c r="AW143" s="205">
        <v>1.71680791</v>
      </c>
      <c r="AX143" s="205">
        <v>-0.9555791</v>
      </c>
      <c r="AY143" s="205">
        <v>-0.5614407</v>
      </c>
      <c r="AZ143" s="205">
        <v>0.26624294</v>
      </c>
      <c r="BA143" s="205">
        <v>0.03954802</v>
      </c>
      <c r="BB143" s="205">
        <v>-0.3538136</v>
      </c>
      <c r="BC143" s="205">
        <v>6.41737288</v>
      </c>
      <c r="BD143" s="205">
        <v>0.66949153</v>
      </c>
      <c r="BE143" s="205">
        <v>1.41454802</v>
      </c>
      <c r="BF143" s="205">
        <v>0.05225989</v>
      </c>
      <c r="BG143" s="205">
        <v>2.20127119</v>
      </c>
      <c r="BH143" s="205">
        <v>-0.1935028</v>
      </c>
      <c r="BI143" s="205">
        <v>-0.5134181</v>
      </c>
      <c r="BJ143" s="205">
        <v>-0.7857345</v>
      </c>
      <c r="BK143" s="205">
        <v>-0.585452</v>
      </c>
      <c r="BL143" s="205">
        <v>0.47740113</v>
      </c>
      <c r="BM143" s="205">
        <v>0.0</v>
      </c>
      <c r="BN143" s="205">
        <v>-0.1850282</v>
      </c>
      <c r="BO143" s="205">
        <v>0.09392655</v>
      </c>
      <c r="BP143" s="205">
        <v>0.34887006</v>
      </c>
      <c r="BQ143" s="206"/>
      <c r="BR143" s="250">
        <f t="shared" si="1"/>
        <v>0.1993599203</v>
      </c>
      <c r="BS143" s="250">
        <f t="shared" si="2"/>
        <v>0.7730461953</v>
      </c>
      <c r="BT143" s="206"/>
      <c r="BU143" s="207">
        <f>IFERROR(__xludf.DUMMYFUNCTION("AVERAGE(ARRAYFORMULA(XLOOKUP(FILTER(INDIRECT(""'""&amp;BU$1&amp;""'!$C$4:$C$66""),INDIRECT(""'""&amp;BU$1&amp;""'!$D$4:$D$66"")=BU$2),$F$3:$BP$3,$F143:$BP143)))"),-0.19959646)</f>
        <v>-0.19959646</v>
      </c>
      <c r="BV143" s="207" t="str">
        <f>IFERROR(__xludf.DUMMYFUNCTION("IF(OR(BU143&gt;$BR143+$BS143*$BS$2,BU143&lt;$BR143-$BS143*$BS$2),AVEDEV(ARRAYFORMULA(XLOOKUP(FILTER(INDIRECT(""'""&amp;BU$1&amp;""'!$C$4:$C$66""),INDIRECT(""'""&amp;BU$1&amp;""'!$D$4:$D$66"")=BU$2),$F$3:$BP$3,$F143:$BP143))),"""")"),"")</f>
        <v/>
      </c>
      <c r="BW143" s="207">
        <f>IFERROR(__xludf.DUMMYFUNCTION("AVERAGE(ARRAYFORMULA(XLOOKUP(FILTER(INDIRECT(""'""&amp;BW$1&amp;""'!$C$4:$C$66""),INDIRECT(""'""&amp;BW$1&amp;""'!$D$4:$D$66"")=BW$2),$F$3:$BP$3,$F143:$BP143)))"),0.2555135211904762)</f>
        <v>0.2555135212</v>
      </c>
      <c r="BX143" s="207" t="str">
        <f>IFERROR(__xludf.DUMMYFUNCTION("IF(OR(BW143&gt;$BR143+$BS143*$BS$2,BW143&lt;$BR143-$BS143*$BS$2),AVEDEV(ARRAYFORMULA(XLOOKUP(FILTER(INDIRECT(""'""&amp;BW$1&amp;""'!$C$4:$C$66""),INDIRECT(""'""&amp;BW$1&amp;""'!$D$4:$D$66"")=BW$2),$F$3:$BP$3,$F143:$BP143))),"""")"),"")</f>
        <v/>
      </c>
      <c r="BY143" s="207">
        <f>IFERROR(__xludf.DUMMYFUNCTION("AVERAGE(ARRAYFORMULA(XLOOKUP(FILTER(INDIRECT(""'""&amp;BY$1&amp;""'!$C$4:$C$66""),INDIRECT(""'""&amp;BY$1&amp;""'!$D$4:$D$66"")=BY$2),$F$3:$BP$3,$F143:$BP143)))"),-0.11793786090909092)</f>
        <v>-0.1179378609</v>
      </c>
      <c r="BZ143" s="207" t="str">
        <f>IFERROR(__xludf.DUMMYFUNCTION("IF(OR(BY143&gt;$BR143+$BS143*$BS$2,BY143&lt;$BR143-$BS143*$BS$2),AVEDEV(ARRAYFORMULA(XLOOKUP(FILTER(INDIRECT(""'""&amp;BY$1&amp;""'!$C$4:$C$66""),INDIRECT(""'""&amp;BY$1&amp;""'!$D$4:$D$66"")=BY$2),$F$3:$BP$3,$F143:$BP143))),"""")"),"")</f>
        <v/>
      </c>
      <c r="CA143" s="209"/>
      <c r="CB143" s="207">
        <f>IFERROR(__xludf.DUMMYFUNCTION("AVERAGE(ARRAYFORMULA(XLOOKUP(FILTER(INDIRECT(""'""&amp;CB$1&amp;""'!$C$4:$C$66""),INDIRECT(""'""&amp;CB$1&amp;""'!$D$4:$D$66"")=CB$2),$F$3:$BP$3,$F143:$BP143)))"),0.61082715)</f>
        <v>0.61082715</v>
      </c>
      <c r="CC143" s="207" t="str">
        <f>IFERROR(__xludf.DUMMYFUNCTION("IF(OR(CB143&gt;$BR143+$BS143*$BS$2,CB143&lt;$BR143-$BS143*$BS$2),AVEDEV(ARRAYFORMULA(XLOOKUP(FILTER(INDIRECT(""'""&amp;CB$1&amp;""'!$C$4:$C$66""),INDIRECT(""'""&amp;CB$1&amp;""'!$D$4:$D$66"")=CB$2),$F$3:$BP$3,$F143:$BP143))),"""")"),"")</f>
        <v/>
      </c>
      <c r="CD143" s="207">
        <f>IFERROR(__xludf.DUMMYFUNCTION("AVERAGE(ARRAYFORMULA(XLOOKUP(FILTER(INDIRECT(""'""&amp;CD$1&amp;""'!$C$4:$C$66""),INDIRECT(""'""&amp;CD$1&amp;""'!$D$4:$D$66"")=CD$2),$F$3:$BP$3,$F143:$BP143)))"),-0.19034080870967748)</f>
        <v>-0.1903408087</v>
      </c>
      <c r="CE143" s="207" t="str">
        <f>IFERROR(__xludf.DUMMYFUNCTION("IF(OR(CD143&gt;$BR143+$BS143*$BS$2,CD143&lt;$BR143-$BS143*$BS$2),AVEDEV(ARRAYFORMULA(XLOOKUP(FILTER(INDIRECT(""'""&amp;CD$1&amp;""'!$C$4:$C$66""),INDIRECT(""'""&amp;CD$1&amp;""'!$D$4:$D$66"")=CD$2),$F$3:$BP$3,$F143:$BP143))),"""")"),"")</f>
        <v/>
      </c>
      <c r="CF143" s="207">
        <f>IFERROR(__xludf.DUMMYFUNCTION("AVERAGE(ARRAYFORMULA(XLOOKUP(FILTER(INDIRECT(""'""&amp;CF$1&amp;""'!$C$4:$C$66""),INDIRECT(""'""&amp;CF$1&amp;""'!$D$4:$D$66"")=CF$2),$F$3:$BP$3,$F143:$BP143)))"),-0.07824857200000002)</f>
        <v>-0.078248572</v>
      </c>
      <c r="CG143" s="207" t="str">
        <f>IFERROR(__xludf.DUMMYFUNCTION("IF(OR(CF143&gt;$BR143+$BS143*$BS$2,CF143&lt;$BR143-$BS143*$BS$2),AVEDEV(ARRAYFORMULA(XLOOKUP(FILTER(INDIRECT(""'""&amp;CF$1&amp;""'!$C$4:$C$66""),INDIRECT(""'""&amp;CF$1&amp;""'!$D$4:$D$66"")=CF$2),$F$3:$BP$3,$F143:$BP143))),"""")"),"")</f>
        <v/>
      </c>
      <c r="CH143" s="206"/>
      <c r="CI143" s="251">
        <f>IFERROR(__xludf.DUMMYFUNCTION("AVERAGE(ARRAYFORMULA(XLOOKUP(FILTER(INDIRECT(""'""&amp;CI$1&amp;""'!$C$4:$C$66""),INDIRECT(""'""&amp;CI$1&amp;""'!$D$4:$D$66"")=CI$2),$F$3:$BP$3,$F143:$BP143)))"),0.24820621266666662)</f>
        <v>0.2482062127</v>
      </c>
      <c r="CJ143" s="207" t="str">
        <f>IFERROR(__xludf.DUMMYFUNCTION("IF(OR(CI143&gt;$BR143+$BS143*$BS$2,CI143&lt;$BR143-$BS143*$BS$2),AVEDEV(ARRAYFORMULA(XLOOKUP(FILTER(INDIRECT(""'""&amp;CI$1&amp;""'!$C$4:$C$66""),INDIRECT(""'""&amp;CI$1&amp;""'!$D$4:$D$66"")=CI$2),$F$3:$BP$3,$F143:$BP143))),"""")"),"")</f>
        <v/>
      </c>
      <c r="CK143" s="251">
        <f>IFERROR(__xludf.DUMMYFUNCTION("AVERAGE(ARRAYFORMULA(XLOOKUP(FILTER(INDIRECT(""'""&amp;CK$1&amp;""'!$C$4:$C$66""),INDIRECT(""'""&amp;CK$1&amp;""'!$D$4:$D$66"")=CK$2),$F$3:$BP$3,$F143:$BP143)))"),0.13565840692307696)</f>
        <v>0.1356584069</v>
      </c>
      <c r="CL143" s="207" t="str">
        <f>IFERROR(__xludf.DUMMYFUNCTION("IF(OR(CK143&gt;$BR143+$BS143*$BS$2,CK143&lt;$BR143-$BS143*$BS$2),AVEDEV(ARRAYFORMULA(XLOOKUP(FILTER(INDIRECT(""'""&amp;CK$1&amp;""'!$C$4:$C$66""),INDIRECT(""'""&amp;CK$1&amp;""'!$D$4:$D$66"")=CK$2),$F$3:$BP$3,$F143:$BP143))),"""")"),"")</f>
        <v/>
      </c>
      <c r="CM143" s="251">
        <f>IFERROR(__xludf.DUMMYFUNCTION("AVERAGE(ARRAYFORMULA(XLOOKUP(FILTER(INDIRECT(""'""&amp;CM$1&amp;""'!$C$4:$C$66""),INDIRECT(""'""&amp;CM$1&amp;""'!$D$4:$D$66"")=CM$2),$F$3:$BP$3,$F143:$BP143)))"),-0.07824857200000002)</f>
        <v>-0.078248572</v>
      </c>
      <c r="CN143" s="207" t="str">
        <f>IFERROR(__xludf.DUMMYFUNCTION("IF(OR(CM143&gt;$BR143+$BS143*$BS$2,CM143&lt;$BR143-$BS143*$BS$2),AVEDEV(ARRAYFORMULA(XLOOKUP(FILTER(INDIRECT(""'""&amp;CM$1&amp;""'!$C$4:$C$66""),INDIRECT(""'""&amp;CM$1&amp;""'!$D$4:$D$66"")=CM$2),$F$3:$BP$3,$F143:$BP143))),"""")"),"")</f>
        <v/>
      </c>
      <c r="CO143" s="252"/>
      <c r="CP143" s="251">
        <f>IFERROR(__xludf.DUMMYFUNCTION("AVERAGE(ARRAYFORMULA(XLOOKUP(FILTER(INDIRECT(""'""&amp;CP$1&amp;""'!$C$4:$C$66""),INDIRECT(""'""&amp;CP$1&amp;""'!$D$4:$D$66"")=CP$2),$F$3:$BP$3,$F143:$BP143)))"),0.6035310714285714)</f>
        <v>0.6035310714</v>
      </c>
      <c r="CQ143" s="207" t="str">
        <f>IFERROR(__xludf.DUMMYFUNCTION("IF(OR(CP143&gt;$BR143+$BS143*$BS$2,CP143&lt;$BR143-$BS143*$BS$2),AVEDEV(ARRAYFORMULA(XLOOKUP(FILTER(INDIRECT(""'""&amp;CP$1&amp;""'!$C$4:$C$66""),INDIRECT(""'""&amp;CP$1&amp;""'!$D$4:$D$66"")=CP$2),$F$3:$BP$3,$F143:$BP143))),"""")"),"")</f>
        <v/>
      </c>
      <c r="CR143" s="251">
        <f>IFERROR(__xludf.DUMMYFUNCTION("AVERAGE(ARRAYFORMULA(XLOOKUP(FILTER(INDIRECT(""'""&amp;CR$1&amp;""'!$C$4:$C$66""),INDIRECT(""'""&amp;CR$1&amp;""'!$D$4:$D$66"")=CR$2),$F$3:$BP$3,$F143:$BP143)))"),-0.13480854444444446)</f>
        <v>-0.1348085444</v>
      </c>
      <c r="CS143" s="207" t="str">
        <f>IFERROR(__xludf.DUMMYFUNCTION("IF(OR(CR143&gt;$BR143+$BS143*$BS$2,CR143&lt;$BR143-$BS143*$BS$2),AVEDEV(ARRAYFORMULA(XLOOKUP(FILTER(INDIRECT(""'""&amp;CR$1&amp;""'!$C$4:$C$66""),INDIRECT(""'""&amp;CR$1&amp;""'!$D$4:$D$66"")=CR$2),$F$3:$BP$3,$F143:$BP143))),"""")"),"")</f>
        <v/>
      </c>
      <c r="CT143" s="251">
        <f>IFERROR(__xludf.DUMMYFUNCTION("AVERAGE(ARRAYFORMULA(XLOOKUP(FILTER(INDIRECT(""'""&amp;CT$1&amp;""'!$C$4:$C$66""),INDIRECT(""'""&amp;CT$1&amp;""'!$D$4:$D$66"")=CT$2),$F$3:$BP$3,$F143:$BP143)))"),-0.27191190454545455)</f>
        <v>-0.2719119045</v>
      </c>
      <c r="CU143" s="207" t="str">
        <f>IFERROR(__xludf.DUMMYFUNCTION("IF(OR(CT143&gt;$BR143+$BS143*$BS$2,CT143&lt;$BR143-$BS143*$BS$2),AVEDEV(ARRAYFORMULA(XLOOKUP(FILTER(INDIRECT(""'""&amp;CT$1&amp;""'!$C$4:$C$66""),INDIRECT(""'""&amp;CT$1&amp;""'!$D$4:$D$66"")=CT$2),$F$3:$BP$3,$F143:$BP143))),"""")"),"")</f>
        <v/>
      </c>
      <c r="CV143" s="251">
        <f>IFERROR(__xludf.DUMMYFUNCTION("AVERAGE(ARRAYFORMULA(XLOOKUP(FILTER(INDIRECT(""'""&amp;CV$1&amp;""'!$C$4:$C$66""),INDIRECT(""'""&amp;CV$1&amp;""'!$D$4:$D$66"")=CV$2),$F$3:$BP$3,$F143:$BP143)))"),1.88594633)</f>
        <v>1.88594633</v>
      </c>
      <c r="CW143" s="207">
        <f>IFERROR(__xludf.DUMMYFUNCTION("IF(OR(CV143&gt;$BR143+$BS143*$BS$2,CV143&lt;$BR143-$BS143*$BS$2),AVEDEV(ARRAYFORMULA(XLOOKUP(FILTER(INDIRECT(""'""&amp;CV$1&amp;""'!$C$4:$C$66""),INDIRECT(""'""&amp;CV$1&amp;""'!$D$4:$D$66"")=CV$2),$F$3:$BP$3,$F143:$BP143))),"""")"),0.31532485999999993)</f>
        <v>0.31532486</v>
      </c>
      <c r="CX143" s="251">
        <f>IFERROR(__xludf.DUMMYFUNCTION("AVERAGE(ARRAYFORMULA(XLOOKUP(FILTER(INDIRECT(""'""&amp;CX$1&amp;""'!$C$4:$C$66""),INDIRECT(""'""&amp;CX$1&amp;""'!$D$4:$D$66"")=CX$2),$F$3:$BP$3,$F143:$BP143)))"),0.03918482142857139)</f>
        <v>0.03918482143</v>
      </c>
      <c r="CY143" s="207" t="str">
        <f>IFERROR(__xludf.DUMMYFUNCTION("IF(OR(CX143&gt;$BR143+$BS143*$BS$2,CX143&lt;$BR143-$BS143*$BS$2),AVEDEV(ARRAYFORMULA(XLOOKUP(FILTER(INDIRECT(""'""&amp;CX$1&amp;""'!$C$4:$C$66""),INDIRECT(""'""&amp;CX$1&amp;""'!$D$4:$D$66"")=CX$2),$F$3:$BP$3,$F143:$BP143))),"""")"),"")</f>
        <v/>
      </c>
      <c r="CZ143" s="252"/>
      <c r="DA143" s="251">
        <f>IFERROR(__xludf.DUMMYFUNCTION("AVERAGE(ARRAYFORMULA(XLOOKUP(FILTER(INDIRECT(""'""&amp;DA$1&amp;""'!$C$4:$C$66""),INDIRECT(""'""&amp;DA$1&amp;""'!$D$4:$D$66"")=DA$2),$F$3:$BP$3,$F143:$BP143)))"),0.31766007333333335)</f>
        <v>0.3176600733</v>
      </c>
      <c r="DB143" s="207" t="str">
        <f>IFERROR(__xludf.DUMMYFUNCTION("IF(OR(DA143&gt;$BR143+$BS143*$BS$2,DA143&lt;$BR143-$BS143*$BS$2),AVEDEV(ARRAYFORMULA(XLOOKUP(FILTER(INDIRECT(""'""&amp;DA$1&amp;""'!$C$4:$C$66""),INDIRECT(""'""&amp;DA$1&amp;""'!$D$4:$D$66"")=DA$2),$F$3:$BP$3,$F143:$BP143))),"""")"),"")</f>
        <v/>
      </c>
      <c r="DC143" s="251">
        <f>IFERROR(__xludf.DUMMYFUNCTION("AVERAGE(ARRAYFORMULA(XLOOKUP(FILTER(INDIRECT(""'""&amp;DC$1&amp;""'!$C$4:$C$66""),INDIRECT(""'""&amp;DC$1&amp;""'!$D$4:$D$66"")=DC$2),$F$3:$BP$3,$F143:$BP143)))"),-0.1401679188888889)</f>
        <v>-0.1401679189</v>
      </c>
      <c r="DD143" s="207" t="str">
        <f>IFERROR(__xludf.DUMMYFUNCTION("IF(OR(DC143&gt;$BR143+$BS143*$BS$2,DC143&lt;$BR143-$BS143*$BS$2),AVEDEV(ARRAYFORMULA(XLOOKUP(FILTER(INDIRECT(""'""&amp;DC$1&amp;""'!$C$4:$C$66""),INDIRECT(""'""&amp;DC$1&amp;""'!$D$4:$D$66"")=DC$2),$F$3:$BP$3,$F143:$BP143))),"""")"),"")</f>
        <v/>
      </c>
      <c r="DE143" s="251">
        <f>IFERROR(__xludf.DUMMYFUNCTION("AVERAGE(ARRAYFORMULA(XLOOKUP(FILTER(INDIRECT(""'""&amp;DE$1&amp;""'!$C$4:$C$66""),INDIRECT(""'""&amp;DE$1&amp;""'!$D$4:$D$66"")=DE$2),$F$3:$BP$3,$F143:$BP143)))"),-0.6934322125000001)</f>
        <v>-0.6934322125</v>
      </c>
      <c r="DF143" s="207">
        <f>IFERROR(__xludf.DUMMYFUNCTION("IF(OR(DE143&gt;$BR143+$BS143*$BS$2,DE143&lt;$BR143-$BS143*$BS$2),AVEDEV(ARRAYFORMULA(XLOOKUP(FILTER(INDIRECT(""'""&amp;DE$1&amp;""'!$C$4:$C$66""),INDIRECT(""'""&amp;DE$1&amp;""'!$D$4:$D$66"")=DE$2),$F$3:$BP$3,$F143:$BP143))),"""")"),0.2615819125)</f>
        <v>0.2615819125</v>
      </c>
      <c r="DG143" s="251">
        <f>IFERROR(__xludf.DUMMYFUNCTION("AVERAGE(ARRAYFORMULA(XLOOKUP(FILTER(INDIRECT(""'""&amp;DG$1&amp;""'!$C$4:$C$66""),INDIRECT(""'""&amp;DG$1&amp;""'!$D$4:$D$66"")=DG$2),$F$3:$BP$3,$F143:$BP143)))"),0.35671689444444443)</f>
        <v>0.3567168944</v>
      </c>
      <c r="DH143" s="207" t="str">
        <f>IFERROR(__xludf.DUMMYFUNCTION("IF(OR(DG143&gt;$BR143+$BS143*$BS$2,DG143&lt;$BR143-$BS143*$BS$2),AVEDEV(ARRAYFORMULA(XLOOKUP(FILTER(INDIRECT(""'""&amp;DG$1&amp;""'!$C$4:$C$66""),INDIRECT(""'""&amp;DG$1&amp;""'!$D$4:$D$66"")=DG$2),$F$3:$BP$3,$F143:$BP143))),"""")"),"")</f>
        <v/>
      </c>
      <c r="DI143" s="252"/>
    </row>
    <row r="144">
      <c r="A144" s="2"/>
      <c r="B144" s="204" t="s">
        <v>540</v>
      </c>
      <c r="C144" s="204" t="s">
        <v>587</v>
      </c>
      <c r="D144" s="205" t="b">
        <f>VLOOKUP(C144,'Feature Set List'!A141:C246,2,0)</f>
        <v>1</v>
      </c>
      <c r="E144" s="205" t="b">
        <f>VLOOKUP(C144,'Feature Set List'!A141:C246,3,0)</f>
        <v>0</v>
      </c>
      <c r="F144" s="205">
        <v>0.56994819</v>
      </c>
      <c r="G144" s="205">
        <v>-0.0325685</v>
      </c>
      <c r="H144" s="205">
        <v>-1.2088823</v>
      </c>
      <c r="I144" s="205">
        <v>-0.0088823</v>
      </c>
      <c r="J144" s="205">
        <v>-0.6478164</v>
      </c>
      <c r="K144" s="205">
        <v>0.12139156</v>
      </c>
      <c r="L144" s="205">
        <v>1.00370096</v>
      </c>
      <c r="M144" s="205">
        <v>0.32124352</v>
      </c>
      <c r="N144" s="205">
        <v>-0.5772021</v>
      </c>
      <c r="O144" s="205">
        <v>0.96965211</v>
      </c>
      <c r="P144" s="205">
        <v>-0.4728349</v>
      </c>
      <c r="Q144" s="205">
        <v>-0.3850481</v>
      </c>
      <c r="R144" s="205">
        <v>0.13323464</v>
      </c>
      <c r="S144" s="205">
        <v>0.16284234</v>
      </c>
      <c r="T144" s="205">
        <v>-0.6478164</v>
      </c>
      <c r="U144" s="205">
        <v>-0.3906736</v>
      </c>
      <c r="V144" s="205">
        <v>0.41598816</v>
      </c>
      <c r="W144" s="205">
        <v>1.89045152</v>
      </c>
      <c r="X144" s="205">
        <v>0.23834197</v>
      </c>
      <c r="Y144" s="205">
        <v>1.24352332</v>
      </c>
      <c r="Z144" s="205">
        <v>0.0</v>
      </c>
      <c r="AA144" s="205">
        <v>-0.9082161</v>
      </c>
      <c r="AB144" s="205">
        <v>0.8527017</v>
      </c>
      <c r="AC144" s="205">
        <v>0.99481865</v>
      </c>
      <c r="AD144" s="205">
        <v>0.55070318</v>
      </c>
      <c r="AE144" s="205">
        <v>-0.1554404</v>
      </c>
      <c r="AF144" s="205">
        <v>0.75203553</v>
      </c>
      <c r="AG144" s="205">
        <v>0.02516654</v>
      </c>
      <c r="AH144" s="205">
        <v>0.05773501</v>
      </c>
      <c r="AI144" s="205">
        <v>-0.2013323</v>
      </c>
      <c r="AJ144" s="205">
        <v>-0.63849</v>
      </c>
      <c r="AK144" s="205">
        <v>-0.3096965</v>
      </c>
      <c r="AL144" s="205">
        <v>-0.0532939</v>
      </c>
      <c r="AM144" s="205">
        <v>-0.3252406</v>
      </c>
      <c r="AN144" s="205">
        <v>-0.4553664</v>
      </c>
      <c r="AO144" s="205">
        <v>-1.0749075</v>
      </c>
      <c r="AP144" s="205">
        <v>0.45003701</v>
      </c>
      <c r="AQ144" s="205">
        <v>-0.0651369</v>
      </c>
      <c r="AR144" s="205">
        <v>-0.6504811</v>
      </c>
      <c r="AS144" s="205">
        <v>-0.7541081</v>
      </c>
      <c r="AT144" s="205">
        <v>-1.7794226</v>
      </c>
      <c r="AU144" s="205">
        <v>0.58919319</v>
      </c>
      <c r="AV144" s="205">
        <v>1.34566987</v>
      </c>
      <c r="AW144" s="205">
        <v>-0.7185788</v>
      </c>
      <c r="AX144" s="205">
        <v>0.70466321</v>
      </c>
      <c r="AY144" s="205">
        <v>-0.3582531</v>
      </c>
      <c r="AZ144" s="205">
        <v>0.73871207</v>
      </c>
      <c r="BA144" s="205">
        <v>2.17172465</v>
      </c>
      <c r="BB144" s="205">
        <v>0.02072539</v>
      </c>
      <c r="BC144" s="205">
        <v>-0.6984456</v>
      </c>
      <c r="BD144" s="205">
        <v>-0.0148038</v>
      </c>
      <c r="BE144" s="205">
        <v>0.28867506</v>
      </c>
      <c r="BF144" s="205">
        <v>0.25018505</v>
      </c>
      <c r="BG144" s="205">
        <v>0.83197631</v>
      </c>
      <c r="BH144" s="205">
        <v>-0.4852702</v>
      </c>
      <c r="BI144" s="205">
        <v>-0.3125093</v>
      </c>
      <c r="BJ144" s="205">
        <v>-0.6361214</v>
      </c>
      <c r="BK144" s="205">
        <v>-1.4552184</v>
      </c>
      <c r="BL144" s="205">
        <v>0.52109548</v>
      </c>
      <c r="BM144" s="205">
        <v>-0.1228719</v>
      </c>
      <c r="BN144" s="205">
        <v>1.22279793</v>
      </c>
      <c r="BO144" s="205">
        <v>0.10066617</v>
      </c>
      <c r="BP144" s="205">
        <v>0.00444115</v>
      </c>
      <c r="BQ144" s="206"/>
      <c r="BR144" s="250">
        <f t="shared" si="1"/>
        <v>0.04760495143</v>
      </c>
      <c r="BS144" s="250">
        <f t="shared" si="2"/>
        <v>0.5765323721</v>
      </c>
      <c r="BT144" s="206"/>
      <c r="BU144" s="207">
        <f>IFERROR(__xludf.DUMMYFUNCTION("AVERAGE(ARRAYFORMULA(XLOOKUP(FILTER(INDIRECT(""'""&amp;BU$1&amp;""'!$C$4:$C$66""),INDIRECT(""'""&amp;BU$1&amp;""'!$D$4:$D$66"")=BU$2),$F$3:$BP$3,$F144:$BP144)))"),0.31337634000000003)</f>
        <v>0.31337634</v>
      </c>
      <c r="BV144" s="207" t="str">
        <f>IFERROR(__xludf.DUMMYFUNCTION("IF(OR(BU144&gt;$BR144+$BS144*$BS$2,BU144&lt;$BR144-$BS144*$BS$2),AVEDEV(ARRAYFORMULA(XLOOKUP(FILTER(INDIRECT(""'""&amp;BU$1&amp;""'!$C$4:$C$66""),INDIRECT(""'""&amp;BU$1&amp;""'!$D$4:$D$66"")=BU$2),$F$3:$BP$3,$F144:$BP144))),"""")"),"")</f>
        <v/>
      </c>
      <c r="BW144" s="207">
        <f>IFERROR(__xludf.DUMMYFUNCTION("AVERAGE(ARRAYFORMULA(XLOOKUP(FILTER(INDIRECT(""'""&amp;BW$1&amp;""'!$C$4:$C$66""),INDIRECT(""'""&amp;BW$1&amp;""'!$D$4:$D$66"")=BW$2),$F$3:$BP$3,$F144:$BP144)))"),0.006291636190476214)</f>
        <v>0.00629163619</v>
      </c>
      <c r="BX144" s="207" t="str">
        <f>IFERROR(__xludf.DUMMYFUNCTION("IF(OR(BW144&gt;$BR144+$BS144*$BS$2,BW144&lt;$BR144-$BS144*$BS$2),AVEDEV(ARRAYFORMULA(XLOOKUP(FILTER(INDIRECT(""'""&amp;BW$1&amp;""'!$C$4:$C$66""),INDIRECT(""'""&amp;BW$1&amp;""'!$D$4:$D$66"")=BW$2),$F$3:$BP$3,$F144:$BP144))),"""")"),"")</f>
        <v/>
      </c>
      <c r="BY144" s="207">
        <f>IFERROR(__xludf.DUMMYFUNCTION("AVERAGE(ARRAYFORMULA(XLOOKUP(FILTER(INDIRECT(""'""&amp;BY$1&amp;""'!$C$4:$C$66""),INDIRECT(""'""&amp;BY$1&amp;""'!$D$4:$D$66"")=BY$2),$F$3:$BP$3,$F144:$BP144)))"),0.38436175818181817)</f>
        <v>0.3843617582</v>
      </c>
      <c r="BZ144" s="207" t="str">
        <f>IFERROR(__xludf.DUMMYFUNCTION("IF(OR(BY144&gt;$BR144+$BS144*$BS$2,BY144&lt;$BR144-$BS144*$BS$2),AVEDEV(ARRAYFORMULA(XLOOKUP(FILTER(INDIRECT(""'""&amp;BY$1&amp;""'!$C$4:$C$66""),INDIRECT(""'""&amp;BY$1&amp;""'!$D$4:$D$66"")=BY$2),$F$3:$BP$3,$F144:$BP144))),"""")"),"")</f>
        <v/>
      </c>
      <c r="CA144" s="209"/>
      <c r="CB144" s="207">
        <f>IFERROR(__xludf.DUMMYFUNCTION("AVERAGE(ARRAYFORMULA(XLOOKUP(FILTER(INDIRECT(""'""&amp;CB$1&amp;""'!$C$4:$C$66""),INDIRECT(""'""&amp;CB$1&amp;""'!$D$4:$D$66"")=CB$2),$F$3:$BP$3,$F144:$BP144)))"),0.108910064375)</f>
        <v>0.1089100644</v>
      </c>
      <c r="CC144" s="207" t="str">
        <f>IFERROR(__xludf.DUMMYFUNCTION("IF(OR(CB144&gt;$BR144+$BS144*$BS$2,CB144&lt;$BR144-$BS144*$BS$2),AVEDEV(ARRAYFORMULA(XLOOKUP(FILTER(INDIRECT(""'""&amp;CB$1&amp;""'!$C$4:$C$66""),INDIRECT(""'""&amp;CB$1&amp;""'!$D$4:$D$66"")=CB$2),$F$3:$BP$3,$F144:$BP144))),"""")"),"")</f>
        <v/>
      </c>
      <c r="CD144" s="207">
        <f>IFERROR(__xludf.DUMMYFUNCTION("AVERAGE(ARRAYFORMULA(XLOOKUP(FILTER(INDIRECT(""'""&amp;CD$1&amp;""'!$C$4:$C$66""),INDIRECT(""'""&amp;CD$1&amp;""'!$D$4:$D$66"")=CD$2),$F$3:$BP$3,$F144:$BP144)))"),0.06330317161290322)</f>
        <v>0.06330317161</v>
      </c>
      <c r="CE144" s="207" t="str">
        <f>IFERROR(__xludf.DUMMYFUNCTION("IF(OR(CD144&gt;$BR144+$BS144*$BS$2,CD144&lt;$BR144-$BS144*$BS$2),AVEDEV(ARRAYFORMULA(XLOOKUP(FILTER(INDIRECT(""'""&amp;CD$1&amp;""'!$C$4:$C$66""),INDIRECT(""'""&amp;CD$1&amp;""'!$D$4:$D$66"")=CD$2),$F$3:$BP$3,$F144:$BP144))),"""")"),"")</f>
        <v/>
      </c>
      <c r="CF144" s="207">
        <f>IFERROR(__xludf.DUMMYFUNCTION("AVERAGE(ARRAYFORMULA(XLOOKUP(FILTER(INDIRECT(""'""&amp;CF$1&amp;""'!$C$4:$C$66""),INDIRECT(""'""&amp;CF$1&amp;""'!$D$4:$D$66"")=CF$2),$F$3:$BP$3,$F144:$BP144)))"),0.294182094)</f>
        <v>0.294182094</v>
      </c>
      <c r="CG144" s="207" t="str">
        <f>IFERROR(__xludf.DUMMYFUNCTION("IF(OR(CF144&gt;$BR144+$BS144*$BS$2,CF144&lt;$BR144-$BS144*$BS$2),AVEDEV(ARRAYFORMULA(XLOOKUP(FILTER(INDIRECT(""'""&amp;CF$1&amp;""'!$C$4:$C$66""),INDIRECT(""'""&amp;CF$1&amp;""'!$D$4:$D$66"")=CF$2),$F$3:$BP$3,$F144:$BP144))),"""")"),"")</f>
        <v/>
      </c>
      <c r="CH144" s="206"/>
      <c r="CI144" s="251">
        <f>IFERROR(__xludf.DUMMYFUNCTION("AVERAGE(ARRAYFORMULA(XLOOKUP(FILTER(INDIRECT(""'""&amp;CI$1&amp;""'!$C$4:$C$66""),INDIRECT(""'""&amp;CI$1&amp;""'!$D$4:$D$66"")=CI$2),$F$3:$BP$3,$F144:$BP144)))"),0.402615352)</f>
        <v>0.402615352</v>
      </c>
      <c r="CJ144" s="207" t="str">
        <f>IFERROR(__xludf.DUMMYFUNCTION("IF(OR(CI144&gt;$BR144+$BS144*$BS$2,CI144&lt;$BR144-$BS144*$BS$2),AVEDEV(ARRAYFORMULA(XLOOKUP(FILTER(INDIRECT(""'""&amp;CI$1&amp;""'!$C$4:$C$66""),INDIRECT(""'""&amp;CI$1&amp;""'!$D$4:$D$66"")=CI$2),$F$3:$BP$3,$F144:$BP144))),"""")"),"")</f>
        <v/>
      </c>
      <c r="CK144" s="251">
        <f>IFERROR(__xludf.DUMMYFUNCTION("AVERAGE(ARRAYFORMULA(XLOOKUP(FILTER(INDIRECT(""'""&amp;CK$1&amp;""'!$C$4:$C$66""),INDIRECT(""'""&amp;CK$1&amp;""'!$D$4:$D$66"")=CK$2),$F$3:$BP$3,$F144:$BP144)))"),0.016177951025641023)</f>
        <v>0.01617795103</v>
      </c>
      <c r="CL144" s="207" t="str">
        <f>IFERROR(__xludf.DUMMYFUNCTION("IF(OR(CK144&gt;$BR144+$BS144*$BS$2,CK144&lt;$BR144-$BS144*$BS$2),AVEDEV(ARRAYFORMULA(XLOOKUP(FILTER(INDIRECT(""'""&amp;CK$1&amp;""'!$C$4:$C$66""),INDIRECT(""'""&amp;CK$1&amp;""'!$D$4:$D$66"")=CK$2),$F$3:$BP$3,$F144:$BP144))),"""")"),"")</f>
        <v/>
      </c>
      <c r="CM144" s="253">
        <f>IFERROR(__xludf.DUMMYFUNCTION("AVERAGE(ARRAYFORMULA(XLOOKUP(FILTER(INDIRECT(""'""&amp;CM$1&amp;""'!$C$4:$C$66""),INDIRECT(""'""&amp;CM$1&amp;""'!$D$4:$D$66"")=CM$2),$F$3:$BP$3,$F144:$BP144)))"),0.294182094)</f>
        <v>0.294182094</v>
      </c>
      <c r="CN144" s="207" t="str">
        <f>IFERROR(__xludf.DUMMYFUNCTION("IF(OR(CM144&gt;$BR144+$BS144*$BS$2,CM144&lt;$BR144-$BS144*$BS$2),AVEDEV(ARRAYFORMULA(XLOOKUP(FILTER(INDIRECT(""'""&amp;CM$1&amp;""'!$C$4:$C$66""),INDIRECT(""'""&amp;CM$1&amp;""'!$D$4:$D$66"")=CM$2),$F$3:$BP$3,$F144:$BP144))),"""")"),"")</f>
        <v/>
      </c>
      <c r="CO144" s="252"/>
      <c r="CP144" s="251">
        <f>IFERROR(__xludf.DUMMYFUNCTION("AVERAGE(ARRAYFORMULA(XLOOKUP(FILTER(INDIRECT(""'""&amp;CP$1&amp;""'!$C$4:$C$66""),INDIRECT(""'""&amp;CP$1&amp;""'!$D$4:$D$66"")=CP$2),$F$3:$BP$3,$F144:$BP144)))"),0.04819709857142857)</f>
        <v>0.04819709857</v>
      </c>
      <c r="CQ144" s="207" t="str">
        <f>IFERROR(__xludf.DUMMYFUNCTION("IF(OR(CP144&gt;$BR144+$BS144*$BS$2,CP144&lt;$BR144-$BS144*$BS$2),AVEDEV(ARRAYFORMULA(XLOOKUP(FILTER(INDIRECT(""'""&amp;CP$1&amp;""'!$C$4:$C$66""),INDIRECT(""'""&amp;CP$1&amp;""'!$D$4:$D$66"")=CP$2),$F$3:$BP$3,$F144:$BP144))),"""")"),"")</f>
        <v/>
      </c>
      <c r="CR144" s="251">
        <f>IFERROR(__xludf.DUMMYFUNCTION("AVERAGE(ARRAYFORMULA(XLOOKUP(FILTER(INDIRECT(""'""&amp;CR$1&amp;""'!$C$4:$C$66""),INDIRECT(""'""&amp;CR$1&amp;""'!$D$4:$D$66"")=CR$2),$F$3:$BP$3,$F144:$BP144)))"),0.45168188444444446)</f>
        <v>0.4516818844</v>
      </c>
      <c r="CS144" s="207" t="str">
        <f>IFERROR(__xludf.DUMMYFUNCTION("IF(OR(CR144&gt;$BR144+$BS144*$BS$2,CR144&lt;$BR144-$BS144*$BS$2),AVEDEV(ARRAYFORMULA(XLOOKUP(FILTER(INDIRECT(""'""&amp;CR$1&amp;""'!$C$4:$C$66""),INDIRECT(""'""&amp;CR$1&amp;""'!$D$4:$D$66"")=CR$2),$F$3:$BP$3,$F144:$BP144))),"""")"),"")</f>
        <v/>
      </c>
      <c r="CT144" s="251">
        <f>IFERROR(__xludf.DUMMYFUNCTION("AVERAGE(ARRAYFORMULA(XLOOKUP(FILTER(INDIRECT(""'""&amp;CT$1&amp;""'!$C$4:$C$66""),INDIRECT(""'""&amp;CT$1&amp;""'!$D$4:$D$66"")=CT$2),$F$3:$BP$3,$F144:$BP144)))"),0.0908552590909091)</f>
        <v>0.09085525909</v>
      </c>
      <c r="CU144" s="207" t="str">
        <f>IFERROR(__xludf.DUMMYFUNCTION("IF(OR(CT144&gt;$BR144+$BS144*$BS$2,CT144&lt;$BR144-$BS144*$BS$2),AVEDEV(ARRAYFORMULA(XLOOKUP(FILTER(INDIRECT(""'""&amp;CT$1&amp;""'!$C$4:$C$66""),INDIRECT(""'""&amp;CT$1&amp;""'!$D$4:$D$66"")=CT$2),$F$3:$BP$3,$F144:$BP144))),"""")"),"")</f>
        <v/>
      </c>
      <c r="CV144" s="251">
        <f>IFERROR(__xludf.DUMMYFUNCTION("AVERAGE(ARRAYFORMULA(XLOOKUP(FILTER(INDIRECT(""'""&amp;CV$1&amp;""'!$C$4:$C$66""),INDIRECT(""'""&amp;CV$1&amp;""'!$D$4:$D$66"")=CV$2),$F$3:$BP$3,$F144:$BP144)))"),0.91339748)</f>
        <v>0.91339748</v>
      </c>
      <c r="CW144" s="207">
        <f>IFERROR(__xludf.DUMMYFUNCTION("IF(OR(CV144&gt;$BR144+$BS144*$BS$2,CV144&lt;$BR144-$BS144*$BS$2),AVEDEV(ARRAYFORMULA(XLOOKUP(FILTER(INDIRECT(""'""&amp;CV$1&amp;""'!$C$4:$C$66""),INDIRECT(""'""&amp;CV$1&amp;""'!$D$4:$D$66"")=CV$2),$F$3:$BP$3,$F144:$BP144))),"""")"),0.08142116999999999)</f>
        <v>0.08142117</v>
      </c>
      <c r="CX144" s="253">
        <f>IFERROR(__xludf.DUMMYFUNCTION("AVERAGE(ARRAYFORMULA(XLOOKUP(FILTER(INDIRECT(""'""&amp;CX$1&amp;""'!$C$4:$C$66""),INDIRECT(""'""&amp;CX$1&amp;""'!$D$4:$D$66"")=CX$2),$F$3:$BP$3,$F144:$BP144)))"),-0.16404779071428569)</f>
        <v>-0.1640477907</v>
      </c>
      <c r="CY144" s="207" t="str">
        <f>IFERROR(__xludf.DUMMYFUNCTION("IF(OR(CX144&gt;$BR144+$BS144*$BS$2,CX144&lt;$BR144-$BS144*$BS$2),AVEDEV(ARRAYFORMULA(XLOOKUP(FILTER(INDIRECT(""'""&amp;CX$1&amp;""'!$C$4:$C$66""),INDIRECT(""'""&amp;CX$1&amp;""'!$D$4:$D$66"")=CX$2),$F$3:$BP$3,$F144:$BP144))),"""")"),"")</f>
        <v/>
      </c>
      <c r="CZ144" s="252"/>
      <c r="DA144" s="251">
        <f>IFERROR(__xludf.DUMMYFUNCTION("AVERAGE(ARRAYFORMULA(XLOOKUP(FILTER(INDIRECT(""'""&amp;DA$1&amp;""'!$C$4:$C$66""),INDIRECT(""'""&amp;DA$1&amp;""'!$D$4:$D$66"")=DA$2),$F$3:$BP$3,$F144:$BP144)))"),-0.021371824)</f>
        <v>-0.021371824</v>
      </c>
      <c r="DB144" s="207" t="str">
        <f>IFERROR(__xludf.DUMMYFUNCTION("IF(OR(DA144&gt;$BR144+$BS144*$BS$2,DA144&lt;$BR144-$BS144*$BS$2),AVEDEV(ARRAYFORMULA(XLOOKUP(FILTER(INDIRECT(""'""&amp;DA$1&amp;""'!$C$4:$C$66""),INDIRECT(""'""&amp;DA$1&amp;""'!$D$4:$D$66"")=DA$2),$F$3:$BP$3,$F144:$BP144))),"""")"),"")</f>
        <v/>
      </c>
      <c r="DC144" s="251">
        <f>IFERROR(__xludf.DUMMYFUNCTION("AVERAGE(ARRAYFORMULA(XLOOKUP(FILTER(INDIRECT(""'""&amp;DC$1&amp;""'!$C$4:$C$66""),INDIRECT(""'""&amp;DC$1&amp;""'!$D$4:$D$66"")=DC$2),$F$3:$BP$3,$F144:$BP144)))"),0.5658360066666667)</f>
        <v>0.5658360067</v>
      </c>
      <c r="DD144" s="207" t="str">
        <f>IFERROR(__xludf.DUMMYFUNCTION("IF(OR(DC144&gt;$BR144+$BS144*$BS$2,DC144&lt;$BR144-$BS144*$BS$2),AVEDEV(ARRAYFORMULA(XLOOKUP(FILTER(INDIRECT(""'""&amp;DC$1&amp;""'!$C$4:$C$66""),INDIRECT(""'""&amp;DC$1&amp;""'!$D$4:$D$66"")=DC$2),$F$3:$BP$3,$F144:$BP144))),"""")"),"")</f>
        <v/>
      </c>
      <c r="DE144" s="251">
        <f>IFERROR(__xludf.DUMMYFUNCTION("AVERAGE(ARRAYFORMULA(XLOOKUP(FILTER(INDIRECT(""'""&amp;DE$1&amp;""'!$C$4:$C$66""),INDIRECT(""'""&amp;DE$1&amp;""'!$D$4:$D$66"")=DE$2),$F$3:$BP$3,$F144:$BP144)))"),-0.16646926874999998)</f>
        <v>-0.1664692688</v>
      </c>
      <c r="DF144" s="207" t="str">
        <f>IFERROR(__xludf.DUMMYFUNCTION("IF(OR(DE144&gt;$BR144+$BS144*$BS$2,DE144&lt;$BR144-$BS144*$BS$2),AVEDEV(ARRAYFORMULA(XLOOKUP(FILTER(INDIRECT(""'""&amp;DE$1&amp;""'!$C$4:$C$66""),INDIRECT(""'""&amp;DE$1&amp;""'!$D$4:$D$66"")=DE$2),$F$3:$BP$3,$F144:$BP144))),"""")"),"")</f>
        <v/>
      </c>
      <c r="DG144" s="251">
        <f>IFERROR(__xludf.DUMMYFUNCTION("AVERAGE(ARRAYFORMULA(XLOOKUP(FILTER(INDIRECT(""'""&amp;DG$1&amp;""'!$C$4:$C$66""),INDIRECT(""'""&amp;DG$1&amp;""'!$D$4:$D$66"")=DG$2),$F$3:$BP$3,$F144:$BP144)))"),0.4057241588888889)</f>
        <v>0.4057241589</v>
      </c>
      <c r="DH144" s="207" t="str">
        <f>IFERROR(__xludf.DUMMYFUNCTION("IF(OR(DG144&gt;$BR144+$BS144*$BS$2,DG144&lt;$BR144-$BS144*$BS$2),AVEDEV(ARRAYFORMULA(XLOOKUP(FILTER(INDIRECT(""'""&amp;DG$1&amp;""'!$C$4:$C$66""),INDIRECT(""'""&amp;DG$1&amp;""'!$D$4:$D$66"")=DG$2),$F$3:$BP$3,$F144:$BP144))),"""")"),"")</f>
        <v/>
      </c>
      <c r="DI144" s="252"/>
    </row>
    <row r="145">
      <c r="A145" s="2"/>
      <c r="B145" s="204" t="s">
        <v>540</v>
      </c>
      <c r="C145" s="204" t="s">
        <v>588</v>
      </c>
      <c r="D145" s="205" t="b">
        <f>VLOOKUP(C145,'Feature Set List'!A142:C246,2,0)</f>
        <v>1</v>
      </c>
      <c r="E145" s="205" t="b">
        <f>VLOOKUP(C145,'Feature Set List'!A142:C246,3,0)</f>
        <v>0</v>
      </c>
      <c r="F145" s="205">
        <v>0.5</v>
      </c>
      <c r="G145" s="205">
        <v>0.5</v>
      </c>
      <c r="H145" s="205">
        <v>0.0</v>
      </c>
      <c r="I145" s="205">
        <v>0.5</v>
      </c>
      <c r="J145" s="205">
        <v>-0.75</v>
      </c>
      <c r="K145" s="205">
        <v>-0.75</v>
      </c>
      <c r="L145" s="205">
        <v>-0.5</v>
      </c>
      <c r="M145" s="205">
        <v>0.5</v>
      </c>
      <c r="N145" s="205">
        <v>-0.5</v>
      </c>
      <c r="O145" s="205">
        <v>-0.5</v>
      </c>
      <c r="P145" s="205">
        <v>0.5</v>
      </c>
      <c r="Q145" s="205">
        <v>-0.25</v>
      </c>
      <c r="R145" s="205">
        <v>0.0</v>
      </c>
      <c r="S145" s="205">
        <v>-0.25</v>
      </c>
      <c r="T145" s="205">
        <v>0.25</v>
      </c>
      <c r="U145" s="205">
        <v>0.5</v>
      </c>
      <c r="V145" s="205">
        <v>-0.75</v>
      </c>
      <c r="W145" s="205">
        <v>0.5</v>
      </c>
      <c r="X145" s="205">
        <v>-0.75</v>
      </c>
      <c r="Y145" s="205">
        <v>0.5</v>
      </c>
      <c r="Z145" s="205">
        <v>0.0</v>
      </c>
      <c r="AA145" s="205">
        <v>-0.25</v>
      </c>
      <c r="AB145" s="205">
        <v>-0.25</v>
      </c>
      <c r="AC145" s="205">
        <v>0.5</v>
      </c>
      <c r="AD145" s="205">
        <v>0.5</v>
      </c>
      <c r="AE145" s="205">
        <v>-0.75</v>
      </c>
      <c r="AF145" s="205">
        <v>0.5</v>
      </c>
      <c r="AG145" s="205">
        <v>0.0</v>
      </c>
      <c r="AH145" s="205">
        <v>-0.5</v>
      </c>
      <c r="AI145" s="205">
        <v>-0.5</v>
      </c>
      <c r="AJ145" s="205">
        <v>0.5</v>
      </c>
      <c r="AK145" s="205">
        <v>0.25</v>
      </c>
      <c r="AL145" s="205">
        <v>0.0</v>
      </c>
      <c r="AM145" s="205">
        <v>0.25</v>
      </c>
      <c r="AN145" s="205">
        <v>0.0</v>
      </c>
      <c r="AO145" s="205">
        <v>0.5</v>
      </c>
      <c r="AP145" s="205">
        <v>0.5</v>
      </c>
      <c r="AQ145" s="205">
        <v>0.5</v>
      </c>
      <c r="AR145" s="205">
        <v>-0.75</v>
      </c>
      <c r="AS145" s="205">
        <v>0.0</v>
      </c>
      <c r="AT145" s="205">
        <v>-0.5</v>
      </c>
      <c r="AU145" s="205">
        <v>0.5</v>
      </c>
      <c r="AV145" s="205">
        <v>0.5</v>
      </c>
      <c r="AW145" s="205">
        <v>0.5</v>
      </c>
      <c r="AX145" s="205">
        <v>0.5</v>
      </c>
      <c r="AY145" s="205">
        <v>0.25</v>
      </c>
      <c r="AZ145" s="205">
        <v>-0.5</v>
      </c>
      <c r="BA145" s="205">
        <v>0.0</v>
      </c>
      <c r="BB145" s="205">
        <v>0.5</v>
      </c>
      <c r="BC145" s="205">
        <v>-0.75</v>
      </c>
      <c r="BD145" s="205">
        <v>0.5</v>
      </c>
      <c r="BE145" s="205">
        <v>-0.25</v>
      </c>
      <c r="BF145" s="205">
        <v>-0.75</v>
      </c>
      <c r="BG145" s="205">
        <v>0.5</v>
      </c>
      <c r="BH145" s="205">
        <v>-0.5</v>
      </c>
      <c r="BI145" s="205">
        <v>0.5</v>
      </c>
      <c r="BJ145" s="205">
        <v>-0.25</v>
      </c>
      <c r="BK145" s="205">
        <v>-0.5</v>
      </c>
      <c r="BL145" s="205">
        <v>-0.5</v>
      </c>
      <c r="BM145" s="205">
        <v>-0.75</v>
      </c>
      <c r="BN145" s="205">
        <v>-0.5</v>
      </c>
      <c r="BO145" s="205">
        <v>-0.5</v>
      </c>
      <c r="BP145" s="205">
        <v>-0.75</v>
      </c>
      <c r="BQ145" s="206"/>
      <c r="BR145" s="250">
        <f t="shared" si="1"/>
        <v>-0.03968253968</v>
      </c>
      <c r="BS145" s="250">
        <f t="shared" si="2"/>
        <v>0.4409171076</v>
      </c>
      <c r="BT145" s="206"/>
      <c r="BU145" s="207">
        <f>IFERROR(__xludf.DUMMYFUNCTION("AVERAGE(ARRAYFORMULA(XLOOKUP(FILTER(INDIRECT(""'""&amp;BU$1&amp;""'!$C$4:$C$66""),INDIRECT(""'""&amp;BU$1&amp;""'!$D$4:$D$66"")=BU$2),$F$3:$BP$3,$F145:$BP145)))"),0.17857142857142858)</f>
        <v>0.1785714286</v>
      </c>
      <c r="BV145" s="207" t="str">
        <f>IFERROR(__xludf.DUMMYFUNCTION("IF(OR(BU145&gt;$BR145+$BS145*$BS$2,BU145&lt;$BR145-$BS145*$BS$2),AVEDEV(ARRAYFORMULA(XLOOKUP(FILTER(INDIRECT(""'""&amp;BU$1&amp;""'!$C$4:$C$66""),INDIRECT(""'""&amp;BU$1&amp;""'!$D$4:$D$66"")=BU$2),$F$3:$BP$3,$F145:$BP145))),"""")"),"")</f>
        <v/>
      </c>
      <c r="BW145" s="207">
        <f>IFERROR(__xludf.DUMMYFUNCTION("AVERAGE(ARRAYFORMULA(XLOOKUP(FILTER(INDIRECT(""'""&amp;BW$1&amp;""'!$C$4:$C$66""),INDIRECT(""'""&amp;BW$1&amp;""'!$D$4:$D$66"")=BW$2),$F$3:$BP$3,$F145:$BP145)))"),0.047619047619047616)</f>
        <v>0.04761904762</v>
      </c>
      <c r="BX145" s="207" t="str">
        <f>IFERROR(__xludf.DUMMYFUNCTION("IF(OR(BW145&gt;$BR145+$BS145*$BS$2,BW145&lt;$BR145-$BS145*$BS$2),AVEDEV(ARRAYFORMULA(XLOOKUP(FILTER(INDIRECT(""'""&amp;BW$1&amp;""'!$C$4:$C$66""),INDIRECT(""'""&amp;BW$1&amp;""'!$D$4:$D$66"")=BW$2),$F$3:$BP$3,$F145:$BP145))),"""")"),"")</f>
        <v/>
      </c>
      <c r="BY145" s="207">
        <f>IFERROR(__xludf.DUMMYFUNCTION("AVERAGE(ARRAYFORMULA(XLOOKUP(FILTER(INDIRECT(""'""&amp;BY$1&amp;""'!$C$4:$C$66""),INDIRECT(""'""&amp;BY$1&amp;""'!$D$4:$D$66"")=BY$2),$F$3:$BP$3,$F145:$BP145)))"),-0.4090909090909091)</f>
        <v>-0.4090909091</v>
      </c>
      <c r="BZ145" s="207" t="str">
        <f>IFERROR(__xludf.DUMMYFUNCTION("IF(OR(BY145&gt;$BR145+$BS145*$BS$2,BY145&lt;$BR145-$BS145*$BS$2),AVEDEV(ARRAYFORMULA(XLOOKUP(FILTER(INDIRECT(""'""&amp;BY$1&amp;""'!$C$4:$C$66""),INDIRECT(""'""&amp;BY$1&amp;""'!$D$4:$D$66"")=BY$2),$F$3:$BP$3,$F145:$BP145))),"""")"),"")</f>
        <v/>
      </c>
      <c r="CA145" s="209"/>
      <c r="CB145" s="207">
        <f>IFERROR(__xludf.DUMMYFUNCTION("AVERAGE(ARRAYFORMULA(XLOOKUP(FILTER(INDIRECT(""'""&amp;CB$1&amp;""'!$C$4:$C$66""),INDIRECT(""'""&amp;CB$1&amp;""'!$D$4:$D$66"")=CB$2),$F$3:$BP$3,$F145:$BP145)))"),0.234375)</f>
        <v>0.234375</v>
      </c>
      <c r="CC145" s="207" t="str">
        <f>IFERROR(__xludf.DUMMYFUNCTION("IF(OR(CB145&gt;$BR145+$BS145*$BS$2,CB145&lt;$BR145-$BS145*$BS$2),AVEDEV(ARRAYFORMULA(XLOOKUP(FILTER(INDIRECT(""'""&amp;CB$1&amp;""'!$C$4:$C$66""),INDIRECT(""'""&amp;CB$1&amp;""'!$D$4:$D$66"")=CB$2),$F$3:$BP$3,$F145:$BP145))),"""")"),"")</f>
        <v/>
      </c>
      <c r="CD145" s="207">
        <f>IFERROR(__xludf.DUMMYFUNCTION("AVERAGE(ARRAYFORMULA(XLOOKUP(FILTER(INDIRECT(""'""&amp;CD$1&amp;""'!$C$4:$C$66""),INDIRECT(""'""&amp;CD$1&amp;""'!$D$4:$D$66"")=CD$2),$F$3:$BP$3,$F145:$BP145)))"),-0.08870967741935484)</f>
        <v>-0.08870967742</v>
      </c>
      <c r="CE145" s="207" t="str">
        <f>IFERROR(__xludf.DUMMYFUNCTION("IF(OR(CD145&gt;$BR145+$BS145*$BS$2,CD145&lt;$BR145-$BS145*$BS$2),AVEDEV(ARRAYFORMULA(XLOOKUP(FILTER(INDIRECT(""'""&amp;CD$1&amp;""'!$C$4:$C$66""),INDIRECT(""'""&amp;CD$1&amp;""'!$D$4:$D$66"")=CD$2),$F$3:$BP$3,$F145:$BP145))),"""")"),"")</f>
        <v/>
      </c>
      <c r="CF145" s="207">
        <f>IFERROR(__xludf.DUMMYFUNCTION("AVERAGE(ARRAYFORMULA(XLOOKUP(FILTER(INDIRECT(""'""&amp;CF$1&amp;""'!$C$4:$C$66""),INDIRECT(""'""&amp;CF$1&amp;""'!$D$4:$D$66"")=CF$2),$F$3:$BP$3,$F145:$BP145)))"),-0.55)</f>
        <v>-0.55</v>
      </c>
      <c r="CG145" s="207">
        <f>IFERROR(__xludf.DUMMYFUNCTION("IF(OR(CF145&gt;$BR145+$BS145*$BS$2,CF145&lt;$BR145-$BS145*$BS$2),AVEDEV(ARRAYFORMULA(XLOOKUP(FILTER(INDIRECT(""'""&amp;CF$1&amp;""'!$C$4:$C$66""),INDIRECT(""'""&amp;CF$1&amp;""'!$D$4:$D$66"")=CF$2),$F$3:$BP$3,$F145:$BP145))),"""")"),0.16)</f>
        <v>0.16</v>
      </c>
      <c r="CH145" s="206"/>
      <c r="CI145" s="251">
        <f>IFERROR(__xludf.DUMMYFUNCTION("AVERAGE(ARRAYFORMULA(XLOOKUP(FILTER(INDIRECT(""'""&amp;CI$1&amp;""'!$C$4:$C$66""),INDIRECT(""'""&amp;CI$1&amp;""'!$D$4:$D$66"")=CI$2),$F$3:$BP$3,$F145:$BP145)))"),0.03333333333333333)</f>
        <v>0.03333333333</v>
      </c>
      <c r="CJ145" s="207" t="str">
        <f>IFERROR(__xludf.DUMMYFUNCTION("IF(OR(CI145&gt;$BR145+$BS145*$BS$2,CI145&lt;$BR145-$BS145*$BS$2),AVEDEV(ARRAYFORMULA(XLOOKUP(FILTER(INDIRECT(""'""&amp;CI$1&amp;""'!$C$4:$C$66""),INDIRECT(""'""&amp;CI$1&amp;""'!$D$4:$D$66"")=CI$2),$F$3:$BP$3,$F145:$BP145))),"""")"),"")</f>
        <v/>
      </c>
      <c r="CK145" s="251">
        <f>IFERROR(__xludf.DUMMYFUNCTION("AVERAGE(ARRAYFORMULA(XLOOKUP(FILTER(INDIRECT(""'""&amp;CK$1&amp;""'!$C$4:$C$66""),INDIRECT(""'""&amp;CK$1&amp;""'!$D$4:$D$66"")=CK$2),$F$3:$BP$3,$F145:$BP145)))"),0.038461538461538464)</f>
        <v>0.03846153846</v>
      </c>
      <c r="CL145" s="207" t="str">
        <f>IFERROR(__xludf.DUMMYFUNCTION("IF(OR(CK145&gt;$BR145+$BS145*$BS$2,CK145&lt;$BR145-$BS145*$BS$2),AVEDEV(ARRAYFORMULA(XLOOKUP(FILTER(INDIRECT(""'""&amp;CK$1&amp;""'!$C$4:$C$66""),INDIRECT(""'""&amp;CK$1&amp;""'!$D$4:$D$66"")=CK$2),$F$3:$BP$3,$F145:$BP145))),"""")"),"")</f>
        <v/>
      </c>
      <c r="CM145" s="251">
        <f>IFERROR(__xludf.DUMMYFUNCTION("AVERAGE(ARRAYFORMULA(XLOOKUP(FILTER(INDIRECT(""'""&amp;CM$1&amp;""'!$C$4:$C$66""),INDIRECT(""'""&amp;CM$1&amp;""'!$D$4:$D$66"")=CM$2),$F$3:$BP$3,$F145:$BP145)))"),-0.55)</f>
        <v>-0.55</v>
      </c>
      <c r="CN145" s="207">
        <f>IFERROR(__xludf.DUMMYFUNCTION("IF(OR(CM145&gt;$BR145+$BS145*$BS$2,CM145&lt;$BR145-$BS145*$BS$2),AVEDEV(ARRAYFORMULA(XLOOKUP(FILTER(INDIRECT(""'""&amp;CM$1&amp;""'!$C$4:$C$66""),INDIRECT(""'""&amp;CM$1&amp;""'!$D$4:$D$66"")=CM$2),$F$3:$BP$3,$F145:$BP145))),"""")"),0.16)</f>
        <v>0.16</v>
      </c>
      <c r="CO145" s="252"/>
      <c r="CP145" s="251">
        <f>IFERROR(__xludf.DUMMYFUNCTION("AVERAGE(ARRAYFORMULA(XLOOKUP(FILTER(INDIRECT(""'""&amp;CP$1&amp;""'!$C$4:$C$66""),INDIRECT(""'""&amp;CP$1&amp;""'!$D$4:$D$66"")=CP$2),$F$3:$BP$3,$F145:$BP145)))"),0.30357142857142855)</f>
        <v>0.3035714286</v>
      </c>
      <c r="CQ145" s="207" t="str">
        <f>IFERROR(__xludf.DUMMYFUNCTION("IF(OR(CP145&gt;$BR145+$BS145*$BS$2,CP145&lt;$BR145-$BS145*$BS$2),AVEDEV(ARRAYFORMULA(XLOOKUP(FILTER(INDIRECT(""'""&amp;CP$1&amp;""'!$C$4:$C$66""),INDIRECT(""'""&amp;CP$1&amp;""'!$D$4:$D$66"")=CP$2),$F$3:$BP$3,$F145:$BP145))),"""")"),"")</f>
        <v/>
      </c>
      <c r="CR145" s="251">
        <f>IFERROR(__xludf.DUMMYFUNCTION("AVERAGE(ARRAYFORMULA(XLOOKUP(FILTER(INDIRECT(""'""&amp;CR$1&amp;""'!$C$4:$C$66""),INDIRECT(""'""&amp;CR$1&amp;""'!$D$4:$D$66"")=CR$2),$F$3:$BP$3,$F145:$BP145)))"),-0.4722222222222222)</f>
        <v>-0.4722222222</v>
      </c>
      <c r="CS145" s="207" t="str">
        <f>IFERROR(__xludf.DUMMYFUNCTION("IF(OR(CR145&gt;$BR145+$BS145*$BS$2,CR145&lt;$BR145-$BS145*$BS$2),AVEDEV(ARRAYFORMULA(XLOOKUP(FILTER(INDIRECT(""'""&amp;CR$1&amp;""'!$C$4:$C$66""),INDIRECT(""'""&amp;CR$1&amp;""'!$D$4:$D$66"")=CR$2),$F$3:$BP$3,$F145:$BP145))),"""")"),"")</f>
        <v/>
      </c>
      <c r="CT145" s="251">
        <f>IFERROR(__xludf.DUMMYFUNCTION("AVERAGE(ARRAYFORMULA(XLOOKUP(FILTER(INDIRECT(""'""&amp;CT$1&amp;""'!$C$4:$C$66""),INDIRECT(""'""&amp;CT$1&amp;""'!$D$4:$D$66"")=CT$2),$F$3:$BP$3,$F145:$BP145)))"),-0.09090909090909091)</f>
        <v>-0.09090909091</v>
      </c>
      <c r="CU145" s="207" t="str">
        <f>IFERROR(__xludf.DUMMYFUNCTION("IF(OR(CT145&gt;$BR145+$BS145*$BS$2,CT145&lt;$BR145-$BS145*$BS$2),AVEDEV(ARRAYFORMULA(XLOOKUP(FILTER(INDIRECT(""'""&amp;CT$1&amp;""'!$C$4:$C$66""),INDIRECT(""'""&amp;CT$1&amp;""'!$D$4:$D$66"")=CT$2),$F$3:$BP$3,$F145:$BP145))),"""")"),"")</f>
        <v/>
      </c>
      <c r="CV145" s="251">
        <f>IFERROR(__xludf.DUMMYFUNCTION("AVERAGE(ARRAYFORMULA(XLOOKUP(FILTER(INDIRECT(""'""&amp;CV$1&amp;""'!$C$4:$C$66""),INDIRECT(""'""&amp;CV$1&amp;""'!$D$4:$D$66"")=CV$2),$F$3:$BP$3,$F145:$BP145)))"),0.5)</f>
        <v>0.5</v>
      </c>
      <c r="CW145" s="207">
        <f>IFERROR(__xludf.DUMMYFUNCTION("IF(OR(CV145&gt;$BR145+$BS145*$BS$2,CV145&lt;$BR145-$BS145*$BS$2),AVEDEV(ARRAYFORMULA(XLOOKUP(FILTER(INDIRECT(""'""&amp;CV$1&amp;""'!$C$4:$C$66""),INDIRECT(""'""&amp;CV$1&amp;""'!$D$4:$D$66"")=CV$2),$F$3:$BP$3,$F145:$BP145))),"""")"),0.0)</f>
        <v>0</v>
      </c>
      <c r="CX145" s="251">
        <f>IFERROR(__xludf.DUMMYFUNCTION("AVERAGE(ARRAYFORMULA(XLOOKUP(FILTER(INDIRECT(""'""&amp;CX$1&amp;""'!$C$4:$C$66""),INDIRECT(""'""&amp;CX$1&amp;""'!$D$4:$D$66"")=CX$2),$F$3:$BP$3,$F145:$BP145)))"),-0.03571428571428571)</f>
        <v>-0.03571428571</v>
      </c>
      <c r="CY145" s="207" t="str">
        <f>IFERROR(__xludf.DUMMYFUNCTION("IF(OR(CX145&gt;$BR145+$BS145*$BS$2,CX145&lt;$BR145-$BS145*$BS$2),AVEDEV(ARRAYFORMULA(XLOOKUP(FILTER(INDIRECT(""'""&amp;CX$1&amp;""'!$C$4:$C$66""),INDIRECT(""'""&amp;CX$1&amp;""'!$D$4:$D$66"")=CX$2),$F$3:$BP$3,$F145:$BP145))),"""")"),"")</f>
        <v/>
      </c>
      <c r="CZ145" s="252"/>
      <c r="DA145" s="251">
        <f>IFERROR(__xludf.DUMMYFUNCTION("AVERAGE(ARRAYFORMULA(XLOOKUP(FILTER(INDIRECT(""'""&amp;DA$1&amp;""'!$C$4:$C$66""),INDIRECT(""'""&amp;DA$1&amp;""'!$D$4:$D$66"")=DA$2),$F$3:$BP$3,$F145:$BP145)))"),0.10833333333333334)</f>
        <v>0.1083333333</v>
      </c>
      <c r="DB145" s="207" t="str">
        <f>IFERROR(__xludf.DUMMYFUNCTION("IF(OR(DA145&gt;$BR145+$BS145*$BS$2,DA145&lt;$BR145-$BS145*$BS$2),AVEDEV(ARRAYFORMULA(XLOOKUP(FILTER(INDIRECT(""'""&amp;DA$1&amp;""'!$C$4:$C$66""),INDIRECT(""'""&amp;DA$1&amp;""'!$D$4:$D$66"")=DA$2),$F$3:$BP$3,$F145:$BP145))),"""")"),"")</f>
        <v/>
      </c>
      <c r="DC145" s="251">
        <f>IFERROR(__xludf.DUMMYFUNCTION("AVERAGE(ARRAYFORMULA(XLOOKUP(FILTER(INDIRECT(""'""&amp;DC$1&amp;""'!$C$4:$C$66""),INDIRECT(""'""&amp;DC$1&amp;""'!$D$4:$D$66"")=DC$2),$F$3:$BP$3,$F145:$BP145)))"),-0.3055555555555556)</f>
        <v>-0.3055555556</v>
      </c>
      <c r="DD145" s="207" t="str">
        <f>IFERROR(__xludf.DUMMYFUNCTION("IF(OR(DC145&gt;$BR145+$BS145*$BS$2,DC145&lt;$BR145-$BS145*$BS$2),AVEDEV(ARRAYFORMULA(XLOOKUP(FILTER(INDIRECT(""'""&amp;DC$1&amp;""'!$C$4:$C$66""),INDIRECT(""'""&amp;DC$1&amp;""'!$D$4:$D$66"")=DC$2),$F$3:$BP$3,$F145:$BP145))),"""")"),"")</f>
        <v/>
      </c>
      <c r="DE145" s="251">
        <f>IFERROR(__xludf.DUMMYFUNCTION("AVERAGE(ARRAYFORMULA(XLOOKUP(FILTER(INDIRECT(""'""&amp;DE$1&amp;""'!$C$4:$C$66""),INDIRECT(""'""&amp;DE$1&amp;""'!$D$4:$D$66"")=DE$2),$F$3:$BP$3,$F145:$BP145)))"),-0.03125)</f>
        <v>-0.03125</v>
      </c>
      <c r="DF145" s="207" t="str">
        <f>IFERROR(__xludf.DUMMYFUNCTION("IF(OR(DE145&gt;$BR145+$BS145*$BS$2,DE145&lt;$BR145-$BS145*$BS$2),AVEDEV(ARRAYFORMULA(XLOOKUP(FILTER(INDIRECT(""'""&amp;DE$1&amp;""'!$C$4:$C$66""),INDIRECT(""'""&amp;DE$1&amp;""'!$D$4:$D$66"")=DE$2),$F$3:$BP$3,$F145:$BP145))),"""")"),"")</f>
        <v/>
      </c>
      <c r="DG145" s="251">
        <f>IFERROR(__xludf.DUMMYFUNCTION("AVERAGE(ARRAYFORMULA(XLOOKUP(FILTER(INDIRECT(""'""&amp;DG$1&amp;""'!$C$4:$C$66""),INDIRECT(""'""&amp;DG$1&amp;""'!$D$4:$D$66"")=DG$2),$F$3:$BP$3,$F145:$BP145)))"),-0.2222222222222222)</f>
        <v>-0.2222222222</v>
      </c>
      <c r="DH145" s="207" t="str">
        <f>IFERROR(__xludf.DUMMYFUNCTION("IF(OR(DG145&gt;$BR145+$BS145*$BS$2,DG145&lt;$BR145-$BS145*$BS$2),AVEDEV(ARRAYFORMULA(XLOOKUP(FILTER(INDIRECT(""'""&amp;DG$1&amp;""'!$C$4:$C$66""),INDIRECT(""'""&amp;DG$1&amp;""'!$D$4:$D$66"")=DG$2),$F$3:$BP$3,$F145:$BP145))),"""")"),"")</f>
        <v/>
      </c>
      <c r="DI145" s="252"/>
    </row>
    <row r="146">
      <c r="A146" s="2"/>
      <c r="B146" s="204" t="s">
        <v>540</v>
      </c>
      <c r="C146" s="204" t="s">
        <v>589</v>
      </c>
      <c r="D146" s="205" t="b">
        <f>VLOOKUP(C146,'Feature Set List'!A143:C246,2,0)</f>
        <v>1</v>
      </c>
      <c r="E146" s="205" t="b">
        <f>VLOOKUP(C146,'Feature Set List'!A143:C246,3,0)</f>
        <v>0</v>
      </c>
      <c r="F146" s="205">
        <v>-0.3333333</v>
      </c>
      <c r="G146" s="205">
        <v>0.0</v>
      </c>
      <c r="H146" s="205">
        <v>0.0</v>
      </c>
      <c r="I146" s="205">
        <v>0.66666667</v>
      </c>
      <c r="J146" s="205">
        <v>4.66666667</v>
      </c>
      <c r="K146" s="205">
        <v>0.66666667</v>
      </c>
      <c r="L146" s="205">
        <v>1.0</v>
      </c>
      <c r="M146" s="205">
        <v>1.66666667</v>
      </c>
      <c r="N146" s="205">
        <v>0.0</v>
      </c>
      <c r="O146" s="205">
        <v>0.33333333</v>
      </c>
      <c r="P146" s="205">
        <v>0.0</v>
      </c>
      <c r="Q146" s="205">
        <v>0.0</v>
      </c>
      <c r="R146" s="205">
        <v>0.0</v>
      </c>
      <c r="S146" s="205">
        <v>0.33333333</v>
      </c>
      <c r="T146" s="205">
        <v>2.0</v>
      </c>
      <c r="U146" s="205">
        <v>0.0</v>
      </c>
      <c r="V146" s="205">
        <v>0.0</v>
      </c>
      <c r="W146" s="205">
        <v>1.66666667</v>
      </c>
      <c r="X146" s="205">
        <v>0.33333333</v>
      </c>
      <c r="Y146" s="205">
        <v>-1.6666667</v>
      </c>
      <c r="Z146" s="205">
        <v>1.0</v>
      </c>
      <c r="AA146" s="205">
        <v>0.0</v>
      </c>
      <c r="AB146" s="205">
        <v>-1.0</v>
      </c>
      <c r="AC146" s="205">
        <v>0.0</v>
      </c>
      <c r="AD146" s="205">
        <v>2.66666667</v>
      </c>
      <c r="AE146" s="205">
        <v>0.33333333</v>
      </c>
      <c r="AF146" s="205">
        <v>-1.6666667</v>
      </c>
      <c r="AG146" s="205">
        <v>0.66666667</v>
      </c>
      <c r="AH146" s="205">
        <v>-1.0</v>
      </c>
      <c r="AI146" s="205">
        <v>0.66666667</v>
      </c>
      <c r="AJ146" s="205">
        <v>0.0</v>
      </c>
      <c r="AK146" s="205">
        <v>0.0</v>
      </c>
      <c r="AL146" s="205">
        <v>1.66666667</v>
      </c>
      <c r="AM146" s="205">
        <v>-0.6666667</v>
      </c>
      <c r="AN146" s="205">
        <v>1.33333333</v>
      </c>
      <c r="AO146" s="205">
        <v>-1.3333333</v>
      </c>
      <c r="AP146" s="205">
        <v>-1.6666667</v>
      </c>
      <c r="AQ146" s="205">
        <v>-1.6666667</v>
      </c>
      <c r="AR146" s="205">
        <v>1.0</v>
      </c>
      <c r="AS146" s="205">
        <v>3.33333333</v>
      </c>
      <c r="AT146" s="205">
        <v>0.66666667</v>
      </c>
      <c r="AU146" s="205">
        <v>0.0</v>
      </c>
      <c r="AV146" s="205">
        <v>0.0</v>
      </c>
      <c r="AW146" s="205">
        <v>0.0</v>
      </c>
      <c r="AX146" s="205">
        <v>0.0</v>
      </c>
      <c r="AY146" s="205">
        <v>0.0</v>
      </c>
      <c r="AZ146" s="205">
        <v>0.0</v>
      </c>
      <c r="BA146" s="205">
        <v>-1.3333333</v>
      </c>
      <c r="BB146" s="205">
        <v>1.0</v>
      </c>
      <c r="BC146" s="205">
        <v>4.0</v>
      </c>
      <c r="BD146" s="205">
        <v>0.0</v>
      </c>
      <c r="BE146" s="205">
        <v>3.33333333</v>
      </c>
      <c r="BF146" s="205">
        <v>0.0</v>
      </c>
      <c r="BG146" s="205">
        <v>0.0</v>
      </c>
      <c r="BH146" s="205">
        <v>0.66666667</v>
      </c>
      <c r="BI146" s="205">
        <v>-1.0</v>
      </c>
      <c r="BJ146" s="205">
        <v>-1.3333333</v>
      </c>
      <c r="BK146" s="205">
        <v>1.0</v>
      </c>
      <c r="BL146" s="205">
        <v>0.0</v>
      </c>
      <c r="BM146" s="205">
        <v>3.0</v>
      </c>
      <c r="BN146" s="205">
        <v>1.0</v>
      </c>
      <c r="BO146" s="205">
        <v>-0.6666667</v>
      </c>
      <c r="BP146" s="205">
        <v>0.0</v>
      </c>
      <c r="BQ146" s="206"/>
      <c r="BR146" s="250">
        <f t="shared" si="1"/>
        <v>0.4021164013</v>
      </c>
      <c r="BS146" s="250">
        <f t="shared" si="2"/>
        <v>0.9550684486</v>
      </c>
      <c r="BT146" s="206"/>
      <c r="BU146" s="207">
        <f>IFERROR(__xludf.DUMMYFUNCTION("AVERAGE(ARRAYFORMULA(XLOOKUP(FILTER(INDIRECT(""'""&amp;BU$1&amp;""'!$C$4:$C$66""),INDIRECT(""'""&amp;BU$1&amp;""'!$D$4:$D$66"")=BU$2),$F$3:$BP$3,$F146:$BP146)))"),0.6666666714285714)</f>
        <v>0.6666666714</v>
      </c>
      <c r="BV146" s="207" t="str">
        <f>IFERROR(__xludf.DUMMYFUNCTION("IF(OR(BU146&gt;$BR146+$BS146*$BS$2,BU146&lt;$BR146-$BS146*$BS$2),AVEDEV(ARRAYFORMULA(XLOOKUP(FILTER(INDIRECT(""'""&amp;BU$1&amp;""'!$C$4:$C$66""),INDIRECT(""'""&amp;BU$1&amp;""'!$D$4:$D$66"")=BU$2),$F$3:$BP$3,$F146:$BP146))),"""")"),"")</f>
        <v/>
      </c>
      <c r="BW146" s="207">
        <f>IFERROR(__xludf.DUMMYFUNCTION("AVERAGE(ARRAYFORMULA(XLOOKUP(FILTER(INDIRECT(""'""&amp;BW$1&amp;""'!$C$4:$C$66""),INDIRECT(""'""&amp;BW$1&amp;""'!$D$4:$D$66"")=BW$2),$F$3:$BP$3,$F146:$BP146)))"),0.31746031476190467)</f>
        <v>0.3174603148</v>
      </c>
      <c r="BX146" s="207" t="str">
        <f>IFERROR(__xludf.DUMMYFUNCTION("IF(OR(BW146&gt;$BR146+$BS146*$BS$2,BW146&lt;$BR146-$BS146*$BS$2),AVEDEV(ARRAYFORMULA(XLOOKUP(FILTER(INDIRECT(""'""&amp;BW$1&amp;""'!$C$4:$C$66""),INDIRECT(""'""&amp;BW$1&amp;""'!$D$4:$D$66"")=BW$2),$F$3:$BP$3,$F146:$BP146))),"""")"),"")</f>
        <v/>
      </c>
      <c r="BY146" s="207">
        <f>IFERROR(__xludf.DUMMYFUNCTION("AVERAGE(ARRAYFORMULA(XLOOKUP(FILTER(INDIRECT(""'""&amp;BY$1&amp;""'!$C$4:$C$66""),INDIRECT(""'""&amp;BY$1&amp;""'!$D$4:$D$66"")=BY$2),$F$3:$BP$3,$F146:$BP146)))"),0.2424242445454545)</f>
        <v>0.2424242445</v>
      </c>
      <c r="BZ146" s="207" t="str">
        <f>IFERROR(__xludf.DUMMYFUNCTION("IF(OR(BY146&gt;$BR146+$BS146*$BS$2,BY146&lt;$BR146-$BS146*$BS$2),AVEDEV(ARRAYFORMULA(XLOOKUP(FILTER(INDIRECT(""'""&amp;BY$1&amp;""'!$C$4:$C$66""),INDIRECT(""'""&amp;BY$1&amp;""'!$D$4:$D$66"")=BY$2),$F$3:$BP$3,$F146:$BP146))),"""")"),"")</f>
        <v/>
      </c>
      <c r="CA146" s="209"/>
      <c r="CB146" s="207">
        <f>IFERROR(__xludf.DUMMYFUNCTION("AVERAGE(ARRAYFORMULA(XLOOKUP(FILTER(INDIRECT(""'""&amp;CB$1&amp;""'!$C$4:$C$66""),INDIRECT(""'""&amp;CB$1&amp;""'!$D$4:$D$66"")=CB$2),$F$3:$BP$3,$F146:$BP146)))"),0.70833333375)</f>
        <v>0.7083333338</v>
      </c>
      <c r="CC146" s="207" t="str">
        <f>IFERROR(__xludf.DUMMYFUNCTION("IF(OR(CB146&gt;$BR146+$BS146*$BS$2,CB146&lt;$BR146-$BS146*$BS$2),AVEDEV(ARRAYFORMULA(XLOOKUP(FILTER(INDIRECT(""'""&amp;CB$1&amp;""'!$C$4:$C$66""),INDIRECT(""'""&amp;CB$1&amp;""'!$D$4:$D$66"")=CB$2),$F$3:$BP$3,$F146:$BP146))),"""")"),"")</f>
        <v/>
      </c>
      <c r="CD146" s="207">
        <f>IFERROR(__xludf.DUMMYFUNCTION("AVERAGE(ARRAYFORMULA(XLOOKUP(FILTER(INDIRECT(""'""&amp;CD$1&amp;""'!$C$4:$C$66""),INDIRECT(""'""&amp;CD$1&amp;""'!$D$4:$D$66"")=CD$2),$F$3:$BP$3,$F146:$BP146)))"),0.15053763258064515)</f>
        <v>0.1505376326</v>
      </c>
      <c r="CE146" s="207" t="str">
        <f>IFERROR(__xludf.DUMMYFUNCTION("IF(OR(CD146&gt;$BR146+$BS146*$BS$2,CD146&lt;$BR146-$BS146*$BS$2),AVEDEV(ARRAYFORMULA(XLOOKUP(FILTER(INDIRECT(""'""&amp;CD$1&amp;""'!$C$4:$C$66""),INDIRECT(""'""&amp;CD$1&amp;""'!$D$4:$D$66"")=CD$2),$F$3:$BP$3,$F146:$BP146))),"""")"),"")</f>
        <v/>
      </c>
      <c r="CF146" s="207">
        <f>IFERROR(__xludf.DUMMYFUNCTION("AVERAGE(ARRAYFORMULA(XLOOKUP(FILTER(INDIRECT(""'""&amp;CF$1&amp;""'!$C$4:$C$66""),INDIRECT(""'""&amp;CF$1&amp;""'!$D$4:$D$66"")=CF$2),$F$3:$BP$3,$F146:$BP146)))"),0.3333333319999999)</f>
        <v>0.333333332</v>
      </c>
      <c r="CG146" s="207" t="str">
        <f>IFERROR(__xludf.DUMMYFUNCTION("IF(OR(CF146&gt;$BR146+$BS146*$BS$2,CF146&lt;$BR146-$BS146*$BS$2),AVEDEV(ARRAYFORMULA(XLOOKUP(FILTER(INDIRECT(""'""&amp;CF$1&amp;""'!$C$4:$C$66""),INDIRECT(""'""&amp;CF$1&amp;""'!$D$4:$D$66"")=CF$2),$F$3:$BP$3,$F146:$BP146))),"""")"),"")</f>
        <v/>
      </c>
      <c r="CH146" s="206"/>
      <c r="CI146" s="251">
        <f>IFERROR(__xludf.DUMMYFUNCTION("AVERAGE(ARRAYFORMULA(XLOOKUP(FILTER(INDIRECT(""'""&amp;CI$1&amp;""'!$C$4:$C$66""),INDIRECT(""'""&amp;CI$1&amp;""'!$D$4:$D$66"")=CI$2),$F$3:$BP$3,$F146:$BP146)))"),0.7777777826666666)</f>
        <v>0.7777777827</v>
      </c>
      <c r="CJ146" s="207" t="str">
        <f>IFERROR(__xludf.DUMMYFUNCTION("IF(OR(CI146&gt;$BR146+$BS146*$BS$2,CI146&lt;$BR146-$BS146*$BS$2),AVEDEV(ARRAYFORMULA(XLOOKUP(FILTER(INDIRECT(""'""&amp;CI$1&amp;""'!$C$4:$C$66""),INDIRECT(""'""&amp;CI$1&amp;""'!$D$4:$D$66"")=CI$2),$F$3:$BP$3,$F146:$BP146))),"""")"),"")</f>
        <v/>
      </c>
      <c r="CK146" s="251">
        <f>IFERROR(__xludf.DUMMYFUNCTION("AVERAGE(ARRAYFORMULA(XLOOKUP(FILTER(INDIRECT(""'""&amp;CK$1&amp;""'!$C$4:$C$66""),INDIRECT(""'""&amp;CK$1&amp;""'!$D$4:$D$66"")=CK$2),$F$3:$BP$3,$F146:$BP146)))"),0.16239315923076922)</f>
        <v>0.1623931592</v>
      </c>
      <c r="CL146" s="207" t="str">
        <f>IFERROR(__xludf.DUMMYFUNCTION("IF(OR(CK146&gt;$BR146+$BS146*$BS$2,CK146&lt;$BR146-$BS146*$BS$2),AVEDEV(ARRAYFORMULA(XLOOKUP(FILTER(INDIRECT(""'""&amp;CK$1&amp;""'!$C$4:$C$66""),INDIRECT(""'""&amp;CK$1&amp;""'!$D$4:$D$66"")=CK$2),$F$3:$BP$3,$F146:$BP146))),"""")"),"")</f>
        <v/>
      </c>
      <c r="CM146" s="251">
        <f>IFERROR(__xludf.DUMMYFUNCTION("AVERAGE(ARRAYFORMULA(XLOOKUP(FILTER(INDIRECT(""'""&amp;CM$1&amp;""'!$C$4:$C$66""),INDIRECT(""'""&amp;CM$1&amp;""'!$D$4:$D$66"")=CM$2),$F$3:$BP$3,$F146:$BP146)))"),0.3333333319999999)</f>
        <v>0.333333332</v>
      </c>
      <c r="CN146" s="207" t="str">
        <f>IFERROR(__xludf.DUMMYFUNCTION("IF(OR(CM146&gt;$BR146+$BS146*$BS$2,CM146&lt;$BR146-$BS146*$BS$2),AVEDEV(ARRAYFORMULA(XLOOKUP(FILTER(INDIRECT(""'""&amp;CM$1&amp;""'!$C$4:$C$66""),INDIRECT(""'""&amp;CM$1&amp;""'!$D$4:$D$66"")=CM$2),$F$3:$BP$3,$F146:$BP146))),"""")"),"")</f>
        <v/>
      </c>
      <c r="CO146" s="252"/>
      <c r="CP146" s="251">
        <f>IFERROR(__xludf.DUMMYFUNCTION("AVERAGE(ARRAYFORMULA(XLOOKUP(FILTER(INDIRECT(""'""&amp;CP$1&amp;""'!$C$4:$C$66""),INDIRECT(""'""&amp;CP$1&amp;""'!$D$4:$D$66"")=CP$2),$F$3:$BP$3,$F146:$BP146)))"),0.0952380957142857)</f>
        <v>0.09523809571</v>
      </c>
      <c r="CQ146" s="207" t="str">
        <f>IFERROR(__xludf.DUMMYFUNCTION("IF(OR(CP146&gt;$BR146+$BS146*$BS$2,CP146&lt;$BR146-$BS146*$BS$2),AVEDEV(ARRAYFORMULA(XLOOKUP(FILTER(INDIRECT(""'""&amp;CP$1&amp;""'!$C$4:$C$66""),INDIRECT(""'""&amp;CP$1&amp;""'!$D$4:$D$66"")=CP$2),$F$3:$BP$3,$F146:$BP146))),"""")"),"")</f>
        <v/>
      </c>
      <c r="CR146" s="251">
        <f>IFERROR(__xludf.DUMMYFUNCTION("AVERAGE(ARRAYFORMULA(XLOOKUP(FILTER(INDIRECT(""'""&amp;CR$1&amp;""'!$C$4:$C$66""),INDIRECT(""'""&amp;CR$1&amp;""'!$D$4:$D$66"")=CR$2),$F$3:$BP$3,$F146:$BP146)))"),0.29629629888888886)</f>
        <v>0.2962962989</v>
      </c>
      <c r="CS146" s="207" t="str">
        <f>IFERROR(__xludf.DUMMYFUNCTION("IF(OR(CR146&gt;$BR146+$BS146*$BS$2,CR146&lt;$BR146-$BS146*$BS$2),AVEDEV(ARRAYFORMULA(XLOOKUP(FILTER(INDIRECT(""'""&amp;CR$1&amp;""'!$C$4:$C$66""),INDIRECT(""'""&amp;CR$1&amp;""'!$D$4:$D$66"")=CR$2),$F$3:$BP$3,$F146:$BP146))),"""")"),"")</f>
        <v/>
      </c>
      <c r="CT146" s="251">
        <f>IFERROR(__xludf.DUMMYFUNCTION("AVERAGE(ARRAYFORMULA(XLOOKUP(FILTER(INDIRECT(""'""&amp;CT$1&amp;""'!$C$4:$C$66""),INDIRECT(""'""&amp;CT$1&amp;""'!$D$4:$D$66"")=CT$2),$F$3:$BP$3,$F146:$BP146)))"),0.6060606063636363)</f>
        <v>0.6060606064</v>
      </c>
      <c r="CU146" s="207" t="str">
        <f>IFERROR(__xludf.DUMMYFUNCTION("IF(OR(CT146&gt;$BR146+$BS146*$BS$2,CT146&lt;$BR146-$BS146*$BS$2),AVEDEV(ARRAYFORMULA(XLOOKUP(FILTER(INDIRECT(""'""&amp;CT$1&amp;""'!$C$4:$C$66""),INDIRECT(""'""&amp;CT$1&amp;""'!$D$4:$D$66"")=CT$2),$F$3:$BP$3,$F146:$BP146))),"""")"),"")</f>
        <v/>
      </c>
      <c r="CV146" s="251">
        <f>IFERROR(__xludf.DUMMYFUNCTION("AVERAGE(ARRAYFORMULA(XLOOKUP(FILTER(INDIRECT(""'""&amp;CV$1&amp;""'!$C$4:$C$66""),INDIRECT(""'""&amp;CV$1&amp;""'!$D$4:$D$66"")=CV$2),$F$3:$BP$3,$F146:$BP146)))"),0.0)</f>
        <v>0</v>
      </c>
      <c r="CW146" s="207" t="str">
        <f>IFERROR(__xludf.DUMMYFUNCTION("IF(OR(CV146&gt;$BR146+$BS146*$BS$2,CV146&lt;$BR146-$BS146*$BS$2),AVEDEV(ARRAYFORMULA(XLOOKUP(FILTER(INDIRECT(""'""&amp;CV$1&amp;""'!$C$4:$C$66""),INDIRECT(""'""&amp;CV$1&amp;""'!$D$4:$D$66"")=CV$2),$F$3:$BP$3,$F146:$BP146))),"""")"),"")</f>
        <v/>
      </c>
      <c r="CX146" s="251">
        <f>IFERROR(__xludf.DUMMYFUNCTION("AVERAGE(ARRAYFORMULA(XLOOKUP(FILTER(INDIRECT(""'""&amp;CX$1&amp;""'!$C$4:$C$66""),INDIRECT(""'""&amp;CX$1&amp;""'!$D$4:$D$66"")=CX$2),$F$3:$BP$3,$F146:$BP146)))"),-0.02380953285714283)</f>
        <v>-0.02380953286</v>
      </c>
      <c r="CY146" s="207" t="str">
        <f>IFERROR(__xludf.DUMMYFUNCTION("IF(OR(CX146&gt;$BR146+$BS146*$BS$2,CX146&lt;$BR146-$BS146*$BS$2),AVEDEV(ARRAYFORMULA(XLOOKUP(FILTER(INDIRECT(""'""&amp;CX$1&amp;""'!$C$4:$C$66""),INDIRECT(""'""&amp;CX$1&amp;""'!$D$4:$D$66"")=CX$2),$F$3:$BP$3,$F146:$BP146))),"""")"),"")</f>
        <v/>
      </c>
      <c r="CZ146" s="252"/>
      <c r="DA146" s="251">
        <f>IFERROR(__xludf.DUMMYFUNCTION("AVERAGE(ARRAYFORMULA(XLOOKUP(FILTER(INDIRECT(""'""&amp;DA$1&amp;""'!$C$4:$C$66""),INDIRECT(""'""&amp;DA$1&amp;""'!$D$4:$D$66"")=DA$2),$F$3:$BP$3,$F146:$BP146)))"),0.17777777599999994)</f>
        <v>0.177777776</v>
      </c>
      <c r="DB146" s="207" t="str">
        <f>IFERROR(__xludf.DUMMYFUNCTION("IF(OR(DA146&gt;$BR146+$BS146*$BS$2,DA146&lt;$BR146-$BS146*$BS$2),AVEDEV(ARRAYFORMULA(XLOOKUP(FILTER(INDIRECT(""'""&amp;DA$1&amp;""'!$C$4:$C$66""),INDIRECT(""'""&amp;DA$1&amp;""'!$D$4:$D$66"")=DA$2),$F$3:$BP$3,$F146:$BP146))),"""")"),"")</f>
        <v/>
      </c>
      <c r="DC146" s="251">
        <f>IFERROR(__xludf.DUMMYFUNCTION("AVERAGE(ARRAYFORMULA(XLOOKUP(FILTER(INDIRECT(""'""&amp;DC$1&amp;""'!$C$4:$C$66""),INDIRECT(""'""&amp;DC$1&amp;""'!$D$4:$D$66"")=DC$2),$F$3:$BP$3,$F146:$BP146)))"),0.22222222555555554)</f>
        <v>0.2222222256</v>
      </c>
      <c r="DD146" s="207" t="str">
        <f>IFERROR(__xludf.DUMMYFUNCTION("IF(OR(DC146&gt;$BR146+$BS146*$BS$2,DC146&lt;$BR146-$BS146*$BS$2),AVEDEV(ARRAYFORMULA(XLOOKUP(FILTER(INDIRECT(""'""&amp;DC$1&amp;""'!$C$4:$C$66""),INDIRECT(""'""&amp;DC$1&amp;""'!$D$4:$D$66"")=DC$2),$F$3:$BP$3,$F146:$BP146))),"""")"),"")</f>
        <v/>
      </c>
      <c r="DE146" s="251">
        <f>IFERROR(__xludf.DUMMYFUNCTION("AVERAGE(ARRAYFORMULA(XLOOKUP(FILTER(INDIRECT(""'""&amp;DE$1&amp;""'!$C$4:$C$66""),INDIRECT(""'""&amp;DE$1&amp;""'!$D$4:$D$66"")=DE$2),$F$3:$BP$3,$F146:$BP146)))"),0.45833333375)</f>
        <v>0.4583333338</v>
      </c>
      <c r="DF146" s="207" t="str">
        <f>IFERROR(__xludf.DUMMYFUNCTION("IF(OR(DE146&gt;$BR146+$BS146*$BS$2,DE146&lt;$BR146-$BS146*$BS$2),AVEDEV(ARRAYFORMULA(XLOOKUP(FILTER(INDIRECT(""'""&amp;DE$1&amp;""'!$C$4:$C$66""),INDIRECT(""'""&amp;DE$1&amp;""'!$D$4:$D$66"")=DE$2),$F$3:$BP$3,$F146:$BP146))),"""")"),"")</f>
        <v/>
      </c>
      <c r="DG146" s="251">
        <f>IFERROR(__xludf.DUMMYFUNCTION("AVERAGE(ARRAYFORMULA(XLOOKUP(FILTER(INDIRECT(""'""&amp;DG$1&amp;""'!$C$4:$C$66""),INDIRECT(""'""&amp;DG$1&amp;""'!$D$4:$D$66"")=DG$2),$F$3:$BP$3,$F146:$BP146)))"),0.8148148144444445)</f>
        <v>0.8148148144</v>
      </c>
      <c r="DH146" s="207" t="str">
        <f>IFERROR(__xludf.DUMMYFUNCTION("IF(OR(DG146&gt;$BR146+$BS146*$BS$2,DG146&lt;$BR146-$BS146*$BS$2),AVEDEV(ARRAYFORMULA(XLOOKUP(FILTER(INDIRECT(""'""&amp;DG$1&amp;""'!$C$4:$C$66""),INDIRECT(""'""&amp;DG$1&amp;""'!$D$4:$D$66"")=DG$2),$F$3:$BP$3,$F146:$BP146))),"""")"),"")</f>
        <v/>
      </c>
      <c r="DI146" s="252"/>
    </row>
    <row r="147">
      <c r="A147" s="2"/>
      <c r="B147" s="204" t="s">
        <v>540</v>
      </c>
      <c r="C147" s="204" t="s">
        <v>590</v>
      </c>
      <c r="D147" s="205" t="b">
        <f>VLOOKUP(C147,'Feature Set List'!A144:C246,2,0)</f>
        <v>1</v>
      </c>
      <c r="E147" s="205" t="b">
        <f>VLOOKUP(C147,'Feature Set List'!A144:C246,3,0)</f>
        <v>0</v>
      </c>
      <c r="F147" s="205">
        <v>0.0</v>
      </c>
      <c r="G147" s="205">
        <v>1.66666667</v>
      </c>
      <c r="H147" s="205">
        <v>1.66666667</v>
      </c>
      <c r="I147" s="205">
        <v>0.0</v>
      </c>
      <c r="J147" s="205">
        <v>2.66666667</v>
      </c>
      <c r="K147" s="205">
        <v>1.0</v>
      </c>
      <c r="L147" s="205">
        <v>-0.3333333</v>
      </c>
      <c r="M147" s="205">
        <v>0.0</v>
      </c>
      <c r="N147" s="205">
        <v>1.66666667</v>
      </c>
      <c r="O147" s="205">
        <v>-0.3333333</v>
      </c>
      <c r="P147" s="205">
        <v>0.0</v>
      </c>
      <c r="Q147" s="205">
        <v>1.66666667</v>
      </c>
      <c r="R147" s="205">
        <v>1.66666667</v>
      </c>
      <c r="S147" s="205">
        <v>0.33333333</v>
      </c>
      <c r="T147" s="205">
        <v>1.66666667</v>
      </c>
      <c r="U147" s="205">
        <v>0.0</v>
      </c>
      <c r="V147" s="205">
        <v>-0.3333333</v>
      </c>
      <c r="W147" s="205">
        <v>0.0</v>
      </c>
      <c r="X147" s="205">
        <v>0.0</v>
      </c>
      <c r="Y147" s="205">
        <v>0.0</v>
      </c>
      <c r="Z147" s="205">
        <v>0.33333333</v>
      </c>
      <c r="AA147" s="205">
        <v>0.0</v>
      </c>
      <c r="AB147" s="205">
        <v>0.0</v>
      </c>
      <c r="AC147" s="205">
        <v>0.0</v>
      </c>
      <c r="AD147" s="205">
        <v>0.0</v>
      </c>
      <c r="AE147" s="205">
        <v>0.0</v>
      </c>
      <c r="AF147" s="205">
        <v>0.0</v>
      </c>
      <c r="AG147" s="205">
        <v>0.33333333</v>
      </c>
      <c r="AH147" s="205">
        <v>-0.6666667</v>
      </c>
      <c r="AI147" s="205">
        <v>1.66666667</v>
      </c>
      <c r="AJ147" s="205">
        <v>0.0</v>
      </c>
      <c r="AK147" s="205">
        <v>0.0</v>
      </c>
      <c r="AL147" s="205">
        <v>0.0</v>
      </c>
      <c r="AM147" s="205">
        <v>0.0</v>
      </c>
      <c r="AN147" s="205">
        <v>1.0</v>
      </c>
      <c r="AO147" s="205">
        <v>0.0</v>
      </c>
      <c r="AP147" s="205">
        <v>0.0</v>
      </c>
      <c r="AQ147" s="205">
        <v>0.0</v>
      </c>
      <c r="AR147" s="205">
        <v>1.0</v>
      </c>
      <c r="AS147" s="205">
        <v>1.66666667</v>
      </c>
      <c r="AT147" s="205">
        <v>-1.3333333</v>
      </c>
      <c r="AU147" s="205">
        <v>1.66666667</v>
      </c>
      <c r="AV147" s="205">
        <v>0.0</v>
      </c>
      <c r="AW147" s="205">
        <v>0.0</v>
      </c>
      <c r="AX147" s="205">
        <v>0.0</v>
      </c>
      <c r="AY147" s="205">
        <v>1.66666667</v>
      </c>
      <c r="AZ147" s="205">
        <v>-0.3333333</v>
      </c>
      <c r="BA147" s="205">
        <v>0.0</v>
      </c>
      <c r="BB147" s="205">
        <v>0.0</v>
      </c>
      <c r="BC147" s="205">
        <v>2.33333333</v>
      </c>
      <c r="BD147" s="205">
        <v>1.66666667</v>
      </c>
      <c r="BE147" s="205">
        <v>1.66666667</v>
      </c>
      <c r="BF147" s="205">
        <v>0.0</v>
      </c>
      <c r="BG147" s="205">
        <v>0.0</v>
      </c>
      <c r="BH147" s="205">
        <v>0.0</v>
      </c>
      <c r="BI147" s="205">
        <v>0.0</v>
      </c>
      <c r="BJ147" s="205">
        <v>0.0</v>
      </c>
      <c r="BK147" s="205">
        <v>-0.3333333</v>
      </c>
      <c r="BL147" s="205">
        <v>0.0</v>
      </c>
      <c r="BM147" s="205">
        <v>1.0</v>
      </c>
      <c r="BN147" s="205">
        <v>1.33333333</v>
      </c>
      <c r="BO147" s="205">
        <v>0.0</v>
      </c>
      <c r="BP147" s="205">
        <v>0.66666667</v>
      </c>
      <c r="BQ147" s="206"/>
      <c r="BR147" s="250">
        <f t="shared" si="1"/>
        <v>0.4497354529</v>
      </c>
      <c r="BS147" s="250">
        <f t="shared" si="2"/>
        <v>0.6985806661</v>
      </c>
      <c r="BT147" s="206"/>
      <c r="BU147" s="207">
        <f>IFERROR(__xludf.DUMMYFUNCTION("AVERAGE(ARRAYFORMULA(XLOOKUP(FILTER(INDIRECT(""'""&amp;BU$1&amp;""'!$C$4:$C$66""),INDIRECT(""'""&amp;BU$1&amp;""'!$D$4:$D$66"")=BU$2),$F$3:$BP$3,$F147:$BP147)))"),0.5714285771428571)</f>
        <v>0.5714285771</v>
      </c>
      <c r="BV147" s="207" t="str">
        <f>IFERROR(__xludf.DUMMYFUNCTION("IF(OR(BU147&gt;$BR147+$BS147*$BS$2,BU147&lt;$BR147-$BS147*$BS$2),AVEDEV(ARRAYFORMULA(XLOOKUP(FILTER(INDIRECT(""'""&amp;BU$1&amp;""'!$C$4:$C$66""),INDIRECT(""'""&amp;BU$1&amp;""'!$D$4:$D$66"")=BU$2),$F$3:$BP$3,$F147:$BP147))),"""")"),"")</f>
        <v/>
      </c>
      <c r="BW147" s="207">
        <f>IFERROR(__xludf.DUMMYFUNCTION("AVERAGE(ARRAYFORMULA(XLOOKUP(FILTER(INDIRECT(""'""&amp;BW$1&amp;""'!$C$4:$C$66""),INDIRECT(""'""&amp;BW$1&amp;""'!$D$4:$D$66"")=BW$2),$F$3:$BP$3,$F147:$BP147)))"),0.47619047595238095)</f>
        <v>0.476190476</v>
      </c>
      <c r="BX147" s="207" t="str">
        <f>IFERROR(__xludf.DUMMYFUNCTION("IF(OR(BW147&gt;$BR147+$BS147*$BS$2,BW147&lt;$BR147-$BS147*$BS$2),AVEDEV(ARRAYFORMULA(XLOOKUP(FILTER(INDIRECT(""'""&amp;BW$1&amp;""'!$C$4:$C$66""),INDIRECT(""'""&amp;BW$1&amp;""'!$D$4:$D$66"")=BW$2),$F$3:$BP$3,$F147:$BP147))),"""")"),"")</f>
        <v/>
      </c>
      <c r="BY147" s="207">
        <f>IFERROR(__xludf.DUMMYFUNCTION("AVERAGE(ARRAYFORMULA(XLOOKUP(FILTER(INDIRECT(""'""&amp;BY$1&amp;""'!$C$4:$C$66""),INDIRECT(""'""&amp;BY$1&amp;""'!$D$4:$D$66"")=BY$2),$F$3:$BP$3,$F147:$BP147)))"),0.15151516363636358)</f>
        <v>0.1515151636</v>
      </c>
      <c r="BZ147" s="207" t="str">
        <f>IFERROR(__xludf.DUMMYFUNCTION("IF(OR(BY147&gt;$BR147+$BS147*$BS$2,BY147&lt;$BR147-$BS147*$BS$2),AVEDEV(ARRAYFORMULA(XLOOKUP(FILTER(INDIRECT(""'""&amp;BY$1&amp;""'!$C$4:$C$66""),INDIRECT(""'""&amp;BY$1&amp;""'!$D$4:$D$66"")=BY$2),$F$3:$BP$3,$F147:$BP147))),"""")"),"")</f>
        <v/>
      </c>
      <c r="CA147" s="209"/>
      <c r="CB147" s="207">
        <f>IFERROR(__xludf.DUMMYFUNCTION("AVERAGE(ARRAYFORMULA(XLOOKUP(FILTER(INDIRECT(""'""&amp;CB$1&amp;""'!$C$4:$C$66""),INDIRECT(""'""&amp;CB$1&amp;""'!$D$4:$D$66"")=CB$2),$F$3:$BP$3,$F147:$BP147)))"),0.541666665625)</f>
        <v>0.5416666656</v>
      </c>
      <c r="CC147" s="207" t="str">
        <f>IFERROR(__xludf.DUMMYFUNCTION("IF(OR(CB147&gt;$BR147+$BS147*$BS$2,CB147&lt;$BR147-$BS147*$BS$2),AVEDEV(ARRAYFORMULA(XLOOKUP(FILTER(INDIRECT(""'""&amp;CB$1&amp;""'!$C$4:$C$66""),INDIRECT(""'""&amp;CB$1&amp;""'!$D$4:$D$66"")=CB$2),$F$3:$BP$3,$F147:$BP147))),"""")"),"")</f>
        <v/>
      </c>
      <c r="CD147" s="207">
        <f>IFERROR(__xludf.DUMMYFUNCTION("AVERAGE(ARRAYFORMULA(XLOOKUP(FILTER(INDIRECT(""'""&amp;CD$1&amp;""'!$C$4:$C$66""),INDIRECT(""'""&amp;CD$1&amp;""'!$D$4:$D$66"")=CD$2),$F$3:$BP$3,$F147:$BP147)))"),0.46236559419354833)</f>
        <v>0.4623655942</v>
      </c>
      <c r="CE147" s="207" t="str">
        <f>IFERROR(__xludf.DUMMYFUNCTION("IF(OR(CD147&gt;$BR147+$BS147*$BS$2,CD147&lt;$BR147-$BS147*$BS$2),AVEDEV(ARRAYFORMULA(XLOOKUP(FILTER(INDIRECT(""'""&amp;CD$1&amp;""'!$C$4:$C$66""),INDIRECT(""'""&amp;CD$1&amp;""'!$D$4:$D$66"")=CD$2),$F$3:$BP$3,$F147:$BP147))),"""")"),"")</f>
        <v/>
      </c>
      <c r="CF147" s="207">
        <f>IFERROR(__xludf.DUMMYFUNCTION("AVERAGE(ARRAYFORMULA(XLOOKUP(FILTER(INDIRECT(""'""&amp;CF$1&amp;""'!$C$4:$C$66""),INDIRECT(""'""&amp;CF$1&amp;""'!$D$4:$D$66"")=CF$2),$F$3:$BP$3,$F147:$BP147)))"),0.133333346)</f>
        <v>0.133333346</v>
      </c>
      <c r="CG147" s="207" t="str">
        <f>IFERROR(__xludf.DUMMYFUNCTION("IF(OR(CF147&gt;$BR147+$BS147*$BS$2,CF147&lt;$BR147-$BS147*$BS$2),AVEDEV(ARRAYFORMULA(XLOOKUP(FILTER(INDIRECT(""'""&amp;CF$1&amp;""'!$C$4:$C$66""),INDIRECT(""'""&amp;CF$1&amp;""'!$D$4:$D$66"")=CF$2),$F$3:$BP$3,$F147:$BP147))),"""")"),"")</f>
        <v/>
      </c>
      <c r="CH147" s="206"/>
      <c r="CI147" s="251">
        <f>IFERROR(__xludf.DUMMYFUNCTION("AVERAGE(ARRAYFORMULA(XLOOKUP(FILTER(INDIRECT(""'""&amp;CI$1&amp;""'!$C$4:$C$66""),INDIRECT(""'""&amp;CI$1&amp;""'!$D$4:$D$66"")=CI$2),$F$3:$BP$3,$F147:$BP147)))"),0.4666666666666667)</f>
        <v>0.4666666667</v>
      </c>
      <c r="CJ147" s="207" t="str">
        <f>IFERROR(__xludf.DUMMYFUNCTION("IF(OR(CI147&gt;$BR147+$BS147*$BS$2,CI147&lt;$BR147-$BS147*$BS$2),AVEDEV(ARRAYFORMULA(XLOOKUP(FILTER(INDIRECT(""'""&amp;CI$1&amp;""'!$C$4:$C$66""),INDIRECT(""'""&amp;CI$1&amp;""'!$D$4:$D$66"")=CI$2),$F$3:$BP$3,$F147:$BP147))),"""")"),"")</f>
        <v/>
      </c>
      <c r="CK147" s="251">
        <f>IFERROR(__xludf.DUMMYFUNCTION("AVERAGE(ARRAYFORMULA(XLOOKUP(FILTER(INDIRECT(""'""&amp;CK$1&amp;""'!$C$4:$C$66""),INDIRECT(""'""&amp;CK$1&amp;""'!$D$4:$D$66"")=CK$2),$F$3:$BP$3,$F147:$BP147)))"),0.4700854717948718)</f>
        <v>0.4700854718</v>
      </c>
      <c r="CL147" s="207" t="str">
        <f>IFERROR(__xludf.DUMMYFUNCTION("IF(OR(CK147&gt;$BR147+$BS147*$BS$2,CK147&lt;$BR147-$BS147*$BS$2),AVEDEV(ARRAYFORMULA(XLOOKUP(FILTER(INDIRECT(""'""&amp;CK$1&amp;""'!$C$4:$C$66""),INDIRECT(""'""&amp;CK$1&amp;""'!$D$4:$D$66"")=CK$2),$F$3:$BP$3,$F147:$BP147))),"""")"),"")</f>
        <v/>
      </c>
      <c r="CM147" s="251">
        <f>IFERROR(__xludf.DUMMYFUNCTION("AVERAGE(ARRAYFORMULA(XLOOKUP(FILTER(INDIRECT(""'""&amp;CM$1&amp;""'!$C$4:$C$66""),INDIRECT(""'""&amp;CM$1&amp;""'!$D$4:$D$66"")=CM$2),$F$3:$BP$3,$F147:$BP147)))"),0.133333346)</f>
        <v>0.133333346</v>
      </c>
      <c r="CN147" s="207" t="str">
        <f>IFERROR(__xludf.DUMMYFUNCTION("IF(OR(CM147&gt;$BR147+$BS147*$BS$2,CM147&lt;$BR147-$BS147*$BS$2),AVEDEV(ARRAYFORMULA(XLOOKUP(FILTER(INDIRECT(""'""&amp;CM$1&amp;""'!$C$4:$C$66""),INDIRECT(""'""&amp;CM$1&amp;""'!$D$4:$D$66"")=CM$2),$F$3:$BP$3,$F147:$BP147))),"""")"),"")</f>
        <v/>
      </c>
      <c r="CO147" s="252"/>
      <c r="CP147" s="251">
        <f>IFERROR(__xludf.DUMMYFUNCTION("AVERAGE(ARRAYFORMULA(XLOOKUP(FILTER(INDIRECT(""'""&amp;CP$1&amp;""'!$C$4:$C$66""),INDIRECT(""'""&amp;CP$1&amp;""'!$D$4:$D$66"")=CP$2),$F$3:$BP$3,$F147:$BP147)))"),0.19047618857142856)</f>
        <v>0.1904761886</v>
      </c>
      <c r="CQ147" s="207" t="str">
        <f>IFERROR(__xludf.DUMMYFUNCTION("IF(OR(CP147&gt;$BR147+$BS147*$BS$2,CP147&lt;$BR147-$BS147*$BS$2),AVEDEV(ARRAYFORMULA(XLOOKUP(FILTER(INDIRECT(""'""&amp;CP$1&amp;""'!$C$4:$C$66""),INDIRECT(""'""&amp;CP$1&amp;""'!$D$4:$D$66"")=CP$2),$F$3:$BP$3,$F147:$BP147))),"""")"),"")</f>
        <v/>
      </c>
      <c r="CR147" s="251">
        <f>IFERROR(__xludf.DUMMYFUNCTION("AVERAGE(ARRAYFORMULA(XLOOKUP(FILTER(INDIRECT(""'""&amp;CR$1&amp;""'!$C$4:$C$66""),INDIRECT(""'""&amp;CR$1&amp;""'!$D$4:$D$66"")=CR$2),$F$3:$BP$3,$F147:$BP147)))"),1.4444444436841527E-8)</f>
        <v>0.00000001444444444</v>
      </c>
      <c r="CS147" s="207" t="str">
        <f>IFERROR(__xludf.DUMMYFUNCTION("IF(OR(CR147&gt;$BR147+$BS147*$BS$2,CR147&lt;$BR147-$BS147*$BS$2),AVEDEV(ARRAYFORMULA(XLOOKUP(FILTER(INDIRECT(""'""&amp;CR$1&amp;""'!$C$4:$C$66""),INDIRECT(""'""&amp;CR$1&amp;""'!$D$4:$D$66"")=CR$2),$F$3:$BP$3,$F147:$BP147))),"""")"),"")</f>
        <v/>
      </c>
      <c r="CT147" s="251">
        <f>IFERROR(__xludf.DUMMYFUNCTION("AVERAGE(ARRAYFORMULA(XLOOKUP(FILTER(INDIRECT(""'""&amp;CT$1&amp;""'!$C$4:$C$66""),INDIRECT(""'""&amp;CT$1&amp;""'!$D$4:$D$66"")=CT$2),$F$3:$BP$3,$F147:$BP147)))"),0.7878787881818181)</f>
        <v>0.7878787882</v>
      </c>
      <c r="CU147" s="207" t="str">
        <f>IFERROR(__xludf.DUMMYFUNCTION("IF(OR(CT147&gt;$BR147+$BS147*$BS$2,CT147&lt;$BR147-$BS147*$BS$2),AVEDEV(ARRAYFORMULA(XLOOKUP(FILTER(INDIRECT(""'""&amp;CT$1&amp;""'!$C$4:$C$66""),INDIRECT(""'""&amp;CT$1&amp;""'!$D$4:$D$66"")=CT$2),$F$3:$BP$3,$F147:$BP147))),"""")"),"")</f>
        <v/>
      </c>
      <c r="CV147" s="251">
        <f>IFERROR(__xludf.DUMMYFUNCTION("AVERAGE(ARRAYFORMULA(XLOOKUP(FILTER(INDIRECT(""'""&amp;CV$1&amp;""'!$C$4:$C$66""),INDIRECT(""'""&amp;CV$1&amp;""'!$D$4:$D$66"")=CV$2),$F$3:$BP$3,$F147:$BP147)))"),0.0)</f>
        <v>0</v>
      </c>
      <c r="CW147" s="207" t="str">
        <f>IFERROR(__xludf.DUMMYFUNCTION("IF(OR(CV147&gt;$BR147+$BS147*$BS$2,CV147&lt;$BR147-$BS147*$BS$2),AVEDEV(ARRAYFORMULA(XLOOKUP(FILTER(INDIRECT(""'""&amp;CV$1&amp;""'!$C$4:$C$66""),INDIRECT(""'""&amp;CV$1&amp;""'!$D$4:$D$66"")=CV$2),$F$3:$BP$3,$F147:$BP147))),"""")"),"")</f>
        <v/>
      </c>
      <c r="CX147" s="251">
        <f>IFERROR(__xludf.DUMMYFUNCTION("AVERAGE(ARRAYFORMULA(XLOOKUP(FILTER(INDIRECT(""'""&amp;CX$1&amp;""'!$C$4:$C$66""),INDIRECT(""'""&amp;CX$1&amp;""'!$D$4:$D$66"")=CX$2),$F$3:$BP$3,$F147:$BP147)))"),0.4761904771428571)</f>
        <v>0.4761904771</v>
      </c>
      <c r="CY147" s="207" t="str">
        <f>IFERROR(__xludf.DUMMYFUNCTION("IF(OR(CX147&gt;$BR147+$BS147*$BS$2,CX147&lt;$BR147-$BS147*$BS$2),AVEDEV(ARRAYFORMULA(XLOOKUP(FILTER(INDIRECT(""'""&amp;CX$1&amp;""'!$C$4:$C$66""),INDIRECT(""'""&amp;CX$1&amp;""'!$D$4:$D$66"")=CX$2),$F$3:$BP$3,$F147:$BP147))),"""")"),"")</f>
        <v/>
      </c>
      <c r="CZ147" s="252"/>
      <c r="DA147" s="251">
        <f>IFERROR(__xludf.DUMMYFUNCTION("AVERAGE(ARRAYFORMULA(XLOOKUP(FILTER(INDIRECT(""'""&amp;DA$1&amp;""'!$C$4:$C$66""),INDIRECT(""'""&amp;DA$1&amp;""'!$D$4:$D$66"")=DA$2),$F$3:$BP$3,$F147:$BP147)))"),0.32222222166666664)</f>
        <v>0.3222222217</v>
      </c>
      <c r="DB147" s="207" t="str">
        <f>IFERROR(__xludf.DUMMYFUNCTION("IF(OR(DA147&gt;$BR147+$BS147*$BS$2,DA147&lt;$BR147-$BS147*$BS$2),AVEDEV(ARRAYFORMULA(XLOOKUP(FILTER(INDIRECT(""'""&amp;DA$1&amp;""'!$C$4:$C$66""),INDIRECT(""'""&amp;DA$1&amp;""'!$D$4:$D$66"")=DA$2),$F$3:$BP$3,$F147:$BP147))),"""")"),"")</f>
        <v/>
      </c>
      <c r="DC147" s="251">
        <f>IFERROR(__xludf.DUMMYFUNCTION("AVERAGE(ARRAYFORMULA(XLOOKUP(FILTER(INDIRECT(""'""&amp;DC$1&amp;""'!$C$4:$C$66""),INDIRECT(""'""&amp;DC$1&amp;""'!$D$4:$D$66"")=DC$2),$F$3:$BP$3,$F147:$BP147)))"),0.18518519999999997)</f>
        <v>0.1851852</v>
      </c>
      <c r="DD147" s="207" t="str">
        <f>IFERROR(__xludf.DUMMYFUNCTION("IF(OR(DC147&gt;$BR147+$BS147*$BS$2,DC147&lt;$BR147-$BS147*$BS$2),AVEDEV(ARRAYFORMULA(XLOOKUP(FILTER(INDIRECT(""'""&amp;DC$1&amp;""'!$C$4:$C$66""),INDIRECT(""'""&amp;DC$1&amp;""'!$D$4:$D$66"")=DC$2),$F$3:$BP$3,$F147:$BP147))),"""")"),"")</f>
        <v/>
      </c>
      <c r="DE147" s="251">
        <f>IFERROR(__xludf.DUMMYFUNCTION("AVERAGE(ARRAYFORMULA(XLOOKUP(FILTER(INDIRECT(""'""&amp;DE$1&amp;""'!$C$4:$C$66""),INDIRECT(""'""&amp;DE$1&amp;""'!$D$4:$D$66"")=DE$2),$F$3:$BP$3,$F147:$BP147)))"),1.29166666875)</f>
        <v>1.291666669</v>
      </c>
      <c r="DF147" s="207">
        <f>IFERROR(__xludf.DUMMYFUNCTION("IF(OR(DE147&gt;$BR147+$BS147*$BS$2,DE147&lt;$BR147-$BS147*$BS$2),AVEDEV(ARRAYFORMULA(XLOOKUP(FILTER(INDIRECT(""'""&amp;DE$1&amp;""'!$C$4:$C$66""),INDIRECT(""'""&amp;DE$1&amp;""'!$D$4:$D$66"")=DE$2),$F$3:$BP$3,$F147:$BP147))),"""")"),0.5625000018749999)</f>
        <v>0.5625000019</v>
      </c>
      <c r="DG147" s="251">
        <f>IFERROR(__xludf.DUMMYFUNCTION("AVERAGE(ARRAYFORMULA(XLOOKUP(FILTER(INDIRECT(""'""&amp;DG$1&amp;""'!$C$4:$C$66""),INDIRECT(""'""&amp;DG$1&amp;""'!$D$4:$D$66"")=DG$2),$F$3:$BP$3,$F147:$BP147)))"),0.37037037000000006)</f>
        <v>0.37037037</v>
      </c>
      <c r="DH147" s="207" t="str">
        <f>IFERROR(__xludf.DUMMYFUNCTION("IF(OR(DG147&gt;$BR147+$BS147*$BS$2,DG147&lt;$BR147-$BS147*$BS$2),AVEDEV(ARRAYFORMULA(XLOOKUP(FILTER(INDIRECT(""'""&amp;DG$1&amp;""'!$C$4:$C$66""),INDIRECT(""'""&amp;DG$1&amp;""'!$D$4:$D$66"")=DG$2),$F$3:$BP$3,$F147:$BP147))),"""")"),"")</f>
        <v/>
      </c>
      <c r="DI147" s="252"/>
    </row>
    <row r="148">
      <c r="A148" s="2"/>
      <c r="B148" s="204" t="s">
        <v>540</v>
      </c>
      <c r="C148" s="204" t="s">
        <v>591</v>
      </c>
      <c r="D148" s="205" t="b">
        <f>VLOOKUP(C148,'Feature Set List'!A145:C246,2,0)</f>
        <v>1</v>
      </c>
      <c r="E148" s="205" t="b">
        <f>VLOOKUP(C148,'Feature Set List'!A145:C246,3,0)</f>
        <v>0</v>
      </c>
      <c r="F148" s="205">
        <v>-1.0</v>
      </c>
      <c r="G148" s="205">
        <v>1.0</v>
      </c>
      <c r="H148" s="205">
        <v>3.0</v>
      </c>
      <c r="I148" s="205">
        <v>0.0</v>
      </c>
      <c r="J148" s="205">
        <v>-1.0</v>
      </c>
      <c r="K148" s="205">
        <v>-1.0</v>
      </c>
      <c r="L148" s="205">
        <v>-1.0</v>
      </c>
      <c r="M148" s="205">
        <v>3.0</v>
      </c>
      <c r="N148" s="205">
        <v>0.0</v>
      </c>
      <c r="O148" s="205">
        <v>-1.0</v>
      </c>
      <c r="P148" s="205">
        <v>0.0</v>
      </c>
      <c r="Q148" s="205">
        <v>0.0</v>
      </c>
      <c r="R148" s="205">
        <v>3.0</v>
      </c>
      <c r="S148" s="205">
        <v>0.0</v>
      </c>
      <c r="T148" s="205">
        <v>0.0</v>
      </c>
      <c r="U148" s="205">
        <v>0.0</v>
      </c>
      <c r="V148" s="205">
        <v>-1.0</v>
      </c>
      <c r="W148" s="205">
        <v>-1.0</v>
      </c>
      <c r="X148" s="205">
        <v>-1.0</v>
      </c>
      <c r="Y148" s="205">
        <v>0.0</v>
      </c>
      <c r="Z148" s="205">
        <v>-1.0</v>
      </c>
      <c r="AA148" s="205">
        <v>0.0</v>
      </c>
      <c r="AB148" s="205">
        <v>-1.0</v>
      </c>
      <c r="AC148" s="205">
        <v>1.0</v>
      </c>
      <c r="AD148" s="205">
        <v>3.0</v>
      </c>
      <c r="AE148" s="205">
        <v>-1.0</v>
      </c>
      <c r="AF148" s="205">
        <v>0.0</v>
      </c>
      <c r="AG148" s="205">
        <v>-1.0</v>
      </c>
      <c r="AH148" s="205">
        <v>-1.0</v>
      </c>
      <c r="AI148" s="205">
        <v>-1.0</v>
      </c>
      <c r="AJ148" s="205">
        <v>2.95</v>
      </c>
      <c r="AK148" s="205">
        <v>0.0</v>
      </c>
      <c r="AL148" s="205">
        <v>-1.0</v>
      </c>
      <c r="AM148" s="205">
        <v>-0.6</v>
      </c>
      <c r="AN148" s="205">
        <v>3.0</v>
      </c>
      <c r="AO148" s="205">
        <v>0.0</v>
      </c>
      <c r="AP148" s="205">
        <v>3.0</v>
      </c>
      <c r="AQ148" s="205">
        <v>-1.0</v>
      </c>
      <c r="AR148" s="205">
        <v>0.0</v>
      </c>
      <c r="AS148" s="205">
        <v>3.0</v>
      </c>
      <c r="AT148" s="205">
        <v>0.0</v>
      </c>
      <c r="AU148" s="205">
        <v>0.0</v>
      </c>
      <c r="AV148" s="205">
        <v>0.0</v>
      </c>
      <c r="AW148" s="205">
        <v>0.0</v>
      </c>
      <c r="AX148" s="205">
        <v>2.95</v>
      </c>
      <c r="AY148" s="205">
        <v>0.0</v>
      </c>
      <c r="AZ148" s="205">
        <v>-1.0</v>
      </c>
      <c r="BA148" s="205">
        <v>0.0</v>
      </c>
      <c r="BB148" s="205">
        <v>-0.6</v>
      </c>
      <c r="BC148" s="205">
        <v>-1.0</v>
      </c>
      <c r="BD148" s="205">
        <v>1.0</v>
      </c>
      <c r="BE148" s="205">
        <v>0.0</v>
      </c>
      <c r="BF148" s="205">
        <v>-1.0</v>
      </c>
      <c r="BG148" s="205">
        <v>1.0</v>
      </c>
      <c r="BH148" s="205">
        <v>0.0</v>
      </c>
      <c r="BI148" s="205">
        <v>-0.6</v>
      </c>
      <c r="BJ148" s="205">
        <v>-1.0</v>
      </c>
      <c r="BK148" s="205">
        <v>0.0</v>
      </c>
      <c r="BL148" s="205">
        <v>-1.0</v>
      </c>
      <c r="BM148" s="205">
        <v>-1.0</v>
      </c>
      <c r="BN148" s="205">
        <v>-1.0</v>
      </c>
      <c r="BO148" s="205">
        <v>-1.0</v>
      </c>
      <c r="BP148" s="205">
        <v>-1.0</v>
      </c>
      <c r="BQ148" s="206"/>
      <c r="BR148" s="250">
        <f t="shared" si="1"/>
        <v>0.06507936508</v>
      </c>
      <c r="BS148" s="250">
        <f t="shared" si="2"/>
        <v>0.9540942303</v>
      </c>
      <c r="BT148" s="206"/>
      <c r="BU148" s="207">
        <f>IFERROR(__xludf.DUMMYFUNCTION("AVERAGE(ARRAYFORMULA(XLOOKUP(FILTER(INDIRECT(""'""&amp;BU$1&amp;""'!$C$4:$C$66""),INDIRECT(""'""&amp;BU$1&amp;""'!$D$4:$D$66"")=BU$2),$F$3:$BP$3,$F148:$BP148)))"),0.85)</f>
        <v>0.85</v>
      </c>
      <c r="BV148" s="207" t="str">
        <f>IFERROR(__xludf.DUMMYFUNCTION("IF(OR(BU148&gt;$BR148+$BS148*$BS$2,BU148&lt;$BR148-$BS148*$BS$2),AVEDEV(ARRAYFORMULA(XLOOKUP(FILTER(INDIRECT(""'""&amp;BU$1&amp;""'!$C$4:$C$66""),INDIRECT(""'""&amp;BU$1&amp;""'!$D$4:$D$66"")=BU$2),$F$3:$BP$3,$F148:$BP148))),"""")"),"")</f>
        <v/>
      </c>
      <c r="BW148" s="207">
        <f>IFERROR(__xludf.DUMMYFUNCTION("AVERAGE(ARRAYFORMULA(XLOOKUP(FILTER(INDIRECT(""'""&amp;BW$1&amp;""'!$C$4:$C$66""),INDIRECT(""'""&amp;BW$1&amp;""'!$D$4:$D$66"")=BW$2),$F$3:$BP$3,$F148:$BP148)))"),0.12261904761904763)</f>
        <v>0.1226190476</v>
      </c>
      <c r="BX148" s="207" t="str">
        <f>IFERROR(__xludf.DUMMYFUNCTION("IF(OR(BW148&gt;$BR148+$BS148*$BS$2,BW148&lt;$BR148-$BS148*$BS$2),AVEDEV(ARRAYFORMULA(XLOOKUP(FILTER(INDIRECT(""'""&amp;BW$1&amp;""'!$C$4:$C$66""),INDIRECT(""'""&amp;BW$1&amp;""'!$D$4:$D$66"")=BW$2),$F$3:$BP$3,$F148:$BP148))),"""")"),"")</f>
        <v/>
      </c>
      <c r="BY148" s="207">
        <f>IFERROR(__xludf.DUMMYFUNCTION("AVERAGE(ARRAYFORMULA(XLOOKUP(FILTER(INDIRECT(""'""&amp;BY$1&amp;""'!$C$4:$C$66""),INDIRECT(""'""&amp;BY$1&amp;""'!$D$4:$D$66"")=BY$2),$F$3:$BP$3,$F148:$BP148)))"),-0.8181818181818182)</f>
        <v>-0.8181818182</v>
      </c>
      <c r="BZ148" s="207" t="str">
        <f>IFERROR(__xludf.DUMMYFUNCTION("IF(OR(BY148&gt;$BR148+$BS148*$BS$2,BY148&lt;$BR148-$BS148*$BS$2),AVEDEV(ARRAYFORMULA(XLOOKUP(FILTER(INDIRECT(""'""&amp;BY$1&amp;""'!$C$4:$C$66""),INDIRECT(""'""&amp;BY$1&amp;""'!$D$4:$D$66"")=BY$2),$F$3:$BP$3,$F148:$BP148))),"""")"),"")</f>
        <v/>
      </c>
      <c r="CA148" s="209"/>
      <c r="CB148" s="207">
        <f>IFERROR(__xludf.DUMMYFUNCTION("AVERAGE(ARRAYFORMULA(XLOOKUP(FILTER(INDIRECT(""'""&amp;CB$1&amp;""'!$C$4:$C$66""),INDIRECT(""'""&amp;CB$1&amp;""'!$D$4:$D$66"")=CB$2),$F$3:$BP$3,$F148:$BP148)))"),0.871875)</f>
        <v>0.871875</v>
      </c>
      <c r="CC148" s="207" t="str">
        <f>IFERROR(__xludf.DUMMYFUNCTION("IF(OR(CB148&gt;$BR148+$BS148*$BS$2,CB148&lt;$BR148-$BS148*$BS$2),AVEDEV(ARRAYFORMULA(XLOOKUP(FILTER(INDIRECT(""'""&amp;CB$1&amp;""'!$C$4:$C$66""),INDIRECT(""'""&amp;CB$1&amp;""'!$D$4:$D$66"")=CB$2),$F$3:$BP$3,$F148:$BP148))),"""")"),"")</f>
        <v/>
      </c>
      <c r="CD148" s="207">
        <f>IFERROR(__xludf.DUMMYFUNCTION("AVERAGE(ARRAYFORMULA(XLOOKUP(FILTER(INDIRECT(""'""&amp;CD$1&amp;""'!$C$4:$C$66""),INDIRECT(""'""&amp;CD$1&amp;""'!$D$4:$D$66"")=CD$2),$F$3:$BP$3,$F148:$BP148)))"),-0.22096774193548385)</f>
        <v>-0.2209677419</v>
      </c>
      <c r="CE148" s="207" t="str">
        <f>IFERROR(__xludf.DUMMYFUNCTION("IF(OR(CD148&gt;$BR148+$BS148*$BS$2,CD148&lt;$BR148-$BS148*$BS$2),AVEDEV(ARRAYFORMULA(XLOOKUP(FILTER(INDIRECT(""'""&amp;CD$1&amp;""'!$C$4:$C$66""),INDIRECT(""'""&amp;CD$1&amp;""'!$D$4:$D$66"")=CD$2),$F$3:$BP$3,$F148:$BP148))),"""")"),"")</f>
        <v/>
      </c>
      <c r="CF148" s="207">
        <f>IFERROR(__xludf.DUMMYFUNCTION("AVERAGE(ARRAYFORMULA(XLOOKUP(FILTER(INDIRECT(""'""&amp;CF$1&amp;""'!$C$4:$C$66""),INDIRECT(""'""&amp;CF$1&amp;""'!$D$4:$D$66"")=CF$2),$F$3:$BP$3,$F148:$BP148)))"),-0.6)</f>
        <v>-0.6</v>
      </c>
      <c r="CG148" s="207" t="str">
        <f>IFERROR(__xludf.DUMMYFUNCTION("IF(OR(CF148&gt;$BR148+$BS148*$BS$2,CF148&lt;$BR148-$BS148*$BS$2),AVEDEV(ARRAYFORMULA(XLOOKUP(FILTER(INDIRECT(""'""&amp;CF$1&amp;""'!$C$4:$C$66""),INDIRECT(""'""&amp;CF$1&amp;""'!$D$4:$D$66"")=CF$2),$F$3:$BP$3,$F148:$BP148))),"""")"),"")</f>
        <v/>
      </c>
      <c r="CH148" s="206"/>
      <c r="CI148" s="251">
        <f>IFERROR(__xludf.DUMMYFUNCTION("AVERAGE(ARRAYFORMULA(XLOOKUP(FILTER(INDIRECT(""'""&amp;CI$1&amp;""'!$C$4:$C$66""),INDIRECT(""'""&amp;CI$1&amp;""'!$D$4:$D$66"")=CI$2),$F$3:$BP$3,$F148:$BP148)))"),0.13333333333333333)</f>
        <v>0.1333333333</v>
      </c>
      <c r="CJ148" s="207" t="str">
        <f>IFERROR(__xludf.DUMMYFUNCTION("IF(OR(CI148&gt;$BR148+$BS148*$BS$2,CI148&lt;$BR148-$BS148*$BS$2),AVEDEV(ARRAYFORMULA(XLOOKUP(FILTER(INDIRECT(""'""&amp;CI$1&amp;""'!$C$4:$C$66""),INDIRECT(""'""&amp;CI$1&amp;""'!$D$4:$D$66"")=CI$2),$F$3:$BP$3,$F148:$BP148))),"""")"),"")</f>
        <v/>
      </c>
      <c r="CK148" s="251">
        <f>IFERROR(__xludf.DUMMYFUNCTION("AVERAGE(ARRAYFORMULA(XLOOKUP(FILTER(INDIRECT(""'""&amp;CK$1&amp;""'!$C$4:$C$66""),INDIRECT(""'""&amp;CK$1&amp;""'!$D$4:$D$66"")=CK$2),$F$3:$BP$3,$F148:$BP148)))"),0.07948717948717952)</f>
        <v>0.07948717949</v>
      </c>
      <c r="CL148" s="207" t="str">
        <f>IFERROR(__xludf.DUMMYFUNCTION("IF(OR(CK148&gt;$BR148+$BS148*$BS$2,CK148&lt;$BR148-$BS148*$BS$2),AVEDEV(ARRAYFORMULA(XLOOKUP(FILTER(INDIRECT(""'""&amp;CK$1&amp;""'!$C$4:$C$66""),INDIRECT(""'""&amp;CK$1&amp;""'!$D$4:$D$66"")=CK$2),$F$3:$BP$3,$F148:$BP148))),"""")"),"")</f>
        <v/>
      </c>
      <c r="CM148" s="251">
        <f>IFERROR(__xludf.DUMMYFUNCTION("AVERAGE(ARRAYFORMULA(XLOOKUP(FILTER(INDIRECT(""'""&amp;CM$1&amp;""'!$C$4:$C$66""),INDIRECT(""'""&amp;CM$1&amp;""'!$D$4:$D$66"")=CM$2),$F$3:$BP$3,$F148:$BP148)))"),-0.6)</f>
        <v>-0.6</v>
      </c>
      <c r="CN148" s="207" t="str">
        <f>IFERROR(__xludf.DUMMYFUNCTION("IF(OR(CM148&gt;$BR148+$BS148*$BS$2,CM148&lt;$BR148-$BS148*$BS$2),AVEDEV(ARRAYFORMULA(XLOOKUP(FILTER(INDIRECT(""'""&amp;CM$1&amp;""'!$C$4:$C$66""),INDIRECT(""'""&amp;CM$1&amp;""'!$D$4:$D$66"")=CM$2),$F$3:$BP$3,$F148:$BP148))),"""")"),"")</f>
        <v/>
      </c>
      <c r="CO148" s="252"/>
      <c r="CP148" s="251">
        <f>IFERROR(__xludf.DUMMYFUNCTION("AVERAGE(ARRAYFORMULA(XLOOKUP(FILTER(INDIRECT(""'""&amp;CP$1&amp;""'!$C$4:$C$66""),INDIRECT(""'""&amp;CP$1&amp;""'!$D$4:$D$66"")=CP$2),$F$3:$BP$3,$F148:$BP148)))"),0.7821428571428571)</f>
        <v>0.7821428571</v>
      </c>
      <c r="CQ148" s="207" t="str">
        <f>IFERROR(__xludf.DUMMYFUNCTION("IF(OR(CP148&gt;$BR148+$BS148*$BS$2,CP148&lt;$BR148-$BS148*$BS$2),AVEDEV(ARRAYFORMULA(XLOOKUP(FILTER(INDIRECT(""'""&amp;CP$1&amp;""'!$C$4:$C$66""),INDIRECT(""'""&amp;CP$1&amp;""'!$D$4:$D$66"")=CP$2),$F$3:$BP$3,$F148:$BP148))),"""")"),"")</f>
        <v/>
      </c>
      <c r="CR148" s="251">
        <f>IFERROR(__xludf.DUMMYFUNCTION("AVERAGE(ARRAYFORMULA(XLOOKUP(FILTER(INDIRECT(""'""&amp;CR$1&amp;""'!$C$4:$C$66""),INDIRECT(""'""&amp;CR$1&amp;""'!$D$4:$D$66"")=CR$2),$F$3:$BP$3,$F148:$BP148)))"),-0.8888888888888888)</f>
        <v>-0.8888888889</v>
      </c>
      <c r="CS148" s="207" t="str">
        <f>IFERROR(__xludf.DUMMYFUNCTION("IF(OR(CR148&gt;$BR148+$BS148*$BS$2,CR148&lt;$BR148-$BS148*$BS$2),AVEDEV(ARRAYFORMULA(XLOOKUP(FILTER(INDIRECT(""'""&amp;CR$1&amp;""'!$C$4:$C$66""),INDIRECT(""'""&amp;CR$1&amp;""'!$D$4:$D$66"")=CR$2),$F$3:$BP$3,$F148:$BP148))),"""")"),"")</f>
        <v/>
      </c>
      <c r="CT148" s="251">
        <f>IFERROR(__xludf.DUMMYFUNCTION("AVERAGE(ARRAYFORMULA(XLOOKUP(FILTER(INDIRECT(""'""&amp;CT$1&amp;""'!$C$4:$C$66""),INDIRECT(""'""&amp;CT$1&amp;""'!$D$4:$D$66"")=CT$2),$F$3:$BP$3,$F148:$BP148)))"),0.0)</f>
        <v>0</v>
      </c>
      <c r="CU148" s="207" t="str">
        <f>IFERROR(__xludf.DUMMYFUNCTION("IF(OR(CT148&gt;$BR148+$BS148*$BS$2,CT148&lt;$BR148-$BS148*$BS$2),AVEDEV(ARRAYFORMULA(XLOOKUP(FILTER(INDIRECT(""'""&amp;CT$1&amp;""'!$C$4:$C$66""),INDIRECT(""'""&amp;CT$1&amp;""'!$D$4:$D$66"")=CT$2),$F$3:$BP$3,$F148:$BP148))),"""")"),"")</f>
        <v/>
      </c>
      <c r="CV148" s="251">
        <f>IFERROR(__xludf.DUMMYFUNCTION("AVERAGE(ARRAYFORMULA(XLOOKUP(FILTER(INDIRECT(""'""&amp;CV$1&amp;""'!$C$4:$C$66""),INDIRECT(""'""&amp;CV$1&amp;""'!$D$4:$D$66"")=CV$2),$F$3:$BP$3,$F148:$BP148)))"),1.0)</f>
        <v>1</v>
      </c>
      <c r="CW148" s="207" t="str">
        <f>IFERROR(__xludf.DUMMYFUNCTION("IF(OR(CV148&gt;$BR148+$BS148*$BS$2,CV148&lt;$BR148-$BS148*$BS$2),AVEDEV(ARRAYFORMULA(XLOOKUP(FILTER(INDIRECT(""'""&amp;CV$1&amp;""'!$C$4:$C$66""),INDIRECT(""'""&amp;CV$1&amp;""'!$D$4:$D$66"")=CV$2),$F$3:$BP$3,$F148:$BP148))),"""")"),"")</f>
        <v/>
      </c>
      <c r="CX148" s="251">
        <f>IFERROR(__xludf.DUMMYFUNCTION("AVERAGE(ARRAYFORMULA(XLOOKUP(FILTER(INDIRECT(""'""&amp;CX$1&amp;""'!$C$4:$C$66""),INDIRECT(""'""&amp;CX$1&amp;""'!$D$4:$D$66"")=CX$2),$F$3:$BP$3,$F148:$BP148)))"),-0.4857142857142857)</f>
        <v>-0.4857142857</v>
      </c>
      <c r="CY148" s="207" t="str">
        <f>IFERROR(__xludf.DUMMYFUNCTION("IF(OR(CX148&gt;$BR148+$BS148*$BS$2,CX148&lt;$BR148-$BS148*$BS$2),AVEDEV(ARRAYFORMULA(XLOOKUP(FILTER(INDIRECT(""'""&amp;CX$1&amp;""'!$C$4:$C$66""),INDIRECT(""'""&amp;CX$1&amp;""'!$D$4:$D$66"")=CX$2),$F$3:$BP$3,$F148:$BP148))),"""")"),"")</f>
        <v/>
      </c>
      <c r="CZ148" s="252"/>
      <c r="DA148" s="251">
        <f>IFERROR(__xludf.DUMMYFUNCTION("AVERAGE(ARRAYFORMULA(XLOOKUP(FILTER(INDIRECT(""'""&amp;DA$1&amp;""'!$C$4:$C$66""),INDIRECT(""'""&amp;DA$1&amp;""'!$D$4:$D$66"")=DA$2),$F$3:$BP$3,$F148:$BP148)))"),0.23833333333333334)</f>
        <v>0.2383333333</v>
      </c>
      <c r="DB148" s="207" t="str">
        <f>IFERROR(__xludf.DUMMYFUNCTION("IF(OR(DA148&gt;$BR148+$BS148*$BS$2,DA148&lt;$BR148-$BS148*$BS$2),AVEDEV(ARRAYFORMULA(XLOOKUP(FILTER(INDIRECT(""'""&amp;DA$1&amp;""'!$C$4:$C$66""),INDIRECT(""'""&amp;DA$1&amp;""'!$D$4:$D$66"")=DA$2),$F$3:$BP$3,$F148:$BP148))),"""")"),"")</f>
        <v/>
      </c>
      <c r="DC148" s="251">
        <f>IFERROR(__xludf.DUMMYFUNCTION("AVERAGE(ARRAYFORMULA(XLOOKUP(FILTER(INDIRECT(""'""&amp;DC$1&amp;""'!$C$4:$C$66""),INDIRECT(""'""&amp;DC$1&amp;""'!$D$4:$D$66"")=DC$2),$F$3:$BP$3,$F148:$BP148)))"),-0.7777777777777778)</f>
        <v>-0.7777777778</v>
      </c>
      <c r="DD148" s="207" t="str">
        <f>IFERROR(__xludf.DUMMYFUNCTION("IF(OR(DC148&gt;$BR148+$BS148*$BS$2,DC148&lt;$BR148-$BS148*$BS$2),AVEDEV(ARRAYFORMULA(XLOOKUP(FILTER(INDIRECT(""'""&amp;DC$1&amp;""'!$C$4:$C$66""),INDIRECT(""'""&amp;DC$1&amp;""'!$D$4:$D$66"")=DC$2),$F$3:$BP$3,$F148:$BP148))),"""")"),"")</f>
        <v/>
      </c>
      <c r="DE148" s="251">
        <f>IFERROR(__xludf.DUMMYFUNCTION("AVERAGE(ARRAYFORMULA(XLOOKUP(FILTER(INDIRECT(""'""&amp;DE$1&amp;""'!$C$4:$C$66""),INDIRECT(""'""&amp;DE$1&amp;""'!$D$4:$D$66"")=DE$2),$F$3:$BP$3,$F148:$BP148)))"),0.49375)</f>
        <v>0.49375</v>
      </c>
      <c r="DF148" s="207" t="str">
        <f>IFERROR(__xludf.DUMMYFUNCTION("IF(OR(DE148&gt;$BR148+$BS148*$BS$2,DE148&lt;$BR148-$BS148*$BS$2),AVEDEV(ARRAYFORMULA(XLOOKUP(FILTER(INDIRECT(""'""&amp;DE$1&amp;""'!$C$4:$C$66""),INDIRECT(""'""&amp;DE$1&amp;""'!$D$4:$D$66"")=DE$2),$F$3:$BP$3,$F148:$BP148))),"""")"),"")</f>
        <v/>
      </c>
      <c r="DG148" s="251">
        <f>IFERROR(__xludf.DUMMYFUNCTION("AVERAGE(ARRAYFORMULA(XLOOKUP(FILTER(INDIRECT(""'""&amp;DG$1&amp;""'!$C$4:$C$66""),INDIRECT(""'""&amp;DG$1&amp;""'!$D$4:$D$66"")=DG$2),$F$3:$BP$3,$F148:$BP148)))"),-0.3333333333333333)</f>
        <v>-0.3333333333</v>
      </c>
      <c r="DH148" s="207" t="str">
        <f>IFERROR(__xludf.DUMMYFUNCTION("IF(OR(DG148&gt;$BR148+$BS148*$BS$2,DG148&lt;$BR148-$BS148*$BS$2),AVEDEV(ARRAYFORMULA(XLOOKUP(FILTER(INDIRECT(""'""&amp;DG$1&amp;""'!$C$4:$C$66""),INDIRECT(""'""&amp;DG$1&amp;""'!$D$4:$D$66"")=DG$2),$F$3:$BP$3,$F148:$BP148))),"""")"),"")</f>
        <v/>
      </c>
      <c r="DI148" s="252"/>
    </row>
    <row r="149">
      <c r="A149" s="2"/>
      <c r="B149" s="204" t="s">
        <v>540</v>
      </c>
      <c r="C149" s="204" t="s">
        <v>592</v>
      </c>
      <c r="D149" s="205" t="b">
        <f>VLOOKUP(C149,'Feature Set List'!A146:C246,2,0)</f>
        <v>1</v>
      </c>
      <c r="E149" s="205" t="b">
        <f>VLOOKUP(C149,'Feature Set List'!A146:C246,3,0)</f>
        <v>0</v>
      </c>
      <c r="F149" s="205">
        <v>0.0</v>
      </c>
      <c r="G149" s="205">
        <v>-1.0</v>
      </c>
      <c r="H149" s="205">
        <v>-1.0</v>
      </c>
      <c r="I149" s="205">
        <v>-1.0</v>
      </c>
      <c r="J149" s="205">
        <v>0.0</v>
      </c>
      <c r="K149" s="205">
        <v>0.0</v>
      </c>
      <c r="L149" s="205">
        <v>0.95</v>
      </c>
      <c r="M149" s="205">
        <v>0.0</v>
      </c>
      <c r="N149" s="205">
        <v>-1.0</v>
      </c>
      <c r="O149" s="205">
        <v>-0.6</v>
      </c>
      <c r="P149" s="205">
        <v>-1.0</v>
      </c>
      <c r="Q149" s="205">
        <v>-1.0</v>
      </c>
      <c r="R149" s="205">
        <v>0.0</v>
      </c>
      <c r="S149" s="205">
        <v>-1.0</v>
      </c>
      <c r="T149" s="205">
        <v>-1.0</v>
      </c>
      <c r="U149" s="205">
        <v>3.0</v>
      </c>
      <c r="V149" s="205">
        <v>-0.6</v>
      </c>
      <c r="W149" s="205">
        <v>3.0</v>
      </c>
      <c r="X149" s="205">
        <v>0.0</v>
      </c>
      <c r="Y149" s="205">
        <v>3.0</v>
      </c>
      <c r="Z149" s="205">
        <v>-0.6</v>
      </c>
      <c r="AA149" s="205">
        <v>-1.0</v>
      </c>
      <c r="AB149" s="205">
        <v>-0.6</v>
      </c>
      <c r="AC149" s="205">
        <v>-0.6</v>
      </c>
      <c r="AD149" s="205">
        <v>-1.0</v>
      </c>
      <c r="AE149" s="205">
        <v>0.0</v>
      </c>
      <c r="AF149" s="205">
        <v>1.0</v>
      </c>
      <c r="AG149" s="205">
        <v>0.0</v>
      </c>
      <c r="AH149" s="205">
        <v>1.0</v>
      </c>
      <c r="AI149" s="205">
        <v>0.0</v>
      </c>
      <c r="AJ149" s="205">
        <v>0.0</v>
      </c>
      <c r="AK149" s="205">
        <v>-1.0</v>
      </c>
      <c r="AL149" s="205">
        <v>0.0</v>
      </c>
      <c r="AM149" s="205">
        <v>-1.0</v>
      </c>
      <c r="AN149" s="205">
        <v>0.0</v>
      </c>
      <c r="AO149" s="205">
        <v>3.0</v>
      </c>
      <c r="AP149" s="205">
        <v>0.0</v>
      </c>
      <c r="AQ149" s="205">
        <v>1.0</v>
      </c>
      <c r="AR149" s="205">
        <v>-1.0</v>
      </c>
      <c r="AS149" s="205">
        <v>0.0</v>
      </c>
      <c r="AT149" s="205">
        <v>-1.0</v>
      </c>
      <c r="AU149" s="205">
        <v>3.0</v>
      </c>
      <c r="AV149" s="205">
        <v>-1.0</v>
      </c>
      <c r="AW149" s="205">
        <v>3.0</v>
      </c>
      <c r="AX149" s="205">
        <v>-1.0</v>
      </c>
      <c r="AY149" s="205">
        <v>3.0</v>
      </c>
      <c r="AZ149" s="205">
        <v>-0.6</v>
      </c>
      <c r="BA149" s="205">
        <v>-1.0</v>
      </c>
      <c r="BB149" s="205">
        <v>-1.0</v>
      </c>
      <c r="BC149" s="205">
        <v>-0.75</v>
      </c>
      <c r="BD149" s="205">
        <v>3.0</v>
      </c>
      <c r="BE149" s="205">
        <v>3.0</v>
      </c>
      <c r="BF149" s="205">
        <v>0.0</v>
      </c>
      <c r="BG149" s="205">
        <v>-0.6</v>
      </c>
      <c r="BH149" s="205">
        <v>-1.0</v>
      </c>
      <c r="BI149" s="205">
        <v>-1.0</v>
      </c>
      <c r="BJ149" s="205">
        <v>1.0</v>
      </c>
      <c r="BK149" s="205">
        <v>-0.6</v>
      </c>
      <c r="BL149" s="205">
        <v>0.0</v>
      </c>
      <c r="BM149" s="205">
        <v>0.0</v>
      </c>
      <c r="BN149" s="205">
        <v>0.0</v>
      </c>
      <c r="BO149" s="205">
        <v>1.05</v>
      </c>
      <c r="BP149" s="205">
        <v>0.0</v>
      </c>
      <c r="BQ149" s="206"/>
      <c r="BR149" s="250">
        <f t="shared" si="1"/>
        <v>0.1182539683</v>
      </c>
      <c r="BS149" s="250">
        <f t="shared" si="2"/>
        <v>0.9913076342</v>
      </c>
      <c r="BT149" s="206"/>
      <c r="BU149" s="207">
        <f>IFERROR(__xludf.DUMMYFUNCTION("AVERAGE(ARRAYFORMULA(XLOOKUP(FILTER(INDIRECT(""'""&amp;BU$1&amp;""'!$C$4:$C$66""),INDIRECT(""'""&amp;BU$1&amp;""'!$D$4:$D$66"")=BU$2),$F$3:$BP$3,$F149:$BP149)))"),0.34285714285714286)</f>
        <v>0.3428571429</v>
      </c>
      <c r="BV149" s="207" t="str">
        <f>IFERROR(__xludf.DUMMYFUNCTION("IF(OR(BU149&gt;$BR149+$BS149*$BS$2,BU149&lt;$BR149-$BS149*$BS$2),AVEDEV(ARRAYFORMULA(XLOOKUP(FILTER(INDIRECT(""'""&amp;BU$1&amp;""'!$C$4:$C$66""),INDIRECT(""'""&amp;BU$1&amp;""'!$D$4:$D$66"")=BU$2),$F$3:$BP$3,$F149:$BP149))),"""")"),"")</f>
        <v/>
      </c>
      <c r="BW149" s="207">
        <f>IFERROR(__xludf.DUMMYFUNCTION("AVERAGE(ARRAYFORMULA(XLOOKUP(FILTER(INDIRECT(""'""&amp;BW$1&amp;""'!$C$4:$C$66""),INDIRECT(""'""&amp;BW$1&amp;""'!$D$4:$D$66"")=BW$2),$F$3:$BP$3,$F149:$BP149)))"),0.15833333333333335)</f>
        <v>0.1583333333</v>
      </c>
      <c r="BX149" s="207" t="str">
        <f>IFERROR(__xludf.DUMMYFUNCTION("IF(OR(BW149&gt;$BR149+$BS149*$BS$2,BW149&lt;$BR149-$BS149*$BS$2),AVEDEV(ARRAYFORMULA(XLOOKUP(FILTER(INDIRECT(""'""&amp;BW$1&amp;""'!$C$4:$C$66""),INDIRECT(""'""&amp;BW$1&amp;""'!$D$4:$D$66"")=BW$2),$F$3:$BP$3,$F149:$BP149))),"""")"),"")</f>
        <v/>
      </c>
      <c r="BY149" s="207">
        <f>IFERROR(__xludf.DUMMYFUNCTION("AVERAGE(ARRAYFORMULA(XLOOKUP(FILTER(INDIRECT(""'""&amp;BY$1&amp;""'!$C$4:$C$66""),INDIRECT(""'""&amp;BY$1&amp;""'!$D$4:$D$66"")=BY$2),$F$3:$BP$3,$F149:$BP149)))"),0.10454545454545454)</f>
        <v>0.1045454545</v>
      </c>
      <c r="BZ149" s="207" t="str">
        <f>IFERROR(__xludf.DUMMYFUNCTION("IF(OR(BY149&gt;$BR149+$BS149*$BS$2,BY149&lt;$BR149-$BS149*$BS$2),AVEDEV(ARRAYFORMULA(XLOOKUP(FILTER(INDIRECT(""'""&amp;BY$1&amp;""'!$C$4:$C$66""),INDIRECT(""'""&amp;BY$1&amp;""'!$D$4:$D$66"")=BY$2),$F$3:$BP$3,$F149:$BP149))),"""")"),"")</f>
        <v/>
      </c>
      <c r="CA149" s="209"/>
      <c r="CB149" s="207">
        <f>IFERROR(__xludf.DUMMYFUNCTION("AVERAGE(ARRAYFORMULA(XLOOKUP(FILTER(INDIRECT(""'""&amp;CB$1&amp;""'!$C$4:$C$66""),INDIRECT(""'""&amp;CB$1&amp;""'!$D$4:$D$66"")=CB$2),$F$3:$BP$3,$F149:$BP149)))"),0.3125)</f>
        <v>0.3125</v>
      </c>
      <c r="CC149" s="207" t="str">
        <f>IFERROR(__xludf.DUMMYFUNCTION("IF(OR(CB149&gt;$BR149+$BS149*$BS$2,CB149&lt;$BR149-$BS149*$BS$2),AVEDEV(ARRAYFORMULA(XLOOKUP(FILTER(INDIRECT(""'""&amp;CB$1&amp;""'!$C$4:$C$66""),INDIRECT(""'""&amp;CB$1&amp;""'!$D$4:$D$66"")=CB$2),$F$3:$BP$3,$F149:$BP149))),"""")"),"")</f>
        <v/>
      </c>
      <c r="CD149" s="207">
        <f>IFERROR(__xludf.DUMMYFUNCTION("AVERAGE(ARRAYFORMULA(XLOOKUP(FILTER(INDIRECT(""'""&amp;CD$1&amp;""'!$C$4:$C$66""),INDIRECT(""'""&amp;CD$1&amp;""'!$D$4:$D$66"")=CD$2),$F$3:$BP$3,$F149:$BP149)))"),0.06451612903225806)</f>
        <v>0.06451612903</v>
      </c>
      <c r="CE149" s="207" t="str">
        <f>IFERROR(__xludf.DUMMYFUNCTION("IF(OR(CD149&gt;$BR149+$BS149*$BS$2,CD149&lt;$BR149-$BS149*$BS$2),AVEDEV(ARRAYFORMULA(XLOOKUP(FILTER(INDIRECT(""'""&amp;CD$1&amp;""'!$C$4:$C$66""),INDIRECT(""'""&amp;CD$1&amp;""'!$D$4:$D$66"")=CD$2),$F$3:$BP$3,$F149:$BP149))),"""")"),"")</f>
        <v/>
      </c>
      <c r="CF149" s="207">
        <f>IFERROR(__xludf.DUMMYFUNCTION("AVERAGE(ARRAYFORMULA(XLOOKUP(FILTER(INDIRECT(""'""&amp;CF$1&amp;""'!$C$4:$C$66""),INDIRECT(""'""&amp;CF$1&amp;""'!$D$4:$D$66"")=CF$2),$F$3:$BP$3,$F149:$BP149)))"),-0.64)</f>
        <v>-0.64</v>
      </c>
      <c r="CG149" s="207" t="str">
        <f>IFERROR(__xludf.DUMMYFUNCTION("IF(OR(CF149&gt;$BR149+$BS149*$BS$2,CF149&lt;$BR149-$BS149*$BS$2),AVEDEV(ARRAYFORMULA(XLOOKUP(FILTER(INDIRECT(""'""&amp;CF$1&amp;""'!$C$4:$C$66""),INDIRECT(""'""&amp;CF$1&amp;""'!$D$4:$D$66"")=CF$2),$F$3:$BP$3,$F149:$BP149))),"""")"),"")</f>
        <v/>
      </c>
      <c r="CH149" s="206"/>
      <c r="CI149" s="251">
        <f>IFERROR(__xludf.DUMMYFUNCTION("AVERAGE(ARRAYFORMULA(XLOOKUP(FILTER(INDIRECT(""'""&amp;CI$1&amp;""'!$C$4:$C$66""),INDIRECT(""'""&amp;CI$1&amp;""'!$D$4:$D$66"")=CI$2),$F$3:$BP$3,$F149:$BP149)))"),0.05333333333333333)</f>
        <v>0.05333333333</v>
      </c>
      <c r="CJ149" s="207" t="str">
        <f>IFERROR(__xludf.DUMMYFUNCTION("IF(OR(CI149&gt;$BR149+$BS149*$BS$2,CI149&lt;$BR149-$BS149*$BS$2),AVEDEV(ARRAYFORMULA(XLOOKUP(FILTER(INDIRECT(""'""&amp;CI$1&amp;""'!$C$4:$C$66""),INDIRECT(""'""&amp;CI$1&amp;""'!$D$4:$D$66"")=CI$2),$F$3:$BP$3,$F149:$BP149))),"""")"),"")</f>
        <v/>
      </c>
      <c r="CK149" s="251">
        <f>IFERROR(__xludf.DUMMYFUNCTION("AVERAGE(ARRAYFORMULA(XLOOKUP(FILTER(INDIRECT(""'""&amp;CK$1&amp;""'!$C$4:$C$66""),INDIRECT(""'""&amp;CK$1&amp;""'!$D$4:$D$66"")=CK$2),$F$3:$BP$3,$F149:$BP149)))"),0.3384615384615384)</f>
        <v>0.3384615385</v>
      </c>
      <c r="CL149" s="207" t="str">
        <f>IFERROR(__xludf.DUMMYFUNCTION("IF(OR(CK149&gt;$BR149+$BS149*$BS$2,CK149&lt;$BR149-$BS149*$BS$2),AVEDEV(ARRAYFORMULA(XLOOKUP(FILTER(INDIRECT(""'""&amp;CK$1&amp;""'!$C$4:$C$66""),INDIRECT(""'""&amp;CK$1&amp;""'!$D$4:$D$66"")=CK$2),$F$3:$BP$3,$F149:$BP149))),"""")"),"")</f>
        <v/>
      </c>
      <c r="CM149" s="251">
        <f>IFERROR(__xludf.DUMMYFUNCTION("AVERAGE(ARRAYFORMULA(XLOOKUP(FILTER(INDIRECT(""'""&amp;CM$1&amp;""'!$C$4:$C$66""),INDIRECT(""'""&amp;CM$1&amp;""'!$D$4:$D$66"")=CM$2),$F$3:$BP$3,$F149:$BP149)))"),-0.64)</f>
        <v>-0.64</v>
      </c>
      <c r="CN149" s="207" t="str">
        <f>IFERROR(__xludf.DUMMYFUNCTION("IF(OR(CM149&gt;$BR149+$BS149*$BS$2,CM149&lt;$BR149-$BS149*$BS$2),AVEDEV(ARRAYFORMULA(XLOOKUP(FILTER(INDIRECT(""'""&amp;CM$1&amp;""'!$C$4:$C$66""),INDIRECT(""'""&amp;CM$1&amp;""'!$D$4:$D$66"")=CM$2),$F$3:$BP$3,$F149:$BP149))),"""")"),"")</f>
        <v/>
      </c>
      <c r="CO149" s="252"/>
      <c r="CP149" s="251">
        <f>IFERROR(__xludf.DUMMYFUNCTION("AVERAGE(ARRAYFORMULA(XLOOKUP(FILTER(INDIRECT(""'""&amp;CP$1&amp;""'!$C$4:$C$66""),INDIRECT(""'""&amp;CP$1&amp;""'!$D$4:$D$66"")=CP$2),$F$3:$BP$3,$F149:$BP149)))"),0.5)</f>
        <v>0.5</v>
      </c>
      <c r="CQ149" s="207" t="str">
        <f>IFERROR(__xludf.DUMMYFUNCTION("IF(OR(CP149&gt;$BR149+$BS149*$BS$2,CP149&lt;$BR149-$BS149*$BS$2),AVEDEV(ARRAYFORMULA(XLOOKUP(FILTER(INDIRECT(""'""&amp;CP$1&amp;""'!$C$4:$C$66""),INDIRECT(""'""&amp;CP$1&amp;""'!$D$4:$D$66"")=CP$2),$F$3:$BP$3,$F149:$BP149))),"""")"),"")</f>
        <v/>
      </c>
      <c r="CR149" s="251">
        <f>IFERROR(__xludf.DUMMYFUNCTION("AVERAGE(ARRAYFORMULA(XLOOKUP(FILTER(INDIRECT(""'""&amp;CR$1&amp;""'!$C$4:$C$66""),INDIRECT(""'""&amp;CR$1&amp;""'!$D$4:$D$66"")=CR$2),$F$3:$BP$3,$F149:$BP149)))"),-0.20555555555555557)</f>
        <v>-0.2055555556</v>
      </c>
      <c r="CS149" s="207" t="str">
        <f>IFERROR(__xludf.DUMMYFUNCTION("IF(OR(CR149&gt;$BR149+$BS149*$BS$2,CR149&lt;$BR149-$BS149*$BS$2),AVEDEV(ARRAYFORMULA(XLOOKUP(FILTER(INDIRECT(""'""&amp;CR$1&amp;""'!$C$4:$C$66""),INDIRECT(""'""&amp;CR$1&amp;""'!$D$4:$D$66"")=CR$2),$F$3:$BP$3,$F149:$BP149))),"""")"),"")</f>
        <v/>
      </c>
      <c r="CT149" s="251">
        <f>IFERROR(__xludf.DUMMYFUNCTION("AVERAGE(ARRAYFORMULA(XLOOKUP(FILTER(INDIRECT(""'""&amp;CT$1&amp;""'!$C$4:$C$66""),INDIRECT(""'""&amp;CT$1&amp;""'!$D$4:$D$66"")=CT$2),$F$3:$BP$3,$F149:$BP149)))"),0.34545454545454546)</f>
        <v>0.3454545455</v>
      </c>
      <c r="CU149" s="207" t="str">
        <f>IFERROR(__xludf.DUMMYFUNCTION("IF(OR(CT149&gt;$BR149+$BS149*$BS$2,CT149&lt;$BR149-$BS149*$BS$2),AVEDEV(ARRAYFORMULA(XLOOKUP(FILTER(INDIRECT(""'""&amp;CT$1&amp;""'!$C$4:$C$66""),INDIRECT(""'""&amp;CT$1&amp;""'!$D$4:$D$66"")=CT$2),$F$3:$BP$3,$F149:$BP149))),"""")"),"")</f>
        <v/>
      </c>
      <c r="CV149" s="251">
        <f>IFERROR(__xludf.DUMMYFUNCTION("AVERAGE(ARRAYFORMULA(XLOOKUP(FILTER(INDIRECT(""'""&amp;CV$1&amp;""'!$C$4:$C$66""),INDIRECT(""'""&amp;CV$1&amp;""'!$D$4:$D$66"")=CV$2),$F$3:$BP$3,$F149:$BP149)))"),-0.6)</f>
        <v>-0.6</v>
      </c>
      <c r="CW149" s="207" t="str">
        <f>IFERROR(__xludf.DUMMYFUNCTION("IF(OR(CV149&gt;$BR149+$BS149*$BS$2,CV149&lt;$BR149-$BS149*$BS$2),AVEDEV(ARRAYFORMULA(XLOOKUP(FILTER(INDIRECT(""'""&amp;CV$1&amp;""'!$C$4:$C$66""),INDIRECT(""'""&amp;CV$1&amp;""'!$D$4:$D$66"")=CV$2),$F$3:$BP$3,$F149:$BP149))),"""")"),"")</f>
        <v/>
      </c>
      <c r="CX149" s="251">
        <f>IFERROR(__xludf.DUMMYFUNCTION("AVERAGE(ARRAYFORMULA(XLOOKUP(FILTER(INDIRECT(""'""&amp;CX$1&amp;""'!$C$4:$C$66""),INDIRECT(""'""&amp;CX$1&amp;""'!$D$4:$D$66"")=CX$2),$F$3:$BP$3,$F149:$BP149)))"),0.07499999999999998)</f>
        <v>0.075</v>
      </c>
      <c r="CY149" s="207" t="str">
        <f>IFERROR(__xludf.DUMMYFUNCTION("IF(OR(CX149&gt;$BR149+$BS149*$BS$2,CX149&lt;$BR149-$BS149*$BS$2),AVEDEV(ARRAYFORMULA(XLOOKUP(FILTER(INDIRECT(""'""&amp;CX$1&amp;""'!$C$4:$C$66""),INDIRECT(""'""&amp;CX$1&amp;""'!$D$4:$D$66"")=CX$2),$F$3:$BP$3,$F149:$BP149))),"""")"),"")</f>
        <v/>
      </c>
      <c r="CZ149" s="252"/>
      <c r="DA149" s="251">
        <f>IFERROR(__xludf.DUMMYFUNCTION("AVERAGE(ARRAYFORMULA(XLOOKUP(FILTER(INDIRECT(""'""&amp;DA$1&amp;""'!$C$4:$C$66""),INDIRECT(""'""&amp;DA$1&amp;""'!$D$4:$D$66"")=DA$2),$F$3:$BP$3,$F149:$BP149)))"),0.3483333333333334)</f>
        <v>0.3483333333</v>
      </c>
      <c r="DB149" s="207" t="str">
        <f>IFERROR(__xludf.DUMMYFUNCTION("IF(OR(DA149&gt;$BR149+$BS149*$BS$2,DA149&lt;$BR149-$BS149*$BS$2),AVEDEV(ARRAYFORMULA(XLOOKUP(FILTER(INDIRECT(""'""&amp;DA$1&amp;""'!$C$4:$C$66""),INDIRECT(""'""&amp;DA$1&amp;""'!$D$4:$D$66"")=DA$2),$F$3:$BP$3,$F149:$BP149))),"""")"),"")</f>
        <v/>
      </c>
      <c r="DC149" s="251">
        <f>IFERROR(__xludf.DUMMYFUNCTION("AVERAGE(ARRAYFORMULA(XLOOKUP(FILTER(INDIRECT(""'""&amp;DC$1&amp;""'!$C$4:$C$66""),INDIRECT(""'""&amp;DC$1&amp;""'!$D$4:$D$66"")=DC$2),$F$3:$BP$3,$F149:$BP149)))"),0.12777777777777777)</f>
        <v>0.1277777778</v>
      </c>
      <c r="DD149" s="207" t="str">
        <f>IFERROR(__xludf.DUMMYFUNCTION("IF(OR(DC149&gt;$BR149+$BS149*$BS$2,DC149&lt;$BR149-$BS149*$BS$2),AVEDEV(ARRAYFORMULA(XLOOKUP(FILTER(INDIRECT(""'""&amp;DC$1&amp;""'!$C$4:$C$66""),INDIRECT(""'""&amp;DC$1&amp;""'!$D$4:$D$66"")=DC$2),$F$3:$BP$3,$F149:$BP149))),"""")"),"")</f>
        <v/>
      </c>
      <c r="DE149" s="251">
        <f>IFERROR(__xludf.DUMMYFUNCTION("AVERAGE(ARRAYFORMULA(XLOOKUP(FILTER(INDIRECT(""'""&amp;DE$1&amp;""'!$C$4:$C$66""),INDIRECT(""'""&amp;DE$1&amp;""'!$D$4:$D$66"")=DE$2),$F$3:$BP$3,$F149:$BP149)))"),-0.2)</f>
        <v>-0.2</v>
      </c>
      <c r="DF149" s="207" t="str">
        <f>IFERROR(__xludf.DUMMYFUNCTION("IF(OR(DE149&gt;$BR149+$BS149*$BS$2,DE149&lt;$BR149-$BS149*$BS$2),AVEDEV(ARRAYFORMULA(XLOOKUP(FILTER(INDIRECT(""'""&amp;DE$1&amp;""'!$C$4:$C$66""),INDIRECT(""'""&amp;DE$1&amp;""'!$D$4:$D$66"")=DE$2),$F$3:$BP$3,$F149:$BP149))),"""")"),"")</f>
        <v/>
      </c>
      <c r="DG149" s="251">
        <f>IFERROR(__xludf.DUMMYFUNCTION("AVERAGE(ARRAYFORMULA(XLOOKUP(FILTER(INDIRECT(""'""&amp;DG$1&amp;""'!$C$4:$C$66""),INDIRECT(""'""&amp;DG$1&amp;""'!$D$4:$D$66"")=DG$2),$F$3:$BP$3,$F149:$BP149)))"),-0.35555555555555557)</f>
        <v>-0.3555555556</v>
      </c>
      <c r="DH149" s="207" t="str">
        <f>IFERROR(__xludf.DUMMYFUNCTION("IF(OR(DG149&gt;$BR149+$BS149*$BS$2,DG149&lt;$BR149-$BS149*$BS$2),AVEDEV(ARRAYFORMULA(XLOOKUP(FILTER(INDIRECT(""'""&amp;DG$1&amp;""'!$C$4:$C$66""),INDIRECT(""'""&amp;DG$1&amp;""'!$D$4:$D$66"")=DG$2),$F$3:$BP$3,$F149:$BP149))),"""")"),"")</f>
        <v/>
      </c>
      <c r="DI149" s="252"/>
    </row>
    <row r="150">
      <c r="A150" s="2"/>
      <c r="B150" s="204" t="s">
        <v>540</v>
      </c>
      <c r="C150" s="204" t="s">
        <v>593</v>
      </c>
      <c r="D150" s="205" t="b">
        <f>VLOOKUP(C150,'Feature Set List'!A147:C246,2,0)</f>
        <v>1</v>
      </c>
      <c r="E150" s="205" t="b">
        <f>VLOOKUP(C150,'Feature Set List'!A147:C246,3,0)</f>
        <v>0</v>
      </c>
      <c r="F150" s="205">
        <v>0.0</v>
      </c>
      <c r="G150" s="205">
        <v>1.0</v>
      </c>
      <c r="H150" s="205">
        <v>3.0</v>
      </c>
      <c r="I150" s="205">
        <v>0.0</v>
      </c>
      <c r="J150" s="205">
        <v>0.0</v>
      </c>
      <c r="K150" s="205">
        <v>0.0</v>
      </c>
      <c r="L150" s="205">
        <v>0.95</v>
      </c>
      <c r="M150" s="205">
        <v>1.0</v>
      </c>
      <c r="N150" s="205">
        <v>0.0</v>
      </c>
      <c r="O150" s="205">
        <v>-0.6</v>
      </c>
      <c r="P150" s="205">
        <v>0.0</v>
      </c>
      <c r="Q150" s="205">
        <v>0.0</v>
      </c>
      <c r="R150" s="205">
        <v>1.0</v>
      </c>
      <c r="S150" s="205">
        <v>0.0</v>
      </c>
      <c r="T150" s="205">
        <v>0.0</v>
      </c>
      <c r="U150" s="205">
        <v>1.0</v>
      </c>
      <c r="V150" s="205">
        <v>-0.6</v>
      </c>
      <c r="W150" s="205">
        <v>3.0</v>
      </c>
      <c r="X150" s="205">
        <v>0.0</v>
      </c>
      <c r="Y150" s="205">
        <v>1.0</v>
      </c>
      <c r="Z150" s="205">
        <v>-0.6</v>
      </c>
      <c r="AA150" s="205">
        <v>0.0</v>
      </c>
      <c r="AB150" s="205">
        <v>-0.6</v>
      </c>
      <c r="AC150" s="205">
        <v>0.334</v>
      </c>
      <c r="AD150" s="205">
        <v>3.0</v>
      </c>
      <c r="AE150" s="205">
        <v>0.0</v>
      </c>
      <c r="AF150" s="205">
        <v>-0.334</v>
      </c>
      <c r="AG150" s="205">
        <v>0.0</v>
      </c>
      <c r="AH150" s="205">
        <v>1.0</v>
      </c>
      <c r="AI150" s="205">
        <v>0.0</v>
      </c>
      <c r="AJ150" s="205">
        <v>0.966</v>
      </c>
      <c r="AK150" s="205">
        <v>0.0</v>
      </c>
      <c r="AL150" s="205">
        <v>0.0</v>
      </c>
      <c r="AM150" s="205">
        <v>-0.6</v>
      </c>
      <c r="AN150" s="205">
        <v>1.0</v>
      </c>
      <c r="AO150" s="205">
        <v>1.0</v>
      </c>
      <c r="AP150" s="205">
        <v>1.0</v>
      </c>
      <c r="AQ150" s="205">
        <v>1.0</v>
      </c>
      <c r="AR150" s="205">
        <v>0.0</v>
      </c>
      <c r="AS150" s="205">
        <v>1.0</v>
      </c>
      <c r="AT150" s="205">
        <v>0.0</v>
      </c>
      <c r="AU150" s="205">
        <v>1.0</v>
      </c>
      <c r="AV150" s="205">
        <v>0.0</v>
      </c>
      <c r="AW150" s="205">
        <v>1.0</v>
      </c>
      <c r="AX150" s="205">
        <v>2.95</v>
      </c>
      <c r="AY150" s="205">
        <v>1.0</v>
      </c>
      <c r="AZ150" s="205">
        <v>-0.6</v>
      </c>
      <c r="BA150" s="205">
        <v>0.0</v>
      </c>
      <c r="BB150" s="205">
        <v>-0.6</v>
      </c>
      <c r="BC150" s="205">
        <v>-0.75</v>
      </c>
      <c r="BD150" s="205">
        <v>0.0</v>
      </c>
      <c r="BE150" s="205">
        <v>1.0</v>
      </c>
      <c r="BF150" s="205">
        <v>0.0</v>
      </c>
      <c r="BG150" s="205">
        <v>0.334</v>
      </c>
      <c r="BH150" s="205">
        <v>0.0</v>
      </c>
      <c r="BI150" s="205">
        <v>-0.6</v>
      </c>
      <c r="BJ150" s="205">
        <v>1.0</v>
      </c>
      <c r="BK150" s="205">
        <v>-0.5</v>
      </c>
      <c r="BL150" s="205">
        <v>0.0</v>
      </c>
      <c r="BM150" s="205">
        <v>0.0</v>
      </c>
      <c r="BN150" s="205">
        <v>0.0</v>
      </c>
      <c r="BO150" s="205">
        <v>1.05</v>
      </c>
      <c r="BP150" s="205">
        <v>0.0</v>
      </c>
      <c r="BQ150" s="206"/>
      <c r="BR150" s="250">
        <f t="shared" si="1"/>
        <v>0.4</v>
      </c>
      <c r="BS150" s="250">
        <f t="shared" si="2"/>
        <v>0.6893968254</v>
      </c>
      <c r="BT150" s="206"/>
      <c r="BU150" s="207">
        <f>IFERROR(__xludf.DUMMYFUNCTION("AVERAGE(ARRAYFORMULA(XLOOKUP(FILTER(INDIRECT(""'""&amp;BU$1&amp;""'!$C$4:$C$66""),INDIRECT(""'""&amp;BU$1&amp;""'!$D$4:$D$66"")=BU$2),$F$3:$BP$3,$F150:$BP150)))"),0.9214285714285715)</f>
        <v>0.9214285714</v>
      </c>
      <c r="BV150" s="207" t="str">
        <f>IFERROR(__xludf.DUMMYFUNCTION("IF(OR(BU150&gt;$BR150+$BS150*$BS$2,BU150&lt;$BR150-$BS150*$BS$2),AVEDEV(ARRAYFORMULA(XLOOKUP(FILTER(INDIRECT(""'""&amp;BU$1&amp;""'!$C$4:$C$66""),INDIRECT(""'""&amp;BU$1&amp;""'!$D$4:$D$66"")=BU$2),$F$3:$BP$3,$F150:$BP150))),"""")"),"")</f>
        <v/>
      </c>
      <c r="BW150" s="207">
        <f>IFERROR(__xludf.DUMMYFUNCTION("AVERAGE(ARRAYFORMULA(XLOOKUP(FILTER(INDIRECT(""'""&amp;BW$1&amp;""'!$C$4:$C$66""),INDIRECT(""'""&amp;BW$1&amp;""'!$D$4:$D$66"")=BW$2),$F$3:$BP$3,$F150:$BP150)))"),0.38928571428571423)</f>
        <v>0.3892857143</v>
      </c>
      <c r="BX150" s="207" t="str">
        <f>IFERROR(__xludf.DUMMYFUNCTION("IF(OR(BW150&gt;$BR150+$BS150*$BS$2,BW150&lt;$BR150-$BS150*$BS$2),AVEDEV(ARRAYFORMULA(XLOOKUP(FILTER(INDIRECT(""'""&amp;BW$1&amp;""'!$C$4:$C$66""),INDIRECT(""'""&amp;BW$1&amp;""'!$D$4:$D$66"")=BW$2),$F$3:$BP$3,$F150:$BP150))),"""")"),"")</f>
        <v/>
      </c>
      <c r="BY150" s="207">
        <f>IFERROR(__xludf.DUMMYFUNCTION("AVERAGE(ARRAYFORMULA(XLOOKUP(FILTER(INDIRECT(""'""&amp;BY$1&amp;""'!$C$4:$C$66""),INDIRECT(""'""&amp;BY$1&amp;""'!$D$4:$D$66"")=BY$2),$F$3:$BP$3,$F150:$BP150)))"),0.01363636363636364)</f>
        <v>0.01363636364</v>
      </c>
      <c r="BZ150" s="207" t="str">
        <f>IFERROR(__xludf.DUMMYFUNCTION("IF(OR(BY150&gt;$BR150+$BS150*$BS$2,BY150&lt;$BR150-$BS150*$BS$2),AVEDEV(ARRAYFORMULA(XLOOKUP(FILTER(INDIRECT(""'""&amp;BY$1&amp;""'!$C$4:$C$66""),INDIRECT(""'""&amp;BY$1&amp;""'!$D$4:$D$66"")=BY$2),$F$3:$BP$3,$F150:$BP150))),"""")"),"")</f>
        <v/>
      </c>
      <c r="CA150" s="209"/>
      <c r="CB150" s="207">
        <f>IFERROR(__xludf.DUMMYFUNCTION("AVERAGE(ARRAYFORMULA(XLOOKUP(FILTER(INDIRECT(""'""&amp;CB$1&amp;""'!$C$4:$C$66""),INDIRECT(""'""&amp;CB$1&amp;""'!$D$4:$D$66"")=CB$2),$F$3:$BP$3,$F150:$BP150)))"),0.7270000000000001)</f>
        <v>0.727</v>
      </c>
      <c r="CC150" s="207" t="str">
        <f>IFERROR(__xludf.DUMMYFUNCTION("IF(OR(CB150&gt;$BR150+$BS150*$BS$2,CB150&lt;$BR150-$BS150*$BS$2),AVEDEV(ARRAYFORMULA(XLOOKUP(FILTER(INDIRECT(""'""&amp;CB$1&amp;""'!$C$4:$C$66""),INDIRECT(""'""&amp;CB$1&amp;""'!$D$4:$D$66"")=CB$2),$F$3:$BP$3,$F150:$BP150))),"""")"),"")</f>
        <v/>
      </c>
      <c r="CD150" s="207">
        <f>IFERROR(__xludf.DUMMYFUNCTION("AVERAGE(ARRAYFORMULA(XLOOKUP(FILTER(INDIRECT(""'""&amp;CD$1&amp;""'!$C$4:$C$66""),INDIRECT(""'""&amp;CD$1&amp;""'!$D$4:$D$66"")=CD$2),$F$3:$BP$3,$F150:$BP150)))"),0.22638709677419358)</f>
        <v>0.2263870968</v>
      </c>
      <c r="CE150" s="207" t="str">
        <f>IFERROR(__xludf.DUMMYFUNCTION("IF(OR(CD150&gt;$BR150+$BS150*$BS$2,CD150&lt;$BR150-$BS150*$BS$2),AVEDEV(ARRAYFORMULA(XLOOKUP(FILTER(INDIRECT(""'""&amp;CD$1&amp;""'!$C$4:$C$66""),INDIRECT(""'""&amp;CD$1&amp;""'!$D$4:$D$66"")=CD$2),$F$3:$BP$3,$F150:$BP150))),"""")"),"")</f>
        <v/>
      </c>
      <c r="CF150" s="207">
        <f>IFERROR(__xludf.DUMMYFUNCTION("AVERAGE(ARRAYFORMULA(XLOOKUP(FILTER(INDIRECT(""'""&amp;CF$1&amp;""'!$C$4:$C$66""),INDIRECT(""'""&amp;CF$1&amp;""'!$D$4:$D$66"")=CF$2),$F$3:$BP$3,$F150:$BP150)))"),-0.24)</f>
        <v>-0.24</v>
      </c>
      <c r="CG150" s="207" t="str">
        <f>IFERROR(__xludf.DUMMYFUNCTION("IF(OR(CF150&gt;$BR150+$BS150*$BS$2,CF150&lt;$BR150-$BS150*$BS$2),AVEDEV(ARRAYFORMULA(XLOOKUP(FILTER(INDIRECT(""'""&amp;CF$1&amp;""'!$C$4:$C$66""),INDIRECT(""'""&amp;CF$1&amp;""'!$D$4:$D$66"")=CF$2),$F$3:$BP$3,$F150:$BP150))),"""")"),"")</f>
        <v/>
      </c>
      <c r="CH150" s="206"/>
      <c r="CI150" s="251">
        <f>IFERROR(__xludf.DUMMYFUNCTION("AVERAGE(ARRAYFORMULA(XLOOKUP(FILTER(INDIRECT(""'""&amp;CI$1&amp;""'!$C$4:$C$66""),INDIRECT(""'""&amp;CI$1&amp;""'!$D$4:$D$66"")=CI$2),$F$3:$BP$3,$F150:$BP150)))"),0.45333333333333337)</f>
        <v>0.4533333333</v>
      </c>
      <c r="CJ150" s="207" t="str">
        <f>IFERROR(__xludf.DUMMYFUNCTION("IF(OR(CI150&gt;$BR150+$BS150*$BS$2,CI150&lt;$BR150-$BS150*$BS$2),AVEDEV(ARRAYFORMULA(XLOOKUP(FILTER(INDIRECT(""'""&amp;CI$1&amp;""'!$C$4:$C$66""),INDIRECT(""'""&amp;CI$1&amp;""'!$D$4:$D$66"")=CI$2),$F$3:$BP$3,$F150:$BP150))),"""")"),"")</f>
        <v/>
      </c>
      <c r="CK150" s="251">
        <f>IFERROR(__xludf.DUMMYFUNCTION("AVERAGE(ARRAYFORMULA(XLOOKUP(FILTER(INDIRECT(""'""&amp;CK$1&amp;""'!$C$4:$C$66""),INDIRECT(""'""&amp;CK$1&amp;""'!$D$4:$D$66"")=CK$2),$F$3:$BP$3,$F150:$BP150)))"),0.4576923076923076)</f>
        <v>0.4576923077</v>
      </c>
      <c r="CL150" s="207" t="str">
        <f>IFERROR(__xludf.DUMMYFUNCTION("IF(OR(CK150&gt;$BR150+$BS150*$BS$2,CK150&lt;$BR150-$BS150*$BS$2),AVEDEV(ARRAYFORMULA(XLOOKUP(FILTER(INDIRECT(""'""&amp;CK$1&amp;""'!$C$4:$C$66""),INDIRECT(""'""&amp;CK$1&amp;""'!$D$4:$D$66"")=CK$2),$F$3:$BP$3,$F150:$BP150))),"""")"),"")</f>
        <v/>
      </c>
      <c r="CM150" s="251">
        <f>IFERROR(__xludf.DUMMYFUNCTION("AVERAGE(ARRAYFORMULA(XLOOKUP(FILTER(INDIRECT(""'""&amp;CM$1&amp;""'!$C$4:$C$66""),INDIRECT(""'""&amp;CM$1&amp;""'!$D$4:$D$66"")=CM$2),$F$3:$BP$3,$F150:$BP150)))"),-0.24)</f>
        <v>-0.24</v>
      </c>
      <c r="CN150" s="207" t="str">
        <f>IFERROR(__xludf.DUMMYFUNCTION("IF(OR(CM150&gt;$BR150+$BS150*$BS$2,CM150&lt;$BR150-$BS150*$BS$2),AVEDEV(ARRAYFORMULA(XLOOKUP(FILTER(INDIRECT(""'""&amp;CM$1&amp;""'!$C$4:$C$66""),INDIRECT(""'""&amp;CM$1&amp;""'!$D$4:$D$66"")=CM$2),$F$3:$BP$3,$F150:$BP150))),"""")"),"")</f>
        <v/>
      </c>
      <c r="CO150" s="252"/>
      <c r="CP150" s="251">
        <f>IFERROR(__xludf.DUMMYFUNCTION("AVERAGE(ARRAYFORMULA(XLOOKUP(FILTER(INDIRECT(""'""&amp;CP$1&amp;""'!$C$4:$C$66""),INDIRECT(""'""&amp;CP$1&amp;""'!$D$4:$D$66"")=CP$2),$F$3:$BP$3,$F150:$BP150)))"),0.830857142857143)</f>
        <v>0.8308571429</v>
      </c>
      <c r="CQ150" s="207" t="str">
        <f>IFERROR(__xludf.DUMMYFUNCTION("IF(OR(CP150&gt;$BR150+$BS150*$BS$2,CP150&lt;$BR150-$BS150*$BS$2),AVEDEV(ARRAYFORMULA(XLOOKUP(FILTER(INDIRECT(""'""&amp;CP$1&amp;""'!$C$4:$C$66""),INDIRECT(""'""&amp;CP$1&amp;""'!$D$4:$D$66"")=CP$2),$F$3:$BP$3,$F150:$BP150))),"""")"),"")</f>
        <v/>
      </c>
      <c r="CR150" s="251">
        <f>IFERROR(__xludf.DUMMYFUNCTION("AVERAGE(ARRAYFORMULA(XLOOKUP(FILTER(INDIRECT(""'""&amp;CR$1&amp;""'!$C$4:$C$66""),INDIRECT(""'""&amp;CR$1&amp;""'!$D$4:$D$66"")=CR$2),$F$3:$BP$3,$F150:$BP150)))"),-0.09444444444444444)</f>
        <v>-0.09444444444</v>
      </c>
      <c r="CS150" s="207" t="str">
        <f>IFERROR(__xludf.DUMMYFUNCTION("IF(OR(CR150&gt;$BR150+$BS150*$BS$2,CR150&lt;$BR150-$BS150*$BS$2),AVEDEV(ARRAYFORMULA(XLOOKUP(FILTER(INDIRECT(""'""&amp;CR$1&amp;""'!$C$4:$C$66""),INDIRECT(""'""&amp;CR$1&amp;""'!$D$4:$D$66"")=CR$2),$F$3:$BP$3,$F150:$BP150))),"""")"),"")</f>
        <v/>
      </c>
      <c r="CT150" s="251">
        <f>IFERROR(__xludf.DUMMYFUNCTION("AVERAGE(ARRAYFORMULA(XLOOKUP(FILTER(INDIRECT(""'""&amp;CT$1&amp;""'!$C$4:$C$66""),INDIRECT(""'""&amp;CT$1&amp;""'!$D$4:$D$66"")=CT$2),$F$3:$BP$3,$F150:$BP150)))"),0.2545454545454545)</f>
        <v>0.2545454545</v>
      </c>
      <c r="CU150" s="207" t="str">
        <f>IFERROR(__xludf.DUMMYFUNCTION("IF(OR(CT150&gt;$BR150+$BS150*$BS$2,CT150&lt;$BR150-$BS150*$BS$2),AVEDEV(ARRAYFORMULA(XLOOKUP(FILTER(INDIRECT(""'""&amp;CT$1&amp;""'!$C$4:$C$66""),INDIRECT(""'""&amp;CT$1&amp;""'!$D$4:$D$66"")=CT$2),$F$3:$BP$3,$F150:$BP150))),"""")"),"")</f>
        <v/>
      </c>
      <c r="CV150" s="251">
        <f>IFERROR(__xludf.DUMMYFUNCTION("AVERAGE(ARRAYFORMULA(XLOOKUP(FILTER(INDIRECT(""'""&amp;CV$1&amp;""'!$C$4:$C$66""),INDIRECT(""'""&amp;CV$1&amp;""'!$D$4:$D$66"")=CV$2),$F$3:$BP$3,$F150:$BP150)))"),0.334)</f>
        <v>0.334</v>
      </c>
      <c r="CW150" s="207" t="str">
        <f>IFERROR(__xludf.DUMMYFUNCTION("IF(OR(CV150&gt;$BR150+$BS150*$BS$2,CV150&lt;$BR150-$BS150*$BS$2),AVEDEV(ARRAYFORMULA(XLOOKUP(FILTER(INDIRECT(""'""&amp;CV$1&amp;""'!$C$4:$C$66""),INDIRECT(""'""&amp;CV$1&amp;""'!$D$4:$D$66"")=CV$2),$F$3:$BP$3,$F150:$BP150))),"""")"),"")</f>
        <v/>
      </c>
      <c r="CX150" s="251">
        <f>IFERROR(__xludf.DUMMYFUNCTION("AVERAGE(ARRAYFORMULA(XLOOKUP(FILTER(INDIRECT(""'""&amp;CX$1&amp;""'!$C$4:$C$66""),INDIRECT(""'""&amp;CX$1&amp;""'!$D$4:$D$66"")=CX$2),$F$3:$BP$3,$F150:$BP150)))"),0.16071428571428573)</f>
        <v>0.1607142857</v>
      </c>
      <c r="CY150" s="207" t="str">
        <f>IFERROR(__xludf.DUMMYFUNCTION("IF(OR(CX150&gt;$BR150+$BS150*$BS$2,CX150&lt;$BR150-$BS150*$BS$2),AVEDEV(ARRAYFORMULA(XLOOKUP(FILTER(INDIRECT(""'""&amp;CX$1&amp;""'!$C$4:$C$66""),INDIRECT(""'""&amp;CX$1&amp;""'!$D$4:$D$66"")=CX$2),$F$3:$BP$3,$F150:$BP150))),"""")"),"")</f>
        <v/>
      </c>
      <c r="CZ150" s="252"/>
      <c r="DA150" s="251">
        <f>IFERROR(__xludf.DUMMYFUNCTION("AVERAGE(ARRAYFORMULA(XLOOKUP(FILTER(INDIRECT(""'""&amp;DA$1&amp;""'!$C$4:$C$66""),INDIRECT(""'""&amp;DA$1&amp;""'!$D$4:$D$66"")=DA$2),$F$3:$BP$3,$F150:$BP150)))"),0.44273333333333337)</f>
        <v>0.4427333333</v>
      </c>
      <c r="DB150" s="207" t="str">
        <f>IFERROR(__xludf.DUMMYFUNCTION("IF(OR(DA150&gt;$BR150+$BS150*$BS$2,DA150&lt;$BR150-$BS150*$BS$2),AVEDEV(ARRAYFORMULA(XLOOKUP(FILTER(INDIRECT(""'""&amp;DA$1&amp;""'!$C$4:$C$66""),INDIRECT(""'""&amp;DA$1&amp;""'!$D$4:$D$66"")=DA$2),$F$3:$BP$3,$F150:$BP150))),"""")"),"")</f>
        <v/>
      </c>
      <c r="DC150" s="251">
        <f>IFERROR(__xludf.DUMMYFUNCTION("AVERAGE(ARRAYFORMULA(XLOOKUP(FILTER(INDIRECT(""'""&amp;DC$1&amp;""'!$C$4:$C$66""),INDIRECT(""'""&amp;DC$1&amp;""'!$D$4:$D$66"")=DC$2),$F$3:$BP$3,$F150:$BP150)))"),0.01666666666666667)</f>
        <v>0.01666666667</v>
      </c>
      <c r="DD150" s="207" t="str">
        <f>IFERROR(__xludf.DUMMYFUNCTION("IF(OR(DC150&gt;$BR150+$BS150*$BS$2,DC150&lt;$BR150-$BS150*$BS$2),AVEDEV(ARRAYFORMULA(XLOOKUP(FILTER(INDIRECT(""'""&amp;DC$1&amp;""'!$C$4:$C$66""),INDIRECT(""'""&amp;DC$1&amp;""'!$D$4:$D$66"")=DC$2),$F$3:$BP$3,$F150:$BP150))),"""")"),"")</f>
        <v/>
      </c>
      <c r="DE150" s="251">
        <f>IFERROR(__xludf.DUMMYFUNCTION("AVERAGE(ARRAYFORMULA(XLOOKUP(FILTER(INDIRECT(""'""&amp;DE$1&amp;""'!$C$4:$C$66""),INDIRECT(""'""&amp;DE$1&amp;""'!$D$4:$D$66"")=DE$2),$F$3:$BP$3,$F150:$BP150)))"),0.54375)</f>
        <v>0.54375</v>
      </c>
      <c r="DF150" s="207" t="str">
        <f>IFERROR(__xludf.DUMMYFUNCTION("IF(OR(DE150&gt;$BR150+$BS150*$BS$2,DE150&lt;$BR150-$BS150*$BS$2),AVEDEV(ARRAYFORMULA(XLOOKUP(FILTER(INDIRECT(""'""&amp;DE$1&amp;""'!$C$4:$C$66""),INDIRECT(""'""&amp;DE$1&amp;""'!$D$4:$D$66"")=DE$2),$F$3:$BP$3,$F150:$BP150))),"""")"),"")</f>
        <v/>
      </c>
      <c r="DG150" s="251">
        <f>IFERROR(__xludf.DUMMYFUNCTION("AVERAGE(ARRAYFORMULA(XLOOKUP(FILTER(INDIRECT(""'""&amp;DG$1&amp;""'!$C$4:$C$66""),INDIRECT(""'""&amp;DG$1&amp;""'!$D$4:$D$66"")=DG$2),$F$3:$BP$3,$F150:$BP150)))"),0.07422222222222223)</f>
        <v>0.07422222222</v>
      </c>
      <c r="DH150" s="207" t="str">
        <f>IFERROR(__xludf.DUMMYFUNCTION("IF(OR(DG150&gt;$BR150+$BS150*$BS$2,DG150&lt;$BR150-$BS150*$BS$2),AVEDEV(ARRAYFORMULA(XLOOKUP(FILTER(INDIRECT(""'""&amp;DG$1&amp;""'!$C$4:$C$66""),INDIRECT(""'""&amp;DG$1&amp;""'!$D$4:$D$66"")=DG$2),$F$3:$BP$3,$F150:$BP150))),"""")"),"")</f>
        <v/>
      </c>
      <c r="DI150" s="252"/>
    </row>
    <row r="151">
      <c r="A151" s="2"/>
      <c r="B151" s="204" t="s">
        <v>540</v>
      </c>
      <c r="C151" s="204" t="s">
        <v>594</v>
      </c>
      <c r="D151" s="205" t="b">
        <f>VLOOKUP(C151,'Feature Set List'!A148:C246,2,0)</f>
        <v>1</v>
      </c>
      <c r="E151" s="205" t="b">
        <f>VLOOKUP(C151,'Feature Set List'!A148:C246,3,0)</f>
        <v>0</v>
      </c>
      <c r="F151" s="205">
        <v>0.0905874</v>
      </c>
      <c r="G151" s="205">
        <v>0.11464968</v>
      </c>
      <c r="H151" s="205">
        <v>0.03680113</v>
      </c>
      <c r="I151" s="205">
        <v>0.87048832</v>
      </c>
      <c r="J151" s="205">
        <v>-0.7149328</v>
      </c>
      <c r="K151" s="205">
        <v>-0.9452229</v>
      </c>
      <c r="L151" s="205">
        <v>0.06794055</v>
      </c>
      <c r="M151" s="205">
        <v>0.77990092</v>
      </c>
      <c r="N151" s="205">
        <v>-0.4416136</v>
      </c>
      <c r="O151" s="205">
        <v>-0.4911536</v>
      </c>
      <c r="P151" s="205">
        <v>0.82802548</v>
      </c>
      <c r="Q151" s="205">
        <v>-0.3765039</v>
      </c>
      <c r="R151" s="205">
        <v>-0.3481953</v>
      </c>
      <c r="S151" s="205">
        <v>-0.4359519</v>
      </c>
      <c r="T151" s="205">
        <v>-0.2745931</v>
      </c>
      <c r="U151" s="205">
        <v>0.57466384</v>
      </c>
      <c r="V151" s="205">
        <v>-0.6332626</v>
      </c>
      <c r="W151" s="205">
        <v>0.07360226</v>
      </c>
      <c r="X151" s="205">
        <v>-0.9132343</v>
      </c>
      <c r="Y151" s="205">
        <v>1.3970276</v>
      </c>
      <c r="Z151" s="205">
        <v>-0.2830856</v>
      </c>
      <c r="AA151" s="205">
        <v>-0.4585987</v>
      </c>
      <c r="AB151" s="205">
        <v>-0.2533616</v>
      </c>
      <c r="AC151" s="205">
        <v>0.85491861</v>
      </c>
      <c r="AD151" s="205">
        <v>0.16418967</v>
      </c>
      <c r="AE151" s="205">
        <v>-0.6141543</v>
      </c>
      <c r="AF151" s="205">
        <v>1.00778485</v>
      </c>
      <c r="AG151" s="205">
        <v>0.32271762</v>
      </c>
      <c r="AH151" s="205">
        <v>0.84642604</v>
      </c>
      <c r="AI151" s="205">
        <v>-0.472753</v>
      </c>
      <c r="AJ151" s="205">
        <v>0.66383581</v>
      </c>
      <c r="AK151" s="205">
        <v>0.30997877</v>
      </c>
      <c r="AL151" s="205">
        <v>-0.3142251</v>
      </c>
      <c r="AM151" s="205">
        <v>-0.2208068</v>
      </c>
      <c r="AN151" s="205">
        <v>0.20523708</v>
      </c>
      <c r="AO151" s="205">
        <v>0.97523001</v>
      </c>
      <c r="AP151" s="205">
        <v>0.61146497</v>
      </c>
      <c r="AQ151" s="205">
        <v>1.81599434</v>
      </c>
      <c r="AR151" s="205">
        <v>-0.6294409</v>
      </c>
      <c r="AS151" s="205">
        <v>-0.3354565</v>
      </c>
      <c r="AT151" s="205">
        <v>3.90233546</v>
      </c>
      <c r="AU151" s="205">
        <v>-0.1245577</v>
      </c>
      <c r="AV151" s="205">
        <v>0.90870488</v>
      </c>
      <c r="AW151" s="205">
        <v>0.78131635</v>
      </c>
      <c r="AX151" s="205">
        <v>0.44302902</v>
      </c>
      <c r="AY151" s="205">
        <v>-0.158528</v>
      </c>
      <c r="AZ151" s="205">
        <v>-0.3821656</v>
      </c>
      <c r="BA151" s="205">
        <v>0.98938429</v>
      </c>
      <c r="BB151" s="205">
        <v>0.09624912</v>
      </c>
      <c r="BC151" s="205">
        <v>-1.0682236</v>
      </c>
      <c r="BD151" s="205">
        <v>-0.4317056</v>
      </c>
      <c r="BE151" s="205">
        <v>-0.2929936</v>
      </c>
      <c r="BF151" s="205">
        <v>-0.6111819</v>
      </c>
      <c r="BG151" s="205">
        <v>0.87048832</v>
      </c>
      <c r="BH151" s="205">
        <v>0.0</v>
      </c>
      <c r="BI151" s="205">
        <v>0.3113942</v>
      </c>
      <c r="BJ151" s="205">
        <v>0.54069356</v>
      </c>
      <c r="BK151" s="205">
        <v>-0.2024062</v>
      </c>
      <c r="BL151" s="205">
        <v>-0.2646851</v>
      </c>
      <c r="BM151" s="205">
        <v>-0.9133758</v>
      </c>
      <c r="BN151" s="205">
        <v>-0.3170559</v>
      </c>
      <c r="BO151" s="205">
        <v>0.37791932</v>
      </c>
      <c r="BP151" s="205">
        <v>-1.0802548</v>
      </c>
      <c r="BQ151" s="206"/>
      <c r="BR151" s="250">
        <f t="shared" si="1"/>
        <v>0.1084015741</v>
      </c>
      <c r="BS151" s="250">
        <f t="shared" si="2"/>
        <v>0.5920431137</v>
      </c>
      <c r="BT151" s="206"/>
      <c r="BU151" s="207">
        <f>IFERROR(__xludf.DUMMYFUNCTION("AVERAGE(ARRAYFORMULA(XLOOKUP(FILTER(INDIRECT(""'""&amp;BU$1&amp;""'!$C$4:$C$66""),INDIRECT(""'""&amp;BU$1&amp;""'!$D$4:$D$66"")=BU$2),$F$3:$BP$3,$F151:$BP151)))"),0.1146496785714286)</f>
        <v>0.1146496786</v>
      </c>
      <c r="BV151" s="207" t="str">
        <f>IFERROR(__xludf.DUMMYFUNCTION("IF(OR(BU151&gt;$BR151+$BS151*$BS$2,BU151&lt;$BR151-$BS151*$BS$2),AVEDEV(ARRAYFORMULA(XLOOKUP(FILTER(INDIRECT(""'""&amp;BU$1&amp;""'!$C$4:$C$66""),INDIRECT(""'""&amp;BU$1&amp;""'!$D$4:$D$66"")=BU$2),$F$3:$BP$3,$F151:$BP151))),"""")"),"")</f>
        <v/>
      </c>
      <c r="BW151" s="207">
        <f>IFERROR(__xludf.DUMMYFUNCTION("AVERAGE(ARRAYFORMULA(XLOOKUP(FILTER(INDIRECT(""'""&amp;BW$1&amp;""'!$C$4:$C$66""),INDIRECT(""'""&amp;BW$1&amp;""'!$D$4:$D$66"")=BW$2),$F$3:$BP$3,$F151:$BP151)))"),0.18656354238095238)</f>
        <v>0.1865635424</v>
      </c>
      <c r="BX151" s="207" t="str">
        <f>IFERROR(__xludf.DUMMYFUNCTION("IF(OR(BW151&gt;$BR151+$BS151*$BS$2,BW151&lt;$BR151-$BS151*$BS$2),AVEDEV(ARRAYFORMULA(XLOOKUP(FILTER(INDIRECT(""'""&amp;BW$1&amp;""'!$C$4:$C$66""),INDIRECT(""'""&amp;BW$1&amp;""'!$D$4:$D$66"")=BW$2),$F$3:$BP$3,$F151:$BP151))),"""")"),"")</f>
        <v/>
      </c>
      <c r="BY151" s="207">
        <f>IFERROR(__xludf.DUMMYFUNCTION("AVERAGE(ARRAYFORMULA(XLOOKUP(FILTER(INDIRECT(""'""&amp;BY$1&amp;""'!$C$4:$C$66""),INDIRECT(""'""&amp;BY$1&amp;""'!$D$4:$D$66"")=BY$2),$F$3:$BP$3,$F151:$BP151)))"),-0.42543912272727274)</f>
        <v>-0.4254391227</v>
      </c>
      <c r="BZ151" s="207" t="str">
        <f>IFERROR(__xludf.DUMMYFUNCTION("IF(OR(BY151&gt;$BR151+$BS151*$BS$2,BY151&lt;$BR151-$BS151*$BS$2),AVEDEV(ARRAYFORMULA(XLOOKUP(FILTER(INDIRECT(""'""&amp;BY$1&amp;""'!$C$4:$C$66""),INDIRECT(""'""&amp;BY$1&amp;""'!$D$4:$D$66"")=BY$2),$F$3:$BP$3,$F151:$BP151))),"""")"),"")</f>
        <v/>
      </c>
      <c r="CA151" s="209"/>
      <c r="CB151" s="207">
        <f>IFERROR(__xludf.DUMMYFUNCTION("AVERAGE(ARRAYFORMULA(XLOOKUP(FILTER(INDIRECT(""'""&amp;CB$1&amp;""'!$C$4:$C$66""),INDIRECT(""'""&amp;CB$1&amp;""'!$D$4:$D$66"")=CB$2),$F$3:$BP$3,$F151:$BP151)))"),0.4305467050000001)</f>
        <v>0.430546705</v>
      </c>
      <c r="CC151" s="207" t="str">
        <f>IFERROR(__xludf.DUMMYFUNCTION("IF(OR(CB151&gt;$BR151+$BS151*$BS$2,CB151&lt;$BR151-$BS151*$BS$2),AVEDEV(ARRAYFORMULA(XLOOKUP(FILTER(INDIRECT(""'""&amp;CB$1&amp;""'!$C$4:$C$66""),INDIRECT(""'""&amp;CB$1&amp;""'!$D$4:$D$66"")=CB$2),$F$3:$BP$3,$F151:$BP151))),"""")"),"")</f>
        <v/>
      </c>
      <c r="CD151" s="207">
        <f>IFERROR(__xludf.DUMMYFUNCTION("AVERAGE(ARRAYFORMULA(XLOOKUP(FILTER(INDIRECT(""'""&amp;CD$1&amp;""'!$C$4:$C$66""),INDIRECT(""'""&amp;CD$1&amp;""'!$D$4:$D$66"")=CD$2),$F$3:$BP$3,$F151:$BP151)))"),-0.08267927193548388)</f>
        <v>-0.08267927194</v>
      </c>
      <c r="CE151" s="207" t="str">
        <f>IFERROR(__xludf.DUMMYFUNCTION("IF(OR(CD151&gt;$BR151+$BS151*$BS$2,CD151&lt;$BR151-$BS151*$BS$2),AVEDEV(ARRAYFORMULA(XLOOKUP(FILTER(INDIRECT(""'""&amp;CD$1&amp;""'!$C$4:$C$66""),INDIRECT(""'""&amp;CD$1&amp;""'!$D$4:$D$66"")=CD$2),$F$3:$BP$3,$F151:$BP151))),"""")"),"")</f>
        <v/>
      </c>
      <c r="CF151" s="207">
        <f>IFERROR(__xludf.DUMMYFUNCTION("AVERAGE(ARRAYFORMULA(XLOOKUP(FILTER(INDIRECT(""'""&amp;CF$1&amp;""'!$C$4:$C$66""),INDIRECT(""'""&amp;CF$1&amp;""'!$D$4:$D$66"")=CF$2),$F$3:$BP$3,$F151:$BP151)))"),-0.5099787800000001)</f>
        <v>-0.50997878</v>
      </c>
      <c r="CG151" s="207">
        <f>IFERROR(__xludf.DUMMYFUNCTION("IF(OR(CF151&gt;$BR151+$BS151*$BS$2,CF151&lt;$BR151-$BS151*$BS$2),AVEDEV(ARRAYFORMULA(XLOOKUP(FILTER(INDIRECT(""'""&amp;CF$1&amp;""'!$C$4:$C$66""),INDIRECT(""'""&amp;CF$1&amp;""'!$D$4:$D$66"")=CF$2),$F$3:$BP$3,$F151:$BP151))),"""")"),0.08826609599999999)</f>
        <v>0.088266096</v>
      </c>
      <c r="CH151" s="206"/>
      <c r="CI151" s="251">
        <f>IFERROR(__xludf.DUMMYFUNCTION("AVERAGE(ARRAYFORMULA(XLOOKUP(FILTER(INDIRECT(""'""&amp;CI$1&amp;""'!$C$4:$C$66""),INDIRECT(""'""&amp;CI$1&amp;""'!$D$4:$D$66"")=CI$2),$F$3:$BP$3,$F151:$BP151)))"),-0.07409294933333331)</f>
        <v>-0.07409294933</v>
      </c>
      <c r="CJ151" s="207" t="str">
        <f>IFERROR(__xludf.DUMMYFUNCTION("IF(OR(CI151&gt;$BR151+$BS151*$BS$2,CI151&lt;$BR151-$BS151*$BS$2),AVEDEV(ARRAYFORMULA(XLOOKUP(FILTER(INDIRECT(""'""&amp;CI$1&amp;""'!$C$4:$C$66""),INDIRECT(""'""&amp;CI$1&amp;""'!$D$4:$D$66"")=CI$2),$F$3:$BP$3,$F151:$BP151))),"""")"),"")</f>
        <v/>
      </c>
      <c r="CK151" s="251">
        <f>IFERROR(__xludf.DUMMYFUNCTION("AVERAGE(ARRAYFORMULA(XLOOKUP(FILTER(INDIRECT(""'""&amp;CK$1&amp;""'!$C$4:$C$66""),INDIRECT(""'""&amp;CK$1&amp;""'!$D$4:$D$66"")=CK$2),$F$3:$BP$3,$F151:$BP151)))"),0.2005661671794872)</f>
        <v>0.2005661672</v>
      </c>
      <c r="CL151" s="207" t="str">
        <f>IFERROR(__xludf.DUMMYFUNCTION("IF(OR(CK151&gt;$BR151+$BS151*$BS$2,CK151&lt;$BR151-$BS151*$BS$2),AVEDEV(ARRAYFORMULA(XLOOKUP(FILTER(INDIRECT(""'""&amp;CK$1&amp;""'!$C$4:$C$66""),INDIRECT(""'""&amp;CK$1&amp;""'!$D$4:$D$66"")=CK$2),$F$3:$BP$3,$F151:$BP151))),"""")"),"")</f>
        <v/>
      </c>
      <c r="CM151" s="254">
        <f>IFERROR(__xludf.DUMMYFUNCTION("AVERAGE(ARRAYFORMULA(XLOOKUP(FILTER(INDIRECT(""'""&amp;CM$1&amp;""'!$C$4:$C$66""),INDIRECT(""'""&amp;CM$1&amp;""'!$D$4:$D$66"")=CM$2),$F$3:$BP$3,$F151:$BP151)))"),-0.5099787800000001)</f>
        <v>-0.50997878</v>
      </c>
      <c r="CN151" s="207">
        <f>IFERROR(__xludf.DUMMYFUNCTION("IF(OR(CM151&gt;$BR151+$BS151*$BS$2,CM151&lt;$BR151-$BS151*$BS$2),AVEDEV(ARRAYFORMULA(XLOOKUP(FILTER(INDIRECT(""'""&amp;CM$1&amp;""'!$C$4:$C$66""),INDIRECT(""'""&amp;CM$1&amp;""'!$D$4:$D$66"")=CM$2),$F$3:$BP$3,$F151:$BP151))),"""")"),0.08826609599999999)</f>
        <v>0.088266096</v>
      </c>
      <c r="CO151" s="252"/>
      <c r="CP151" s="251">
        <f>IFERROR(__xludf.DUMMYFUNCTION("AVERAGE(ARRAYFORMULA(XLOOKUP(FILTER(INDIRECT(""'""&amp;CP$1&amp;""'!$C$4:$C$66""),INDIRECT(""'""&amp;CP$1&amp;""'!$D$4:$D$66"")=CP$2),$F$3:$BP$3,$F151:$BP151)))"),0.5767869800000002)</f>
        <v>0.57678698</v>
      </c>
      <c r="CQ151" s="207" t="str">
        <f>IFERROR(__xludf.DUMMYFUNCTION("IF(OR(CP151&gt;$BR151+$BS151*$BS$2,CP151&lt;$BR151-$BS151*$BS$2),AVEDEV(ARRAYFORMULA(XLOOKUP(FILTER(INDIRECT(""'""&amp;CP$1&amp;""'!$C$4:$C$66""),INDIRECT(""'""&amp;CP$1&amp;""'!$D$4:$D$66"")=CP$2),$F$3:$BP$3,$F151:$BP151))),"""")"),"")</f>
        <v/>
      </c>
      <c r="CR151" s="251">
        <f>IFERROR(__xludf.DUMMYFUNCTION("AVERAGE(ARRAYFORMULA(XLOOKUP(FILTER(INDIRECT(""'""&amp;CR$1&amp;""'!$C$4:$C$66""),INDIRECT(""'""&amp;CR$1&amp;""'!$D$4:$D$66"")=CR$2),$F$3:$BP$3,$F151:$BP151)))"),-0.4729574722222222)</f>
        <v>-0.4729574722</v>
      </c>
      <c r="CS151" s="207" t="str">
        <f>IFERROR(__xludf.DUMMYFUNCTION("IF(OR(CR151&gt;$BR151+$BS151*$BS$2,CR151&lt;$BR151-$BS151*$BS$2),AVEDEV(ARRAYFORMULA(XLOOKUP(FILTER(INDIRECT(""'""&amp;CR$1&amp;""'!$C$4:$C$66""),INDIRECT(""'""&amp;CR$1&amp;""'!$D$4:$D$66"")=CR$2),$F$3:$BP$3,$F151:$BP151))),"""")"),"")</f>
        <v/>
      </c>
      <c r="CT151" s="251">
        <f>IFERROR(__xludf.DUMMYFUNCTION("AVERAGE(ARRAYFORMULA(XLOOKUP(FILTER(INDIRECT(""'""&amp;CT$1&amp;""'!$C$4:$C$66""),INDIRECT(""'""&amp;CT$1&amp;""'!$D$4:$D$66"")=CT$2),$F$3:$BP$3,$F151:$BP151)))"),-0.2619571527272727)</f>
        <v>-0.2619571527</v>
      </c>
      <c r="CU151" s="207" t="str">
        <f>IFERROR(__xludf.DUMMYFUNCTION("IF(OR(CT151&gt;$BR151+$BS151*$BS$2,CT151&lt;$BR151-$BS151*$BS$2),AVEDEV(ARRAYFORMULA(XLOOKUP(FILTER(INDIRECT(""'""&amp;CT$1&amp;""'!$C$4:$C$66""),INDIRECT(""'""&amp;CT$1&amp;""'!$D$4:$D$66"")=CT$2),$F$3:$BP$3,$F151:$BP151))),"""")"),"")</f>
        <v/>
      </c>
      <c r="CV151" s="251">
        <f>IFERROR(__xludf.DUMMYFUNCTION("AVERAGE(ARRAYFORMULA(XLOOKUP(FILTER(INDIRECT(""'""&amp;CV$1&amp;""'!$C$4:$C$66""),INDIRECT(""'""&amp;CV$1&amp;""'!$D$4:$D$66"")=CV$2),$F$3:$BP$3,$F151:$BP151)))"),0.8627034650000001)</f>
        <v>0.862703465</v>
      </c>
      <c r="CW151" s="207">
        <f>IFERROR(__xludf.DUMMYFUNCTION("IF(OR(CV151&gt;$BR151+$BS151*$BS$2,CV151&lt;$BR151-$BS151*$BS$2),AVEDEV(ARRAYFORMULA(XLOOKUP(FILTER(INDIRECT(""'""&amp;CV$1&amp;""'!$C$4:$C$66""),INDIRECT(""'""&amp;CV$1&amp;""'!$D$4:$D$66"")=CV$2),$F$3:$BP$3,$F151:$BP151))),"""")"),0.007784854999999979)</f>
        <v>0.007784855</v>
      </c>
      <c r="CX151" s="254">
        <f>IFERROR(__xludf.DUMMYFUNCTION("AVERAGE(ARRAYFORMULA(XLOOKUP(FILTER(INDIRECT(""'""&amp;CX$1&amp;""'!$C$4:$C$66""),INDIRECT(""'""&amp;CX$1&amp;""'!$D$4:$D$66"")=CX$2),$F$3:$BP$3,$F151:$BP151)))"),0.15018703642857142)</f>
        <v>0.1501870364</v>
      </c>
      <c r="CY151" s="207" t="str">
        <f>IFERROR(__xludf.DUMMYFUNCTION("IF(OR(CX151&gt;$BR151+$BS151*$BS$2,CX151&lt;$BR151-$BS151*$BS$2),AVEDEV(ARRAYFORMULA(XLOOKUP(FILTER(INDIRECT(""'""&amp;CX$1&amp;""'!$C$4:$C$66""),INDIRECT(""'""&amp;CX$1&amp;""'!$D$4:$D$66"")=CX$2),$F$3:$BP$3,$F151:$BP151))),"""")"),"")</f>
        <v/>
      </c>
      <c r="CZ151" s="252"/>
      <c r="DA151" s="251">
        <f>IFERROR(__xludf.DUMMYFUNCTION("AVERAGE(ARRAYFORMULA(XLOOKUP(FILTER(INDIRECT(""'""&amp;DA$1&amp;""'!$C$4:$C$66""),INDIRECT(""'""&amp;DA$1&amp;""'!$D$4:$D$66"")=DA$2),$F$3:$BP$3,$F151:$BP151)))"),0.2721349373333333)</f>
        <v>0.2721349373</v>
      </c>
      <c r="DB151" s="207" t="str">
        <f>IFERROR(__xludf.DUMMYFUNCTION("IF(OR(DA151&gt;$BR151+$BS151*$BS$2,DA151&lt;$BR151-$BS151*$BS$2),AVEDEV(ARRAYFORMULA(XLOOKUP(FILTER(INDIRECT(""'""&amp;DA$1&amp;""'!$C$4:$C$66""),INDIRECT(""'""&amp;DA$1&amp;""'!$D$4:$D$66"")=DA$2),$F$3:$BP$3,$F151:$BP151))),"""")"),"")</f>
        <v/>
      </c>
      <c r="DC151" s="251">
        <f>IFERROR(__xludf.DUMMYFUNCTION("AVERAGE(ARRAYFORMULA(XLOOKUP(FILTER(INDIRECT(""'""&amp;DC$1&amp;""'!$C$4:$C$66""),INDIRECT(""'""&amp;DC$1&amp;""'!$D$4:$D$66"")=DC$2),$F$3:$BP$3,$F151:$BP151)))"),-0.3464968277777778)</f>
        <v>-0.3464968278</v>
      </c>
      <c r="DD151" s="207" t="str">
        <f>IFERROR(__xludf.DUMMYFUNCTION("IF(OR(DC151&gt;$BR151+$BS151*$BS$2,DC151&lt;$BR151-$BS151*$BS$2),AVEDEV(ARRAYFORMULA(XLOOKUP(FILTER(INDIRECT(""'""&amp;DC$1&amp;""'!$C$4:$C$66""),INDIRECT(""'""&amp;DC$1&amp;""'!$D$4:$D$66"")=DC$2),$F$3:$BP$3,$F151:$BP151))),"""")"),"")</f>
        <v/>
      </c>
      <c r="DE151" s="251">
        <f>IFERROR(__xludf.DUMMYFUNCTION("AVERAGE(ARRAYFORMULA(XLOOKUP(FILTER(INDIRECT(""'""&amp;DE$1&amp;""'!$C$4:$C$66""),INDIRECT(""'""&amp;DE$1&amp;""'!$D$4:$D$66"")=DE$2),$F$3:$BP$3,$F151:$BP151)))"),-0.23903043499999999)</f>
        <v>-0.239030435</v>
      </c>
      <c r="DF151" s="207" t="str">
        <f>IFERROR(__xludf.DUMMYFUNCTION("IF(OR(DE151&gt;$BR151+$BS151*$BS$2,DE151&lt;$BR151-$BS151*$BS$2),AVEDEV(ARRAYFORMULA(XLOOKUP(FILTER(INDIRECT(""'""&amp;DE$1&amp;""'!$C$4:$C$66""),INDIRECT(""'""&amp;DE$1&amp;""'!$D$4:$D$66"")=DE$2),$F$3:$BP$3,$F151:$BP151))),"""")"),"")</f>
        <v/>
      </c>
      <c r="DG151" s="251">
        <f>IFERROR(__xludf.DUMMYFUNCTION("AVERAGE(ARRAYFORMULA(XLOOKUP(FILTER(INDIRECT(""'""&amp;DG$1&amp;""'!$C$4:$C$66""),INDIRECT(""'""&amp;DG$1&amp;""'!$D$4:$D$66"")=DG$2),$F$3:$BP$3,$F151:$BP151)))"),-0.11859716555555555)</f>
        <v>-0.1185971656</v>
      </c>
      <c r="DH151" s="207" t="str">
        <f>IFERROR(__xludf.DUMMYFUNCTION("IF(OR(DG151&gt;$BR151+$BS151*$BS$2,DG151&lt;$BR151-$BS151*$BS$2),AVEDEV(ARRAYFORMULA(XLOOKUP(FILTER(INDIRECT(""'""&amp;DG$1&amp;""'!$C$4:$C$66""),INDIRECT(""'""&amp;DG$1&amp;""'!$D$4:$D$66"")=DG$2),$F$3:$BP$3,$F151:$BP151))),"""")"),"")</f>
        <v/>
      </c>
      <c r="DI151" s="252"/>
    </row>
    <row r="152">
      <c r="A152" s="2"/>
      <c r="B152" s="204" t="s">
        <v>540</v>
      </c>
      <c r="C152" s="204" t="s">
        <v>595</v>
      </c>
      <c r="D152" s="205" t="b">
        <f>VLOOKUP(C152,'Feature Set List'!A149:C246,2,0)</f>
        <v>1</v>
      </c>
      <c r="E152" s="205" t="b">
        <f>VLOOKUP(C152,'Feature Set List'!A149:C246,3,0)</f>
        <v>0</v>
      </c>
      <c r="F152" s="205">
        <v>0.34701782</v>
      </c>
      <c r="G152" s="205">
        <v>0.43996902</v>
      </c>
      <c r="H152" s="205">
        <v>0.36715724</v>
      </c>
      <c r="I152" s="205">
        <v>1.03950426</v>
      </c>
      <c r="J152" s="205">
        <v>-0.4302091</v>
      </c>
      <c r="K152" s="205">
        <v>-0.7288923</v>
      </c>
      <c r="L152" s="205">
        <v>-0.8938807</v>
      </c>
      <c r="M152" s="205">
        <v>1.08907823</v>
      </c>
      <c r="N152" s="205">
        <v>-0.2158017</v>
      </c>
      <c r="O152" s="205">
        <v>-0.4731216</v>
      </c>
      <c r="P152" s="205">
        <v>0.51897754</v>
      </c>
      <c r="Q152" s="205">
        <v>-0.0604183</v>
      </c>
      <c r="R152" s="205">
        <v>-0.0852053</v>
      </c>
      <c r="S152" s="205">
        <v>-0.1068939</v>
      </c>
      <c r="T152" s="205">
        <v>0.06506584</v>
      </c>
      <c r="U152" s="205">
        <v>0.95429899</v>
      </c>
      <c r="V152" s="205">
        <v>-0.3683966</v>
      </c>
      <c r="W152" s="205">
        <v>0.42447715</v>
      </c>
      <c r="X152" s="205">
        <v>-0.725794</v>
      </c>
      <c r="Y152" s="205">
        <v>1.37103021</v>
      </c>
      <c r="Z152" s="205">
        <v>-0.0371805</v>
      </c>
      <c r="AA152" s="205">
        <v>-0.1797057</v>
      </c>
      <c r="AB152" s="205">
        <v>-0.0387297</v>
      </c>
      <c r="AC152" s="205">
        <v>1.26413633</v>
      </c>
      <c r="AD152" s="205">
        <v>0.53601859</v>
      </c>
      <c r="AE152" s="205">
        <v>-0.3718048</v>
      </c>
      <c r="AF152" s="205">
        <v>1.21611154</v>
      </c>
      <c r="AG152" s="205">
        <v>0.65375678</v>
      </c>
      <c r="AH152" s="205">
        <v>-0.4949651</v>
      </c>
      <c r="AI152" s="205">
        <v>-0.2275755</v>
      </c>
      <c r="AJ152" s="205">
        <v>0.84740511</v>
      </c>
      <c r="AK152" s="205">
        <v>0.66150271</v>
      </c>
      <c r="AL152" s="205">
        <v>-0.1037955</v>
      </c>
      <c r="AM152" s="205">
        <v>0.03563129</v>
      </c>
      <c r="AN152" s="205">
        <v>0.36560806</v>
      </c>
      <c r="AO152" s="205">
        <v>1.01936483</v>
      </c>
      <c r="AP152" s="205">
        <v>1.01781565</v>
      </c>
      <c r="AQ152" s="205">
        <v>2.06661503</v>
      </c>
      <c r="AR152" s="205">
        <v>-0.335244</v>
      </c>
      <c r="AS152" s="205">
        <v>0.0</v>
      </c>
      <c r="AT152" s="205">
        <v>-0.3494965</v>
      </c>
      <c r="AU152" s="205">
        <v>0.08520527</v>
      </c>
      <c r="AV152" s="205">
        <v>1.09372579</v>
      </c>
      <c r="AW152" s="205">
        <v>1.10302091</v>
      </c>
      <c r="AX152" s="205">
        <v>0.83501162</v>
      </c>
      <c r="AY152" s="205">
        <v>0.12083656</v>
      </c>
      <c r="AZ152" s="205">
        <v>-0.6807126</v>
      </c>
      <c r="BA152" s="205">
        <v>1.16034082</v>
      </c>
      <c r="BB152" s="205">
        <v>0.41982959</v>
      </c>
      <c r="BC152" s="205">
        <v>-0.9659179</v>
      </c>
      <c r="BD152" s="205">
        <v>-0.1022463</v>
      </c>
      <c r="BE152" s="205">
        <v>-0.1564679</v>
      </c>
      <c r="BF152" s="205">
        <v>-0.4319132</v>
      </c>
      <c r="BG152" s="205">
        <v>1.28427576</v>
      </c>
      <c r="BH152" s="205">
        <v>-0.2587142</v>
      </c>
      <c r="BI152" s="205">
        <v>0.63516654</v>
      </c>
      <c r="BJ152" s="205">
        <v>0.36250968</v>
      </c>
      <c r="BK152" s="205">
        <v>-0.2466305</v>
      </c>
      <c r="BL152" s="205">
        <v>-0.5225407</v>
      </c>
      <c r="BM152" s="205">
        <v>-0.8212239</v>
      </c>
      <c r="BN152" s="205">
        <v>-0.2883036</v>
      </c>
      <c r="BO152" s="205">
        <v>-0.4791634</v>
      </c>
      <c r="BP152" s="205">
        <v>-0.857165</v>
      </c>
      <c r="BQ152" s="206"/>
      <c r="BR152" s="250">
        <f t="shared" si="1"/>
        <v>0.1803548375</v>
      </c>
      <c r="BS152" s="250">
        <f t="shared" si="2"/>
        <v>0.5785442917</v>
      </c>
      <c r="BT152" s="206"/>
      <c r="BU152" s="207">
        <f>IFERROR(__xludf.DUMMYFUNCTION("AVERAGE(ARRAYFORMULA(XLOOKUP(FILTER(INDIRECT(""'""&amp;BU$1&amp;""'!$C$4:$C$66""),INDIRECT(""'""&amp;BU$1&amp;""'!$D$4:$D$66"")=BU$2),$F$3:$BP$3,$F152:$BP152)))"),0.3573752414285714)</f>
        <v>0.3573752414</v>
      </c>
      <c r="BV152" s="207" t="str">
        <f>IFERROR(__xludf.DUMMYFUNCTION("IF(OR(BU152&gt;$BR152+$BS152*$BS$2,BU152&lt;$BR152-$BS152*$BS$2),AVEDEV(ARRAYFORMULA(XLOOKUP(FILTER(INDIRECT(""'""&amp;BU$1&amp;""'!$C$4:$C$66""),INDIRECT(""'""&amp;BU$1&amp;""'!$D$4:$D$66"")=BU$2),$F$3:$BP$3,$F152:$BP152))),"""")"),"")</f>
        <v/>
      </c>
      <c r="BW152" s="207">
        <f>IFERROR(__xludf.DUMMYFUNCTION("AVERAGE(ARRAYFORMULA(XLOOKUP(FILTER(INDIRECT(""'""&amp;BW$1&amp;""'!$C$4:$C$66""),INDIRECT(""'""&amp;BW$1&amp;""'!$D$4:$D$66"")=BW$2),$F$3:$BP$3,$F152:$BP152)))"),0.33840876309523804)</f>
        <v>0.3384087631</v>
      </c>
      <c r="BX152" s="207" t="str">
        <f>IFERROR(__xludf.DUMMYFUNCTION("IF(OR(BW152&gt;$BR152+$BS152*$BS$2,BW152&lt;$BR152-$BS152*$BS$2),AVEDEV(ARRAYFORMULA(XLOOKUP(FILTER(INDIRECT(""'""&amp;BW$1&amp;""'!$C$4:$C$66""),INDIRECT(""'""&amp;BW$1&amp;""'!$D$4:$D$66"")=BW$2),$F$3:$BP$3,$F152:$BP152))),"""")"),"")</f>
        <v/>
      </c>
      <c r="BY152" s="207">
        <f>IFERROR(__xludf.DUMMYFUNCTION("AVERAGE(ARRAYFORMULA(XLOOKUP(FILTER(INDIRECT(""'""&amp;BY$1&amp;""'!$C$4:$C$66""),INDIRECT(""'""&amp;BY$1&amp;""'!$D$4:$D$66"")=BY$2),$F$3:$BP$3,$F152:$BP152)))"),-0.40038025636363644)</f>
        <v>-0.4003802564</v>
      </c>
      <c r="BZ152" s="207">
        <f>IFERROR(__xludf.DUMMYFUNCTION("IF(OR(BY152&gt;$BR152+$BS152*$BS$2,BY152&lt;$BR152-$BS152*$BS$2),AVEDEV(ARRAYFORMULA(XLOOKUP(FILTER(INDIRECT(""'""&amp;BY$1&amp;""'!$C$4:$C$66""),INDIRECT(""'""&amp;BY$1&amp;""'!$D$4:$D$66"")=BY$2),$F$3:$BP$3,$F152:$BP152))),"""")"),0.29502915669421487)</f>
        <v>0.2950291567</v>
      </c>
      <c r="CA152" s="209"/>
      <c r="CB152" s="207">
        <f>IFERROR(__xludf.DUMMYFUNCTION("AVERAGE(ARRAYFORMULA(XLOOKUP(FILTER(INDIRECT(""'""&amp;CB$1&amp;""'!$C$4:$C$66""),INDIRECT(""'""&amp;CB$1&amp;""'!$D$4:$D$66"")=CB$2),$F$3:$BP$3,$F152:$BP152)))"),0.587316035625)</f>
        <v>0.5873160356</v>
      </c>
      <c r="CC152" s="207" t="str">
        <f>IFERROR(__xludf.DUMMYFUNCTION("IF(OR(CB152&gt;$BR152+$BS152*$BS$2,CB152&lt;$BR152-$BS152*$BS$2),AVEDEV(ARRAYFORMULA(XLOOKUP(FILTER(INDIRECT(""'""&amp;CB$1&amp;""'!$C$4:$C$66""),INDIRECT(""'""&amp;CB$1&amp;""'!$D$4:$D$66"")=CB$2),$F$3:$BP$3,$F152:$BP152))),"""")"),"")</f>
        <v/>
      </c>
      <c r="CD152" s="207">
        <f>IFERROR(__xludf.DUMMYFUNCTION("AVERAGE(ARRAYFORMULA(XLOOKUP(FILTER(INDIRECT(""'""&amp;CD$1&amp;""'!$C$4:$C$66""),INDIRECT(""'""&amp;CD$1&amp;""'!$D$4:$D$66"")=CD$2),$F$3:$BP$3,$F152:$BP152)))"),0.054586338064516134)</f>
        <v>0.05458633806</v>
      </c>
      <c r="CE152" s="207" t="str">
        <f>IFERROR(__xludf.DUMMYFUNCTION("IF(OR(CD152&gt;$BR152+$BS152*$BS$2,CD152&lt;$BR152-$BS152*$BS$2),AVEDEV(ARRAYFORMULA(XLOOKUP(FILTER(INDIRECT(""'""&amp;CD$1&amp;""'!$C$4:$C$66""),INDIRECT(""'""&amp;CD$1&amp;""'!$D$4:$D$66"")=CD$2),$F$3:$BP$3,$F152:$BP152))),"""")"),"")</f>
        <v/>
      </c>
      <c r="CF152" s="207">
        <f>IFERROR(__xludf.DUMMYFUNCTION("AVERAGE(ARRAYFORMULA(XLOOKUP(FILTER(INDIRECT(""'""&amp;CF$1&amp;""'!$C$4:$C$66""),INDIRECT(""'""&amp;CF$1&amp;""'!$D$4:$D$66"")=CF$2),$F$3:$BP$3,$F152:$BP152)))"),-0.40557706)</f>
        <v>-0.40557706</v>
      </c>
      <c r="CG152" s="207">
        <f>IFERROR(__xludf.DUMMYFUNCTION("IF(OR(CF152&gt;$BR152+$BS152*$BS$2,CF152&lt;$BR152-$BS152*$BS$2),AVEDEV(ARRAYFORMULA(XLOOKUP(FILTER(INDIRECT(""'""&amp;CF$1&amp;""'!$C$4:$C$66""),INDIRECT(""'""&amp;CF$1&amp;""'!$D$4:$D$66"")=CF$2),$F$3:$BP$3,$F152:$BP152))),"""")"),0.147606488)</f>
        <v>0.147606488</v>
      </c>
      <c r="CH152" s="206"/>
      <c r="CI152" s="251">
        <f>IFERROR(__xludf.DUMMYFUNCTION("AVERAGE(ARRAYFORMULA(XLOOKUP(FILTER(INDIRECT(""'""&amp;CI$1&amp;""'!$C$4:$C$66""),INDIRECT(""'""&amp;CI$1&amp;""'!$D$4:$D$66"")=CI$2),$F$3:$BP$3,$F152:$BP152)))"),0.15875031533333334)</f>
        <v>0.1587503153</v>
      </c>
      <c r="CJ152" s="207" t="str">
        <f>IFERROR(__xludf.DUMMYFUNCTION("IF(OR(CI152&gt;$BR152+$BS152*$BS$2,CI152&lt;$BR152-$BS152*$BS$2),AVEDEV(ARRAYFORMULA(XLOOKUP(FILTER(INDIRECT(""'""&amp;CI$1&amp;""'!$C$4:$C$66""),INDIRECT(""'""&amp;CI$1&amp;""'!$D$4:$D$66"")=CI$2),$F$3:$BP$3,$F152:$BP152))),"""")"),"")</f>
        <v/>
      </c>
      <c r="CK152" s="251">
        <f>IFERROR(__xludf.DUMMYFUNCTION("AVERAGE(ARRAYFORMULA(XLOOKUP(FILTER(INDIRECT(""'""&amp;CK$1&amp;""'!$C$4:$C$66""),INDIRECT(""'""&amp;CK$1&amp;""'!$D$4:$D$66"")=CK$2),$F$3:$BP$3,$F152:$BP152)))"),0.3129198202564103)</f>
        <v>0.3129198203</v>
      </c>
      <c r="CL152" s="207" t="str">
        <f>IFERROR(__xludf.DUMMYFUNCTION("IF(OR(CK152&gt;$BR152+$BS152*$BS$2,CK152&lt;$BR152-$BS152*$BS$2),AVEDEV(ARRAYFORMULA(XLOOKUP(FILTER(INDIRECT(""'""&amp;CK$1&amp;""'!$C$4:$C$66""),INDIRECT(""'""&amp;CK$1&amp;""'!$D$4:$D$66"")=CK$2),$F$3:$BP$3,$F152:$BP152))),"""")"),"")</f>
        <v/>
      </c>
      <c r="CM152" s="251">
        <f>IFERROR(__xludf.DUMMYFUNCTION("AVERAGE(ARRAYFORMULA(XLOOKUP(FILTER(INDIRECT(""'""&amp;CM$1&amp;""'!$C$4:$C$66""),INDIRECT(""'""&amp;CM$1&amp;""'!$D$4:$D$66"")=CM$2),$F$3:$BP$3,$F152:$BP152)))"),-0.40557706)</f>
        <v>-0.40557706</v>
      </c>
      <c r="CN152" s="207">
        <f>IFERROR(__xludf.DUMMYFUNCTION("IF(OR(CM152&gt;$BR152+$BS152*$BS$2,CM152&lt;$BR152-$BS152*$BS$2),AVEDEV(ARRAYFORMULA(XLOOKUP(FILTER(INDIRECT(""'""&amp;CM$1&amp;""'!$C$4:$C$66""),INDIRECT(""'""&amp;CM$1&amp;""'!$D$4:$D$66"")=CM$2),$F$3:$BP$3,$F152:$BP152))),"""")"),0.147606488)</f>
        <v>0.147606488</v>
      </c>
      <c r="CO152" s="252"/>
      <c r="CP152" s="251">
        <f>IFERROR(__xludf.DUMMYFUNCTION("AVERAGE(ARRAYFORMULA(XLOOKUP(FILTER(INDIRECT(""'""&amp;CP$1&amp;""'!$C$4:$C$66""),INDIRECT(""'""&amp;CP$1&amp;""'!$D$4:$D$66"")=CP$2),$F$3:$BP$3,$F152:$BP152)))"),0.687562242857143)</f>
        <v>0.6875622429</v>
      </c>
      <c r="CQ152" s="207" t="str">
        <f>IFERROR(__xludf.DUMMYFUNCTION("IF(OR(CP152&gt;$BR152+$BS152*$BS$2,CP152&lt;$BR152-$BS152*$BS$2),AVEDEV(ARRAYFORMULA(XLOOKUP(FILTER(INDIRECT(""'""&amp;CP$1&amp;""'!$C$4:$C$66""),INDIRECT(""'""&amp;CP$1&amp;""'!$D$4:$D$66"")=CP$2),$F$3:$BP$3,$F152:$BP152))),"""")"),"")</f>
        <v/>
      </c>
      <c r="CR152" s="251">
        <f>IFERROR(__xludf.DUMMYFUNCTION("AVERAGE(ARRAYFORMULA(XLOOKUP(FILTER(INDIRECT(""'""&amp;CR$1&amp;""'!$C$4:$C$66""),INDIRECT(""'""&amp;CR$1&amp;""'!$D$4:$D$66"")=CR$2),$F$3:$BP$3,$F152:$BP152)))"),-0.44471985333333336)</f>
        <v>-0.4447198533</v>
      </c>
      <c r="CS152" s="207">
        <f>IFERROR(__xludf.DUMMYFUNCTION("IF(OR(CR152&gt;$BR152+$BS152*$BS$2,CR152&lt;$BR152-$BS152*$BS$2),AVEDEV(ARRAYFORMULA(XLOOKUP(FILTER(INDIRECT(""'""&amp;CR$1&amp;""'!$C$4:$C$66""),INDIRECT(""'""&amp;CR$1&amp;""'!$D$4:$D$66"")=CR$2),$F$3:$BP$3,$F152:$BP152))),"""")"),0.28417820740740735)</f>
        <v>0.2841782074</v>
      </c>
      <c r="CT152" s="251">
        <f>IFERROR(__xludf.DUMMYFUNCTION("AVERAGE(ARRAYFORMULA(XLOOKUP(FILTER(INDIRECT(""'""&amp;CT$1&amp;""'!$C$4:$C$66""),INDIRECT(""'""&amp;CT$1&amp;""'!$D$4:$D$66"")=CT$2),$F$3:$BP$3,$F152:$BP152)))"),-0.02773044454545454)</f>
        <v>-0.02773044455</v>
      </c>
      <c r="CU152" s="207" t="str">
        <f>IFERROR(__xludf.DUMMYFUNCTION("IF(OR(CT152&gt;$BR152+$BS152*$BS$2,CT152&lt;$BR152-$BS152*$BS$2),AVEDEV(ARRAYFORMULA(XLOOKUP(FILTER(INDIRECT(""'""&amp;CT$1&amp;""'!$C$4:$C$66""),INDIRECT(""'""&amp;CT$1&amp;""'!$D$4:$D$66"")=CT$2),$F$3:$BP$3,$F152:$BP152))),"""")"),"")</f>
        <v/>
      </c>
      <c r="CV152" s="251">
        <f>IFERROR(__xludf.DUMMYFUNCTION("AVERAGE(ARRAYFORMULA(XLOOKUP(FILTER(INDIRECT(""'""&amp;CV$1&amp;""'!$C$4:$C$66""),INDIRECT(""'""&amp;CV$1&amp;""'!$D$4:$D$66"")=CV$2),$F$3:$BP$3,$F152:$BP152)))"),1.2742060450000001)</f>
        <v>1.274206045</v>
      </c>
      <c r="CW152" s="207">
        <f>IFERROR(__xludf.DUMMYFUNCTION("IF(OR(CV152&gt;$BR152+$BS152*$BS$2,CV152&lt;$BR152-$BS152*$BS$2),AVEDEV(ARRAYFORMULA(XLOOKUP(FILTER(INDIRECT(""'""&amp;CV$1&amp;""'!$C$4:$C$66""),INDIRECT(""'""&amp;CV$1&amp;""'!$D$4:$D$66"")=CV$2),$F$3:$BP$3,$F152:$BP152))),"""")"),0.01006971500000009)</f>
        <v>0.010069715</v>
      </c>
      <c r="CX152" s="251">
        <f>IFERROR(__xludf.DUMMYFUNCTION("AVERAGE(ARRAYFORMULA(XLOOKUP(FILTER(INDIRECT(""'""&amp;CX$1&amp;""'!$C$4:$C$66""),INDIRECT(""'""&amp;CX$1&amp;""'!$D$4:$D$66"")=CX$2),$F$3:$BP$3,$F152:$BP152)))"),0.23072922214285713)</f>
        <v>0.2307292221</v>
      </c>
      <c r="CY152" s="207" t="str">
        <f>IFERROR(__xludf.DUMMYFUNCTION("IF(OR(CX152&gt;$BR152+$BS152*$BS$2,CX152&lt;$BR152-$BS152*$BS$2),AVEDEV(ARRAYFORMULA(XLOOKUP(FILTER(INDIRECT(""'""&amp;CX$1&amp;""'!$C$4:$C$66""),INDIRECT(""'""&amp;CX$1&amp;""'!$D$4:$D$66"")=CX$2),$F$3:$BP$3,$F152:$BP152))),"""")"),"")</f>
        <v/>
      </c>
      <c r="CZ152" s="252"/>
      <c r="DA152" s="251">
        <f>IFERROR(__xludf.DUMMYFUNCTION("AVERAGE(ARRAYFORMULA(XLOOKUP(FILTER(INDIRECT(""'""&amp;DA$1&amp;""'!$C$4:$C$66""),INDIRECT(""'""&amp;DA$1&amp;""'!$D$4:$D$66"")=DA$2),$F$3:$BP$3,$F152:$BP152)))"),0.38840175633333335)</f>
        <v>0.3884017563</v>
      </c>
      <c r="DB152" s="207" t="str">
        <f>IFERROR(__xludf.DUMMYFUNCTION("IF(OR(DA152&gt;$BR152+$BS152*$BS$2,DA152&lt;$BR152-$BS152*$BS$2),AVEDEV(ARRAYFORMULA(XLOOKUP(FILTER(INDIRECT(""'""&amp;DA$1&amp;""'!$C$4:$C$66""),INDIRECT(""'""&amp;DA$1&amp;""'!$D$4:$D$66"")=DA$2),$F$3:$BP$3,$F152:$BP152))),"""")"),"")</f>
        <v/>
      </c>
      <c r="DC152" s="251">
        <f>IFERROR(__xludf.DUMMYFUNCTION("AVERAGE(ARRAYFORMULA(XLOOKUP(FILTER(INDIRECT(""'""&amp;DC$1&amp;""'!$C$4:$C$66""),INDIRECT(""'""&amp;DC$1&amp;""'!$D$4:$D$66"")=DC$2),$F$3:$BP$3,$F152:$BP152)))"),-0.3713572566666667)</f>
        <v>-0.3713572567</v>
      </c>
      <c r="DD152" s="207" t="str">
        <f>IFERROR(__xludf.DUMMYFUNCTION("IF(OR(DC152&gt;$BR152+$BS152*$BS$2,DC152&lt;$BR152-$BS152*$BS$2),AVEDEV(ARRAYFORMULA(XLOOKUP(FILTER(INDIRECT(""'""&amp;DC$1&amp;""'!$C$4:$C$66""),INDIRECT(""'""&amp;DC$1&amp;""'!$D$4:$D$66"")=DC$2),$F$3:$BP$3,$F152:$BP152))),"""")"),"")</f>
        <v/>
      </c>
      <c r="DE152" s="251">
        <f>IFERROR(__xludf.DUMMYFUNCTION("AVERAGE(ARRAYFORMULA(XLOOKUP(FILTER(INDIRECT(""'""&amp;DE$1&amp;""'!$C$4:$C$66""),INDIRECT(""'""&amp;DE$1&amp;""'!$D$4:$D$66"")=DE$2),$F$3:$BP$3,$F152:$BP152)))"),0.049341589999999984)</f>
        <v>0.04934159</v>
      </c>
      <c r="DF152" s="207" t="str">
        <f>IFERROR(__xludf.DUMMYFUNCTION("IF(OR(DE152&gt;$BR152+$BS152*$BS$2,DE152&lt;$BR152-$BS152*$BS$2),AVEDEV(ARRAYFORMULA(XLOOKUP(FILTER(INDIRECT(""'""&amp;DE$1&amp;""'!$C$4:$C$66""),INDIRECT(""'""&amp;DE$1&amp;""'!$D$4:$D$66"")=DE$2),$F$3:$BP$3,$F152:$BP152))),"""")"),"")</f>
        <v/>
      </c>
      <c r="DG152" s="251">
        <f>IFERROR(__xludf.DUMMYFUNCTION("AVERAGE(ARRAYFORMULA(XLOOKUP(FILTER(INDIRECT(""'""&amp;DG$1&amp;""'!$C$4:$C$66""),INDIRECT(""'""&amp;DG$1&amp;""'!$D$4:$D$66"")=DG$2),$F$3:$BP$3,$F152:$BP152)))"),0.11066356444444443)</f>
        <v>0.1106635644</v>
      </c>
      <c r="DH152" s="207" t="str">
        <f>IFERROR(__xludf.DUMMYFUNCTION("IF(OR(DG152&gt;$BR152+$BS152*$BS$2,DG152&lt;$BR152-$BS152*$BS$2),AVEDEV(ARRAYFORMULA(XLOOKUP(FILTER(INDIRECT(""'""&amp;DG$1&amp;""'!$C$4:$C$66""),INDIRECT(""'""&amp;DG$1&amp;""'!$D$4:$D$66"")=DG$2),$F$3:$BP$3,$F152:$BP152))),"""")"),"")</f>
        <v/>
      </c>
      <c r="DI152" s="252"/>
    </row>
    <row r="153">
      <c r="A153" s="2"/>
      <c r="B153" s="204" t="s">
        <v>540</v>
      </c>
      <c r="C153" s="204" t="s">
        <v>596</v>
      </c>
      <c r="D153" s="205" t="b">
        <f>VLOOKUP(C153,'Feature Set List'!A150:C246,2,0)</f>
        <v>1</v>
      </c>
      <c r="E153" s="205" t="b">
        <f>VLOOKUP(C153,'Feature Set List'!A150:C246,3,0)</f>
        <v>0</v>
      </c>
      <c r="F153" s="205">
        <v>0.0</v>
      </c>
      <c r="G153" s="205">
        <v>-0.278481</v>
      </c>
      <c r="H153" s="205">
        <v>-0.3291139</v>
      </c>
      <c r="I153" s="205">
        <v>0.3628692</v>
      </c>
      <c r="J153" s="205">
        <v>-0.3797468</v>
      </c>
      <c r="K153" s="205">
        <v>0.05063291</v>
      </c>
      <c r="L153" s="205">
        <v>13.0379747</v>
      </c>
      <c r="M153" s="205">
        <v>-0.1012658</v>
      </c>
      <c r="N153" s="205">
        <v>0.07594937</v>
      </c>
      <c r="O153" s="205">
        <v>1.56118143</v>
      </c>
      <c r="P153" s="205">
        <v>2.34599156</v>
      </c>
      <c r="Q153" s="205">
        <v>-0.4050633</v>
      </c>
      <c r="R153" s="205">
        <v>-0.1181435</v>
      </c>
      <c r="S153" s="205">
        <v>-0.4978903</v>
      </c>
      <c r="T153" s="205">
        <v>-0.4810127</v>
      </c>
      <c r="U153" s="205">
        <v>-0.3628692</v>
      </c>
      <c r="V153" s="205">
        <v>-0.2109705</v>
      </c>
      <c r="W153" s="205">
        <v>-0.3966245</v>
      </c>
      <c r="X153" s="205">
        <v>0.32067511</v>
      </c>
      <c r="Y153" s="205">
        <v>0.93670886</v>
      </c>
      <c r="Z153" s="205">
        <v>-0.0084388</v>
      </c>
      <c r="AA153" s="205">
        <v>-0.2362869</v>
      </c>
      <c r="AB153" s="205">
        <v>0.15189873</v>
      </c>
      <c r="AC153" s="205">
        <v>-0.3881857</v>
      </c>
      <c r="AD153" s="205">
        <v>-0.4472574</v>
      </c>
      <c r="AE153" s="205">
        <v>-0.0590717</v>
      </c>
      <c r="AF153" s="205">
        <v>0.23628692</v>
      </c>
      <c r="AG153" s="205">
        <v>-0.2531646</v>
      </c>
      <c r="AH153" s="205">
        <v>11.7552743</v>
      </c>
      <c r="AI153" s="205">
        <v>-0.0506329</v>
      </c>
      <c r="AJ153" s="205">
        <v>0.32067511</v>
      </c>
      <c r="AK153" s="205">
        <v>-0.3375527</v>
      </c>
      <c r="AL153" s="205">
        <v>0.17721519</v>
      </c>
      <c r="AM153" s="205">
        <v>-0.0506329</v>
      </c>
      <c r="AN153" s="205">
        <v>0.43037975</v>
      </c>
      <c r="AO153" s="205">
        <v>0.78481013</v>
      </c>
      <c r="AP153" s="205">
        <v>-0.4303797</v>
      </c>
      <c r="AQ153" s="205">
        <v>0.14345992</v>
      </c>
      <c r="AR153" s="205">
        <v>-0.3966245</v>
      </c>
      <c r="AS153" s="205">
        <v>-0.4810127</v>
      </c>
      <c r="AT153" s="205">
        <v>30.0337553</v>
      </c>
      <c r="AU153" s="205">
        <v>0.19409283</v>
      </c>
      <c r="AV153" s="205">
        <v>0.30379747</v>
      </c>
      <c r="AW153" s="205">
        <v>-0.1350211</v>
      </c>
      <c r="AX153" s="205">
        <v>-0.4388186</v>
      </c>
      <c r="AY153" s="205">
        <v>-0.1518987</v>
      </c>
      <c r="AZ153" s="205">
        <v>4.5907173</v>
      </c>
      <c r="BA153" s="205">
        <v>0.35443038</v>
      </c>
      <c r="BB153" s="205">
        <v>-0.278481</v>
      </c>
      <c r="BC153" s="205">
        <v>1.35864979</v>
      </c>
      <c r="BD153" s="205">
        <v>-0.4978903</v>
      </c>
      <c r="BE153" s="205">
        <v>0.60759494</v>
      </c>
      <c r="BF153" s="205">
        <v>0.37130802</v>
      </c>
      <c r="BG153" s="205">
        <v>-0.3881857</v>
      </c>
      <c r="BH153" s="205">
        <v>3.10548523</v>
      </c>
      <c r="BI153" s="205">
        <v>-0.2362869</v>
      </c>
      <c r="BJ153" s="205">
        <v>1.92405063</v>
      </c>
      <c r="BK153" s="205">
        <v>1.75527426</v>
      </c>
      <c r="BL153" s="205">
        <v>3.72995781</v>
      </c>
      <c r="BM153" s="205">
        <v>1.29113924</v>
      </c>
      <c r="BN153" s="205">
        <v>1.32489451</v>
      </c>
      <c r="BO153" s="205">
        <v>8.02531646</v>
      </c>
      <c r="BP153" s="205">
        <v>-0.0590717</v>
      </c>
      <c r="BQ153" s="206"/>
      <c r="BR153" s="250">
        <f t="shared" si="1"/>
        <v>1.313910657</v>
      </c>
      <c r="BS153" s="250">
        <f t="shared" si="2"/>
        <v>2.141831262</v>
      </c>
      <c r="BT153" s="206"/>
      <c r="BU153" s="207">
        <f>IFERROR(__xludf.DUMMYFUNCTION("AVERAGE(ARRAYFORMULA(XLOOKUP(FILTER(INDIRECT(""'""&amp;BU$1&amp;""'!$C$4:$C$66""),INDIRECT(""'""&amp;BU$1&amp;""'!$D$4:$D$66"")=BU$2),$F$3:$BP$3,$F153:$BP153)))"),0.10367689857142857)</f>
        <v>0.1036768986</v>
      </c>
      <c r="BV153" s="207" t="str">
        <f>IFERROR(__xludf.DUMMYFUNCTION("IF(OR(BU153&gt;$BR153+$BS153*$BS$2,BU153&lt;$BR153-$BS153*$BS$2),AVEDEV(ARRAYFORMULA(XLOOKUP(FILTER(INDIRECT(""'""&amp;BU$1&amp;""'!$C$4:$C$66""),INDIRECT(""'""&amp;BU$1&amp;""'!$D$4:$D$66"")=BU$2),$F$3:$BP$3,$F153:$BP153))),"""")"),"")</f>
        <v/>
      </c>
      <c r="BW153" s="207">
        <f>IFERROR(__xludf.DUMMYFUNCTION("AVERAGE(ARRAYFORMULA(XLOOKUP(FILTER(INDIRECT(""'""&amp;BW$1&amp;""'!$C$4:$C$66""),INDIRECT(""'""&amp;BW$1&amp;""'!$D$4:$D$66"")=BW$2),$F$3:$BP$3,$F153:$BP153)))"),0.6813341385714285)</f>
        <v>0.6813341386</v>
      </c>
      <c r="BX153" s="207" t="str">
        <f>IFERROR(__xludf.DUMMYFUNCTION("IF(OR(BW153&gt;$BR153+$BS153*$BS$2,BW153&lt;$BR153-$BS153*$BS$2),AVEDEV(ARRAYFORMULA(XLOOKUP(FILTER(INDIRECT(""'""&amp;BW$1&amp;""'!$C$4:$C$66""),INDIRECT(""'""&amp;BW$1&amp;""'!$D$4:$D$66"")=BW$2),$F$3:$BP$3,$F153:$BP153))),"""")"),"")</f>
        <v/>
      </c>
      <c r="BY153" s="207">
        <f>IFERROR(__xludf.DUMMYFUNCTION("AVERAGE(ARRAYFORMULA(XLOOKUP(FILTER(INDIRECT(""'""&amp;BY$1&amp;""'!$C$4:$C$66""),INDIRECT(""'""&amp;BY$1&amp;""'!$D$4:$D$66"")=BY$2),$F$3:$BP$3,$F153:$BP153)))"),2.0337552781818182)</f>
        <v>2.033755278</v>
      </c>
      <c r="BZ153" s="207" t="str">
        <f>IFERROR(__xludf.DUMMYFUNCTION("IF(OR(BY153&gt;$BR153+$BS153*$BS$2,BY153&lt;$BR153-$BS153*$BS$2),AVEDEV(ARRAYFORMULA(XLOOKUP(FILTER(INDIRECT(""'""&amp;BY$1&amp;""'!$C$4:$C$66""),INDIRECT(""'""&amp;BY$1&amp;""'!$D$4:$D$66"")=BY$2),$F$3:$BP$3,$F153:$BP153))),"""")"),"")</f>
        <v/>
      </c>
      <c r="CA153" s="209"/>
      <c r="CB153" s="207">
        <f>IFERROR(__xludf.DUMMYFUNCTION("AVERAGE(ARRAYFORMULA(XLOOKUP(FILTER(INDIRECT(""'""&amp;CB$1&amp;""'!$C$4:$C$66""),INDIRECT(""'""&amp;CB$1&amp;""'!$D$4:$D$66"")=CB$2),$F$3:$BP$3,$F153:$BP153)))"),0.735232071875)</f>
        <v>0.7352320719</v>
      </c>
      <c r="CC153" s="207" t="str">
        <f>IFERROR(__xludf.DUMMYFUNCTION("IF(OR(CB153&gt;$BR153+$BS153*$BS$2,CB153&lt;$BR153-$BS153*$BS$2),AVEDEV(ARRAYFORMULA(XLOOKUP(FILTER(INDIRECT(""'""&amp;CB$1&amp;""'!$C$4:$C$66""),INDIRECT(""'""&amp;CB$1&amp;""'!$D$4:$D$66"")=CB$2),$F$3:$BP$3,$F153:$BP153))),"""")"),"")</f>
        <v/>
      </c>
      <c r="CD153" s="207">
        <f>IFERROR(__xludf.DUMMYFUNCTION("AVERAGE(ARRAYFORMULA(XLOOKUP(FILTER(INDIRECT(""'""&amp;CD$1&amp;""'!$C$4:$C$66""),INDIRECT(""'""&amp;CD$1&amp;""'!$D$4:$D$66"")=CD$2),$F$3:$BP$3,$F153:$BP153)))"),0.8860759490322578)</f>
        <v>0.886075949</v>
      </c>
      <c r="CE153" s="207" t="str">
        <f>IFERROR(__xludf.DUMMYFUNCTION("IF(OR(CD153&gt;$BR153+$BS153*$BS$2,CD153&lt;$BR153-$BS153*$BS$2),AVEDEV(ARRAYFORMULA(XLOOKUP(FILTER(INDIRECT(""'""&amp;CD$1&amp;""'!$C$4:$C$66""),INDIRECT(""'""&amp;CD$1&amp;""'!$D$4:$D$66"")=CD$2),$F$3:$BP$3,$F153:$BP153))),"""")"),"")</f>
        <v/>
      </c>
      <c r="CF153" s="207">
        <f>IFERROR(__xludf.DUMMYFUNCTION("AVERAGE(ARRAYFORMULA(XLOOKUP(FILTER(INDIRECT(""'""&amp;CF$1&amp;""'!$C$4:$C$66""),INDIRECT(""'""&amp;CF$1&amp;""'!$D$4:$D$66"")=CF$2),$F$3:$BP$3,$F153:$BP153)))"),1.12573839)</f>
        <v>1.12573839</v>
      </c>
      <c r="CG153" s="207" t="str">
        <f>IFERROR(__xludf.DUMMYFUNCTION("IF(OR(CF153&gt;$BR153+$BS153*$BS$2,CF153&lt;$BR153-$BS153*$BS$2),AVEDEV(ARRAYFORMULA(XLOOKUP(FILTER(INDIRECT(""'""&amp;CF$1&amp;""'!$C$4:$C$66""),INDIRECT(""'""&amp;CF$1&amp;""'!$D$4:$D$66"")=CF$2),$F$3:$BP$3,$F153:$BP153))),"""")"),"")</f>
        <v/>
      </c>
      <c r="CH153" s="206"/>
      <c r="CI153" s="251">
        <f>IFERROR(__xludf.DUMMYFUNCTION("AVERAGE(ARRAYFORMULA(XLOOKUP(FILTER(INDIRECT(""'""&amp;CI$1&amp;""'!$C$4:$C$66""),INDIRECT(""'""&amp;CI$1&amp;""'!$D$4:$D$66"")=CI$2),$F$3:$BP$3,$F153:$BP153)))"),0.19859352266666672)</f>
        <v>0.1985935227</v>
      </c>
      <c r="CJ153" s="207" t="str">
        <f>IFERROR(__xludf.DUMMYFUNCTION("IF(OR(CI153&gt;$BR153+$BS153*$BS$2,CI153&lt;$BR153-$BS153*$BS$2),AVEDEV(ARRAYFORMULA(XLOOKUP(FILTER(INDIRECT(""'""&amp;CI$1&amp;""'!$C$4:$C$66""),INDIRECT(""'""&amp;CI$1&amp;""'!$D$4:$D$66"")=CI$2),$F$3:$BP$3,$F153:$BP153))),"""")"),"")</f>
        <v/>
      </c>
      <c r="CK153" s="251">
        <f>IFERROR(__xludf.DUMMYFUNCTION("AVERAGE(ARRAYFORMULA(XLOOKUP(FILTER(INDIRECT(""'""&amp;CK$1&amp;""'!$C$4:$C$66""),INDIRECT(""'""&amp;CK$1&amp;""'!$D$4:$D$66"")=CK$2),$F$3:$BP$3,$F153:$BP153)))"),1.0602618235897434)</f>
        <v>1.060261824</v>
      </c>
      <c r="CL153" s="207" t="str">
        <f>IFERROR(__xludf.DUMMYFUNCTION("IF(OR(CK153&gt;$BR153+$BS153*$BS$2,CK153&lt;$BR153-$BS153*$BS$2),AVEDEV(ARRAYFORMULA(XLOOKUP(FILTER(INDIRECT(""'""&amp;CK$1&amp;""'!$C$4:$C$66""),INDIRECT(""'""&amp;CK$1&amp;""'!$D$4:$D$66"")=CK$2),$F$3:$BP$3,$F153:$BP153))),"""")"),"")</f>
        <v/>
      </c>
      <c r="CM153" s="251">
        <f>IFERROR(__xludf.DUMMYFUNCTION("AVERAGE(ARRAYFORMULA(XLOOKUP(FILTER(INDIRECT(""'""&amp;CM$1&amp;""'!$C$4:$C$66""),INDIRECT(""'""&amp;CM$1&amp;""'!$D$4:$D$66"")=CM$2),$F$3:$BP$3,$F153:$BP153)))"),1.12573839)</f>
        <v>1.12573839</v>
      </c>
      <c r="CN153" s="207" t="str">
        <f>IFERROR(__xludf.DUMMYFUNCTION("IF(OR(CM153&gt;$BR153+$BS153*$BS$2,CM153&lt;$BR153-$BS153*$BS$2),AVEDEV(ARRAYFORMULA(XLOOKUP(FILTER(INDIRECT(""'""&amp;CM$1&amp;""'!$C$4:$C$66""),INDIRECT(""'""&amp;CM$1&amp;""'!$D$4:$D$66"")=CM$2),$F$3:$BP$3,$F153:$BP153))),"""")"),"")</f>
        <v/>
      </c>
      <c r="CO153" s="252"/>
      <c r="CP153" s="251">
        <f>IFERROR(__xludf.DUMMYFUNCTION("AVERAGE(ARRAYFORMULA(XLOOKUP(FILTER(INDIRECT(""'""&amp;CP$1&amp;""'!$C$4:$C$66""),INDIRECT(""'""&amp;CP$1&amp;""'!$D$4:$D$66"")=CP$2),$F$3:$BP$3,$F153:$BP153)))"),1.0241109214285715)</f>
        <v>1.024110921</v>
      </c>
      <c r="CQ153" s="207" t="str">
        <f>IFERROR(__xludf.DUMMYFUNCTION("IF(OR(CP153&gt;$BR153+$BS153*$BS$2,CP153&lt;$BR153-$BS153*$BS$2),AVEDEV(ARRAYFORMULA(XLOOKUP(FILTER(INDIRECT(""'""&amp;CP$1&amp;""'!$C$4:$C$66""),INDIRECT(""'""&amp;CP$1&amp;""'!$D$4:$D$66"")=CP$2),$F$3:$BP$3,$F153:$BP153))),"""")"),"")</f>
        <v/>
      </c>
      <c r="CR153" s="251">
        <f>IFERROR(__xludf.DUMMYFUNCTION("AVERAGE(ARRAYFORMULA(XLOOKUP(FILTER(INDIRECT(""'""&amp;CR$1&amp;""'!$C$4:$C$66""),INDIRECT(""'""&amp;CR$1&amp;""'!$D$4:$D$66"")=CR$2),$F$3:$BP$3,$F153:$BP153)))"),2.088138772222222)</f>
        <v>2.088138772</v>
      </c>
      <c r="CS153" s="207" t="str">
        <f>IFERROR(__xludf.DUMMYFUNCTION("IF(OR(CR153&gt;$BR153+$BS153*$BS$2,CR153&lt;$BR153-$BS153*$BS$2),AVEDEV(ARRAYFORMULA(XLOOKUP(FILTER(INDIRECT(""'""&amp;CR$1&amp;""'!$C$4:$C$66""),INDIRECT(""'""&amp;CR$1&amp;""'!$D$4:$D$66"")=CR$2),$F$3:$BP$3,$F153:$BP153))),"""")"),"")</f>
        <v/>
      </c>
      <c r="CT153" s="251">
        <f>IFERROR(__xludf.DUMMYFUNCTION("AVERAGE(ARRAYFORMULA(XLOOKUP(FILTER(INDIRECT(""'""&amp;CT$1&amp;""'!$C$4:$C$66""),INDIRECT(""'""&amp;CT$1&amp;""'!$D$4:$D$66"")=CT$2),$F$3:$BP$3,$F153:$BP153)))"),0.08822400727272729)</f>
        <v>0.08822400727</v>
      </c>
      <c r="CU153" s="207" t="str">
        <f>IFERROR(__xludf.DUMMYFUNCTION("IF(OR(CT153&gt;$BR153+$BS153*$BS$2,CT153&lt;$BR153-$BS153*$BS$2),AVEDEV(ARRAYFORMULA(XLOOKUP(FILTER(INDIRECT(""'""&amp;CT$1&amp;""'!$C$4:$C$66""),INDIRECT(""'""&amp;CT$1&amp;""'!$D$4:$D$66"")=CT$2),$F$3:$BP$3,$F153:$BP153))),"""")"),"")</f>
        <v/>
      </c>
      <c r="CV153" s="251">
        <f>IFERROR(__xludf.DUMMYFUNCTION("AVERAGE(ARRAYFORMULA(XLOOKUP(FILTER(INDIRECT(""'""&amp;CV$1&amp;""'!$C$4:$C$66""),INDIRECT(""'""&amp;CV$1&amp;""'!$D$4:$D$66"")=CV$2),$F$3:$BP$3,$F153:$BP153)))"),-0.3881857)</f>
        <v>-0.3881857</v>
      </c>
      <c r="CW153" s="207" t="str">
        <f>IFERROR(__xludf.DUMMYFUNCTION("IF(OR(CV153&gt;$BR153+$BS153*$BS$2,CV153&lt;$BR153-$BS153*$BS$2),AVEDEV(ARRAYFORMULA(XLOOKUP(FILTER(INDIRECT(""'""&amp;CV$1&amp;""'!$C$4:$C$66""),INDIRECT(""'""&amp;CV$1&amp;""'!$D$4:$D$66"")=CV$2),$F$3:$BP$3,$F153:$BP153))),"""")"),"")</f>
        <v/>
      </c>
      <c r="CX153" s="251">
        <f>IFERROR(__xludf.DUMMYFUNCTION("AVERAGE(ARRAYFORMULA(XLOOKUP(FILTER(INDIRECT(""'""&amp;CX$1&amp;""'!$C$4:$C$66""),INDIRECT(""'""&amp;CX$1&amp;""'!$D$4:$D$66"")=CX$2),$F$3:$BP$3,$F153:$BP153)))"),1.0506329171428572)</f>
        <v>1.050632917</v>
      </c>
      <c r="CY153" s="207" t="str">
        <f>IFERROR(__xludf.DUMMYFUNCTION("IF(OR(CX153&gt;$BR153+$BS153*$BS$2,CX153&lt;$BR153-$BS153*$BS$2),AVEDEV(ARRAYFORMULA(XLOOKUP(FILTER(INDIRECT(""'""&amp;CX$1&amp;""'!$C$4:$C$66""),INDIRECT(""'""&amp;CX$1&amp;""'!$D$4:$D$66"")=CX$2),$F$3:$BP$3,$F153:$BP153))),"""")"),"")</f>
        <v/>
      </c>
      <c r="CZ153" s="252"/>
      <c r="DA153" s="251">
        <f>IFERROR(__xludf.DUMMYFUNCTION("AVERAGE(ARRAYFORMULA(XLOOKUP(FILTER(INDIRECT(""'""&amp;DA$1&amp;""'!$C$4:$C$66""),INDIRECT(""'""&amp;DA$1&amp;""'!$D$4:$D$66"")=DA$2),$F$3:$BP$3,$F153:$BP153)))"),0.890576659)</f>
        <v>0.890576659</v>
      </c>
      <c r="DB153" s="207" t="str">
        <f>IFERROR(__xludf.DUMMYFUNCTION("IF(OR(DA153&gt;$BR153+$BS153*$BS$2,DA153&lt;$BR153-$BS153*$BS$2),AVEDEV(ARRAYFORMULA(XLOOKUP(FILTER(INDIRECT(""'""&amp;DA$1&amp;""'!$C$4:$C$66""),INDIRECT(""'""&amp;DA$1&amp;""'!$D$4:$D$66"")=DA$2),$F$3:$BP$3,$F153:$BP153))),"""")"),"")</f>
        <v/>
      </c>
      <c r="DC153" s="251">
        <f>IFERROR(__xludf.DUMMYFUNCTION("AVERAGE(ARRAYFORMULA(XLOOKUP(FILTER(INDIRECT(""'""&amp;DC$1&amp;""'!$C$4:$C$66""),INDIRECT(""'""&amp;DC$1&amp;""'!$D$4:$D$66"")=DC$2),$F$3:$BP$3,$F153:$BP153)))"),2.495077353333333)</f>
        <v>2.495077353</v>
      </c>
      <c r="DD153" s="207" t="str">
        <f>IFERROR(__xludf.DUMMYFUNCTION("IF(OR(DC153&gt;$BR153+$BS153*$BS$2,DC153&lt;$BR153-$BS153*$BS$2),AVEDEV(ARRAYFORMULA(XLOOKUP(FILTER(INDIRECT(""'""&amp;DC$1&amp;""'!$C$4:$C$66""),INDIRECT(""'""&amp;DC$1&amp;""'!$D$4:$D$66"")=DC$2),$F$3:$BP$3,$F153:$BP153))),"""")"),"")</f>
        <v/>
      </c>
      <c r="DE153" s="251">
        <f>IFERROR(__xludf.DUMMYFUNCTION("AVERAGE(ARRAYFORMULA(XLOOKUP(FILTER(INDIRECT(""'""&amp;DE$1&amp;""'!$C$4:$C$66""),INDIRECT(""'""&amp;DE$1&amp;""'!$D$4:$D$66"")=DE$2),$F$3:$BP$3,$F153:$BP153)))"),-0.19725739125000002)</f>
        <v>-0.1972573913</v>
      </c>
      <c r="DF153" s="207" t="str">
        <f>IFERROR(__xludf.DUMMYFUNCTION("IF(OR(DE153&gt;$BR153+$BS153*$BS$2,DE153&lt;$BR153-$BS153*$BS$2),AVEDEV(ARRAYFORMULA(XLOOKUP(FILTER(INDIRECT(""'""&amp;DE$1&amp;""'!$C$4:$C$66""),INDIRECT(""'""&amp;DE$1&amp;""'!$D$4:$D$66"")=DE$2),$F$3:$BP$3,$F153:$BP153))),"""")"),"")</f>
        <v/>
      </c>
      <c r="DG153" s="251">
        <f>IFERROR(__xludf.DUMMYFUNCTION("AVERAGE(ARRAYFORMULA(XLOOKUP(FILTER(INDIRECT(""'""&amp;DG$1&amp;""'!$C$4:$C$66""),INDIRECT(""'""&amp;DG$1&amp;""'!$D$4:$D$66"")=DG$2),$F$3:$BP$3,$F153:$BP153)))"),0.24285043555555555)</f>
        <v>0.2428504356</v>
      </c>
      <c r="DH153" s="207" t="str">
        <f>IFERROR(__xludf.DUMMYFUNCTION("IF(OR(DG153&gt;$BR153+$BS153*$BS$2,DG153&lt;$BR153-$BS153*$BS$2),AVEDEV(ARRAYFORMULA(XLOOKUP(FILTER(INDIRECT(""'""&amp;DG$1&amp;""'!$C$4:$C$66""),INDIRECT(""'""&amp;DG$1&amp;""'!$D$4:$D$66"")=DG$2),$F$3:$BP$3,$F153:$BP153))),"""")"),"")</f>
        <v/>
      </c>
      <c r="DI153" s="252"/>
    </row>
    <row r="154">
      <c r="A154" s="2"/>
      <c r="B154" s="204" t="s">
        <v>540</v>
      </c>
      <c r="C154" s="204" t="s">
        <v>597</v>
      </c>
      <c r="D154" s="205" t="b">
        <f>VLOOKUP(C154,'Feature Set List'!A151:C246,2,0)</f>
        <v>1</v>
      </c>
      <c r="E154" s="205" t="b">
        <f>VLOOKUP(C154,'Feature Set List'!A151:C246,3,0)</f>
        <v>0</v>
      </c>
      <c r="F154" s="205">
        <v>0.24784078</v>
      </c>
      <c r="G154" s="205">
        <v>0.30642133</v>
      </c>
      <c r="H154" s="205">
        <v>0.229816</v>
      </c>
      <c r="I154" s="205">
        <v>0.99812242</v>
      </c>
      <c r="J154" s="205">
        <v>-0.5557642</v>
      </c>
      <c r="K154" s="205">
        <v>-0.8223808</v>
      </c>
      <c r="L154" s="205">
        <v>-0.3650019</v>
      </c>
      <c r="M154" s="205">
        <v>0.97408937</v>
      </c>
      <c r="N154" s="205">
        <v>-0.3064213</v>
      </c>
      <c r="O154" s="205">
        <v>-0.4573789</v>
      </c>
      <c r="P154" s="205">
        <v>0.72324446</v>
      </c>
      <c r="Q154" s="205">
        <v>-0.1967706</v>
      </c>
      <c r="R154" s="205">
        <v>-0.1937664</v>
      </c>
      <c r="S154" s="205">
        <v>-0.2508449</v>
      </c>
      <c r="T154" s="205">
        <v>-0.0818626</v>
      </c>
      <c r="U154" s="205">
        <v>0.79984979</v>
      </c>
      <c r="V154" s="205">
        <v>-0.482163</v>
      </c>
      <c r="W154" s="205">
        <v>0.27638002</v>
      </c>
      <c r="X154" s="205">
        <v>-0.804356</v>
      </c>
      <c r="Y154" s="205">
        <v>1.4389786</v>
      </c>
      <c r="Z154" s="205">
        <v>-0.1359369</v>
      </c>
      <c r="AA154" s="205">
        <v>-0.29816</v>
      </c>
      <c r="AB154" s="205">
        <v>-0.1209163</v>
      </c>
      <c r="AC154" s="205">
        <v>1.0987608</v>
      </c>
      <c r="AD154" s="205">
        <v>0.37852047</v>
      </c>
      <c r="AE154" s="205">
        <v>-0.4739016</v>
      </c>
      <c r="AF154" s="205">
        <v>1.15659031</v>
      </c>
      <c r="AG154" s="205">
        <v>0.52121667</v>
      </c>
      <c r="AH154" s="205">
        <v>0.24183252</v>
      </c>
      <c r="AI154" s="205">
        <v>-0.3289523</v>
      </c>
      <c r="AJ154" s="205">
        <v>0.7953436</v>
      </c>
      <c r="AK154" s="205">
        <v>0.51746151</v>
      </c>
      <c r="AL154" s="205">
        <v>-0.184003</v>
      </c>
      <c r="AM154" s="205">
        <v>-0.068344</v>
      </c>
      <c r="AN154" s="205">
        <v>0.31843785</v>
      </c>
      <c r="AO154" s="205">
        <v>1.04468644</v>
      </c>
      <c r="AP154" s="205">
        <v>0.85016898</v>
      </c>
      <c r="AQ154" s="205">
        <v>1.9977469</v>
      </c>
      <c r="AR154" s="205">
        <v>-0.4641382</v>
      </c>
      <c r="AS154" s="205">
        <v>-0.1457003</v>
      </c>
      <c r="AT154" s="205">
        <v>1.93390913</v>
      </c>
      <c r="AU154" s="205">
        <v>0.00751033</v>
      </c>
      <c r="AV154" s="205">
        <v>1.04468644</v>
      </c>
      <c r="AW154" s="205">
        <v>0.98084867</v>
      </c>
      <c r="AX154" s="205">
        <v>0.67217424</v>
      </c>
      <c r="AY154" s="205">
        <v>0.00675929</v>
      </c>
      <c r="AZ154" s="205">
        <v>-0.5009388</v>
      </c>
      <c r="BA154" s="205">
        <v>1.11978971</v>
      </c>
      <c r="BB154" s="205">
        <v>0.28689448</v>
      </c>
      <c r="BC154" s="205">
        <v>-1.0026286</v>
      </c>
      <c r="BD154" s="205">
        <v>-0.2463387</v>
      </c>
      <c r="BE154" s="205">
        <v>-0.1990237</v>
      </c>
      <c r="BF154" s="205">
        <v>-0.5016898</v>
      </c>
      <c r="BG154" s="205">
        <v>1.11678558</v>
      </c>
      <c r="BH154" s="205">
        <v>-0.0931281</v>
      </c>
      <c r="BI154" s="205">
        <v>0.50544499</v>
      </c>
      <c r="BJ154" s="205">
        <v>0.49493053</v>
      </c>
      <c r="BK154" s="205">
        <v>-0.1945175</v>
      </c>
      <c r="BL154" s="205">
        <v>-0.3612467</v>
      </c>
      <c r="BM154" s="205">
        <v>-0.850169</v>
      </c>
      <c r="BN154" s="205">
        <v>-0.27638</v>
      </c>
      <c r="BO154" s="205">
        <v>0.0</v>
      </c>
      <c r="BP154" s="205">
        <v>-0.9560646</v>
      </c>
      <c r="BQ154" s="206"/>
      <c r="BR154" s="250">
        <f t="shared" si="1"/>
        <v>0.1772437065</v>
      </c>
      <c r="BS154" s="250">
        <f t="shared" si="2"/>
        <v>0.5692350826</v>
      </c>
      <c r="BT154" s="206"/>
      <c r="BU154" s="207">
        <f>IFERROR(__xludf.DUMMYFUNCTION("AVERAGE(ARRAYFORMULA(XLOOKUP(FILTER(INDIRECT(""'""&amp;BU$1&amp;""'!$C$4:$C$66""),INDIRECT(""'""&amp;BU$1&amp;""'!$D$4:$D$66"")=BU$2),$F$3:$BP$3,$F154:$BP154)))"),0.2662947171428572)</f>
        <v>0.2662947171</v>
      </c>
      <c r="BV154" s="207" t="str">
        <f>IFERROR(__xludf.DUMMYFUNCTION("IF(OR(BU154&gt;$BR154+$BS154*$BS$2,BU154&lt;$BR154-$BS154*$BS$2),AVEDEV(ARRAYFORMULA(XLOOKUP(FILTER(INDIRECT(""'""&amp;BU$1&amp;""'!$C$4:$C$66""),INDIRECT(""'""&amp;BU$1&amp;""'!$D$4:$D$66"")=BU$2),$F$3:$BP$3,$F154:$BP154))),"""")"),"")</f>
        <v/>
      </c>
      <c r="BW154" s="207">
        <f>IFERROR(__xludf.DUMMYFUNCTION("AVERAGE(ARRAYFORMULA(XLOOKUP(FILTER(INDIRECT(""'""&amp;BW$1&amp;""'!$C$4:$C$66""),INDIRECT(""'""&amp;BW$1&amp;""'!$D$4:$D$66"")=BW$2),$F$3:$BP$3,$F154:$BP154)))"),0.2953525354761905)</f>
        <v>0.2953525355</v>
      </c>
      <c r="BX154" s="207" t="str">
        <f>IFERROR(__xludf.DUMMYFUNCTION("IF(OR(BW154&gt;$BR154+$BS154*$BS$2,BW154&lt;$BR154-$BS154*$BS$2),AVEDEV(ARRAYFORMULA(XLOOKUP(FILTER(INDIRECT(""'""&amp;BW$1&amp;""'!$C$4:$C$66""),INDIRECT(""'""&amp;BW$1&amp;""'!$D$4:$D$66"")=BW$2),$F$3:$BP$3,$F154:$BP154))),"""")"),"")</f>
        <v/>
      </c>
      <c r="BY154" s="207">
        <f>IFERROR(__xludf.DUMMYFUNCTION("AVERAGE(ARRAYFORMULA(XLOOKUP(FILTER(INDIRECT(""'""&amp;BY$1&amp;""'!$C$4:$C$66""),INDIRECT(""'""&amp;BY$1&amp;""'!$D$4:$D$66"")=BY$2),$F$3:$BP$3,$F154:$BP154)))"),-0.38760113909090904)</f>
        <v>-0.3876011391</v>
      </c>
      <c r="BZ154" s="207" t="str">
        <f>IFERROR(__xludf.DUMMYFUNCTION("IF(OR(BY154&gt;$BR154+$BS154*$BS$2,BY154&lt;$BR154-$BS154*$BS$2),AVEDEV(ARRAYFORMULA(XLOOKUP(FILTER(INDIRECT(""'""&amp;BY$1&amp;""'!$C$4:$C$66""),INDIRECT(""'""&amp;BY$1&amp;""'!$D$4:$D$66"")=BY$2),$F$3:$BP$3,$F154:$BP154))),"""")"),"")</f>
        <v/>
      </c>
      <c r="CA154" s="209"/>
      <c r="CB154" s="207">
        <f>IFERROR(__xludf.DUMMYFUNCTION("AVERAGE(ARRAYFORMULA(XLOOKUP(FILTER(INDIRECT(""'""&amp;CB$1&amp;""'!$C$4:$C$66""),INDIRECT(""'""&amp;CB$1&amp;""'!$D$4:$D$66"")=CB$2),$F$3:$BP$3,$F154:$BP154)))"),0.54548441125)</f>
        <v>0.5454844113</v>
      </c>
      <c r="CC154" s="207" t="str">
        <f>IFERROR(__xludf.DUMMYFUNCTION("IF(OR(CB154&gt;$BR154+$BS154*$BS$2,CB154&lt;$BR154-$BS154*$BS$2),AVEDEV(ARRAYFORMULA(XLOOKUP(FILTER(INDIRECT(""'""&amp;CB$1&amp;""'!$C$4:$C$66""),INDIRECT(""'""&amp;CB$1&amp;""'!$D$4:$D$66"")=CB$2),$F$3:$BP$3,$F154:$BP154))),"""")"),"")</f>
        <v/>
      </c>
      <c r="CD154" s="207">
        <f>IFERROR(__xludf.DUMMYFUNCTION("AVERAGE(ARRAYFORMULA(XLOOKUP(FILTER(INDIRECT(""'""&amp;CD$1&amp;""'!$C$4:$C$66""),INDIRECT(""'""&amp;CD$1&amp;""'!$D$4:$D$66"")=CD$2),$F$3:$BP$3,$F154:$BP154)))"),0.014947967096774194)</f>
        <v>0.0149479671</v>
      </c>
      <c r="CE154" s="207" t="str">
        <f>IFERROR(__xludf.DUMMYFUNCTION("IF(OR(CD154&gt;$BR154+$BS154*$BS$2,CD154&lt;$BR154-$BS154*$BS$2),AVEDEV(ARRAYFORMULA(XLOOKUP(FILTER(INDIRECT(""'""&amp;CD$1&amp;""'!$C$4:$C$66""),INDIRECT(""'""&amp;CD$1&amp;""'!$D$4:$D$66"")=CD$2),$F$3:$BP$3,$F154:$BP154))),"""")"),"")</f>
        <v/>
      </c>
      <c r="CF154" s="207">
        <f>IFERROR(__xludf.DUMMYFUNCTION("AVERAGE(ARRAYFORMULA(XLOOKUP(FILTER(INDIRECT(""'""&amp;CF$1&amp;""'!$C$4:$C$66""),INDIRECT(""'""&amp;CF$1&amp;""'!$D$4:$D$66"")=CF$2),$F$3:$BP$3,$F154:$BP154)))"),-0.43499812000000004)</f>
        <v>-0.43499812</v>
      </c>
      <c r="CG154" s="207">
        <f>IFERROR(__xludf.DUMMYFUNCTION("IF(OR(CF154&gt;$BR154+$BS154*$BS$2,CF154&lt;$BR154-$BS154*$BS$2),AVEDEV(ARRAYFORMULA(XLOOKUP(FILTER(INDIRECT(""'""&amp;CF$1&amp;""'!$C$4:$C$66""),INDIRECT(""'""&amp;CF$1&amp;""'!$D$4:$D$66"")=CF$2),$F$3:$BP$3,$F154:$BP154))),"""")"),0.07366128799999996)</f>
        <v>0.073661288</v>
      </c>
      <c r="CH154" s="206"/>
      <c r="CI154" s="251">
        <f>IFERROR(__xludf.DUMMYFUNCTION("AVERAGE(ARRAYFORMULA(XLOOKUP(FILTER(INDIRECT(""'""&amp;CI$1&amp;""'!$C$4:$C$66""),INDIRECT(""'""&amp;CI$1&amp;""'!$D$4:$D$66"")=CI$2),$F$3:$BP$3,$F154:$BP154)))"),0.06979596799999999)</f>
        <v>0.069795968</v>
      </c>
      <c r="CJ154" s="207" t="str">
        <f>IFERROR(__xludf.DUMMYFUNCTION("IF(OR(CI154&gt;$BR154+$BS154*$BS$2,CI154&lt;$BR154-$BS154*$BS$2),AVEDEV(ARRAYFORMULA(XLOOKUP(FILTER(INDIRECT(""'""&amp;CI$1&amp;""'!$C$4:$C$66""),INDIRECT(""'""&amp;CI$1&amp;""'!$D$4:$D$66"")=CI$2),$F$3:$BP$3,$F154:$BP154))),"""")"),"")</f>
        <v/>
      </c>
      <c r="CK154" s="251">
        <f>IFERROR(__xludf.DUMMYFUNCTION("AVERAGE(ARRAYFORMULA(XLOOKUP(FILTER(INDIRECT(""'""&amp;CK$1&amp;""'!$C$4:$C$66""),INDIRECT(""'""&amp;CK$1&amp;""'!$D$4:$D$66"")=CK$2),$F$3:$BP$3,$F154:$BP154)))"),0.29045706564102575)</f>
        <v>0.2904570656</v>
      </c>
      <c r="CL154" s="207" t="str">
        <f>IFERROR(__xludf.DUMMYFUNCTION("IF(OR(CK154&gt;$BR154+$BS154*$BS$2,CK154&lt;$BR154-$BS154*$BS$2),AVEDEV(ARRAYFORMULA(XLOOKUP(FILTER(INDIRECT(""'""&amp;CK$1&amp;""'!$C$4:$C$66""),INDIRECT(""'""&amp;CK$1&amp;""'!$D$4:$D$66"")=CK$2),$F$3:$BP$3,$F154:$BP154))),"""")"),"")</f>
        <v/>
      </c>
      <c r="CM154" s="251">
        <f>IFERROR(__xludf.DUMMYFUNCTION("AVERAGE(ARRAYFORMULA(XLOOKUP(FILTER(INDIRECT(""'""&amp;CM$1&amp;""'!$C$4:$C$66""),INDIRECT(""'""&amp;CM$1&amp;""'!$D$4:$D$66"")=CM$2),$F$3:$BP$3,$F154:$BP154)))"),-0.43499812000000004)</f>
        <v>-0.43499812</v>
      </c>
      <c r="CN154" s="207">
        <f>IFERROR(__xludf.DUMMYFUNCTION("IF(OR(CM154&gt;$BR154+$BS154*$BS$2,CM154&lt;$BR154-$BS154*$BS$2),AVEDEV(ARRAYFORMULA(XLOOKUP(FILTER(INDIRECT(""'""&amp;CM$1&amp;""'!$C$4:$C$66""),INDIRECT(""'""&amp;CM$1&amp;""'!$D$4:$D$66"")=CM$2),$F$3:$BP$3,$F154:$BP154))),"""")"),0.07366128799999996)</f>
        <v>0.073661288</v>
      </c>
      <c r="CO154" s="252"/>
      <c r="CP154" s="251">
        <f>IFERROR(__xludf.DUMMYFUNCTION("AVERAGE(ARRAYFORMULA(XLOOKUP(FILTER(INDIRECT(""'""&amp;CP$1&amp;""'!$C$4:$C$66""),INDIRECT(""'""&amp;CP$1&amp;""'!$D$4:$D$66"")=CP$2),$F$3:$BP$3,$F154:$BP154)))"),0.6716914292857142)</f>
        <v>0.6716914293</v>
      </c>
      <c r="CQ154" s="207" t="str">
        <f>IFERROR(__xludf.DUMMYFUNCTION("IF(OR(CP154&gt;$BR154+$BS154*$BS$2,CP154&lt;$BR154-$BS154*$BS$2),AVEDEV(ARRAYFORMULA(XLOOKUP(FILTER(INDIRECT(""'""&amp;CP$1&amp;""'!$C$4:$C$66""),INDIRECT(""'""&amp;CP$1&amp;""'!$D$4:$D$66"")=CP$2),$F$3:$BP$3,$F154:$BP154))),"""")"),"")</f>
        <v/>
      </c>
      <c r="CR154" s="251">
        <f>IFERROR(__xludf.DUMMYFUNCTION("AVERAGE(ARRAYFORMULA(XLOOKUP(FILTER(INDIRECT(""'""&amp;CR$1&amp;""'!$C$4:$C$66""),INDIRECT(""'""&amp;CR$1&amp;""'!$D$4:$D$66"")=CR$2),$F$3:$BP$3,$F154:$BP154)))"),-0.43434723555555554)</f>
        <v>-0.4343472356</v>
      </c>
      <c r="CS154" s="207">
        <f>IFERROR(__xludf.DUMMYFUNCTION("IF(OR(CR154&gt;$BR154+$BS154*$BS$2,CR154&lt;$BR154-$BS154*$BS$2),AVEDEV(ARRAYFORMULA(XLOOKUP(FILTER(INDIRECT(""'""&amp;CR$1&amp;""'!$C$4:$C$66""),INDIRECT(""'""&amp;CR$1&amp;""'!$D$4:$D$66"")=CR$2),$F$3:$BP$3,$F154:$BP154))),"""")"),0.20778570814814815)</f>
        <v>0.2077857081</v>
      </c>
      <c r="CT154" s="251">
        <f>IFERROR(__xludf.DUMMYFUNCTION("AVERAGE(ARRAYFORMULA(XLOOKUP(FILTER(INDIRECT(""'""&amp;CT$1&amp;""'!$C$4:$C$66""),INDIRECT(""'""&amp;CT$1&amp;""'!$D$4:$D$66"")=CT$2),$F$3:$BP$3,$F154:$BP154)))"),-0.12009694636363637)</f>
        <v>-0.1200969464</v>
      </c>
      <c r="CU154" s="207" t="str">
        <f>IFERROR(__xludf.DUMMYFUNCTION("IF(OR(CT154&gt;$BR154+$BS154*$BS$2,CT154&lt;$BR154-$BS154*$BS$2),AVEDEV(ARRAYFORMULA(XLOOKUP(FILTER(INDIRECT(""'""&amp;CT$1&amp;""'!$C$4:$C$66""),INDIRECT(""'""&amp;CT$1&amp;""'!$D$4:$D$66"")=CT$2),$F$3:$BP$3,$F154:$BP154))),"""")"),"")</f>
        <v/>
      </c>
      <c r="CV154" s="251">
        <f>IFERROR(__xludf.DUMMYFUNCTION("AVERAGE(ARRAYFORMULA(XLOOKUP(FILTER(INDIRECT(""'""&amp;CV$1&amp;""'!$C$4:$C$66""),INDIRECT(""'""&amp;CV$1&amp;""'!$D$4:$D$66"")=CV$2),$F$3:$BP$3,$F154:$BP154)))"),1.10777319)</f>
        <v>1.10777319</v>
      </c>
      <c r="CW154" s="207">
        <f>IFERROR(__xludf.DUMMYFUNCTION("IF(OR(CV154&gt;$BR154+$BS154*$BS$2,CV154&lt;$BR154-$BS154*$BS$2),AVEDEV(ARRAYFORMULA(XLOOKUP(FILTER(INDIRECT(""'""&amp;CV$1&amp;""'!$C$4:$C$66""),INDIRECT(""'""&amp;CV$1&amp;""'!$D$4:$D$66"")=CV$2),$F$3:$BP$3,$F154:$BP154))),"""")"),0.009012389999999981)</f>
        <v>0.00901239</v>
      </c>
      <c r="CX154" s="251">
        <f>IFERROR(__xludf.DUMMYFUNCTION("AVERAGE(ARRAYFORMULA(XLOOKUP(FILTER(INDIRECT(""'""&amp;CX$1&amp;""'!$C$4:$C$66""),INDIRECT(""'""&amp;CX$1&amp;""'!$D$4:$D$66"")=CX$2),$F$3:$BP$3,$F154:$BP154)))"),0.22380772857142855)</f>
        <v>0.2238077286</v>
      </c>
      <c r="CY154" s="207" t="str">
        <f>IFERROR(__xludf.DUMMYFUNCTION("IF(OR(CX154&gt;$BR154+$BS154*$BS$2,CX154&lt;$BR154-$BS154*$BS$2),AVEDEV(ARRAYFORMULA(XLOOKUP(FILTER(INDIRECT(""'""&amp;CX$1&amp;""'!$C$4:$C$66""),INDIRECT(""'""&amp;CX$1&amp;""'!$D$4:$D$66"")=CX$2),$F$3:$BP$3,$F154:$BP154))),"""")"),"")</f>
        <v/>
      </c>
      <c r="CZ154" s="252"/>
      <c r="DA154" s="251">
        <f>IFERROR(__xludf.DUMMYFUNCTION("AVERAGE(ARRAYFORMULA(XLOOKUP(FILTER(INDIRECT(""'""&amp;DA$1&amp;""'!$C$4:$C$66""),INDIRECT(""'""&amp;DA$1&amp;""'!$D$4:$D$66"")=DA$2),$F$3:$BP$3,$F154:$BP154)))"),0.36497683833333344)</f>
        <v>0.3649768383</v>
      </c>
      <c r="DB154" s="207" t="str">
        <f>IFERROR(__xludf.DUMMYFUNCTION("IF(OR(DA154&gt;$BR154+$BS154*$BS$2,DA154&lt;$BR154-$BS154*$BS$2),AVEDEV(ARRAYFORMULA(XLOOKUP(FILTER(INDIRECT(""'""&amp;DA$1&amp;""'!$C$4:$C$66""),INDIRECT(""'""&amp;DA$1&amp;""'!$D$4:$D$66"")=DA$2),$F$3:$BP$3,$F154:$BP154))),"""")"),"")</f>
        <v/>
      </c>
      <c r="DC154" s="251">
        <f>IFERROR(__xludf.DUMMYFUNCTION("AVERAGE(ARRAYFORMULA(XLOOKUP(FILTER(INDIRECT(""'""&amp;DC$1&amp;""'!$C$4:$C$66""),INDIRECT(""'""&amp;DC$1&amp;""'!$D$4:$D$66"")=DC$2),$F$3:$BP$3,$F154:$BP154)))"),-0.3316226544444444)</f>
        <v>-0.3316226544</v>
      </c>
      <c r="DD154" s="207" t="str">
        <f>IFERROR(__xludf.DUMMYFUNCTION("IF(OR(DC154&gt;$BR154+$BS154*$BS$2,DC154&lt;$BR154-$BS154*$BS$2),AVEDEV(ARRAYFORMULA(XLOOKUP(FILTER(INDIRECT(""'""&amp;DC$1&amp;""'!$C$4:$C$66""),INDIRECT(""'""&amp;DC$1&amp;""'!$D$4:$D$66"")=DC$2),$F$3:$BP$3,$F154:$BP154))),"""")"),"")</f>
        <v/>
      </c>
      <c r="DE154" s="251">
        <f>IFERROR(__xludf.DUMMYFUNCTION("AVERAGE(ARRAYFORMULA(XLOOKUP(FILTER(INDIRECT(""'""&amp;DE$1&amp;""'!$C$4:$C$66""),INDIRECT(""'""&amp;DE$1&amp;""'!$D$4:$D$66"")=DE$2),$F$3:$BP$3,$F154:$BP154)))"),-0.07059707125)</f>
        <v>-0.07059707125</v>
      </c>
      <c r="DF154" s="207" t="str">
        <f>IFERROR(__xludf.DUMMYFUNCTION("IF(OR(DE154&gt;$BR154+$BS154*$BS$2,DE154&lt;$BR154-$BS154*$BS$2),AVEDEV(ARRAYFORMULA(XLOOKUP(FILTER(INDIRECT(""'""&amp;DE$1&amp;""'!$C$4:$C$66""),INDIRECT(""'""&amp;DE$1&amp;""'!$D$4:$D$66"")=DE$2),$F$3:$BP$3,$F154:$BP154))),"""")"),"")</f>
        <v/>
      </c>
      <c r="DG154" s="251">
        <f>IFERROR(__xludf.DUMMYFUNCTION("AVERAGE(ARRAYFORMULA(XLOOKUP(FILTER(INDIRECT(""'""&amp;DG$1&amp;""'!$C$4:$C$66""),INDIRECT(""'""&amp;DG$1&amp;""'!$D$4:$D$66"")=DG$2),$F$3:$BP$3,$F154:$BP154)))"),0.023031668888888874)</f>
        <v>0.02303166889</v>
      </c>
      <c r="DH154" s="207" t="str">
        <f>IFERROR(__xludf.DUMMYFUNCTION("IF(OR(DG154&gt;$BR154+$BS154*$BS$2,DG154&lt;$BR154-$BS154*$BS$2),AVEDEV(ARRAYFORMULA(XLOOKUP(FILTER(INDIRECT(""'""&amp;DG$1&amp;""'!$C$4:$C$66""),INDIRECT(""'""&amp;DG$1&amp;""'!$D$4:$D$66"")=DG$2),$F$3:$BP$3,$F154:$BP154))),"""")"),"")</f>
        <v/>
      </c>
      <c r="DI154" s="252"/>
    </row>
    <row r="155">
      <c r="A155" s="2"/>
      <c r="B155" s="204" t="s">
        <v>540</v>
      </c>
      <c r="C155" s="204" t="s">
        <v>598</v>
      </c>
      <c r="D155" s="205" t="b">
        <f>VLOOKUP(C155,'Feature Set List'!A152:C246,2,0)</f>
        <v>1</v>
      </c>
      <c r="E155" s="205" t="b">
        <f>VLOOKUP(C155,'Feature Set List'!A152:C246,3,0)</f>
        <v>0</v>
      </c>
      <c r="F155" s="205">
        <v>0.06800618</v>
      </c>
      <c r="G155" s="205">
        <v>0.22153529</v>
      </c>
      <c r="H155" s="205">
        <v>0.33590933</v>
      </c>
      <c r="I155" s="205">
        <v>0.80783101</v>
      </c>
      <c r="J155" s="205">
        <v>-0.6326636</v>
      </c>
      <c r="K155" s="205">
        <v>-1.0303967</v>
      </c>
      <c r="L155" s="205">
        <v>-0.4513138</v>
      </c>
      <c r="M155" s="205">
        <v>0.63781556</v>
      </c>
      <c r="N155" s="205">
        <v>0.0</v>
      </c>
      <c r="O155" s="205">
        <v>-0.5358063</v>
      </c>
      <c r="P155" s="205">
        <v>0.44100979</v>
      </c>
      <c r="Q155" s="205">
        <v>-0.303967</v>
      </c>
      <c r="R155" s="205">
        <v>-0.0061824</v>
      </c>
      <c r="S155" s="205">
        <v>-0.5327151</v>
      </c>
      <c r="T155" s="205">
        <v>-0.0587326</v>
      </c>
      <c r="U155" s="205">
        <v>0.64399794</v>
      </c>
      <c r="V155" s="205">
        <v>-0.6347244</v>
      </c>
      <c r="W155" s="205">
        <v>0.22977846</v>
      </c>
      <c r="X155" s="205">
        <v>-1.0458527</v>
      </c>
      <c r="Y155" s="205">
        <v>1.26223596</v>
      </c>
      <c r="Z155" s="205">
        <v>-0.2400824</v>
      </c>
      <c r="AA155" s="205">
        <v>-0.2029882</v>
      </c>
      <c r="AB155" s="205">
        <v>-0.2792375</v>
      </c>
      <c r="AC155" s="205">
        <v>1.0922205</v>
      </c>
      <c r="AD155" s="205">
        <v>0.24523442</v>
      </c>
      <c r="AE155" s="205">
        <v>-0.7604328</v>
      </c>
      <c r="AF155" s="205">
        <v>1.26429675</v>
      </c>
      <c r="AG155" s="205">
        <v>0.14940752</v>
      </c>
      <c r="AH155" s="205">
        <v>0.01133436</v>
      </c>
      <c r="AI155" s="205">
        <v>-0.309119</v>
      </c>
      <c r="AJ155" s="205">
        <v>0.59866048</v>
      </c>
      <c r="AK155" s="205">
        <v>0.20504894</v>
      </c>
      <c r="AL155" s="205">
        <v>-0.3585781</v>
      </c>
      <c r="AM155" s="205">
        <v>-0.1442555</v>
      </c>
      <c r="AN155" s="205">
        <v>0.1576507</v>
      </c>
      <c r="AO155" s="205">
        <v>0.82740855</v>
      </c>
      <c r="AP155" s="205">
        <v>0.92632664</v>
      </c>
      <c r="AQ155" s="205">
        <v>1.17877383</v>
      </c>
      <c r="AR155" s="205">
        <v>-0.5935085</v>
      </c>
      <c r="AS155" s="205">
        <v>-0.184441</v>
      </c>
      <c r="AT155" s="205">
        <v>1.44255538</v>
      </c>
      <c r="AU155" s="205">
        <v>0.2812983</v>
      </c>
      <c r="AV155" s="205">
        <v>1.0005152</v>
      </c>
      <c r="AW155" s="205">
        <v>0.69860896</v>
      </c>
      <c r="AX155" s="205">
        <v>0.79855744</v>
      </c>
      <c r="AY155" s="205">
        <v>0.25759918</v>
      </c>
      <c r="AZ155" s="205">
        <v>-0.6223596</v>
      </c>
      <c r="BA155" s="205">
        <v>0.62854199</v>
      </c>
      <c r="BB155" s="205">
        <v>0.15352911</v>
      </c>
      <c r="BC155" s="205">
        <v>-1.1344668</v>
      </c>
      <c r="BD155" s="205">
        <v>0.22977846</v>
      </c>
      <c r="BE155" s="205">
        <v>-0.1391036</v>
      </c>
      <c r="BF155" s="205">
        <v>-0.6357548</v>
      </c>
      <c r="BG155" s="205">
        <v>1.11179804</v>
      </c>
      <c r="BH155" s="205">
        <v>-0.5574446</v>
      </c>
      <c r="BI155" s="205">
        <v>0.46470891</v>
      </c>
      <c r="BJ155" s="205">
        <v>-0.0175167</v>
      </c>
      <c r="BK155" s="205">
        <v>-0.4853168</v>
      </c>
      <c r="BL155" s="205">
        <v>-0.6924266</v>
      </c>
      <c r="BM155" s="205">
        <v>-1.1478619</v>
      </c>
      <c r="BN155" s="205">
        <v>-0.4327666</v>
      </c>
      <c r="BO155" s="205">
        <v>-0.1020093</v>
      </c>
      <c r="BP155" s="205">
        <v>-1.192272</v>
      </c>
      <c r="BQ155" s="206"/>
      <c r="BR155" s="250">
        <f t="shared" si="1"/>
        <v>0.04615359175</v>
      </c>
      <c r="BS155" s="250">
        <f t="shared" si="2"/>
        <v>0.5389216212</v>
      </c>
      <c r="BT155" s="206"/>
      <c r="BU155" s="207">
        <f>IFERROR(__xludf.DUMMYFUNCTION("AVERAGE(ARRAYFORMULA(XLOOKUP(FILTER(INDIRECT(""'""&amp;BU$1&amp;""'!$C$4:$C$66""),INDIRECT(""'""&amp;BU$1&amp;""'!$D$4:$D$66"")=BU$2),$F$3:$BP$3,$F155:$BP155)))"),0.2143225214285714)</f>
        <v>0.2143225214</v>
      </c>
      <c r="BV155" s="207" t="str">
        <f>IFERROR(__xludf.DUMMYFUNCTION("IF(OR(BU155&gt;$BR155+$BS155*$BS$2,BU155&lt;$BR155-$BS155*$BS$2),AVEDEV(ARRAYFORMULA(XLOOKUP(FILTER(INDIRECT(""'""&amp;BU$1&amp;""'!$C$4:$C$66""),INDIRECT(""'""&amp;BU$1&amp;""'!$D$4:$D$66"")=BU$2),$F$3:$BP$3,$F155:$BP155))),"""")"),"")</f>
        <v/>
      </c>
      <c r="BW155" s="207">
        <f>IFERROR(__xludf.DUMMYFUNCTION("AVERAGE(ARRAYFORMULA(XLOOKUP(FILTER(INDIRECT(""'""&amp;BW$1&amp;""'!$C$4:$C$66""),INDIRECT(""'""&amp;BW$1&amp;""'!$D$4:$D$66"")=BW$2),$F$3:$BP$3,$F155:$BP155)))"),0.16056769904761894)</f>
        <v>0.160567699</v>
      </c>
      <c r="BX155" s="207" t="str">
        <f>IFERROR(__xludf.DUMMYFUNCTION("IF(OR(BW155&gt;$BR155+$BS155*$BS$2,BW155&lt;$BR155-$BS155*$BS$2),AVEDEV(ARRAYFORMULA(XLOOKUP(FILTER(INDIRECT(""'""&amp;BW$1&amp;""'!$C$4:$C$66""),INDIRECT(""'""&amp;BW$1&amp;""'!$D$4:$D$66"")=BW$2),$F$3:$BP$3,$F155:$BP155))),"""")"),"")</f>
        <v/>
      </c>
      <c r="BY155" s="207">
        <f>IFERROR(__xludf.DUMMYFUNCTION("AVERAGE(ARRAYFORMULA(XLOOKUP(FILTER(INDIRECT(""'""&amp;BY$1&amp;""'!$C$4:$C$66""),INDIRECT(""'""&amp;BY$1&amp;""'!$D$4:$D$66"")=BY$2),$F$3:$BP$3,$F155:$BP155)))"),-0.5436747854545454)</f>
        <v>-0.5436747855</v>
      </c>
      <c r="BZ155" s="207">
        <f>IFERROR(__xludf.DUMMYFUNCTION("IF(OR(BY155&gt;$BR155+$BS155*$BS$2,BY155&lt;$BR155-$BS155*$BS$2),AVEDEV(ARRAYFORMULA(XLOOKUP(FILTER(INDIRECT(""'""&amp;BY$1&amp;""'!$C$4:$C$66""),INDIRECT(""'""&amp;BY$1&amp;""'!$D$4:$D$66"")=BY$2),$F$3:$BP$3,$F155:$BP155))),"""")"),0.27711710677685947)</f>
        <v>0.2771171068</v>
      </c>
      <c r="CA155" s="209"/>
      <c r="CB155" s="207">
        <f>IFERROR(__xludf.DUMMYFUNCTION("AVERAGE(ARRAYFORMULA(XLOOKUP(FILTER(INDIRECT(""'""&amp;CB$1&amp;""'!$C$4:$C$66""),INDIRECT(""'""&amp;CB$1&amp;""'!$D$4:$D$66"")=CB$2),$F$3:$BP$3,$F155:$BP155)))"),0.424909836875)</f>
        <v>0.4249098369</v>
      </c>
      <c r="CC155" s="207" t="str">
        <f>IFERROR(__xludf.DUMMYFUNCTION("IF(OR(CB155&gt;$BR155+$BS155*$BS$2,CB155&lt;$BR155-$BS155*$BS$2),AVEDEV(ARRAYFORMULA(XLOOKUP(FILTER(INDIRECT(""'""&amp;CB$1&amp;""'!$C$4:$C$66""),INDIRECT(""'""&amp;CB$1&amp;""'!$D$4:$D$66"")=CB$2),$F$3:$BP$3,$F155:$BP155))),"""")"),"")</f>
        <v/>
      </c>
      <c r="CD155" s="207">
        <f>IFERROR(__xludf.DUMMYFUNCTION("AVERAGE(ARRAYFORMULA(XLOOKUP(FILTER(INDIRECT(""'""&amp;CD$1&amp;""'!$C$4:$C$66""),INDIRECT(""'""&amp;CD$1&amp;""'!$D$4:$D$66"")=CD$2),$F$3:$BP$3,$F155:$BP155)))"),-0.07538847903225808)</f>
        <v>-0.07538847903</v>
      </c>
      <c r="CE155" s="207" t="str">
        <f>IFERROR(__xludf.DUMMYFUNCTION("IF(OR(CD155&gt;$BR155+$BS155*$BS$2,CD155&lt;$BR155-$BS155*$BS$2),AVEDEV(ARRAYFORMULA(XLOOKUP(FILTER(INDIRECT(""'""&amp;CD$1&amp;""'!$C$4:$C$66""),INDIRECT(""'""&amp;CD$1&amp;""'!$D$4:$D$66"")=CD$2),$F$3:$BP$3,$F155:$BP155))),"""")"),"")</f>
        <v/>
      </c>
      <c r="CF155" s="207">
        <f>IFERROR(__xludf.DUMMYFUNCTION("AVERAGE(ARRAYFORMULA(XLOOKUP(FILTER(INDIRECT(""'""&amp;CF$1&amp;""'!$C$4:$C$66""),INDIRECT(""'""&amp;CF$1&amp;""'!$D$4:$D$66"")=CF$2),$F$3:$BP$3,$F155:$BP155)))"),-0.58402886)</f>
        <v>-0.58402886</v>
      </c>
      <c r="CG155" s="207">
        <f>IFERROR(__xludf.DUMMYFUNCTION("IF(OR(CF155&gt;$BR155+$BS155*$BS$2,CF155&lt;$BR155-$BS155*$BS$2),AVEDEV(ARRAYFORMULA(XLOOKUP(FILTER(INDIRECT(""'""&amp;CF$1&amp;""'!$C$4:$C$66""),INDIRECT(""'""&amp;CF$1&amp;""'!$D$4:$D$66"")=CF$2),$F$3:$BP$3,$F155:$BP155))),"""")"),0.039814528)</f>
        <v>0.039814528</v>
      </c>
      <c r="CH155" s="206"/>
      <c r="CI155" s="251">
        <f>IFERROR(__xludf.DUMMYFUNCTION("AVERAGE(ARRAYFORMULA(XLOOKUP(FILTER(INDIRECT(""'""&amp;CI$1&amp;""'!$C$4:$C$66""),INDIRECT(""'""&amp;CI$1&amp;""'!$D$4:$D$66"")=CI$2),$F$3:$BP$3,$F155:$BP155)))"),-0.06319766733333333)</f>
        <v>-0.06319766733</v>
      </c>
      <c r="CJ155" s="207" t="str">
        <f>IFERROR(__xludf.DUMMYFUNCTION("IF(OR(CI155&gt;$BR155+$BS155*$BS$2,CI155&lt;$BR155-$BS155*$BS$2),AVEDEV(ARRAYFORMULA(XLOOKUP(FILTER(INDIRECT(""'""&amp;CI$1&amp;""'!$C$4:$C$66""),INDIRECT(""'""&amp;CI$1&amp;""'!$D$4:$D$66"")=CI$2),$F$3:$BP$3,$F155:$BP155))),"""")"),"")</f>
        <v/>
      </c>
      <c r="CK155" s="251">
        <f>IFERROR(__xludf.DUMMYFUNCTION("AVERAGE(ARRAYFORMULA(XLOOKUP(FILTER(INDIRECT(""'""&amp;CK$1&amp;""'!$C$4:$C$66""),INDIRECT(""'""&amp;CK$1&amp;""'!$D$4:$D$66"")=CK$2),$F$3:$BP$3,$F155:$BP155)))"),0.16966934564102562)</f>
        <v>0.1696693456</v>
      </c>
      <c r="CL155" s="207" t="str">
        <f>IFERROR(__xludf.DUMMYFUNCTION("IF(OR(CK155&gt;$BR155+$BS155*$BS$2,CK155&lt;$BR155-$BS155*$BS$2),AVEDEV(ARRAYFORMULA(XLOOKUP(FILTER(INDIRECT(""'""&amp;CK$1&amp;""'!$C$4:$C$66""),INDIRECT(""'""&amp;CK$1&amp;""'!$D$4:$D$66"")=CK$2),$F$3:$BP$3,$F155:$BP155))),"""")"),"")</f>
        <v/>
      </c>
      <c r="CM155" s="253">
        <f>IFERROR(__xludf.DUMMYFUNCTION("AVERAGE(ARRAYFORMULA(XLOOKUP(FILTER(INDIRECT(""'""&amp;CM$1&amp;""'!$C$4:$C$66""),INDIRECT(""'""&amp;CM$1&amp;""'!$D$4:$D$66"")=CM$2),$F$3:$BP$3,$F155:$BP155)))"),-0.58402886)</f>
        <v>-0.58402886</v>
      </c>
      <c r="CN155" s="207">
        <f>IFERROR(__xludf.DUMMYFUNCTION("IF(OR(CM155&gt;$BR155+$BS155*$BS$2,CM155&lt;$BR155-$BS155*$BS$2),AVEDEV(ARRAYFORMULA(XLOOKUP(FILTER(INDIRECT(""'""&amp;CM$1&amp;""'!$C$4:$C$66""),INDIRECT(""'""&amp;CM$1&amp;""'!$D$4:$D$66"")=CM$2),$F$3:$BP$3,$F155:$BP155))),"""")"),0.039814528)</f>
        <v>0.039814528</v>
      </c>
      <c r="CO155" s="252"/>
      <c r="CP155" s="251">
        <f>IFERROR(__xludf.DUMMYFUNCTION("AVERAGE(ARRAYFORMULA(XLOOKUP(FILTER(INDIRECT(""'""&amp;CP$1&amp;""'!$C$4:$C$66""),INDIRECT(""'""&amp;CP$1&amp;""'!$D$4:$D$66"")=CP$2),$F$3:$BP$3,$F155:$BP155)))"),0.5166703457142857)</f>
        <v>0.5166703457</v>
      </c>
      <c r="CQ155" s="207" t="str">
        <f>IFERROR(__xludf.DUMMYFUNCTION("IF(OR(CP155&gt;$BR155+$BS155*$BS$2,CP155&lt;$BR155-$BS155*$BS$2),AVEDEV(ARRAYFORMULA(XLOOKUP(FILTER(INDIRECT(""'""&amp;CP$1&amp;""'!$C$4:$C$66""),INDIRECT(""'""&amp;CP$1&amp;""'!$D$4:$D$66"")=CP$2),$F$3:$BP$3,$F155:$BP155))),"""")"),"")</f>
        <v/>
      </c>
      <c r="CR155" s="251">
        <f>IFERROR(__xludf.DUMMYFUNCTION("AVERAGE(ARRAYFORMULA(XLOOKUP(FILTER(INDIRECT(""'""&amp;CR$1&amp;""'!$C$4:$C$66""),INDIRECT(""'""&amp;CR$1&amp;""'!$D$4:$D$66"")=CR$2),$F$3:$BP$3,$F155:$BP155)))"),-0.6161772466666667)</f>
        <v>-0.6161772467</v>
      </c>
      <c r="CS155" s="207">
        <f>IFERROR(__xludf.DUMMYFUNCTION("IF(OR(CR155&gt;$BR155+$BS155*$BS$2,CR155&lt;$BR155-$BS155*$BS$2),AVEDEV(ARRAYFORMULA(XLOOKUP(FILTER(INDIRECT(""'""&amp;CR$1&amp;""'!$C$4:$C$66""),INDIRECT(""'""&amp;CR$1&amp;""'!$D$4:$D$66"")=CR$2),$F$3:$BP$3,$F155:$BP155))),"""")"),0.225084437037037)</f>
        <v>0.225084437</v>
      </c>
      <c r="CT155" s="251">
        <f>IFERROR(__xludf.DUMMYFUNCTION("AVERAGE(ARRAYFORMULA(XLOOKUP(FILTER(INDIRECT(""'""&amp;CT$1&amp;""'!$C$4:$C$66""),INDIRECT(""'""&amp;CT$1&amp;""'!$D$4:$D$66"")=CT$2),$F$3:$BP$3,$F155:$BP155)))"),-0.1501569090909091)</f>
        <v>-0.1501569091</v>
      </c>
      <c r="CU155" s="207" t="str">
        <f>IFERROR(__xludf.DUMMYFUNCTION("IF(OR(CT155&gt;$BR155+$BS155*$BS$2,CT155&lt;$BR155-$BS155*$BS$2),AVEDEV(ARRAYFORMULA(XLOOKUP(FILTER(INDIRECT(""'""&amp;CT$1&amp;""'!$C$4:$C$66""),INDIRECT(""'""&amp;CT$1&amp;""'!$D$4:$D$66"")=CT$2),$F$3:$BP$3,$F155:$BP155))),"""")"),"")</f>
        <v/>
      </c>
      <c r="CV155" s="251">
        <f>IFERROR(__xludf.DUMMYFUNCTION("AVERAGE(ARRAYFORMULA(XLOOKUP(FILTER(INDIRECT(""'""&amp;CV$1&amp;""'!$C$4:$C$66""),INDIRECT(""'""&amp;CV$1&amp;""'!$D$4:$D$66"")=CV$2),$F$3:$BP$3,$F155:$BP155)))"),1.10200927)</f>
        <v>1.10200927</v>
      </c>
      <c r="CW155" s="207">
        <f>IFERROR(__xludf.DUMMYFUNCTION("IF(OR(CV155&gt;$BR155+$BS155*$BS$2,CV155&lt;$BR155-$BS155*$BS$2),AVEDEV(ARRAYFORMULA(XLOOKUP(FILTER(INDIRECT(""'""&amp;CV$1&amp;""'!$C$4:$C$66""),INDIRECT(""'""&amp;CV$1&amp;""'!$D$4:$D$66"")=CV$2),$F$3:$BP$3,$F155:$BP155))),"""")"),0.009788770000000002)</f>
        <v>0.00978877</v>
      </c>
      <c r="CX155" s="253">
        <f>IFERROR(__xludf.DUMMYFUNCTION("AVERAGE(ARRAYFORMULA(XLOOKUP(FILTER(INDIRECT(""'""&amp;CX$1&amp;""'!$C$4:$C$66""),INDIRECT(""'""&amp;CX$1&amp;""'!$D$4:$D$66"")=CX$2),$F$3:$BP$3,$F155:$BP155)))"),0.03156694714285714)</f>
        <v>0.03156694714</v>
      </c>
      <c r="CY155" s="207" t="str">
        <f>IFERROR(__xludf.DUMMYFUNCTION("IF(OR(CX155&gt;$BR155+$BS155*$BS$2,CX155&lt;$BR155-$BS155*$BS$2),AVEDEV(ARRAYFORMULA(XLOOKUP(FILTER(INDIRECT(""'""&amp;CX$1&amp;""'!$C$4:$C$66""),INDIRECT(""'""&amp;CX$1&amp;""'!$D$4:$D$66"")=CX$2),$F$3:$BP$3,$F155:$BP155))),"""")"),"")</f>
        <v/>
      </c>
      <c r="CZ155" s="252"/>
      <c r="DA155" s="251">
        <f>IFERROR(__xludf.DUMMYFUNCTION("AVERAGE(ARRAYFORMULA(XLOOKUP(FILTER(INDIRECT(""'""&amp;DA$1&amp;""'!$C$4:$C$66""),INDIRECT(""'""&amp;DA$1&amp;""'!$D$4:$D$66"")=DA$2),$F$3:$BP$3,$F155:$BP155)))"),0.21098746133333332)</f>
        <v>0.2109874613</v>
      </c>
      <c r="DB155" s="207" t="str">
        <f>IFERROR(__xludf.DUMMYFUNCTION("IF(OR(DA155&gt;$BR155+$BS155*$BS$2,DA155&lt;$BR155-$BS155*$BS$2),AVEDEV(ARRAYFORMULA(XLOOKUP(FILTER(INDIRECT(""'""&amp;DA$1&amp;""'!$C$4:$C$66""),INDIRECT(""'""&amp;DA$1&amp;""'!$D$4:$D$66"")=DA$2),$F$3:$BP$3,$F155:$BP155))),"""")"),"")</f>
        <v/>
      </c>
      <c r="DC155" s="251">
        <f>IFERROR(__xludf.DUMMYFUNCTION("AVERAGE(ARRAYFORMULA(XLOOKUP(FILTER(INDIRECT(""'""&amp;DC$1&amp;""'!$C$4:$C$66""),INDIRECT(""'""&amp;DC$1&amp;""'!$D$4:$D$66"")=DC$2),$F$3:$BP$3,$F155:$BP155)))"),-0.46115978)</f>
        <v>-0.46115978</v>
      </c>
      <c r="DD155" s="207" t="str">
        <f>IFERROR(__xludf.DUMMYFUNCTION("IF(OR(DC155&gt;$BR155+$BS155*$BS$2,DC155&lt;$BR155-$BS155*$BS$2),AVEDEV(ARRAYFORMULA(XLOOKUP(FILTER(INDIRECT(""'""&amp;DC$1&amp;""'!$C$4:$C$66""),INDIRECT(""'""&amp;DC$1&amp;""'!$D$4:$D$66"")=DC$2),$F$3:$BP$3,$F155:$BP155))),"""")"),"")</f>
        <v/>
      </c>
      <c r="DE155" s="251">
        <f>IFERROR(__xludf.DUMMYFUNCTION("AVERAGE(ARRAYFORMULA(XLOOKUP(FILTER(INDIRECT(""'""&amp;DE$1&amp;""'!$C$4:$C$66""),INDIRECT(""'""&amp;DE$1&amp;""'!$D$4:$D$66"")=DE$2),$F$3:$BP$3,$F155:$BP155)))"),0.0172591525)</f>
        <v>0.0172591525</v>
      </c>
      <c r="DF155" s="207" t="str">
        <f>IFERROR(__xludf.DUMMYFUNCTION("IF(OR(DE155&gt;$BR155+$BS155*$BS$2,DE155&lt;$BR155-$BS155*$BS$2),AVEDEV(ARRAYFORMULA(XLOOKUP(FILTER(INDIRECT(""'""&amp;DE$1&amp;""'!$C$4:$C$66""),INDIRECT(""'""&amp;DE$1&amp;""'!$D$4:$D$66"")=DE$2),$F$3:$BP$3,$F155:$BP155))),"""")"),"")</f>
        <v/>
      </c>
      <c r="DG155" s="251">
        <f>IFERROR(__xludf.DUMMYFUNCTION("AVERAGE(ARRAYFORMULA(XLOOKUP(FILTER(INDIRECT(""'""&amp;DG$1&amp;""'!$C$4:$C$66""),INDIRECT(""'""&amp;DG$1&amp;""'!$D$4:$D$66"")=DG$2),$F$3:$BP$3,$F155:$BP155)))"),-0.12605187333333334)</f>
        <v>-0.1260518733</v>
      </c>
      <c r="DH155" s="207" t="str">
        <f>IFERROR(__xludf.DUMMYFUNCTION("IF(OR(DG155&gt;$BR155+$BS155*$BS$2,DG155&lt;$BR155-$BS155*$BS$2),AVEDEV(ARRAYFORMULA(XLOOKUP(FILTER(INDIRECT(""'""&amp;DG$1&amp;""'!$C$4:$C$66""),INDIRECT(""'""&amp;DG$1&amp;""'!$D$4:$D$66"")=DG$2),$F$3:$BP$3,$F155:$BP155))),"""")"),"")</f>
        <v/>
      </c>
      <c r="DI155" s="252"/>
    </row>
    <row r="156">
      <c r="A156" s="2"/>
      <c r="B156" s="204" t="s">
        <v>540</v>
      </c>
      <c r="C156" s="204" t="s">
        <v>599</v>
      </c>
      <c r="D156" s="205" t="b">
        <f>VLOOKUP(C156,'Feature Set List'!A153:C246,2,0)</f>
        <v>1</v>
      </c>
      <c r="E156" s="205" t="b">
        <f>VLOOKUP(C156,'Feature Set List'!A153:C246,3,0)</f>
        <v>0</v>
      </c>
      <c r="F156" s="205">
        <v>0.0</v>
      </c>
      <c r="G156" s="205">
        <v>0.0</v>
      </c>
      <c r="H156" s="205">
        <v>0.0</v>
      </c>
      <c r="I156" s="205">
        <v>0.0</v>
      </c>
      <c r="J156" s="205">
        <v>0.0</v>
      </c>
      <c r="K156" s="205">
        <v>2.39583333</v>
      </c>
      <c r="L156" s="205">
        <v>2.08333333</v>
      </c>
      <c r="M156" s="205">
        <v>0.0</v>
      </c>
      <c r="N156" s="205">
        <v>0.0</v>
      </c>
      <c r="O156" s="205">
        <v>2.08333333</v>
      </c>
      <c r="P156" s="205">
        <v>0.0</v>
      </c>
      <c r="Q156" s="205">
        <v>0.0</v>
      </c>
      <c r="R156" s="205">
        <v>0.0</v>
      </c>
      <c r="S156" s="205">
        <v>1.11083333</v>
      </c>
      <c r="T156" s="205">
        <v>0.0</v>
      </c>
      <c r="U156" s="205">
        <v>0.0</v>
      </c>
      <c r="V156" s="205">
        <v>1.66666667</v>
      </c>
      <c r="W156" s="205">
        <v>0.0</v>
      </c>
      <c r="X156" s="205">
        <v>0.83333333</v>
      </c>
      <c r="Y156" s="205">
        <v>0.0</v>
      </c>
      <c r="Z156" s="205">
        <v>0.0</v>
      </c>
      <c r="AA156" s="205">
        <v>1.0</v>
      </c>
      <c r="AB156" s="205">
        <v>1.5</v>
      </c>
      <c r="AC156" s="205">
        <v>0.0</v>
      </c>
      <c r="AD156" s="205">
        <v>0.0</v>
      </c>
      <c r="AE156" s="205">
        <v>1.5</v>
      </c>
      <c r="AF156" s="205">
        <v>0.0</v>
      </c>
      <c r="AG156" s="205">
        <v>0.0</v>
      </c>
      <c r="AH156" s="205">
        <v>1.11083333</v>
      </c>
      <c r="AI156" s="205">
        <v>0.33333333</v>
      </c>
      <c r="AJ156" s="205">
        <v>0.0</v>
      </c>
      <c r="AK156" s="205">
        <v>0.0</v>
      </c>
      <c r="AL156" s="205">
        <v>0.0</v>
      </c>
      <c r="AM156" s="205">
        <v>1.0</v>
      </c>
      <c r="AN156" s="205">
        <v>0.0</v>
      </c>
      <c r="AO156" s="205">
        <v>0.0</v>
      </c>
      <c r="AP156" s="205">
        <v>0.0</v>
      </c>
      <c r="AQ156" s="205">
        <v>0.0</v>
      </c>
      <c r="AR156" s="205">
        <v>0.625</v>
      </c>
      <c r="AS156" s="205">
        <v>0.0</v>
      </c>
      <c r="AT156" s="205">
        <v>0.0</v>
      </c>
      <c r="AU156" s="205">
        <v>0.0</v>
      </c>
      <c r="AV156" s="205">
        <v>0.0</v>
      </c>
      <c r="AW156" s="205">
        <v>0.0</v>
      </c>
      <c r="AX156" s="205">
        <v>0.0</v>
      </c>
      <c r="AY156" s="205">
        <v>0.0</v>
      </c>
      <c r="AZ156" s="205">
        <v>2.08333333</v>
      </c>
      <c r="BA156" s="205">
        <v>0.33333333</v>
      </c>
      <c r="BB156" s="205">
        <v>0.0</v>
      </c>
      <c r="BC156" s="205">
        <v>1.25</v>
      </c>
      <c r="BD156" s="205">
        <v>0.0</v>
      </c>
      <c r="BE156" s="205">
        <v>0.0</v>
      </c>
      <c r="BF156" s="205">
        <v>1.5</v>
      </c>
      <c r="BG156" s="205">
        <v>0.0</v>
      </c>
      <c r="BH156" s="205">
        <v>0.0</v>
      </c>
      <c r="BI156" s="205">
        <v>0.0</v>
      </c>
      <c r="BJ156" s="205">
        <v>1.0</v>
      </c>
      <c r="BK156" s="205">
        <v>1.04166667</v>
      </c>
      <c r="BL156" s="205">
        <v>0.66666667</v>
      </c>
      <c r="BM156" s="205">
        <v>4.6875</v>
      </c>
      <c r="BN156" s="205">
        <v>0.09258333</v>
      </c>
      <c r="BO156" s="205">
        <v>1.5</v>
      </c>
      <c r="BP156" s="205">
        <v>7.26166667</v>
      </c>
      <c r="BQ156" s="206"/>
      <c r="BR156" s="250">
        <f t="shared" si="1"/>
        <v>0.6136388886</v>
      </c>
      <c r="BS156" s="250">
        <f t="shared" si="2"/>
        <v>0.7940820105</v>
      </c>
      <c r="BT156" s="206"/>
      <c r="BU156" s="207">
        <f>IFERROR(__xludf.DUMMYFUNCTION("AVERAGE(ARRAYFORMULA(XLOOKUP(FILTER(INDIRECT(""'""&amp;BU$1&amp;""'!$C$4:$C$66""),INDIRECT(""'""&amp;BU$1&amp;""'!$D$4:$D$66"")=BU$2),$F$3:$BP$3,$F156:$BP156)))"),0.19642857142857142)</f>
        <v>0.1964285714</v>
      </c>
      <c r="BV156" s="207" t="str">
        <f>IFERROR(__xludf.DUMMYFUNCTION("IF(OR(BU156&gt;$BR156+$BS156*$BS$2,BU156&lt;$BR156-$BS156*$BS$2),AVEDEV(ARRAYFORMULA(XLOOKUP(FILTER(INDIRECT(""'""&amp;BU$1&amp;""'!$C$4:$C$66""),INDIRECT(""'""&amp;BU$1&amp;""'!$D$4:$D$66"")=BU$2),$F$3:$BP$3,$F156:$BP156))),"""")"),"")</f>
        <v/>
      </c>
      <c r="BW156" s="207">
        <f>IFERROR(__xludf.DUMMYFUNCTION("AVERAGE(ARRAYFORMULA(XLOOKUP(FILTER(INDIRECT(""'""&amp;BW$1&amp;""'!$C$4:$C$66""),INDIRECT(""'""&amp;BW$1&amp;""'!$D$4:$D$66"")=BW$2),$F$3:$BP$3,$F156:$BP156)))"),0.5145456347619047)</f>
        <v>0.5145456348</v>
      </c>
      <c r="BX156" s="207" t="str">
        <f>IFERROR(__xludf.DUMMYFUNCTION("IF(OR(BW156&gt;$BR156+$BS156*$BS$2,BW156&lt;$BR156-$BS156*$BS$2),AVEDEV(ARRAYFORMULA(XLOOKUP(FILTER(INDIRECT(""'""&amp;BW$1&amp;""'!$C$4:$C$66""),INDIRECT(""'""&amp;BW$1&amp;""'!$D$4:$D$66"")=BW$2),$F$3:$BP$3,$F156:$BP156))),"""")"),"")</f>
        <v/>
      </c>
      <c r="BY156" s="207">
        <f>IFERROR(__xludf.DUMMYFUNCTION("AVERAGE(ARRAYFORMULA(XLOOKUP(FILTER(INDIRECT(""'""&amp;BY$1&amp;""'!$C$4:$C$66""),INDIRECT(""'""&amp;BY$1&amp;""'!$D$4:$D$66"")=BY$2),$F$3:$BP$3,$F156:$BP156)))"),1.31121212)</f>
        <v>1.31121212</v>
      </c>
      <c r="BZ156" s="207" t="str">
        <f>IFERROR(__xludf.DUMMYFUNCTION("IF(OR(BY156&gt;$BR156+$BS156*$BS$2,BY156&lt;$BR156-$BS156*$BS$2),AVEDEV(ARRAYFORMULA(XLOOKUP(FILTER(INDIRECT(""'""&amp;BY$1&amp;""'!$C$4:$C$66""),INDIRECT(""'""&amp;BY$1&amp;""'!$D$4:$D$66"")=BY$2),$F$3:$BP$3,$F156:$BP156))),"""")"),"")</f>
        <v/>
      </c>
      <c r="CA156" s="209"/>
      <c r="CB156" s="207">
        <f>IFERROR(__xludf.DUMMYFUNCTION("AVERAGE(ARRAYFORMULA(XLOOKUP(FILTER(INDIRECT(""'""&amp;CB$1&amp;""'!$C$4:$C$66""),INDIRECT(""'""&amp;CB$1&amp;""'!$D$4:$D$66"")=CB$2),$F$3:$BP$3,$F156:$BP156)))"),0.09026041625)</f>
        <v>0.09026041625</v>
      </c>
      <c r="CC156" s="207" t="str">
        <f>IFERROR(__xludf.DUMMYFUNCTION("IF(OR(CB156&gt;$BR156+$BS156*$BS$2,CB156&lt;$BR156-$BS156*$BS$2),AVEDEV(ARRAYFORMULA(XLOOKUP(FILTER(INDIRECT(""'""&amp;CB$1&amp;""'!$C$4:$C$66""),INDIRECT(""'""&amp;CB$1&amp;""'!$D$4:$D$66"")=CB$2),$F$3:$BP$3,$F156:$BP156))),"""")"),"")</f>
        <v/>
      </c>
      <c r="CD156" s="207">
        <f>IFERROR(__xludf.DUMMYFUNCTION("AVERAGE(ARRAYFORMULA(XLOOKUP(FILTER(INDIRECT(""'""&amp;CD$1&amp;""'!$C$4:$C$66""),INDIRECT(""'""&amp;CD$1&amp;""'!$D$4:$D$66"")=CD$2),$F$3:$BP$3,$F156:$BP156)))"),0.8632795696774193)</f>
        <v>0.8632795697</v>
      </c>
      <c r="CE156" s="207" t="str">
        <f>IFERROR(__xludf.DUMMYFUNCTION("IF(OR(CD156&gt;$BR156+$BS156*$BS$2,CD156&lt;$BR156-$BS156*$BS$2),AVEDEV(ARRAYFORMULA(XLOOKUP(FILTER(INDIRECT(""'""&amp;CD$1&amp;""'!$C$4:$C$66""),INDIRECT(""'""&amp;CD$1&amp;""'!$D$4:$D$66"")=CD$2),$F$3:$BP$3,$F156:$BP156))),"""")"),"")</f>
        <v/>
      </c>
      <c r="CF156" s="207">
        <f>IFERROR(__xludf.DUMMYFUNCTION("AVERAGE(ARRAYFORMULA(XLOOKUP(FILTER(INDIRECT(""'""&amp;CF$1&amp;""'!$C$4:$C$66""),INDIRECT(""'""&amp;CF$1&amp;""'!$D$4:$D$66"")=CF$2),$F$3:$BP$3,$F156:$BP156)))"),1.480499998)</f>
        <v>1.480499998</v>
      </c>
      <c r="CG156" s="207">
        <f>IFERROR(__xludf.DUMMYFUNCTION("IF(OR(CF156&gt;$BR156+$BS156*$BS$2,CF156&lt;$BR156-$BS156*$BS$2),AVEDEV(ARRAYFORMULA(XLOOKUP(FILTER(INDIRECT(""'""&amp;CF$1&amp;""'!$C$4:$C$66""),INDIRECT(""'""&amp;CF$1&amp;""'!$D$4:$D$66"")=CF$2),$F$3:$BP$3,$F156:$BP156))),"""")"),0.4900666663999999)</f>
        <v>0.4900666664</v>
      </c>
      <c r="CH156" s="206"/>
      <c r="CI156" s="251">
        <f>IFERROR(__xludf.DUMMYFUNCTION("AVERAGE(ARRAYFORMULA(XLOOKUP(FILTER(INDIRECT(""'""&amp;CI$1&amp;""'!$C$4:$C$66""),INDIRECT(""'""&amp;CI$1&amp;""'!$D$4:$D$66"")=CI$2),$F$3:$BP$3,$F156:$BP156)))"),0.2950611106666667)</f>
        <v>0.2950611107</v>
      </c>
      <c r="CJ156" s="207" t="str">
        <f>IFERROR(__xludf.DUMMYFUNCTION("IF(OR(CI156&gt;$BR156+$BS156*$BS$2,CI156&lt;$BR156-$BS156*$BS$2),AVEDEV(ARRAYFORMULA(XLOOKUP(FILTER(INDIRECT(""'""&amp;CI$1&amp;""'!$C$4:$C$66""),INDIRECT(""'""&amp;CI$1&amp;""'!$D$4:$D$66"")=CI$2),$F$3:$BP$3,$F156:$BP156))),"""")"),"")</f>
        <v/>
      </c>
      <c r="CK156" s="251">
        <f>IFERROR(__xludf.DUMMYFUNCTION("AVERAGE(ARRAYFORMULA(XLOOKUP(FILTER(INDIRECT(""'""&amp;CK$1&amp;""'!$C$4:$C$66""),INDIRECT(""'""&amp;CK$1&amp;""'!$D$4:$D$66"")=CK$2),$F$3:$BP$3,$F156:$BP156)))"),0.6292094015384615)</f>
        <v>0.6292094015</v>
      </c>
      <c r="CL156" s="207" t="str">
        <f>IFERROR(__xludf.DUMMYFUNCTION("IF(OR(CK156&gt;$BR156+$BS156*$BS$2,CK156&lt;$BR156-$BS156*$BS$2),AVEDEV(ARRAYFORMULA(XLOOKUP(FILTER(INDIRECT(""'""&amp;CK$1&amp;""'!$C$4:$C$66""),INDIRECT(""'""&amp;CK$1&amp;""'!$D$4:$D$66"")=CK$2),$F$3:$BP$3,$F156:$BP156))),"""")"),"")</f>
        <v/>
      </c>
      <c r="CM156" s="251">
        <f>IFERROR(__xludf.DUMMYFUNCTION("AVERAGE(ARRAYFORMULA(XLOOKUP(FILTER(INDIRECT(""'""&amp;CM$1&amp;""'!$C$4:$C$66""),INDIRECT(""'""&amp;CM$1&amp;""'!$D$4:$D$66"")=CM$2),$F$3:$BP$3,$F156:$BP156)))"),1.480499998)</f>
        <v>1.480499998</v>
      </c>
      <c r="CN156" s="207">
        <f>IFERROR(__xludf.DUMMYFUNCTION("IF(OR(CM156&gt;$BR156+$BS156*$BS$2,CM156&lt;$BR156-$BS156*$BS$2),AVEDEV(ARRAYFORMULA(XLOOKUP(FILTER(INDIRECT(""'""&amp;CM$1&amp;""'!$C$4:$C$66""),INDIRECT(""'""&amp;CM$1&amp;""'!$D$4:$D$66"")=CM$2),$F$3:$BP$3,$F156:$BP156))),"""")"),0.4900666663999999)</f>
        <v>0.4900666664</v>
      </c>
      <c r="CO156" s="252"/>
      <c r="CP156" s="251">
        <f>IFERROR(__xludf.DUMMYFUNCTION("AVERAGE(ARRAYFORMULA(XLOOKUP(FILTER(INDIRECT(""'""&amp;CP$1&amp;""'!$C$4:$C$66""),INDIRECT(""'""&amp;CP$1&amp;""'!$D$4:$D$66"")=CP$2),$F$3:$BP$3,$F156:$BP156)))"),0.1507738092857143)</f>
        <v>0.1507738093</v>
      </c>
      <c r="CQ156" s="207" t="str">
        <f>IFERROR(__xludf.DUMMYFUNCTION("IF(OR(CP156&gt;$BR156+$BS156*$BS$2,CP156&lt;$BR156-$BS156*$BS$2),AVEDEV(ARRAYFORMULA(XLOOKUP(FILTER(INDIRECT(""'""&amp;CP$1&amp;""'!$C$4:$C$66""),INDIRECT(""'""&amp;CP$1&amp;""'!$D$4:$D$66"")=CP$2),$F$3:$BP$3,$F156:$BP156))),"""")"),"")</f>
        <v/>
      </c>
      <c r="CR156" s="251">
        <f>IFERROR(__xludf.DUMMYFUNCTION("AVERAGE(ARRAYFORMULA(XLOOKUP(FILTER(INDIRECT(""'""&amp;CR$1&amp;""'!$C$4:$C$66""),INDIRECT(""'""&amp;CR$1&amp;""'!$D$4:$D$66"")=CR$2),$F$3:$BP$3,$F156:$BP156)))"),1.5285185166666666)</f>
        <v>1.528518517</v>
      </c>
      <c r="CS156" s="207">
        <f>IFERROR(__xludf.DUMMYFUNCTION("IF(OR(CR156&gt;$BR156+$BS156*$BS$2,CR156&lt;$BR156-$BS156*$BS$2),AVEDEV(ARRAYFORMULA(XLOOKUP(FILTER(INDIRECT(""'""&amp;CR$1&amp;""'!$C$4:$C$66""),INDIRECT(""'""&amp;CR$1&amp;""'!$D$4:$D$66"")=CR$2),$F$3:$BP$3,$F156:$BP156))),"""")"),0.593312757037037)</f>
        <v>0.593312757</v>
      </c>
      <c r="CT156" s="251">
        <f>IFERROR(__xludf.DUMMYFUNCTION("AVERAGE(ARRAYFORMULA(XLOOKUP(FILTER(INDIRECT(""'""&amp;CT$1&amp;""'!$C$4:$C$66""),INDIRECT(""'""&amp;CT$1&amp;""'!$D$4:$D$66"")=CT$2),$F$3:$BP$3,$F156:$BP156)))"),0.37205303)</f>
        <v>0.37205303</v>
      </c>
      <c r="CU156" s="207" t="str">
        <f>IFERROR(__xludf.DUMMYFUNCTION("IF(OR(CT156&gt;$BR156+$BS156*$BS$2,CT156&lt;$BR156-$BS156*$BS$2),AVEDEV(ARRAYFORMULA(XLOOKUP(FILTER(INDIRECT(""'""&amp;CT$1&amp;""'!$C$4:$C$66""),INDIRECT(""'""&amp;CT$1&amp;""'!$D$4:$D$66"")=CT$2),$F$3:$BP$3,$F156:$BP156))),"""")"),"")</f>
        <v/>
      </c>
      <c r="CV156" s="251">
        <f>IFERROR(__xludf.DUMMYFUNCTION("AVERAGE(ARRAYFORMULA(XLOOKUP(FILTER(INDIRECT(""'""&amp;CV$1&amp;""'!$C$4:$C$66""),INDIRECT(""'""&amp;CV$1&amp;""'!$D$4:$D$66"")=CV$2),$F$3:$BP$3,$F156:$BP156)))"),0.0)</f>
        <v>0</v>
      </c>
      <c r="CW156" s="207" t="str">
        <f>IFERROR(__xludf.DUMMYFUNCTION("IF(OR(CV156&gt;$BR156+$BS156*$BS$2,CV156&lt;$BR156-$BS156*$BS$2),AVEDEV(ARRAYFORMULA(XLOOKUP(FILTER(INDIRECT(""'""&amp;CV$1&amp;""'!$C$4:$C$66""),INDIRECT(""'""&amp;CV$1&amp;""'!$D$4:$D$66"")=CV$2),$F$3:$BP$3,$F156:$BP156))),"""")"),"")</f>
        <v/>
      </c>
      <c r="CX156" s="251">
        <f>IFERROR(__xludf.DUMMYFUNCTION("AVERAGE(ARRAYFORMULA(XLOOKUP(FILTER(INDIRECT(""'""&amp;CX$1&amp;""'!$C$4:$C$66""),INDIRECT(""'""&amp;CX$1&amp;""'!$D$4:$D$66"")=CX$2),$F$3:$BP$3,$F156:$BP156)))"),1.0558928571428572)</f>
        <v>1.055892857</v>
      </c>
      <c r="CY156" s="207" t="str">
        <f>IFERROR(__xludf.DUMMYFUNCTION("IF(OR(CX156&gt;$BR156+$BS156*$BS$2,CX156&lt;$BR156-$BS156*$BS$2),AVEDEV(ARRAYFORMULA(XLOOKUP(FILTER(INDIRECT(""'""&amp;CX$1&amp;""'!$C$4:$C$66""),INDIRECT(""'""&amp;CX$1&amp;""'!$D$4:$D$66"")=CX$2),$F$3:$BP$3,$F156:$BP156))),"""")"),"")</f>
        <v/>
      </c>
      <c r="CZ156" s="252"/>
      <c r="DA156" s="251">
        <f>IFERROR(__xludf.DUMMYFUNCTION("AVERAGE(ARRAYFORMULA(XLOOKUP(FILTER(INDIRECT(""'""&amp;DA$1&amp;""'!$C$4:$C$66""),INDIRECT(""'""&amp;DA$1&amp;""'!$D$4:$D$66"")=DA$2),$F$3:$BP$3,$F156:$BP156)))"),0.5401944443333334)</f>
        <v>0.5401944443</v>
      </c>
      <c r="DB156" s="207" t="str">
        <f>IFERROR(__xludf.DUMMYFUNCTION("IF(OR(DA156&gt;$BR156+$BS156*$BS$2,DA156&lt;$BR156-$BS156*$BS$2),AVEDEV(ARRAYFORMULA(XLOOKUP(FILTER(INDIRECT(""'""&amp;DA$1&amp;""'!$C$4:$C$66""),INDIRECT(""'""&amp;DA$1&amp;""'!$D$4:$D$66"")=DA$2),$F$3:$BP$3,$F156:$BP156))),"""")"),"")</f>
        <v/>
      </c>
      <c r="DC156" s="251">
        <f>IFERROR(__xludf.DUMMYFUNCTION("AVERAGE(ARRAYFORMULA(XLOOKUP(FILTER(INDIRECT(""'""&amp;DC$1&amp;""'!$C$4:$C$66""),INDIRECT(""'""&amp;DC$1&amp;""'!$D$4:$D$66"")=DC$2),$F$3:$BP$3,$F156:$BP156)))"),1.343333332222222)</f>
        <v>1.343333332</v>
      </c>
      <c r="DD156" s="207" t="str">
        <f>IFERROR(__xludf.DUMMYFUNCTION("IF(OR(DC156&gt;$BR156+$BS156*$BS$2,DC156&lt;$BR156-$BS156*$BS$2),AVEDEV(ARRAYFORMULA(XLOOKUP(FILTER(INDIRECT(""'""&amp;DC$1&amp;""'!$C$4:$C$66""),INDIRECT(""'""&amp;DC$1&amp;""'!$D$4:$D$66"")=DC$2),$F$3:$BP$3,$F156:$BP156))),"""")"),"")</f>
        <v/>
      </c>
      <c r="DE156" s="251">
        <f>IFERROR(__xludf.DUMMYFUNCTION("AVERAGE(ARRAYFORMULA(XLOOKUP(FILTER(INDIRECT(""'""&amp;DE$1&amp;""'!$C$4:$C$66""),INDIRECT(""'""&amp;DE$1&amp;""'!$D$4:$D$66"")=DE$2),$F$3:$BP$3,$F156:$BP156)))"),0.04166666625)</f>
        <v>0.04166666625</v>
      </c>
      <c r="DF156" s="207" t="str">
        <f>IFERROR(__xludf.DUMMYFUNCTION("IF(OR(DE156&gt;$BR156+$BS156*$BS$2,DE156&lt;$BR156-$BS156*$BS$2),AVEDEV(ARRAYFORMULA(XLOOKUP(FILTER(INDIRECT(""'""&amp;DE$1&amp;""'!$C$4:$C$66""),INDIRECT(""'""&amp;DE$1&amp;""'!$D$4:$D$66"")=DE$2),$F$3:$BP$3,$F156:$BP156))),"""")"),"")</f>
        <v/>
      </c>
      <c r="DG156" s="251">
        <f>IFERROR(__xludf.DUMMYFUNCTION("AVERAGE(ARRAYFORMULA(XLOOKUP(FILTER(INDIRECT(""'""&amp;DG$1&amp;""'!$C$4:$C$66""),INDIRECT(""'""&amp;DG$1&amp;""'!$D$4:$D$66"")=DG$2),$F$3:$BP$3,$F156:$BP156)))"),0.8598240733333333)</f>
        <v>0.8598240733</v>
      </c>
      <c r="DH156" s="207" t="str">
        <f>IFERROR(__xludf.DUMMYFUNCTION("IF(OR(DG156&gt;$BR156+$BS156*$BS$2,DG156&lt;$BR156-$BS156*$BS$2),AVEDEV(ARRAYFORMULA(XLOOKUP(FILTER(INDIRECT(""'""&amp;DG$1&amp;""'!$C$4:$C$66""),INDIRECT(""'""&amp;DG$1&amp;""'!$D$4:$D$66"")=DG$2),$F$3:$BP$3,$F156:$BP156))),"""")"),"")</f>
        <v/>
      </c>
      <c r="DI156" s="252"/>
    </row>
    <row r="157">
      <c r="A157" s="2"/>
      <c r="B157" s="204" t="s">
        <v>540</v>
      </c>
      <c r="C157" s="204" t="s">
        <v>600</v>
      </c>
      <c r="D157" s="205" t="b">
        <f>VLOOKUP(C157,'Feature Set List'!A154:C246,2,0)</f>
        <v>1</v>
      </c>
      <c r="E157" s="205" t="b">
        <f>VLOOKUP(C157,'Feature Set List'!A154:C246,3,0)</f>
        <v>1</v>
      </c>
      <c r="F157" s="205">
        <v>0.66666667</v>
      </c>
      <c r="G157" s="205">
        <v>-0.3333333</v>
      </c>
      <c r="H157" s="205">
        <v>-0.3333333</v>
      </c>
      <c r="I157" s="205">
        <v>0.0</v>
      </c>
      <c r="J157" s="205">
        <v>-0.0513333</v>
      </c>
      <c r="K157" s="205">
        <v>0.33333333</v>
      </c>
      <c r="L157" s="205">
        <v>1.16666667</v>
      </c>
      <c r="M157" s="205">
        <v>0.66666667</v>
      </c>
      <c r="N157" s="205">
        <v>-0.6666667</v>
      </c>
      <c r="O157" s="205">
        <v>0.33333333</v>
      </c>
      <c r="P157" s="205">
        <v>0.0</v>
      </c>
      <c r="Q157" s="205">
        <v>-0.6666667</v>
      </c>
      <c r="R157" s="205">
        <v>-0.3333333</v>
      </c>
      <c r="S157" s="205">
        <v>-0.2223333</v>
      </c>
      <c r="T157" s="205">
        <v>-0.6666667</v>
      </c>
      <c r="U157" s="205">
        <v>0.0</v>
      </c>
      <c r="V157" s="205">
        <v>0.33333333</v>
      </c>
      <c r="W157" s="205">
        <v>0.66666667</v>
      </c>
      <c r="X157" s="205">
        <v>0.66666667</v>
      </c>
      <c r="Y157" s="205">
        <v>0.0</v>
      </c>
      <c r="Z157" s="205">
        <v>0.33333333</v>
      </c>
      <c r="AA157" s="205">
        <v>0.0</v>
      </c>
      <c r="AB157" s="205">
        <v>0.66666667</v>
      </c>
      <c r="AC157" s="205">
        <v>0.0</v>
      </c>
      <c r="AD157" s="205">
        <v>0.66666667</v>
      </c>
      <c r="AE157" s="205">
        <v>0.66666667</v>
      </c>
      <c r="AF157" s="205">
        <v>0.0</v>
      </c>
      <c r="AG157" s="205">
        <v>0.33333333</v>
      </c>
      <c r="AH157" s="205">
        <v>0.889</v>
      </c>
      <c r="AI157" s="205">
        <v>0.0</v>
      </c>
      <c r="AJ157" s="205">
        <v>-0.6666667</v>
      </c>
      <c r="AK157" s="205">
        <v>0.0</v>
      </c>
      <c r="AL157" s="205">
        <v>0.66666667</v>
      </c>
      <c r="AM157" s="205">
        <v>-0.6666667</v>
      </c>
      <c r="AN157" s="205">
        <v>-0.0833333</v>
      </c>
      <c r="AO157" s="205">
        <v>0.0</v>
      </c>
      <c r="AP157" s="205">
        <v>0.66666667</v>
      </c>
      <c r="AQ157" s="205">
        <v>0.66666667</v>
      </c>
      <c r="AR157" s="205">
        <v>-0.5</v>
      </c>
      <c r="AS157" s="205">
        <v>-0.3333333</v>
      </c>
      <c r="AT157" s="205">
        <v>2.0</v>
      </c>
      <c r="AU157" s="205">
        <v>-0.6666667</v>
      </c>
      <c r="AV157" s="205">
        <v>0.0</v>
      </c>
      <c r="AW157" s="205">
        <v>0.0</v>
      </c>
      <c r="AX157" s="205">
        <v>-0.6666667</v>
      </c>
      <c r="AY157" s="205">
        <v>-0.6666667</v>
      </c>
      <c r="AZ157" s="205">
        <v>0.33333333</v>
      </c>
      <c r="BA157" s="205">
        <v>0.0</v>
      </c>
      <c r="BB157" s="205">
        <v>-0.6666667</v>
      </c>
      <c r="BC157" s="205">
        <v>-0.7776667</v>
      </c>
      <c r="BD157" s="205">
        <v>-0.3333333</v>
      </c>
      <c r="BE157" s="205">
        <v>-0.6666667</v>
      </c>
      <c r="BF157" s="205">
        <v>0.66666667</v>
      </c>
      <c r="BG157" s="205">
        <v>0.0</v>
      </c>
      <c r="BH157" s="205">
        <v>0.0</v>
      </c>
      <c r="BI157" s="205">
        <v>-0.6666667</v>
      </c>
      <c r="BJ157" s="205">
        <v>0.66666667</v>
      </c>
      <c r="BK157" s="205">
        <v>-0.5</v>
      </c>
      <c r="BL157" s="205">
        <v>0.66666667</v>
      </c>
      <c r="BM157" s="205">
        <v>-0.0833333</v>
      </c>
      <c r="BN157" s="205">
        <v>0.148</v>
      </c>
      <c r="BO157" s="205">
        <v>0.66666667</v>
      </c>
      <c r="BP157" s="205">
        <v>0.09533333</v>
      </c>
      <c r="BQ157" s="206"/>
      <c r="BR157" s="250">
        <f t="shared" si="1"/>
        <v>0.0700687819</v>
      </c>
      <c r="BS157" s="250">
        <f t="shared" si="2"/>
        <v>0.4406544067</v>
      </c>
      <c r="BT157" s="206"/>
      <c r="BU157" s="207">
        <f>IFERROR(__xludf.DUMMYFUNCTION("AVERAGE(ARRAYFORMULA(XLOOKUP(FILTER(INDIRECT(""'""&amp;BU$1&amp;""'!$C$4:$C$66""),INDIRECT(""'""&amp;BU$1&amp;""'!$D$4:$D$66"")=BU$2),$F$3:$BP$3,$F157:$BP157)))"),-0.2261904757142857)</f>
        <v>-0.2261904757</v>
      </c>
      <c r="BV157" s="207" t="str">
        <f>IFERROR(__xludf.DUMMYFUNCTION("IF(OR(BU157&gt;$BR157+$BS157*$BS$2,BU157&lt;$BR157-$BS157*$BS$2),AVEDEV(ARRAYFORMULA(XLOOKUP(FILTER(INDIRECT(""'""&amp;BU$1&amp;""'!$C$4:$C$66""),INDIRECT(""'""&amp;BU$1&amp;""'!$D$4:$D$66"")=BU$2),$F$3:$BP$3,$F157:$BP157))),"""")"),"")</f>
        <v/>
      </c>
      <c r="BW157" s="207">
        <f>IFERROR(__xludf.DUMMYFUNCTION("AVERAGE(ARRAYFORMULA(XLOOKUP(FILTER(INDIRECT(""'""&amp;BW$1&amp;""'!$C$4:$C$66""),INDIRECT(""'""&amp;BW$1&amp;""'!$D$4:$D$66"")=BW$2),$F$3:$BP$3,$F157:$BP157)))"),0.019785712380952395)</f>
        <v>0.01978571238</v>
      </c>
      <c r="BX157" s="207" t="str">
        <f>IFERROR(__xludf.DUMMYFUNCTION("IF(OR(BW157&gt;$BR157+$BS157*$BS$2,BW157&lt;$BR157-$BS157*$BS$2),AVEDEV(ARRAYFORMULA(XLOOKUP(FILTER(INDIRECT(""'""&amp;BW$1&amp;""'!$C$4:$C$66""),INDIRECT(""'""&amp;BW$1&amp;""'!$D$4:$D$66"")=BW$2),$F$3:$BP$3,$F157:$BP157))),"""")"),"")</f>
        <v/>
      </c>
      <c r="BY157" s="207">
        <f>IFERROR(__xludf.DUMMYFUNCTION("AVERAGE(ARRAYFORMULA(XLOOKUP(FILTER(INDIRECT(""'""&amp;BY$1&amp;""'!$C$4:$C$66""),INDIRECT(""'""&amp;BY$1&amp;""'!$D$4:$D$66"")=BY$2),$F$3:$BP$3,$F157:$BP157)))"),0.3888787881818182)</f>
        <v>0.3888787882</v>
      </c>
      <c r="BZ157" s="207" t="str">
        <f>IFERROR(__xludf.DUMMYFUNCTION("IF(OR(BY157&gt;$BR157+$BS157*$BS$2,BY157&lt;$BR157-$BS157*$BS$2),AVEDEV(ARRAYFORMULA(XLOOKUP(FILTER(INDIRECT(""'""&amp;BY$1&amp;""'!$C$4:$C$66""),INDIRECT(""'""&amp;BY$1&amp;""'!$D$4:$D$66"")=BY$2),$F$3:$BP$3,$F157:$BP157))),"""")"),"")</f>
        <v/>
      </c>
      <c r="CA157" s="209"/>
      <c r="CB157" s="207">
        <f>IFERROR(__xludf.DUMMYFUNCTION("AVERAGE(ARRAYFORMULA(XLOOKUP(FILTER(INDIRECT(""'""&amp;CB$1&amp;""'!$C$4:$C$66""),INDIRECT(""'""&amp;CB$1&amp;""'!$D$4:$D$66"")=CB$2),$F$3:$BP$3,$F157:$BP157)))"),0.010687500625000013)</f>
        <v>0.01068750063</v>
      </c>
      <c r="CC157" s="207" t="str">
        <f>IFERROR(__xludf.DUMMYFUNCTION("IF(OR(CB157&gt;$BR157+$BS157*$BS$2,CB157&lt;$BR157-$BS157*$BS$2),AVEDEV(ARRAYFORMULA(XLOOKUP(FILTER(INDIRECT(""'""&amp;CB$1&amp;""'!$C$4:$C$66""),INDIRECT(""'""&amp;CB$1&amp;""'!$D$4:$D$66"")=CB$2),$F$3:$BP$3,$F157:$BP157))),"""")"),"")</f>
        <v/>
      </c>
      <c r="CD157" s="207">
        <f>IFERROR(__xludf.DUMMYFUNCTION("AVERAGE(ARRAYFORMULA(XLOOKUP(FILTER(INDIRECT(""'""&amp;CD$1&amp;""'!$C$4:$C$66""),INDIRECT(""'""&amp;CD$1&amp;""'!$D$4:$D$66"")=CD$2),$F$3:$BP$3,$F157:$BP157)))"),0.016516123870967746)</f>
        <v>0.01651612387</v>
      </c>
      <c r="CE157" s="207" t="str">
        <f>IFERROR(__xludf.DUMMYFUNCTION("IF(OR(CD157&gt;$BR157+$BS157*$BS$2,CD157&lt;$BR157-$BS157*$BS$2),AVEDEV(ARRAYFORMULA(XLOOKUP(FILTER(INDIRECT(""'""&amp;CD$1&amp;""'!$C$4:$C$66""),INDIRECT(""'""&amp;CD$1&amp;""'!$D$4:$D$66"")=CD$2),$F$3:$BP$3,$F157:$BP157))),"""")"),"")</f>
        <v/>
      </c>
      <c r="CF157" s="207">
        <f>IFERROR(__xludf.DUMMYFUNCTION("AVERAGE(ARRAYFORMULA(XLOOKUP(FILTER(INDIRECT(""'""&amp;CF$1&amp;""'!$C$4:$C$66""),INDIRECT(""'""&amp;CF$1&amp;""'!$D$4:$D$66"")=CF$2),$F$3:$BP$3,$F157:$BP157)))"),0.122200006)</f>
        <v>0.122200006</v>
      </c>
      <c r="CG157" s="207" t="str">
        <f>IFERROR(__xludf.DUMMYFUNCTION("IF(OR(CF157&gt;$BR157+$BS157*$BS$2,CF157&lt;$BR157-$BS157*$BS$2),AVEDEV(ARRAYFORMULA(XLOOKUP(FILTER(INDIRECT(""'""&amp;CF$1&amp;""'!$C$4:$C$66""),INDIRECT(""'""&amp;CF$1&amp;""'!$D$4:$D$66"")=CF$2),$F$3:$BP$3,$F157:$BP157))),"""")"),"")</f>
        <v/>
      </c>
      <c r="CH157" s="206"/>
      <c r="CI157" s="251">
        <f>IFERROR(__xludf.DUMMYFUNCTION("AVERAGE(ARRAYFORMULA(XLOOKUP(FILTER(INDIRECT(""'""&amp;CI$1&amp;""'!$C$4:$C$66""),INDIRECT(""'""&amp;CI$1&amp;""'!$D$4:$D$66"")=CI$2),$F$3:$BP$3,$F157:$BP157)))"),0.2765333366666667)</f>
        <v>0.2765333367</v>
      </c>
      <c r="CJ157" s="207" t="str">
        <f>IFERROR(__xludf.DUMMYFUNCTION("IF(OR(CI157&gt;$BR157+$BS157*$BS$2,CI157&lt;$BR157-$BS157*$BS$2),AVEDEV(ARRAYFORMULA(XLOOKUP(FILTER(INDIRECT(""'""&amp;CI$1&amp;""'!$C$4:$C$66""),INDIRECT(""'""&amp;CI$1&amp;""'!$D$4:$D$66"")=CI$2),$F$3:$BP$3,$F157:$BP157))),"""")"),"")</f>
        <v/>
      </c>
      <c r="CK157" s="251">
        <f>IFERROR(__xludf.DUMMYFUNCTION("AVERAGE(ARRAYFORMULA(XLOOKUP(FILTER(INDIRECT(""'""&amp;CK$1&amp;""'!$C$4:$C$66""),INDIRECT(""'""&amp;CK$1&amp;""'!$D$4:$D$66"")=CK$2),$F$3:$BP$3,$F157:$BP157)))"),-0.01881196974358973)</f>
        <v>-0.01881196974</v>
      </c>
      <c r="CL157" s="207" t="str">
        <f>IFERROR(__xludf.DUMMYFUNCTION("IF(OR(CK157&gt;$BR157+$BS157*$BS$2,CK157&lt;$BR157-$BS157*$BS$2),AVEDEV(ARRAYFORMULA(XLOOKUP(FILTER(INDIRECT(""'""&amp;CK$1&amp;""'!$C$4:$C$66""),INDIRECT(""'""&amp;CK$1&amp;""'!$D$4:$D$66"")=CK$2),$F$3:$BP$3,$F157:$BP157))),"""")"),"")</f>
        <v/>
      </c>
      <c r="CM157" s="251">
        <f>IFERROR(__xludf.DUMMYFUNCTION("AVERAGE(ARRAYFORMULA(XLOOKUP(FILTER(INDIRECT(""'""&amp;CM$1&amp;""'!$C$4:$C$66""),INDIRECT(""'""&amp;CM$1&amp;""'!$D$4:$D$66"")=CM$2),$F$3:$BP$3,$F157:$BP157)))"),0.122200006)</f>
        <v>0.122200006</v>
      </c>
      <c r="CN157" s="207" t="str">
        <f>IFERROR(__xludf.DUMMYFUNCTION("IF(OR(CM157&gt;$BR157+$BS157*$BS$2,CM157&lt;$BR157-$BS157*$BS$2),AVEDEV(ARRAYFORMULA(XLOOKUP(FILTER(INDIRECT(""'""&amp;CM$1&amp;""'!$C$4:$C$66""),INDIRECT(""'""&amp;CM$1&amp;""'!$D$4:$D$66"")=CM$2),$F$3:$BP$3,$F157:$BP157))),"""")"),"")</f>
        <v/>
      </c>
      <c r="CO157" s="252"/>
      <c r="CP157" s="251">
        <f>IFERROR(__xludf.DUMMYFUNCTION("AVERAGE(ARRAYFORMULA(XLOOKUP(FILTER(INDIRECT(""'""&amp;CP$1&amp;""'!$C$4:$C$66""),INDIRECT(""'""&amp;CP$1&amp;""'!$D$4:$D$66"")=CP$2),$F$3:$BP$3,$F157:$BP157)))"),0.13492857000000003)</f>
        <v>0.13492857</v>
      </c>
      <c r="CQ157" s="207" t="str">
        <f>IFERROR(__xludf.DUMMYFUNCTION("IF(OR(CP157&gt;$BR157+$BS157*$BS$2,CP157&lt;$BR157-$BS157*$BS$2),AVEDEV(ARRAYFORMULA(XLOOKUP(FILTER(INDIRECT(""'""&amp;CP$1&amp;""'!$C$4:$C$66""),INDIRECT(""'""&amp;CP$1&amp;""'!$D$4:$D$66"")=CP$2),$F$3:$BP$3,$F157:$BP157))),"""")"),"")</f>
        <v/>
      </c>
      <c r="CR157" s="251">
        <f>IFERROR(__xludf.DUMMYFUNCTION("AVERAGE(ARRAYFORMULA(XLOOKUP(FILTER(INDIRECT(""'""&amp;CR$1&amp;""'!$C$4:$C$66""),INDIRECT(""'""&amp;CR$1&amp;""'!$D$4:$D$66"")=CR$2),$F$3:$BP$3,$F157:$BP157)))"),0.4752963)</f>
        <v>0.4752963</v>
      </c>
      <c r="CS157" s="207" t="str">
        <f>IFERROR(__xludf.DUMMYFUNCTION("IF(OR(CR157&gt;$BR157+$BS157*$BS$2,CR157&lt;$BR157-$BS157*$BS$2),AVEDEV(ARRAYFORMULA(XLOOKUP(FILTER(INDIRECT(""'""&amp;CR$1&amp;""'!$C$4:$C$66""),INDIRECT(""'""&amp;CR$1&amp;""'!$D$4:$D$66"")=CR$2),$F$3:$BP$3,$F157:$BP157))),"""")"),"")</f>
        <v/>
      </c>
      <c r="CT157" s="251">
        <f>IFERROR(__xludf.DUMMYFUNCTION("AVERAGE(ARRAYFORMULA(XLOOKUP(FILTER(INDIRECT(""'""&amp;CT$1&amp;""'!$C$4:$C$66""),INDIRECT(""'""&amp;CT$1&amp;""'!$D$4:$D$66"")=CT$2),$F$3:$BP$3,$F157:$BP157)))"),0.07406060636363639)</f>
        <v>0.07406060636</v>
      </c>
      <c r="CU157" s="207" t="str">
        <f>IFERROR(__xludf.DUMMYFUNCTION("IF(OR(CT157&gt;$BR157+$BS157*$BS$2,CT157&lt;$BR157-$BS157*$BS$2),AVEDEV(ARRAYFORMULA(XLOOKUP(FILTER(INDIRECT(""'""&amp;CT$1&amp;""'!$C$4:$C$66""),INDIRECT(""'""&amp;CT$1&amp;""'!$D$4:$D$66"")=CT$2),$F$3:$BP$3,$F157:$BP157))),"""")"),"")</f>
        <v/>
      </c>
      <c r="CV157" s="251">
        <f>IFERROR(__xludf.DUMMYFUNCTION("AVERAGE(ARRAYFORMULA(XLOOKUP(FILTER(INDIRECT(""'""&amp;CV$1&amp;""'!$C$4:$C$66""),INDIRECT(""'""&amp;CV$1&amp;""'!$D$4:$D$66"")=CV$2),$F$3:$BP$3,$F157:$BP157)))"),0.0)</f>
        <v>0</v>
      </c>
      <c r="CW157" s="207" t="str">
        <f>IFERROR(__xludf.DUMMYFUNCTION("IF(OR(CV157&gt;$BR157+$BS157*$BS$2,CV157&lt;$BR157-$BS157*$BS$2),AVEDEV(ARRAYFORMULA(XLOOKUP(FILTER(INDIRECT(""'""&amp;CV$1&amp;""'!$C$4:$C$66""),INDIRECT(""'""&amp;CV$1&amp;""'!$D$4:$D$66"")=CV$2),$F$3:$BP$3,$F157:$BP157))),"""")"),"")</f>
        <v/>
      </c>
      <c r="CX157" s="251">
        <f>IFERROR(__xludf.DUMMYFUNCTION("AVERAGE(ARRAYFORMULA(XLOOKUP(FILTER(INDIRECT(""'""&amp;CX$1&amp;""'!$C$4:$C$66""),INDIRECT(""'""&amp;CX$1&amp;""'!$D$4:$D$66"")=CX$2),$F$3:$BP$3,$F157:$BP157)))"),-0.14200000928571427)</f>
        <v>-0.1420000093</v>
      </c>
      <c r="CY157" s="207" t="str">
        <f>IFERROR(__xludf.DUMMYFUNCTION("IF(OR(CX157&gt;$BR157+$BS157*$BS$2,CX157&lt;$BR157-$BS157*$BS$2),AVEDEV(ARRAYFORMULA(XLOOKUP(FILTER(INDIRECT(""'""&amp;CX$1&amp;""'!$C$4:$C$66""),INDIRECT(""'""&amp;CX$1&amp;""'!$D$4:$D$66"")=CX$2),$F$3:$BP$3,$F157:$BP157))),"""")"),"")</f>
        <v/>
      </c>
      <c r="CZ157" s="252"/>
      <c r="DA157" s="251">
        <f>IFERROR(__xludf.DUMMYFUNCTION("AVERAGE(ARRAYFORMULA(XLOOKUP(FILTER(INDIRECT(""'""&amp;DA$1&amp;""'!$C$4:$C$66""),INDIRECT(""'""&amp;DA$1&amp;""'!$D$4:$D$66"")=DA$2),$F$3:$BP$3,$F157:$BP157)))"),0.0533222216666667)</f>
        <v>0.05332222167</v>
      </c>
      <c r="DB157" s="207" t="str">
        <f>IFERROR(__xludf.DUMMYFUNCTION("IF(OR(DA157&gt;$BR157+$BS157*$BS$2,DA157&lt;$BR157-$BS157*$BS$2),AVEDEV(ARRAYFORMULA(XLOOKUP(FILTER(INDIRECT(""'""&amp;DA$1&amp;""'!$C$4:$C$66""),INDIRECT(""'""&amp;DA$1&amp;""'!$D$4:$D$66"")=DA$2),$F$3:$BP$3,$F157:$BP157))),"""")"),"")</f>
        <v/>
      </c>
      <c r="DC157" s="251">
        <f>IFERROR(__xludf.DUMMYFUNCTION("AVERAGE(ARRAYFORMULA(XLOOKUP(FILTER(INDIRECT(""'""&amp;DC$1&amp;""'!$C$4:$C$66""),INDIRECT(""'""&amp;DC$1&amp;""'!$D$4:$D$66"")=DC$2),$F$3:$BP$3,$F157:$BP157)))"),0.32714814777777773)</f>
        <v>0.3271481478</v>
      </c>
      <c r="DD157" s="207" t="str">
        <f>IFERROR(__xludf.DUMMYFUNCTION("IF(OR(DC157&gt;$BR157+$BS157*$BS$2,DC157&lt;$BR157-$BS157*$BS$2),AVEDEV(ARRAYFORMULA(XLOOKUP(FILTER(INDIRECT(""'""&amp;DC$1&amp;""'!$C$4:$C$66""),INDIRECT(""'""&amp;DC$1&amp;""'!$D$4:$D$66"")=DC$2),$F$3:$BP$3,$F157:$BP157))),"""")"),"")</f>
        <v/>
      </c>
      <c r="DE157" s="251">
        <f>IFERROR(__xludf.DUMMYFUNCTION("AVERAGE(ARRAYFORMULA(XLOOKUP(FILTER(INDIRECT(""'""&amp;DE$1&amp;""'!$C$4:$C$66""),INDIRECT(""'""&amp;DE$1&amp;""'!$D$4:$D$66"")=DE$2),$F$3:$BP$3,$F157:$BP157)))"),-0.41666668375)</f>
        <v>-0.4166666838</v>
      </c>
      <c r="DF157" s="207">
        <f>IFERROR(__xludf.DUMMYFUNCTION("IF(OR(DE157&gt;$BR157+$BS157*$BS$2,DE157&lt;$BR157-$BS157*$BS$2),AVEDEV(ARRAYFORMULA(XLOOKUP(FILTER(INDIRECT(""'""&amp;DE$1&amp;""'!$C$4:$C$66""),INDIRECT(""'""&amp;DE$1&amp;""'!$D$4:$D$66"")=DE$2),$F$3:$BP$3,$F157:$BP157))),"""")"),0.31250002031249996)</f>
        <v>0.3125000203</v>
      </c>
      <c r="DG157" s="251">
        <f>IFERROR(__xludf.DUMMYFUNCTION("AVERAGE(ARRAYFORMULA(XLOOKUP(FILTER(INDIRECT(""'""&amp;DG$1&amp;""'!$C$4:$C$66""),INDIRECT(""'""&amp;DG$1&amp;""'!$D$4:$D$66"")=DG$2),$F$3:$BP$3,$F157:$BP157)))"),0.17385185666666664)</f>
        <v>0.1738518567</v>
      </c>
      <c r="DH157" s="207" t="str">
        <f>IFERROR(__xludf.DUMMYFUNCTION("IF(OR(DG157&gt;$BR157+$BS157*$BS$2,DG157&lt;$BR157-$BS157*$BS$2),AVEDEV(ARRAYFORMULA(XLOOKUP(FILTER(INDIRECT(""'""&amp;DG$1&amp;""'!$C$4:$C$66""),INDIRECT(""'""&amp;DG$1&amp;""'!$D$4:$D$66"")=DG$2),$F$3:$BP$3,$F157:$BP157))),"""")"),"")</f>
        <v/>
      </c>
      <c r="DI157" s="252"/>
    </row>
    <row r="158">
      <c r="A158" s="2"/>
      <c r="B158" s="204" t="s">
        <v>601</v>
      </c>
      <c r="C158" s="204" t="s">
        <v>602</v>
      </c>
      <c r="D158" s="205" t="b">
        <f>VLOOKUP(C158,'Feature Set List'!A155:C246,2,0)</f>
        <v>1</v>
      </c>
      <c r="E158" s="205" t="b">
        <f>VLOOKUP(C158,'Feature Set List'!A155:C246,3,0)</f>
        <v>1</v>
      </c>
      <c r="F158" s="205">
        <v>0.37037037</v>
      </c>
      <c r="G158" s="205">
        <v>0.09876543</v>
      </c>
      <c r="H158" s="205">
        <v>0.09876543</v>
      </c>
      <c r="I158" s="205">
        <v>0.09876543</v>
      </c>
      <c r="J158" s="205">
        <v>0.83950617</v>
      </c>
      <c r="K158" s="205">
        <v>-1.1358025</v>
      </c>
      <c r="L158" s="205">
        <v>2.69135802</v>
      </c>
      <c r="M158" s="205">
        <v>0.09876543</v>
      </c>
      <c r="N158" s="205">
        <v>0.09876543</v>
      </c>
      <c r="O158" s="205">
        <v>-0.5432099</v>
      </c>
      <c r="P158" s="205">
        <v>0.09876543</v>
      </c>
      <c r="Q158" s="205">
        <v>-0.6419753</v>
      </c>
      <c r="R158" s="205">
        <v>0.09876543</v>
      </c>
      <c r="S158" s="205">
        <v>-1.037037</v>
      </c>
      <c r="T158" s="205">
        <v>0.09876543</v>
      </c>
      <c r="U158" s="205">
        <v>-0.4938272</v>
      </c>
      <c r="V158" s="205">
        <v>0.2962963</v>
      </c>
      <c r="W158" s="205">
        <v>0.69135802</v>
      </c>
      <c r="X158" s="205">
        <v>-0.1481481</v>
      </c>
      <c r="Y158" s="205">
        <v>1.67901235</v>
      </c>
      <c r="Z158" s="205">
        <v>-0.3950617</v>
      </c>
      <c r="AA158" s="205">
        <v>0.79012346</v>
      </c>
      <c r="AB158" s="205">
        <v>0.34567901</v>
      </c>
      <c r="AC158" s="205">
        <v>-0.0987654</v>
      </c>
      <c r="AD158" s="205">
        <v>-1.0617284</v>
      </c>
      <c r="AE158" s="205">
        <v>-0.8395062</v>
      </c>
      <c r="AF158" s="205">
        <v>0.0</v>
      </c>
      <c r="AG158" s="205">
        <v>-1.382716</v>
      </c>
      <c r="AH158" s="205">
        <v>1.45679012</v>
      </c>
      <c r="AI158" s="205">
        <v>0.24691358</v>
      </c>
      <c r="AJ158" s="205">
        <v>-0.962963</v>
      </c>
      <c r="AK158" s="205">
        <v>-0.9382716</v>
      </c>
      <c r="AL158" s="205">
        <v>-0.5925926</v>
      </c>
      <c r="AM158" s="205">
        <v>-0.345679</v>
      </c>
      <c r="AN158" s="205">
        <v>0.09876543</v>
      </c>
      <c r="AO158" s="205">
        <v>0.09876543</v>
      </c>
      <c r="AP158" s="205">
        <v>0.44444444</v>
      </c>
      <c r="AQ158" s="205">
        <v>-1.5061728</v>
      </c>
      <c r="AR158" s="205">
        <v>-0.8888889</v>
      </c>
      <c r="AS158" s="205">
        <v>-0.7407407</v>
      </c>
      <c r="AT158" s="205">
        <v>0.22222222</v>
      </c>
      <c r="AU158" s="205">
        <v>-0.0493827</v>
      </c>
      <c r="AV158" s="205">
        <v>0.34567901</v>
      </c>
      <c r="AW158" s="205">
        <v>-0.8395062</v>
      </c>
      <c r="AX158" s="205">
        <v>-0.2962963</v>
      </c>
      <c r="AY158" s="205">
        <v>0.04938272</v>
      </c>
      <c r="AZ158" s="205">
        <v>-1.4320988</v>
      </c>
      <c r="BA158" s="205">
        <v>0.83950617</v>
      </c>
      <c r="BB158" s="205">
        <v>0.09876543</v>
      </c>
      <c r="BC158" s="205">
        <v>-1.0123457</v>
      </c>
      <c r="BD158" s="205">
        <v>0.09876543</v>
      </c>
      <c r="BE158" s="205">
        <v>-0.5925926</v>
      </c>
      <c r="BF158" s="205">
        <v>-0.7901235</v>
      </c>
      <c r="BG158" s="205">
        <v>-0.0987654</v>
      </c>
      <c r="BH158" s="205">
        <v>-1.0123457</v>
      </c>
      <c r="BI158" s="205">
        <v>2.07407407</v>
      </c>
      <c r="BJ158" s="205">
        <v>-0.5185185</v>
      </c>
      <c r="BK158" s="205">
        <v>-0.8395062</v>
      </c>
      <c r="BL158" s="205">
        <v>0.66666667</v>
      </c>
      <c r="BM158" s="205">
        <v>-1.6296296</v>
      </c>
      <c r="BN158" s="205">
        <v>0.17283951</v>
      </c>
      <c r="BO158" s="205">
        <v>1.43209877</v>
      </c>
      <c r="BP158" s="205">
        <v>-0.345679</v>
      </c>
      <c r="BQ158" s="206"/>
      <c r="BR158" s="250">
        <f t="shared" si="1"/>
        <v>-0.1011169898</v>
      </c>
      <c r="BS158" s="250">
        <f t="shared" si="2"/>
        <v>0.6391011836</v>
      </c>
      <c r="BT158" s="206"/>
      <c r="BU158" s="207">
        <f>IFERROR(__xludf.DUMMYFUNCTION("AVERAGE(ARRAYFORMULA(XLOOKUP(FILTER(INDIRECT(""'""&amp;BU$1&amp;""'!$C$4:$C$66""),INDIRECT(""'""&amp;BU$1&amp;""'!$D$4:$D$66"")=BU$2),$F$3:$BP$3,$F158:$BP158)))"),0.09876542571428573)</f>
        <v>0.09876542571</v>
      </c>
      <c r="BV158" s="207" t="str">
        <f>IFERROR(__xludf.DUMMYFUNCTION("IF(OR(BU158&gt;$BR158+$BS158*$BS$2,BU158&lt;$BR158-$BS158*$BS$2),AVEDEV(ARRAYFORMULA(XLOOKUP(FILTER(INDIRECT(""'""&amp;BU$1&amp;""'!$C$4:$C$66""),INDIRECT(""'""&amp;BU$1&amp;""'!$D$4:$D$66"")=BU$2),$F$3:$BP$3,$F158:$BP158))),"""")"),"")</f>
        <v/>
      </c>
      <c r="BW158" s="207">
        <f>IFERROR(__xludf.DUMMYFUNCTION("AVERAGE(ARRAYFORMULA(XLOOKUP(FILTER(INDIRECT(""'""&amp;BW$1&amp;""'!$C$4:$C$66""),INDIRECT(""'""&amp;BW$1&amp;""'!$D$4:$D$66"")=BW$2),$F$3:$BP$3,$F158:$BP158)))"),-0.126396235)</f>
        <v>-0.126396235</v>
      </c>
      <c r="BX158" s="207" t="str">
        <f>IFERROR(__xludf.DUMMYFUNCTION("IF(OR(BW158&gt;$BR158+$BS158*$BS$2,BW158&lt;$BR158-$BS158*$BS$2),AVEDEV(ARRAYFORMULA(XLOOKUP(FILTER(INDIRECT(""'""&amp;BW$1&amp;""'!$C$4:$C$66""),INDIRECT(""'""&amp;BW$1&amp;""'!$D$4:$D$66"")=BW$2),$F$3:$BP$3,$F158:$BP158))),"""")"),"")</f>
        <v/>
      </c>
      <c r="BY158" s="207">
        <f>IFERROR(__xludf.DUMMYFUNCTION("AVERAGE(ARRAYFORMULA(XLOOKUP(FILTER(INDIRECT(""'""&amp;BY$1&amp;""'!$C$4:$C$66""),INDIRECT(""'""&amp;BY$1&amp;""'!$D$4:$D$66"")=BY$2),$F$3:$BP$3,$F158:$BP158)))"),-0.09652076545454541)</f>
        <v>-0.09652076545</v>
      </c>
      <c r="BZ158" s="207" t="str">
        <f>IFERROR(__xludf.DUMMYFUNCTION("IF(OR(BY158&gt;$BR158+$BS158*$BS$2,BY158&lt;$BR158-$BS158*$BS$2),AVEDEV(ARRAYFORMULA(XLOOKUP(FILTER(INDIRECT(""'""&amp;BY$1&amp;""'!$C$4:$C$66""),INDIRECT(""'""&amp;BY$1&amp;""'!$D$4:$D$66"")=BY$2),$F$3:$BP$3,$F158:$BP158))),"""")"),"")</f>
        <v/>
      </c>
      <c r="CA158" s="209"/>
      <c r="CB158" s="207">
        <f>IFERROR(__xludf.DUMMYFUNCTION("AVERAGE(ARRAYFORMULA(XLOOKUP(FILTER(INDIRECT(""'""&amp;CB$1&amp;""'!$C$4:$C$66""),INDIRECT(""'""&amp;CB$1&amp;""'!$D$4:$D$66"")=CB$2),$F$3:$BP$3,$F158:$BP158)))"),0.03549382250000001)</f>
        <v>0.0354938225</v>
      </c>
      <c r="CC158" s="207" t="str">
        <f>IFERROR(__xludf.DUMMYFUNCTION("IF(OR(CB158&gt;$BR158+$BS158*$BS$2,CB158&lt;$BR158-$BS158*$BS$2),AVEDEV(ARRAYFORMULA(XLOOKUP(FILTER(INDIRECT(""'""&amp;CB$1&amp;""'!$C$4:$C$66""),INDIRECT(""'""&amp;CB$1&amp;""'!$D$4:$D$66"")=CB$2),$F$3:$BP$3,$F158:$BP158))),"""")"),"")</f>
        <v/>
      </c>
      <c r="CD158" s="207">
        <f>IFERROR(__xludf.DUMMYFUNCTION("AVERAGE(ARRAYFORMULA(XLOOKUP(FILTER(INDIRECT(""'""&amp;CD$1&amp;""'!$C$4:$C$66""),INDIRECT(""'""&amp;CD$1&amp;""'!$D$4:$D$66"")=CD$2),$F$3:$BP$3,$F158:$BP158)))"),-0.011947424838709676)</f>
        <v>-0.01194742484</v>
      </c>
      <c r="CE158" s="207" t="str">
        <f>IFERROR(__xludf.DUMMYFUNCTION("IF(OR(CD158&gt;$BR158+$BS158*$BS$2,CD158&lt;$BR158-$BS158*$BS$2),AVEDEV(ARRAYFORMULA(XLOOKUP(FILTER(INDIRECT(""'""&amp;CD$1&amp;""'!$C$4:$C$66""),INDIRECT(""'""&amp;CD$1&amp;""'!$D$4:$D$66"")=CD$2),$F$3:$BP$3,$F158:$BP158))),"""")"),"")</f>
        <v/>
      </c>
      <c r="CF158" s="207">
        <f>IFERROR(__xludf.DUMMYFUNCTION("AVERAGE(ARRAYFORMULA(XLOOKUP(FILTER(INDIRECT(""'""&amp;CF$1&amp;""'!$C$4:$C$66""),INDIRECT(""'""&amp;CF$1&amp;""'!$D$4:$D$66"")=CF$2),$F$3:$BP$3,$F158:$BP158)))"),-0.9382716199999999)</f>
        <v>-0.93827162</v>
      </c>
      <c r="CG158" s="207">
        <f>IFERROR(__xludf.DUMMYFUNCTION("IF(OR(CF158&gt;$BR158+$BS158*$BS$2,CF158&lt;$BR158-$BS158*$BS$2),AVEDEV(ARRAYFORMULA(XLOOKUP(FILTER(INDIRECT(""'""&amp;CF$1&amp;""'!$C$4:$C$66""),INDIRECT(""'""&amp;CF$1&amp;""'!$D$4:$D$66"")=CF$2),$F$3:$BP$3,$F158:$BP158))),"""")"),0.23703702399999993)</f>
        <v>0.237037024</v>
      </c>
      <c r="CH158" s="206"/>
      <c r="CI158" s="251">
        <f>IFERROR(__xludf.DUMMYFUNCTION("AVERAGE(ARRAYFORMULA(XLOOKUP(FILTER(INDIRECT(""'""&amp;CI$1&amp;""'!$C$4:$C$66""),INDIRECT(""'""&amp;CI$1&amp;""'!$D$4:$D$66"")=CI$2),$F$3:$BP$3,$F158:$BP158)))"),0.02962964)</f>
        <v>0.02962964</v>
      </c>
      <c r="CJ158" s="207" t="str">
        <f>IFERROR(__xludf.DUMMYFUNCTION("IF(OR(CI158&gt;$BR158+$BS158*$BS$2,CI158&lt;$BR158-$BS158*$BS$2),AVEDEV(ARRAYFORMULA(XLOOKUP(FILTER(INDIRECT(""'""&amp;CI$1&amp;""'!$C$4:$C$66""),INDIRECT(""'""&amp;CI$1&amp;""'!$D$4:$D$66"")=CI$2),$F$3:$BP$3,$F158:$BP158))),"""")"),"")</f>
        <v/>
      </c>
      <c r="CK158" s="251">
        <f>IFERROR(__xludf.DUMMYFUNCTION("AVERAGE(ARRAYFORMULA(XLOOKUP(FILTER(INDIRECT(""'""&amp;CK$1&amp;""'!$C$4:$C$66""),INDIRECT(""'""&amp;CK$1&amp;""'!$D$4:$D$66"")=CK$2),$F$3:$BP$3,$F158:$BP158)))"),-0.015194682307692303)</f>
        <v>-0.01519468231</v>
      </c>
      <c r="CL158" s="207" t="str">
        <f>IFERROR(__xludf.DUMMYFUNCTION("IF(OR(CK158&gt;$BR158+$BS158*$BS$2,CK158&lt;$BR158-$BS158*$BS$2),AVEDEV(ARRAYFORMULA(XLOOKUP(FILTER(INDIRECT(""'""&amp;CK$1&amp;""'!$C$4:$C$66""),INDIRECT(""'""&amp;CK$1&amp;""'!$D$4:$D$66"")=CK$2),$F$3:$BP$3,$F158:$BP158))),"""")"),"")</f>
        <v/>
      </c>
      <c r="CM158" s="251">
        <f>IFERROR(__xludf.DUMMYFUNCTION("AVERAGE(ARRAYFORMULA(XLOOKUP(FILTER(INDIRECT(""'""&amp;CM$1&amp;""'!$C$4:$C$66""),INDIRECT(""'""&amp;CM$1&amp;""'!$D$4:$D$66"")=CM$2),$F$3:$BP$3,$F158:$BP158)))"),-0.9382716199999999)</f>
        <v>-0.93827162</v>
      </c>
      <c r="CN158" s="207">
        <f>IFERROR(__xludf.DUMMYFUNCTION("IF(OR(CM158&gt;$BR158+$BS158*$BS$2,CM158&lt;$BR158-$BS158*$BS$2),AVEDEV(ARRAYFORMULA(XLOOKUP(FILTER(INDIRECT(""'""&amp;CM$1&amp;""'!$C$4:$C$66""),INDIRECT(""'""&amp;CM$1&amp;""'!$D$4:$D$66"")=CM$2),$F$3:$BP$3,$F158:$BP158))),"""")"),0.23703702399999993)</f>
        <v>0.237037024</v>
      </c>
      <c r="CO158" s="252"/>
      <c r="CP158" s="251">
        <f>IFERROR(__xludf.DUMMYFUNCTION("AVERAGE(ARRAYFORMULA(XLOOKUP(FILTER(INDIRECT(""'""&amp;CP$1&amp;""'!$C$4:$C$66""),INDIRECT(""'""&amp;CP$1&amp;""'!$D$4:$D$66"")=CP$2),$F$3:$BP$3,$F158:$BP158)))"),-0.13756614357142857)</f>
        <v>-0.1375661436</v>
      </c>
      <c r="CQ158" s="207" t="str">
        <f>IFERROR(__xludf.DUMMYFUNCTION("IF(OR(CP158&gt;$BR158+$BS158*$BS$2,CP158&lt;$BR158-$BS158*$BS$2),AVEDEV(ARRAYFORMULA(XLOOKUP(FILTER(INDIRECT(""'""&amp;CP$1&amp;""'!$C$4:$C$66""),INDIRECT(""'""&amp;CP$1&amp;""'!$D$4:$D$66"")=CP$2),$F$3:$BP$3,$F158:$BP158))),"""")"),"")</f>
        <v/>
      </c>
      <c r="CR158" s="251">
        <f>IFERROR(__xludf.DUMMYFUNCTION("AVERAGE(ARRAYFORMULA(XLOOKUP(FILTER(INDIRECT(""'""&amp;CR$1&amp;""'!$C$4:$C$66""),INDIRECT(""'""&amp;CR$1&amp;""'!$D$4:$D$66"")=CR$2),$F$3:$BP$3,$F158:$BP158)))"),-0.19753086777777773)</f>
        <v>-0.1975308678</v>
      </c>
      <c r="CS158" s="207" t="str">
        <f>IFERROR(__xludf.DUMMYFUNCTION("IF(OR(CR158&gt;$BR158+$BS158*$BS$2,CR158&lt;$BR158-$BS158*$BS$2),AVEDEV(ARRAYFORMULA(XLOOKUP(FILTER(INDIRECT(""'""&amp;CR$1&amp;""'!$C$4:$C$66""),INDIRECT(""'""&amp;CR$1&amp;""'!$D$4:$D$66"")=CR$2),$F$3:$BP$3,$F158:$BP158))),"""")"),"")</f>
        <v/>
      </c>
      <c r="CT158" s="251">
        <f>IFERROR(__xludf.DUMMYFUNCTION("AVERAGE(ARRAYFORMULA(XLOOKUP(FILTER(INDIRECT(""'""&amp;CT$1&amp;""'!$C$4:$C$66""),INDIRECT(""'""&amp;CT$1&amp;""'!$D$4:$D$66"")=CT$2),$F$3:$BP$3,$F158:$BP158)))"),-0.2267115518181818)</f>
        <v>-0.2267115518</v>
      </c>
      <c r="CU158" s="207" t="str">
        <f>IFERROR(__xludf.DUMMYFUNCTION("IF(OR(CT158&gt;$BR158+$BS158*$BS$2,CT158&lt;$BR158-$BS158*$BS$2),AVEDEV(ARRAYFORMULA(XLOOKUP(FILTER(INDIRECT(""'""&amp;CT$1&amp;""'!$C$4:$C$66""),INDIRECT(""'""&amp;CT$1&amp;""'!$D$4:$D$66"")=CT$2),$F$3:$BP$3,$F158:$BP158))),"""")"),"")</f>
        <v/>
      </c>
      <c r="CV158" s="251">
        <f>IFERROR(__xludf.DUMMYFUNCTION("AVERAGE(ARRAYFORMULA(XLOOKUP(FILTER(INDIRECT(""'""&amp;CV$1&amp;""'!$C$4:$C$66""),INDIRECT(""'""&amp;CV$1&amp;""'!$D$4:$D$66"")=CV$2),$F$3:$BP$3,$F158:$BP158)))"),-0.0987654)</f>
        <v>-0.0987654</v>
      </c>
      <c r="CW158" s="207" t="str">
        <f>IFERROR(__xludf.DUMMYFUNCTION("IF(OR(CV158&gt;$BR158+$BS158*$BS$2,CV158&lt;$BR158-$BS158*$BS$2),AVEDEV(ARRAYFORMULA(XLOOKUP(FILTER(INDIRECT(""'""&amp;CV$1&amp;""'!$C$4:$C$66""),INDIRECT(""'""&amp;CV$1&amp;""'!$D$4:$D$66"")=CV$2),$F$3:$BP$3,$F158:$BP158))),"""")"),"")</f>
        <v/>
      </c>
      <c r="CX158" s="251">
        <f>IFERROR(__xludf.DUMMYFUNCTION("AVERAGE(ARRAYFORMULA(XLOOKUP(FILTER(INDIRECT(""'""&amp;CX$1&amp;""'!$C$4:$C$66""),INDIRECT(""'""&amp;CX$1&amp;""'!$D$4:$D$66"")=CX$2),$F$3:$BP$3,$F158:$BP158)))"),-0.042328038571428576)</f>
        <v>-0.04232803857</v>
      </c>
      <c r="CY158" s="207" t="str">
        <f>IFERROR(__xludf.DUMMYFUNCTION("IF(OR(CX158&gt;$BR158+$BS158*$BS$2,CX158&lt;$BR158-$BS158*$BS$2),AVEDEV(ARRAYFORMULA(XLOOKUP(FILTER(INDIRECT(""'""&amp;CX$1&amp;""'!$C$4:$C$66""),INDIRECT(""'""&amp;CX$1&amp;""'!$D$4:$D$66"")=CX$2),$F$3:$BP$3,$F158:$BP158))),"""")"),"")</f>
        <v/>
      </c>
      <c r="CZ158" s="252"/>
      <c r="DA158" s="251">
        <f>IFERROR(__xludf.DUMMYFUNCTION("AVERAGE(ARRAYFORMULA(XLOOKUP(FILTER(INDIRECT(""'""&amp;DA$1&amp;""'!$C$4:$C$66""),INDIRECT(""'""&amp;DA$1&amp;""'!$D$4:$D$66"")=DA$2),$F$3:$BP$3,$F158:$BP158)))"),0.018930039000000003)</f>
        <v>0.018930039</v>
      </c>
      <c r="DB158" s="207" t="str">
        <f>IFERROR(__xludf.DUMMYFUNCTION("IF(OR(DA158&gt;$BR158+$BS158*$BS$2,DA158&lt;$BR158-$BS158*$BS$2),AVEDEV(ARRAYFORMULA(XLOOKUP(FILTER(INDIRECT(""'""&amp;DA$1&amp;""'!$C$4:$C$66""),INDIRECT(""'""&amp;DA$1&amp;""'!$D$4:$D$66"")=DA$2),$F$3:$BP$3,$F158:$BP158))),"""")"),"")</f>
        <v/>
      </c>
      <c r="DC158" s="251">
        <f>IFERROR(__xludf.DUMMYFUNCTION("AVERAGE(ARRAYFORMULA(XLOOKUP(FILTER(INDIRECT(""'""&amp;DC$1&amp;""'!$C$4:$C$66""),INDIRECT(""'""&amp;DC$1&amp;""'!$D$4:$D$66"")=DC$2),$F$3:$BP$3,$F158:$BP158)))"),-0.019204393333333285)</f>
        <v>-0.01920439333</v>
      </c>
      <c r="DD158" s="207" t="str">
        <f>IFERROR(__xludf.DUMMYFUNCTION("IF(OR(DC158&gt;$BR158+$BS158*$BS$2,DC158&lt;$BR158-$BS158*$BS$2),AVEDEV(ARRAYFORMULA(XLOOKUP(FILTER(INDIRECT(""'""&amp;DC$1&amp;""'!$C$4:$C$66""),INDIRECT(""'""&amp;DC$1&amp;""'!$D$4:$D$66"")=DC$2),$F$3:$BP$3,$F158:$BP158))),"""")"),"")</f>
        <v/>
      </c>
      <c r="DE158" s="251">
        <f>IFERROR(__xludf.DUMMYFUNCTION("AVERAGE(ARRAYFORMULA(XLOOKUP(FILTER(INDIRECT(""'""&amp;DE$1&amp;""'!$C$4:$C$66""),INDIRECT(""'""&amp;DE$1&amp;""'!$D$4:$D$66"")=DE$2),$F$3:$BP$3,$F158:$BP158)))"),-0.09259258875000001)</f>
        <v>-0.09259258875</v>
      </c>
      <c r="DF158" s="207" t="str">
        <f>IFERROR(__xludf.DUMMYFUNCTION("IF(OR(DE158&gt;$BR158+$BS158*$BS$2,DE158&lt;$BR158-$BS158*$BS$2),AVEDEV(ARRAYFORMULA(XLOOKUP(FILTER(INDIRECT(""'""&amp;DE$1&amp;""'!$C$4:$C$66""),INDIRECT(""'""&amp;DE$1&amp;""'!$D$4:$D$66"")=DE$2),$F$3:$BP$3,$F158:$BP158))),"""")"),"")</f>
        <v/>
      </c>
      <c r="DG158" s="251">
        <f>IFERROR(__xludf.DUMMYFUNCTION("AVERAGE(ARRAYFORMULA(XLOOKUP(FILTER(INDIRECT(""'""&amp;DG$1&amp;""'!$C$4:$C$66""),INDIRECT(""'""&amp;DG$1&amp;""'!$D$4:$D$66"")=DG$2),$F$3:$BP$3,$F158:$BP158)))"),-0.4197530755555556)</f>
        <v>-0.4197530756</v>
      </c>
      <c r="DH158" s="207" t="str">
        <f>IFERROR(__xludf.DUMMYFUNCTION("IF(OR(DG158&gt;$BR158+$BS158*$BS$2,DG158&lt;$BR158-$BS158*$BS$2),AVEDEV(ARRAYFORMULA(XLOOKUP(FILTER(INDIRECT(""'""&amp;DG$1&amp;""'!$C$4:$C$66""),INDIRECT(""'""&amp;DG$1&amp;""'!$D$4:$D$66"")=DG$2),$F$3:$BP$3,$F158:$BP158))),"""")"),"")</f>
        <v/>
      </c>
      <c r="DI158" s="252"/>
    </row>
    <row r="159">
      <c r="A159" s="2"/>
      <c r="B159" s="204" t="s">
        <v>601</v>
      </c>
      <c r="C159" s="204" t="s">
        <v>603</v>
      </c>
      <c r="D159" s="205" t="b">
        <f>VLOOKUP(C159,'Feature Set List'!A156:C246,2,0)</f>
        <v>1</v>
      </c>
      <c r="E159" s="205" t="b">
        <f>VLOOKUP(C159,'Feature Set List'!A156:C246,3,0)</f>
        <v>1</v>
      </c>
      <c r="F159" s="205">
        <v>0.60215587</v>
      </c>
      <c r="G159" s="205">
        <v>-0.3972246</v>
      </c>
      <c r="H159" s="205">
        <v>0.32957502</v>
      </c>
      <c r="I159" s="205">
        <v>1.44220047</v>
      </c>
      <c r="J159" s="205">
        <v>-1.0083013</v>
      </c>
      <c r="K159" s="205">
        <v>-0.5181514</v>
      </c>
      <c r="L159" s="205">
        <v>2.93148309</v>
      </c>
      <c r="M159" s="205">
        <v>0.33948705</v>
      </c>
      <c r="N159" s="205">
        <v>-0.5964564</v>
      </c>
      <c r="O159" s="205">
        <v>1.10271342</v>
      </c>
      <c r="P159" s="205">
        <v>-0.7136662</v>
      </c>
      <c r="Q159" s="205">
        <v>-0.4138273</v>
      </c>
      <c r="R159" s="205">
        <v>-0.7183744</v>
      </c>
      <c r="S159" s="205">
        <v>-0.8103085</v>
      </c>
      <c r="T159" s="205">
        <v>0.20071862</v>
      </c>
      <c r="U159" s="205">
        <v>-0.2651468</v>
      </c>
      <c r="V159" s="205">
        <v>0.52781564</v>
      </c>
      <c r="W159" s="205">
        <v>0.91438483</v>
      </c>
      <c r="X159" s="205">
        <v>0.08177425</v>
      </c>
      <c r="Y159" s="205">
        <v>1.91549994</v>
      </c>
      <c r="Z159" s="205">
        <v>-0.0223021</v>
      </c>
      <c r="AA159" s="205">
        <v>0.06690621</v>
      </c>
      <c r="AB159" s="205">
        <v>0.57737579</v>
      </c>
      <c r="AC159" s="205">
        <v>0.13133441</v>
      </c>
      <c r="AD159" s="205">
        <v>0.0</v>
      </c>
      <c r="AE159" s="205">
        <v>-0.6217321</v>
      </c>
      <c r="AF159" s="205">
        <v>0.24284475</v>
      </c>
      <c r="AG159" s="205">
        <v>0.64923801</v>
      </c>
      <c r="AH159" s="205">
        <v>1.69247925</v>
      </c>
      <c r="AI159" s="205">
        <v>0.47825548</v>
      </c>
      <c r="AJ159" s="205">
        <v>-0.7359683</v>
      </c>
      <c r="AK159" s="205">
        <v>-0.7111882</v>
      </c>
      <c r="AL159" s="205">
        <v>-0.3642671</v>
      </c>
      <c r="AM159" s="205">
        <v>-0.1164664</v>
      </c>
      <c r="AN159" s="205">
        <v>-0.4985751</v>
      </c>
      <c r="AO159" s="205">
        <v>0.39400322</v>
      </c>
      <c r="AP159" s="205">
        <v>0.6764961</v>
      </c>
      <c r="AQ159" s="205">
        <v>-1.2845992</v>
      </c>
      <c r="AR159" s="205">
        <v>-0.6616281</v>
      </c>
      <c r="AS159" s="205">
        <v>-0.5553215</v>
      </c>
      <c r="AT159" s="205">
        <v>-0.2725808</v>
      </c>
      <c r="AU159" s="205">
        <v>0.18089456</v>
      </c>
      <c r="AV159" s="205">
        <v>0.55011771</v>
      </c>
      <c r="AW159" s="205">
        <v>-0.6494858</v>
      </c>
      <c r="AX159" s="205">
        <v>-0.0669062</v>
      </c>
      <c r="AY159" s="205">
        <v>0.28001487</v>
      </c>
      <c r="AZ159" s="205">
        <v>0.03469211</v>
      </c>
      <c r="BA159" s="205">
        <v>1.40503036</v>
      </c>
      <c r="BB159" s="205">
        <v>-0.4708215</v>
      </c>
      <c r="BC159" s="205">
        <v>-0.7855284</v>
      </c>
      <c r="BD159" s="205">
        <v>0.32957502</v>
      </c>
      <c r="BE159" s="205">
        <v>-0.2775369</v>
      </c>
      <c r="BF159" s="205">
        <v>-0.5625077</v>
      </c>
      <c r="BG159" s="205">
        <v>0.13133441</v>
      </c>
      <c r="BH159" s="205">
        <v>-0.7855284</v>
      </c>
      <c r="BI159" s="205">
        <v>0.20071862</v>
      </c>
      <c r="BJ159" s="205">
        <v>-0.2995911</v>
      </c>
      <c r="BK159" s="205">
        <v>-0.6120679</v>
      </c>
      <c r="BL159" s="205">
        <v>0.89951679</v>
      </c>
      <c r="BM159" s="205">
        <v>-0.8886136</v>
      </c>
      <c r="BN159" s="205">
        <v>0.40391525</v>
      </c>
      <c r="BO159" s="205">
        <v>1.66769917</v>
      </c>
      <c r="BP159" s="205">
        <v>-0.1164664</v>
      </c>
      <c r="BQ159" s="206"/>
      <c r="BR159" s="250">
        <f t="shared" si="1"/>
        <v>0.07268429508</v>
      </c>
      <c r="BS159" s="250">
        <f t="shared" si="2"/>
        <v>0.6085970607</v>
      </c>
      <c r="BT159" s="206"/>
      <c r="BU159" s="207">
        <f>IFERROR(__xludf.DUMMYFUNCTION("AVERAGE(ARRAYFORMULA(XLOOKUP(FILTER(INDIRECT(""'""&amp;BU$1&amp;""'!$C$4:$C$66""),INDIRECT(""'""&amp;BU$1&amp;""'!$D$4:$D$66"")=BU$2),$F$3:$BP$3,$F159:$BP159)))"),0.23887994714285712)</f>
        <v>0.2388799471</v>
      </c>
      <c r="BV159" s="207" t="str">
        <f>IFERROR(__xludf.DUMMYFUNCTION("IF(OR(BU159&gt;$BR159+$BS159*$BS$2,BU159&lt;$BR159-$BS159*$BS$2),AVEDEV(ARRAYFORMULA(XLOOKUP(FILTER(INDIRECT(""'""&amp;BU$1&amp;""'!$C$4:$C$66""),INDIRECT(""'""&amp;BU$1&amp;""'!$D$4:$D$66"")=BU$2),$F$3:$BP$3,$F159:$BP159))),"""")"),"")</f>
        <v/>
      </c>
      <c r="BW159" s="207">
        <f>IFERROR(__xludf.DUMMYFUNCTION("AVERAGE(ARRAYFORMULA(XLOOKUP(FILTER(INDIRECT(""'""&amp;BW$1&amp;""'!$C$4:$C$66""),INDIRECT(""'""&amp;BW$1&amp;""'!$D$4:$D$66"")=BW$2),$F$3:$BP$3,$F159:$BP159)))"),-0.020821164285714292)</f>
        <v>-0.02082116429</v>
      </c>
      <c r="BX159" s="207" t="str">
        <f>IFERROR(__xludf.DUMMYFUNCTION("IF(OR(BW159&gt;$BR159+$BS159*$BS$2,BW159&lt;$BR159-$BS159*$BS$2),AVEDEV(ARRAYFORMULA(XLOOKUP(FILTER(INDIRECT(""'""&amp;BW$1&amp;""'!$C$4:$C$66""),INDIRECT(""'""&amp;BW$1&amp;""'!$D$4:$D$66"")=BW$2),$F$3:$BP$3,$F159:$BP159))),"""")"),"")</f>
        <v/>
      </c>
      <c r="BY159" s="207">
        <f>IFERROR(__xludf.DUMMYFUNCTION("AVERAGE(ARRAYFORMULA(XLOOKUP(FILTER(INDIRECT(""'""&amp;BY$1&amp;""'!$C$4:$C$66""),INDIRECT(""'""&amp;BY$1&amp;""'!$D$4:$D$66"")=BY$2),$F$3:$BP$3,$F159:$BP159)))"),0.40999763999999994)</f>
        <v>0.40999764</v>
      </c>
      <c r="BZ159" s="207" t="str">
        <f>IFERROR(__xludf.DUMMYFUNCTION("IF(OR(BY159&gt;$BR159+$BS159*$BS$2,BY159&lt;$BR159-$BS159*$BS$2),AVEDEV(ARRAYFORMULA(XLOOKUP(FILTER(INDIRECT(""'""&amp;BY$1&amp;""'!$C$4:$C$66""),INDIRECT(""'""&amp;BY$1&amp;""'!$D$4:$D$66"")=BY$2),$F$3:$BP$3,$F159:$BP159))),"""")"),"")</f>
        <v/>
      </c>
      <c r="CA159" s="209"/>
      <c r="CB159" s="207">
        <f>IFERROR(__xludf.DUMMYFUNCTION("AVERAGE(ARRAYFORMULA(XLOOKUP(FILTER(INDIRECT(""'""&amp;CB$1&amp;""'!$C$4:$C$66""),INDIRECT(""'""&amp;CB$1&amp;""'!$D$4:$D$66"")=CB$2),$F$3:$BP$3,$F159:$BP159)))"),0.231492383125)</f>
        <v>0.2314923831</v>
      </c>
      <c r="CC159" s="207" t="str">
        <f>IFERROR(__xludf.DUMMYFUNCTION("IF(OR(CB159&gt;$BR159+$BS159*$BS$2,CB159&lt;$BR159-$BS159*$BS$2),AVEDEV(ARRAYFORMULA(XLOOKUP(FILTER(INDIRECT(""'""&amp;CB$1&amp;""'!$C$4:$C$66""),INDIRECT(""'""&amp;CB$1&amp;""'!$D$4:$D$66"")=CB$2),$F$3:$BP$3,$F159:$BP159))),"""")"),"")</f>
        <v/>
      </c>
      <c r="CD159" s="207">
        <f>IFERROR(__xludf.DUMMYFUNCTION("AVERAGE(ARRAYFORMULA(XLOOKUP(FILTER(INDIRECT(""'""&amp;CD$1&amp;""'!$C$4:$C$66""),INDIRECT(""'""&amp;CD$1&amp;""'!$D$4:$D$66"")=CD$2),$F$3:$BP$3,$F159:$BP159)))"),0.08792131193548386)</f>
        <v>0.08792131194</v>
      </c>
      <c r="CE159" s="207" t="str">
        <f>IFERROR(__xludf.DUMMYFUNCTION("IF(OR(CD159&gt;$BR159+$BS159*$BS$2,CD159&lt;$BR159-$BS159*$BS$2),AVEDEV(ARRAYFORMULA(XLOOKUP(FILTER(INDIRECT(""'""&amp;CD$1&amp;""'!$C$4:$C$66""),INDIRECT(""'""&amp;CD$1&amp;""'!$D$4:$D$66"")=CD$2),$F$3:$BP$3,$F159:$BP159))),"""")"),"")</f>
        <v/>
      </c>
      <c r="CF159" s="207">
        <f>IFERROR(__xludf.DUMMYFUNCTION("AVERAGE(ARRAYFORMULA(XLOOKUP(FILTER(INDIRECT(""'""&amp;CF$1&amp;""'!$C$4:$C$66""),INDIRECT(""'""&amp;CF$1&amp;""'!$D$4:$D$66"")=CF$2),$F$3:$BP$3,$F159:$BP159)))"),-0.17940775400000003)</f>
        <v>-0.179407754</v>
      </c>
      <c r="CG159" s="207" t="str">
        <f>IFERROR(__xludf.DUMMYFUNCTION("IF(OR(CF159&gt;$BR159+$BS159*$BS$2,CF159&lt;$BR159-$BS159*$BS$2),AVEDEV(ARRAYFORMULA(XLOOKUP(FILTER(INDIRECT(""'""&amp;CF$1&amp;""'!$C$4:$C$66""),INDIRECT(""'""&amp;CF$1&amp;""'!$D$4:$D$66"")=CF$2),$F$3:$BP$3,$F159:$BP159))),"""")"),"")</f>
        <v/>
      </c>
      <c r="CH159" s="206"/>
      <c r="CI159" s="251">
        <f>IFERROR(__xludf.DUMMYFUNCTION("AVERAGE(ARRAYFORMULA(XLOOKUP(FILTER(INDIRECT(""'""&amp;CI$1&amp;""'!$C$4:$C$66""),INDIRECT(""'""&amp;CI$1&amp;""'!$D$4:$D$66"")=CI$2),$F$3:$BP$3,$F159:$BP159)))"),0.39283029666666663)</f>
        <v>0.3928302967</v>
      </c>
      <c r="CJ159" s="207" t="str">
        <f>IFERROR(__xludf.DUMMYFUNCTION("IF(OR(CI159&gt;$BR159+$BS159*$BS$2,CI159&lt;$BR159-$BS159*$BS$2),AVEDEV(ARRAYFORMULA(XLOOKUP(FILTER(INDIRECT(""'""&amp;CI$1&amp;""'!$C$4:$C$66""),INDIRECT(""'""&amp;CI$1&amp;""'!$D$4:$D$66"")=CI$2),$F$3:$BP$3,$F159:$BP159))),"""")"),"")</f>
        <v/>
      </c>
      <c r="CK159" s="251">
        <f>IFERROR(__xludf.DUMMYFUNCTION("AVERAGE(ARRAYFORMULA(XLOOKUP(FILTER(INDIRECT(""'""&amp;CK$1&amp;""'!$C$4:$C$66""),INDIRECT(""'""&amp;CK$1&amp;""'!$D$4:$D$66"")=CK$2),$F$3:$BP$3,$F159:$BP159)))"),0.023699922820512816)</f>
        <v>0.02369992282</v>
      </c>
      <c r="CL159" s="207" t="str">
        <f>IFERROR(__xludf.DUMMYFUNCTION("IF(OR(CK159&gt;$BR159+$BS159*$BS$2,CK159&lt;$BR159-$BS159*$BS$2),AVEDEV(ARRAYFORMULA(XLOOKUP(FILTER(INDIRECT(""'""&amp;CK$1&amp;""'!$C$4:$C$66""),INDIRECT(""'""&amp;CK$1&amp;""'!$D$4:$D$66"")=CK$2),$F$3:$BP$3,$F159:$BP159))),"""")"),"")</f>
        <v/>
      </c>
      <c r="CM159" s="251">
        <f>IFERROR(__xludf.DUMMYFUNCTION("AVERAGE(ARRAYFORMULA(XLOOKUP(FILTER(INDIRECT(""'""&amp;CM$1&amp;""'!$C$4:$C$66""),INDIRECT(""'""&amp;CM$1&amp;""'!$D$4:$D$66"")=CM$2),$F$3:$BP$3,$F159:$BP159)))"),-0.17940775400000003)</f>
        <v>-0.179407754</v>
      </c>
      <c r="CN159" s="207" t="str">
        <f>IFERROR(__xludf.DUMMYFUNCTION("IF(OR(CM159&gt;$BR159+$BS159*$BS$2,CM159&lt;$BR159-$BS159*$BS$2),AVEDEV(ARRAYFORMULA(XLOOKUP(FILTER(INDIRECT(""'""&amp;CM$1&amp;""'!$C$4:$C$66""),INDIRECT(""'""&amp;CM$1&amp;""'!$D$4:$D$66"")=CM$2),$F$3:$BP$3,$F159:$BP159))),"""")"),"")</f>
        <v/>
      </c>
      <c r="CO159" s="252"/>
      <c r="CP159" s="251">
        <f>IFERROR(__xludf.DUMMYFUNCTION("AVERAGE(ARRAYFORMULA(XLOOKUP(FILTER(INDIRECT(""'""&amp;CP$1&amp;""'!$C$4:$C$66""),INDIRECT(""'""&amp;CP$1&amp;""'!$D$4:$D$66"")=CP$2),$F$3:$BP$3,$F159:$BP159)))"),0.18935518928571432)</f>
        <v>0.1893551893</v>
      </c>
      <c r="CQ159" s="207" t="str">
        <f>IFERROR(__xludf.DUMMYFUNCTION("IF(OR(CP159&gt;$BR159+$BS159*$BS$2,CP159&lt;$BR159-$BS159*$BS$2),AVEDEV(ARRAYFORMULA(XLOOKUP(FILTER(INDIRECT(""'""&amp;CP$1&amp;""'!$C$4:$C$66""),INDIRECT(""'""&amp;CP$1&amp;""'!$D$4:$D$66"")=CP$2),$F$3:$BP$3,$F159:$BP159))),"""")"),"")</f>
        <v/>
      </c>
      <c r="CR159" s="251">
        <f>IFERROR(__xludf.DUMMYFUNCTION("AVERAGE(ARRAYFORMULA(XLOOKUP(FILTER(INDIRECT(""'""&amp;CR$1&amp;""'!$C$4:$C$66""),INDIRECT(""'""&amp;CR$1&amp;""'!$D$4:$D$66"")=CR$2),$F$3:$BP$3,$F159:$BP159)))"),0.3700491533333333)</f>
        <v>0.3700491533</v>
      </c>
      <c r="CS159" s="207" t="str">
        <f>IFERROR(__xludf.DUMMYFUNCTION("IF(OR(CR159&gt;$BR159+$BS159*$BS$2,CR159&lt;$BR159-$BS159*$BS$2),AVEDEV(ARRAYFORMULA(XLOOKUP(FILTER(INDIRECT(""'""&amp;CR$1&amp;""'!$C$4:$C$66""),INDIRECT(""'""&amp;CR$1&amp;""'!$D$4:$D$66"")=CR$2),$F$3:$BP$3,$F159:$BP159))),"""")"),"")</f>
        <v/>
      </c>
      <c r="CT159" s="251">
        <f>IFERROR(__xludf.DUMMYFUNCTION("AVERAGE(ARRAYFORMULA(XLOOKUP(FILTER(INDIRECT(""'""&amp;CT$1&amp;""'!$C$4:$C$66""),INDIRECT(""'""&amp;CT$1&amp;""'!$D$4:$D$66"")=CT$2),$F$3:$BP$3,$F159:$BP159)))"),-0.005857100909090903)</f>
        <v>-0.005857100909</v>
      </c>
      <c r="CU159" s="207" t="str">
        <f>IFERROR(__xludf.DUMMYFUNCTION("IF(OR(CT159&gt;$BR159+$BS159*$BS$2,CT159&lt;$BR159-$BS159*$BS$2),AVEDEV(ARRAYFORMULA(XLOOKUP(FILTER(INDIRECT(""'""&amp;CT$1&amp;""'!$C$4:$C$66""),INDIRECT(""'""&amp;CT$1&amp;""'!$D$4:$D$66"")=CT$2),$F$3:$BP$3,$F159:$BP159))),"""")"),"")</f>
        <v/>
      </c>
      <c r="CV159" s="251">
        <f>IFERROR(__xludf.DUMMYFUNCTION("AVERAGE(ARRAYFORMULA(XLOOKUP(FILTER(INDIRECT(""'""&amp;CV$1&amp;""'!$C$4:$C$66""),INDIRECT(""'""&amp;CV$1&amp;""'!$D$4:$D$66"")=CV$2),$F$3:$BP$3,$F159:$BP159)))"),0.13133441)</f>
        <v>0.13133441</v>
      </c>
      <c r="CW159" s="207" t="str">
        <f>IFERROR(__xludf.DUMMYFUNCTION("IF(OR(CV159&gt;$BR159+$BS159*$BS$2,CV159&lt;$BR159-$BS159*$BS$2),AVEDEV(ARRAYFORMULA(XLOOKUP(FILTER(INDIRECT(""'""&amp;CV$1&amp;""'!$C$4:$C$66""),INDIRECT(""'""&amp;CV$1&amp;""'!$D$4:$D$66"")=CV$2),$F$3:$BP$3,$F159:$BP159))),"""")"),"")</f>
        <v/>
      </c>
      <c r="CX159" s="251">
        <f>IFERROR(__xludf.DUMMYFUNCTION("AVERAGE(ARRAYFORMULA(XLOOKUP(FILTER(INDIRECT(""'""&amp;CX$1&amp;""'!$C$4:$C$66""),INDIRECT(""'""&amp;CX$1&amp;""'!$D$4:$D$66"")=CX$2),$F$3:$BP$3,$F159:$BP159)))"),-0.1266969992857143)</f>
        <v>-0.1266969993</v>
      </c>
      <c r="CY159" s="207" t="str">
        <f>IFERROR(__xludf.DUMMYFUNCTION("IF(OR(CX159&gt;$BR159+$BS159*$BS$2,CX159&lt;$BR159-$BS159*$BS$2),AVEDEV(ARRAYFORMULA(XLOOKUP(FILTER(INDIRECT(""'""&amp;CX$1&amp;""'!$C$4:$C$66""),INDIRECT(""'""&amp;CX$1&amp;""'!$D$4:$D$66"")=CX$2),$F$3:$BP$3,$F159:$BP159))),"""")"),"")</f>
        <v/>
      </c>
      <c r="CZ159" s="252"/>
      <c r="DA159" s="251">
        <f>IFERROR(__xludf.DUMMYFUNCTION("AVERAGE(ARRAYFORMULA(XLOOKUP(FILTER(INDIRECT(""'""&amp;DA$1&amp;""'!$C$4:$C$66""),INDIRECT(""'""&amp;DA$1&amp;""'!$D$4:$D$66"")=DA$2),$F$3:$BP$3,$F159:$BP159)))"),0.13114442866666662)</f>
        <v>0.1311444287</v>
      </c>
      <c r="DB159" s="207" t="str">
        <f>IFERROR(__xludf.DUMMYFUNCTION("IF(OR(DA159&gt;$BR159+$BS159*$BS$2,DA159&lt;$BR159-$BS159*$BS$2),AVEDEV(ARRAYFORMULA(XLOOKUP(FILTER(INDIRECT(""'""&amp;DA$1&amp;""'!$C$4:$C$66""),INDIRECT(""'""&amp;DA$1&amp;""'!$D$4:$D$66"")=DA$2),$F$3:$BP$3,$F159:$BP159))),"""")"),"")</f>
        <v/>
      </c>
      <c r="DC159" s="251">
        <f>IFERROR(__xludf.DUMMYFUNCTION("AVERAGE(ARRAYFORMULA(XLOOKUP(FILTER(INDIRECT(""'""&amp;DC$1&amp;""'!$C$4:$C$66""),INDIRECT(""'""&amp;DC$1&amp;""'!$D$4:$D$66"")=DC$2),$F$3:$BP$3,$F159:$BP159)))"),0.5500901755555555)</f>
        <v>0.5500901756</v>
      </c>
      <c r="DD159" s="207" t="str">
        <f>IFERROR(__xludf.DUMMYFUNCTION("IF(OR(DC159&gt;$BR159+$BS159*$BS$2,DC159&lt;$BR159-$BS159*$BS$2),AVEDEV(ARRAYFORMULA(XLOOKUP(FILTER(INDIRECT(""'""&amp;DC$1&amp;""'!$C$4:$C$66""),INDIRECT(""'""&amp;DC$1&amp;""'!$D$4:$D$66"")=DC$2),$F$3:$BP$3,$F159:$BP159))),"""")"),"")</f>
        <v/>
      </c>
      <c r="DE159" s="251">
        <f>IFERROR(__xludf.DUMMYFUNCTION("AVERAGE(ARRAYFORMULA(XLOOKUP(FILTER(INDIRECT(""'""&amp;DE$1&amp;""'!$C$4:$C$66""),INDIRECT(""'""&amp;DE$1&amp;""'!$D$4:$D$66"")=DE$2),$F$3:$BP$3,$F159:$BP159)))"),-0.10735967875000002)</f>
        <v>-0.1073596788</v>
      </c>
      <c r="DF159" s="207" t="str">
        <f>IFERROR(__xludf.DUMMYFUNCTION("IF(OR(DE159&gt;$BR159+$BS159*$BS$2,DE159&lt;$BR159-$BS159*$BS$2),AVEDEV(ARRAYFORMULA(XLOOKUP(FILTER(INDIRECT(""'""&amp;DE$1&amp;""'!$C$4:$C$66""),INDIRECT(""'""&amp;DE$1&amp;""'!$D$4:$D$66"")=DE$2),$F$3:$BP$3,$F159:$BP159))),"""")"),"")</f>
        <v/>
      </c>
      <c r="DG159" s="251">
        <f>IFERROR(__xludf.DUMMYFUNCTION("AVERAGE(ARRAYFORMULA(XLOOKUP(FILTER(INDIRECT(""'""&amp;DG$1&amp;""'!$C$4:$C$66""),INDIRECT(""'""&amp;DG$1&amp;""'!$D$4:$D$66"")=DG$2),$F$3:$BP$3,$F159:$BP159)))"),-0.13752942999999998)</f>
        <v>-0.13752943</v>
      </c>
      <c r="DH159" s="207" t="str">
        <f>IFERROR(__xludf.DUMMYFUNCTION("IF(OR(DG159&gt;$BR159+$BS159*$BS$2,DG159&lt;$BR159-$BS159*$BS$2),AVEDEV(ARRAYFORMULA(XLOOKUP(FILTER(INDIRECT(""'""&amp;DG$1&amp;""'!$C$4:$C$66""),INDIRECT(""'""&amp;DG$1&amp;""'!$D$4:$D$66"")=DG$2),$F$3:$BP$3,$F159:$BP159))),"""")"),"")</f>
        <v/>
      </c>
      <c r="DI159" s="252"/>
    </row>
    <row r="160">
      <c r="A160" s="2"/>
      <c r="B160" s="204" t="s">
        <v>601</v>
      </c>
      <c r="C160" s="204" t="s">
        <v>604</v>
      </c>
      <c r="D160" s="205" t="b">
        <f>VLOOKUP(C160,'Feature Set List'!A157:C246,2,0)</f>
        <v>1</v>
      </c>
      <c r="E160" s="205" t="b">
        <f>VLOOKUP(C160,'Feature Set List'!A157:C246,3,0)</f>
        <v>1</v>
      </c>
      <c r="F160" s="215">
        <v>-5.27E-7</v>
      </c>
      <c r="G160" s="205">
        <v>0.06332429</v>
      </c>
      <c r="H160" s="215">
        <v>-5.27E-7</v>
      </c>
      <c r="I160" s="205">
        <v>1.30842576</v>
      </c>
      <c r="J160" s="205">
        <v>3.25628223</v>
      </c>
      <c r="K160" s="205">
        <v>3.58016343</v>
      </c>
      <c r="L160" s="215">
        <v>-5.27E-7</v>
      </c>
      <c r="M160" s="205">
        <v>2.27388739</v>
      </c>
      <c r="N160" s="205">
        <v>1.63150062</v>
      </c>
      <c r="O160" s="205">
        <v>2.43784385</v>
      </c>
      <c r="P160" s="205">
        <v>0.86964065</v>
      </c>
      <c r="Q160" s="215">
        <v>-5.27E-7</v>
      </c>
      <c r="R160" s="205">
        <v>0.90135682</v>
      </c>
      <c r="S160" s="215">
        <v>-5.27E-7</v>
      </c>
      <c r="T160" s="205">
        <v>0.21341165</v>
      </c>
      <c r="U160" s="215">
        <v>-5.27E-7</v>
      </c>
      <c r="V160" s="215">
        <v>-5.27E-7</v>
      </c>
      <c r="W160" s="205">
        <v>0.46042146</v>
      </c>
      <c r="X160" s="215">
        <v>-5.27E-7</v>
      </c>
      <c r="Y160" s="215">
        <v>-5.27E-7</v>
      </c>
      <c r="Z160" s="205">
        <v>2.06020643</v>
      </c>
      <c r="AA160" s="205">
        <v>0.49724447</v>
      </c>
      <c r="AB160" s="205">
        <v>0.0</v>
      </c>
      <c r="AC160" s="215">
        <v>-5.27E-7</v>
      </c>
      <c r="AD160" s="205">
        <v>5.04905202</v>
      </c>
      <c r="AE160" s="205">
        <v>0.24526221</v>
      </c>
      <c r="AF160" s="205">
        <v>0.71589787</v>
      </c>
      <c r="AG160" s="205">
        <v>0.92702541</v>
      </c>
      <c r="AH160" s="215">
        <v>-5.27E-7</v>
      </c>
      <c r="AI160" s="215">
        <v>-5.27E-7</v>
      </c>
      <c r="AJ160" s="215">
        <v>-5.27E-7</v>
      </c>
      <c r="AK160" s="215">
        <v>-5.27E-7</v>
      </c>
      <c r="AL160" s="215">
        <v>-5.27E-7</v>
      </c>
      <c r="AM160" s="215">
        <v>-5.27E-7</v>
      </c>
      <c r="AN160" s="205">
        <v>3.4968413</v>
      </c>
      <c r="AO160" s="205">
        <v>2.71334445</v>
      </c>
      <c r="AP160" s="215">
        <v>-5.27E-7</v>
      </c>
      <c r="AQ160" s="205">
        <v>0.11619353</v>
      </c>
      <c r="AR160" s="215">
        <v>-5.27E-7</v>
      </c>
      <c r="AS160" s="205">
        <v>0.19970381</v>
      </c>
      <c r="AT160" s="205">
        <v>2.0024185</v>
      </c>
      <c r="AU160" s="215">
        <v>-5.27E-7</v>
      </c>
      <c r="AV160" s="205">
        <v>1.21542751</v>
      </c>
      <c r="AW160" s="205">
        <v>0.57384707</v>
      </c>
      <c r="AX160" s="215">
        <v>-5.27E-7</v>
      </c>
      <c r="AY160" s="215">
        <v>-5.27E-7</v>
      </c>
      <c r="AZ160" s="205">
        <v>1.29780891</v>
      </c>
      <c r="BA160" s="205">
        <v>4.58406075</v>
      </c>
      <c r="BB160" s="205">
        <v>0.45020778</v>
      </c>
      <c r="BC160" s="215">
        <v>-5.27E-7</v>
      </c>
      <c r="BD160" s="215">
        <v>-5.27E-7</v>
      </c>
      <c r="BE160" s="205">
        <v>1.14352857</v>
      </c>
      <c r="BF160" s="215">
        <v>-5.27E-7</v>
      </c>
      <c r="BG160" s="215">
        <v>-5.27E-7</v>
      </c>
      <c r="BH160" s="215">
        <v>-5.27E-7</v>
      </c>
      <c r="BI160" s="205">
        <v>1.07297354</v>
      </c>
      <c r="BJ160" s="205">
        <v>0.32119286</v>
      </c>
      <c r="BK160" s="215">
        <v>-5.27E-7</v>
      </c>
      <c r="BL160" s="215">
        <v>-5.27E-7</v>
      </c>
      <c r="BM160" s="205">
        <v>0.66106653</v>
      </c>
      <c r="BN160" s="215">
        <v>-5.27E-7</v>
      </c>
      <c r="BO160" s="215">
        <v>-5.27E-7</v>
      </c>
      <c r="BP160" s="215">
        <v>-5.27E-7</v>
      </c>
      <c r="BQ160" s="206"/>
      <c r="BR160" s="250">
        <f t="shared" si="1"/>
        <v>0.7355483386</v>
      </c>
      <c r="BS160" s="250">
        <f t="shared" si="2"/>
        <v>0.8840117367</v>
      </c>
      <c r="BT160" s="206"/>
      <c r="BU160" s="207">
        <f>IFERROR(__xludf.DUMMYFUNCTION("AVERAGE(ARRAYFORMULA(XLOOKUP(FILTER(INDIRECT(""'""&amp;BU$1&amp;""'!$C$4:$C$66""),INDIRECT(""'""&amp;BU$1&amp;""'!$D$4:$D$66"")=BU$2),$F$3:$BP$3,$F160:$BP160)))"),1.2506762255714285)</f>
        <v>1.250676226</v>
      </c>
      <c r="BV160" s="207" t="str">
        <f>IFERROR(__xludf.DUMMYFUNCTION("IF(OR(BU160&gt;$BR160+$BS160*$BS$2,BU160&lt;$BR160-$BS160*$BS$2),AVEDEV(ARRAYFORMULA(XLOOKUP(FILTER(INDIRECT(""'""&amp;BU$1&amp;""'!$C$4:$C$66""),INDIRECT(""'""&amp;BU$1&amp;""'!$D$4:$D$66"")=BU$2),$F$3:$BP$3,$F160:$BP160))),"""")"),"")</f>
        <v/>
      </c>
      <c r="BW160" s="207">
        <f>IFERROR(__xludf.DUMMYFUNCTION("AVERAGE(ARRAYFORMULA(XLOOKUP(FILTER(INDIRECT(""'""&amp;BW$1&amp;""'!$C$4:$C$66""),INDIRECT(""'""&amp;BW$1&amp;""'!$D$4:$D$66"")=BW$2),$F$3:$BP$3,$F160:$BP160)))"),0.6671742761190477)</f>
        <v>0.6671742761</v>
      </c>
      <c r="BX160" s="207" t="str">
        <f>IFERROR(__xludf.DUMMYFUNCTION("IF(OR(BW160&gt;$BR160+$BS160*$BS$2,BW160&lt;$BR160-$BS160*$BS$2),AVEDEV(ARRAYFORMULA(XLOOKUP(FILTER(INDIRECT(""'""&amp;BW$1&amp;""'!$C$4:$C$66""),INDIRECT(""'""&amp;BW$1&amp;""'!$D$4:$D$66"")=BW$2),$F$3:$BP$3,$F160:$BP160))),"""")"),"")</f>
        <v/>
      </c>
      <c r="BY160" s="207">
        <f>IFERROR(__xludf.DUMMYFUNCTION("AVERAGE(ARRAYFORMULA(XLOOKUP(FILTER(INDIRECT(""'""&amp;BY$1&amp;""'!$C$4:$C$66""),INDIRECT(""'""&amp;BY$1&amp;""'!$D$4:$D$66"")=BY$2),$F$3:$BP$3,$F160:$BP160)))"),0.6873704282727272)</f>
        <v>0.6873704283</v>
      </c>
      <c r="BZ160" s="207" t="str">
        <f>IFERROR(__xludf.DUMMYFUNCTION("IF(OR(BY160&gt;$BR160+$BS160*$BS$2,BY160&lt;$BR160-$BS160*$BS$2),AVEDEV(ARRAYFORMULA(XLOOKUP(FILTER(INDIRECT(""'""&amp;BY$1&amp;""'!$C$4:$C$66""),INDIRECT(""'""&amp;BY$1&amp;""'!$D$4:$D$66"")=BY$2),$F$3:$BP$3,$F160:$BP160))),"""")"),"")</f>
        <v/>
      </c>
      <c r="CA160" s="209"/>
      <c r="CB160" s="207">
        <f>IFERROR(__xludf.DUMMYFUNCTION("AVERAGE(ARRAYFORMULA(XLOOKUP(FILTER(INDIRECT(""'""&amp;CB$1&amp;""'!$C$4:$C$66""),INDIRECT(""'""&amp;CB$1&amp;""'!$D$4:$D$66"")=CB$2),$F$3:$BP$3,$F160:$BP160)))"),1.4210215120000003)</f>
        <v>1.421021512</v>
      </c>
      <c r="CC160" s="207" t="str">
        <f>IFERROR(__xludf.DUMMYFUNCTION("IF(OR(CB160&gt;$BR160+$BS160*$BS$2,CB160&lt;$BR160-$BS160*$BS$2),AVEDEV(ARRAYFORMULA(XLOOKUP(FILTER(INDIRECT(""'""&amp;CB$1&amp;""'!$C$4:$C$66""),INDIRECT(""'""&amp;CB$1&amp;""'!$D$4:$D$66"")=CB$2),$F$3:$BP$3,$F160:$BP160))),"""")"),"")</f>
        <v/>
      </c>
      <c r="CD160" s="207">
        <f>IFERROR(__xludf.DUMMYFUNCTION("AVERAGE(ARRAYFORMULA(XLOOKUP(FILTER(INDIRECT(""'""&amp;CD$1&amp;""'!$C$4:$C$66""),INDIRECT(""'""&amp;CD$1&amp;""'!$D$4:$D$66"")=CD$2),$F$3:$BP$3,$F160:$BP160)))"),0.4263816536774196)</f>
        <v>0.4263816537</v>
      </c>
      <c r="CE160" s="207" t="str">
        <f>IFERROR(__xludf.DUMMYFUNCTION("IF(OR(CD160&gt;$BR160+$BS160*$BS$2,CD160&lt;$BR160-$BS160*$BS$2),AVEDEV(ARRAYFORMULA(XLOOKUP(FILTER(INDIRECT(""'""&amp;CD$1&amp;""'!$C$4:$C$66""),INDIRECT(""'""&amp;CD$1&amp;""'!$D$4:$D$66"")=CD$2),$F$3:$BP$3,$F160:$BP160))),"""")"),"")</f>
        <v/>
      </c>
      <c r="CF160" s="207">
        <f>IFERROR(__xludf.DUMMYFUNCTION("AVERAGE(ARRAYFORMULA(XLOOKUP(FILTER(INDIRECT(""'""&amp;CF$1&amp;""'!$C$4:$C$66""),INDIRECT(""'""&amp;CF$1&amp;""'!$D$4:$D$66"")=CF$2),$F$3:$BP$3,$F160:$BP160)))"),0.7471302358)</f>
        <v>0.7471302358</v>
      </c>
      <c r="CG160" s="207" t="str">
        <f>IFERROR(__xludf.DUMMYFUNCTION("IF(OR(CF160&gt;$BR160+$BS160*$BS$2,CF160&lt;$BR160-$BS160*$BS$2),AVEDEV(ARRAYFORMULA(XLOOKUP(FILTER(INDIRECT(""'""&amp;CF$1&amp;""'!$C$4:$C$66""),INDIRECT(""'""&amp;CF$1&amp;""'!$D$4:$D$66"")=CF$2),$F$3:$BP$3,$F160:$BP160))),"""")"),"")</f>
        <v/>
      </c>
      <c r="CH160" s="206"/>
      <c r="CI160" s="251">
        <f>IFERROR(__xludf.DUMMYFUNCTION("AVERAGE(ARRAYFORMULA(XLOOKUP(FILTER(INDIRECT(""'""&amp;CI$1&amp;""'!$C$4:$C$66""),INDIRECT(""'""&amp;CI$1&amp;""'!$D$4:$D$66"")=CI$2),$F$3:$BP$3,$F160:$BP160)))"),1.0843340503333332)</f>
        <v>1.08433405</v>
      </c>
      <c r="CJ160" s="207" t="str">
        <f>IFERROR(__xludf.DUMMYFUNCTION("IF(OR(CI160&gt;$BR160+$BS160*$BS$2,CI160&lt;$BR160-$BS160*$BS$2),AVEDEV(ARRAYFORMULA(XLOOKUP(FILTER(INDIRECT(""'""&amp;CI$1&amp;""'!$C$4:$C$66""),INDIRECT(""'""&amp;CI$1&amp;""'!$D$4:$D$66"")=CI$2),$F$3:$BP$3,$F160:$BP160))),"""")"),"")</f>
        <v/>
      </c>
      <c r="CK160" s="251">
        <f>IFERROR(__xludf.DUMMYFUNCTION("AVERAGE(ARRAYFORMULA(XLOOKUP(FILTER(INDIRECT(""'""&amp;CK$1&amp;""'!$C$4:$C$66""),INDIRECT(""'""&amp;CK$1&amp;""'!$D$4:$D$66"")=CK$2),$F$3:$BP$3,$F160:$BP160)))"),0.6240119610256409)</f>
        <v>0.624011961</v>
      </c>
      <c r="CL160" s="207" t="str">
        <f>IFERROR(__xludf.DUMMYFUNCTION("IF(OR(CK160&gt;$BR160+$BS160*$BS$2,CK160&lt;$BR160-$BS160*$BS$2),AVEDEV(ARRAYFORMULA(XLOOKUP(FILTER(INDIRECT(""'""&amp;CK$1&amp;""'!$C$4:$C$66""),INDIRECT(""'""&amp;CK$1&amp;""'!$D$4:$D$66"")=CK$2),$F$3:$BP$3,$F160:$BP160))),"""")"),"")</f>
        <v/>
      </c>
      <c r="CM160" s="251">
        <f>IFERROR(__xludf.DUMMYFUNCTION("AVERAGE(ARRAYFORMULA(XLOOKUP(FILTER(INDIRECT(""'""&amp;CM$1&amp;""'!$C$4:$C$66""),INDIRECT(""'""&amp;CM$1&amp;""'!$D$4:$D$66"")=CM$2),$F$3:$BP$3,$F160:$BP160)))"),0.7471302358)</f>
        <v>0.7471302358</v>
      </c>
      <c r="CN160" s="207" t="str">
        <f>IFERROR(__xludf.DUMMYFUNCTION("IF(OR(CM160&gt;$BR160+$BS160*$BS$2,CM160&lt;$BR160-$BS160*$BS$2),AVEDEV(ARRAYFORMULA(XLOOKUP(FILTER(INDIRECT(""'""&amp;CM$1&amp;""'!$C$4:$C$66""),INDIRECT(""'""&amp;CM$1&amp;""'!$D$4:$D$66"")=CM$2),$F$3:$BP$3,$F160:$BP160))),"""")"),"")</f>
        <v/>
      </c>
      <c r="CO160" s="252"/>
      <c r="CP160" s="251">
        <f>IFERROR(__xludf.DUMMYFUNCTION("AVERAGE(ARRAYFORMULA(XLOOKUP(FILTER(INDIRECT(""'""&amp;CP$1&amp;""'!$C$4:$C$66""),INDIRECT(""'""&amp;CP$1&amp;""'!$D$4:$D$66"")=CP$2),$F$3:$BP$3,$F160:$BP160)))"),1.0574341489285717)</f>
        <v>1.057434149</v>
      </c>
      <c r="CQ160" s="207" t="str">
        <f>IFERROR(__xludf.DUMMYFUNCTION("IF(OR(CP160&gt;$BR160+$BS160*$BS$2,CP160&lt;$BR160-$BS160*$BS$2),AVEDEV(ARRAYFORMULA(XLOOKUP(FILTER(INDIRECT(""'""&amp;CP$1&amp;""'!$C$4:$C$66""),INDIRECT(""'""&amp;CP$1&amp;""'!$D$4:$D$66"")=CP$2),$F$3:$BP$3,$F160:$BP160))),"""")"),"")</f>
        <v/>
      </c>
      <c r="CR160" s="251">
        <f>IFERROR(__xludf.DUMMYFUNCTION("AVERAGE(ARRAYFORMULA(XLOOKUP(FILTER(INDIRECT(""'""&amp;CR$1&amp;""'!$C$4:$C$66""),INDIRECT(""'""&amp;CR$1&amp;""'!$D$4:$D$66"")=CR$2),$F$3:$BP$3,$F160:$BP160)))"),0.8401195294444443)</f>
        <v>0.8401195294</v>
      </c>
      <c r="CS160" s="207" t="str">
        <f>IFERROR(__xludf.DUMMYFUNCTION("IF(OR(CR160&gt;$BR160+$BS160*$BS$2,CR160&lt;$BR160-$BS160*$BS$2),AVEDEV(ARRAYFORMULA(XLOOKUP(FILTER(INDIRECT(""'""&amp;CR$1&amp;""'!$C$4:$C$66""),INDIRECT(""'""&amp;CR$1&amp;""'!$D$4:$D$66"")=CR$2),$F$3:$BP$3,$F160:$BP160))),"""")"),"")</f>
        <v/>
      </c>
      <c r="CT160" s="251">
        <f>IFERROR(__xludf.DUMMYFUNCTION("AVERAGE(ARRAYFORMULA(XLOOKUP(FILTER(INDIRECT(""'""&amp;CT$1&amp;""'!$C$4:$C$66""),INDIRECT(""'""&amp;CT$1&amp;""'!$D$4:$D$66"")=CT$2),$F$3:$BP$3,$F160:$BP160)))"),0.416866755)</f>
        <v>0.416866755</v>
      </c>
      <c r="CU160" s="207" t="str">
        <f>IFERROR(__xludf.DUMMYFUNCTION("IF(OR(CT160&gt;$BR160+$BS160*$BS$2,CT160&lt;$BR160-$BS160*$BS$2),AVEDEV(ARRAYFORMULA(XLOOKUP(FILTER(INDIRECT(""'""&amp;CT$1&amp;""'!$C$4:$C$66""),INDIRECT(""'""&amp;CT$1&amp;""'!$D$4:$D$66"")=CT$2),$F$3:$BP$3,$F160:$BP160))),"""")"),"")</f>
        <v/>
      </c>
      <c r="CV160" s="251">
        <f>IFERROR(__xludf.DUMMYFUNCTION("AVERAGE(ARRAYFORMULA(XLOOKUP(FILTER(INDIRECT(""'""&amp;CV$1&amp;""'!$C$4:$C$66""),INDIRECT(""'""&amp;CV$1&amp;""'!$D$4:$D$66"")=CV$2),$F$3:$BP$3,$F160:$BP160)))"),-5.27E-7)</f>
        <v>-0.000000527</v>
      </c>
      <c r="CW160" s="207" t="str">
        <f>IFERROR(__xludf.DUMMYFUNCTION("IF(OR(CV160&gt;$BR160+$BS160*$BS$2,CV160&lt;$BR160-$BS160*$BS$2),AVEDEV(ARRAYFORMULA(XLOOKUP(FILTER(INDIRECT(""'""&amp;CV$1&amp;""'!$C$4:$C$66""),INDIRECT(""'""&amp;CV$1&amp;""'!$D$4:$D$66"")=CV$2),$F$3:$BP$3,$F160:$BP160))),"""")"),"")</f>
        <v/>
      </c>
      <c r="CX160" s="251">
        <f>IFERROR(__xludf.DUMMYFUNCTION("AVERAGE(ARRAYFORMULA(XLOOKUP(FILTER(INDIRECT(""'""&amp;CX$1&amp;""'!$C$4:$C$66""),INDIRECT(""'""&amp;CX$1&amp;""'!$D$4:$D$66"")=CX$2),$F$3:$BP$3,$F160:$BP160)))"),0.3839590022142857)</f>
        <v>0.3839590022</v>
      </c>
      <c r="CY160" s="207" t="str">
        <f>IFERROR(__xludf.DUMMYFUNCTION("IF(OR(CX160&gt;$BR160+$BS160*$BS$2,CX160&lt;$BR160-$BS160*$BS$2),AVEDEV(ARRAYFORMULA(XLOOKUP(FILTER(INDIRECT(""'""&amp;CX$1&amp;""'!$C$4:$C$66""),INDIRECT(""'""&amp;CX$1&amp;""'!$D$4:$D$66"")=CX$2),$F$3:$BP$3,$F160:$BP160))),"""")"),"")</f>
        <v/>
      </c>
      <c r="CZ160" s="252"/>
      <c r="DA160" s="251">
        <f>IFERROR(__xludf.DUMMYFUNCTION("AVERAGE(ARRAYFORMULA(XLOOKUP(FILTER(INDIRECT(""'""&amp;DA$1&amp;""'!$C$4:$C$66""),INDIRECT(""'""&amp;DA$1&amp;""'!$D$4:$D$66"")=DA$2),$F$3:$BP$3,$F160:$BP160)))"),0.8673210865333334)</f>
        <v>0.8673210865</v>
      </c>
      <c r="DB160" s="207" t="str">
        <f>IFERROR(__xludf.DUMMYFUNCTION("IF(OR(DA160&gt;$BR160+$BS160*$BS$2,DA160&lt;$BR160-$BS160*$BS$2),AVEDEV(ARRAYFORMULA(XLOOKUP(FILTER(INDIRECT(""'""&amp;DA$1&amp;""'!$C$4:$C$66""),INDIRECT(""'""&amp;DA$1&amp;""'!$D$4:$D$66"")=DA$2),$F$3:$BP$3,$F160:$BP160))),"""")"),"")</f>
        <v/>
      </c>
      <c r="DC160" s="251">
        <f>IFERROR(__xludf.DUMMYFUNCTION("AVERAGE(ARRAYFORMULA(XLOOKUP(FILTER(INDIRECT(""'""&amp;DC$1&amp;""'!$C$4:$C$66""),INDIRECT(""'""&amp;DC$1&amp;""'!$D$4:$D$66"")=DC$2),$F$3:$BP$3,$F160:$BP160)))"),0.8128681142222222)</f>
        <v>0.8128681142</v>
      </c>
      <c r="DD160" s="207" t="str">
        <f>IFERROR(__xludf.DUMMYFUNCTION("IF(OR(DC160&gt;$BR160+$BS160*$BS$2,DC160&lt;$BR160-$BS160*$BS$2),AVEDEV(ARRAYFORMULA(XLOOKUP(FILTER(INDIRECT(""'""&amp;DC$1&amp;""'!$C$4:$C$66""),INDIRECT(""'""&amp;DC$1&amp;""'!$D$4:$D$66"")=DC$2),$F$3:$BP$3,$F160:$BP160))),"""")"),"")</f>
        <v/>
      </c>
      <c r="DE160" s="251">
        <f>IFERROR(__xludf.DUMMYFUNCTION("AVERAGE(ARRAYFORMULA(XLOOKUP(FILTER(INDIRECT(""'""&amp;DE$1&amp;""'!$C$4:$C$66""),INDIRECT(""'""&amp;DE$1&amp;""'!$D$4:$D$66"")=DE$2),$F$3:$BP$3,$F160:$BP160)))"),0.6008091764999999)</f>
        <v>0.6008091765</v>
      </c>
      <c r="DF160" s="207" t="str">
        <f>IFERROR(__xludf.DUMMYFUNCTION("IF(OR(DE160&gt;$BR160+$BS160*$BS$2,DE160&lt;$BR160-$BS160*$BS$2),AVEDEV(ARRAYFORMULA(XLOOKUP(FILTER(INDIRECT(""'""&amp;DE$1&amp;""'!$C$4:$C$66""),INDIRECT(""'""&amp;DE$1&amp;""'!$D$4:$D$66"")=DE$2),$F$3:$BP$3,$F160:$BP160))),"""")"),"")</f>
        <v/>
      </c>
      <c r="DG160" s="251">
        <f>IFERROR(__xludf.DUMMYFUNCTION("AVERAGE(ARRAYFORMULA(XLOOKUP(FILTER(INDIRECT(""'""&amp;DG$1&amp;""'!$C$4:$C$66""),INDIRECT(""'""&amp;DG$1&amp;""'!$D$4:$D$66"")=DG$2),$F$3:$BP$3,$F160:$BP160)))"),0.2357503431111111)</f>
        <v>0.2357503431</v>
      </c>
      <c r="DH160" s="207" t="str">
        <f>IFERROR(__xludf.DUMMYFUNCTION("IF(OR(DG160&gt;$BR160+$BS160*$BS$2,DG160&lt;$BR160-$BS160*$BS$2),AVEDEV(ARRAYFORMULA(XLOOKUP(FILTER(INDIRECT(""'""&amp;DG$1&amp;""'!$C$4:$C$66""),INDIRECT(""'""&amp;DG$1&amp;""'!$D$4:$D$66"")=DG$2),$F$3:$BP$3,$F160:$BP160))),"""")"),"")</f>
        <v/>
      </c>
      <c r="DI160" s="252"/>
    </row>
    <row r="161">
      <c r="A161" s="2"/>
      <c r="B161" s="204" t="s">
        <v>601</v>
      </c>
      <c r="C161" s="204" t="s">
        <v>605</v>
      </c>
      <c r="D161" s="205" t="b">
        <f>VLOOKUP(C161,'Feature Set List'!A158:C246,2,0)</f>
        <v>1</v>
      </c>
      <c r="E161" s="205" t="b">
        <f>VLOOKUP(C161,'Feature Set List'!A158:C246,3,0)</f>
        <v>1</v>
      </c>
      <c r="F161" s="205">
        <v>0.18067227</v>
      </c>
      <c r="G161" s="205">
        <v>-0.0042017</v>
      </c>
      <c r="H161" s="205">
        <v>-1.1246499</v>
      </c>
      <c r="I161" s="205">
        <v>-1.0672269</v>
      </c>
      <c r="J161" s="205">
        <v>-0.732493</v>
      </c>
      <c r="K161" s="205">
        <v>1.45378151</v>
      </c>
      <c r="L161" s="205">
        <v>-1.2156863</v>
      </c>
      <c r="M161" s="205">
        <v>-0.4579832</v>
      </c>
      <c r="N161" s="205">
        <v>0.0</v>
      </c>
      <c r="O161" s="205">
        <v>0.08823529</v>
      </c>
      <c r="P161" s="205">
        <v>-0.697479</v>
      </c>
      <c r="Q161" s="205">
        <v>-0.7156863</v>
      </c>
      <c r="R161" s="205">
        <v>1.80532213</v>
      </c>
      <c r="S161" s="205">
        <v>1.53361345</v>
      </c>
      <c r="T161" s="205">
        <v>-0.6526611</v>
      </c>
      <c r="U161" s="205">
        <v>-1.17507</v>
      </c>
      <c r="V161" s="205">
        <v>0.11204482</v>
      </c>
      <c r="W161" s="205">
        <v>0.21568627</v>
      </c>
      <c r="X161" s="205">
        <v>0.28991597</v>
      </c>
      <c r="Y161" s="205">
        <v>0.09943978</v>
      </c>
      <c r="Z161" s="205">
        <v>0.54201681</v>
      </c>
      <c r="AA161" s="205">
        <v>-0.2044818</v>
      </c>
      <c r="AB161" s="205">
        <v>0.64845938</v>
      </c>
      <c r="AC161" s="205">
        <v>0.00980392</v>
      </c>
      <c r="AD161" s="205">
        <v>1.68347339</v>
      </c>
      <c r="AE161" s="205">
        <v>0.05602241</v>
      </c>
      <c r="AF161" s="205">
        <v>0.05042017</v>
      </c>
      <c r="AG161" s="205">
        <v>-0.4187675</v>
      </c>
      <c r="AH161" s="205">
        <v>-0.9733894</v>
      </c>
      <c r="AI161" s="205">
        <v>-0.557423</v>
      </c>
      <c r="AJ161" s="205">
        <v>-0.6330532</v>
      </c>
      <c r="AK161" s="205">
        <v>0.6372549</v>
      </c>
      <c r="AL161" s="205">
        <v>0.24369748</v>
      </c>
      <c r="AM161" s="205">
        <v>-0.82493</v>
      </c>
      <c r="AN161" s="205">
        <v>-0.6834734</v>
      </c>
      <c r="AO161" s="205">
        <v>-2.2266106</v>
      </c>
      <c r="AP161" s="205">
        <v>-0.1288515</v>
      </c>
      <c r="AQ161" s="205">
        <v>0.22408964</v>
      </c>
      <c r="AR161" s="205">
        <v>0.0952381</v>
      </c>
      <c r="AS161" s="205">
        <v>-0.7240896</v>
      </c>
      <c r="AT161" s="205">
        <v>1.49719888</v>
      </c>
      <c r="AU161" s="205">
        <v>0.62464986</v>
      </c>
      <c r="AV161" s="205">
        <v>0.37394958</v>
      </c>
      <c r="AW161" s="205">
        <v>-0.4047619</v>
      </c>
      <c r="AX161" s="205">
        <v>-0.1078431</v>
      </c>
      <c r="AY161" s="205">
        <v>-1.1988796</v>
      </c>
      <c r="AZ161" s="205">
        <v>1.78291317</v>
      </c>
      <c r="BA161" s="205">
        <v>0.22128852</v>
      </c>
      <c r="BB161" s="205">
        <v>0.20868347</v>
      </c>
      <c r="BC161" s="205">
        <v>11.7030812</v>
      </c>
      <c r="BD161" s="205">
        <v>-0.2717087</v>
      </c>
      <c r="BE161" s="205">
        <v>0.74929972</v>
      </c>
      <c r="BF161" s="205">
        <v>1.3837535</v>
      </c>
      <c r="BG161" s="205">
        <v>0.00980392</v>
      </c>
      <c r="BH161" s="205">
        <v>-0.0056022</v>
      </c>
      <c r="BI161" s="205">
        <v>-0.2128852</v>
      </c>
      <c r="BJ161" s="205">
        <v>-1.3067227</v>
      </c>
      <c r="BK161" s="205">
        <v>-1.8739496</v>
      </c>
      <c r="BL161" s="205">
        <v>-0.0910364</v>
      </c>
      <c r="BM161" s="205">
        <v>0.93557423</v>
      </c>
      <c r="BN161" s="205">
        <v>0.91736695</v>
      </c>
      <c r="BO161" s="205">
        <v>-1.0980392</v>
      </c>
      <c r="BP161" s="205">
        <v>-0.4271709</v>
      </c>
      <c r="BQ161" s="206"/>
      <c r="BR161" s="250">
        <f t="shared" si="1"/>
        <v>0.1295229173</v>
      </c>
      <c r="BS161" s="250">
        <f t="shared" si="2"/>
        <v>0.8532290534</v>
      </c>
      <c r="BT161" s="206"/>
      <c r="BU161" s="207">
        <f>IFERROR(__xludf.DUMMYFUNCTION("AVERAGE(ARRAYFORMULA(XLOOKUP(FILTER(INDIRECT(""'""&amp;BU$1&amp;""'!$C$4:$C$66""),INDIRECT(""'""&amp;BU$1&amp;""'!$D$4:$D$66"")=BU$2),$F$3:$BP$3,$F161:$BP161)))"),-0.4503801585714286)</f>
        <v>-0.4503801586</v>
      </c>
      <c r="BV161" s="207" t="str">
        <f>IFERROR(__xludf.DUMMYFUNCTION("IF(OR(BU161&gt;$BR161+$BS161*$BS$2,BU161&lt;$BR161-$BS161*$BS$2),AVEDEV(ARRAYFORMULA(XLOOKUP(FILTER(INDIRECT(""'""&amp;BU$1&amp;""'!$C$4:$C$66""),INDIRECT(""'""&amp;BU$1&amp;""'!$D$4:$D$66"")=BU$2),$F$3:$BP$3,$F161:$BP161))),"""")"),"")</f>
        <v/>
      </c>
      <c r="BW161" s="207">
        <f>IFERROR(__xludf.DUMMYFUNCTION("AVERAGE(ARRAYFORMULA(XLOOKUP(FILTER(INDIRECT(""'""&amp;BW$1&amp;""'!$C$4:$C$66""),INDIRECT(""'""&amp;BW$1&amp;""'!$D$4:$D$66"")=BW$2),$F$3:$BP$3,$F161:$BP161)))"),-0.08939575880952381)</f>
        <v>-0.08939575881</v>
      </c>
      <c r="BX161" s="207" t="str">
        <f>IFERROR(__xludf.DUMMYFUNCTION("IF(OR(BW161&gt;$BR161+$BS161*$BS$2,BW161&lt;$BR161-$BS161*$BS$2),AVEDEV(ARRAYFORMULA(XLOOKUP(FILTER(INDIRECT(""'""&amp;BW$1&amp;""'!$C$4:$C$66""),INDIRECT(""'""&amp;BW$1&amp;""'!$D$4:$D$66"")=BW$2),$F$3:$BP$3,$F161:$BP161))),"""")"),"")</f>
        <v/>
      </c>
      <c r="BY161" s="207">
        <f>IFERROR(__xludf.DUMMYFUNCTION("AVERAGE(ARRAYFORMULA(XLOOKUP(FILTER(INDIRECT(""'""&amp;BY$1&amp;""'!$C$4:$C$66""),INDIRECT(""'""&amp;BY$1&amp;""'!$D$4:$D$66"")=BY$2),$F$3:$BP$3,$F161:$BP161)))"),0.2719633263636364)</f>
        <v>0.2719633264</v>
      </c>
      <c r="BZ161" s="207" t="str">
        <f>IFERROR(__xludf.DUMMYFUNCTION("IF(OR(BY161&gt;$BR161+$BS161*$BS$2,BY161&lt;$BR161-$BS161*$BS$2),AVEDEV(ARRAYFORMULA(XLOOKUP(FILTER(INDIRECT(""'""&amp;BY$1&amp;""'!$C$4:$C$66""),INDIRECT(""'""&amp;BY$1&amp;""'!$D$4:$D$66"")=BY$2),$F$3:$BP$3,$F161:$BP161))),"""")"),"")</f>
        <v/>
      </c>
      <c r="CA161" s="209"/>
      <c r="CB161" s="207">
        <f>IFERROR(__xludf.DUMMYFUNCTION("AVERAGE(ARRAYFORMULA(XLOOKUP(FILTER(INDIRECT(""'""&amp;CB$1&amp;""'!$C$4:$C$66""),INDIRECT(""'""&amp;CB$1&amp;""'!$D$4:$D$66"")=CB$2),$F$3:$BP$3,$F161:$BP161)))"),-0.3560749262500001)</f>
        <v>-0.3560749263</v>
      </c>
      <c r="CC161" s="207" t="str">
        <f>IFERROR(__xludf.DUMMYFUNCTION("IF(OR(CB161&gt;$BR161+$BS161*$BS$2,CB161&lt;$BR161-$BS161*$BS$2),AVEDEV(ARRAYFORMULA(XLOOKUP(FILTER(INDIRECT(""'""&amp;CB$1&amp;""'!$C$4:$C$66""),INDIRECT(""'""&amp;CB$1&amp;""'!$D$4:$D$66"")=CB$2),$F$3:$BP$3,$F161:$BP161))),"""")"),"")</f>
        <v/>
      </c>
      <c r="CD161" s="207">
        <f>IFERROR(__xludf.DUMMYFUNCTION("AVERAGE(ARRAYFORMULA(XLOOKUP(FILTER(INDIRECT(""'""&amp;CD$1&amp;""'!$C$4:$C$66""),INDIRECT(""'""&amp;CD$1&amp;""'!$D$4:$D$66"")=CD$2),$F$3:$BP$3,$F161:$BP161)))"),-0.05118822290322582)</f>
        <v>-0.0511882229</v>
      </c>
      <c r="CE161" s="207" t="str">
        <f>IFERROR(__xludf.DUMMYFUNCTION("IF(OR(CD161&gt;$BR161+$BS161*$BS$2,CD161&lt;$BR161-$BS161*$BS$2),AVEDEV(ARRAYFORMULA(XLOOKUP(FILTER(INDIRECT(""'""&amp;CD$1&amp;""'!$C$4:$C$66""),INDIRECT(""'""&amp;CD$1&amp;""'!$D$4:$D$66"")=CD$2),$F$3:$BP$3,$F161:$BP161))),"""")"),"")</f>
        <v/>
      </c>
      <c r="CF161" s="207">
        <f>IFERROR(__xludf.DUMMYFUNCTION("AVERAGE(ARRAYFORMULA(XLOOKUP(FILTER(INDIRECT(""'""&amp;CF$1&amp;""'!$C$4:$C$66""),INDIRECT(""'""&amp;CF$1&amp;""'!$D$4:$D$66"")=CF$2),$F$3:$BP$3,$F161:$BP161)))"),0.976750702)</f>
        <v>0.976750702</v>
      </c>
      <c r="CG161" s="207" t="str">
        <f>IFERROR(__xludf.DUMMYFUNCTION("IF(OR(CF161&gt;$BR161+$BS161*$BS$2,CF161&lt;$BR161-$BS161*$BS$2),AVEDEV(ARRAYFORMULA(XLOOKUP(FILTER(INDIRECT(""'""&amp;CF$1&amp;""'!$C$4:$C$66""),INDIRECT(""'""&amp;CF$1&amp;""'!$D$4:$D$66"")=CF$2),$F$3:$BP$3,$F161:$BP161))),"""")"),"")</f>
        <v/>
      </c>
      <c r="CH161" s="206"/>
      <c r="CI161" s="251">
        <f>IFERROR(__xludf.DUMMYFUNCTION("AVERAGE(ARRAYFORMULA(XLOOKUP(FILTER(INDIRECT(""'""&amp;CI$1&amp;""'!$C$4:$C$66""),INDIRECT(""'""&amp;CI$1&amp;""'!$D$4:$D$66"")=CI$2),$F$3:$BP$3,$F161:$BP161)))"),0.125210084)</f>
        <v>0.125210084</v>
      </c>
      <c r="CJ161" s="207" t="str">
        <f>IFERROR(__xludf.DUMMYFUNCTION("IF(OR(CI161&gt;$BR161+$BS161*$BS$2,CI161&lt;$BR161-$BS161*$BS$2),AVEDEV(ARRAYFORMULA(XLOOKUP(FILTER(INDIRECT(""'""&amp;CI$1&amp;""'!$C$4:$C$66""),INDIRECT(""'""&amp;CI$1&amp;""'!$D$4:$D$66"")=CI$2),$F$3:$BP$3,$F161:$BP161))),"""")"),"")</f>
        <v/>
      </c>
      <c r="CK161" s="251">
        <f>IFERROR(__xludf.DUMMYFUNCTION("AVERAGE(ARRAYFORMULA(XLOOKUP(FILTER(INDIRECT(""'""&amp;CK$1&amp;""'!$C$4:$C$66""),INDIRECT(""'""&amp;CK$1&amp;""'!$D$4:$D$66"")=CK$2),$F$3:$BP$3,$F161:$BP161)))"),-0.22573439897435896)</f>
        <v>-0.225734399</v>
      </c>
      <c r="CL161" s="207" t="str">
        <f>IFERROR(__xludf.DUMMYFUNCTION("IF(OR(CK161&gt;$BR161+$BS161*$BS$2,CK161&lt;$BR161-$BS161*$BS$2),AVEDEV(ARRAYFORMULA(XLOOKUP(FILTER(INDIRECT(""'""&amp;CK$1&amp;""'!$C$4:$C$66""),INDIRECT(""'""&amp;CK$1&amp;""'!$D$4:$D$66"")=CK$2),$F$3:$BP$3,$F161:$BP161))),"""")"),"")</f>
        <v/>
      </c>
      <c r="CM161" s="251">
        <f>IFERROR(__xludf.DUMMYFUNCTION("AVERAGE(ARRAYFORMULA(XLOOKUP(FILTER(INDIRECT(""'""&amp;CM$1&amp;""'!$C$4:$C$66""),INDIRECT(""'""&amp;CM$1&amp;""'!$D$4:$D$66"")=CM$2),$F$3:$BP$3,$F161:$BP161)))"),0.976750702)</f>
        <v>0.976750702</v>
      </c>
      <c r="CN161" s="207" t="str">
        <f>IFERROR(__xludf.DUMMYFUNCTION("IF(OR(CM161&gt;$BR161+$BS161*$BS$2,CM161&lt;$BR161-$BS161*$BS$2),AVEDEV(ARRAYFORMULA(XLOOKUP(FILTER(INDIRECT(""'""&amp;CM$1&amp;""'!$C$4:$C$66""),INDIRECT(""'""&amp;CM$1&amp;""'!$D$4:$D$66"")=CM$2),$F$3:$BP$3,$F161:$BP161))),"""")"),"")</f>
        <v/>
      </c>
      <c r="CO161" s="252"/>
      <c r="CP161" s="251">
        <f>IFERROR(__xludf.DUMMYFUNCTION("AVERAGE(ARRAYFORMULA(XLOOKUP(FILTER(INDIRECT(""'""&amp;CP$1&amp;""'!$C$4:$C$66""),INDIRECT(""'""&amp;CP$1&amp;""'!$D$4:$D$66"")=CP$2),$F$3:$BP$3,$F161:$BP161)))"),-0.31990796000000005)</f>
        <v>-0.31990796</v>
      </c>
      <c r="CQ161" s="207" t="str">
        <f>IFERROR(__xludf.DUMMYFUNCTION("IF(OR(CP161&gt;$BR161+$BS161*$BS$2,CP161&lt;$BR161-$BS161*$BS$2),AVEDEV(ARRAYFORMULA(XLOOKUP(FILTER(INDIRECT(""'""&amp;CP$1&amp;""'!$C$4:$C$66""),INDIRECT(""'""&amp;CP$1&amp;""'!$D$4:$D$66"")=CP$2),$F$3:$BP$3,$F161:$BP161))),"""")"),"")</f>
        <v/>
      </c>
      <c r="CR161" s="251">
        <f>IFERROR(__xludf.DUMMYFUNCTION("AVERAGE(ARRAYFORMULA(XLOOKUP(FILTER(INDIRECT(""'""&amp;CR$1&amp;""'!$C$4:$C$66""),INDIRECT(""'""&amp;CR$1&amp;""'!$D$4:$D$66"")=CR$2),$F$3:$BP$3,$F161:$BP161)))"),0.4757236211111112)</f>
        <v>0.4757236211</v>
      </c>
      <c r="CS161" s="207" t="str">
        <f>IFERROR(__xludf.DUMMYFUNCTION("IF(OR(CR161&gt;$BR161+$BS161*$BS$2,CR161&lt;$BR161-$BS161*$BS$2),AVEDEV(ARRAYFORMULA(XLOOKUP(FILTER(INDIRECT(""'""&amp;CR$1&amp;""'!$C$4:$C$66""),INDIRECT(""'""&amp;CR$1&amp;""'!$D$4:$D$66"")=CR$2),$F$3:$BP$3,$F161:$BP161))),"""")"),"")</f>
        <v/>
      </c>
      <c r="CT161" s="251">
        <f>IFERROR(__xludf.DUMMYFUNCTION("AVERAGE(ARRAYFORMULA(XLOOKUP(FILTER(INDIRECT(""'""&amp;CT$1&amp;""'!$C$4:$C$66""),INDIRECT(""'""&amp;CT$1&amp;""'!$D$4:$D$66"")=CT$2),$F$3:$BP$3,$F161:$BP161)))"),0.3290043281818182)</f>
        <v>0.3290043282</v>
      </c>
      <c r="CU161" s="207" t="str">
        <f>IFERROR(__xludf.DUMMYFUNCTION("IF(OR(CT161&gt;$BR161+$BS161*$BS$2,CT161&lt;$BR161-$BS161*$BS$2),AVEDEV(ARRAYFORMULA(XLOOKUP(FILTER(INDIRECT(""'""&amp;CT$1&amp;""'!$C$4:$C$66""),INDIRECT(""'""&amp;CT$1&amp;""'!$D$4:$D$66"")=CT$2),$F$3:$BP$3,$F161:$BP161))),"""")"),"")</f>
        <v/>
      </c>
      <c r="CV161" s="251">
        <f>IFERROR(__xludf.DUMMYFUNCTION("AVERAGE(ARRAYFORMULA(XLOOKUP(FILTER(INDIRECT(""'""&amp;CV$1&amp;""'!$C$4:$C$66""),INDIRECT(""'""&amp;CV$1&amp;""'!$D$4:$D$66"")=CV$2),$F$3:$BP$3,$F161:$BP161)))"),0.00980392)</f>
        <v>0.00980392</v>
      </c>
      <c r="CW161" s="207" t="str">
        <f>IFERROR(__xludf.DUMMYFUNCTION("IF(OR(CV161&gt;$BR161+$BS161*$BS$2,CV161&lt;$BR161-$BS161*$BS$2),AVEDEV(ARRAYFORMULA(XLOOKUP(FILTER(INDIRECT(""'""&amp;CV$1&amp;""'!$C$4:$C$66""),INDIRECT(""'""&amp;CV$1&amp;""'!$D$4:$D$66"")=CV$2),$F$3:$BP$3,$F161:$BP161))),"""")"),"")</f>
        <v/>
      </c>
      <c r="CX161" s="251">
        <f>IFERROR(__xludf.DUMMYFUNCTION("AVERAGE(ARRAYFORMULA(XLOOKUP(FILTER(INDIRECT(""'""&amp;CX$1&amp;""'!$C$4:$C$66""),INDIRECT(""'""&amp;CX$1&amp;""'!$D$4:$D$66"")=CX$2),$F$3:$BP$3,$F161:$BP161)))"),-0.24829932714285716)</f>
        <v>-0.2482993271</v>
      </c>
      <c r="CY161" s="207" t="str">
        <f>IFERROR(__xludf.DUMMYFUNCTION("IF(OR(CX161&gt;$BR161+$BS161*$BS$2,CX161&lt;$BR161-$BS161*$BS$2),AVEDEV(ARRAYFORMULA(XLOOKUP(FILTER(INDIRECT(""'""&amp;CX$1&amp;""'!$C$4:$C$66""),INDIRECT(""'""&amp;CX$1&amp;""'!$D$4:$D$66"")=CX$2),$F$3:$BP$3,$F161:$BP161))),"""")"),"")</f>
        <v/>
      </c>
      <c r="CZ161" s="252"/>
      <c r="DA161" s="251">
        <f>IFERROR(__xludf.DUMMYFUNCTION("AVERAGE(ARRAYFORMULA(XLOOKUP(FILTER(INDIRECT(""'""&amp;DA$1&amp;""'!$C$4:$C$66""),INDIRECT(""'""&amp;DA$1&amp;""'!$D$4:$D$66"")=DA$2),$F$3:$BP$3,$F161:$BP161)))"),-0.27711484566666655)</f>
        <v>-0.2771148457</v>
      </c>
      <c r="DB161" s="207" t="str">
        <f>IFERROR(__xludf.DUMMYFUNCTION("IF(OR(DA161&gt;$BR161+$BS161*$BS$2,DA161&lt;$BR161-$BS161*$BS$2),AVEDEV(ARRAYFORMULA(XLOOKUP(FILTER(INDIRECT(""'""&amp;DA$1&amp;""'!$C$4:$C$66""),INDIRECT(""'""&amp;DA$1&amp;""'!$D$4:$D$66"")=DA$2),$F$3:$BP$3,$F161:$BP161))),"""")"),"")</f>
        <v/>
      </c>
      <c r="DC161" s="251">
        <f>IFERROR(__xludf.DUMMYFUNCTION("AVERAGE(ARRAYFORMULA(XLOOKUP(FILTER(INDIRECT(""'""&amp;DC$1&amp;""'!$C$4:$C$66""),INDIRECT(""'""&amp;DC$1&amp;""'!$D$4:$D$66"")=DC$2),$F$3:$BP$3,$F161:$BP161)))"),0.4965764077777778)</f>
        <v>0.4965764078</v>
      </c>
      <c r="DD161" s="207" t="str">
        <f>IFERROR(__xludf.DUMMYFUNCTION("IF(OR(DC161&gt;$BR161+$BS161*$BS$2,DC161&lt;$BR161-$BS161*$BS$2),AVEDEV(ARRAYFORMULA(XLOOKUP(FILTER(INDIRECT(""'""&amp;DC$1&amp;""'!$C$4:$C$66""),INDIRECT(""'""&amp;DC$1&amp;""'!$D$4:$D$66"")=DC$2),$F$3:$BP$3,$F161:$BP161))),"""")"),"")</f>
        <v/>
      </c>
      <c r="DE161" s="251">
        <f>IFERROR(__xludf.DUMMYFUNCTION("AVERAGE(ARRAYFORMULA(XLOOKUP(FILTER(INDIRECT(""'""&amp;DE$1&amp;""'!$C$4:$C$66""),INDIRECT(""'""&amp;DE$1&amp;""'!$D$4:$D$66"")=DE$2),$F$3:$BP$3,$F161:$BP161)))"),-0.11064426999999999)</f>
        <v>-0.11064427</v>
      </c>
      <c r="DF161" s="207" t="str">
        <f>IFERROR(__xludf.DUMMYFUNCTION("IF(OR(DE161&gt;$BR161+$BS161*$BS$2,DE161&lt;$BR161-$BS161*$BS$2),AVEDEV(ARRAYFORMULA(XLOOKUP(FILTER(INDIRECT(""'""&amp;DE$1&amp;""'!$C$4:$C$66""),INDIRECT(""'""&amp;DE$1&amp;""'!$D$4:$D$66"")=DE$2),$F$3:$BP$3,$F161:$BP161))),"""")"),"")</f>
        <v/>
      </c>
      <c r="DG161" s="251">
        <f>IFERROR(__xludf.DUMMYFUNCTION("AVERAGE(ARRAYFORMULA(XLOOKUP(FILTER(INDIRECT(""'""&amp;DG$1&amp;""'!$C$4:$C$66""),INDIRECT(""'""&amp;DG$1&amp;""'!$D$4:$D$66"")=DG$2),$F$3:$BP$3,$F161:$BP161)))"),0.3257080622222222)</f>
        <v>0.3257080622</v>
      </c>
      <c r="DH161" s="207" t="str">
        <f>IFERROR(__xludf.DUMMYFUNCTION("IF(OR(DG161&gt;$BR161+$BS161*$BS$2,DG161&lt;$BR161-$BS161*$BS$2),AVEDEV(ARRAYFORMULA(XLOOKUP(FILTER(INDIRECT(""'""&amp;DG$1&amp;""'!$C$4:$C$66""),INDIRECT(""'""&amp;DG$1&amp;""'!$D$4:$D$66"")=DG$2),$F$3:$BP$3,$F161:$BP161))),"""")"),"")</f>
        <v/>
      </c>
      <c r="DI161" s="252"/>
    </row>
    <row r="162">
      <c r="A162" s="2"/>
      <c r="B162" s="204" t="s">
        <v>601</v>
      </c>
      <c r="C162" s="204" t="s">
        <v>606</v>
      </c>
      <c r="D162" s="205" t="b">
        <f>VLOOKUP(C162,'Feature Set List'!A159:C246,2,0)</f>
        <v>1</v>
      </c>
      <c r="E162" s="205" t="b">
        <f>VLOOKUP(C162,'Feature Set List'!A159:C246,3,0)</f>
        <v>1</v>
      </c>
      <c r="F162" s="205">
        <v>0.0</v>
      </c>
      <c r="G162" s="205">
        <v>-0.4457143</v>
      </c>
      <c r="H162" s="205">
        <v>-0.2306494</v>
      </c>
      <c r="I162" s="205">
        <v>0.49350649</v>
      </c>
      <c r="J162" s="205">
        <v>-1.3532468</v>
      </c>
      <c r="K162" s="205">
        <v>-0.3605195</v>
      </c>
      <c r="L162" s="205">
        <v>0.81246753</v>
      </c>
      <c r="M162" s="205">
        <v>0.22025974</v>
      </c>
      <c r="N162" s="205">
        <v>0.97038961</v>
      </c>
      <c r="O162" s="205">
        <v>0.06857143</v>
      </c>
      <c r="P162" s="205">
        <v>-1.1670649</v>
      </c>
      <c r="Q162" s="205">
        <v>0.72311688</v>
      </c>
      <c r="R162" s="205">
        <v>0.92051948</v>
      </c>
      <c r="S162" s="205">
        <v>-0.7064935</v>
      </c>
      <c r="T162" s="205">
        <v>0.44051948</v>
      </c>
      <c r="U162" s="205">
        <v>-0.1776623</v>
      </c>
      <c r="V162" s="205">
        <v>1.05038961</v>
      </c>
      <c r="W162" s="205">
        <v>1.26857143</v>
      </c>
      <c r="X162" s="205">
        <v>0.16103896</v>
      </c>
      <c r="Y162" s="205">
        <v>0.48935065</v>
      </c>
      <c r="Z162" s="205">
        <v>-0.0166234</v>
      </c>
      <c r="AA162" s="205">
        <v>0.11012987</v>
      </c>
      <c r="AB162" s="205">
        <v>0.28467532</v>
      </c>
      <c r="AC162" s="205">
        <v>-0.1381818</v>
      </c>
      <c r="AD162" s="205">
        <v>-0.2950649</v>
      </c>
      <c r="AE162" s="205">
        <v>-0.2877922</v>
      </c>
      <c r="AF162" s="205">
        <v>0.1974026</v>
      </c>
      <c r="AG162" s="205">
        <v>1.08155844</v>
      </c>
      <c r="AH162" s="205">
        <v>0.35220779</v>
      </c>
      <c r="AI162" s="205">
        <v>2.17142857</v>
      </c>
      <c r="AJ162" s="205">
        <v>-1.0723117</v>
      </c>
      <c r="AK162" s="205">
        <v>-0.4768831</v>
      </c>
      <c r="AL162" s="205">
        <v>-0.0051948</v>
      </c>
      <c r="AM162" s="205">
        <v>0.11220779</v>
      </c>
      <c r="AN162" s="205">
        <v>-1.2424935</v>
      </c>
      <c r="AO162" s="205">
        <v>-0.9974026</v>
      </c>
      <c r="AP162" s="205">
        <v>0.81246753</v>
      </c>
      <c r="AQ162" s="205">
        <v>-0.8542338</v>
      </c>
      <c r="AR162" s="205">
        <v>-0.5215584</v>
      </c>
      <c r="AS162" s="205">
        <v>0.32103896</v>
      </c>
      <c r="AT162" s="205">
        <v>-1.7448312</v>
      </c>
      <c r="AU162" s="205">
        <v>0.66805195</v>
      </c>
      <c r="AV162" s="205">
        <v>0.23896104</v>
      </c>
      <c r="AW162" s="205">
        <v>-0.3418182</v>
      </c>
      <c r="AX162" s="205">
        <v>0.56311688</v>
      </c>
      <c r="AY162" s="205">
        <v>0.87896104</v>
      </c>
      <c r="AZ162" s="205">
        <v>-0.1309091</v>
      </c>
      <c r="BA162" s="205">
        <v>-0.5911688</v>
      </c>
      <c r="BB162" s="205">
        <v>0.07584416</v>
      </c>
      <c r="BC162" s="205">
        <v>-1.6337662</v>
      </c>
      <c r="BD162" s="205">
        <v>0.71376623</v>
      </c>
      <c r="BE162" s="205">
        <v>0.08</v>
      </c>
      <c r="BF162" s="205">
        <v>-0.5485714</v>
      </c>
      <c r="BG162" s="205">
        <v>-0.3407792</v>
      </c>
      <c r="BH162" s="205">
        <v>-0.7584416</v>
      </c>
      <c r="BI162" s="205">
        <v>0.95272727</v>
      </c>
      <c r="BJ162" s="205">
        <v>-0.4477922</v>
      </c>
      <c r="BK162" s="205">
        <v>-0.4664935</v>
      </c>
      <c r="BL162" s="205">
        <v>-0.6784416</v>
      </c>
      <c r="BM162" s="205">
        <v>-1.0992208</v>
      </c>
      <c r="BN162" s="205">
        <v>0.81246753</v>
      </c>
      <c r="BO162" s="205">
        <v>-0.265974</v>
      </c>
      <c r="BP162" s="205">
        <v>1.25818182</v>
      </c>
      <c r="BQ162" s="206"/>
      <c r="BR162" s="250">
        <f t="shared" si="1"/>
        <v>-0.00148258127</v>
      </c>
      <c r="BS162" s="250">
        <f t="shared" si="2"/>
        <v>0.6143282121</v>
      </c>
      <c r="BT162" s="206"/>
      <c r="BU162" s="207">
        <f>IFERROR(__xludf.DUMMYFUNCTION("AVERAGE(ARRAYFORMULA(XLOOKUP(FILTER(INDIRECT(""'""&amp;BU$1&amp;""'!$C$4:$C$66""),INDIRECT(""'""&amp;BU$1&amp;""'!$D$4:$D$66"")=BU$2),$F$3:$BP$3,$F162:$BP162)))"),0.09797403142857149)</f>
        <v>0.09797403143</v>
      </c>
      <c r="BV162" s="207" t="str">
        <f>IFERROR(__xludf.DUMMYFUNCTION("IF(OR(BU162&gt;$BR162+$BS162*$BS$2,BU162&lt;$BR162-$BS162*$BS$2),AVEDEV(ARRAYFORMULA(XLOOKUP(FILTER(INDIRECT(""'""&amp;BU$1&amp;""'!$C$4:$C$66""),INDIRECT(""'""&amp;BU$1&amp;""'!$D$4:$D$66"")=BU$2),$F$3:$BP$3,$F162:$BP162))),"""")"),"")</f>
        <v/>
      </c>
      <c r="BW162" s="207">
        <f>IFERROR(__xludf.DUMMYFUNCTION("AVERAGE(ARRAYFORMULA(XLOOKUP(FILTER(INDIRECT(""'""&amp;BW$1&amp;""'!$C$4:$C$66""),INDIRECT(""'""&amp;BW$1&amp;""'!$D$4:$D$66"")=BW$2),$F$3:$BP$3,$F162:$BP162)))"),0.048160792619047606)</f>
        <v>0.04816079262</v>
      </c>
      <c r="BX162" s="207" t="str">
        <f>IFERROR(__xludf.DUMMYFUNCTION("IF(OR(BW162&gt;$BR162+$BS162*$BS$2,BW162&lt;$BR162-$BS162*$BS$2),AVEDEV(ARRAYFORMULA(XLOOKUP(FILTER(INDIRECT(""'""&amp;BW$1&amp;""'!$C$4:$C$66""),INDIRECT(""'""&amp;BW$1&amp;""'!$D$4:$D$66"")=BW$2),$F$3:$BP$3,$F162:$BP162))),"""")"),"")</f>
        <v/>
      </c>
      <c r="BY162" s="207">
        <f>IFERROR(__xludf.DUMMYFUNCTION("AVERAGE(ARRAYFORMULA(XLOOKUP(FILTER(INDIRECT(""'""&amp;BY$1&amp;""'!$C$4:$C$66""),INDIRECT(""'""&amp;BY$1&amp;""'!$D$4:$D$66"")=BY$2),$F$3:$BP$3,$F162:$BP162)))"),0.07338842454545456)</f>
        <v>0.07338842455</v>
      </c>
      <c r="BZ162" s="207" t="str">
        <f>IFERROR(__xludf.DUMMYFUNCTION("IF(OR(BY162&gt;$BR162+$BS162*$BS$2,BY162&lt;$BR162-$BS162*$BS$2),AVEDEV(ARRAYFORMULA(XLOOKUP(FILTER(INDIRECT(""'""&amp;BY$1&amp;""'!$C$4:$C$66""),INDIRECT(""'""&amp;BY$1&amp;""'!$D$4:$D$66"")=BY$2),$F$3:$BP$3,$F162:$BP162))),"""")"),"")</f>
        <v/>
      </c>
      <c r="CA162" s="209"/>
      <c r="CB162" s="207">
        <f>IFERROR(__xludf.DUMMYFUNCTION("AVERAGE(ARRAYFORMULA(XLOOKUP(FILTER(INDIRECT(""'""&amp;CB$1&amp;""'!$C$4:$C$66""),INDIRECT(""'""&amp;CB$1&amp;""'!$D$4:$D$66"")=CB$2),$F$3:$BP$3,$F162:$BP162)))"),-0.111012985625)</f>
        <v>-0.1110129856</v>
      </c>
      <c r="CC162" s="207" t="str">
        <f>IFERROR(__xludf.DUMMYFUNCTION("IF(OR(CB162&gt;$BR162+$BS162*$BS$2,CB162&lt;$BR162-$BS162*$BS$2),AVEDEV(ARRAYFORMULA(XLOOKUP(FILTER(INDIRECT(""'""&amp;CB$1&amp;""'!$C$4:$C$66""),INDIRECT(""'""&amp;CB$1&amp;""'!$D$4:$D$66"")=CB$2),$F$3:$BP$3,$F162:$BP162))),"""")"),"")</f>
        <v/>
      </c>
      <c r="CD162" s="207">
        <f>IFERROR(__xludf.DUMMYFUNCTION("AVERAGE(ARRAYFORMULA(XLOOKUP(FILTER(INDIRECT(""'""&amp;CD$1&amp;""'!$C$4:$C$66""),INDIRECT(""'""&amp;CD$1&amp;""'!$D$4:$D$66"")=CD$2),$F$3:$BP$3,$F162:$BP162)))"),0.2784985341935483)</f>
        <v>0.2784985342</v>
      </c>
      <c r="CE162" s="207" t="str">
        <f>IFERROR(__xludf.DUMMYFUNCTION("IF(OR(CD162&gt;$BR162+$BS162*$BS$2,CD162&lt;$BR162-$BS162*$BS$2),AVEDEV(ARRAYFORMULA(XLOOKUP(FILTER(INDIRECT(""'""&amp;CD$1&amp;""'!$C$4:$C$66""),INDIRECT(""'""&amp;CD$1&amp;""'!$D$4:$D$66"")=CD$2),$F$3:$BP$3,$F162:$BP162))),"""")"),"")</f>
        <v/>
      </c>
      <c r="CF162" s="207">
        <f>IFERROR(__xludf.DUMMYFUNCTION("AVERAGE(ARRAYFORMULA(XLOOKUP(FILTER(INDIRECT(""'""&amp;CF$1&amp;""'!$C$4:$C$66""),INDIRECT(""'""&amp;CF$1&amp;""'!$D$4:$D$66"")=CF$2),$F$3:$BP$3,$F162:$BP162)))"),-0.367792194)</f>
        <v>-0.367792194</v>
      </c>
      <c r="CG162" s="207" t="str">
        <f>IFERROR(__xludf.DUMMYFUNCTION("IF(OR(CF162&gt;$BR162+$BS162*$BS$2,CF162&lt;$BR162-$BS162*$BS$2),AVEDEV(ARRAYFORMULA(XLOOKUP(FILTER(INDIRECT(""'""&amp;CF$1&amp;""'!$C$4:$C$66""),INDIRECT(""'""&amp;CF$1&amp;""'!$D$4:$D$66"")=CF$2),$F$3:$BP$3,$F162:$BP162))),"""")"),"")</f>
        <v/>
      </c>
      <c r="CH162" s="206"/>
      <c r="CI162" s="251">
        <f>IFERROR(__xludf.DUMMYFUNCTION("AVERAGE(ARRAYFORMULA(XLOOKUP(FILTER(INDIRECT(""'""&amp;CI$1&amp;""'!$C$4:$C$66""),INDIRECT(""'""&amp;CI$1&amp;""'!$D$4:$D$66"")=CI$2),$F$3:$BP$3,$F162:$BP162)))"),0.2555151506666667)</f>
        <v>0.2555151507</v>
      </c>
      <c r="CJ162" s="207" t="str">
        <f>IFERROR(__xludf.DUMMYFUNCTION("IF(OR(CI162&gt;$BR162+$BS162*$BS$2,CI162&lt;$BR162-$BS162*$BS$2),AVEDEV(ARRAYFORMULA(XLOOKUP(FILTER(INDIRECT(""'""&amp;CI$1&amp;""'!$C$4:$C$66""),INDIRECT(""'""&amp;CI$1&amp;""'!$D$4:$D$66"")=CI$2),$F$3:$BP$3,$F162:$BP162))),"""")"),"")</f>
        <v/>
      </c>
      <c r="CK162" s="251">
        <f>IFERROR(__xludf.DUMMYFUNCTION("AVERAGE(ARRAYFORMULA(XLOOKUP(FILTER(INDIRECT(""'""&amp;CK$1&amp;""'!$C$4:$C$66""),INDIRECT(""'""&amp;CK$1&amp;""'!$D$4:$D$66"")=CK$2),$F$3:$BP$3,$F162:$BP162)))"),0.05098900999999997)</f>
        <v>0.05098901</v>
      </c>
      <c r="CL162" s="207" t="str">
        <f>IFERROR(__xludf.DUMMYFUNCTION("IF(OR(CK162&gt;$BR162+$BS162*$BS$2,CK162&lt;$BR162-$BS162*$BS$2),AVEDEV(ARRAYFORMULA(XLOOKUP(FILTER(INDIRECT(""'""&amp;CK$1&amp;""'!$C$4:$C$66""),INDIRECT(""'""&amp;CK$1&amp;""'!$D$4:$D$66"")=CK$2),$F$3:$BP$3,$F162:$BP162))),"""")"),"")</f>
        <v/>
      </c>
      <c r="CM162" s="251">
        <f>IFERROR(__xludf.DUMMYFUNCTION("AVERAGE(ARRAYFORMULA(XLOOKUP(FILTER(INDIRECT(""'""&amp;CM$1&amp;""'!$C$4:$C$66""),INDIRECT(""'""&amp;CM$1&amp;""'!$D$4:$D$66"")=CM$2),$F$3:$BP$3,$F162:$BP162)))"),-0.367792194)</f>
        <v>-0.367792194</v>
      </c>
      <c r="CN162" s="207" t="str">
        <f>IFERROR(__xludf.DUMMYFUNCTION("IF(OR(CM162&gt;$BR162+$BS162*$BS$2,CM162&lt;$BR162-$BS162*$BS$2),AVEDEV(ARRAYFORMULA(XLOOKUP(FILTER(INDIRECT(""'""&amp;CM$1&amp;""'!$C$4:$C$66""),INDIRECT(""'""&amp;CM$1&amp;""'!$D$4:$D$66"")=CM$2),$F$3:$BP$3,$F162:$BP162))),"""")"),"")</f>
        <v/>
      </c>
      <c r="CO162" s="252"/>
      <c r="CP162" s="251">
        <f>IFERROR(__xludf.DUMMYFUNCTION("AVERAGE(ARRAYFORMULA(XLOOKUP(FILTER(INDIRECT(""'""&amp;CP$1&amp;""'!$C$4:$C$66""),INDIRECT(""'""&amp;CP$1&amp;""'!$D$4:$D$66"")=CP$2),$F$3:$BP$3,$F162:$BP162)))"),-0.10843042214285713)</f>
        <v>-0.1084304221</v>
      </c>
      <c r="CQ162" s="207" t="str">
        <f>IFERROR(__xludf.DUMMYFUNCTION("IF(OR(CP162&gt;$BR162+$BS162*$BS$2,CP162&lt;$BR162-$BS162*$BS$2),AVEDEV(ARRAYFORMULA(XLOOKUP(FILTER(INDIRECT(""'""&amp;CP$1&amp;""'!$C$4:$C$66""),INDIRECT(""'""&amp;CP$1&amp;""'!$D$4:$D$66"")=CP$2),$F$3:$BP$3,$F162:$BP162))),"""")"),"")</f>
        <v/>
      </c>
      <c r="CR162" s="251">
        <f>IFERROR(__xludf.DUMMYFUNCTION("AVERAGE(ARRAYFORMULA(XLOOKUP(FILTER(INDIRECT(""'""&amp;CR$1&amp;""'!$C$4:$C$66""),INDIRECT(""'""&amp;CR$1&amp;""'!$D$4:$D$66"")=CR$2),$F$3:$BP$3,$F162:$BP162)))"),0.06741702555555558)</f>
        <v>0.06741702556</v>
      </c>
      <c r="CS162" s="207" t="str">
        <f>IFERROR(__xludf.DUMMYFUNCTION("IF(OR(CR162&gt;$BR162+$BS162*$BS$2,CR162&lt;$BR162-$BS162*$BS$2),AVEDEV(ARRAYFORMULA(XLOOKUP(FILTER(INDIRECT(""'""&amp;CR$1&amp;""'!$C$4:$C$66""),INDIRECT(""'""&amp;CR$1&amp;""'!$D$4:$D$66"")=CR$2),$F$3:$BP$3,$F162:$BP162))),"""")"),"")</f>
        <v/>
      </c>
      <c r="CT162" s="251">
        <f>IFERROR(__xludf.DUMMYFUNCTION("AVERAGE(ARRAYFORMULA(XLOOKUP(FILTER(INDIRECT(""'""&amp;CT$1&amp;""'!$C$4:$C$66""),INDIRECT(""'""&amp;CT$1&amp;""'!$D$4:$D$66"")=CT$2),$F$3:$BP$3,$F162:$BP162)))"),0.4097284536363636)</f>
        <v>0.4097284536</v>
      </c>
      <c r="CU162" s="207" t="str">
        <f>IFERROR(__xludf.DUMMYFUNCTION("IF(OR(CT162&gt;$BR162+$BS162*$BS$2,CT162&lt;$BR162-$BS162*$BS$2),AVEDEV(ARRAYFORMULA(XLOOKUP(FILTER(INDIRECT(""'""&amp;CT$1&amp;""'!$C$4:$C$66""),INDIRECT(""'""&amp;CT$1&amp;""'!$D$4:$D$66"")=CT$2),$F$3:$BP$3,$F162:$BP162))),"""")"),"")</f>
        <v/>
      </c>
      <c r="CV162" s="251">
        <f>IFERROR(__xludf.DUMMYFUNCTION("AVERAGE(ARRAYFORMULA(XLOOKUP(FILTER(INDIRECT(""'""&amp;CV$1&amp;""'!$C$4:$C$66""),INDIRECT(""'""&amp;CV$1&amp;""'!$D$4:$D$66"")=CV$2),$F$3:$BP$3,$F162:$BP162)))"),-0.23948049999999999)</f>
        <v>-0.2394805</v>
      </c>
      <c r="CW162" s="207" t="str">
        <f>IFERROR(__xludf.DUMMYFUNCTION("IF(OR(CV162&gt;$BR162+$BS162*$BS$2,CV162&lt;$BR162-$BS162*$BS$2),AVEDEV(ARRAYFORMULA(XLOOKUP(FILTER(INDIRECT(""'""&amp;CV$1&amp;""'!$C$4:$C$66""),INDIRECT(""'""&amp;CV$1&amp;""'!$D$4:$D$66"")=CV$2),$F$3:$BP$3,$F162:$BP162))),"""")"),"")</f>
        <v/>
      </c>
      <c r="CX162" s="251">
        <f>IFERROR(__xludf.DUMMYFUNCTION("AVERAGE(ARRAYFORMULA(XLOOKUP(FILTER(INDIRECT(""'""&amp;CX$1&amp;""'!$C$4:$C$66""),INDIRECT(""'""&amp;CX$1&amp;""'!$D$4:$D$66"")=CX$2),$F$3:$BP$3,$F162:$BP162)))"),0.16189238928571428)</f>
        <v>0.1618923893</v>
      </c>
      <c r="CY162" s="207" t="str">
        <f>IFERROR(__xludf.DUMMYFUNCTION("IF(OR(CX162&gt;$BR162+$BS162*$BS$2,CX162&lt;$BR162-$BS162*$BS$2),AVEDEV(ARRAYFORMULA(XLOOKUP(FILTER(INDIRECT(""'""&amp;CX$1&amp;""'!$C$4:$C$66""),INDIRECT(""'""&amp;CX$1&amp;""'!$D$4:$D$66"")=CX$2),$F$3:$BP$3,$F162:$BP162))),"""")"),"")</f>
        <v/>
      </c>
      <c r="CZ162" s="252"/>
      <c r="DA162" s="251">
        <f>IFERROR(__xludf.DUMMYFUNCTION("AVERAGE(ARRAYFORMULA(XLOOKUP(FILTER(INDIRECT(""'""&amp;DA$1&amp;""'!$C$4:$C$66""),INDIRECT(""'""&amp;DA$1&amp;""'!$D$4:$D$66"")=DA$2),$F$3:$BP$3,$F162:$BP162)))"),-0.04612640466666667)</f>
        <v>-0.04612640467</v>
      </c>
      <c r="DB162" s="207" t="str">
        <f>IFERROR(__xludf.DUMMYFUNCTION("IF(OR(DA162&gt;$BR162+$BS162*$BS$2,DA162&lt;$BR162-$BS162*$BS$2),AVEDEV(ARRAYFORMULA(XLOOKUP(FILTER(INDIRECT(""'""&amp;DA$1&amp;""'!$C$4:$C$66""),INDIRECT(""'""&amp;DA$1&amp;""'!$D$4:$D$66"")=DA$2),$F$3:$BP$3,$F162:$BP162))),"""")"),"")</f>
        <v/>
      </c>
      <c r="DC162" s="251">
        <f>IFERROR(__xludf.DUMMYFUNCTION("AVERAGE(ARRAYFORMULA(XLOOKUP(FILTER(INDIRECT(""'""&amp;DC$1&amp;""'!$C$4:$C$66""),INDIRECT(""'""&amp;DC$1&amp;""'!$D$4:$D$66"")=DC$2),$F$3:$BP$3,$F162:$BP162)))"),0.08034631333333335)</f>
        <v>0.08034631333</v>
      </c>
      <c r="DD162" s="207" t="str">
        <f>IFERROR(__xludf.DUMMYFUNCTION("IF(OR(DC162&gt;$BR162+$BS162*$BS$2,DC162&lt;$BR162-$BS162*$BS$2),AVEDEV(ARRAYFORMULA(XLOOKUP(FILTER(INDIRECT(""'""&amp;DC$1&amp;""'!$C$4:$C$66""),INDIRECT(""'""&amp;DC$1&amp;""'!$D$4:$D$66"")=DC$2),$F$3:$BP$3,$F162:$BP162))),"""")"),"")</f>
        <v/>
      </c>
      <c r="DE162" s="251">
        <f>IFERROR(__xludf.DUMMYFUNCTION("AVERAGE(ARRAYFORMULA(XLOOKUP(FILTER(INDIRECT(""'""&amp;DE$1&amp;""'!$C$4:$C$66""),INDIRECT(""'""&amp;DE$1&amp;""'!$D$4:$D$66"")=DE$2),$F$3:$BP$3,$F162:$BP162)))"),0.8314285674999999)</f>
        <v>0.8314285675</v>
      </c>
      <c r="DF162" s="207">
        <f>IFERROR(__xludf.DUMMYFUNCTION("IF(OR(DE162&gt;$BR162+$BS162*$BS$2,DE162&lt;$BR162-$BS162*$BS$2),AVEDEV(ARRAYFORMULA(XLOOKUP(FILTER(INDIRECT(""'""&amp;DE$1&amp;""'!$C$4:$C$66""),INDIRECT(""'""&amp;DE$1&amp;""'!$D$4:$D$66"")=DE$2),$F$3:$BP$3,$F162:$BP162))),"""")"),0.40389610749999993)</f>
        <v>0.4038961075</v>
      </c>
      <c r="DG162" s="251">
        <f>IFERROR(__xludf.DUMMYFUNCTION("AVERAGE(ARRAYFORMULA(XLOOKUP(FILTER(INDIRECT(""'""&amp;DG$1&amp;""'!$C$4:$C$66""),INDIRECT(""'""&amp;DG$1&amp;""'!$D$4:$D$66"")=DG$2),$F$3:$BP$3,$F162:$BP162)))"),-0.13113996333333336)</f>
        <v>-0.1311399633</v>
      </c>
      <c r="DH162" s="207" t="str">
        <f>IFERROR(__xludf.DUMMYFUNCTION("IF(OR(DG162&gt;$BR162+$BS162*$BS$2,DG162&lt;$BR162-$BS162*$BS$2),AVEDEV(ARRAYFORMULA(XLOOKUP(FILTER(INDIRECT(""'""&amp;DG$1&amp;""'!$C$4:$C$66""),INDIRECT(""'""&amp;DG$1&amp;""'!$D$4:$D$66"")=DG$2),$F$3:$BP$3,$F162:$BP162))),"""")"),"")</f>
        <v/>
      </c>
      <c r="DI162" s="252"/>
    </row>
    <row r="163">
      <c r="A163" s="2"/>
      <c r="B163" s="204" t="s">
        <v>601</v>
      </c>
      <c r="C163" s="204" t="s">
        <v>607</v>
      </c>
      <c r="D163" s="205" t="b">
        <f>VLOOKUP(C163,'Feature Set List'!A160:C246,2,0)</f>
        <v>1</v>
      </c>
      <c r="E163" s="205" t="b">
        <f>VLOOKUP(C163,'Feature Set List'!A160:C246,3,0)</f>
        <v>1</v>
      </c>
      <c r="F163" s="205">
        <v>-0.3203079</v>
      </c>
      <c r="G163" s="205">
        <v>-0.2417604</v>
      </c>
      <c r="H163" s="205">
        <v>0.10519045</v>
      </c>
      <c r="I163" s="205">
        <v>0.51115058</v>
      </c>
      <c r="J163" s="205">
        <v>-1.0063154</v>
      </c>
      <c r="K163" s="205">
        <v>0.39984212</v>
      </c>
      <c r="L163" s="205">
        <v>0.55259522</v>
      </c>
      <c r="M163" s="205">
        <v>0.41207815</v>
      </c>
      <c r="N163" s="205">
        <v>1.58871127</v>
      </c>
      <c r="O163" s="205">
        <v>1.21373594</v>
      </c>
      <c r="P163" s="205">
        <v>-0.79179</v>
      </c>
      <c r="Q163" s="205">
        <v>0.96112098</v>
      </c>
      <c r="R163" s="205">
        <v>0.87428459</v>
      </c>
      <c r="S163" s="205">
        <v>0.1997237</v>
      </c>
      <c r="T163" s="205">
        <v>0.09275706</v>
      </c>
      <c r="U163" s="205">
        <v>-0.2226169</v>
      </c>
      <c r="V163" s="205">
        <v>0.3357016</v>
      </c>
      <c r="W163" s="205">
        <v>0.55456878</v>
      </c>
      <c r="X163" s="205">
        <v>0.41128873</v>
      </c>
      <c r="Y163" s="205">
        <v>-0.4322084</v>
      </c>
      <c r="Z163" s="205">
        <v>-0.4592461</v>
      </c>
      <c r="AA163" s="205">
        <v>-0.1545293</v>
      </c>
      <c r="AB163" s="205">
        <v>0.27373199</v>
      </c>
      <c r="AC163" s="205">
        <v>-0.6589698</v>
      </c>
      <c r="AD163" s="205">
        <v>1.18413262</v>
      </c>
      <c r="AE163" s="205">
        <v>0.11762384</v>
      </c>
      <c r="AF163" s="205">
        <v>-0.4789816</v>
      </c>
      <c r="AG163" s="205">
        <v>1.01045984</v>
      </c>
      <c r="AH163" s="205">
        <v>0.01776199</v>
      </c>
      <c r="AI163" s="205">
        <v>2.06039076</v>
      </c>
      <c r="AJ163" s="205">
        <v>-0.8229722</v>
      </c>
      <c r="AK163" s="205">
        <v>-0.5117426</v>
      </c>
      <c r="AL163" s="205">
        <v>0.65127294</v>
      </c>
      <c r="AM163" s="205">
        <v>0.0</v>
      </c>
      <c r="AN163" s="205">
        <v>-1.0817052</v>
      </c>
      <c r="AO163" s="205">
        <v>-0.5289126</v>
      </c>
      <c r="AP163" s="205">
        <v>0.35070061</v>
      </c>
      <c r="AQ163" s="205">
        <v>-0.9034932</v>
      </c>
      <c r="AR163" s="205">
        <v>0.37852773</v>
      </c>
      <c r="AS163" s="205">
        <v>0.55456878</v>
      </c>
      <c r="AT163" s="205">
        <v>-0.9392145</v>
      </c>
      <c r="AU163" s="205">
        <v>-0.0684823</v>
      </c>
      <c r="AV163" s="205">
        <v>-0.1720939</v>
      </c>
      <c r="AW163" s="205">
        <v>0.18946122</v>
      </c>
      <c r="AX163" s="205">
        <v>-1.1837379</v>
      </c>
      <c r="AY163" s="205">
        <v>0.79928952</v>
      </c>
      <c r="AZ163" s="205">
        <v>1.16834419</v>
      </c>
      <c r="BA163" s="205">
        <v>-0.6078547</v>
      </c>
      <c r="BB163" s="205">
        <v>0.55062167</v>
      </c>
      <c r="BC163" s="205">
        <v>-0.3191237</v>
      </c>
      <c r="BD163" s="205">
        <v>-0.0759818</v>
      </c>
      <c r="BE163" s="205">
        <v>-0.2123545</v>
      </c>
      <c r="BF163" s="205">
        <v>0.68679692</v>
      </c>
      <c r="BG163" s="205">
        <v>-0.9135583</v>
      </c>
      <c r="BH163" s="205">
        <v>-0.5054273</v>
      </c>
      <c r="BI163" s="205">
        <v>1.40714427</v>
      </c>
      <c r="BJ163" s="205">
        <v>-0.1908427</v>
      </c>
      <c r="BK163" s="205">
        <v>-0.7485692</v>
      </c>
      <c r="BL163" s="205">
        <v>-0.4849023</v>
      </c>
      <c r="BM163" s="205">
        <v>-0.2757055</v>
      </c>
      <c r="BN163" s="205">
        <v>-0.2725479</v>
      </c>
      <c r="BO163" s="205">
        <v>-0.4110914</v>
      </c>
      <c r="BP163" s="205">
        <v>0.05703572</v>
      </c>
      <c r="BQ163" s="206"/>
      <c r="BR163" s="250">
        <f t="shared" si="1"/>
        <v>0.05831070286</v>
      </c>
      <c r="BS163" s="250">
        <f t="shared" si="2"/>
        <v>0.5684065298</v>
      </c>
      <c r="BT163" s="206"/>
      <c r="BU163" s="207">
        <f>IFERROR(__xludf.DUMMYFUNCTION("AVERAGE(ARRAYFORMULA(XLOOKUP(FILTER(INDIRECT(""'""&amp;BU$1&amp;""'!$C$4:$C$66""),INDIRECT(""'""&amp;BU$1&amp;""'!$D$4:$D$66"")=BU$2),$F$3:$BP$3,$F163:$BP163)))"),-0.43578899428571427)</f>
        <v>-0.4357889943</v>
      </c>
      <c r="BV163" s="207" t="str">
        <f>IFERROR(__xludf.DUMMYFUNCTION("IF(OR(BU163&gt;$BR163+$BS163*$BS$2,BU163&lt;$BR163-$BS163*$BS$2),AVEDEV(ARRAYFORMULA(XLOOKUP(FILTER(INDIRECT(""'""&amp;BU$1&amp;""'!$C$4:$C$66""),INDIRECT(""'""&amp;BU$1&amp;""'!$D$4:$D$66"")=BU$2),$F$3:$BP$3,$F163:$BP163))),"""")"),"")</f>
        <v/>
      </c>
      <c r="BW163" s="207">
        <f>IFERROR(__xludf.DUMMYFUNCTION("AVERAGE(ARRAYFORMULA(XLOOKUP(FILTER(INDIRECT(""'""&amp;BW$1&amp;""'!$C$4:$C$66""),INDIRECT(""'""&amp;BW$1&amp;""'!$D$4:$D$66"")=BW$2),$F$3:$BP$3,$F163:$BP163)))"),0.08295976976190475)</f>
        <v>0.08295976976</v>
      </c>
      <c r="BX163" s="207" t="str">
        <f>IFERROR(__xludf.DUMMYFUNCTION("IF(OR(BW163&gt;$BR163+$BS163*$BS$2,BW163&lt;$BR163-$BS163*$BS$2),AVEDEV(ARRAYFORMULA(XLOOKUP(FILTER(INDIRECT(""'""&amp;BW$1&amp;""'!$C$4:$C$66""),INDIRECT(""'""&amp;BW$1&amp;""'!$D$4:$D$66"")=BW$2),$F$3:$BP$3,$F163:$BP163))),"""")"),"")</f>
        <v/>
      </c>
      <c r="BY163" s="207">
        <f>IFERROR(__xludf.DUMMYFUNCTION("AVERAGE(ARRAYFORMULA(XLOOKUP(FILTER(INDIRECT(""'""&amp;BY$1&amp;""'!$C$4:$C$66""),INDIRECT(""'""&amp;BY$1&amp;""'!$D$4:$D$66"")=BY$2),$F$3:$BP$3,$F163:$BP163)))"),0.39935769636363644)</f>
        <v>0.3993576964</v>
      </c>
      <c r="BZ163" s="207" t="str">
        <f>IFERROR(__xludf.DUMMYFUNCTION("IF(OR(BY163&gt;$BR163+$BS163*$BS$2,BY163&lt;$BR163-$BS163*$BS$2),AVEDEV(ARRAYFORMULA(XLOOKUP(FILTER(INDIRECT(""'""&amp;BY$1&amp;""'!$C$4:$C$66""),INDIRECT(""'""&amp;BY$1&amp;""'!$D$4:$D$66"")=BY$2),$F$3:$BP$3,$F163:$BP163))),"""")"),"")</f>
        <v/>
      </c>
      <c r="CA163" s="209"/>
      <c r="CB163" s="207">
        <f>IFERROR(__xludf.DUMMYFUNCTION("AVERAGE(ARRAYFORMULA(XLOOKUP(FILTER(INDIRECT(""'""&amp;CB$1&amp;""'!$C$4:$C$66""),INDIRECT(""'""&amp;CB$1&amp;""'!$D$4:$D$66"")=CB$2),$F$3:$BP$3,$F163:$BP163)))"),-0.073169525625)</f>
        <v>-0.07316952563</v>
      </c>
      <c r="CC163" s="207" t="str">
        <f>IFERROR(__xludf.DUMMYFUNCTION("IF(OR(CB163&gt;$BR163+$BS163*$BS$2,CB163&lt;$BR163-$BS163*$BS$2),AVEDEV(ARRAYFORMULA(XLOOKUP(FILTER(INDIRECT(""'""&amp;CB$1&amp;""'!$C$4:$C$66""),INDIRECT(""'""&amp;CB$1&amp;""'!$D$4:$D$66"")=CB$2),$F$3:$BP$3,$F163:$BP163))),"""")"),"")</f>
        <v/>
      </c>
      <c r="CD163" s="207">
        <f>IFERROR(__xludf.DUMMYFUNCTION("AVERAGE(ARRAYFORMULA(XLOOKUP(FILTER(INDIRECT(""'""&amp;CD$1&amp;""'!$C$4:$C$66""),INDIRECT(""'""&amp;CD$1&amp;""'!$D$4:$D$66"")=CD$2),$F$3:$BP$3,$F163:$BP163)))"),0.17476779548387092)</f>
        <v>0.1747677955</v>
      </c>
      <c r="CE163" s="207" t="str">
        <f>IFERROR(__xludf.DUMMYFUNCTION("IF(OR(CD163&gt;$BR163+$BS163*$BS$2,CD163&lt;$BR163-$BS163*$BS$2),AVEDEV(ARRAYFORMULA(XLOOKUP(FILTER(INDIRECT(""'""&amp;CD$1&amp;""'!$C$4:$C$66""),INDIRECT(""'""&amp;CD$1&amp;""'!$D$4:$D$66"")=CD$2),$F$3:$BP$3,$F163:$BP163))),"""")"),"")</f>
        <v/>
      </c>
      <c r="CF163" s="207">
        <f>IFERROR(__xludf.DUMMYFUNCTION("AVERAGE(ARRAYFORMULA(XLOOKUP(FILTER(INDIRECT(""'""&amp;CF$1&amp;""'!$C$4:$C$66""),INDIRECT(""'""&amp;CF$1&amp;""'!$D$4:$D$66"")=CF$2),$F$3:$BP$3,$F163:$BP163)))"),0.7294256960000001)</f>
        <v>0.729425696</v>
      </c>
      <c r="CG163" s="207">
        <f>IFERROR(__xludf.DUMMYFUNCTION("IF(OR(CF163&gt;$BR163+$BS163*$BS$2,CF163&lt;$BR163-$BS163*$BS$2),AVEDEV(ARRAYFORMULA(XLOOKUP(FILTER(INDIRECT(""'""&amp;CF$1&amp;""'!$C$4:$C$66""),INDIRECT(""'""&amp;CF$1&amp;""'!$D$4:$D$66"")=CF$2),$F$3:$BP$3,$F163:$BP163))),"""")"),0.3692914952)</f>
        <v>0.3692914952</v>
      </c>
      <c r="CH163" s="206"/>
      <c r="CI163" s="251">
        <f>IFERROR(__xludf.DUMMYFUNCTION("AVERAGE(ARRAYFORMULA(XLOOKUP(FILTER(INDIRECT(""'""&amp;CI$1&amp;""'!$C$4:$C$66""),INDIRECT(""'""&amp;CI$1&amp;""'!$D$4:$D$66"")=CI$2),$F$3:$BP$3,$F163:$BP163)))"),0.14121439666666666)</f>
        <v>0.1412143967</v>
      </c>
      <c r="CJ163" s="207" t="str">
        <f>IFERROR(__xludf.DUMMYFUNCTION("IF(OR(CI163&gt;$BR163+$BS163*$BS$2,CI163&lt;$BR163-$BS163*$BS$2),AVEDEV(ARRAYFORMULA(XLOOKUP(FILTER(INDIRECT(""'""&amp;CI$1&amp;""'!$C$4:$C$66""),INDIRECT(""'""&amp;CI$1&amp;""'!$D$4:$D$66"")=CI$2),$F$3:$BP$3,$F163:$BP163))),"""")"),"")</f>
        <v/>
      </c>
      <c r="CK163" s="251">
        <f>IFERROR(__xludf.DUMMYFUNCTION("AVERAGE(ARRAYFORMULA(XLOOKUP(FILTER(INDIRECT(""'""&amp;CK$1&amp;""'!$C$4:$C$66""),INDIRECT(""'""&amp;CK$1&amp;""'!$D$4:$D$66"")=CK$2),$F$3:$BP$3,$F163:$BP163)))"),-0.004873158974358961)</f>
        <v>-0.004873158974</v>
      </c>
      <c r="CL163" s="207" t="str">
        <f>IFERROR(__xludf.DUMMYFUNCTION("IF(OR(CK163&gt;$BR163+$BS163*$BS$2,CK163&lt;$BR163-$BS163*$BS$2),AVEDEV(ARRAYFORMULA(XLOOKUP(FILTER(INDIRECT(""'""&amp;CK$1&amp;""'!$C$4:$C$66""),INDIRECT(""'""&amp;CK$1&amp;""'!$D$4:$D$66"")=CK$2),$F$3:$BP$3,$F163:$BP163))),"""")"),"")</f>
        <v/>
      </c>
      <c r="CM163" s="251">
        <f>IFERROR(__xludf.DUMMYFUNCTION("AVERAGE(ARRAYFORMULA(XLOOKUP(FILTER(INDIRECT(""'""&amp;CM$1&amp;""'!$C$4:$C$66""),INDIRECT(""'""&amp;CM$1&amp;""'!$D$4:$D$66"")=CM$2),$F$3:$BP$3,$F163:$BP163)))"),0.7294256960000001)</f>
        <v>0.729425696</v>
      </c>
      <c r="CN163" s="207">
        <f>IFERROR(__xludf.DUMMYFUNCTION("IF(OR(CM163&gt;$BR163+$BS163*$BS$2,CM163&lt;$BR163-$BS163*$BS$2),AVEDEV(ARRAYFORMULA(XLOOKUP(FILTER(INDIRECT(""'""&amp;CM$1&amp;""'!$C$4:$C$66""),INDIRECT(""'""&amp;CM$1&amp;""'!$D$4:$D$66"")=CM$2),$F$3:$BP$3,$F163:$BP163))),"""")"),0.3692914952)</f>
        <v>0.3692914952</v>
      </c>
      <c r="CO163" s="252"/>
      <c r="CP163" s="251">
        <f>IFERROR(__xludf.DUMMYFUNCTION("AVERAGE(ARRAYFORMULA(XLOOKUP(FILTER(INDIRECT(""'""&amp;CP$1&amp;""'!$C$4:$C$66""),INDIRECT(""'""&amp;CP$1&amp;""'!$D$4:$D$66"")=CP$2),$F$3:$BP$3,$F163:$BP163)))"),-0.064746675)</f>
        <v>-0.064746675</v>
      </c>
      <c r="CQ163" s="207" t="str">
        <f>IFERROR(__xludf.DUMMYFUNCTION("IF(OR(CP163&gt;$BR163+$BS163*$BS$2,CP163&lt;$BR163-$BS163*$BS$2),AVEDEV(ARRAYFORMULA(XLOOKUP(FILTER(INDIRECT(""'""&amp;CP$1&amp;""'!$C$4:$C$66""),INDIRECT(""'""&amp;CP$1&amp;""'!$D$4:$D$66"")=CP$2),$F$3:$BP$3,$F163:$BP163))),"""")"),"")</f>
        <v/>
      </c>
      <c r="CR163" s="251">
        <f>IFERROR(__xludf.DUMMYFUNCTION("AVERAGE(ARRAYFORMULA(XLOOKUP(FILTER(INDIRECT(""'""&amp;CR$1&amp;""'!$C$4:$C$66""),INDIRECT(""'""&amp;CR$1&amp;""'!$D$4:$D$66"")=CR$2),$F$3:$BP$3,$F163:$BP163)))"),0.4531719377777778)</f>
        <v>0.4531719378</v>
      </c>
      <c r="CS163" s="207" t="str">
        <f>IFERROR(__xludf.DUMMYFUNCTION("IF(OR(CR163&gt;$BR163+$BS163*$BS$2,CR163&lt;$BR163-$BS163*$BS$2),AVEDEV(ARRAYFORMULA(XLOOKUP(FILTER(INDIRECT(""'""&amp;CR$1&amp;""'!$C$4:$C$66""),INDIRECT(""'""&amp;CR$1&amp;""'!$D$4:$D$66"")=CR$2),$F$3:$BP$3,$F163:$BP163))),"""")"),"")</f>
        <v/>
      </c>
      <c r="CT163" s="251">
        <f>IFERROR(__xludf.DUMMYFUNCTION("AVERAGE(ARRAYFORMULA(XLOOKUP(FILTER(INDIRECT(""'""&amp;CT$1&amp;""'!$C$4:$C$66""),INDIRECT(""'""&amp;CT$1&amp;""'!$D$4:$D$66"")=CT$2),$F$3:$BP$3,$F163:$BP163)))"),0.35414536181818174)</f>
        <v>0.3541453618</v>
      </c>
      <c r="CU163" s="207" t="str">
        <f>IFERROR(__xludf.DUMMYFUNCTION("IF(OR(CT163&gt;$BR163+$BS163*$BS$2,CT163&lt;$BR163-$BS163*$BS$2),AVEDEV(ARRAYFORMULA(XLOOKUP(FILTER(INDIRECT(""'""&amp;CT$1&amp;""'!$C$4:$C$66""),INDIRECT(""'""&amp;CT$1&amp;""'!$D$4:$D$66"")=CT$2),$F$3:$BP$3,$F163:$BP163))),"""")"),"")</f>
        <v/>
      </c>
      <c r="CV163" s="251">
        <f>IFERROR(__xludf.DUMMYFUNCTION("AVERAGE(ARRAYFORMULA(XLOOKUP(FILTER(INDIRECT(""'""&amp;CV$1&amp;""'!$C$4:$C$66""),INDIRECT(""'""&amp;CV$1&amp;""'!$D$4:$D$66"")=CV$2),$F$3:$BP$3,$F163:$BP163)))"),-0.78626405)</f>
        <v>-0.78626405</v>
      </c>
      <c r="CW163" s="207">
        <f>IFERROR(__xludf.DUMMYFUNCTION("IF(OR(CV163&gt;$BR163+$BS163*$BS$2,CV163&lt;$BR163-$BS163*$BS$2),AVEDEV(ARRAYFORMULA(XLOOKUP(FILTER(INDIRECT(""'""&amp;CV$1&amp;""'!$C$4:$C$66""),INDIRECT(""'""&amp;CV$1&amp;""'!$D$4:$D$66"")=CV$2),$F$3:$BP$3,$F163:$BP163))),"""")"),0.12729425)</f>
        <v>0.12729425</v>
      </c>
      <c r="CX163" s="251">
        <f>IFERROR(__xludf.DUMMYFUNCTION("AVERAGE(ARRAYFORMULA(XLOOKUP(FILTER(INDIRECT(""'""&amp;CX$1&amp;""'!$C$4:$C$66""),INDIRECT(""'""&amp;CX$1&amp;""'!$D$4:$D$66"")=CX$2),$F$3:$BP$3,$F163:$BP163)))"),0.2496264350000001)</f>
        <v>0.249626435</v>
      </c>
      <c r="CY163" s="207" t="str">
        <f>IFERROR(__xludf.DUMMYFUNCTION("IF(OR(CX163&gt;$BR163+$BS163*$BS$2,CX163&lt;$BR163-$BS163*$BS$2),AVEDEV(ARRAYFORMULA(XLOOKUP(FILTER(INDIRECT(""'""&amp;CX$1&amp;""'!$C$4:$C$66""),INDIRECT(""'""&amp;CX$1&amp;""'!$D$4:$D$66"")=CX$2),$F$3:$BP$3,$F163:$BP163))),"""")"),"")</f>
        <v/>
      </c>
      <c r="CZ163" s="252"/>
      <c r="DA163" s="251">
        <f>IFERROR(__xludf.DUMMYFUNCTION("AVERAGE(ARRAYFORMULA(XLOOKUP(FILTER(INDIRECT(""'""&amp;DA$1&amp;""'!$C$4:$C$66""),INDIRECT(""'""&amp;DA$1&amp;""'!$D$4:$D$66"")=DA$2),$F$3:$BP$3,$F163:$BP163)))"),3.420853333333233E-4)</f>
        <v>0.0003420853333</v>
      </c>
      <c r="DB163" s="207" t="str">
        <f>IFERROR(__xludf.DUMMYFUNCTION("IF(OR(DA163&gt;$BR163+$BS163*$BS$2,DA163&lt;$BR163-$BS163*$BS$2),AVEDEV(ARRAYFORMULA(XLOOKUP(FILTER(INDIRECT(""'""&amp;DA$1&amp;""'!$C$4:$C$66""),INDIRECT(""'""&amp;DA$1&amp;""'!$D$4:$D$66"")=DA$2),$F$3:$BP$3,$F163:$BP163))),"""")"),"")</f>
        <v/>
      </c>
      <c r="DC163" s="251">
        <f>IFERROR(__xludf.DUMMYFUNCTION("AVERAGE(ARRAYFORMULA(XLOOKUP(FILTER(INDIRECT(""'""&amp;DC$1&amp;""'!$C$4:$C$66""),INDIRECT(""'""&amp;DC$1&amp;""'!$D$4:$D$66"")=DC$2),$F$3:$BP$3,$F163:$BP163)))"),0.33291669666666673)</f>
        <v>0.3329166967</v>
      </c>
      <c r="DD163" s="207" t="str">
        <f>IFERROR(__xludf.DUMMYFUNCTION("IF(OR(DC163&gt;$BR163+$BS163*$BS$2,DC163&lt;$BR163-$BS163*$BS$2),AVEDEV(ARRAYFORMULA(XLOOKUP(FILTER(INDIRECT(""'""&amp;DC$1&amp;""'!$C$4:$C$66""),INDIRECT(""'""&amp;DC$1&amp;""'!$D$4:$D$66"")=DC$2),$F$3:$BP$3,$F163:$BP163))),"""")"),"")</f>
        <v/>
      </c>
      <c r="DE163" s="251">
        <f>IFERROR(__xludf.DUMMYFUNCTION("AVERAGE(ARRAYFORMULA(XLOOKUP(FILTER(INDIRECT(""'""&amp;DE$1&amp;""'!$C$4:$C$66""),INDIRECT(""'""&amp;DE$1&amp;""'!$D$4:$D$66"")=DE$2),$F$3:$BP$3,$F163:$BP163)))"),0.5916962725000001)</f>
        <v>0.5916962725</v>
      </c>
      <c r="DF163" s="207" t="str">
        <f>IFERROR(__xludf.DUMMYFUNCTION("IF(OR(DE163&gt;$BR163+$BS163*$BS$2,DE163&lt;$BR163-$BS163*$BS$2),AVEDEV(ARRAYFORMULA(XLOOKUP(FILTER(INDIRECT(""'""&amp;DE$1&amp;""'!$C$4:$C$66""),INDIRECT(""'""&amp;DE$1&amp;""'!$D$4:$D$66"")=DE$2),$F$3:$BP$3,$F163:$BP163))),"""")"),"")</f>
        <v/>
      </c>
      <c r="DG163" s="251">
        <f>IFERROR(__xludf.DUMMYFUNCTION("AVERAGE(ARRAYFORMULA(XLOOKUP(FILTER(INDIRECT(""'""&amp;DG$1&amp;""'!$C$4:$C$66""),INDIRECT(""'""&amp;DG$1&amp;""'!$D$4:$D$66"")=DG$2),$F$3:$BP$3,$F163:$BP163)))"),-0.08157357333333337)</f>
        <v>-0.08157357333</v>
      </c>
      <c r="DH163" s="207" t="str">
        <f>IFERROR(__xludf.DUMMYFUNCTION("IF(OR(DG163&gt;$BR163+$BS163*$BS$2,DG163&lt;$BR163-$BS163*$BS$2),AVEDEV(ARRAYFORMULA(XLOOKUP(FILTER(INDIRECT(""'""&amp;DG$1&amp;""'!$C$4:$C$66""),INDIRECT(""'""&amp;DG$1&amp;""'!$D$4:$D$66"")=DG$2),$F$3:$BP$3,$F163:$BP163))),"""")"),"")</f>
        <v/>
      </c>
      <c r="DI163" s="252"/>
    </row>
    <row r="164">
      <c r="A164" s="2"/>
      <c r="B164" s="204" t="s">
        <v>601</v>
      </c>
      <c r="C164" s="204" t="s">
        <v>608</v>
      </c>
      <c r="D164" s="205" t="b">
        <f>VLOOKUP(C164,'Feature Set List'!A161:C246,2,0)</f>
        <v>1</v>
      </c>
      <c r="E164" s="205" t="b">
        <f>VLOOKUP(C164,'Feature Set List'!A161:C246,3,0)</f>
        <v>1</v>
      </c>
      <c r="F164" s="205">
        <v>-0.2918057</v>
      </c>
      <c r="G164" s="205">
        <v>0.64242493</v>
      </c>
      <c r="H164" s="205">
        <v>0.43544647</v>
      </c>
      <c r="I164" s="205">
        <v>0.23864729</v>
      </c>
      <c r="J164" s="205">
        <v>2.04150879</v>
      </c>
      <c r="K164" s="205">
        <v>-0.4401968</v>
      </c>
      <c r="L164" s="205">
        <v>-0.9780015</v>
      </c>
      <c r="M164" s="205">
        <v>0.81999661</v>
      </c>
      <c r="N164" s="205">
        <v>-0.1775717</v>
      </c>
      <c r="O164" s="205">
        <v>-0.8192049</v>
      </c>
      <c r="P164" s="205">
        <v>1.93971611</v>
      </c>
      <c r="Q164" s="205">
        <v>-0.1673924</v>
      </c>
      <c r="R164" s="205">
        <v>0.27144715</v>
      </c>
      <c r="S164" s="205">
        <v>-0.3540123</v>
      </c>
      <c r="T164" s="205">
        <v>-0.3189504</v>
      </c>
      <c r="U164" s="205">
        <v>1.36289091</v>
      </c>
      <c r="V164" s="205">
        <v>-0.8790364</v>
      </c>
      <c r="W164" s="205">
        <v>-0.3598937</v>
      </c>
      <c r="X164" s="205">
        <v>-0.760052</v>
      </c>
      <c r="Y164" s="205">
        <v>0.23638523</v>
      </c>
      <c r="Z164" s="205">
        <v>-0.1187581</v>
      </c>
      <c r="AA164" s="205">
        <v>-0.5949217</v>
      </c>
      <c r="AB164" s="205">
        <v>-0.6860827</v>
      </c>
      <c r="AC164" s="205">
        <v>1.15478143</v>
      </c>
      <c r="AD164" s="205">
        <v>0.98852005</v>
      </c>
      <c r="AE164" s="205">
        <v>-0.4289996</v>
      </c>
      <c r="AF164" s="205">
        <v>1.17400894</v>
      </c>
      <c r="AG164" s="205">
        <v>-0.4489057</v>
      </c>
      <c r="AH164" s="205">
        <v>-0.5249109</v>
      </c>
      <c r="AI164" s="205">
        <v>-0.7310977</v>
      </c>
      <c r="AJ164" s="205">
        <v>1.90465419</v>
      </c>
      <c r="AK164" s="205">
        <v>0.50783238</v>
      </c>
      <c r="AL164" s="205">
        <v>-0.1300684</v>
      </c>
      <c r="AM164" s="205">
        <v>-0.3584233</v>
      </c>
      <c r="AN164" s="205">
        <v>2.28128711</v>
      </c>
      <c r="AO164" s="205">
        <v>0.96363739</v>
      </c>
      <c r="AP164" s="205">
        <v>0.46032913</v>
      </c>
      <c r="AQ164" s="205">
        <v>3.0436012</v>
      </c>
      <c r="AR164" s="205">
        <v>-0.301985</v>
      </c>
      <c r="AS164" s="205">
        <v>0.25674377</v>
      </c>
      <c r="AT164" s="205">
        <v>3.34558616</v>
      </c>
      <c r="AU164" s="205">
        <v>-0.1368546</v>
      </c>
      <c r="AV164" s="205">
        <v>0.5881355</v>
      </c>
      <c r="AW164" s="205">
        <v>2.23717695</v>
      </c>
      <c r="AX164" s="205">
        <v>0.0644687</v>
      </c>
      <c r="AY164" s="205">
        <v>0.0</v>
      </c>
      <c r="AZ164" s="205">
        <v>-0.6933213</v>
      </c>
      <c r="BA164" s="205">
        <v>0.63337669</v>
      </c>
      <c r="BB164" s="205">
        <v>0.31329526</v>
      </c>
      <c r="BC164" s="205">
        <v>0.06220664</v>
      </c>
      <c r="BD164" s="205">
        <v>-0.0678618</v>
      </c>
      <c r="BE164" s="205">
        <v>0.08482724</v>
      </c>
      <c r="BF164" s="205">
        <v>-0.4889442</v>
      </c>
      <c r="BG164" s="205">
        <v>1.22038116</v>
      </c>
      <c r="BH164" s="205">
        <v>1.09936097</v>
      </c>
      <c r="BI164" s="205">
        <v>-0.0067862</v>
      </c>
      <c r="BJ164" s="205">
        <v>0.10857886</v>
      </c>
      <c r="BK164" s="205">
        <v>-0.3087711</v>
      </c>
      <c r="BL164" s="205">
        <v>-0.2499576</v>
      </c>
      <c r="BM164" s="205">
        <v>0.59379065</v>
      </c>
      <c r="BN164" s="205">
        <v>-0.5709438</v>
      </c>
      <c r="BO164" s="205">
        <v>-0.3643047</v>
      </c>
      <c r="BP164" s="205">
        <v>-1.0115931</v>
      </c>
      <c r="BQ164" s="206"/>
      <c r="BR164" s="250">
        <f t="shared" si="1"/>
        <v>0.2746894375</v>
      </c>
      <c r="BS164" s="250">
        <f t="shared" si="2"/>
        <v>0.7439327593</v>
      </c>
      <c r="BT164" s="206"/>
      <c r="BU164" s="207">
        <f>IFERROR(__xludf.DUMMYFUNCTION("AVERAGE(ARRAYFORMULA(XLOOKUP(FILTER(INDIRECT(""'""&amp;BU$1&amp;""'!$C$4:$C$66""),INDIRECT(""'""&amp;BU$1&amp;""'!$D$4:$D$66"")=BU$2),$F$3:$BP$3,$F164:$BP164)))"),0.27480792857142855)</f>
        <v>0.2748079286</v>
      </c>
      <c r="BV164" s="207" t="str">
        <f>IFERROR(__xludf.DUMMYFUNCTION("IF(OR(BU164&gt;$BR164+$BS164*$BS$2,BU164&lt;$BR164-$BS164*$BS$2),AVEDEV(ARRAYFORMULA(XLOOKUP(FILTER(INDIRECT(""'""&amp;BU$1&amp;""'!$C$4:$C$66""),INDIRECT(""'""&amp;BU$1&amp;""'!$D$4:$D$66"")=BU$2),$F$3:$BP$3,$F164:$BP164))),"""")"),"")</f>
        <v/>
      </c>
      <c r="BW164" s="207">
        <f>IFERROR(__xludf.DUMMYFUNCTION("AVERAGE(ARRAYFORMULA(XLOOKUP(FILTER(INDIRECT(""'""&amp;BW$1&amp;""'!$C$4:$C$66""),INDIRECT(""'""&amp;BW$1&amp;""'!$D$4:$D$66"")=BW$2),$F$3:$BP$3,$F164:$BP164)))"),0.4150744735714287)</f>
        <v>0.4150744736</v>
      </c>
      <c r="BX164" s="207" t="str">
        <f>IFERROR(__xludf.DUMMYFUNCTION("IF(OR(BW164&gt;$BR164+$BS164*$BS$2,BW164&lt;$BR164-$BS164*$BS$2),AVEDEV(ARRAYFORMULA(XLOOKUP(FILTER(INDIRECT(""'""&amp;BW$1&amp;""'!$C$4:$C$66""),INDIRECT(""'""&amp;BW$1&amp;""'!$D$4:$D$66"")=BW$2),$F$3:$BP$3,$F164:$BP164))),"""")"),"")</f>
        <v/>
      </c>
      <c r="BY164" s="207">
        <f>IFERROR(__xludf.DUMMYFUNCTION("AVERAGE(ARRAYFORMULA(XLOOKUP(FILTER(INDIRECT(""'""&amp;BY$1&amp;""'!$C$4:$C$66""),INDIRECT(""'""&amp;BY$1&amp;""'!$D$4:$D$66"")=BY$2),$F$3:$BP$3,$F164:$BP164)))"),-0.5358716454545455)</f>
        <v>-0.5358716455</v>
      </c>
      <c r="BZ164" s="207">
        <f>IFERROR(__xludf.DUMMYFUNCTION("IF(OR(BY164&gt;$BR164+$BS164*$BS$2,BY164&lt;$BR164-$BS164*$BS$2),AVEDEV(ARRAYFORMULA(XLOOKUP(FILTER(INDIRECT(""'""&amp;BY$1&amp;""'!$C$4:$C$66""),INDIRECT(""'""&amp;BY$1&amp;""'!$D$4:$D$66"")=BY$2),$F$3:$BP$3,$F164:$BP164))),"""")"),0.26368324958677686)</f>
        <v>0.2636832496</v>
      </c>
      <c r="CA164" s="209"/>
      <c r="CB164" s="207">
        <f>IFERROR(__xludf.DUMMYFUNCTION("AVERAGE(ARRAYFORMULA(XLOOKUP(FILTER(INDIRECT(""'""&amp;CB$1&amp;""'!$C$4:$C$66""),INDIRECT(""'""&amp;CB$1&amp;""'!$D$4:$D$66"")=CB$2),$F$3:$BP$3,$F164:$BP164)))"),0.707240008125)</f>
        <v>0.7072400081</v>
      </c>
      <c r="CC164" s="207" t="str">
        <f>IFERROR(__xludf.DUMMYFUNCTION("IF(OR(CB164&gt;$BR164+$BS164*$BS$2,CB164&lt;$BR164-$BS164*$BS$2),AVEDEV(ARRAYFORMULA(XLOOKUP(FILTER(INDIRECT(""'""&amp;CB$1&amp;""'!$C$4:$C$66""),INDIRECT(""'""&amp;CB$1&amp;""'!$D$4:$D$66"")=CB$2),$F$3:$BP$3,$F164:$BP164))),"""")"),"")</f>
        <v/>
      </c>
      <c r="CD164" s="207">
        <f>IFERROR(__xludf.DUMMYFUNCTION("AVERAGE(ARRAYFORMULA(XLOOKUP(FILTER(INDIRECT(""'""&amp;CD$1&amp;""'!$C$4:$C$66""),INDIRECT(""'""&amp;CD$1&amp;""'!$D$4:$D$66"")=CD$2),$F$3:$BP$3,$F164:$BP164)))"),-0.03151195161290323)</f>
        <v>-0.03151195161</v>
      </c>
      <c r="CE164" s="207" t="str">
        <f>IFERROR(__xludf.DUMMYFUNCTION("IF(OR(CD164&gt;$BR164+$BS164*$BS$2,CD164&lt;$BR164-$BS164*$BS$2),AVEDEV(ARRAYFORMULA(XLOOKUP(FILTER(INDIRECT(""'""&amp;CD$1&amp;""'!$C$4:$C$66""),INDIRECT(""'""&amp;CD$1&amp;""'!$D$4:$D$66"")=CD$2),$F$3:$BP$3,$F164:$BP164))),"""")"),"")</f>
        <v/>
      </c>
      <c r="CF164" s="207">
        <f>IFERROR(__xludf.DUMMYFUNCTION("AVERAGE(ARRAYFORMULA(XLOOKUP(FILTER(INDIRECT(""'""&amp;CF$1&amp;""'!$C$4:$C$66""),INDIRECT(""'""&amp;CF$1&amp;""'!$D$4:$D$66"")=CF$2),$F$3:$BP$3,$F164:$BP164)))"),-0.53149354)</f>
        <v>-0.53149354</v>
      </c>
      <c r="CG164" s="207">
        <f>IFERROR(__xludf.DUMMYFUNCTION("IF(OR(CF164&gt;$BR164+$BS164*$BS$2,CF164&lt;$BR164-$BS164*$BS$2),AVEDEV(ARRAYFORMULA(XLOOKUP(FILTER(INDIRECT(""'""&amp;CF$1&amp;""'!$C$4:$C$66""),INDIRECT(""'""&amp;CF$1&amp;""'!$D$4:$D$66"")=CF$2),$F$3:$BP$3,$F164:$BP164))),"""")"),0.17981564800000002)</f>
        <v>0.179815648</v>
      </c>
      <c r="CH164" s="206"/>
      <c r="CI164" s="251">
        <f>IFERROR(__xludf.DUMMYFUNCTION("AVERAGE(ARRAYFORMULA(XLOOKUP(FILTER(INDIRECT(""'""&amp;CI$1&amp;""'!$C$4:$C$66""),INDIRECT(""'""&amp;CI$1&amp;""'!$D$4:$D$66"")=CI$2),$F$3:$BP$3,$F164:$BP164)))"),-0.11796640533333334)</f>
        <v>-0.1179664053</v>
      </c>
      <c r="CJ164" s="207" t="str">
        <f>IFERROR(__xludf.DUMMYFUNCTION("IF(OR(CI164&gt;$BR164+$BS164*$BS$2,CI164&lt;$BR164-$BS164*$BS$2),AVEDEV(ARRAYFORMULA(XLOOKUP(FILTER(INDIRECT(""'""&amp;CI$1&amp;""'!$C$4:$C$66""),INDIRECT(""'""&amp;CI$1&amp;""'!$D$4:$D$66"")=CI$2),$F$3:$BP$3,$F164:$BP164))),"""")"),"")</f>
        <v/>
      </c>
      <c r="CK164" s="251">
        <f>IFERROR(__xludf.DUMMYFUNCTION("AVERAGE(ARRAYFORMULA(XLOOKUP(FILTER(INDIRECT(""'""&amp;CK$1&amp;""'!$C$4:$C$66""),INDIRECT(""'""&amp;CK$1&amp;""'!$D$4:$D$66"")=CK$2),$F$3:$BP$3,$F164:$BP164)))"),0.4666135941025642)</f>
        <v>0.4666135941</v>
      </c>
      <c r="CL164" s="207" t="str">
        <f>IFERROR(__xludf.DUMMYFUNCTION("IF(OR(CK164&gt;$BR164+$BS164*$BS$2,CK164&lt;$BR164-$BS164*$BS$2),AVEDEV(ARRAYFORMULA(XLOOKUP(FILTER(INDIRECT(""'""&amp;CK$1&amp;""'!$C$4:$C$66""),INDIRECT(""'""&amp;CK$1&amp;""'!$D$4:$D$66"")=CK$2),$F$3:$BP$3,$F164:$BP164))),"""")"),"")</f>
        <v/>
      </c>
      <c r="CM164" s="251">
        <f>IFERROR(__xludf.DUMMYFUNCTION("AVERAGE(ARRAYFORMULA(XLOOKUP(FILTER(INDIRECT(""'""&amp;CM$1&amp;""'!$C$4:$C$66""),INDIRECT(""'""&amp;CM$1&amp;""'!$D$4:$D$66"")=CM$2),$F$3:$BP$3,$F164:$BP164)))"),-0.53149354)</f>
        <v>-0.53149354</v>
      </c>
      <c r="CN164" s="207">
        <f>IFERROR(__xludf.DUMMYFUNCTION("IF(OR(CM164&gt;$BR164+$BS164*$BS$2,CM164&lt;$BR164-$BS164*$BS$2),AVEDEV(ARRAYFORMULA(XLOOKUP(FILTER(INDIRECT(""'""&amp;CM$1&amp;""'!$C$4:$C$66""),INDIRECT(""'""&amp;CM$1&amp;""'!$D$4:$D$66"")=CM$2),$F$3:$BP$3,$F164:$BP164))),"""")"),0.17981564800000002)</f>
        <v>0.179815648</v>
      </c>
      <c r="CO164" s="252"/>
      <c r="CP164" s="251">
        <f>IFERROR(__xludf.DUMMYFUNCTION("AVERAGE(ARRAYFORMULA(XLOOKUP(FILTER(INDIRECT(""'""&amp;CP$1&amp;""'!$C$4:$C$66""),INDIRECT(""'""&amp;CP$1&amp;""'!$D$4:$D$66"")=CP$2),$F$3:$BP$3,$F164:$BP164)))"),0.6656837514285714)</f>
        <v>0.6656837514</v>
      </c>
      <c r="CQ164" s="207" t="str">
        <f>IFERROR(__xludf.DUMMYFUNCTION("IF(OR(CP164&gt;$BR164+$BS164*$BS$2,CP164&lt;$BR164-$BS164*$BS$2),AVEDEV(ARRAYFORMULA(XLOOKUP(FILTER(INDIRECT(""'""&amp;CP$1&amp;""'!$C$4:$C$66""),INDIRECT(""'""&amp;CP$1&amp;""'!$D$4:$D$66"")=CP$2),$F$3:$BP$3,$F164:$BP164))),"""")"),"")</f>
        <v/>
      </c>
      <c r="CR164" s="251">
        <f>IFERROR(__xludf.DUMMYFUNCTION("AVERAGE(ARRAYFORMULA(XLOOKUP(FILTER(INDIRECT(""'""&amp;CR$1&amp;""'!$C$4:$C$66""),INDIRECT(""'""&amp;CR$1&amp;""'!$D$4:$D$66"")=CR$2),$F$3:$BP$3,$F164:$BP164)))"),-0.6271811666666667)</f>
        <v>-0.6271811667</v>
      </c>
      <c r="CS164" s="207">
        <f>IFERROR(__xludf.DUMMYFUNCTION("IF(OR(CR164&gt;$BR164+$BS164*$BS$2,CR164&lt;$BR164-$BS164*$BS$2),AVEDEV(ARRAYFORMULA(XLOOKUP(FILTER(INDIRECT(""'""&amp;CR$1&amp;""'!$C$4:$C$66""),INDIRECT(""'""&amp;CR$1&amp;""'!$D$4:$D$66"")=CR$2),$F$3:$BP$3,$F164:$BP164))),"""")"),0.2208245037037037)</f>
        <v>0.2208245037</v>
      </c>
      <c r="CT164" s="251">
        <f>IFERROR(__xludf.DUMMYFUNCTION("AVERAGE(ARRAYFORMULA(XLOOKUP(FILTER(INDIRECT(""'""&amp;CT$1&amp;""'!$C$4:$C$66""),INDIRECT(""'""&amp;CT$1&amp;""'!$D$4:$D$66"")=CT$2),$F$3:$BP$3,$F164:$BP164)))"),-0.24066257090909088)</f>
        <v>-0.2406625709</v>
      </c>
      <c r="CU164" s="207" t="str">
        <f>IFERROR(__xludf.DUMMYFUNCTION("IF(OR(CT164&gt;$BR164+$BS164*$BS$2,CT164&lt;$BR164-$BS164*$BS$2),AVEDEV(ARRAYFORMULA(XLOOKUP(FILTER(INDIRECT(""'""&amp;CT$1&amp;""'!$C$4:$C$66""),INDIRECT(""'""&amp;CT$1&amp;""'!$D$4:$D$66"")=CT$2),$F$3:$BP$3,$F164:$BP164))),"""")"),"")</f>
        <v/>
      </c>
      <c r="CV164" s="251">
        <f>IFERROR(__xludf.DUMMYFUNCTION("AVERAGE(ARRAYFORMULA(XLOOKUP(FILTER(INDIRECT(""'""&amp;CV$1&amp;""'!$C$4:$C$66""),INDIRECT(""'""&amp;CV$1&amp;""'!$D$4:$D$66"")=CV$2),$F$3:$BP$3,$F164:$BP164)))"),1.1875812950000002)</f>
        <v>1.187581295</v>
      </c>
      <c r="CW164" s="207">
        <f>IFERROR(__xludf.DUMMYFUNCTION("IF(OR(CV164&gt;$BR164+$BS164*$BS$2,CV164&lt;$BR164-$BS164*$BS$2),AVEDEV(ARRAYFORMULA(XLOOKUP(FILTER(INDIRECT(""'""&amp;CV$1&amp;""'!$C$4:$C$66""),INDIRECT(""'""&amp;CV$1&amp;""'!$D$4:$D$66"")=CV$2),$F$3:$BP$3,$F164:$BP164))),"""")"),0.032799864999999984)</f>
        <v>0.032799865</v>
      </c>
      <c r="CX164" s="251">
        <f>IFERROR(__xludf.DUMMYFUNCTION("AVERAGE(ARRAYFORMULA(XLOOKUP(FILTER(INDIRECT(""'""&amp;CX$1&amp;""'!$C$4:$C$66""),INDIRECT(""'""&amp;CX$1&amp;""'!$D$4:$D$66"")=CX$2),$F$3:$BP$3,$F164:$BP164)))"),0.47472551928571427)</f>
        <v>0.4747255193</v>
      </c>
      <c r="CY164" s="207" t="str">
        <f>IFERROR(__xludf.DUMMYFUNCTION("IF(OR(CX164&gt;$BR164+$BS164*$BS$2,CX164&lt;$BR164-$BS164*$BS$2),AVEDEV(ARRAYFORMULA(XLOOKUP(FILTER(INDIRECT(""'""&amp;CX$1&amp;""'!$C$4:$C$66""),INDIRECT(""'""&amp;CX$1&amp;""'!$D$4:$D$66"")=CX$2),$F$3:$BP$3,$F164:$BP164))),"""")"),"")</f>
        <v/>
      </c>
      <c r="CZ164" s="252"/>
      <c r="DA164" s="251">
        <f>IFERROR(__xludf.DUMMYFUNCTION("AVERAGE(ARRAYFORMULA(XLOOKUP(FILTER(INDIRECT(""'""&amp;DA$1&amp;""'!$C$4:$C$66""),INDIRECT(""'""&amp;DA$1&amp;""'!$D$4:$D$66"")=DA$2),$F$3:$BP$3,$F164:$BP164)))"),0.4487059129999999)</f>
        <v>0.448705913</v>
      </c>
      <c r="DB164" s="207" t="str">
        <f>IFERROR(__xludf.DUMMYFUNCTION("IF(OR(DA164&gt;$BR164+$BS164*$BS$2,DA164&lt;$BR164-$BS164*$BS$2),AVEDEV(ARRAYFORMULA(XLOOKUP(FILTER(INDIRECT(""'""&amp;DA$1&amp;""'!$C$4:$C$66""),INDIRECT(""'""&amp;DA$1&amp;""'!$D$4:$D$66"")=DA$2),$F$3:$BP$3,$F164:$BP164))),"""")"),"")</f>
        <v/>
      </c>
      <c r="DC164" s="251">
        <f>IFERROR(__xludf.DUMMYFUNCTION("AVERAGE(ARRAYFORMULA(XLOOKUP(FILTER(INDIRECT(""'""&amp;DC$1&amp;""'!$C$4:$C$66""),INDIRECT(""'""&amp;DC$1&amp;""'!$D$4:$D$66"")=DC$2),$F$3:$BP$3,$F164:$BP164)))"),-0.5380434555555555)</f>
        <v>-0.5380434556</v>
      </c>
      <c r="DD164" s="207">
        <f>IFERROR(__xludf.DUMMYFUNCTION("IF(OR(DC164&gt;$BR164+$BS164*$BS$2,DC164&lt;$BR164-$BS164*$BS$2),AVEDEV(ARRAYFORMULA(XLOOKUP(FILTER(INDIRECT(""'""&amp;DC$1&amp;""'!$C$4:$C$66""),INDIRECT(""'""&amp;DC$1&amp;""'!$D$4:$D$66"")=DC$2),$F$3:$BP$3,$F164:$BP164))),"""")"),0.2705311728395062)</f>
        <v>0.2705311728</v>
      </c>
      <c r="DE164" s="251">
        <f>IFERROR(__xludf.DUMMYFUNCTION("AVERAGE(ARRAYFORMULA(XLOOKUP(FILTER(INDIRECT(""'""&amp;DE$1&amp;""'!$C$4:$C$66""),INDIRECT(""'""&amp;DE$1&amp;""'!$D$4:$D$66"")=DE$2),$F$3:$BP$3,$F164:$BP164)))"),-0.14723180624999999)</f>
        <v>-0.1472318063</v>
      </c>
      <c r="DF164" s="207" t="str">
        <f>IFERROR(__xludf.DUMMYFUNCTION("IF(OR(DE164&gt;$BR164+$BS164*$BS$2,DE164&lt;$BR164-$BS164*$BS$2),AVEDEV(ARRAYFORMULA(XLOOKUP(FILTER(INDIRECT(""'""&amp;DE$1&amp;""'!$C$4:$C$66""),INDIRECT(""'""&amp;DE$1&amp;""'!$D$4:$D$66"")=DE$2),$F$3:$BP$3,$F164:$BP164))),"""")"),"")</f>
        <v/>
      </c>
      <c r="DG164" s="251">
        <f>IFERROR(__xludf.DUMMYFUNCTION("AVERAGE(ARRAYFORMULA(XLOOKUP(FILTER(INDIRECT(""'""&amp;DG$1&amp;""'!$C$4:$C$66""),INDIRECT(""'""&amp;DG$1&amp;""'!$D$4:$D$66"")=DG$2),$F$3:$BP$3,$F164:$BP164)))"),0.15167110444444448)</f>
        <v>0.1516711044</v>
      </c>
      <c r="DH164" s="207" t="str">
        <f>IFERROR(__xludf.DUMMYFUNCTION("IF(OR(DG164&gt;$BR164+$BS164*$BS$2,DG164&lt;$BR164-$BS164*$BS$2),AVEDEV(ARRAYFORMULA(XLOOKUP(FILTER(INDIRECT(""'""&amp;DG$1&amp;""'!$C$4:$C$66""),INDIRECT(""'""&amp;DG$1&amp;""'!$D$4:$D$66"")=DG$2),$F$3:$BP$3,$F164:$BP164))),"""")"),"")</f>
        <v/>
      </c>
      <c r="DI164" s="252"/>
    </row>
    <row r="165">
      <c r="A165" s="2"/>
      <c r="B165" s="204" t="s">
        <v>601</v>
      </c>
      <c r="C165" s="204" t="s">
        <v>609</v>
      </c>
      <c r="D165" s="205" t="b">
        <f>VLOOKUP(C165,'Feature Set List'!A162:C246,2,0)</f>
        <v>1</v>
      </c>
      <c r="E165" s="205" t="b">
        <f>VLOOKUP(C165,'Feature Set List'!A162:C246,3,0)</f>
        <v>1</v>
      </c>
      <c r="F165" s="205">
        <v>0.84570365</v>
      </c>
      <c r="G165" s="205">
        <v>0.45967211</v>
      </c>
      <c r="H165" s="205">
        <v>4.16573001</v>
      </c>
      <c r="I165" s="205">
        <v>0.45502112</v>
      </c>
      <c r="J165" s="205">
        <v>0.75190884</v>
      </c>
      <c r="K165" s="205">
        <v>-0.6040851</v>
      </c>
      <c r="L165" s="205">
        <v>-0.7736909</v>
      </c>
      <c r="M165" s="205">
        <v>2.69446921</v>
      </c>
      <c r="N165" s="205">
        <v>0.19844192</v>
      </c>
      <c r="O165" s="205">
        <v>-0.9062439</v>
      </c>
      <c r="P165" s="205">
        <v>0.44184334</v>
      </c>
      <c r="Q165" s="205">
        <v>-0.9010503</v>
      </c>
      <c r="R165" s="205">
        <v>-0.4681989</v>
      </c>
      <c r="S165" s="205">
        <v>-0.4699818</v>
      </c>
      <c r="T165" s="205">
        <v>-0.1782877</v>
      </c>
      <c r="U165" s="205">
        <v>0.1496066</v>
      </c>
      <c r="V165" s="205">
        <v>-0.8578737</v>
      </c>
      <c r="W165" s="205">
        <v>-0.5433898</v>
      </c>
      <c r="X165" s="205">
        <v>3.12778574</v>
      </c>
      <c r="Y165" s="205">
        <v>-0.7819077</v>
      </c>
      <c r="Z165" s="205">
        <v>-0.3682028</v>
      </c>
      <c r="AA165" s="205">
        <v>4.61765048</v>
      </c>
      <c r="AB165" s="205">
        <v>0.49455447</v>
      </c>
      <c r="AC165" s="205">
        <v>0.6286578</v>
      </c>
      <c r="AD165" s="205">
        <v>-0.2759583</v>
      </c>
      <c r="AE165" s="205">
        <v>13.2746793</v>
      </c>
      <c r="AF165" s="205">
        <v>0.39300802</v>
      </c>
      <c r="AG165" s="205">
        <v>-0.5102128</v>
      </c>
      <c r="AH165" s="205">
        <v>-0.2550289</v>
      </c>
      <c r="AI165" s="205">
        <v>1.48986473</v>
      </c>
      <c r="AJ165" s="205">
        <v>0.45734661</v>
      </c>
      <c r="AK165" s="205">
        <v>2.13712647</v>
      </c>
      <c r="AL165" s="205">
        <v>5.29436844</v>
      </c>
      <c r="AM165" s="205">
        <v>-0.5266463</v>
      </c>
      <c r="AN165" s="205">
        <v>-0.5365684</v>
      </c>
      <c r="AO165" s="205">
        <v>0.11317391</v>
      </c>
      <c r="AP165" s="205">
        <v>-0.7195845</v>
      </c>
      <c r="AQ165" s="205">
        <v>-0.0434092</v>
      </c>
      <c r="AR165" s="205">
        <v>-0.2038681</v>
      </c>
      <c r="AS165" s="205">
        <v>1.22243324</v>
      </c>
      <c r="AT165" s="205">
        <v>-0.866323</v>
      </c>
      <c r="AU165" s="205">
        <v>0.18758963</v>
      </c>
      <c r="AV165" s="205">
        <v>3.01461184</v>
      </c>
      <c r="AW165" s="205">
        <v>-0.2767335</v>
      </c>
      <c r="AX165" s="205">
        <v>-0.2999884</v>
      </c>
      <c r="AY165" s="205">
        <v>-0.736018</v>
      </c>
      <c r="AZ165" s="205">
        <v>-0.7207473</v>
      </c>
      <c r="BA165" s="205">
        <v>-0.6026123</v>
      </c>
      <c r="BB165" s="205">
        <v>-0.5401341</v>
      </c>
      <c r="BC165" s="205">
        <v>-0.5206775</v>
      </c>
      <c r="BD165" s="205">
        <v>-0.033332</v>
      </c>
      <c r="BE165" s="205">
        <v>0.13332817</v>
      </c>
      <c r="BF165" s="205">
        <v>0.0</v>
      </c>
      <c r="BG165" s="205">
        <v>1.74411845</v>
      </c>
      <c r="BH165" s="205">
        <v>0.29766288</v>
      </c>
      <c r="BI165" s="205">
        <v>0.22014651</v>
      </c>
      <c r="BJ165" s="205">
        <v>-0.3278943</v>
      </c>
      <c r="BK165" s="205">
        <v>-0.7633813</v>
      </c>
      <c r="BL165" s="205">
        <v>-0.3674276</v>
      </c>
      <c r="BM165" s="205">
        <v>0.17286152</v>
      </c>
      <c r="BN165" s="205">
        <v>0.49300415</v>
      </c>
      <c r="BO165" s="205">
        <v>0.11704973</v>
      </c>
      <c r="BP165" s="205">
        <v>0.28370993</v>
      </c>
      <c r="BQ165" s="206"/>
      <c r="BR165" s="250">
        <f t="shared" si="1"/>
        <v>0.5412328638</v>
      </c>
      <c r="BS165" s="250">
        <f t="shared" si="2"/>
        <v>1.188312638</v>
      </c>
      <c r="BT165" s="206"/>
      <c r="BU165" s="207">
        <f>IFERROR(__xludf.DUMMYFUNCTION("AVERAGE(ARRAYFORMULA(XLOOKUP(FILTER(INDIRECT(""'""&amp;BU$1&amp;""'!$C$4:$C$66""),INDIRECT(""'""&amp;BU$1&amp;""'!$D$4:$D$66"")=BU$2),$F$3:$BP$3,$F165:$BP165)))"),-0.4225085571428572)</f>
        <v>-0.4225085571</v>
      </c>
      <c r="BV165" s="207" t="str">
        <f>IFERROR(__xludf.DUMMYFUNCTION("IF(OR(BU165&gt;$BR165+$BS165*$BS$2,BU165&lt;$BR165-$BS165*$BS$2),AVEDEV(ARRAYFORMULA(XLOOKUP(FILTER(INDIRECT(""'""&amp;BU$1&amp;""'!$C$4:$C$66""),INDIRECT(""'""&amp;BU$1&amp;""'!$D$4:$D$66"")=BU$2),$F$3:$BP$3,$F165:$BP165))),"""")"),"")</f>
        <v/>
      </c>
      <c r="BW165" s="207">
        <f>IFERROR(__xludf.DUMMYFUNCTION("AVERAGE(ARRAYFORMULA(XLOOKUP(FILTER(INDIRECT(""'""&amp;BW$1&amp;""'!$C$4:$C$66""),INDIRECT(""'""&amp;BW$1&amp;""'!$D$4:$D$66"")=BW$2),$F$3:$BP$3,$F165:$BP165)))"),0.5348666766666668)</f>
        <v>0.5348666767</v>
      </c>
      <c r="BX165" s="207" t="str">
        <f>IFERROR(__xludf.DUMMYFUNCTION("IF(OR(BW165&gt;$BR165+$BS165*$BS$2,BW165&lt;$BR165-$BS165*$BS$2),AVEDEV(ARRAYFORMULA(XLOOKUP(FILTER(INDIRECT(""'""&amp;BW$1&amp;""'!$C$4:$C$66""),INDIRECT(""'""&amp;BW$1&amp;""'!$D$4:$D$66"")=BW$2),$F$3:$BP$3,$F165:$BP165))),"""")"),"")</f>
        <v/>
      </c>
      <c r="BY165" s="207">
        <f>IFERROR(__xludf.DUMMYFUNCTION("AVERAGE(ARRAYFORMULA(XLOOKUP(FILTER(INDIRECT(""'""&amp;BY$1&amp;""'!$C$4:$C$66""),INDIRECT(""'""&amp;BY$1&amp;""'!$D$4:$D$66"")=BY$2),$F$3:$BP$3,$F165:$BP165)))"),1.0738273081818184)</f>
        <v>1.073827308</v>
      </c>
      <c r="BZ165" s="207" t="str">
        <f>IFERROR(__xludf.DUMMYFUNCTION("IF(OR(BY165&gt;$BR165+$BS165*$BS$2,BY165&lt;$BR165-$BS165*$BS$2),AVEDEV(ARRAYFORMULA(XLOOKUP(FILTER(INDIRECT(""'""&amp;BY$1&amp;""'!$C$4:$C$66""),INDIRECT(""'""&amp;BY$1&amp;""'!$D$4:$D$66"")=BY$2),$F$3:$BP$3,$F165:$BP165))),"""")"),"")</f>
        <v/>
      </c>
      <c r="CA165" s="209"/>
      <c r="CB165" s="207">
        <f>IFERROR(__xludf.DUMMYFUNCTION("AVERAGE(ARRAYFORMULA(XLOOKUP(FILTER(INDIRECT(""'""&amp;CB$1&amp;""'!$C$4:$C$66""),INDIRECT(""'""&amp;CB$1&amp;""'!$D$4:$D$66"")=CB$2),$F$3:$BP$3,$F165:$BP165)))"),0.488319248125)</f>
        <v>0.4883192481</v>
      </c>
      <c r="CC165" s="207" t="str">
        <f>IFERROR(__xludf.DUMMYFUNCTION("IF(OR(CB165&gt;$BR165+$BS165*$BS$2,CB165&lt;$BR165-$BS165*$BS$2),AVEDEV(ARRAYFORMULA(XLOOKUP(FILTER(INDIRECT(""'""&amp;CB$1&amp;""'!$C$4:$C$66""),INDIRECT(""'""&amp;CB$1&amp;""'!$D$4:$D$66"")=CB$2),$F$3:$BP$3,$F165:$BP165))),"""")"),"")</f>
        <v/>
      </c>
      <c r="CD165" s="207">
        <f>IFERROR(__xludf.DUMMYFUNCTION("AVERAGE(ARRAYFORMULA(XLOOKUP(FILTER(INDIRECT(""'""&amp;CD$1&amp;""'!$C$4:$C$66""),INDIRECT(""'""&amp;CD$1&amp;""'!$D$4:$D$66"")=CD$2),$F$3:$BP$3,$F165:$BP165)))"),0.8709314851612905)</f>
        <v>0.8709314852</v>
      </c>
      <c r="CE165" s="207" t="str">
        <f>IFERROR(__xludf.DUMMYFUNCTION("IF(OR(CD165&gt;$BR165+$BS165*$BS$2,CD165&lt;$BR165-$BS165*$BS$2),AVEDEV(ARRAYFORMULA(XLOOKUP(FILTER(INDIRECT(""'""&amp;CD$1&amp;""'!$C$4:$C$66""),INDIRECT(""'""&amp;CD$1&amp;""'!$D$4:$D$66"")=CD$2),$F$3:$BP$3,$F165:$BP165))),"""")"),"")</f>
        <v/>
      </c>
      <c r="CF165" s="207">
        <f>IFERROR(__xludf.DUMMYFUNCTION("AVERAGE(ARRAYFORMULA(XLOOKUP(FILTER(INDIRECT(""'""&amp;CF$1&amp;""'!$C$4:$C$66""),INDIRECT(""'""&amp;CF$1&amp;""'!$D$4:$D$66"")=CF$2),$F$3:$BP$3,$F165:$BP165)))"),-0.46016822)</f>
        <v>-0.46016822</v>
      </c>
      <c r="CG165" s="207" t="str">
        <f>IFERROR(__xludf.DUMMYFUNCTION("IF(OR(CF165&gt;$BR165+$BS165*$BS$2,CF165&lt;$BR165-$BS165*$BS$2),AVEDEV(ARRAYFORMULA(XLOOKUP(FILTER(INDIRECT(""'""&amp;CF$1&amp;""'!$C$4:$C$66""),INDIRECT(""'""&amp;CF$1&amp;""'!$D$4:$D$66"")=CF$2),$F$3:$BP$3,$F165:$BP165))),"""")"),"")</f>
        <v/>
      </c>
      <c r="CH165" s="206"/>
      <c r="CI165" s="251">
        <f>IFERROR(__xludf.DUMMYFUNCTION("AVERAGE(ARRAYFORMULA(XLOOKUP(FILTER(INDIRECT(""'""&amp;CI$1&amp;""'!$C$4:$C$66""),INDIRECT(""'""&amp;CI$1&amp;""'!$D$4:$D$66"")=CI$2),$F$3:$BP$3,$F165:$BP165)))"),0.707745176)</f>
        <v>0.707745176</v>
      </c>
      <c r="CJ165" s="207" t="str">
        <f>IFERROR(__xludf.DUMMYFUNCTION("IF(OR(CI165&gt;$BR165+$BS165*$BS$2,CI165&lt;$BR165-$BS165*$BS$2),AVEDEV(ARRAYFORMULA(XLOOKUP(FILTER(INDIRECT(""'""&amp;CI$1&amp;""'!$C$4:$C$66""),INDIRECT(""'""&amp;CI$1&amp;""'!$D$4:$D$66"")=CI$2),$F$3:$BP$3,$F165:$BP165))),"""")"),"")</f>
        <v/>
      </c>
      <c r="CK165" s="251">
        <f>IFERROR(__xludf.DUMMYFUNCTION("AVERAGE(ARRAYFORMULA(XLOOKUP(FILTER(INDIRECT(""'""&amp;CK$1&amp;""'!$C$4:$C$66""),INDIRECT(""'""&amp;CK$1&amp;""'!$D$4:$D$66"")=CK$2),$F$3:$BP$3,$F165:$BP165)))"),0.6094098889743591)</f>
        <v>0.609409889</v>
      </c>
      <c r="CL165" s="207" t="str">
        <f>IFERROR(__xludf.DUMMYFUNCTION("IF(OR(CK165&gt;$BR165+$BS165*$BS$2,CK165&lt;$BR165-$BS165*$BS$2),AVEDEV(ARRAYFORMULA(XLOOKUP(FILTER(INDIRECT(""'""&amp;CK$1&amp;""'!$C$4:$C$66""),INDIRECT(""'""&amp;CK$1&amp;""'!$D$4:$D$66"")=CK$2),$F$3:$BP$3,$F165:$BP165))),"""")"),"")</f>
        <v/>
      </c>
      <c r="CM165" s="251">
        <f>IFERROR(__xludf.DUMMYFUNCTION("AVERAGE(ARRAYFORMULA(XLOOKUP(FILTER(INDIRECT(""'""&amp;CM$1&amp;""'!$C$4:$C$66""),INDIRECT(""'""&amp;CM$1&amp;""'!$D$4:$D$66"")=CM$2),$F$3:$BP$3,$F165:$BP165)))"),-0.46016822)</f>
        <v>-0.46016822</v>
      </c>
      <c r="CN165" s="207" t="str">
        <f>IFERROR(__xludf.DUMMYFUNCTION("IF(OR(CM165&gt;$BR165+$BS165*$BS$2,CM165&lt;$BR165-$BS165*$BS$2),AVEDEV(ARRAYFORMULA(XLOOKUP(FILTER(INDIRECT(""'""&amp;CM$1&amp;""'!$C$4:$C$66""),INDIRECT(""'""&amp;CM$1&amp;""'!$D$4:$D$66"")=CM$2),$F$3:$BP$3,$F165:$BP165))),"""")"),"")</f>
        <v/>
      </c>
      <c r="CO165" s="252"/>
      <c r="CP165" s="251">
        <f>IFERROR(__xludf.DUMMYFUNCTION("AVERAGE(ARRAYFORMULA(XLOOKUP(FILTER(INDIRECT(""'""&amp;CP$1&amp;""'!$C$4:$C$66""),INDIRECT(""'""&amp;CP$1&amp;""'!$D$4:$D$66"")=CP$2),$F$3:$BP$3,$F165:$BP165)))"),0.6020641471428572)</f>
        <v>0.6020641471</v>
      </c>
      <c r="CQ165" s="207" t="str">
        <f>IFERROR(__xludf.DUMMYFUNCTION("IF(OR(CP165&gt;$BR165+$BS165*$BS$2,CP165&lt;$BR165-$BS165*$BS$2),AVEDEV(ARRAYFORMULA(XLOOKUP(FILTER(INDIRECT(""'""&amp;CP$1&amp;""'!$C$4:$C$66""),INDIRECT(""'""&amp;CP$1&amp;""'!$D$4:$D$66"")=CP$2),$F$3:$BP$3,$F165:$BP165))),"""")"),"")</f>
        <v/>
      </c>
      <c r="CR165" s="251">
        <f>IFERROR(__xludf.DUMMYFUNCTION("AVERAGE(ARRAYFORMULA(XLOOKUP(FILTER(INDIRECT(""'""&amp;CR$1&amp;""'!$C$4:$C$66""),INDIRECT(""'""&amp;CR$1&amp;""'!$D$4:$D$66"")=CR$2),$F$3:$BP$3,$F165:$BP165)))"),1.4350606655555558)</f>
        <v>1.435060666</v>
      </c>
      <c r="CS165" s="207" t="str">
        <f>IFERROR(__xludf.DUMMYFUNCTION("IF(OR(CR165&gt;$BR165+$BS165*$BS$2,CR165&lt;$BR165-$BS165*$BS$2),AVEDEV(ARRAYFORMULA(XLOOKUP(FILTER(INDIRECT(""'""&amp;CR$1&amp;""'!$C$4:$C$66""),INDIRECT(""'""&amp;CR$1&amp;""'!$D$4:$D$66"")=CR$2),$F$3:$BP$3,$F165:$BP165))),"""")"),"")</f>
        <v/>
      </c>
      <c r="CT165" s="251">
        <f>IFERROR(__xludf.DUMMYFUNCTION("AVERAGE(ARRAYFORMULA(XLOOKUP(FILTER(INDIRECT(""'""&amp;CT$1&amp;""'!$C$4:$C$66""),INDIRECT(""'""&amp;CT$1&amp;""'!$D$4:$D$66"")=CT$2),$F$3:$BP$3,$F165:$BP165)))"),0.9297243554545457)</f>
        <v>0.9297243555</v>
      </c>
      <c r="CU165" s="207" t="str">
        <f>IFERROR(__xludf.DUMMYFUNCTION("IF(OR(CT165&gt;$BR165+$BS165*$BS$2,CT165&lt;$BR165-$BS165*$BS$2),AVEDEV(ARRAYFORMULA(XLOOKUP(FILTER(INDIRECT(""'""&amp;CT$1&amp;""'!$C$4:$C$66""),INDIRECT(""'""&amp;CT$1&amp;""'!$D$4:$D$66"")=CT$2),$F$3:$BP$3,$F165:$BP165))),"""")"),"")</f>
        <v/>
      </c>
      <c r="CV165" s="251">
        <f>IFERROR(__xludf.DUMMYFUNCTION("AVERAGE(ARRAYFORMULA(XLOOKUP(FILTER(INDIRECT(""'""&amp;CV$1&amp;""'!$C$4:$C$66""),INDIRECT(""'""&amp;CV$1&amp;""'!$D$4:$D$66"")=CV$2),$F$3:$BP$3,$F165:$BP165)))"),1.1863881250000001)</f>
        <v>1.186388125</v>
      </c>
      <c r="CW165" s="207" t="str">
        <f>IFERROR(__xludf.DUMMYFUNCTION("IF(OR(CV165&gt;$BR165+$BS165*$BS$2,CV165&lt;$BR165-$BS165*$BS$2),AVEDEV(ARRAYFORMULA(XLOOKUP(FILTER(INDIRECT(""'""&amp;CV$1&amp;""'!$C$4:$C$66""),INDIRECT(""'""&amp;CV$1&amp;""'!$D$4:$D$66"")=CV$2),$F$3:$BP$3,$F165:$BP165))),"""")"),"")</f>
        <v/>
      </c>
      <c r="CX165" s="251">
        <f>IFERROR(__xludf.DUMMYFUNCTION("AVERAGE(ARRAYFORMULA(XLOOKUP(FILTER(INDIRECT(""'""&amp;CX$1&amp;""'!$C$4:$C$66""),INDIRECT(""'""&amp;CX$1&amp;""'!$D$4:$D$66"")=CX$2),$F$3:$BP$3,$F165:$BP165)))"),0.010835675714285722)</f>
        <v>0.01083567571</v>
      </c>
      <c r="CY165" s="207" t="str">
        <f>IFERROR(__xludf.DUMMYFUNCTION("IF(OR(CX165&gt;$BR165+$BS165*$BS$2,CX165&lt;$BR165-$BS165*$BS$2),AVEDEV(ARRAYFORMULA(XLOOKUP(FILTER(INDIRECT(""'""&amp;CX$1&amp;""'!$C$4:$C$66""),INDIRECT(""'""&amp;CX$1&amp;""'!$D$4:$D$66"")=CX$2),$F$3:$BP$3,$F165:$BP165))),"""")"),"")</f>
        <v/>
      </c>
      <c r="CZ165" s="252"/>
      <c r="DA165" s="251">
        <f>IFERROR(__xludf.DUMMYFUNCTION("AVERAGE(ARRAYFORMULA(XLOOKUP(FILTER(INDIRECT(""'""&amp;DA$1&amp;""'!$C$4:$C$66""),INDIRECT(""'""&amp;DA$1&amp;""'!$D$4:$D$66"")=DA$2),$F$3:$BP$3,$F165:$BP165)))"),0.35298889800000016)</f>
        <v>0.352988898</v>
      </c>
      <c r="DB165" s="207" t="str">
        <f>IFERROR(__xludf.DUMMYFUNCTION("IF(OR(DA165&gt;$BR165+$BS165*$BS$2,DA165&lt;$BR165-$BS165*$BS$2),AVEDEV(ARRAYFORMULA(XLOOKUP(FILTER(INDIRECT(""'""&amp;DA$1&amp;""'!$C$4:$C$66""),INDIRECT(""'""&amp;DA$1&amp;""'!$D$4:$D$66"")=DA$2),$F$3:$BP$3,$F165:$BP165))),"""")"),"")</f>
        <v/>
      </c>
      <c r="DC165" s="251">
        <f>IFERROR(__xludf.DUMMYFUNCTION("AVERAGE(ARRAYFORMULA(XLOOKUP(FILTER(INDIRECT(""'""&amp;DC$1&amp;""'!$C$4:$C$66""),INDIRECT(""'""&amp;DC$1&amp;""'!$D$4:$D$66"")=DC$2),$F$3:$BP$3,$F165:$BP165)))"),-0.4074174466666667)</f>
        <v>-0.4074174467</v>
      </c>
      <c r="DD165" s="207" t="str">
        <f>IFERROR(__xludf.DUMMYFUNCTION("IF(OR(DC165&gt;$BR165+$BS165*$BS$2,DC165&lt;$BR165-$BS165*$BS$2),AVEDEV(ARRAYFORMULA(XLOOKUP(FILTER(INDIRECT(""'""&amp;DC$1&amp;""'!$C$4:$C$66""),INDIRECT(""'""&amp;DC$1&amp;""'!$D$4:$D$66"")=DC$2),$F$3:$BP$3,$F165:$BP165))),"""")"),"")</f>
        <v/>
      </c>
      <c r="DE165" s="251">
        <f>IFERROR(__xludf.DUMMYFUNCTION("AVERAGE(ARRAYFORMULA(XLOOKUP(FILTER(INDIRECT(""'""&amp;DE$1&amp;""'!$C$4:$C$66""),INDIRECT(""'""&amp;DE$1&amp;""'!$D$4:$D$66"")=DE$2),$F$3:$BP$3,$F165:$BP165)))"),-0.15792993125000002)</f>
        <v>-0.1579299313</v>
      </c>
      <c r="DF165" s="207" t="str">
        <f>IFERROR(__xludf.DUMMYFUNCTION("IF(OR(DE165&gt;$BR165+$BS165*$BS$2,DE165&lt;$BR165-$BS165*$BS$2),AVEDEV(ARRAYFORMULA(XLOOKUP(FILTER(INDIRECT(""'""&amp;DE$1&amp;""'!$C$4:$C$66""),INDIRECT(""'""&amp;DE$1&amp;""'!$D$4:$D$66"")=DE$2),$F$3:$BP$3,$F165:$BP165))),"""")"),"")</f>
        <v/>
      </c>
      <c r="DG165" s="251">
        <f>IFERROR(__xludf.DUMMYFUNCTION("AVERAGE(ARRAYFORMULA(XLOOKUP(FILTER(INDIRECT(""'""&amp;DG$1&amp;""'!$C$4:$C$66""),INDIRECT(""'""&amp;DG$1&amp;""'!$D$4:$D$66"")=DG$2),$F$3:$BP$3,$F165:$BP165)))"),3.0606910155555553)</f>
        <v>3.060691016</v>
      </c>
      <c r="DH165" s="207">
        <f>IFERROR(__xludf.DUMMYFUNCTION("IF(OR(DG165&gt;$BR165+$BS165*$BS$2,DG165&lt;$BR165-$BS165*$BS$2),AVEDEV(ARRAYFORMULA(XLOOKUP(FILTER(INDIRECT(""'""&amp;DG$1&amp;""'!$C$4:$C$66""),INDIRECT(""'""&amp;DG$1&amp;""'!$D$4:$D$66"")=DG$2),$F$3:$BP$3,$F165:$BP165))),"""")"),2.781057874074074)</f>
        <v>2.781057874</v>
      </c>
      <c r="DI165" s="252"/>
    </row>
    <row r="166">
      <c r="A166" s="2"/>
      <c r="B166" s="204" t="s">
        <v>601</v>
      </c>
      <c r="C166" s="204" t="s">
        <v>610</v>
      </c>
      <c r="D166" s="205" t="b">
        <f>VLOOKUP(C166,'Feature Set List'!A163:C246,2,0)</f>
        <v>1</v>
      </c>
      <c r="E166" s="205" t="b">
        <f>VLOOKUP(C166,'Feature Set List'!A163:C246,3,0)</f>
        <v>1</v>
      </c>
      <c r="F166" s="205">
        <v>-0.197521</v>
      </c>
      <c r="G166" s="205">
        <v>-0.0994233</v>
      </c>
      <c r="H166" s="205">
        <v>-0.8001591</v>
      </c>
      <c r="I166" s="205">
        <v>-0.1020746</v>
      </c>
      <c r="J166" s="205">
        <v>5.84874395</v>
      </c>
      <c r="K166" s="205">
        <v>0.38973951</v>
      </c>
      <c r="L166" s="205">
        <v>-0.5785113</v>
      </c>
      <c r="M166" s="205">
        <v>0.51832704</v>
      </c>
      <c r="N166" s="205">
        <v>0.26247763</v>
      </c>
      <c r="O166" s="205">
        <v>-0.5868629</v>
      </c>
      <c r="P166" s="205">
        <v>3.59779943</v>
      </c>
      <c r="Q166" s="205">
        <v>0.53158348</v>
      </c>
      <c r="R166" s="205">
        <v>0.52495526</v>
      </c>
      <c r="S166" s="205">
        <v>-0.0755617</v>
      </c>
      <c r="T166" s="205">
        <v>-0.5355604</v>
      </c>
      <c r="U166" s="205">
        <v>-0.041095</v>
      </c>
      <c r="V166" s="205">
        <v>-0.5127593</v>
      </c>
      <c r="W166" s="205">
        <v>-0.8275999</v>
      </c>
      <c r="X166" s="205">
        <v>-0.3181547</v>
      </c>
      <c r="Y166" s="205">
        <v>-1.3019156</v>
      </c>
      <c r="Z166" s="205">
        <v>-0.1736594</v>
      </c>
      <c r="AA166" s="205">
        <v>0.19354411</v>
      </c>
      <c r="AB166" s="205">
        <v>-0.1643799</v>
      </c>
      <c r="AC166" s="205">
        <v>-0.7716577</v>
      </c>
      <c r="AD166" s="205">
        <v>1.20368529</v>
      </c>
      <c r="AE166" s="205">
        <v>0.23463909</v>
      </c>
      <c r="AF166" s="205">
        <v>-0.6882747</v>
      </c>
      <c r="AG166" s="205">
        <v>-0.8208391</v>
      </c>
      <c r="AH166" s="205">
        <v>-0.0119308</v>
      </c>
      <c r="AI166" s="205">
        <v>0.16570557</v>
      </c>
      <c r="AJ166" s="205">
        <v>0.80731756</v>
      </c>
      <c r="AK166" s="205">
        <v>0.86962285</v>
      </c>
      <c r="AL166" s="205">
        <v>-0.1020746</v>
      </c>
      <c r="AM166" s="205">
        <v>0.0</v>
      </c>
      <c r="AN166" s="205">
        <v>3.0648903</v>
      </c>
      <c r="AO166" s="205">
        <v>-0.5762577</v>
      </c>
      <c r="AP166" s="205">
        <v>-0.6760787</v>
      </c>
      <c r="AQ166" s="205">
        <v>0.98495393</v>
      </c>
      <c r="AR166" s="205">
        <v>0.06628223</v>
      </c>
      <c r="AS166" s="205">
        <v>0.25452376</v>
      </c>
      <c r="AT166" s="205">
        <v>6.08868562</v>
      </c>
      <c r="AU166" s="205">
        <v>-1.2267515</v>
      </c>
      <c r="AV166" s="205">
        <v>-0.3287599</v>
      </c>
      <c r="AW166" s="205">
        <v>1.2514085</v>
      </c>
      <c r="AX166" s="205">
        <v>-1.5264798</v>
      </c>
      <c r="AY166" s="205">
        <v>0.03711805</v>
      </c>
      <c r="AZ166" s="205">
        <v>0.29561874</v>
      </c>
      <c r="BA166" s="205">
        <v>0.47458076</v>
      </c>
      <c r="BB166" s="205">
        <v>0.41227547</v>
      </c>
      <c r="BC166" s="205">
        <v>1.53642209</v>
      </c>
      <c r="BD166" s="205">
        <v>-0.3314111</v>
      </c>
      <c r="BE166" s="205">
        <v>-0.7100152</v>
      </c>
      <c r="BF166" s="205">
        <v>0.18956718</v>
      </c>
      <c r="BG166" s="205">
        <v>-0.7727182</v>
      </c>
      <c r="BH166" s="205">
        <v>0.35394711</v>
      </c>
      <c r="BI166" s="205">
        <v>0.21740571</v>
      </c>
      <c r="BJ166" s="205">
        <v>-0.0278385</v>
      </c>
      <c r="BK166" s="205">
        <v>0.41360111</v>
      </c>
      <c r="BL166" s="205">
        <v>1.07642341</v>
      </c>
      <c r="BM166" s="205">
        <v>3.25710877</v>
      </c>
      <c r="BN166" s="205">
        <v>-0.9689136</v>
      </c>
      <c r="BO166" s="205">
        <v>0.23066216</v>
      </c>
      <c r="BP166" s="205">
        <v>-0.7819977</v>
      </c>
      <c r="BQ166" s="206"/>
      <c r="BR166" s="250">
        <f t="shared" si="1"/>
        <v>0.2970853773</v>
      </c>
      <c r="BS166" s="250">
        <f t="shared" si="2"/>
        <v>0.8655353617</v>
      </c>
      <c r="BT166" s="206"/>
      <c r="BU166" s="207">
        <f>IFERROR(__xludf.DUMMYFUNCTION("AVERAGE(ARRAYFORMULA(XLOOKUP(FILTER(INDIRECT(""'""&amp;BU$1&amp;""'!$C$4:$C$66""),INDIRECT(""'""&amp;BU$1&amp;""'!$D$4:$D$66"")=BU$2),$F$3:$BP$3,$F166:$BP166)))"),0.10457442428571428)</f>
        <v>0.1045744243</v>
      </c>
      <c r="BV166" s="207" t="str">
        <f>IFERROR(__xludf.DUMMYFUNCTION("IF(OR(BU166&gt;$BR166+$BS166*$BS$2,BU166&lt;$BR166-$BS166*$BS$2),AVEDEV(ARRAYFORMULA(XLOOKUP(FILTER(INDIRECT(""'""&amp;BU$1&amp;""'!$C$4:$C$66""),INDIRECT(""'""&amp;BU$1&amp;""'!$D$4:$D$66"")=BU$2),$F$3:$BP$3,$F166:$BP166))),"""")"),"")</f>
        <v/>
      </c>
      <c r="BW166" s="207">
        <f>IFERROR(__xludf.DUMMYFUNCTION("AVERAGE(ARRAYFORMULA(XLOOKUP(FILTER(INDIRECT(""'""&amp;BW$1&amp;""'!$C$4:$C$66""),INDIRECT(""'""&amp;BW$1&amp;""'!$D$4:$D$66"")=BW$2),$F$3:$BP$3,$F166:$BP166)))"),0.2713152688095238)</f>
        <v>0.2713152688</v>
      </c>
      <c r="BX166" s="207" t="str">
        <f>IFERROR(__xludf.DUMMYFUNCTION("IF(OR(BW166&gt;$BR166+$BS166*$BS$2,BW166&lt;$BR166-$BS166*$BS$2),AVEDEV(ARRAYFORMULA(XLOOKUP(FILTER(INDIRECT(""'""&amp;BW$1&amp;""'!$C$4:$C$66""),INDIRECT(""'""&amp;BW$1&amp;""'!$D$4:$D$66"")=BW$2),$F$3:$BP$3,$F166:$BP166))),"""")"),"")</f>
        <v/>
      </c>
      <c r="BY166" s="207">
        <f>IFERROR(__xludf.DUMMYFUNCTION("AVERAGE(ARRAYFORMULA(XLOOKUP(FILTER(INDIRECT(""'""&amp;BY$1&amp;""'!$C$4:$C$66""),INDIRECT(""'""&amp;BY$1&amp;""'!$D$4:$D$66"")=BY$2),$F$3:$BP$3,$F166:$BP166)))"),-0.02143928181818179)</f>
        <v>-0.02143928182</v>
      </c>
      <c r="BZ166" s="207" t="str">
        <f>IFERROR(__xludf.DUMMYFUNCTION("IF(OR(BY166&gt;$BR166+$BS166*$BS$2,BY166&lt;$BR166-$BS166*$BS$2),AVEDEV(ARRAYFORMULA(XLOOKUP(FILTER(INDIRECT(""'""&amp;BY$1&amp;""'!$C$4:$C$66""),INDIRECT(""'""&amp;BY$1&amp;""'!$D$4:$D$66"")=BY$2),$F$3:$BP$3,$F166:$BP166))),"""")"),"")</f>
        <v/>
      </c>
      <c r="CA166" s="209"/>
      <c r="CB166" s="207">
        <f>IFERROR(__xludf.DUMMYFUNCTION("AVERAGE(ARRAYFORMULA(XLOOKUP(FILTER(INDIRECT(""'""&amp;CB$1&amp;""'!$C$4:$C$66""),INDIRECT(""'""&amp;CB$1&amp;""'!$D$4:$D$66"")=CB$2),$F$3:$BP$3,$F166:$BP166)))"),0.33360675375000004)</f>
        <v>0.3336067538</v>
      </c>
      <c r="CC166" s="207" t="str">
        <f>IFERROR(__xludf.DUMMYFUNCTION("IF(OR(CB166&gt;$BR166+$BS166*$BS$2,CB166&lt;$BR166-$BS166*$BS$2),AVEDEV(ARRAYFORMULA(XLOOKUP(FILTER(INDIRECT(""'""&amp;CB$1&amp;""'!$C$4:$C$66""),INDIRECT(""'""&amp;CB$1&amp;""'!$D$4:$D$66"")=CB$2),$F$3:$BP$3,$F166:$BP166))),"""")"),"")</f>
        <v/>
      </c>
      <c r="CD166" s="207">
        <f>IFERROR(__xludf.DUMMYFUNCTION("AVERAGE(ARRAYFORMULA(XLOOKUP(FILTER(INDIRECT(""'""&amp;CD$1&amp;""'!$C$4:$C$66""),INDIRECT(""'""&amp;CD$1&amp;""'!$D$4:$D$66"")=CD$2),$F$3:$BP$3,$F166:$BP166)))"),0.060239864516129026)</f>
        <v>0.06023986452</v>
      </c>
      <c r="CE166" s="207" t="str">
        <f>IFERROR(__xludf.DUMMYFUNCTION("IF(OR(CD166&gt;$BR166+$BS166*$BS$2,CD166&lt;$BR166-$BS166*$BS$2),AVEDEV(ARRAYFORMULA(XLOOKUP(FILTER(INDIRECT(""'""&amp;CD$1&amp;""'!$C$4:$C$66""),INDIRECT(""'""&amp;CD$1&amp;""'!$D$4:$D$66"")=CD$2),$F$3:$BP$3,$F166:$BP166))),"""")"),"")</f>
        <v/>
      </c>
      <c r="CF166" s="207">
        <f>IFERROR(__xludf.DUMMYFUNCTION("AVERAGE(ARRAYFORMULA(XLOOKUP(FILTER(INDIRECT(""'""&amp;CF$1&amp;""'!$C$4:$C$66""),INDIRECT(""'""&amp;CF$1&amp;""'!$D$4:$D$66"")=CF$2),$F$3:$BP$3,$F166:$BP166)))"),-0.022191289999999995)</f>
        <v>-0.02219129</v>
      </c>
      <c r="CG166" s="207" t="str">
        <f>IFERROR(__xludf.DUMMYFUNCTION("IF(OR(CF166&gt;$BR166+$BS166*$BS$2,CF166&lt;$BR166-$BS166*$BS$2),AVEDEV(ARRAYFORMULA(XLOOKUP(FILTER(INDIRECT(""'""&amp;CF$1&amp;""'!$C$4:$C$66""),INDIRECT(""'""&amp;CF$1&amp;""'!$D$4:$D$66"")=CF$2),$F$3:$BP$3,$F166:$BP166))),"""")"),"")</f>
        <v/>
      </c>
      <c r="CH166" s="206"/>
      <c r="CI166" s="251">
        <f>IFERROR(__xludf.DUMMYFUNCTION("AVERAGE(ARRAYFORMULA(XLOOKUP(FILTER(INDIRECT(""'""&amp;CI$1&amp;""'!$C$4:$C$66""),INDIRECT(""'""&amp;CI$1&amp;""'!$D$4:$D$66"")=CI$2),$F$3:$BP$3,$F166:$BP166)))"),-0.04113031533333337)</f>
        <v>-0.04113031533</v>
      </c>
      <c r="CJ166" s="207" t="str">
        <f>IFERROR(__xludf.DUMMYFUNCTION("IF(OR(CI166&gt;$BR166+$BS166*$BS$2,CI166&lt;$BR166-$BS166*$BS$2),AVEDEV(ARRAYFORMULA(XLOOKUP(FILTER(INDIRECT(""'""&amp;CI$1&amp;""'!$C$4:$C$66""),INDIRECT(""'""&amp;CI$1&amp;""'!$D$4:$D$66"")=CI$2),$F$3:$BP$3,$F166:$BP166))),"""")"),"")</f>
        <v/>
      </c>
      <c r="CK166" s="251">
        <f>IFERROR(__xludf.DUMMYFUNCTION("AVERAGE(ARRAYFORMULA(XLOOKUP(FILTER(INDIRECT(""'""&amp;CK$1&amp;""'!$C$4:$C$66""),INDIRECT(""'""&amp;CK$1&amp;""'!$D$4:$D$66"")=CK$2),$F$3:$BP$3,$F166:$BP166)))"),0.3129676982051283)</f>
        <v>0.3129676982</v>
      </c>
      <c r="CL166" s="207" t="str">
        <f>IFERROR(__xludf.DUMMYFUNCTION("IF(OR(CK166&gt;$BR166+$BS166*$BS$2,CK166&lt;$BR166-$BS166*$BS$2),AVEDEV(ARRAYFORMULA(XLOOKUP(FILTER(INDIRECT(""'""&amp;CK$1&amp;""'!$C$4:$C$66""),INDIRECT(""'""&amp;CK$1&amp;""'!$D$4:$D$66"")=CK$2),$F$3:$BP$3,$F166:$BP166))),"""")"),"")</f>
        <v/>
      </c>
      <c r="CM166" s="251">
        <f>IFERROR(__xludf.DUMMYFUNCTION("AVERAGE(ARRAYFORMULA(XLOOKUP(FILTER(INDIRECT(""'""&amp;CM$1&amp;""'!$C$4:$C$66""),INDIRECT(""'""&amp;CM$1&amp;""'!$D$4:$D$66"")=CM$2),$F$3:$BP$3,$F166:$BP166)))"),-0.022191289999999995)</f>
        <v>-0.02219129</v>
      </c>
      <c r="CN166" s="207" t="str">
        <f>IFERROR(__xludf.DUMMYFUNCTION("IF(OR(CM166&gt;$BR166+$BS166*$BS$2,CM166&lt;$BR166-$BS166*$BS$2),AVEDEV(ARRAYFORMULA(XLOOKUP(FILTER(INDIRECT(""'""&amp;CM$1&amp;""'!$C$4:$C$66""),INDIRECT(""'""&amp;CM$1&amp;""'!$D$4:$D$66"")=CM$2),$F$3:$BP$3,$F166:$BP166))),"""")"),"")</f>
        <v/>
      </c>
      <c r="CO166" s="252"/>
      <c r="CP166" s="251">
        <f>IFERROR(__xludf.DUMMYFUNCTION("AVERAGE(ARRAYFORMULA(XLOOKUP(FILTER(INDIRECT(""'""&amp;CP$1&amp;""'!$C$4:$C$66""),INDIRECT(""'""&amp;CP$1&amp;""'!$D$4:$D$66"")=CP$2),$F$3:$BP$3,$F166:$BP166)))"),0.009800309999999994)</f>
        <v>0.00980031</v>
      </c>
      <c r="CQ166" s="207" t="str">
        <f>IFERROR(__xludf.DUMMYFUNCTION("IF(OR(CP166&gt;$BR166+$BS166*$BS$2,CP166&lt;$BR166-$BS166*$BS$2),AVEDEV(ARRAYFORMULA(XLOOKUP(FILTER(INDIRECT(""'""&amp;CP$1&amp;""'!$C$4:$C$66""),INDIRECT(""'""&amp;CP$1&amp;""'!$D$4:$D$66"")=CP$2),$F$3:$BP$3,$F166:$BP166))),"""")"),"")</f>
        <v/>
      </c>
      <c r="CR166" s="251">
        <f>IFERROR(__xludf.DUMMYFUNCTION("AVERAGE(ARRAYFORMULA(XLOOKUP(FILTER(INDIRECT(""'""&amp;CR$1&amp;""'!$C$4:$C$66""),INDIRECT(""'""&amp;CR$1&amp;""'!$D$4:$D$66"")=CR$2),$F$3:$BP$3,$F166:$BP166)))"),-0.14993039555555557)</f>
        <v>-0.1499303956</v>
      </c>
      <c r="CS166" s="207" t="str">
        <f>IFERROR(__xludf.DUMMYFUNCTION("IF(OR(CR166&gt;$BR166+$BS166*$BS$2,CR166&lt;$BR166-$BS166*$BS$2),AVEDEV(ARRAYFORMULA(XLOOKUP(FILTER(INDIRECT(""'""&amp;CR$1&amp;""'!$C$4:$C$66""),INDIRECT(""'""&amp;CR$1&amp;""'!$D$4:$D$66"")=CR$2),$F$3:$BP$3,$F166:$BP166))),"""")"),"")</f>
        <v/>
      </c>
      <c r="CT166" s="251">
        <f>IFERROR(__xludf.DUMMYFUNCTION("AVERAGE(ARRAYFORMULA(XLOOKUP(FILTER(INDIRECT(""'""&amp;CT$1&amp;""'!$C$4:$C$66""),INDIRECT(""'""&amp;CT$1&amp;""'!$D$4:$D$66"")=CT$2),$F$3:$BP$3,$F166:$BP166)))"),-0.20517361272727275)</f>
        <v>-0.2051736127</v>
      </c>
      <c r="CU166" s="207" t="str">
        <f>IFERROR(__xludf.DUMMYFUNCTION("IF(OR(CT166&gt;$BR166+$BS166*$BS$2,CT166&lt;$BR166-$BS166*$BS$2),AVEDEV(ARRAYFORMULA(XLOOKUP(FILTER(INDIRECT(""'""&amp;CT$1&amp;""'!$C$4:$C$66""),INDIRECT(""'""&amp;CT$1&amp;""'!$D$4:$D$66"")=CT$2),$F$3:$BP$3,$F166:$BP166))),"""")"),"")</f>
        <v/>
      </c>
      <c r="CV166" s="251">
        <f>IFERROR(__xludf.DUMMYFUNCTION("AVERAGE(ARRAYFORMULA(XLOOKUP(FILTER(INDIRECT(""'""&amp;CV$1&amp;""'!$C$4:$C$66""),INDIRECT(""'""&amp;CV$1&amp;""'!$D$4:$D$66"")=CV$2),$F$3:$BP$3,$F166:$BP166)))"),-0.77218795)</f>
        <v>-0.77218795</v>
      </c>
      <c r="CW166" s="207">
        <f>IFERROR(__xludf.DUMMYFUNCTION("IF(OR(CV166&gt;$BR166+$BS166*$BS$2,CV166&lt;$BR166-$BS166*$BS$2),AVEDEV(ARRAYFORMULA(XLOOKUP(FILTER(INDIRECT(""'""&amp;CV$1&amp;""'!$C$4:$C$66""),INDIRECT(""'""&amp;CV$1&amp;""'!$D$4:$D$66"")=CV$2),$F$3:$BP$3,$F166:$BP166))),"""")"),5.302500000000099E-4)</f>
        <v>0.00053025</v>
      </c>
      <c r="CX166" s="251">
        <f>IFERROR(__xludf.DUMMYFUNCTION("AVERAGE(ARRAYFORMULA(XLOOKUP(FILTER(INDIRECT(""'""&amp;CX$1&amp;""'!$C$4:$C$66""),INDIRECT(""'""&amp;CX$1&amp;""'!$D$4:$D$66"")=CX$2),$F$3:$BP$3,$F166:$BP166)))"),0.6558153185714285)</f>
        <v>0.6558153186</v>
      </c>
      <c r="CY166" s="207" t="str">
        <f>IFERROR(__xludf.DUMMYFUNCTION("IF(OR(CX166&gt;$BR166+$BS166*$BS$2,CX166&lt;$BR166-$BS166*$BS$2),AVEDEV(ARRAYFORMULA(XLOOKUP(FILTER(INDIRECT(""'""&amp;CX$1&amp;""'!$C$4:$C$66""),INDIRECT(""'""&amp;CX$1&amp;""'!$D$4:$D$66"")=CX$2),$F$3:$BP$3,$F166:$BP166))),"""")"),"")</f>
        <v/>
      </c>
      <c r="CZ166" s="252"/>
      <c r="DA166" s="251">
        <f>IFERROR(__xludf.DUMMYFUNCTION("AVERAGE(ARRAYFORMULA(XLOOKUP(FILTER(INDIRECT(""'""&amp;DA$1&amp;""'!$C$4:$C$66""),INDIRECT(""'""&amp;DA$1&amp;""'!$D$4:$D$66"")=DA$2),$F$3:$BP$3,$F166:$BP166)))"),0.3363292993333333)</f>
        <v>0.3363292993</v>
      </c>
      <c r="DB166" s="207" t="str">
        <f>IFERROR(__xludf.DUMMYFUNCTION("IF(OR(DA166&gt;$BR166+$BS166*$BS$2,DA166&lt;$BR166-$BS166*$BS$2),AVEDEV(ARRAYFORMULA(XLOOKUP(FILTER(INDIRECT(""'""&amp;DA$1&amp;""'!$C$4:$C$66""),INDIRECT(""'""&amp;DA$1&amp;""'!$D$4:$D$66"")=DA$2),$F$3:$BP$3,$F166:$BP166))),"""")"),"")</f>
        <v/>
      </c>
      <c r="DC166" s="251">
        <f>IFERROR(__xludf.DUMMYFUNCTION("AVERAGE(ARRAYFORMULA(XLOOKUP(FILTER(INDIRECT(""'""&amp;DC$1&amp;""'!$C$4:$C$66""),INDIRECT(""'""&amp;DC$1&amp;""'!$D$4:$D$66"")=DC$2),$F$3:$BP$3,$F166:$BP166)))"),-0.15735400444444442)</f>
        <v>-0.1573540044</v>
      </c>
      <c r="DD166" s="207" t="str">
        <f>IFERROR(__xludf.DUMMYFUNCTION("IF(OR(DC166&gt;$BR166+$BS166*$BS$2,DC166&lt;$BR166-$BS166*$BS$2),AVEDEV(ARRAYFORMULA(XLOOKUP(FILTER(INDIRECT(""'""&amp;DC$1&amp;""'!$C$4:$C$66""),INDIRECT(""'""&amp;DC$1&amp;""'!$D$4:$D$66"")=DC$2),$F$3:$BP$3,$F166:$BP166))),"""")"),"")</f>
        <v/>
      </c>
      <c r="DE166" s="251">
        <f>IFERROR(__xludf.DUMMYFUNCTION("AVERAGE(ARRAYFORMULA(XLOOKUP(FILTER(INDIRECT(""'""&amp;DE$1&amp;""'!$C$4:$C$66""),INDIRECT(""'""&amp;DE$1&amp;""'!$D$4:$D$66"")=DE$2),$F$3:$BP$3,$F166:$BP166)))"),-0.08923245125)</f>
        <v>-0.08923245125</v>
      </c>
      <c r="DF166" s="207" t="str">
        <f>IFERROR(__xludf.DUMMYFUNCTION("IF(OR(DE166&gt;$BR166+$BS166*$BS$2,DE166&lt;$BR166-$BS166*$BS$2),AVEDEV(ARRAYFORMULA(XLOOKUP(FILTER(INDIRECT(""'""&amp;DE$1&amp;""'!$C$4:$C$66""),INDIRECT(""'""&amp;DE$1&amp;""'!$D$4:$D$66"")=DE$2),$F$3:$BP$3,$F166:$BP166))),"""")"),"")</f>
        <v/>
      </c>
      <c r="DG166" s="251">
        <f>IFERROR(__xludf.DUMMYFUNCTION("AVERAGE(ARRAYFORMULA(XLOOKUP(FILTER(INDIRECT(""'""&amp;DG$1&amp;""'!$C$4:$C$66""),INDIRECT(""'""&amp;DG$1&amp;""'!$D$4:$D$66"")=DG$2),$F$3:$BP$3,$F166:$BP166)))"),0.03286126555555555)</f>
        <v>0.03286126556</v>
      </c>
      <c r="DH166" s="207" t="str">
        <f>IFERROR(__xludf.DUMMYFUNCTION("IF(OR(DG166&gt;$BR166+$BS166*$BS$2,DG166&lt;$BR166-$BS166*$BS$2),AVEDEV(ARRAYFORMULA(XLOOKUP(FILTER(INDIRECT(""'""&amp;DG$1&amp;""'!$C$4:$C$66""),INDIRECT(""'""&amp;DG$1&amp;""'!$D$4:$D$66"")=DG$2),$F$3:$BP$3,$F166:$BP166))),"""")"),"")</f>
        <v/>
      </c>
      <c r="DI166" s="252"/>
    </row>
    <row r="167">
      <c r="A167" s="2"/>
      <c r="B167" s="204" t="s">
        <v>601</v>
      </c>
      <c r="C167" s="204" t="s">
        <v>611</v>
      </c>
      <c r="D167" s="205" t="b">
        <f>VLOOKUP(C167,'Feature Set List'!A164:C246,2,0)</f>
        <v>1</v>
      </c>
      <c r="E167" s="205" t="b">
        <f>VLOOKUP(C167,'Feature Set List'!A164:C246,3,0)</f>
        <v>1</v>
      </c>
      <c r="F167" s="205">
        <v>1.46094485</v>
      </c>
      <c r="G167" s="205">
        <v>1.20910973</v>
      </c>
      <c r="H167" s="205">
        <v>0.62375306</v>
      </c>
      <c r="I167" s="205">
        <v>0.7762093</v>
      </c>
      <c r="J167" s="205">
        <v>0.16864295</v>
      </c>
      <c r="K167" s="205">
        <v>0.10653115</v>
      </c>
      <c r="L167" s="205">
        <v>-0.5830981</v>
      </c>
      <c r="M167" s="205">
        <v>0.43026539</v>
      </c>
      <c r="N167" s="205">
        <v>0.76792772</v>
      </c>
      <c r="O167" s="205">
        <v>-1.0287973</v>
      </c>
      <c r="P167" s="205">
        <v>-0.1486919</v>
      </c>
      <c r="Q167" s="205">
        <v>-0.9900245</v>
      </c>
      <c r="R167" s="205">
        <v>0.21833239</v>
      </c>
      <c r="S167" s="205">
        <v>-0.1084133</v>
      </c>
      <c r="T167" s="205">
        <v>-0.4490871</v>
      </c>
      <c r="U167" s="205">
        <v>0.5428195</v>
      </c>
      <c r="V167" s="205">
        <v>-0.5383023</v>
      </c>
      <c r="W167" s="205">
        <v>-0.2951252</v>
      </c>
      <c r="X167" s="205">
        <v>0.15132693</v>
      </c>
      <c r="Y167" s="205">
        <v>-1.0479955</v>
      </c>
      <c r="Z167" s="205">
        <v>-0.2017692</v>
      </c>
      <c r="AA167" s="205">
        <v>2.30378317</v>
      </c>
      <c r="AB167" s="205">
        <v>0.0</v>
      </c>
      <c r="AC167" s="205">
        <v>1.59194429</v>
      </c>
      <c r="AD167" s="205">
        <v>0.47204969</v>
      </c>
      <c r="AE167" s="205">
        <v>0.04479578</v>
      </c>
      <c r="AF167" s="205">
        <v>1.11613025</v>
      </c>
      <c r="AG167" s="205">
        <v>-0.2789385</v>
      </c>
      <c r="AH167" s="205">
        <v>0.04404291</v>
      </c>
      <c r="AI167" s="205">
        <v>-0.6049313</v>
      </c>
      <c r="AJ167" s="205">
        <v>1.23056653</v>
      </c>
      <c r="AK167" s="205">
        <v>2.39149257</v>
      </c>
      <c r="AL167" s="205">
        <v>0.19461698</v>
      </c>
      <c r="AM167" s="205">
        <v>-0.467156</v>
      </c>
      <c r="AN167" s="205">
        <v>-1.1640128</v>
      </c>
      <c r="AO167" s="205">
        <v>0.18068888</v>
      </c>
      <c r="AP167" s="205">
        <v>-0.2988895</v>
      </c>
      <c r="AQ167" s="205">
        <v>-0.3937512</v>
      </c>
      <c r="AR167" s="205">
        <v>-0.2619989</v>
      </c>
      <c r="AS167" s="205">
        <v>2.67381893</v>
      </c>
      <c r="AT167" s="205">
        <v>-1.2109166</v>
      </c>
      <c r="AU167" s="205">
        <v>0.25635234</v>
      </c>
      <c r="AV167" s="205">
        <v>0.12572934</v>
      </c>
      <c r="AW167" s="205">
        <v>-0.1185771</v>
      </c>
      <c r="AX167" s="205">
        <v>-0.6508564</v>
      </c>
      <c r="AY167" s="205">
        <v>-0.807077</v>
      </c>
      <c r="AZ167" s="205">
        <v>-0.7528703</v>
      </c>
      <c r="BA167" s="205">
        <v>-0.9301713</v>
      </c>
      <c r="BB167" s="205">
        <v>-0.3470732</v>
      </c>
      <c r="BC167" s="205">
        <v>-0.5913796</v>
      </c>
      <c r="BD167" s="205">
        <v>0.07114625</v>
      </c>
      <c r="BE167" s="205">
        <v>0.7912667</v>
      </c>
      <c r="BF167" s="205">
        <v>-0.0274798</v>
      </c>
      <c r="BG167" s="205">
        <v>0.83305101</v>
      </c>
      <c r="BH167" s="205">
        <v>0.28232637</v>
      </c>
      <c r="BI167" s="205">
        <v>-0.1464333</v>
      </c>
      <c r="BJ167" s="205">
        <v>-0.2721626</v>
      </c>
      <c r="BK167" s="205">
        <v>-1.1099191</v>
      </c>
      <c r="BL167" s="205">
        <v>-0.4355355</v>
      </c>
      <c r="BM167" s="205">
        <v>-0.0248447</v>
      </c>
      <c r="BN167" s="205">
        <v>1.43722944</v>
      </c>
      <c r="BO167" s="205">
        <v>0.57255788</v>
      </c>
      <c r="BP167" s="205">
        <v>1.17334839</v>
      </c>
      <c r="BQ167" s="206"/>
      <c r="BR167" s="250">
        <f t="shared" si="1"/>
        <v>0.1262939932</v>
      </c>
      <c r="BS167" s="250">
        <f t="shared" si="2"/>
        <v>0.6529178228</v>
      </c>
      <c r="BT167" s="206"/>
      <c r="BU167" s="207">
        <f>IFERROR(__xludf.DUMMYFUNCTION("AVERAGE(ARRAYFORMULA(XLOOKUP(FILTER(INDIRECT(""'""&amp;BU$1&amp;""'!$C$4:$C$66""),INDIRECT(""'""&amp;BU$1&amp;""'!$D$4:$D$66"")=BU$2),$F$3:$BP$3,$F167:$BP167)))"),-0.6468608071428571)</f>
        <v>-0.6468608071</v>
      </c>
      <c r="BV167" s="207">
        <f>IFERROR(__xludf.DUMMYFUNCTION("IF(OR(BU167&gt;$BR167+$BS167*$BS$2,BU167&lt;$BR167-$BS167*$BS$2),AVEDEV(ARRAYFORMULA(XLOOKUP(FILTER(INDIRECT(""'""&amp;BU$1&amp;""'!$C$4:$C$66""),INDIRECT(""'""&amp;BU$1&amp;""'!$D$4:$D$66"")=BU$2),$F$3:$BP$3,$F167:$BP167))),"""")"),0.36214753469387756)</f>
        <v>0.3621475347</v>
      </c>
      <c r="BW167" s="207">
        <f>IFERROR(__xludf.DUMMYFUNCTION("AVERAGE(ARRAYFORMULA(XLOOKUP(FILTER(INDIRECT(""'""&amp;BW$1&amp;""'!$C$4:$C$66""),INDIRECT(""'""&amp;BW$1&amp;""'!$D$4:$D$66"")=BW$2),$F$3:$BP$3,$F167:$BP167)))"),0.3846091773809524)</f>
        <v>0.3846091774</v>
      </c>
      <c r="BX167" s="207" t="str">
        <f>IFERROR(__xludf.DUMMYFUNCTION("IF(OR(BW167&gt;$BR167+$BS167*$BS$2,BW167&lt;$BR167-$BS167*$BS$2),AVEDEV(ARRAYFORMULA(XLOOKUP(FILTER(INDIRECT(""'""&amp;BW$1&amp;""'!$C$4:$C$66""),INDIRECT(""'""&amp;BW$1&amp;""'!$D$4:$D$66"")=BW$2),$F$3:$BP$3,$F167:$BP167))),"""")"),"")</f>
        <v/>
      </c>
      <c r="BY167" s="207">
        <f>IFERROR(__xludf.DUMMYFUNCTION("AVERAGE(ARRAYFORMULA(XLOOKUP(FILTER(INDIRECT(""'""&amp;BY$1&amp;""'!$C$4:$C$66""),INDIRECT(""'""&amp;BY$1&amp;""'!$D$4:$D$66"")=BY$2),$F$3:$BP$3,$F167:$BP167)))"),-0.2264086445454545)</f>
        <v>-0.2264086445</v>
      </c>
      <c r="BZ167" s="207" t="str">
        <f>IFERROR(__xludf.DUMMYFUNCTION("IF(OR(BY167&gt;$BR167+$BS167*$BS$2,BY167&lt;$BR167-$BS167*$BS$2),AVEDEV(ARRAYFORMULA(XLOOKUP(FILTER(INDIRECT(""'""&amp;BY$1&amp;""'!$C$4:$C$66""),INDIRECT(""'""&amp;BY$1&amp;""'!$D$4:$D$66"")=BY$2),$F$3:$BP$3,$F167:$BP167))),"""")"),"")</f>
        <v/>
      </c>
      <c r="CA167" s="209"/>
      <c r="CB167" s="207">
        <f>IFERROR(__xludf.DUMMYFUNCTION("AVERAGE(ARRAYFORMULA(XLOOKUP(FILTER(INDIRECT(""'""&amp;CB$1&amp;""'!$C$4:$C$66""),INDIRECT(""'""&amp;CB$1&amp;""'!$D$4:$D$66"")=CB$2),$F$3:$BP$3,$F167:$BP167)))"),0.5051995125000001)</f>
        <v>0.5051995125</v>
      </c>
      <c r="CC167" s="207" t="str">
        <f>IFERROR(__xludf.DUMMYFUNCTION("IF(OR(CB167&gt;$BR167+$BS167*$BS$2,CB167&lt;$BR167-$BS167*$BS$2),AVEDEV(ARRAYFORMULA(XLOOKUP(FILTER(INDIRECT(""'""&amp;CB$1&amp;""'!$C$4:$C$66""),INDIRECT(""'""&amp;CB$1&amp;""'!$D$4:$D$66"")=CB$2),$F$3:$BP$3,$F167:$BP167))),"""")"),"")</f>
        <v/>
      </c>
      <c r="CD167" s="207">
        <f>IFERROR(__xludf.DUMMYFUNCTION("AVERAGE(ARRAYFORMULA(XLOOKUP(FILTER(INDIRECT(""'""&amp;CD$1&amp;""'!$C$4:$C$66""),INDIRECT(""'""&amp;CD$1&amp;""'!$D$4:$D$66"")=CD$2),$F$3:$BP$3,$F167:$BP167)))"),0.12419931354838708)</f>
        <v>0.1241993135</v>
      </c>
      <c r="CE167" s="207" t="str">
        <f>IFERROR(__xludf.DUMMYFUNCTION("IF(OR(CD167&gt;$BR167+$BS167*$BS$2,CD167&lt;$BR167-$BS167*$BS$2),AVEDEV(ARRAYFORMULA(XLOOKUP(FILTER(INDIRECT(""'""&amp;CD$1&amp;""'!$C$4:$C$66""),INDIRECT(""'""&amp;CD$1&amp;""'!$D$4:$D$66"")=CD$2),$F$3:$BP$3,$F167:$BP167))),"""")"),"")</f>
        <v/>
      </c>
      <c r="CF167" s="207">
        <f>IFERROR(__xludf.DUMMYFUNCTION("AVERAGE(ARRAYFORMULA(XLOOKUP(FILTER(INDIRECT(""'""&amp;CF$1&amp;""'!$C$4:$C$66""),INDIRECT(""'""&amp;CF$1&amp;""'!$D$4:$D$66"")=CF$2),$F$3:$BP$3,$F167:$BP167)))"),-0.43591192)</f>
        <v>-0.43591192</v>
      </c>
      <c r="CG167" s="207" t="str">
        <f>IFERROR(__xludf.DUMMYFUNCTION("IF(OR(CF167&gt;$BR167+$BS167*$BS$2,CF167&lt;$BR167-$BS167*$BS$2),AVEDEV(ARRAYFORMULA(XLOOKUP(FILTER(INDIRECT(""'""&amp;CF$1&amp;""'!$C$4:$C$66""),INDIRECT(""'""&amp;CF$1&amp;""'!$D$4:$D$66"")=CF$2),$F$3:$BP$3,$F167:$BP167))),"""")"),"")</f>
        <v/>
      </c>
      <c r="CH167" s="206"/>
      <c r="CI167" s="251">
        <f>IFERROR(__xludf.DUMMYFUNCTION("AVERAGE(ARRAYFORMULA(XLOOKUP(FILTER(INDIRECT(""'""&amp;CI$1&amp;""'!$C$4:$C$66""),INDIRECT(""'""&amp;CI$1&amp;""'!$D$4:$D$66"")=CI$2),$F$3:$BP$3,$F167:$BP167)))"),0.42732918999999997)</f>
        <v>0.42732919</v>
      </c>
      <c r="CJ167" s="207" t="str">
        <f>IFERROR(__xludf.DUMMYFUNCTION("IF(OR(CI167&gt;$BR167+$BS167*$BS$2,CI167&lt;$BR167-$BS167*$BS$2),AVEDEV(ARRAYFORMULA(XLOOKUP(FILTER(INDIRECT(""'""&amp;CI$1&amp;""'!$C$4:$C$66""),INDIRECT(""'""&amp;CI$1&amp;""'!$D$4:$D$66"")=CI$2),$F$3:$BP$3,$F167:$BP167))),"""")"),"")</f>
        <v/>
      </c>
      <c r="CK167" s="251">
        <f>IFERROR(__xludf.DUMMYFUNCTION("AVERAGE(ARRAYFORMULA(XLOOKUP(FILTER(INDIRECT(""'""&amp;CK$1&amp;""'!$C$4:$C$66""),INDIRECT(""'""&amp;CK$1&amp;""'!$D$4:$D$66"")=CK$2),$F$3:$BP$3,$F167:$BP167)))"),0.1542206553846154)</f>
        <v>0.1542206554</v>
      </c>
      <c r="CL167" s="207" t="str">
        <f>IFERROR(__xludf.DUMMYFUNCTION("IF(OR(CK167&gt;$BR167+$BS167*$BS$2,CK167&lt;$BR167-$BS167*$BS$2),AVEDEV(ARRAYFORMULA(XLOOKUP(FILTER(INDIRECT(""'""&amp;CK$1&amp;""'!$C$4:$C$66""),INDIRECT(""'""&amp;CK$1&amp;""'!$D$4:$D$66"")=CK$2),$F$3:$BP$3,$F167:$BP167))),"""")"),"")</f>
        <v/>
      </c>
      <c r="CM167" s="251">
        <f>IFERROR(__xludf.DUMMYFUNCTION("AVERAGE(ARRAYFORMULA(XLOOKUP(FILTER(INDIRECT(""'""&amp;CM$1&amp;""'!$C$4:$C$66""),INDIRECT(""'""&amp;CM$1&amp;""'!$D$4:$D$66"")=CM$2),$F$3:$BP$3,$F167:$BP167)))"),-0.43591192)</f>
        <v>-0.43591192</v>
      </c>
      <c r="CN167" s="207" t="str">
        <f>IFERROR(__xludf.DUMMYFUNCTION("IF(OR(CM167&gt;$BR167+$BS167*$BS$2,CM167&lt;$BR167-$BS167*$BS$2),AVEDEV(ARRAYFORMULA(XLOOKUP(FILTER(INDIRECT(""'""&amp;CM$1&amp;""'!$C$4:$C$66""),INDIRECT(""'""&amp;CM$1&amp;""'!$D$4:$D$66"")=CM$2),$F$3:$BP$3,$F167:$BP167))),"""")"),"")</f>
        <v/>
      </c>
      <c r="CO167" s="252"/>
      <c r="CP167" s="251">
        <f>IFERROR(__xludf.DUMMYFUNCTION("AVERAGE(ARRAYFORMULA(XLOOKUP(FILTER(INDIRECT(""'""&amp;CP$1&amp;""'!$C$4:$C$66""),INDIRECT(""'""&amp;CP$1&amp;""'!$D$4:$D$66"")=CP$2),$F$3:$BP$3,$F167:$BP167)))"),0.6242370492857143)</f>
        <v>0.6242370493</v>
      </c>
      <c r="CQ167" s="207" t="str">
        <f>IFERROR(__xludf.DUMMYFUNCTION("IF(OR(CP167&gt;$BR167+$BS167*$BS$2,CP167&lt;$BR167-$BS167*$BS$2),AVEDEV(ARRAYFORMULA(XLOOKUP(FILTER(INDIRECT(""'""&amp;CP$1&amp;""'!$C$4:$C$66""),INDIRECT(""'""&amp;CP$1&amp;""'!$D$4:$D$66"")=CP$2),$F$3:$BP$3,$F167:$BP167))),"""")"),"")</f>
        <v/>
      </c>
      <c r="CR167" s="251">
        <f>IFERROR(__xludf.DUMMYFUNCTION("AVERAGE(ARRAYFORMULA(XLOOKUP(FILTER(INDIRECT(""'""&amp;CR$1&amp;""'!$C$4:$C$66""),INDIRECT(""'""&amp;CR$1&amp;""'!$D$4:$D$66"")=CR$2),$F$3:$BP$3,$F167:$BP167)))"),-0.13865362111111112)</f>
        <v>-0.1386536211</v>
      </c>
      <c r="CS167" s="207" t="str">
        <f>IFERROR(__xludf.DUMMYFUNCTION("IF(OR(CR167&gt;$BR167+$BS167*$BS$2,CR167&lt;$BR167-$BS167*$BS$2),AVEDEV(ARRAYFORMULA(XLOOKUP(FILTER(INDIRECT(""'""&amp;CR$1&amp;""'!$C$4:$C$66""),INDIRECT(""'""&amp;CR$1&amp;""'!$D$4:$D$66"")=CR$2),$F$3:$BP$3,$F167:$BP167))),"""")"),"")</f>
        <v/>
      </c>
      <c r="CT167" s="251">
        <f>IFERROR(__xludf.DUMMYFUNCTION("AVERAGE(ARRAYFORMULA(XLOOKUP(FILTER(INDIRECT(""'""&amp;CT$1&amp;""'!$C$4:$C$66""),INDIRECT(""'""&amp;CT$1&amp;""'!$D$4:$D$66"")=CT$2),$F$3:$BP$3,$F167:$BP167)))"),0.5244426136363637)</f>
        <v>0.5244426136</v>
      </c>
      <c r="CU167" s="207" t="str">
        <f>IFERROR(__xludf.DUMMYFUNCTION("IF(OR(CT167&gt;$BR167+$BS167*$BS$2,CT167&lt;$BR167-$BS167*$BS$2),AVEDEV(ARRAYFORMULA(XLOOKUP(FILTER(INDIRECT(""'""&amp;CT$1&amp;""'!$C$4:$C$66""),INDIRECT(""'""&amp;CT$1&amp;""'!$D$4:$D$66"")=CT$2),$F$3:$BP$3,$F167:$BP167))),"""")"),"")</f>
        <v/>
      </c>
      <c r="CV167" s="251">
        <f>IFERROR(__xludf.DUMMYFUNCTION("AVERAGE(ARRAYFORMULA(XLOOKUP(FILTER(INDIRECT(""'""&amp;CV$1&amp;""'!$C$4:$C$66""),INDIRECT(""'""&amp;CV$1&amp;""'!$D$4:$D$66"")=CV$2),$F$3:$BP$3,$F167:$BP167)))"),1.21249765)</f>
        <v>1.21249765</v>
      </c>
      <c r="CW167" s="207">
        <f>IFERROR(__xludf.DUMMYFUNCTION("IF(OR(CV167&gt;$BR167+$BS167*$BS$2,CV167&lt;$BR167-$BS167*$BS$2),AVEDEV(ARRAYFORMULA(XLOOKUP(FILTER(INDIRECT(""'""&amp;CV$1&amp;""'!$C$4:$C$66""),INDIRECT(""'""&amp;CV$1&amp;""'!$D$4:$D$66"")=CV$2),$F$3:$BP$3,$F167:$BP167))),"""")"),0.37944664)</f>
        <v>0.37944664</v>
      </c>
      <c r="CX167" s="251">
        <f>IFERROR(__xludf.DUMMYFUNCTION("AVERAGE(ARRAYFORMULA(XLOOKUP(FILTER(INDIRECT(""'""&amp;CX$1&amp;""'!$C$4:$C$66""),INDIRECT(""'""&amp;CX$1&amp;""'!$D$4:$D$66"")=CX$2),$F$3:$BP$3,$F167:$BP167)))"),-0.10666559571428572)</f>
        <v>-0.1066655957</v>
      </c>
      <c r="CY167" s="207" t="str">
        <f>IFERROR(__xludf.DUMMYFUNCTION("IF(OR(CX167&gt;$BR167+$BS167*$BS$2,CX167&lt;$BR167-$BS167*$BS$2),AVEDEV(ARRAYFORMULA(XLOOKUP(FILTER(INDIRECT(""'""&amp;CX$1&amp;""'!$C$4:$C$66""),INDIRECT(""'""&amp;CX$1&amp;""'!$D$4:$D$66"")=CX$2),$F$3:$BP$3,$F167:$BP167))),"""")"),"")</f>
        <v/>
      </c>
      <c r="CZ167" s="252"/>
      <c r="DA167" s="251">
        <f>IFERROR(__xludf.DUMMYFUNCTION("AVERAGE(ARRAYFORMULA(XLOOKUP(FILTER(INDIRECT(""'""&amp;DA$1&amp;""'!$C$4:$C$66""),INDIRECT(""'""&amp;DA$1&amp;""'!$D$4:$D$66"")=DA$2),$F$3:$BP$3,$F167:$BP167)))"),0.4115565563333333)</f>
        <v>0.4115565563</v>
      </c>
      <c r="DB167" s="207" t="str">
        <f>IFERROR(__xludf.DUMMYFUNCTION("IF(OR(DA167&gt;$BR167+$BS167*$BS$2,DA167&lt;$BR167-$BS167*$BS$2),AVEDEV(ARRAYFORMULA(XLOOKUP(FILTER(INDIRECT(""'""&amp;DA$1&amp;""'!$C$4:$C$66""),INDIRECT(""'""&amp;DA$1&amp;""'!$D$4:$D$66"")=DA$2),$F$3:$BP$3,$F167:$BP167))),"""")"),"")</f>
        <v/>
      </c>
      <c r="DC167" s="251">
        <f>IFERROR(__xludf.DUMMYFUNCTION("AVERAGE(ARRAYFORMULA(XLOOKUP(FILTER(INDIRECT(""'""&amp;DC$1&amp;""'!$C$4:$C$66""),INDIRECT(""'""&amp;DC$1&amp;""'!$D$4:$D$66"")=DC$2),$F$3:$BP$3,$F167:$BP167)))"),-0.18035427333333337)</f>
        <v>-0.1803542733</v>
      </c>
      <c r="DD167" s="207" t="str">
        <f>IFERROR(__xludf.DUMMYFUNCTION("IF(OR(DC167&gt;$BR167+$BS167*$BS$2,DC167&lt;$BR167-$BS167*$BS$2),AVEDEV(ARRAYFORMULA(XLOOKUP(FILTER(INDIRECT(""'""&amp;DC$1&amp;""'!$C$4:$C$66""),INDIRECT(""'""&amp;DC$1&amp;""'!$D$4:$D$66"")=DC$2),$F$3:$BP$3,$F167:$BP167))),"""")"),"")</f>
        <v/>
      </c>
      <c r="DE167" s="251">
        <f>IFERROR(__xludf.DUMMYFUNCTION("AVERAGE(ARRAYFORMULA(XLOOKUP(FILTER(INDIRECT(""'""&amp;DE$1&amp;""'!$C$4:$C$66""),INDIRECT(""'""&amp;DE$1&amp;""'!$D$4:$D$66"")=DE$2),$F$3:$BP$3,$F167:$BP167)))"),-0.33968567375000003)</f>
        <v>-0.3396856738</v>
      </c>
      <c r="DF167" s="207" t="str">
        <f>IFERROR(__xludf.DUMMYFUNCTION("IF(OR(DE167&gt;$BR167+$BS167*$BS$2,DE167&lt;$BR167-$BS167*$BS$2),AVEDEV(ARRAYFORMULA(XLOOKUP(FILTER(INDIRECT(""'""&amp;DE$1&amp;""'!$C$4:$C$66""),INDIRECT(""'""&amp;DE$1&amp;""'!$D$4:$D$66"")=DE$2),$F$3:$BP$3,$F167:$BP167))),"""")"),"")</f>
        <v/>
      </c>
      <c r="DG167" s="251">
        <f>IFERROR(__xludf.DUMMYFUNCTION("AVERAGE(ARRAYFORMULA(XLOOKUP(FILTER(INDIRECT(""'""&amp;DG$1&amp;""'!$C$4:$C$66""),INDIRECT(""'""&amp;DG$1&amp;""'!$D$4:$D$66"")=DG$2),$F$3:$BP$3,$F167:$BP167)))"),0.45465001888888895)</f>
        <v>0.4546500189</v>
      </c>
      <c r="DH167" s="207" t="str">
        <f>IFERROR(__xludf.DUMMYFUNCTION("IF(OR(DG167&gt;$BR167+$BS167*$BS$2,DG167&lt;$BR167-$BS167*$BS$2),AVEDEV(ARRAYFORMULA(XLOOKUP(FILTER(INDIRECT(""'""&amp;DG$1&amp;""'!$C$4:$C$66""),INDIRECT(""'""&amp;DG$1&amp;""'!$D$4:$D$66"")=DG$2),$F$3:$BP$3,$F167:$BP167))),"""")"),"")</f>
        <v/>
      </c>
      <c r="DI167" s="252"/>
    </row>
    <row r="168">
      <c r="A168" s="2"/>
      <c r="B168" s="204" t="s">
        <v>601</v>
      </c>
      <c r="C168" s="204" t="s">
        <v>612</v>
      </c>
      <c r="D168" s="205" t="b">
        <f>VLOOKUP(C168,'Feature Set List'!A165:C246,2,0)</f>
        <v>1</v>
      </c>
      <c r="E168" s="205" t="b">
        <f>VLOOKUP(C168,'Feature Set List'!A165:C246,3,0)</f>
        <v>0</v>
      </c>
      <c r="F168" s="205">
        <v>-0.2523059</v>
      </c>
      <c r="G168" s="205">
        <v>-0.1205147</v>
      </c>
      <c r="H168" s="205">
        <v>-0.0201243</v>
      </c>
      <c r="I168" s="205">
        <v>2.18557178</v>
      </c>
      <c r="J168" s="205">
        <v>0.04013301</v>
      </c>
      <c r="K168" s="205">
        <v>-0.0803238</v>
      </c>
      <c r="L168" s="205">
        <v>0.0</v>
      </c>
      <c r="M168" s="205">
        <v>0.13768975</v>
      </c>
      <c r="N168" s="205">
        <v>1.63215267</v>
      </c>
      <c r="O168" s="205">
        <v>0.13913546</v>
      </c>
      <c r="P168" s="205">
        <v>-0.0925257</v>
      </c>
      <c r="Q168" s="205">
        <v>-0.1205147</v>
      </c>
      <c r="R168" s="205">
        <v>0.15272517</v>
      </c>
      <c r="S168" s="205">
        <v>0.16712448</v>
      </c>
      <c r="T168" s="205">
        <v>0.91450051</v>
      </c>
      <c r="U168" s="205">
        <v>-0.1330635</v>
      </c>
      <c r="V168" s="205">
        <v>-0.0389186</v>
      </c>
      <c r="W168" s="205">
        <v>1.18455978</v>
      </c>
      <c r="X168" s="205">
        <v>-0.1570045</v>
      </c>
      <c r="Y168" s="205">
        <v>-0.2231025</v>
      </c>
      <c r="Z168" s="205">
        <v>-0.3212954</v>
      </c>
      <c r="AA168" s="205">
        <v>0.34199798</v>
      </c>
      <c r="AB168" s="205">
        <v>-0.3212954</v>
      </c>
      <c r="AC168" s="205">
        <v>-0.1599537</v>
      </c>
      <c r="AD168" s="205">
        <v>-0.0737314</v>
      </c>
      <c r="AE168" s="205">
        <v>0.11947376</v>
      </c>
      <c r="AF168" s="205">
        <v>-0.1655053</v>
      </c>
      <c r="AG168" s="205">
        <v>0.19754229</v>
      </c>
      <c r="AH168" s="205">
        <v>0.09177389</v>
      </c>
      <c r="AI168" s="205">
        <v>0.82602284</v>
      </c>
      <c r="AJ168" s="205">
        <v>1.08682955</v>
      </c>
      <c r="AK168" s="205">
        <v>-0.2285962</v>
      </c>
      <c r="AL168" s="205">
        <v>-0.3212954</v>
      </c>
      <c r="AM168" s="205">
        <v>-0.1441087</v>
      </c>
      <c r="AN168" s="205">
        <v>3.99444846</v>
      </c>
      <c r="AO168" s="205">
        <v>1.93748735</v>
      </c>
      <c r="AP168" s="205">
        <v>-0.1864392</v>
      </c>
      <c r="AQ168" s="205">
        <v>3.35891282</v>
      </c>
      <c r="AR168" s="205">
        <v>0.58198641</v>
      </c>
      <c r="AS168" s="205">
        <v>1.35978025</v>
      </c>
      <c r="AT168" s="205">
        <v>6.38681509</v>
      </c>
      <c r="AU168" s="205">
        <v>0.94688449</v>
      </c>
      <c r="AV168" s="205">
        <v>-0.2517855</v>
      </c>
      <c r="AW168" s="205">
        <v>-0.1009108</v>
      </c>
      <c r="AX168" s="205">
        <v>3.50174931</v>
      </c>
      <c r="AY168" s="205">
        <v>-0.0150354</v>
      </c>
      <c r="AZ168" s="205">
        <v>0.0072864</v>
      </c>
      <c r="BA168" s="205">
        <v>0.87286396</v>
      </c>
      <c r="BB168" s="205">
        <v>2.00514674</v>
      </c>
      <c r="BC168" s="205">
        <v>-0.0803238</v>
      </c>
      <c r="BD168" s="205">
        <v>1.93748735</v>
      </c>
      <c r="BE168" s="205">
        <v>-0.1248518</v>
      </c>
      <c r="BF168" s="205">
        <v>0.10894897</v>
      </c>
      <c r="BG168" s="205">
        <v>-0.1599537</v>
      </c>
      <c r="BH168" s="205">
        <v>0.64270638</v>
      </c>
      <c r="BI168" s="205">
        <v>-0.0042793</v>
      </c>
      <c r="BJ168" s="205">
        <v>0.05915859</v>
      </c>
      <c r="BK168" s="205">
        <v>-0.3212954</v>
      </c>
      <c r="BL168" s="205">
        <v>-0.3212954</v>
      </c>
      <c r="BM168" s="205">
        <v>1.18455978</v>
      </c>
      <c r="BN168" s="205">
        <v>-0.3212954</v>
      </c>
      <c r="BO168" s="205">
        <v>-0.1135752</v>
      </c>
      <c r="BP168" s="205">
        <v>-0.1795576</v>
      </c>
      <c r="BQ168" s="206"/>
      <c r="BR168" s="250">
        <f t="shared" si="1"/>
        <v>0.5229948741</v>
      </c>
      <c r="BS168" s="250">
        <f t="shared" si="2"/>
        <v>0.8445575527</v>
      </c>
      <c r="BT168" s="206"/>
      <c r="BU168" s="207">
        <f>IFERROR(__xludf.DUMMYFUNCTION("AVERAGE(ARRAYFORMULA(XLOOKUP(FILTER(INDIRECT(""'""&amp;BU$1&amp;""'!$C$4:$C$66""),INDIRECT(""'""&amp;BU$1&amp;""'!$D$4:$D$66"")=BU$2),$F$3:$BP$3,$F168:$BP168)))"),1.7263305671428573)</f>
        <v>1.726330567</v>
      </c>
      <c r="BV168" s="207">
        <f>IFERROR(__xludf.DUMMYFUNCTION("IF(OR(BU168&gt;$BR168+$BS168*$BS$2,BU168&lt;$BR168-$BS168*$BS$2),AVEDEV(ARRAYFORMULA(XLOOKUP(FILTER(INDIRECT(""'""&amp;BU$1&amp;""'!$C$4:$C$66""),INDIRECT(""'""&amp;BU$1&amp;""'!$D$4:$D$66"")=BU$2),$F$3:$BP$3,$F168:$BP168))),"""")"),1.215626691020408)</f>
        <v>1.215626691</v>
      </c>
      <c r="BW168" s="207">
        <f>IFERROR(__xludf.DUMMYFUNCTION("AVERAGE(ARRAYFORMULA(XLOOKUP(FILTER(INDIRECT(""'""&amp;BW$1&amp;""'!$C$4:$C$66""),INDIRECT(""'""&amp;BW$1&amp;""'!$D$4:$D$66"")=BW$2),$F$3:$BP$3,$F168:$BP168)))"),0.3573776097619048)</f>
        <v>0.3573776098</v>
      </c>
      <c r="BX168" s="207" t="str">
        <f>IFERROR(__xludf.DUMMYFUNCTION("IF(OR(BW168&gt;$BR168+$BS168*$BS$2,BW168&lt;$BR168-$BS168*$BS$2),AVEDEV(ARRAYFORMULA(XLOOKUP(FILTER(INDIRECT(""'""&amp;BW$1&amp;""'!$C$4:$C$66""),INDIRECT(""'""&amp;BW$1&amp;""'!$D$4:$D$66"")=BW$2),$F$3:$BP$3,$F168:$BP168))),"""")"),"")</f>
        <v/>
      </c>
      <c r="BY168" s="207">
        <f>IFERROR(__xludf.DUMMYFUNCTION("AVERAGE(ARRAYFORMULA(XLOOKUP(FILTER(INDIRECT(""'""&amp;BY$1&amp;""'!$C$4:$C$66""),INDIRECT(""'""&amp;BY$1&amp;""'!$D$4:$D$66"")=BY$2),$F$3:$BP$3,$F168:$BP168)))"),-0.03926031818181819)</f>
        <v>-0.03926031818</v>
      </c>
      <c r="BZ168" s="207" t="str">
        <f>IFERROR(__xludf.DUMMYFUNCTION("IF(OR(BY168&gt;$BR168+$BS168*$BS$2,BY168&lt;$BR168-$BS168*$BS$2),AVEDEV(ARRAYFORMULA(XLOOKUP(FILTER(INDIRECT(""'""&amp;BY$1&amp;""'!$C$4:$C$66""),INDIRECT(""'""&amp;BY$1&amp;""'!$D$4:$D$66"")=BY$2),$F$3:$BP$3,$F168:$BP168))),"""")"),"")</f>
        <v/>
      </c>
      <c r="CA168" s="209"/>
      <c r="CB168" s="207">
        <f>IFERROR(__xludf.DUMMYFUNCTION("AVERAGE(ARRAYFORMULA(XLOOKUP(FILTER(INDIRECT(""'""&amp;CB$1&amp;""'!$C$4:$C$66""),INDIRECT(""'""&amp;CB$1&amp;""'!$D$4:$D$66"")=CB$2),$F$3:$BP$3,$F168:$BP168)))"),0.47317116562499995)</f>
        <v>0.4731711656</v>
      </c>
      <c r="CC168" s="207" t="str">
        <f>IFERROR(__xludf.DUMMYFUNCTION("IF(OR(CB168&gt;$BR168+$BS168*$BS$2,CB168&lt;$BR168-$BS168*$BS$2),AVEDEV(ARRAYFORMULA(XLOOKUP(FILTER(INDIRECT(""'""&amp;CB$1&amp;""'!$C$4:$C$66""),INDIRECT(""'""&amp;CB$1&amp;""'!$D$4:$D$66"")=CB$2),$F$3:$BP$3,$F168:$BP168))),"""")"),"")</f>
        <v/>
      </c>
      <c r="CD168" s="207">
        <f>IFERROR(__xludf.DUMMYFUNCTION("AVERAGE(ARRAYFORMULA(XLOOKUP(FILTER(INDIRECT(""'""&amp;CD$1&amp;""'!$C$4:$C$66""),INDIRECT(""'""&amp;CD$1&amp;""'!$D$4:$D$66"")=CD$2),$F$3:$BP$3,$F168:$BP168)))"),0.35052488870967735)</f>
        <v>0.3505248887</v>
      </c>
      <c r="CE168" s="207" t="str">
        <f>IFERROR(__xludf.DUMMYFUNCTION("IF(OR(CD168&gt;$BR168+$BS168*$BS$2,CD168&lt;$BR168-$BS168*$BS$2),AVEDEV(ARRAYFORMULA(XLOOKUP(FILTER(INDIRECT(""'""&amp;CD$1&amp;""'!$C$4:$C$66""),INDIRECT(""'""&amp;CD$1&amp;""'!$D$4:$D$66"")=CD$2),$F$3:$BP$3,$F168:$BP168))),"""")"),"")</f>
        <v/>
      </c>
      <c r="CF168" s="207">
        <f>IFERROR(__xludf.DUMMYFUNCTION("AVERAGE(ARRAYFORMULA(XLOOKUP(FILTER(INDIRECT(""'""&amp;CF$1&amp;""'!$C$4:$C$66""),INDIRECT(""'""&amp;CF$1&amp;""'!$D$4:$D$66"")=CF$2),$F$3:$BP$3,$F168:$BP168)))"),0.200896344)</f>
        <v>0.200896344</v>
      </c>
      <c r="CG168" s="207" t="str">
        <f>IFERROR(__xludf.DUMMYFUNCTION("IF(OR(CF168&gt;$BR168+$BS168*$BS$2,CF168&lt;$BR168-$BS168*$BS$2),AVEDEV(ARRAYFORMULA(XLOOKUP(FILTER(INDIRECT(""'""&amp;CF$1&amp;""'!$C$4:$C$66""),INDIRECT(""'""&amp;CF$1&amp;""'!$D$4:$D$66"")=CF$2),$F$3:$BP$3,$F168:$BP168))),"""")"),"")</f>
        <v/>
      </c>
      <c r="CH168" s="206"/>
      <c r="CI168" s="251">
        <f>IFERROR(__xludf.DUMMYFUNCTION("AVERAGE(ARRAYFORMULA(XLOOKUP(FILTER(INDIRECT(""'""&amp;CI$1&amp;""'!$C$4:$C$66""),INDIRECT(""'""&amp;CI$1&amp;""'!$D$4:$D$66"")=CI$2),$F$3:$BP$3,$F168:$BP168)))"),0.3452132313333333)</f>
        <v>0.3452132313</v>
      </c>
      <c r="CJ168" s="207" t="str">
        <f>IFERROR(__xludf.DUMMYFUNCTION("IF(OR(CI168&gt;$BR168+$BS168*$BS$2,CI168&lt;$BR168-$BS168*$BS$2),AVEDEV(ARRAYFORMULA(XLOOKUP(FILTER(INDIRECT(""'""&amp;CI$1&amp;""'!$C$4:$C$66""),INDIRECT(""'""&amp;CI$1&amp;""'!$D$4:$D$66"")=CI$2),$F$3:$BP$3,$F168:$BP168))),"""")"),"")</f>
        <v/>
      </c>
      <c r="CK168" s="251">
        <f>IFERROR(__xludf.DUMMYFUNCTION("AVERAGE(ARRAYFORMULA(XLOOKUP(FILTER(INDIRECT(""'""&amp;CK$1&amp;""'!$C$4:$C$66""),INDIRECT(""'""&amp;CK$1&amp;""'!$D$4:$D$66"")=CK$2),$F$3:$BP$3,$F168:$BP168)))"),0.5333570587179489)</f>
        <v>0.5333570587</v>
      </c>
      <c r="CL168" s="207" t="str">
        <f>IFERROR(__xludf.DUMMYFUNCTION("IF(OR(CK168&gt;$BR168+$BS168*$BS$2,CK168&lt;$BR168-$BS168*$BS$2),AVEDEV(ARRAYFORMULA(XLOOKUP(FILTER(INDIRECT(""'""&amp;CK$1&amp;""'!$C$4:$C$66""),INDIRECT(""'""&amp;CK$1&amp;""'!$D$4:$D$66"")=CK$2),$F$3:$BP$3,$F168:$BP168))),"""")"),"")</f>
        <v/>
      </c>
      <c r="CM168" s="251">
        <f>IFERROR(__xludf.DUMMYFUNCTION("AVERAGE(ARRAYFORMULA(XLOOKUP(FILTER(INDIRECT(""'""&amp;CM$1&amp;""'!$C$4:$C$66""),INDIRECT(""'""&amp;CM$1&amp;""'!$D$4:$D$66"")=CM$2),$F$3:$BP$3,$F168:$BP168)))"),0.200896344)</f>
        <v>0.200896344</v>
      </c>
      <c r="CN168" s="207" t="str">
        <f>IFERROR(__xludf.DUMMYFUNCTION("IF(OR(CM168&gt;$BR168+$BS168*$BS$2,CM168&lt;$BR168-$BS168*$BS$2),AVEDEV(ARRAYFORMULA(XLOOKUP(FILTER(INDIRECT(""'""&amp;CM$1&amp;""'!$C$4:$C$66""),INDIRECT(""'""&amp;CM$1&amp;""'!$D$4:$D$66"")=CM$2),$F$3:$BP$3,$F168:$BP168))),"""")"),"")</f>
        <v/>
      </c>
      <c r="CO168" s="252"/>
      <c r="CP168" s="251">
        <f>IFERROR(__xludf.DUMMYFUNCTION("AVERAGE(ARRAYFORMULA(XLOOKUP(FILTER(INDIRECT(""'""&amp;CP$1&amp;""'!$C$4:$C$66""),INDIRECT(""'""&amp;CP$1&amp;""'!$D$4:$D$66"")=CP$2),$F$3:$BP$3,$F168:$BP168)))"),0.301001665)</f>
        <v>0.301001665</v>
      </c>
      <c r="CQ168" s="207" t="str">
        <f>IFERROR(__xludf.DUMMYFUNCTION("IF(OR(CP168&gt;$BR168+$BS168*$BS$2,CP168&lt;$BR168-$BS168*$BS$2),AVEDEV(ARRAYFORMULA(XLOOKUP(FILTER(INDIRECT(""'""&amp;CP$1&amp;""'!$C$4:$C$66""),INDIRECT(""'""&amp;CP$1&amp;""'!$D$4:$D$66"")=CP$2),$F$3:$BP$3,$F168:$BP168))),"""")"),"")</f>
        <v/>
      </c>
      <c r="CR168" s="251">
        <f>IFERROR(__xludf.DUMMYFUNCTION("AVERAGE(ARRAYFORMULA(XLOOKUP(FILTER(INDIRECT(""'""&amp;CR$1&amp;""'!$C$4:$C$66""),INDIRECT(""'""&amp;CR$1&amp;""'!$D$4:$D$66"")=CR$2),$F$3:$BP$3,$F168:$BP168)))"),-0.01061474444444445)</f>
        <v>-0.01061474444</v>
      </c>
      <c r="CS168" s="207" t="str">
        <f>IFERROR(__xludf.DUMMYFUNCTION("IF(OR(CR168&gt;$BR168+$BS168*$BS$2,CR168&lt;$BR168-$BS168*$BS$2),AVEDEV(ARRAYFORMULA(XLOOKUP(FILTER(INDIRECT(""'""&amp;CR$1&amp;""'!$C$4:$C$66""),INDIRECT(""'""&amp;CR$1&amp;""'!$D$4:$D$66"")=CR$2),$F$3:$BP$3,$F168:$BP168))),"""")"),"")</f>
        <v/>
      </c>
      <c r="CT168" s="251">
        <f>IFERROR(__xludf.DUMMYFUNCTION("AVERAGE(ARRAYFORMULA(XLOOKUP(FILTER(INDIRECT(""'""&amp;CT$1&amp;""'!$C$4:$C$66""),INDIRECT(""'""&amp;CT$1&amp;""'!$D$4:$D$66"")=CT$2),$F$3:$BP$3,$F168:$BP168)))"),0.16433292272727276)</f>
        <v>0.1643329227</v>
      </c>
      <c r="CU168" s="207" t="str">
        <f>IFERROR(__xludf.DUMMYFUNCTION("IF(OR(CT168&gt;$BR168+$BS168*$BS$2,CT168&lt;$BR168-$BS168*$BS$2),AVEDEV(ARRAYFORMULA(XLOOKUP(FILTER(INDIRECT(""'""&amp;CT$1&amp;""'!$C$4:$C$66""),INDIRECT(""'""&amp;CT$1&amp;""'!$D$4:$D$66"")=CT$2),$F$3:$BP$3,$F168:$BP168))),"""")"),"")</f>
        <v/>
      </c>
      <c r="CV168" s="251">
        <f>IFERROR(__xludf.DUMMYFUNCTION("AVERAGE(ARRAYFORMULA(XLOOKUP(FILTER(INDIRECT(""'""&amp;CV$1&amp;""'!$C$4:$C$66""),INDIRECT(""'""&amp;CV$1&amp;""'!$D$4:$D$66"")=CV$2),$F$3:$BP$3,$F168:$BP168)))"),-0.1599537)</f>
        <v>-0.1599537</v>
      </c>
      <c r="CW168" s="207" t="str">
        <f>IFERROR(__xludf.DUMMYFUNCTION("IF(OR(CV168&gt;$BR168+$BS168*$BS$2,CV168&lt;$BR168-$BS168*$BS$2),AVEDEV(ARRAYFORMULA(XLOOKUP(FILTER(INDIRECT(""'""&amp;CV$1&amp;""'!$C$4:$C$66""),INDIRECT(""'""&amp;CV$1&amp;""'!$D$4:$D$66"")=CV$2),$F$3:$BP$3,$F168:$BP168))),"""")"),"")</f>
        <v/>
      </c>
      <c r="CX168" s="251">
        <f>IFERROR(__xludf.DUMMYFUNCTION("AVERAGE(ARRAYFORMULA(XLOOKUP(FILTER(INDIRECT(""'""&amp;CX$1&amp;""'!$C$4:$C$66""),INDIRECT(""'""&amp;CX$1&amp;""'!$D$4:$D$66"")=CX$2),$F$3:$BP$3,$F168:$BP168)))"),0.6193519092857142)</f>
        <v>0.6193519093</v>
      </c>
      <c r="CY168" s="207" t="str">
        <f>IFERROR(__xludf.DUMMYFUNCTION("IF(OR(CX168&gt;$BR168+$BS168*$BS$2,CX168&lt;$BR168-$BS168*$BS$2),AVEDEV(ARRAYFORMULA(XLOOKUP(FILTER(INDIRECT(""'""&amp;CX$1&amp;""'!$C$4:$C$66""),INDIRECT(""'""&amp;CX$1&amp;""'!$D$4:$D$66"")=CX$2),$F$3:$BP$3,$F168:$BP168))),"""")"),"")</f>
        <v/>
      </c>
      <c r="CZ168" s="252"/>
      <c r="DA168" s="251">
        <f>IFERROR(__xludf.DUMMYFUNCTION("AVERAGE(ARRAYFORMULA(XLOOKUP(FILTER(INDIRECT(""'""&amp;DA$1&amp;""'!$C$4:$C$66""),INDIRECT(""'""&amp;DA$1&amp;""'!$D$4:$D$66"")=DA$2),$F$3:$BP$3,$F168:$BP168)))"),0.35976868466666667)</f>
        <v>0.3597686847</v>
      </c>
      <c r="DB168" s="207" t="str">
        <f>IFERROR(__xludf.DUMMYFUNCTION("IF(OR(DA168&gt;$BR168+$BS168*$BS$2,DA168&lt;$BR168-$BS168*$BS$2),AVEDEV(ARRAYFORMULA(XLOOKUP(FILTER(INDIRECT(""'""&amp;DA$1&amp;""'!$C$4:$C$66""),INDIRECT(""'""&amp;DA$1&amp;""'!$D$4:$D$66"")=DA$2),$F$3:$BP$3,$F168:$BP168))),"""")"),"")</f>
        <v/>
      </c>
      <c r="DC168" s="251">
        <f>IFERROR(__xludf.DUMMYFUNCTION("AVERAGE(ARRAYFORMULA(XLOOKUP(FILTER(INDIRECT(""'""&amp;DC$1&amp;""'!$C$4:$C$66""),INDIRECT(""'""&amp;DC$1&amp;""'!$D$4:$D$66"")=DC$2),$F$3:$BP$3,$F168:$BP168)))"),0.06306523666666665)</f>
        <v>0.06306523667</v>
      </c>
      <c r="DD168" s="207" t="str">
        <f>IFERROR(__xludf.DUMMYFUNCTION("IF(OR(DC168&gt;$BR168+$BS168*$BS$2,DC168&lt;$BR168-$BS168*$BS$2),AVEDEV(ARRAYFORMULA(XLOOKUP(FILTER(INDIRECT(""'""&amp;DC$1&amp;""'!$C$4:$C$66""),INDIRECT(""'""&amp;DC$1&amp;""'!$D$4:$D$66"")=DC$2),$F$3:$BP$3,$F168:$BP168))),"""")"),"")</f>
        <v/>
      </c>
      <c r="DE168" s="251">
        <f>IFERROR(__xludf.DUMMYFUNCTION("AVERAGE(ARRAYFORMULA(XLOOKUP(FILTER(INDIRECT(""'""&amp;DE$1&amp;""'!$C$4:$C$66""),INDIRECT(""'""&amp;DE$1&amp;""'!$D$4:$D$66"")=DE$2),$F$3:$BP$3,$F168:$BP168)))"),0.8212881250000001)</f>
        <v>0.821288125</v>
      </c>
      <c r="DF168" s="207" t="str">
        <f>IFERROR(__xludf.DUMMYFUNCTION("IF(OR(DE168&gt;$BR168+$BS168*$BS$2,DE168&lt;$BR168-$BS168*$BS$2),AVEDEV(ARRAYFORMULA(XLOOKUP(FILTER(INDIRECT(""'""&amp;DE$1&amp;""'!$C$4:$C$66""),INDIRECT(""'""&amp;DE$1&amp;""'!$D$4:$D$66"")=DE$2),$F$3:$BP$3,$F168:$BP168))),"""")"),"")</f>
        <v/>
      </c>
      <c r="DG168" s="251">
        <f>IFERROR(__xludf.DUMMYFUNCTION("AVERAGE(ARRAYFORMULA(XLOOKUP(FILTER(INDIRECT(""'""&amp;DG$1&amp;""'!$C$4:$C$66""),INDIRECT(""'""&amp;DG$1&amp;""'!$D$4:$D$66"")=DG$2),$F$3:$BP$3,$F168:$BP168)))"),0.05719241666666668)</f>
        <v>0.05719241667</v>
      </c>
      <c r="DH168" s="207" t="str">
        <f>IFERROR(__xludf.DUMMYFUNCTION("IF(OR(DG168&gt;$BR168+$BS168*$BS$2,DG168&lt;$BR168-$BS168*$BS$2),AVEDEV(ARRAYFORMULA(XLOOKUP(FILTER(INDIRECT(""'""&amp;DG$1&amp;""'!$C$4:$C$66""),INDIRECT(""'""&amp;DG$1&amp;""'!$D$4:$D$66"")=DG$2),$F$3:$BP$3,$F168:$BP168))),"""")"),"")</f>
        <v/>
      </c>
      <c r="DI168" s="252"/>
    </row>
    <row r="169">
      <c r="A169" s="2"/>
      <c r="B169" s="204" t="s">
        <v>601</v>
      </c>
      <c r="C169" s="204" t="s">
        <v>613</v>
      </c>
      <c r="D169" s="205" t="b">
        <f>VLOOKUP(C169,'Feature Set List'!A166:C246,2,0)</f>
        <v>1</v>
      </c>
      <c r="E169" s="205" t="b">
        <f>VLOOKUP(C169,'Feature Set List'!A166:C246,3,0)</f>
        <v>0</v>
      </c>
      <c r="F169" s="205">
        <v>6.84665523</v>
      </c>
      <c r="G169" s="205">
        <v>-0.2033619</v>
      </c>
      <c r="H169" s="205">
        <v>-0.1009949</v>
      </c>
      <c r="I169" s="205">
        <v>-0.5702916</v>
      </c>
      <c r="J169" s="205">
        <v>-0.0459691</v>
      </c>
      <c r="K169" s="205">
        <v>-0.3331732</v>
      </c>
      <c r="L169" s="205">
        <v>-0.9573928</v>
      </c>
      <c r="M169" s="205">
        <v>0.84871355</v>
      </c>
      <c r="N169" s="205">
        <v>-0.1111492</v>
      </c>
      <c r="O169" s="205">
        <v>6.82607204</v>
      </c>
      <c r="P169" s="205">
        <v>-0.3372899</v>
      </c>
      <c r="Q169" s="205">
        <v>-0.4677873</v>
      </c>
      <c r="R169" s="205">
        <v>1.2109777</v>
      </c>
      <c r="S169" s="205">
        <v>14.4171527</v>
      </c>
      <c r="T169" s="205">
        <v>-1.0180446</v>
      </c>
      <c r="U169" s="205">
        <v>-0.1694683</v>
      </c>
      <c r="V169" s="205">
        <v>-0.4267581</v>
      </c>
      <c r="W169" s="205">
        <v>0.45900515</v>
      </c>
      <c r="X169" s="205">
        <v>2.67375643</v>
      </c>
      <c r="Y169" s="205">
        <v>-0.4827444</v>
      </c>
      <c r="Z169" s="205">
        <v>0.28336192</v>
      </c>
      <c r="AA169" s="205">
        <v>0.33413379</v>
      </c>
      <c r="AB169" s="205">
        <v>-0.326175</v>
      </c>
      <c r="AC169" s="205">
        <v>-0.0225043</v>
      </c>
      <c r="AD169" s="205">
        <v>0.71149228</v>
      </c>
      <c r="AE169" s="205">
        <v>0.0</v>
      </c>
      <c r="AF169" s="205">
        <v>-0.0629846</v>
      </c>
      <c r="AG169" s="205">
        <v>-0.1722127</v>
      </c>
      <c r="AH169" s="205">
        <v>-0.6325901</v>
      </c>
      <c r="AI169" s="205">
        <v>0.62915952</v>
      </c>
      <c r="AJ169" s="205">
        <v>-0.1293997</v>
      </c>
      <c r="AK169" s="205">
        <v>0.49056604</v>
      </c>
      <c r="AL169" s="205">
        <v>0.23259005</v>
      </c>
      <c r="AM169" s="205">
        <v>-0.2485077</v>
      </c>
      <c r="AN169" s="205">
        <v>-0.5497084</v>
      </c>
      <c r="AO169" s="205">
        <v>0.58799314</v>
      </c>
      <c r="AP169" s="205">
        <v>0.52212693</v>
      </c>
      <c r="AQ169" s="205">
        <v>0.19554031</v>
      </c>
      <c r="AR169" s="205">
        <v>8.07204117</v>
      </c>
      <c r="AS169" s="205">
        <v>-0.4327959</v>
      </c>
      <c r="AT169" s="205">
        <v>0.04226415</v>
      </c>
      <c r="AU169" s="205">
        <v>1.26861063</v>
      </c>
      <c r="AV169" s="205">
        <v>1.19176672</v>
      </c>
      <c r="AW169" s="205">
        <v>-0.3805146</v>
      </c>
      <c r="AX169" s="205">
        <v>-0.8819211</v>
      </c>
      <c r="AY169" s="205">
        <v>-0.1355746</v>
      </c>
      <c r="AZ169" s="205">
        <v>11.509434</v>
      </c>
      <c r="BA169" s="205">
        <v>-0.335506</v>
      </c>
      <c r="BB169" s="205">
        <v>0.3025729</v>
      </c>
      <c r="BC169" s="205">
        <v>1.20274443</v>
      </c>
      <c r="BD169" s="205">
        <v>0.44802744</v>
      </c>
      <c r="BE169" s="205">
        <v>-0.1247341</v>
      </c>
      <c r="BF169" s="205">
        <v>14.8150943</v>
      </c>
      <c r="BG169" s="205">
        <v>-0.0225043</v>
      </c>
      <c r="BH169" s="205">
        <v>0.44665523</v>
      </c>
      <c r="BI169" s="205">
        <v>0.20926244</v>
      </c>
      <c r="BJ169" s="205">
        <v>-0.3634991</v>
      </c>
      <c r="BK169" s="205">
        <v>0.38765009</v>
      </c>
      <c r="BL169" s="205">
        <v>-0.2803431</v>
      </c>
      <c r="BM169" s="205">
        <v>3.59313894</v>
      </c>
      <c r="BN169" s="205">
        <v>0.80891938</v>
      </c>
      <c r="BO169" s="205">
        <v>-0.5923842</v>
      </c>
      <c r="BP169" s="205">
        <v>2.38559177</v>
      </c>
      <c r="BQ169" s="206"/>
      <c r="BR169" s="250">
        <f t="shared" si="1"/>
        <v>1.159282311</v>
      </c>
      <c r="BS169" s="250">
        <f t="shared" si="2"/>
        <v>1.934678286</v>
      </c>
      <c r="BT169" s="206"/>
      <c r="BU169" s="207">
        <f>IFERROR(__xludf.DUMMYFUNCTION("AVERAGE(ARRAYFORMULA(XLOOKUP(FILTER(INDIRECT(""'""&amp;BU$1&amp;""'!$C$4:$C$66""),INDIRECT(""'""&amp;BU$1&amp;""'!$D$4:$D$66"")=BU$2),$F$3:$BP$3,$F169:$BP169)))"),-0.21292820285714287)</f>
        <v>-0.2129282029</v>
      </c>
      <c r="BV169" s="207" t="str">
        <f>IFERROR(__xludf.DUMMYFUNCTION("IF(OR(BU169&gt;$BR169+$BS169*$BS$2,BU169&lt;$BR169-$BS169*$BS$2),AVEDEV(ARRAYFORMULA(XLOOKUP(FILTER(INDIRECT(""'""&amp;BU$1&amp;""'!$C$4:$C$66""),INDIRECT(""'""&amp;BU$1&amp;""'!$D$4:$D$66"")=BU$2),$F$3:$BP$3,$F169:$BP169))),"""")"),"")</f>
        <v/>
      </c>
      <c r="BW169" s="207">
        <f>IFERROR(__xludf.DUMMYFUNCTION("AVERAGE(ARRAYFORMULA(XLOOKUP(FILTER(INDIRECT(""'""&amp;BW$1&amp;""'!$C$4:$C$66""),INDIRECT(""'""&amp;BW$1&amp;""'!$D$4:$D$66"")=BW$2),$F$3:$BP$3,$F169:$BP169)))"),0.7914628740476191)</f>
        <v>0.791462874</v>
      </c>
      <c r="BX169" s="207" t="str">
        <f>IFERROR(__xludf.DUMMYFUNCTION("IF(OR(BW169&gt;$BR169+$BS169*$BS$2,BW169&lt;$BR169-$BS169*$BS$2),AVEDEV(ARRAYFORMULA(XLOOKUP(FILTER(INDIRECT(""'""&amp;BW$1&amp;""'!$C$4:$C$66""),INDIRECT(""'""&amp;BW$1&amp;""'!$D$4:$D$66"")=BW$2),$F$3:$BP$3,$F169:$BP169))),"""")"),"")</f>
        <v/>
      </c>
      <c r="BY169" s="207">
        <f>IFERROR(__xludf.DUMMYFUNCTION("AVERAGE(ARRAYFORMULA(XLOOKUP(FILTER(INDIRECT(""'""&amp;BY$1&amp;""'!$C$4:$C$66""),INDIRECT(""'""&amp;BY$1&amp;""'!$D$4:$D$66"")=BY$2),$F$3:$BP$3,$F169:$BP169)))"),3.6490753272727265)</f>
        <v>3.649075327</v>
      </c>
      <c r="BZ169" s="207">
        <f>IFERROR(__xludf.DUMMYFUNCTION("IF(OR(BY169&gt;$BR169+$BS169*$BS$2,BY169&lt;$BR169-$BS169*$BS$2),AVEDEV(ARRAYFORMULA(XLOOKUP(FILTER(INDIRECT(""'""&amp;BY$1&amp;""'!$C$4:$C$66""),INDIRECT(""'""&amp;BY$1&amp;""'!$D$4:$D$66"")=BY$2),$F$3:$BP$3,$F169:$BP169))),"""")"),4.546002301983472)</f>
        <v>4.546002302</v>
      </c>
      <c r="CA169" s="209"/>
      <c r="CB169" s="207">
        <f>IFERROR(__xludf.DUMMYFUNCTION("AVERAGE(ARRAYFORMULA(XLOOKUP(FILTER(INDIRECT(""'""&amp;CB$1&amp;""'!$C$4:$C$66""),INDIRECT(""'""&amp;CB$1&amp;""'!$D$4:$D$66"")=CB$2),$F$3:$BP$3,$F169:$BP169)))"),0.00855916999999998)</f>
        <v>0.00855917</v>
      </c>
      <c r="CC169" s="207" t="str">
        <f>IFERROR(__xludf.DUMMYFUNCTION("IF(OR(CB169&gt;$BR169+$BS169*$BS$2,CB169&lt;$BR169-$BS169*$BS$2),AVEDEV(ARRAYFORMULA(XLOOKUP(FILTER(INDIRECT(""'""&amp;CB$1&amp;""'!$C$4:$C$66""),INDIRECT(""'""&amp;CB$1&amp;""'!$D$4:$D$66"")=CB$2),$F$3:$BP$3,$F169:$BP169))),"""")"),"")</f>
        <v/>
      </c>
      <c r="CD169" s="207">
        <f>IFERROR(__xludf.DUMMYFUNCTION("AVERAGE(ARRAYFORMULA(XLOOKUP(FILTER(INDIRECT(""'""&amp;CD$1&amp;""'!$C$4:$C$66""),INDIRECT(""'""&amp;CD$1&amp;""'!$D$4:$D$66"")=CD$2),$F$3:$BP$3,$F169:$BP169)))"),0.27828473870967746)</f>
        <v>0.2782847387</v>
      </c>
      <c r="CE169" s="207" t="str">
        <f>IFERROR(__xludf.DUMMYFUNCTION("IF(OR(CD169&gt;$BR169+$BS169*$BS$2,CD169&lt;$BR169-$BS169*$BS$2),AVEDEV(ARRAYFORMULA(XLOOKUP(FILTER(INDIRECT(""'""&amp;CD$1&amp;""'!$C$4:$C$66""),INDIRECT(""'""&amp;CD$1&amp;""'!$D$4:$D$66"")=CD$2),$F$3:$BP$3,$F169:$BP169))),"""")"),"")</f>
        <v/>
      </c>
      <c r="CF169" s="207">
        <f>IFERROR(__xludf.DUMMYFUNCTION("AVERAGE(ARRAYFORMULA(XLOOKUP(FILTER(INDIRECT(""'""&amp;CF$1&amp;""'!$C$4:$C$66""),INDIRECT(""'""&amp;CF$1&amp;""'!$D$4:$D$66"")=CF$2),$F$3:$BP$3,$F169:$BP169)))"),11.127958842)</f>
        <v>11.12795884</v>
      </c>
      <c r="CG169" s="207">
        <f>IFERROR(__xludf.DUMMYFUNCTION("IF(OR(CF169&gt;$BR169+$BS169*$BS$2,CF169&lt;$BR169-$BS169*$BS$2),AVEDEV(ARRAYFORMULA(XLOOKUP(FILTER(INDIRECT(""'""&amp;CF$1&amp;""'!$C$4:$C$66""),INDIRECT(""'""&amp;CF$1&amp;""'!$D$4:$D$66"")=CF$2),$F$3:$BP$3,$F169:$BP169))),"""")"),2.9431217896)</f>
        <v>2.94312179</v>
      </c>
      <c r="CH169" s="206"/>
      <c r="CI169" s="251">
        <f>IFERROR(__xludf.DUMMYFUNCTION("AVERAGE(ARRAYFORMULA(XLOOKUP(FILTER(INDIRECT(""'""&amp;CI$1&amp;""'!$C$4:$C$66""),INDIRECT(""'""&amp;CI$1&amp;""'!$D$4:$D$66"")=CI$2),$F$3:$BP$3,$F169:$BP169)))"),0.723265858)</f>
        <v>0.723265858</v>
      </c>
      <c r="CJ169" s="207" t="str">
        <f>IFERROR(__xludf.DUMMYFUNCTION("IF(OR(CI169&gt;$BR169+$BS169*$BS$2,CI169&lt;$BR169-$BS169*$BS$2),AVEDEV(ARRAYFORMULA(XLOOKUP(FILTER(INDIRECT(""'""&amp;CI$1&amp;""'!$C$4:$C$66""),INDIRECT(""'""&amp;CI$1&amp;""'!$D$4:$D$66"")=CI$2),$F$3:$BP$3,$F169:$BP169))),"""")"),"")</f>
        <v/>
      </c>
      <c r="CK169" s="251">
        <f>IFERROR(__xludf.DUMMYFUNCTION("AVERAGE(ARRAYFORMULA(XLOOKUP(FILTER(INDIRECT(""'""&amp;CK$1&amp;""'!$C$4:$C$66""),INDIRECT(""'""&amp;CK$1&amp;""'!$D$4:$D$66"")=CK$2),$F$3:$BP$3,$F169:$BP169)))"),0.1285728133333333)</f>
        <v>0.1285728133</v>
      </c>
      <c r="CL169" s="207" t="str">
        <f>IFERROR(__xludf.DUMMYFUNCTION("IF(OR(CK169&gt;$BR169+$BS169*$BS$2,CK169&lt;$BR169-$BS169*$BS$2),AVEDEV(ARRAYFORMULA(XLOOKUP(FILTER(INDIRECT(""'""&amp;CK$1&amp;""'!$C$4:$C$66""),INDIRECT(""'""&amp;CK$1&amp;""'!$D$4:$D$66"")=CK$2),$F$3:$BP$3,$F169:$BP169))),"""")"),"")</f>
        <v/>
      </c>
      <c r="CM169" s="251">
        <f>IFERROR(__xludf.DUMMYFUNCTION("AVERAGE(ARRAYFORMULA(XLOOKUP(FILTER(INDIRECT(""'""&amp;CM$1&amp;""'!$C$4:$C$66""),INDIRECT(""'""&amp;CM$1&amp;""'!$D$4:$D$66"")=CM$2),$F$3:$BP$3,$F169:$BP169)))"),11.127958842)</f>
        <v>11.12795884</v>
      </c>
      <c r="CN169" s="207">
        <f>IFERROR(__xludf.DUMMYFUNCTION("IF(OR(CM169&gt;$BR169+$BS169*$BS$2,CM169&lt;$BR169-$BS169*$BS$2),AVEDEV(ARRAYFORMULA(XLOOKUP(FILTER(INDIRECT(""'""&amp;CM$1&amp;""'!$C$4:$C$66""),INDIRECT(""'""&amp;CM$1&amp;""'!$D$4:$D$66"")=CM$2),$F$3:$BP$3,$F169:$BP169))),"""")"),2.9431217896)</f>
        <v>2.94312179</v>
      </c>
      <c r="CO169" s="252"/>
      <c r="CP169" s="251">
        <f>IFERROR(__xludf.DUMMYFUNCTION("AVERAGE(ARRAYFORMULA(XLOOKUP(FILTER(INDIRECT(""'""&amp;CP$1&amp;""'!$C$4:$C$66""),INDIRECT(""'""&amp;CP$1&amp;""'!$D$4:$D$66"")=CP$2),$F$3:$BP$3,$F169:$BP169)))"),0.1497378042857143)</f>
        <v>0.1497378043</v>
      </c>
      <c r="CQ169" s="207" t="str">
        <f>IFERROR(__xludf.DUMMYFUNCTION("IF(OR(CP169&gt;$BR169+$BS169*$BS$2,CP169&lt;$BR169-$BS169*$BS$2),AVEDEV(ARRAYFORMULA(XLOOKUP(FILTER(INDIRECT(""'""&amp;CP$1&amp;""'!$C$4:$C$66""),INDIRECT(""'""&amp;CP$1&amp;""'!$D$4:$D$66"")=CP$2),$F$3:$BP$3,$F169:$BP169))),"""")"),"")</f>
        <v/>
      </c>
      <c r="CR169" s="251">
        <f>IFERROR(__xludf.DUMMYFUNCTION("AVERAGE(ARRAYFORMULA(XLOOKUP(FILTER(INDIRECT(""'""&amp;CR$1&amp;""'!$C$4:$C$66""),INDIRECT(""'""&amp;CR$1&amp;""'!$D$4:$D$66"")=CR$2),$F$3:$BP$3,$F169:$BP169)))"),4.506194033333333)</f>
        <v>4.506194033</v>
      </c>
      <c r="CS169" s="207">
        <f>IFERROR(__xludf.DUMMYFUNCTION("IF(OR(CR169&gt;$BR169+$BS169*$BS$2,CR169&lt;$BR169-$BS169*$BS$2),AVEDEV(ARRAYFORMULA(XLOOKUP(FILTER(INDIRECT(""'""&amp;CR$1&amp;""'!$C$4:$C$66""),INDIRECT(""'""&amp;CR$1&amp;""'!$D$4:$D$66"")=CR$2),$F$3:$BP$3,$F169:$BP169))),"""")"),4.794341741481482)</f>
        <v>4.794341741</v>
      </c>
      <c r="CT169" s="251">
        <f>IFERROR(__xludf.DUMMYFUNCTION("AVERAGE(ARRAYFORMULA(XLOOKUP(FILTER(INDIRECT(""'""&amp;CT$1&amp;""'!$C$4:$C$66""),INDIRECT(""'""&amp;CT$1&amp;""'!$D$4:$D$66"")=CT$2),$F$3:$BP$3,$F169:$BP169)))"),1.6260845063636362)</f>
        <v>1.626084506</v>
      </c>
      <c r="CU169" s="207" t="str">
        <f>IFERROR(__xludf.DUMMYFUNCTION("IF(OR(CT169&gt;$BR169+$BS169*$BS$2,CT169&lt;$BR169-$BS169*$BS$2),AVEDEV(ARRAYFORMULA(XLOOKUP(FILTER(INDIRECT(""'""&amp;CT$1&amp;""'!$C$4:$C$66""),INDIRECT(""'""&amp;CT$1&amp;""'!$D$4:$D$66"")=CT$2),$F$3:$BP$3,$F169:$BP169))),"""")"),"")</f>
        <v/>
      </c>
      <c r="CV169" s="251">
        <f>IFERROR(__xludf.DUMMYFUNCTION("AVERAGE(ARRAYFORMULA(XLOOKUP(FILTER(INDIRECT(""'""&amp;CV$1&amp;""'!$C$4:$C$66""),INDIRECT(""'""&amp;CV$1&amp;""'!$D$4:$D$66"")=CV$2),$F$3:$BP$3,$F169:$BP169)))"),-0.0225043)</f>
        <v>-0.0225043</v>
      </c>
      <c r="CW169" s="207" t="str">
        <f>IFERROR(__xludf.DUMMYFUNCTION("IF(OR(CV169&gt;$BR169+$BS169*$BS$2,CV169&lt;$BR169-$BS169*$BS$2),AVEDEV(ARRAYFORMULA(XLOOKUP(FILTER(INDIRECT(""'""&amp;CV$1&amp;""'!$C$4:$C$66""),INDIRECT(""'""&amp;CV$1&amp;""'!$D$4:$D$66"")=CV$2),$F$3:$BP$3,$F169:$BP169))),"""")"),"")</f>
        <v/>
      </c>
      <c r="CX169" s="251">
        <f>IFERROR(__xludf.DUMMYFUNCTION("AVERAGE(ARRAYFORMULA(XLOOKUP(FILTER(INDIRECT(""'""&amp;CX$1&amp;""'!$C$4:$C$66""),INDIRECT(""'""&amp;CX$1&amp;""'!$D$4:$D$66"")=CX$2),$F$3:$BP$3,$F169:$BP169)))"),0.3672531292857143)</f>
        <v>0.3672531293</v>
      </c>
      <c r="CY169" s="207" t="str">
        <f>IFERROR(__xludf.DUMMYFUNCTION("IF(OR(CX169&gt;$BR169+$BS169*$BS$2,CX169&lt;$BR169-$BS169*$BS$2),AVEDEV(ARRAYFORMULA(XLOOKUP(FILTER(INDIRECT(""'""&amp;CX$1&amp;""'!$C$4:$C$66""),INDIRECT(""'""&amp;CX$1&amp;""'!$D$4:$D$66"")=CX$2),$F$3:$BP$3,$F169:$BP169))),"""")"),"")</f>
        <v/>
      </c>
      <c r="CZ169" s="252"/>
      <c r="DA169" s="251">
        <f>IFERROR(__xludf.DUMMYFUNCTION("AVERAGE(ARRAYFORMULA(XLOOKUP(FILTER(INDIRECT(""'""&amp;DA$1&amp;""'!$C$4:$C$66""),INDIRECT(""'""&amp;DA$1&amp;""'!$D$4:$D$66"")=DA$2),$F$3:$BP$3,$F169:$BP169)))"),0.5497266970000001)</f>
        <v>0.549726697</v>
      </c>
      <c r="DB169" s="207" t="str">
        <f>IFERROR(__xludf.DUMMYFUNCTION("IF(OR(DA169&gt;$BR169+$BS169*$BS$2,DA169&lt;$BR169-$BS169*$BS$2),AVEDEV(ARRAYFORMULA(XLOOKUP(FILTER(INDIRECT(""'""&amp;DA$1&amp;""'!$C$4:$C$66""),INDIRECT(""'""&amp;DA$1&amp;""'!$D$4:$D$66"")=DA$2),$F$3:$BP$3,$F169:$BP169))),"""")"),"")</f>
        <v/>
      </c>
      <c r="DC169" s="251">
        <f>IFERROR(__xludf.DUMMYFUNCTION("AVERAGE(ARRAYFORMULA(XLOOKUP(FILTER(INDIRECT(""'""&amp;DC$1&amp;""'!$C$4:$C$66""),INDIRECT(""'""&amp;DC$1&amp;""'!$D$4:$D$66"")=DC$2),$F$3:$BP$3,$F169:$BP169)))"),4.318917488888889)</f>
        <v>4.318917489</v>
      </c>
      <c r="DD169" s="207">
        <f>IFERROR(__xludf.DUMMYFUNCTION("IF(OR(DC169&gt;$BR169+$BS169*$BS$2,DC169&lt;$BR169-$BS169*$BS$2),AVEDEV(ARRAYFORMULA(XLOOKUP(FILTER(INDIRECT(""'""&amp;DC$1&amp;""'!$C$4:$C$66""),INDIRECT(""'""&amp;DC$1&amp;""'!$D$4:$D$66"")=DC$2),$F$3:$BP$3,$F169:$BP169))),"""")"),4.960809780987654)</f>
        <v>4.960809781</v>
      </c>
      <c r="DE169" s="251">
        <f>IFERROR(__xludf.DUMMYFUNCTION("AVERAGE(ARRAYFORMULA(XLOOKUP(FILTER(INDIRECT(""'""&amp;DE$1&amp;""'!$C$4:$C$66""),INDIRECT(""'""&amp;DE$1&amp;""'!$D$4:$D$66"")=DE$2),$F$3:$BP$3,$F169:$BP169)))"),-0.061372207500000026)</f>
        <v>-0.0613722075</v>
      </c>
      <c r="DF169" s="207" t="str">
        <f>IFERROR(__xludf.DUMMYFUNCTION("IF(OR(DE169&gt;$BR169+$BS169*$BS$2,DE169&lt;$BR169-$BS169*$BS$2),AVEDEV(ARRAYFORMULA(XLOOKUP(FILTER(INDIRECT(""'""&amp;DE$1&amp;""'!$C$4:$C$66""),INDIRECT(""'""&amp;DE$1&amp;""'!$D$4:$D$66"")=DE$2),$F$3:$BP$3,$F169:$BP169))),"""")"),"")</f>
        <v/>
      </c>
      <c r="DG169" s="251">
        <f>IFERROR(__xludf.DUMMYFUNCTION("AVERAGE(ARRAYFORMULA(XLOOKUP(FILTER(INDIRECT(""'""&amp;DG$1&amp;""'!$C$4:$C$66""),INDIRECT(""'""&amp;DG$1&amp;""'!$D$4:$D$66"")=DG$2),$F$3:$BP$3,$F169:$BP169)))"),1.8363560100000003)</f>
        <v>1.83635601</v>
      </c>
      <c r="DH169" s="207" t="str">
        <f>IFERROR(__xludf.DUMMYFUNCTION("IF(OR(DG169&gt;$BR169+$BS169*$BS$2,DG169&lt;$BR169-$BS169*$BS$2),AVEDEV(ARRAYFORMULA(XLOOKUP(FILTER(INDIRECT(""'""&amp;DG$1&amp;""'!$C$4:$C$66""),INDIRECT(""'""&amp;DG$1&amp;""'!$D$4:$D$66"")=DG$2),$F$3:$BP$3,$F169:$BP169))),"""")"),"")</f>
        <v/>
      </c>
      <c r="DI169" s="252"/>
    </row>
    <row r="170">
      <c r="A170" s="2"/>
      <c r="B170" s="204" t="s">
        <v>601</v>
      </c>
      <c r="C170" s="204" t="s">
        <v>614</v>
      </c>
      <c r="D170" s="205" t="b">
        <f>VLOOKUP(C170,'Feature Set List'!A167:C246,2,0)</f>
        <v>1</v>
      </c>
      <c r="E170" s="205" t="b">
        <f>VLOOKUP(C170,'Feature Set List'!A167:C246,3,0)</f>
        <v>1</v>
      </c>
      <c r="F170" s="205">
        <v>-0.0389284</v>
      </c>
      <c r="G170" s="205">
        <v>0.44788614</v>
      </c>
      <c r="H170" s="205">
        <v>-0.9284219</v>
      </c>
      <c r="I170" s="205">
        <v>-0.3202177</v>
      </c>
      <c r="J170" s="205">
        <v>4.54290498</v>
      </c>
      <c r="K170" s="205">
        <v>0.08162411</v>
      </c>
      <c r="L170" s="205">
        <v>-0.9200502</v>
      </c>
      <c r="M170" s="205">
        <v>-0.0133947</v>
      </c>
      <c r="N170" s="205">
        <v>0.17915446</v>
      </c>
      <c r="O170" s="205">
        <v>-0.8158225</v>
      </c>
      <c r="P170" s="205">
        <v>2.80577648</v>
      </c>
      <c r="Q170" s="205">
        <v>-0.1314357</v>
      </c>
      <c r="R170" s="205">
        <v>0.06195061</v>
      </c>
      <c r="S170" s="205">
        <v>0.62369192</v>
      </c>
      <c r="T170" s="205">
        <v>-0.9702805</v>
      </c>
      <c r="U170" s="205">
        <v>0.21389703</v>
      </c>
      <c r="V170" s="205">
        <v>-0.6622018</v>
      </c>
      <c r="W170" s="205">
        <v>-0.5391377</v>
      </c>
      <c r="X170" s="205">
        <v>0.81456676</v>
      </c>
      <c r="Y170" s="205">
        <v>-0.1896191</v>
      </c>
      <c r="Z170" s="205">
        <v>-0.1766429</v>
      </c>
      <c r="AA170" s="205">
        <v>-0.786103</v>
      </c>
      <c r="AB170" s="205">
        <v>-0.2226873</v>
      </c>
      <c r="AC170" s="205">
        <v>1.02218501</v>
      </c>
      <c r="AD170" s="205">
        <v>0.76935956</v>
      </c>
      <c r="AE170" s="205">
        <v>0.70196735</v>
      </c>
      <c r="AF170" s="205">
        <v>-0.0766011</v>
      </c>
      <c r="AG170" s="205">
        <v>-0.5098368</v>
      </c>
      <c r="AH170" s="205">
        <v>-0.3327752</v>
      </c>
      <c r="AI170" s="205">
        <v>-0.9928841</v>
      </c>
      <c r="AJ170" s="205">
        <v>1.35119297</v>
      </c>
      <c r="AK170" s="205">
        <v>1.08664713</v>
      </c>
      <c r="AL170" s="205">
        <v>0.51946421</v>
      </c>
      <c r="AM170" s="205">
        <v>0.42988698</v>
      </c>
      <c r="AN170" s="205">
        <v>-0.1121808</v>
      </c>
      <c r="AO170" s="205">
        <v>0.97781499</v>
      </c>
      <c r="AP170" s="205">
        <v>-0.3415655</v>
      </c>
      <c r="AQ170" s="205">
        <v>3.10297195</v>
      </c>
      <c r="AR170" s="205">
        <v>-0.1054835</v>
      </c>
      <c r="AS170" s="205">
        <v>0.0</v>
      </c>
      <c r="AT170" s="205">
        <v>2.09501884</v>
      </c>
      <c r="AU170" s="205">
        <v>0.1100879</v>
      </c>
      <c r="AV170" s="205">
        <v>-0.0033487</v>
      </c>
      <c r="AW170" s="205">
        <v>1.54667225</v>
      </c>
      <c r="AX170" s="205">
        <v>-0.5265802</v>
      </c>
      <c r="AY170" s="205">
        <v>-0.481373</v>
      </c>
      <c r="AZ170" s="205">
        <v>-0.3930515</v>
      </c>
      <c r="BA170" s="205">
        <v>-0.356216</v>
      </c>
      <c r="BB170" s="205">
        <v>1.17287568</v>
      </c>
      <c r="BC170" s="205">
        <v>0.50355797</v>
      </c>
      <c r="BD170" s="205">
        <v>-0.8890749</v>
      </c>
      <c r="BE170" s="205">
        <v>0.30096275</v>
      </c>
      <c r="BF170" s="205">
        <v>0.16073671</v>
      </c>
      <c r="BG170" s="205">
        <v>0.53578903</v>
      </c>
      <c r="BH170" s="205">
        <v>1.69359565</v>
      </c>
      <c r="BI170" s="205">
        <v>-0.0694851</v>
      </c>
      <c r="BJ170" s="205">
        <v>0.96986187</v>
      </c>
      <c r="BK170" s="205">
        <v>-0.7321055</v>
      </c>
      <c r="BL170" s="205">
        <v>-0.1364588</v>
      </c>
      <c r="BM170" s="205">
        <v>3.92339891</v>
      </c>
      <c r="BN170" s="205">
        <v>-0.142319</v>
      </c>
      <c r="BO170" s="205">
        <v>0.17706153</v>
      </c>
      <c r="BP170" s="205">
        <v>0.10129761</v>
      </c>
      <c r="BQ170" s="206"/>
      <c r="BR170" s="250">
        <f t="shared" si="1"/>
        <v>0.3191678768</v>
      </c>
      <c r="BS170" s="250">
        <f t="shared" si="2"/>
        <v>0.7814410584</v>
      </c>
      <c r="BT170" s="206"/>
      <c r="BU170" s="207">
        <f>IFERROR(__xludf.DUMMYFUNCTION("AVERAGE(ARRAYFORMULA(XLOOKUP(FILTER(INDIRECT(""'""&amp;BU$1&amp;""'!$C$4:$C$66""),INDIRECT(""'""&amp;BU$1&amp;""'!$D$4:$D$66"")=BU$2),$F$3:$BP$3,$F170:$BP170)))"),-0.5893679428571429)</f>
        <v>-0.5893679429</v>
      </c>
      <c r="BV170" s="207">
        <f>IFERROR(__xludf.DUMMYFUNCTION("IF(OR(BU170&gt;$BR170+$BS170*$BS$2,BU170&lt;$BR170-$BS170*$BS$2),AVEDEV(ARRAYFORMULA(XLOOKUP(FILTER(INDIRECT(""'""&amp;BU$1&amp;""'!$C$4:$C$66""),INDIRECT(""'""&amp;BU$1&amp;""'!$D$4:$D$66"")=BU$2),$F$3:$BP$3,$F170:$BP170))),"""")"),0.2352448775510204)</f>
        <v>0.2352448776</v>
      </c>
      <c r="BW170" s="207">
        <f>IFERROR(__xludf.DUMMYFUNCTION("AVERAGE(ARRAYFORMULA(XLOOKUP(FILTER(INDIRECT(""'""&amp;BW$1&amp;""'!$C$4:$C$66""),INDIRECT(""'""&amp;BW$1&amp;""'!$D$4:$D$66"")=BW$2),$F$3:$BP$3,$F170:$BP170)))"),0.5664055473809522)</f>
        <v>0.5664055474</v>
      </c>
      <c r="BX170" s="207" t="str">
        <f>IFERROR(__xludf.DUMMYFUNCTION("IF(OR(BW170&gt;$BR170+$BS170*$BS$2,BW170&lt;$BR170-$BS170*$BS$2),AVEDEV(ARRAYFORMULA(XLOOKUP(FILTER(INDIRECT(""'""&amp;BW$1&amp;""'!$C$4:$C$66""),INDIRECT(""'""&amp;BW$1&amp;""'!$D$4:$D$66"")=BW$2),$F$3:$BP$3,$F170:$BP170))),"""")"),"")</f>
        <v/>
      </c>
      <c r="BY170" s="207">
        <f>IFERROR(__xludf.DUMMYFUNCTION("AVERAGE(ARRAYFORMULA(XLOOKUP(FILTER(INDIRECT(""'""&amp;BY$1&amp;""'!$C$4:$C$66""),INDIRECT(""'""&amp;BY$1&amp;""'!$D$4:$D$66"")=BY$2),$F$3:$BP$3,$F170:$BP170)))"),-0.11145782363636365)</f>
        <v>-0.1114578236</v>
      </c>
      <c r="BZ170" s="207" t="str">
        <f>IFERROR(__xludf.DUMMYFUNCTION("IF(OR(BY170&gt;$BR170+$BS170*$BS$2,BY170&lt;$BR170-$BS170*$BS$2),AVEDEV(ARRAYFORMULA(XLOOKUP(FILTER(INDIRECT(""'""&amp;BY$1&amp;""'!$C$4:$C$66""),INDIRECT(""'""&amp;BY$1&amp;""'!$D$4:$D$66"")=BY$2),$F$3:$BP$3,$F170:$BP170))),"""")"),"")</f>
        <v/>
      </c>
      <c r="CA170" s="209"/>
      <c r="CB170" s="207">
        <f>IFERROR(__xludf.DUMMYFUNCTION("AVERAGE(ARRAYFORMULA(XLOOKUP(FILTER(INDIRECT(""'""&amp;CB$1&amp;""'!$C$4:$C$66""),INDIRECT(""'""&amp;CB$1&amp;""'!$D$4:$D$66"")=CB$2),$F$3:$BP$3,$F170:$BP170)))"),0.38685118874999996)</f>
        <v>0.3868511888</v>
      </c>
      <c r="CC170" s="207" t="str">
        <f>IFERROR(__xludf.DUMMYFUNCTION("IF(OR(CB170&gt;$BR170+$BS170*$BS$2,CB170&lt;$BR170-$BS170*$BS$2),AVEDEV(ARRAYFORMULA(XLOOKUP(FILTER(INDIRECT(""'""&amp;CB$1&amp;""'!$C$4:$C$66""),INDIRECT(""'""&amp;CB$1&amp;""'!$D$4:$D$66"")=CB$2),$F$3:$BP$3,$F170:$BP170))),"""")"),"")</f>
        <v/>
      </c>
      <c r="CD170" s="207">
        <f>IFERROR(__xludf.DUMMYFUNCTION("AVERAGE(ARRAYFORMULA(XLOOKUP(FILTER(INDIRECT(""'""&amp;CD$1&amp;""'!$C$4:$C$66""),INDIRECT(""'""&amp;CD$1&amp;""'!$D$4:$D$66"")=CD$2),$F$3:$BP$3,$F170:$BP170)))"),0.31707152193548394)</f>
        <v>0.3170715219</v>
      </c>
      <c r="CE170" s="207" t="str">
        <f>IFERROR(__xludf.DUMMYFUNCTION("IF(OR(CD170&gt;$BR170+$BS170*$BS$2,CD170&lt;$BR170-$BS170*$BS$2),AVEDEV(ARRAYFORMULA(XLOOKUP(FILTER(INDIRECT(""'""&amp;CD$1&amp;""'!$C$4:$C$66""),INDIRECT(""'""&amp;CD$1&amp;""'!$D$4:$D$66"")=CD$2),$F$3:$BP$3,$F170:$BP170))),"""")"),"")</f>
        <v/>
      </c>
      <c r="CF170" s="207">
        <f>IFERROR(__xludf.DUMMYFUNCTION("AVERAGE(ARRAYFORMULA(XLOOKUP(FILTER(INDIRECT(""'""&amp;CF$1&amp;""'!$C$4:$C$66""),INDIRECT(""'""&amp;CF$1&amp;""'!$D$4:$D$66"")=CF$2),$F$3:$BP$3,$F170:$BP170)))"),-0.10598577400000002)</f>
        <v>-0.105985774</v>
      </c>
      <c r="CG170" s="207" t="str">
        <f>IFERROR(__xludf.DUMMYFUNCTION("IF(OR(CF170&gt;$BR170+$BS170*$BS$2,CF170&lt;$BR170-$BS170*$BS$2),AVEDEV(ARRAYFORMULA(XLOOKUP(FILTER(INDIRECT(""'""&amp;CF$1&amp;""'!$C$4:$C$66""),INDIRECT(""'""&amp;CF$1&amp;""'!$D$4:$D$66"")=CF$2),$F$3:$BP$3,$F170:$BP170))),"""")"),"")</f>
        <v/>
      </c>
      <c r="CH170" s="206"/>
      <c r="CI170" s="251">
        <f>IFERROR(__xludf.DUMMYFUNCTION("AVERAGE(ARRAYFORMULA(XLOOKUP(FILTER(INDIRECT(""'""&amp;CI$1&amp;""'!$C$4:$C$66""),INDIRECT(""'""&amp;CI$1&amp;""'!$D$4:$D$66"")=CI$2),$F$3:$BP$3,$F170:$BP170)))"),-0.21314357866666675)</f>
        <v>-0.2131435787</v>
      </c>
      <c r="CJ170" s="207" t="str">
        <f>IFERROR(__xludf.DUMMYFUNCTION("IF(OR(CI170&gt;$BR170+$BS170*$BS$2,CI170&lt;$BR170-$BS170*$BS$2),AVEDEV(ARRAYFORMULA(XLOOKUP(FILTER(INDIRECT(""'""&amp;CI$1&amp;""'!$C$4:$C$66""),INDIRECT(""'""&amp;CI$1&amp;""'!$D$4:$D$66"")=CI$2),$F$3:$BP$3,$F170:$BP170))),"""")"),"")</f>
        <v/>
      </c>
      <c r="CK170" s="251">
        <f>IFERROR(__xludf.DUMMYFUNCTION("AVERAGE(ARRAYFORMULA(XLOOKUP(FILTER(INDIRECT(""'""&amp;CK$1&amp;""'!$C$4:$C$66""),INDIRECT(""'""&amp;CK$1&amp;""'!$D$4:$D$66"")=CK$2),$F$3:$BP$3,$F170:$BP170)))"),0.5870925482051279)</f>
        <v>0.5870925482</v>
      </c>
      <c r="CL170" s="207" t="str">
        <f>IFERROR(__xludf.DUMMYFUNCTION("IF(OR(CK170&gt;$BR170+$BS170*$BS$2,CK170&lt;$BR170-$BS170*$BS$2),AVEDEV(ARRAYFORMULA(XLOOKUP(FILTER(INDIRECT(""'""&amp;CK$1&amp;""'!$C$4:$C$66""),INDIRECT(""'""&amp;CK$1&amp;""'!$D$4:$D$66"")=CK$2),$F$3:$BP$3,$F170:$BP170))),"""")"),"")</f>
        <v/>
      </c>
      <c r="CM170" s="251">
        <f>IFERROR(__xludf.DUMMYFUNCTION("AVERAGE(ARRAYFORMULA(XLOOKUP(FILTER(INDIRECT(""'""&amp;CM$1&amp;""'!$C$4:$C$66""),INDIRECT(""'""&amp;CM$1&amp;""'!$D$4:$D$66"")=CM$2),$F$3:$BP$3,$F170:$BP170)))"),-0.10598577400000002)</f>
        <v>-0.105985774</v>
      </c>
      <c r="CN170" s="207" t="str">
        <f>IFERROR(__xludf.DUMMYFUNCTION("IF(OR(CM170&gt;$BR170+$BS170*$BS$2,CM170&lt;$BR170-$BS170*$BS$2),AVEDEV(ARRAYFORMULA(XLOOKUP(FILTER(INDIRECT(""'""&amp;CM$1&amp;""'!$C$4:$C$66""),INDIRECT(""'""&amp;CM$1&amp;""'!$D$4:$D$66"")=CM$2),$F$3:$BP$3,$F170:$BP170))),"""")"),"")</f>
        <v/>
      </c>
      <c r="CO170" s="252"/>
      <c r="CP170" s="251">
        <f>IFERROR(__xludf.DUMMYFUNCTION("AVERAGE(ARRAYFORMULA(XLOOKUP(FILTER(INDIRECT(""'""&amp;CP$1&amp;""'!$C$4:$C$66""),INDIRECT(""'""&amp;CP$1&amp;""'!$D$4:$D$66"")=CP$2),$F$3:$BP$3,$F170:$BP170)))"),0.3592656814285714)</f>
        <v>0.3592656814</v>
      </c>
      <c r="CQ170" s="207" t="str">
        <f>IFERROR(__xludf.DUMMYFUNCTION("IF(OR(CP170&gt;$BR170+$BS170*$BS$2,CP170&lt;$BR170-$BS170*$BS$2),AVEDEV(ARRAYFORMULA(XLOOKUP(FILTER(INDIRECT(""'""&amp;CP$1&amp;""'!$C$4:$C$66""),INDIRECT(""'""&amp;CP$1&amp;""'!$D$4:$D$66"")=CP$2),$F$3:$BP$3,$F170:$BP170))),"""")"),"")</f>
        <v/>
      </c>
      <c r="CR170" s="251">
        <f>IFERROR(__xludf.DUMMYFUNCTION("AVERAGE(ARRAYFORMULA(XLOOKUP(FILTER(INDIRECT(""'""&amp;CR$1&amp;""'!$C$4:$C$66""),INDIRECT(""'""&amp;CR$1&amp;""'!$D$4:$D$66"")=CR$2),$F$3:$BP$3,$F170:$BP170)))"),-0.06757825111111113)</f>
        <v>-0.06757825111</v>
      </c>
      <c r="CS170" s="207" t="str">
        <f>IFERROR(__xludf.DUMMYFUNCTION("IF(OR(CR170&gt;$BR170+$BS170*$BS$2,CR170&lt;$BR170-$BS170*$BS$2),AVEDEV(ARRAYFORMULA(XLOOKUP(FILTER(INDIRECT(""'""&amp;CR$1&amp;""'!$C$4:$C$66""),INDIRECT(""'""&amp;CR$1&amp;""'!$D$4:$D$66"")=CR$2),$F$3:$BP$3,$F170:$BP170))),"""")"),"")</f>
        <v/>
      </c>
      <c r="CT170" s="251">
        <f>IFERROR(__xludf.DUMMYFUNCTION("AVERAGE(ARRAYFORMULA(XLOOKUP(FILTER(INDIRECT(""'""&amp;CT$1&amp;""'!$C$4:$C$66""),INDIRECT(""'""&amp;CT$1&amp;""'!$D$4:$D$66"")=CT$2),$F$3:$BP$3,$F170:$BP170)))"),-0.13333841545454547)</f>
        <v>-0.1333384155</v>
      </c>
      <c r="CU170" s="207" t="str">
        <f>IFERROR(__xludf.DUMMYFUNCTION("IF(OR(CT170&gt;$BR170+$BS170*$BS$2,CT170&lt;$BR170-$BS170*$BS$2),AVEDEV(ARRAYFORMULA(XLOOKUP(FILTER(INDIRECT(""'""&amp;CT$1&amp;""'!$C$4:$C$66""),INDIRECT(""'""&amp;CT$1&amp;""'!$D$4:$D$66"")=CT$2),$F$3:$BP$3,$F170:$BP170))),"""")"),"")</f>
        <v/>
      </c>
      <c r="CV170" s="251">
        <f>IFERROR(__xludf.DUMMYFUNCTION("AVERAGE(ARRAYFORMULA(XLOOKUP(FILTER(INDIRECT(""'""&amp;CV$1&amp;""'!$C$4:$C$66""),INDIRECT(""'""&amp;CV$1&amp;""'!$D$4:$D$66"")=CV$2),$F$3:$BP$3,$F170:$BP170)))"),0.77898702)</f>
        <v>0.77898702</v>
      </c>
      <c r="CW170" s="207" t="str">
        <f>IFERROR(__xludf.DUMMYFUNCTION("IF(OR(CV170&gt;$BR170+$BS170*$BS$2,CV170&lt;$BR170-$BS170*$BS$2),AVEDEV(ARRAYFORMULA(XLOOKUP(FILTER(INDIRECT(""'""&amp;CV$1&amp;""'!$C$4:$C$66""),INDIRECT(""'""&amp;CV$1&amp;""'!$D$4:$D$66"")=CV$2),$F$3:$BP$3,$F170:$BP170))),"""")"),"")</f>
        <v/>
      </c>
      <c r="CX170" s="251">
        <f>IFERROR(__xludf.DUMMYFUNCTION("AVERAGE(ARRAYFORMULA(XLOOKUP(FILTER(INDIRECT(""'""&amp;CX$1&amp;""'!$C$4:$C$66""),INDIRECT(""'""&amp;CX$1&amp;""'!$D$4:$D$66"")=CX$2),$F$3:$BP$3,$F170:$BP170)))"),0.9820905357142857)</f>
        <v>0.9820905357</v>
      </c>
      <c r="CY170" s="207" t="str">
        <f>IFERROR(__xludf.DUMMYFUNCTION("IF(OR(CX170&gt;$BR170+$BS170*$BS$2,CX170&lt;$BR170-$BS170*$BS$2),AVEDEV(ARRAYFORMULA(XLOOKUP(FILTER(INDIRECT(""'""&amp;CX$1&amp;""'!$C$4:$C$66""),INDIRECT(""'""&amp;CX$1&amp;""'!$D$4:$D$66"")=CX$2),$F$3:$BP$3,$F170:$BP170))),"""")"),"")</f>
        <v/>
      </c>
      <c r="CZ170" s="252"/>
      <c r="DA170" s="251">
        <f>IFERROR(__xludf.DUMMYFUNCTION("AVERAGE(ARRAYFORMULA(XLOOKUP(FILTER(INDIRECT(""'""&amp;DA$1&amp;""'!$C$4:$C$66""),INDIRECT(""'""&amp;DA$1&amp;""'!$D$4:$D$66"")=DA$2),$F$3:$BP$3,$F170:$BP170)))"),0.4880284636666667)</f>
        <v>0.4880284637</v>
      </c>
      <c r="DB170" s="207" t="str">
        <f>IFERROR(__xludf.DUMMYFUNCTION("IF(OR(DA170&gt;$BR170+$BS170*$BS$2,DA170&lt;$BR170-$BS170*$BS$2),AVEDEV(ARRAYFORMULA(XLOOKUP(FILTER(INDIRECT(""'""&amp;DA$1&amp;""'!$C$4:$C$66""),INDIRECT(""'""&amp;DA$1&amp;""'!$D$4:$D$66"")=DA$2),$F$3:$BP$3,$F170:$BP170))),"""")"),"")</f>
        <v/>
      </c>
      <c r="DC170" s="251">
        <f>IFERROR(__xludf.DUMMYFUNCTION("AVERAGE(ARRAYFORMULA(XLOOKUP(FILTER(INDIRECT(""'""&amp;DC$1&amp;""'!$C$4:$C$66""),INDIRECT(""'""&amp;DC$1&amp;""'!$D$4:$D$66"")=DC$2),$F$3:$BP$3,$F170:$BP170)))"),-0.23901214111111113)</f>
        <v>-0.2390121411</v>
      </c>
      <c r="DD170" s="207" t="str">
        <f>IFERROR(__xludf.DUMMYFUNCTION("IF(OR(DC170&gt;$BR170+$BS170*$BS$2,DC170&lt;$BR170-$BS170*$BS$2),AVEDEV(ARRAYFORMULA(XLOOKUP(FILTER(INDIRECT(""'""&amp;DC$1&amp;""'!$C$4:$C$66""),INDIRECT(""'""&amp;DC$1&amp;""'!$D$4:$D$66"")=DC$2),$F$3:$BP$3,$F170:$BP170))),"""")"),"")</f>
        <v/>
      </c>
      <c r="DE170" s="251">
        <f>IFERROR(__xludf.DUMMYFUNCTION("AVERAGE(ARRAYFORMULA(XLOOKUP(FILTER(INDIRECT(""'""&amp;DE$1&amp;""'!$C$4:$C$66""),INDIRECT(""'""&amp;DE$1&amp;""'!$D$4:$D$66"")=DE$2),$F$3:$BP$3,$F170:$BP170)))"),-0.37976141625)</f>
        <v>-0.3797614163</v>
      </c>
      <c r="DF170" s="207" t="str">
        <f>IFERROR(__xludf.DUMMYFUNCTION("IF(OR(DE170&gt;$BR170+$BS170*$BS$2,DE170&lt;$BR170-$BS170*$BS$2),AVEDEV(ARRAYFORMULA(XLOOKUP(FILTER(INDIRECT(""'""&amp;DE$1&amp;""'!$C$4:$C$66""),INDIRECT(""'""&amp;DE$1&amp;""'!$D$4:$D$66"")=DE$2),$F$3:$BP$3,$F170:$BP170))),"""")"),"")</f>
        <v/>
      </c>
      <c r="DG170" s="251">
        <f>IFERROR(__xludf.DUMMYFUNCTION("AVERAGE(ARRAYFORMULA(XLOOKUP(FILTER(INDIRECT(""'""&amp;DG$1&amp;""'!$C$4:$C$66""),INDIRECT(""'""&amp;DG$1&amp;""'!$D$4:$D$66"")=DG$2),$F$3:$BP$3,$F170:$BP170)))"),0.8073577855555556)</f>
        <v>0.8073577856</v>
      </c>
      <c r="DH170" s="207" t="str">
        <f>IFERROR(__xludf.DUMMYFUNCTION("IF(OR(DG170&gt;$BR170+$BS170*$BS$2,DG170&lt;$BR170-$BS170*$BS$2),AVEDEV(ARRAYFORMULA(XLOOKUP(FILTER(INDIRECT(""'""&amp;DG$1&amp;""'!$C$4:$C$66""),INDIRECT(""'""&amp;DG$1&amp;""'!$D$4:$D$66"")=DG$2),$F$3:$BP$3,$F170:$BP170))),"""")"),"")</f>
        <v/>
      </c>
      <c r="DI170" s="252"/>
    </row>
    <row r="171">
      <c r="A171" s="2"/>
      <c r="B171" s="204" t="s">
        <v>601</v>
      </c>
      <c r="C171" s="204" t="s">
        <v>615</v>
      </c>
      <c r="D171" s="205" t="b">
        <f>VLOOKUP(C171,'Feature Set List'!A168:C246,2,0)</f>
        <v>1</v>
      </c>
      <c r="E171" s="205" t="b">
        <f>VLOOKUP(C171,'Feature Set List'!A168:C246,3,0)</f>
        <v>1</v>
      </c>
      <c r="F171" s="205">
        <v>2.06630447</v>
      </c>
      <c r="G171" s="205">
        <v>0.0</v>
      </c>
      <c r="H171" s="205">
        <v>0.02017962</v>
      </c>
      <c r="I171" s="205">
        <v>-0.5894223</v>
      </c>
      <c r="J171" s="205">
        <v>2.31245149</v>
      </c>
      <c r="K171" s="205">
        <v>-0.1201907</v>
      </c>
      <c r="L171" s="205">
        <v>-1.2484754</v>
      </c>
      <c r="M171" s="205">
        <v>-0.13527</v>
      </c>
      <c r="N171" s="205">
        <v>-0.2590088</v>
      </c>
      <c r="O171" s="205">
        <v>0.41844994</v>
      </c>
      <c r="P171" s="205">
        <v>1.57622796</v>
      </c>
      <c r="Q171" s="205">
        <v>-0.3694423</v>
      </c>
      <c r="R171" s="205">
        <v>0.03015855</v>
      </c>
      <c r="S171" s="205">
        <v>4.14414015</v>
      </c>
      <c r="T171" s="205">
        <v>-1.1642089</v>
      </c>
      <c r="U171" s="205">
        <v>-0.6810068</v>
      </c>
      <c r="V171" s="205">
        <v>-0.7415456</v>
      </c>
      <c r="W171" s="205">
        <v>-0.7599512</v>
      </c>
      <c r="X171" s="205">
        <v>1.07284621</v>
      </c>
      <c r="Y171" s="205">
        <v>-0.5313228</v>
      </c>
      <c r="Z171" s="205">
        <v>-0.3689988</v>
      </c>
      <c r="AA171" s="205">
        <v>-0.4350815</v>
      </c>
      <c r="AB171" s="205">
        <v>-0.2572347</v>
      </c>
      <c r="AC171" s="205">
        <v>0.6803415</v>
      </c>
      <c r="AD171" s="205">
        <v>0.90431312</v>
      </c>
      <c r="AE171" s="205">
        <v>0.33373988</v>
      </c>
      <c r="AF171" s="205">
        <v>-0.2814059</v>
      </c>
      <c r="AG171" s="205">
        <v>-0.4135713</v>
      </c>
      <c r="AH171" s="205">
        <v>-0.4856414</v>
      </c>
      <c r="AI171" s="205">
        <v>-0.2261892</v>
      </c>
      <c r="AJ171" s="205">
        <v>-0.0538862</v>
      </c>
      <c r="AK171" s="205">
        <v>0.34881916</v>
      </c>
      <c r="AL171" s="205">
        <v>1.32121078</v>
      </c>
      <c r="AM171" s="205">
        <v>0.13194367</v>
      </c>
      <c r="AN171" s="205">
        <v>-0.40581</v>
      </c>
      <c r="AO171" s="205">
        <v>0.49473334</v>
      </c>
      <c r="AP171" s="205">
        <v>-0.7717042</v>
      </c>
      <c r="AQ171" s="205">
        <v>0.65883136</v>
      </c>
      <c r="AR171" s="205">
        <v>1.23694423</v>
      </c>
      <c r="AS171" s="205">
        <v>-0.1146469</v>
      </c>
      <c r="AT171" s="205">
        <v>0.65062646</v>
      </c>
      <c r="AU171" s="205">
        <v>0.5741213</v>
      </c>
      <c r="AV171" s="205">
        <v>0.5605943</v>
      </c>
      <c r="AW171" s="205">
        <v>0.00887016</v>
      </c>
      <c r="AX171" s="205">
        <v>-0.9752744</v>
      </c>
      <c r="AY171" s="205">
        <v>-0.2093358</v>
      </c>
      <c r="AZ171" s="205">
        <v>1.17263555</v>
      </c>
      <c r="BA171" s="205">
        <v>-0.6754629</v>
      </c>
      <c r="BB171" s="205">
        <v>0.17740326</v>
      </c>
      <c r="BC171" s="205">
        <v>1.2192039</v>
      </c>
      <c r="BD171" s="205">
        <v>-0.6767934</v>
      </c>
      <c r="BE171" s="205">
        <v>0.22951547</v>
      </c>
      <c r="BF171" s="205">
        <v>4.13970507</v>
      </c>
      <c r="BG171" s="205">
        <v>0.25501719</v>
      </c>
      <c r="BH171" s="205">
        <v>0.44151236</v>
      </c>
      <c r="BI171" s="205">
        <v>-0.1729682</v>
      </c>
      <c r="BJ171" s="205">
        <v>0.0082049</v>
      </c>
      <c r="BK171" s="205">
        <v>-0.596075</v>
      </c>
      <c r="BL171" s="205">
        <v>-0.3330746</v>
      </c>
      <c r="BM171" s="205">
        <v>3.19281517</v>
      </c>
      <c r="BN171" s="205">
        <v>0.71582215</v>
      </c>
      <c r="BO171" s="205">
        <v>-0.1268433</v>
      </c>
      <c r="BP171" s="205">
        <v>-0.256126</v>
      </c>
      <c r="BQ171" s="206"/>
      <c r="BR171" s="250">
        <f t="shared" si="1"/>
        <v>0.2644716535</v>
      </c>
      <c r="BS171" s="250">
        <f t="shared" si="2"/>
        <v>0.7667791054</v>
      </c>
      <c r="BT171" s="206"/>
      <c r="BU171" s="207">
        <f>IFERROR(__xludf.DUMMYFUNCTION("AVERAGE(ARRAYFORMULA(XLOOKUP(FILTER(INDIRECT(""'""&amp;BU$1&amp;""'!$C$4:$C$66""),INDIRECT(""'""&amp;BU$1&amp;""'!$D$4:$D$66"")=BU$2),$F$3:$BP$3,$F171:$BP171)))"),-0.7505108285714286)</f>
        <v>-0.7505108286</v>
      </c>
      <c r="BV171" s="207">
        <f>IFERROR(__xludf.DUMMYFUNCTION("IF(OR(BU171&gt;$BR171+$BS171*$BS$2,BU171&lt;$BR171-$BS171*$BS$2),AVEDEV(ARRAYFORMULA(XLOOKUP(FILTER(INDIRECT(""'""&amp;BU$1&amp;""'!$C$4:$C$66""),INDIRECT(""'""&amp;BU$1&amp;""'!$D$4:$D$66"")=BU$2),$F$3:$BP$3,$F171:$BP171))),"""")"),0.1851148612244898)</f>
        <v>0.1851148612</v>
      </c>
      <c r="BW171" s="207">
        <f>IFERROR(__xludf.DUMMYFUNCTION("AVERAGE(ARRAYFORMULA(XLOOKUP(FILTER(INDIRECT(""'""&amp;BW$1&amp;""'!$C$4:$C$66""),INDIRECT(""'""&amp;BW$1&amp;""'!$D$4:$D$66"")=BW$2),$F$3:$BP$3,$F171:$BP171)))"),0.3207091878571428)</f>
        <v>0.3207091879</v>
      </c>
      <c r="BX171" s="207" t="str">
        <f>IFERROR(__xludf.DUMMYFUNCTION("IF(OR(BW171&gt;$BR171+$BS171*$BS$2,BW171&lt;$BR171-$BS171*$BS$2),AVEDEV(ARRAYFORMULA(XLOOKUP(FILTER(INDIRECT(""'""&amp;BW$1&amp;""'!$C$4:$C$66""),INDIRECT(""'""&amp;BW$1&amp;""'!$D$4:$D$66"")=BW$2),$F$3:$BP$3,$F171:$BP171))),"""")"),"")</f>
        <v/>
      </c>
      <c r="BY171" s="207">
        <f>IFERROR(__xludf.DUMMYFUNCTION("AVERAGE(ARRAYFORMULA(XLOOKUP(FILTER(INDIRECT(""'""&amp;BY$1&amp;""'!$C$4:$C$66""),INDIRECT(""'""&amp;BY$1&amp;""'!$D$4:$D$66"")=BY$2),$F$3:$BP$3,$F171:$BP171)))"),0.5959540090909091)</f>
        <v>0.5959540091</v>
      </c>
      <c r="BZ171" s="207" t="str">
        <f>IFERROR(__xludf.DUMMYFUNCTION("IF(OR(BY171&gt;$BR171+$BS171*$BS$2,BY171&lt;$BR171-$BS171*$BS$2),AVEDEV(ARRAYFORMULA(XLOOKUP(FILTER(INDIRECT(""'""&amp;BY$1&amp;""'!$C$4:$C$66""),INDIRECT(""'""&amp;BY$1&amp;""'!$D$4:$D$66"")=BY$2),$F$3:$BP$3,$F171:$BP171))),"""")"),"")</f>
        <v/>
      </c>
      <c r="CA171" s="209"/>
      <c r="CB171" s="207">
        <f>IFERROR(__xludf.DUMMYFUNCTION("AVERAGE(ARRAYFORMULA(XLOOKUP(FILTER(INDIRECT(""'""&amp;CB$1&amp;""'!$C$4:$C$66""),INDIRECT(""'""&amp;CB$1&amp;""'!$D$4:$D$66"")=CB$2),$F$3:$BP$3,$F171:$BP171)))"),-0.028190486250000042)</f>
        <v>-0.02819048625</v>
      </c>
      <c r="CC171" s="207" t="str">
        <f>IFERROR(__xludf.DUMMYFUNCTION("IF(OR(CB171&gt;$BR171+$BS171*$BS$2,CB171&lt;$BR171-$BS171*$BS$2),AVEDEV(ARRAYFORMULA(XLOOKUP(FILTER(INDIRECT(""'""&amp;CB$1&amp;""'!$C$4:$C$66""),INDIRECT(""'""&amp;CB$1&amp;""'!$D$4:$D$66"")=CB$2),$F$3:$BP$3,$F171:$BP171))),"""")"),"")</f>
        <v/>
      </c>
      <c r="CD171" s="207">
        <f>IFERROR(__xludf.DUMMYFUNCTION("AVERAGE(ARRAYFORMULA(XLOOKUP(FILTER(INDIRECT(""'""&amp;CD$1&amp;""'!$C$4:$C$66""),INDIRECT(""'""&amp;CD$1&amp;""'!$D$4:$D$66"")=CD$2),$F$3:$BP$3,$F171:$BP171)))"),0.08890192548387095)</f>
        <v>0.08890192548</v>
      </c>
      <c r="CE171" s="207" t="str">
        <f>IFERROR(__xludf.DUMMYFUNCTION("IF(OR(CD171&gt;$BR171+$BS171*$BS$2,CD171&lt;$BR171-$BS171*$BS$2),AVEDEV(ARRAYFORMULA(XLOOKUP(FILTER(INDIRECT(""'""&amp;CD$1&amp;""'!$C$4:$C$66""),INDIRECT(""'""&amp;CD$1&amp;""'!$D$4:$D$66"")=CD$2),$F$3:$BP$3,$F171:$BP171))),"""")"),"")</f>
        <v/>
      </c>
      <c r="CF171" s="207">
        <f>IFERROR(__xludf.DUMMYFUNCTION("AVERAGE(ARRAYFORMULA(XLOOKUP(FILTER(INDIRECT(""'""&amp;CF$1&amp;""'!$C$4:$C$66""),INDIRECT(""'""&amp;CF$1&amp;""'!$D$4:$D$66"")=CF$2),$F$3:$BP$3,$F171:$BP171)))"),2.222374988)</f>
        <v>2.222374988</v>
      </c>
      <c r="CG171" s="207">
        <f>IFERROR(__xludf.DUMMYFUNCTION("IF(OR(CF171&gt;$BR171+$BS171*$BS$2,CF171&lt;$BR171-$BS171*$BS$2),AVEDEV(ARRAYFORMULA(XLOOKUP(FILTER(INDIRECT(""'""&amp;CF$1&amp;""'!$C$4:$C$66""),INDIRECT(""'""&amp;CF$1&amp;""'!$D$4:$D$66"")=CF$2),$F$3:$BP$3,$F171:$BP171))),"""")"),1.5356380975999997)</f>
        <v>1.535638098</v>
      </c>
      <c r="CH171" s="206"/>
      <c r="CI171" s="251">
        <f>IFERROR(__xludf.DUMMYFUNCTION("AVERAGE(ARRAYFORMULA(XLOOKUP(FILTER(INDIRECT(""'""&amp;CI$1&amp;""'!$C$4:$C$66""),INDIRECT(""'""&amp;CI$1&amp;""'!$D$4:$D$66"")=CI$2),$F$3:$BP$3,$F171:$BP171)))"),-0.038333883333333325)</f>
        <v>-0.03833388333</v>
      </c>
      <c r="CJ171" s="207" t="str">
        <f>IFERROR(__xludf.DUMMYFUNCTION("IF(OR(CI171&gt;$BR171+$BS171*$BS$2,CI171&lt;$BR171-$BS171*$BS$2),AVEDEV(ARRAYFORMULA(XLOOKUP(FILTER(INDIRECT(""'""&amp;CI$1&amp;""'!$C$4:$C$66""),INDIRECT(""'""&amp;CI$1&amp;""'!$D$4:$D$66"")=CI$2),$F$3:$BP$3,$F171:$BP171))),"""")"),"")</f>
        <v/>
      </c>
      <c r="CK171" s="251">
        <f>IFERROR(__xludf.DUMMYFUNCTION("AVERAGE(ARRAYFORMULA(XLOOKUP(FILTER(INDIRECT(""'""&amp;CK$1&amp;""'!$C$4:$C$66""),INDIRECT(""'""&amp;CK$1&amp;""'!$D$4:$D$66"")=CK$2),$F$3:$BP$3,$F171:$BP171)))"),0.12386955128205124)</f>
        <v>0.1238695513</v>
      </c>
      <c r="CL171" s="207" t="str">
        <f>IFERROR(__xludf.DUMMYFUNCTION("IF(OR(CK171&gt;$BR171+$BS171*$BS$2,CK171&lt;$BR171-$BS171*$BS$2),AVEDEV(ARRAYFORMULA(XLOOKUP(FILTER(INDIRECT(""'""&amp;CK$1&amp;""'!$C$4:$C$66""),INDIRECT(""'""&amp;CK$1&amp;""'!$D$4:$D$66"")=CK$2),$F$3:$BP$3,$F171:$BP171))),"""")"),"")</f>
        <v/>
      </c>
      <c r="CM171" s="251">
        <f>IFERROR(__xludf.DUMMYFUNCTION("AVERAGE(ARRAYFORMULA(XLOOKUP(FILTER(INDIRECT(""'""&amp;CM$1&amp;""'!$C$4:$C$66""),INDIRECT(""'""&amp;CM$1&amp;""'!$D$4:$D$66"")=CM$2),$F$3:$BP$3,$F171:$BP171)))"),2.222374988)</f>
        <v>2.222374988</v>
      </c>
      <c r="CN171" s="207">
        <f>IFERROR(__xludf.DUMMYFUNCTION("IF(OR(CM171&gt;$BR171+$BS171*$BS$2,CM171&lt;$BR171-$BS171*$BS$2),AVEDEV(ARRAYFORMULA(XLOOKUP(FILTER(INDIRECT(""'""&amp;CM$1&amp;""'!$C$4:$C$66""),INDIRECT(""'""&amp;CM$1&amp;""'!$D$4:$D$66"")=CM$2),$F$3:$BP$3,$F171:$BP171))),"""")"),1.5356380975999997)</f>
        <v>1.535638098</v>
      </c>
      <c r="CO171" s="252"/>
      <c r="CP171" s="251">
        <f>IFERROR(__xludf.DUMMYFUNCTION("AVERAGE(ARRAYFORMULA(XLOOKUP(FILTER(INDIRECT(""'""&amp;CP$1&amp;""'!$C$4:$C$66""),INDIRECT(""'""&amp;CP$1&amp;""'!$D$4:$D$66"")=CP$2),$F$3:$BP$3,$F171:$BP171)))"),-0.03229689357142856)</f>
        <v>-0.03229689357</v>
      </c>
      <c r="CQ171" s="207" t="str">
        <f>IFERROR(__xludf.DUMMYFUNCTION("IF(OR(CP171&gt;$BR171+$BS171*$BS$2,CP171&lt;$BR171-$BS171*$BS$2),AVEDEV(ARRAYFORMULA(XLOOKUP(FILTER(INDIRECT(""'""&amp;CP$1&amp;""'!$C$4:$C$66""),INDIRECT(""'""&amp;CP$1&amp;""'!$D$4:$D$66"")=CP$2),$F$3:$BP$3,$F171:$BP171))),"""")"),"")</f>
        <v/>
      </c>
      <c r="CR171" s="251">
        <f>IFERROR(__xludf.DUMMYFUNCTION("AVERAGE(ARRAYFORMULA(XLOOKUP(FILTER(INDIRECT(""'""&amp;CR$1&amp;""'!$C$4:$C$66""),INDIRECT(""'""&amp;CR$1&amp;""'!$D$4:$D$66"")=CR$2),$F$3:$BP$3,$F171:$BP171)))"),0.7886560555555556)</f>
        <v>0.7886560556</v>
      </c>
      <c r="CS171" s="207" t="str">
        <f>IFERROR(__xludf.DUMMYFUNCTION("IF(OR(CR171&gt;$BR171+$BS171*$BS$2,CR171&lt;$BR171-$BS171*$BS$2),AVEDEV(ARRAYFORMULA(XLOOKUP(FILTER(INDIRECT(""'""&amp;CR$1&amp;""'!$C$4:$C$66""),INDIRECT(""'""&amp;CR$1&amp;""'!$D$4:$D$66"")=CR$2),$F$3:$BP$3,$F171:$BP171))),"""")"),"")</f>
        <v/>
      </c>
      <c r="CT171" s="251">
        <f>IFERROR(__xludf.DUMMYFUNCTION("AVERAGE(ARRAYFORMULA(XLOOKUP(FILTER(INDIRECT(""'""&amp;CT$1&amp;""'!$C$4:$C$66""),INDIRECT(""'""&amp;CT$1&amp;""'!$D$4:$D$66"")=CT$2),$F$3:$BP$3,$F171:$BP171)))"),0.4529226227272727)</f>
        <v>0.4529226227</v>
      </c>
      <c r="CU171" s="207" t="str">
        <f>IFERROR(__xludf.DUMMYFUNCTION("IF(OR(CT171&gt;$BR171+$BS171*$BS$2,CT171&lt;$BR171-$BS171*$BS$2),AVEDEV(ARRAYFORMULA(XLOOKUP(FILTER(INDIRECT(""'""&amp;CT$1&amp;""'!$C$4:$C$66""),INDIRECT(""'""&amp;CT$1&amp;""'!$D$4:$D$66"")=CT$2),$F$3:$BP$3,$F171:$BP171))),"""")"),"")</f>
        <v/>
      </c>
      <c r="CV171" s="251">
        <f>IFERROR(__xludf.DUMMYFUNCTION("AVERAGE(ARRAYFORMULA(XLOOKUP(FILTER(INDIRECT(""'""&amp;CV$1&amp;""'!$C$4:$C$66""),INDIRECT(""'""&amp;CV$1&amp;""'!$D$4:$D$66"")=CV$2),$F$3:$BP$3,$F171:$BP171)))"),0.467679345)</f>
        <v>0.467679345</v>
      </c>
      <c r="CW171" s="207" t="str">
        <f>IFERROR(__xludf.DUMMYFUNCTION("IF(OR(CV171&gt;$BR171+$BS171*$BS$2,CV171&lt;$BR171-$BS171*$BS$2),AVEDEV(ARRAYFORMULA(XLOOKUP(FILTER(INDIRECT(""'""&amp;CV$1&amp;""'!$C$4:$C$66""),INDIRECT(""'""&amp;CV$1&amp;""'!$D$4:$D$66"")=CV$2),$F$3:$BP$3,$F171:$BP171))),"""")"),"")</f>
        <v/>
      </c>
      <c r="CX171" s="251">
        <f>IFERROR(__xludf.DUMMYFUNCTION("AVERAGE(ARRAYFORMULA(XLOOKUP(FILTER(INDIRECT(""'""&amp;CX$1&amp;""'!$C$4:$C$66""),INDIRECT(""'""&amp;CX$1&amp;""'!$D$4:$D$66"")=CX$2),$F$3:$BP$3,$F171:$BP171)))"),0.30326452428571427)</f>
        <v>0.3032645243</v>
      </c>
      <c r="CY171" s="207" t="str">
        <f>IFERROR(__xludf.DUMMYFUNCTION("IF(OR(CX171&gt;$BR171+$BS171*$BS$2,CX171&lt;$BR171-$BS171*$BS$2),AVEDEV(ARRAYFORMULA(XLOOKUP(FILTER(INDIRECT(""'""&amp;CX$1&amp;""'!$C$4:$C$66""),INDIRECT(""'""&amp;CX$1&amp;""'!$D$4:$D$66"")=CX$2),$F$3:$BP$3,$F171:$BP171))),"""")"),"")</f>
        <v/>
      </c>
      <c r="CZ171" s="252"/>
      <c r="DA171" s="251">
        <f>IFERROR(__xludf.DUMMYFUNCTION("AVERAGE(ARRAYFORMULA(XLOOKUP(FILTER(INDIRECT(""'""&amp;DA$1&amp;""'!$C$4:$C$66""),INDIRECT(""'""&amp;DA$1&amp;""'!$D$4:$D$66"")=DA$2),$F$3:$BP$3,$F171:$BP171)))"),0.13717707199999996)</f>
        <v>0.137177072</v>
      </c>
      <c r="DB171" s="207" t="str">
        <f>IFERROR(__xludf.DUMMYFUNCTION("IF(OR(DA171&gt;$BR171+$BS171*$BS$2,DA171&lt;$BR171-$BS171*$BS$2),AVEDEV(ARRAYFORMULA(XLOOKUP(FILTER(INDIRECT(""'""&amp;DA$1&amp;""'!$C$4:$C$66""),INDIRECT(""'""&amp;DA$1&amp;""'!$D$4:$D$66"")=DA$2),$F$3:$BP$3,$F171:$BP171))),"""")"),"")</f>
        <v/>
      </c>
      <c r="DC171" s="251">
        <f>IFERROR(__xludf.DUMMYFUNCTION("AVERAGE(ARRAYFORMULA(XLOOKUP(FILTER(INDIRECT(""'""&amp;DC$1&amp;""'!$C$4:$C$66""),INDIRECT(""'""&amp;DC$1&amp;""'!$D$4:$D$66"")=DC$2),$F$3:$BP$3,$F171:$BP171)))"),0.6591516788888889)</f>
        <v>0.6591516789</v>
      </c>
      <c r="DD171" s="207" t="str">
        <f>IFERROR(__xludf.DUMMYFUNCTION("IF(OR(DC171&gt;$BR171+$BS171*$BS$2,DC171&lt;$BR171-$BS171*$BS$2),AVEDEV(ARRAYFORMULA(XLOOKUP(FILTER(INDIRECT(""'""&amp;DC$1&amp;""'!$C$4:$C$66""),INDIRECT(""'""&amp;DC$1&amp;""'!$D$4:$D$66"")=DC$2),$F$3:$BP$3,$F171:$BP171))),"""")"),"")</f>
        <v/>
      </c>
      <c r="DE171" s="251">
        <f>IFERROR(__xludf.DUMMYFUNCTION("AVERAGE(ARRAYFORMULA(XLOOKUP(FILTER(INDIRECT(""'""&amp;DE$1&amp;""'!$C$4:$C$66""),INDIRECT(""'""&amp;DE$1&amp;""'!$D$4:$D$66"")=DE$2),$F$3:$BP$3,$F171:$BP171)))"),-0.44278745625)</f>
        <v>-0.4427874563</v>
      </c>
      <c r="DF171" s="207" t="str">
        <f>IFERROR(__xludf.DUMMYFUNCTION("IF(OR(DE171&gt;$BR171+$BS171*$BS$2,DE171&lt;$BR171-$BS171*$BS$2),AVEDEV(ARRAYFORMULA(XLOOKUP(FILTER(INDIRECT(""'""&amp;DE$1&amp;""'!$C$4:$C$66""),INDIRECT(""'""&amp;DE$1&amp;""'!$D$4:$D$66"")=DE$2),$F$3:$BP$3,$F171:$BP171))),"""")"),"")</f>
        <v/>
      </c>
      <c r="DG171" s="251">
        <f>IFERROR(__xludf.DUMMYFUNCTION("AVERAGE(ARRAYFORMULA(XLOOKUP(FILTER(INDIRECT(""'""&amp;DG$1&amp;""'!$C$4:$C$66""),INDIRECT(""'""&amp;DG$1&amp;""'!$D$4:$D$66"")=DG$2),$F$3:$BP$3,$F171:$BP171)))"),1.0410368233333331)</f>
        <v>1.041036823</v>
      </c>
      <c r="DH171" s="207">
        <f>IFERROR(__xludf.DUMMYFUNCTION("IF(OR(DG171&gt;$BR171+$BS171*$BS$2,DG171&lt;$BR171-$BS171*$BS$2),AVEDEV(ARRAYFORMULA(XLOOKUP(FILTER(INDIRECT(""'""&amp;DG$1&amp;""'!$C$4:$C$66""),INDIRECT(""'""&amp;DG$1&amp;""'!$D$4:$D$66"")=DG$2),$F$3:$BP$3,$F171:$BP171))),"""")"),0.5910375770370369)</f>
        <v>0.591037577</v>
      </c>
      <c r="DI171" s="252"/>
    </row>
    <row r="172">
      <c r="A172" s="2"/>
      <c r="B172" s="204" t="s">
        <v>601</v>
      </c>
      <c r="C172" s="204" t="s">
        <v>616</v>
      </c>
      <c r="D172" s="205" t="b">
        <f>VLOOKUP(C172,'Feature Set List'!A169:C246,2,0)</f>
        <v>1</v>
      </c>
      <c r="E172" s="205" t="b">
        <f>VLOOKUP(C172,'Feature Set List'!A169:C246,3,0)</f>
        <v>1</v>
      </c>
      <c r="F172" s="205">
        <v>0.7134697</v>
      </c>
      <c r="G172" s="205">
        <v>-0.7556849</v>
      </c>
      <c r="H172" s="205">
        <v>1.00587531</v>
      </c>
      <c r="I172" s="205">
        <v>-0.0266565</v>
      </c>
      <c r="J172" s="205">
        <v>-0.6404635</v>
      </c>
      <c r="K172" s="205">
        <v>0.00190404</v>
      </c>
      <c r="L172" s="205">
        <v>0.051953</v>
      </c>
      <c r="M172" s="205">
        <v>0.05304102</v>
      </c>
      <c r="N172" s="205">
        <v>-0.5119138</v>
      </c>
      <c r="O172" s="205">
        <v>0.47845719</v>
      </c>
      <c r="P172" s="205">
        <v>-0.2507888</v>
      </c>
      <c r="Q172" s="205">
        <v>0.04542487</v>
      </c>
      <c r="R172" s="205">
        <v>-0.3196061</v>
      </c>
      <c r="S172" s="205">
        <v>0.15177891</v>
      </c>
      <c r="T172" s="205">
        <v>0.44173648</v>
      </c>
      <c r="U172" s="205">
        <v>-0.7604613</v>
      </c>
      <c r="V172" s="205">
        <v>0.60330758</v>
      </c>
      <c r="W172" s="205">
        <v>-0.6003699</v>
      </c>
      <c r="X172" s="205">
        <v>0.63431618</v>
      </c>
      <c r="Y172" s="205">
        <v>-0.7768796</v>
      </c>
      <c r="Z172" s="205">
        <v>-0.4033837</v>
      </c>
      <c r="AA172" s="205">
        <v>0.76134262</v>
      </c>
      <c r="AB172" s="205">
        <v>0.13926667</v>
      </c>
      <c r="AC172" s="205">
        <v>-0.6988902</v>
      </c>
      <c r="AD172" s="205">
        <v>-0.2646611</v>
      </c>
      <c r="AE172" s="205">
        <v>0.0</v>
      </c>
      <c r="AF172" s="205">
        <v>-0.6902949</v>
      </c>
      <c r="AG172" s="205">
        <v>0.63921227</v>
      </c>
      <c r="AH172" s="205">
        <v>0.29757371</v>
      </c>
      <c r="AI172" s="205">
        <v>1.39484278</v>
      </c>
      <c r="AJ172" s="205">
        <v>-0.7319933</v>
      </c>
      <c r="AK172" s="205">
        <v>-0.6799859</v>
      </c>
      <c r="AL172" s="205">
        <v>0.93814601</v>
      </c>
      <c r="AM172" s="205">
        <v>0.18877162</v>
      </c>
      <c r="AN172" s="205">
        <v>-0.777886</v>
      </c>
      <c r="AO172" s="205">
        <v>-0.6490589</v>
      </c>
      <c r="AP172" s="205">
        <v>-0.6528125</v>
      </c>
      <c r="AQ172" s="205">
        <v>-0.7561745</v>
      </c>
      <c r="AR172" s="205">
        <v>0.24589272</v>
      </c>
      <c r="AS172" s="205">
        <v>0.41290393</v>
      </c>
      <c r="AT172" s="205">
        <v>-0.7863671</v>
      </c>
      <c r="AU172" s="205">
        <v>0.03073659</v>
      </c>
      <c r="AV172" s="205">
        <v>0.08921771</v>
      </c>
      <c r="AW172" s="205">
        <v>-0.769462</v>
      </c>
      <c r="AX172" s="205">
        <v>-0.7756882</v>
      </c>
      <c r="AY172" s="205">
        <v>0.42079208</v>
      </c>
      <c r="AZ172" s="205">
        <v>0.24698074</v>
      </c>
      <c r="BA172" s="205">
        <v>-0.3761832</v>
      </c>
      <c r="BB172" s="205">
        <v>-0.1496029</v>
      </c>
      <c r="BC172" s="205">
        <v>0.68708519</v>
      </c>
      <c r="BD172" s="205">
        <v>1.30453705</v>
      </c>
      <c r="BE172" s="205">
        <v>-0.4624089</v>
      </c>
      <c r="BF172" s="205">
        <v>0.05766511</v>
      </c>
      <c r="BG172" s="205">
        <v>-0.7479328</v>
      </c>
      <c r="BH172" s="205">
        <v>-0.7432271</v>
      </c>
      <c r="BI172" s="205">
        <v>-0.1822435</v>
      </c>
      <c r="BJ172" s="205">
        <v>-0.1096181</v>
      </c>
      <c r="BK172" s="205">
        <v>0.42976825</v>
      </c>
      <c r="BL172" s="205">
        <v>-0.1283865</v>
      </c>
      <c r="BM172" s="205">
        <v>0.01414427</v>
      </c>
      <c r="BN172" s="205">
        <v>0.79806332</v>
      </c>
      <c r="BO172" s="205">
        <v>0.20890001</v>
      </c>
      <c r="BP172" s="205">
        <v>-0.5152323</v>
      </c>
      <c r="BQ172" s="206"/>
      <c r="BR172" s="250">
        <f t="shared" si="1"/>
        <v>-0.05090811222</v>
      </c>
      <c r="BS172" s="250">
        <f t="shared" si="2"/>
        <v>0.4806481947</v>
      </c>
      <c r="BT172" s="206"/>
      <c r="BU172" s="207">
        <f>IFERROR(__xludf.DUMMYFUNCTION("AVERAGE(ARRAYFORMULA(XLOOKUP(FILTER(INDIRECT(""'""&amp;BU$1&amp;""'!$C$4:$C$66""),INDIRECT(""'""&amp;BU$1&amp;""'!$D$4:$D$66"")=BU$2),$F$3:$BP$3,$F172:$BP172)))"),-0.050583645714285703)</f>
        <v>-0.05058364571</v>
      </c>
      <c r="BV172" s="207" t="str">
        <f>IFERROR(__xludf.DUMMYFUNCTION("IF(OR(BU172&gt;$BR172+$BS172*$BS$2,BU172&lt;$BR172-$BS172*$BS$2),AVEDEV(ARRAYFORMULA(XLOOKUP(FILTER(INDIRECT(""'""&amp;BU$1&amp;""'!$C$4:$C$66""),INDIRECT(""'""&amp;BU$1&amp;""'!$D$4:$D$66"")=BU$2),$F$3:$BP$3,$F172:$BP172))),"""")"),"")</f>
        <v/>
      </c>
      <c r="BW172" s="207">
        <f>IFERROR(__xludf.DUMMYFUNCTION("AVERAGE(ARRAYFORMULA(XLOOKUP(FILTER(INDIRECT(""'""&amp;BW$1&amp;""'!$C$4:$C$66""),INDIRECT(""'""&amp;BW$1&amp;""'!$D$4:$D$66"")=BW$2),$F$3:$BP$3,$F172:$BP172)))"),-0.16510218738095234)</f>
        <v>-0.1651021874</v>
      </c>
      <c r="BX172" s="207" t="str">
        <f>IFERROR(__xludf.DUMMYFUNCTION("IF(OR(BW172&gt;$BR172+$BS172*$BS$2,BW172&lt;$BR172-$BS172*$BS$2),AVEDEV(ARRAYFORMULA(XLOOKUP(FILTER(INDIRECT(""'""&amp;BW$1&amp;""'!$C$4:$C$66""),INDIRECT(""'""&amp;BW$1&amp;""'!$D$4:$D$66"")=BW$2),$F$3:$BP$3,$F172:$BP172))),"""")"),"")</f>
        <v/>
      </c>
      <c r="BY172" s="207">
        <f>IFERROR(__xludf.DUMMYFUNCTION("AVERAGE(ARRAYFORMULA(XLOOKUP(FILTER(INDIRECT(""'""&amp;BY$1&amp;""'!$C$4:$C$66""),INDIRECT(""'""&amp;BY$1&amp;""'!$D$4:$D$66"")=BY$2),$F$3:$BP$3,$F172:$BP172)))"),0.28859753818181816)</f>
        <v>0.2885975382</v>
      </c>
      <c r="BZ172" s="207" t="str">
        <f>IFERROR(__xludf.DUMMYFUNCTION("IF(OR(BY172&gt;$BR172+$BS172*$BS$2,BY172&lt;$BR172-$BS172*$BS$2),AVEDEV(ARRAYFORMULA(XLOOKUP(FILTER(INDIRECT(""'""&amp;BY$1&amp;""'!$C$4:$C$66""),INDIRECT(""'""&amp;BY$1&amp;""'!$D$4:$D$66"")=BY$2),$F$3:$BP$3,$F172:$BP172))),"""")"),"")</f>
        <v/>
      </c>
      <c r="CA172" s="209"/>
      <c r="CB172" s="207">
        <f>IFERROR(__xludf.DUMMYFUNCTION("AVERAGE(ARRAYFORMULA(XLOOKUP(FILTER(INDIRECT(""'""&amp;CB$1&amp;""'!$C$4:$C$66""),INDIRECT(""'""&amp;CB$1&amp;""'!$D$4:$D$66"")=CB$2),$F$3:$BP$3,$F172:$BP172)))"),-0.2947628843750001)</f>
        <v>-0.2947628844</v>
      </c>
      <c r="CC172" s="207" t="str">
        <f>IFERROR(__xludf.DUMMYFUNCTION("IF(OR(CB172&gt;$BR172+$BS172*$BS$2,CB172&lt;$BR172-$BS172*$BS$2),AVEDEV(ARRAYFORMULA(XLOOKUP(FILTER(INDIRECT(""'""&amp;CB$1&amp;""'!$C$4:$C$66""),INDIRECT(""'""&amp;CB$1&amp;""'!$D$4:$D$66"")=CB$2),$F$3:$BP$3,$F172:$BP172))),"""")"),"")</f>
        <v/>
      </c>
      <c r="CD172" s="207">
        <f>IFERROR(__xludf.DUMMYFUNCTION("AVERAGE(ARRAYFORMULA(XLOOKUP(FILTER(INDIRECT(""'""&amp;CD$1&amp;""'!$C$4:$C$66""),INDIRECT(""'""&amp;CD$1&amp;""'!$D$4:$D$66"")=CD$2),$F$3:$BP$3,$F172:$BP172)))"),0.0165356335483871)</f>
        <v>0.01653563355</v>
      </c>
      <c r="CE172" s="207" t="str">
        <f>IFERROR(__xludf.DUMMYFUNCTION("IF(OR(CD172&gt;$BR172+$BS172*$BS$2,CD172&lt;$BR172-$BS172*$BS$2),AVEDEV(ARRAYFORMULA(XLOOKUP(FILTER(INDIRECT(""'""&amp;CD$1&amp;""'!$C$4:$C$66""),INDIRECT(""'""&amp;CD$1&amp;""'!$D$4:$D$66"")=CD$2),$F$3:$BP$3,$F172:$BP172))),"""")"),"")</f>
        <v/>
      </c>
      <c r="CF172" s="207">
        <f>IFERROR(__xludf.DUMMYFUNCTION("AVERAGE(ARRAYFORMULA(XLOOKUP(FILTER(INDIRECT(""'""&amp;CF$1&amp;""'!$C$4:$C$66""),INDIRECT(""'""&amp;CF$1&amp;""'!$D$4:$D$66"")=CF$2),$F$3:$BP$3,$F172:$BP172)))"),0.23615493400000004)</f>
        <v>0.236154934</v>
      </c>
      <c r="CG172" s="207" t="str">
        <f>IFERROR(__xludf.DUMMYFUNCTION("IF(OR(CF172&gt;$BR172+$BS172*$BS$2,CF172&lt;$BR172-$BS172*$BS$2),AVEDEV(ARRAYFORMULA(XLOOKUP(FILTER(INDIRECT(""'""&amp;CF$1&amp;""'!$C$4:$C$66""),INDIRECT(""'""&amp;CF$1&amp;""'!$D$4:$D$66"")=CF$2),$F$3:$BP$3,$F172:$BP172))),"""")"),"")</f>
        <v/>
      </c>
      <c r="CH172" s="206"/>
      <c r="CI172" s="251">
        <f>IFERROR(__xludf.DUMMYFUNCTION("AVERAGE(ARRAYFORMULA(XLOOKUP(FILTER(INDIRECT(""'""&amp;CI$1&amp;""'!$C$4:$C$66""),INDIRECT(""'""&amp;CI$1&amp;""'!$D$4:$D$66"")=CI$2),$F$3:$BP$3,$F172:$BP172)))"),0.27499365600000003)</f>
        <v>0.274993656</v>
      </c>
      <c r="CJ172" s="207" t="str">
        <f>IFERROR(__xludf.DUMMYFUNCTION("IF(OR(CI172&gt;$BR172+$BS172*$BS$2,CI172&lt;$BR172-$BS172*$BS$2),AVEDEV(ARRAYFORMULA(XLOOKUP(FILTER(INDIRECT(""'""&amp;CI$1&amp;""'!$C$4:$C$66""),INDIRECT(""'""&amp;CI$1&amp;""'!$D$4:$D$66"")=CI$2),$F$3:$BP$3,$F172:$BP172))),"""")"),"")</f>
        <v/>
      </c>
      <c r="CK172" s="251">
        <f>IFERROR(__xludf.DUMMYFUNCTION("AVERAGE(ARRAYFORMULA(XLOOKUP(FILTER(INDIRECT(""'""&amp;CK$1&amp;""'!$C$4:$C$66""),INDIRECT(""'""&amp;CK$1&amp;""'!$D$4:$D$66"")=CK$2),$F$3:$BP$3,$F172:$BP172)))"),-0.252544928974359)</f>
        <v>-0.252544929</v>
      </c>
      <c r="CL172" s="207" t="str">
        <f>IFERROR(__xludf.DUMMYFUNCTION("IF(OR(CK172&gt;$BR172+$BS172*$BS$2,CK172&lt;$BR172-$BS172*$BS$2),AVEDEV(ARRAYFORMULA(XLOOKUP(FILTER(INDIRECT(""'""&amp;CK$1&amp;""'!$C$4:$C$66""),INDIRECT(""'""&amp;CK$1&amp;""'!$D$4:$D$66"")=CK$2),$F$3:$BP$3,$F172:$BP172))),"""")"),"")</f>
        <v/>
      </c>
      <c r="CM172" s="251">
        <f>IFERROR(__xludf.DUMMYFUNCTION("AVERAGE(ARRAYFORMULA(XLOOKUP(FILTER(INDIRECT(""'""&amp;CM$1&amp;""'!$C$4:$C$66""),INDIRECT(""'""&amp;CM$1&amp;""'!$D$4:$D$66"")=CM$2),$F$3:$BP$3,$F172:$BP172)))"),0.23615493400000004)</f>
        <v>0.236154934</v>
      </c>
      <c r="CN172" s="207" t="str">
        <f>IFERROR(__xludf.DUMMYFUNCTION("IF(OR(CM172&gt;$BR172+$BS172*$BS$2,CM172&lt;$BR172-$BS172*$BS$2),AVEDEV(ARRAYFORMULA(XLOOKUP(FILTER(INDIRECT(""'""&amp;CM$1&amp;""'!$C$4:$C$66""),INDIRECT(""'""&amp;CM$1&amp;""'!$D$4:$D$66"")=CM$2),$F$3:$BP$3,$F172:$BP172))),"""")"),"")</f>
        <v/>
      </c>
      <c r="CO172" s="252"/>
      <c r="CP172" s="251">
        <f>IFERROR(__xludf.DUMMYFUNCTION("AVERAGE(ARRAYFORMULA(XLOOKUP(FILTER(INDIRECT(""'""&amp;CP$1&amp;""'!$C$4:$C$66""),INDIRECT(""'""&amp;CP$1&amp;""'!$D$4:$D$66"")=CP$2),$F$3:$BP$3,$F172:$BP172)))"),-0.38170027571428566)</f>
        <v>-0.3817002757</v>
      </c>
      <c r="CQ172" s="207" t="str">
        <f>IFERROR(__xludf.DUMMYFUNCTION("IF(OR(CP172&gt;$BR172+$BS172*$BS$2,CP172&lt;$BR172-$BS172*$BS$2),AVEDEV(ARRAYFORMULA(XLOOKUP(FILTER(INDIRECT(""'""&amp;CP$1&amp;""'!$C$4:$C$66""),INDIRECT(""'""&amp;CP$1&amp;""'!$D$4:$D$66"")=CP$2),$F$3:$BP$3,$F172:$BP172))),"""")"),"")</f>
        <v/>
      </c>
      <c r="CR172" s="251">
        <f>IFERROR(__xludf.DUMMYFUNCTION("AVERAGE(ARRAYFORMULA(XLOOKUP(FILTER(INDIRECT(""'""&amp;CR$1&amp;""'!$C$4:$C$66""),INDIRECT(""'""&amp;CR$1&amp;""'!$D$4:$D$66"")=CR$2),$F$3:$BP$3,$F172:$BP172)))"),0.32024081555555556)</f>
        <v>0.3202408156</v>
      </c>
      <c r="CS172" s="207" t="str">
        <f>IFERROR(__xludf.DUMMYFUNCTION("IF(OR(CR172&gt;$BR172+$BS172*$BS$2,CR172&lt;$BR172-$BS172*$BS$2),AVEDEV(ARRAYFORMULA(XLOOKUP(FILTER(INDIRECT(""'""&amp;CR$1&amp;""'!$C$4:$C$66""),INDIRECT(""'""&amp;CR$1&amp;""'!$D$4:$D$66"")=CR$2),$F$3:$BP$3,$F172:$BP172))),"""")"),"")</f>
        <v/>
      </c>
      <c r="CT172" s="251">
        <f>IFERROR(__xludf.DUMMYFUNCTION("AVERAGE(ARRAYFORMULA(XLOOKUP(FILTER(INDIRECT(""'""&amp;CT$1&amp;""'!$C$4:$C$66""),INDIRECT(""'""&amp;CT$1&amp;""'!$D$4:$D$66"")=CT$2),$F$3:$BP$3,$F172:$BP172)))"),0.31592170909090905)</f>
        <v>0.3159217091</v>
      </c>
      <c r="CU172" s="207" t="str">
        <f>IFERROR(__xludf.DUMMYFUNCTION("IF(OR(CT172&gt;$BR172+$BS172*$BS$2,CT172&lt;$BR172-$BS172*$BS$2),AVEDEV(ARRAYFORMULA(XLOOKUP(FILTER(INDIRECT(""'""&amp;CT$1&amp;""'!$C$4:$C$66""),INDIRECT(""'""&amp;CT$1&amp;""'!$D$4:$D$66"")=CT$2),$F$3:$BP$3,$F172:$BP172))),"""")"),"")</f>
        <v/>
      </c>
      <c r="CV172" s="251">
        <f>IFERROR(__xludf.DUMMYFUNCTION("AVERAGE(ARRAYFORMULA(XLOOKUP(FILTER(INDIRECT(""'""&amp;CV$1&amp;""'!$C$4:$C$66""),INDIRECT(""'""&amp;CV$1&amp;""'!$D$4:$D$66"")=CV$2),$F$3:$BP$3,$F172:$BP172)))"),-0.7234115)</f>
        <v>-0.7234115</v>
      </c>
      <c r="CW172" s="207">
        <f>IFERROR(__xludf.DUMMYFUNCTION("IF(OR(CV172&gt;$BR172+$BS172*$BS$2,CV172&lt;$BR172-$BS172*$BS$2),AVEDEV(ARRAYFORMULA(XLOOKUP(FILTER(INDIRECT(""'""&amp;CV$1&amp;""'!$C$4:$C$66""),INDIRECT(""'""&amp;CV$1&amp;""'!$D$4:$D$66"")=CV$2),$F$3:$BP$3,$F172:$BP172))),"""")"),0.024521299999999968)</f>
        <v>0.0245213</v>
      </c>
      <c r="CX172" s="251">
        <f>IFERROR(__xludf.DUMMYFUNCTION("AVERAGE(ARRAYFORMULA(XLOOKUP(FILTER(INDIRECT(""'""&amp;CX$1&amp;""'!$C$4:$C$66""),INDIRECT(""'""&amp;CX$1&amp;""'!$D$4:$D$66"")=CX$2),$F$3:$BP$3,$F172:$BP172)))"),-0.20024578214285713)</f>
        <v>-0.2002457821</v>
      </c>
      <c r="CY172" s="207" t="str">
        <f>IFERROR(__xludf.DUMMYFUNCTION("IF(OR(CX172&gt;$BR172+$BS172*$BS$2,CX172&lt;$BR172-$BS172*$BS$2),AVEDEV(ARRAYFORMULA(XLOOKUP(FILTER(INDIRECT(""'""&amp;CX$1&amp;""'!$C$4:$C$66""),INDIRECT(""'""&amp;CX$1&amp;""'!$D$4:$D$66"")=CX$2),$F$3:$BP$3,$F172:$BP172))),"""")"),"")</f>
        <v/>
      </c>
      <c r="CZ172" s="252"/>
      <c r="DA172" s="251">
        <f>IFERROR(__xludf.DUMMYFUNCTION("AVERAGE(ARRAYFORMULA(XLOOKUP(FILTER(INDIRECT(""'""&amp;DA$1&amp;""'!$C$4:$C$66""),INDIRECT(""'""&amp;DA$1&amp;""'!$D$4:$D$66"")=DA$2),$F$3:$BP$3,$F172:$BP172)))"),-0.204150173)</f>
        <v>-0.204150173</v>
      </c>
      <c r="DB172" s="207" t="str">
        <f>IFERROR(__xludf.DUMMYFUNCTION("IF(OR(DA172&gt;$BR172+$BS172*$BS$2,DA172&lt;$BR172-$BS172*$BS$2),AVEDEV(ARRAYFORMULA(XLOOKUP(FILTER(INDIRECT(""'""&amp;DA$1&amp;""'!$C$4:$C$66""),INDIRECT(""'""&amp;DA$1&amp;""'!$D$4:$D$66"")=DA$2),$F$3:$BP$3,$F172:$BP172))),"""")"),"")</f>
        <v/>
      </c>
      <c r="DC172" s="251">
        <f>IFERROR(__xludf.DUMMYFUNCTION("AVERAGE(ARRAYFORMULA(XLOOKUP(FILTER(INDIRECT(""'""&amp;DC$1&amp;""'!$C$4:$C$66""),INDIRECT(""'""&amp;DC$1&amp;""'!$D$4:$D$66"")=DC$2),$F$3:$BP$3,$F172:$BP172)))"),0.23891125)</f>
        <v>0.23891125</v>
      </c>
      <c r="DD172" s="207" t="str">
        <f>IFERROR(__xludf.DUMMYFUNCTION("IF(OR(DC172&gt;$BR172+$BS172*$BS$2,DC172&lt;$BR172-$BS172*$BS$2),AVEDEV(ARRAYFORMULA(XLOOKUP(FILTER(INDIRECT(""'""&amp;DC$1&amp;""'!$C$4:$C$66""),INDIRECT(""'""&amp;DC$1&amp;""'!$D$4:$D$66"")=DC$2),$F$3:$BP$3,$F172:$BP172))),"""")"),"")</f>
        <v/>
      </c>
      <c r="DE172" s="251">
        <f>IFERROR(__xludf.DUMMYFUNCTION("AVERAGE(ARRAYFORMULA(XLOOKUP(FILTER(INDIRECT(""'""&amp;DE$1&amp;""'!$C$4:$C$66""),INDIRECT(""'""&amp;DE$1&amp;""'!$D$4:$D$66"")=DE$2),$F$3:$BP$3,$F172:$BP172)))"),0.03652555125000001)</f>
        <v>0.03652555125</v>
      </c>
      <c r="DF172" s="207" t="str">
        <f>IFERROR(__xludf.DUMMYFUNCTION("IF(OR(DE172&gt;$BR172+$BS172*$BS$2,DE172&lt;$BR172-$BS172*$BS$2),AVEDEV(ARRAYFORMULA(XLOOKUP(FILTER(INDIRECT(""'""&amp;DE$1&amp;""'!$C$4:$C$66""),INDIRECT(""'""&amp;DE$1&amp;""'!$D$4:$D$66"")=DE$2),$F$3:$BP$3,$F172:$BP172))),"""")"),"")</f>
        <v/>
      </c>
      <c r="DG172" s="251">
        <f>IFERROR(__xludf.DUMMYFUNCTION("AVERAGE(ARRAYFORMULA(XLOOKUP(FILTER(INDIRECT(""'""&amp;DG$1&amp;""'!$C$4:$C$66""),INDIRECT(""'""&amp;DG$1&amp;""'!$D$4:$D$66"")=DG$2),$F$3:$BP$3,$F172:$BP172)))"),0.14143969)</f>
        <v>0.14143969</v>
      </c>
      <c r="DH172" s="207" t="str">
        <f>IFERROR(__xludf.DUMMYFUNCTION("IF(OR(DG172&gt;$BR172+$BS172*$BS$2,DG172&lt;$BR172-$BS172*$BS$2),AVEDEV(ARRAYFORMULA(XLOOKUP(FILTER(INDIRECT(""'""&amp;DG$1&amp;""'!$C$4:$C$66""),INDIRECT(""'""&amp;DG$1&amp;""'!$D$4:$D$66"")=DG$2),$F$3:$BP$3,$F172:$BP172))),"""")"),"")</f>
        <v/>
      </c>
      <c r="DI172" s="252"/>
    </row>
    <row r="173">
      <c r="A173" s="2"/>
      <c r="B173" s="204" t="s">
        <v>601</v>
      </c>
      <c r="C173" s="204" t="s">
        <v>617</v>
      </c>
      <c r="D173" s="205" t="b">
        <f>VLOOKUP(C173,'Feature Set List'!A170:C246,2,0)</f>
        <v>1</v>
      </c>
      <c r="E173" s="205" t="b">
        <f>VLOOKUP(C173,'Feature Set List'!A170:C246,3,0)</f>
        <v>0</v>
      </c>
      <c r="F173" s="205">
        <v>0.66666667</v>
      </c>
      <c r="G173" s="205">
        <v>0.33333333</v>
      </c>
      <c r="H173" s="205">
        <v>0.0</v>
      </c>
      <c r="I173" s="205">
        <v>0.66666667</v>
      </c>
      <c r="J173" s="205">
        <v>0.0</v>
      </c>
      <c r="K173" s="205">
        <v>-0.6666667</v>
      </c>
      <c r="L173" s="205">
        <v>-1.0</v>
      </c>
      <c r="M173" s="205">
        <v>0.33333333</v>
      </c>
      <c r="N173" s="205">
        <v>1.33333333</v>
      </c>
      <c r="O173" s="205">
        <v>-1.0</v>
      </c>
      <c r="P173" s="205">
        <v>0.0</v>
      </c>
      <c r="Q173" s="205">
        <v>-0.3333333</v>
      </c>
      <c r="R173" s="205">
        <v>1.0</v>
      </c>
      <c r="S173" s="205">
        <v>-0.3333333</v>
      </c>
      <c r="T173" s="205">
        <v>0.33333333</v>
      </c>
      <c r="U173" s="205">
        <v>0.33333333</v>
      </c>
      <c r="V173" s="205">
        <v>-0.6666667</v>
      </c>
      <c r="W173" s="205">
        <v>1.0</v>
      </c>
      <c r="X173" s="205">
        <v>-1.0</v>
      </c>
      <c r="Y173" s="205">
        <v>1.66666667</v>
      </c>
      <c r="Z173" s="205">
        <v>0.33333333</v>
      </c>
      <c r="AA173" s="205">
        <v>0.0</v>
      </c>
      <c r="AB173" s="205">
        <v>0.0</v>
      </c>
      <c r="AC173" s="205">
        <v>0.33333333</v>
      </c>
      <c r="AD173" s="205">
        <v>0.33333333</v>
      </c>
      <c r="AE173" s="205">
        <v>-0.6666667</v>
      </c>
      <c r="AF173" s="205">
        <v>0.33333333</v>
      </c>
      <c r="AG173" s="205">
        <v>0.0</v>
      </c>
      <c r="AH173" s="205">
        <v>-0.3333333</v>
      </c>
      <c r="AI173" s="205">
        <v>-0.6666667</v>
      </c>
      <c r="AJ173" s="205">
        <v>0.0</v>
      </c>
      <c r="AK173" s="205">
        <v>0.0</v>
      </c>
      <c r="AL173" s="205">
        <v>0.33333333</v>
      </c>
      <c r="AM173" s="205">
        <v>0.0</v>
      </c>
      <c r="AN173" s="205">
        <v>0.66666667</v>
      </c>
      <c r="AO173" s="205">
        <v>0.66666667</v>
      </c>
      <c r="AP173" s="205">
        <v>0.66666667</v>
      </c>
      <c r="AQ173" s="205">
        <v>-0.3333333</v>
      </c>
      <c r="AR173" s="205">
        <v>-0.6666667</v>
      </c>
      <c r="AS173" s="205">
        <v>0.33333333</v>
      </c>
      <c r="AT173" s="205">
        <v>-0.3333333</v>
      </c>
      <c r="AU173" s="205">
        <v>0.33333333</v>
      </c>
      <c r="AV173" s="205">
        <v>0.66666667</v>
      </c>
      <c r="AW173" s="205">
        <v>0.33333333</v>
      </c>
      <c r="AX173" s="205">
        <v>0.33333333</v>
      </c>
      <c r="AY173" s="205">
        <v>0.66666667</v>
      </c>
      <c r="AZ173" s="205">
        <v>-0.6666667</v>
      </c>
      <c r="BA173" s="205">
        <v>0.33333333</v>
      </c>
      <c r="BB173" s="205">
        <v>0.33333333</v>
      </c>
      <c r="BC173" s="205">
        <v>-1.0</v>
      </c>
      <c r="BD173" s="205">
        <v>0.66666667</v>
      </c>
      <c r="BE173" s="205">
        <v>0.33333333</v>
      </c>
      <c r="BF173" s="205">
        <v>-0.6666667</v>
      </c>
      <c r="BG173" s="205">
        <v>0.33333333</v>
      </c>
      <c r="BH173" s="205">
        <v>-0.6666667</v>
      </c>
      <c r="BI173" s="205">
        <v>0.33333333</v>
      </c>
      <c r="BJ173" s="205">
        <v>-0.3333333</v>
      </c>
      <c r="BK173" s="205">
        <v>-0.6666667</v>
      </c>
      <c r="BL173" s="205">
        <v>-0.6666667</v>
      </c>
      <c r="BM173" s="205">
        <v>-1.0</v>
      </c>
      <c r="BN173" s="205">
        <v>-0.6666667</v>
      </c>
      <c r="BO173" s="205">
        <v>-0.6666667</v>
      </c>
      <c r="BP173" s="205">
        <v>-1.0</v>
      </c>
      <c r="BQ173" s="206"/>
      <c r="BR173" s="250">
        <f t="shared" si="1"/>
        <v>0.005291001587</v>
      </c>
      <c r="BS173" s="250">
        <f t="shared" si="2"/>
        <v>0.5134794683</v>
      </c>
      <c r="BT173" s="206"/>
      <c r="BU173" s="207">
        <f>IFERROR(__xludf.DUMMYFUNCTION("AVERAGE(ARRAYFORMULA(XLOOKUP(FILTER(INDIRECT(""'""&amp;BU$1&amp;""'!$C$4:$C$66""),INDIRECT(""'""&amp;BU$1&amp;""'!$D$4:$D$66"")=BU$2),$F$3:$BP$3,$F173:$BP173)))"),0.3809523757142857)</f>
        <v>0.3809523757</v>
      </c>
      <c r="BV173" s="207" t="str">
        <f>IFERROR(__xludf.DUMMYFUNCTION("IF(OR(BU173&gt;$BR173+$BS173*$BS$2,BU173&lt;$BR173-$BS173*$BS$2),AVEDEV(ARRAYFORMULA(XLOOKUP(FILTER(INDIRECT(""'""&amp;BU$1&amp;""'!$C$4:$C$66""),INDIRECT(""'""&amp;BU$1&amp;""'!$D$4:$D$66"")=BU$2),$F$3:$BP$3,$F173:$BP173))),"""")"),"")</f>
        <v/>
      </c>
      <c r="BW173" s="207">
        <f>IFERROR(__xludf.DUMMYFUNCTION("AVERAGE(ARRAYFORMULA(XLOOKUP(FILTER(INDIRECT(""'""&amp;BW$1&amp;""'!$C$4:$C$66""),INDIRECT(""'""&amp;BW$1&amp;""'!$D$4:$D$66"")=BW$2),$F$3:$BP$3,$F173:$BP173)))"),0.10317460071428569)</f>
        <v>0.1031746007</v>
      </c>
      <c r="BX173" s="207" t="str">
        <f>IFERROR(__xludf.DUMMYFUNCTION("IF(OR(BW173&gt;$BR173+$BS173*$BS$2,BW173&lt;$BR173-$BS173*$BS$2),AVEDEV(ARRAYFORMULA(XLOOKUP(FILTER(INDIRECT(""'""&amp;BW$1&amp;""'!$C$4:$C$66""),INDIRECT(""'""&amp;BW$1&amp;""'!$D$4:$D$66"")=BW$2),$F$3:$BP$3,$F173:$BP173))),"""")"),"")</f>
        <v/>
      </c>
      <c r="BY173" s="207">
        <f>IFERROR(__xludf.DUMMYFUNCTION("AVERAGE(ARRAYFORMULA(XLOOKUP(FILTER(INDIRECT(""'""&amp;BY$1&amp;""'!$C$4:$C$66""),INDIRECT(""'""&amp;BY$1&amp;""'!$D$4:$D$66"")=BY$2),$F$3:$BP$3,$F173:$BP173)))"),-0.4848484963636364)</f>
        <v>-0.4848484964</v>
      </c>
      <c r="BZ173" s="207" t="str">
        <f>IFERROR(__xludf.DUMMYFUNCTION("IF(OR(BY173&gt;$BR173+$BS173*$BS$2,BY173&lt;$BR173-$BS173*$BS$2),AVEDEV(ARRAYFORMULA(XLOOKUP(FILTER(INDIRECT(""'""&amp;BY$1&amp;""'!$C$4:$C$66""),INDIRECT(""'""&amp;BY$1&amp;""'!$D$4:$D$66"")=BY$2),$F$3:$BP$3,$F173:$BP173))),"""")"),"")</f>
        <v/>
      </c>
      <c r="CA173" s="209"/>
      <c r="CB173" s="207">
        <f>IFERROR(__xludf.DUMMYFUNCTION("AVERAGE(ARRAYFORMULA(XLOOKUP(FILTER(INDIRECT(""'""&amp;CB$1&amp;""'!$C$4:$C$66""),INDIRECT(""'""&amp;CB$1&amp;""'!$D$4:$D$66"")=CB$2),$F$3:$BP$3,$F173:$BP173)))"),0.33333333437500007)</f>
        <v>0.3333333344</v>
      </c>
      <c r="CC173" s="207" t="str">
        <f>IFERROR(__xludf.DUMMYFUNCTION("IF(OR(CB173&gt;$BR173+$BS173*$BS$2,CB173&lt;$BR173-$BS173*$BS$2),AVEDEV(ARRAYFORMULA(XLOOKUP(FILTER(INDIRECT(""'""&amp;CB$1&amp;""'!$C$4:$C$66""),INDIRECT(""'""&amp;CB$1&amp;""'!$D$4:$D$66"")=CB$2),$F$3:$BP$3,$F173:$BP173))),"""")"),"")</f>
        <v/>
      </c>
      <c r="CD173" s="207">
        <f>IFERROR(__xludf.DUMMYFUNCTION("AVERAGE(ARRAYFORMULA(XLOOKUP(FILTER(INDIRECT(""'""&amp;CD$1&amp;""'!$C$4:$C$66""),INDIRECT(""'""&amp;CD$1&amp;""'!$D$4:$D$66"")=CD$2),$F$3:$BP$3,$F173:$BP173)))"),-0.021505381290322586)</f>
        <v>-0.02150538129</v>
      </c>
      <c r="CE173" s="207" t="str">
        <f>IFERROR(__xludf.DUMMYFUNCTION("IF(OR(CD173&gt;$BR173+$BS173*$BS$2,CD173&lt;$BR173-$BS173*$BS$2),AVEDEV(ARRAYFORMULA(XLOOKUP(FILTER(INDIRECT(""'""&amp;CD$1&amp;""'!$C$4:$C$66""),INDIRECT(""'""&amp;CD$1&amp;""'!$D$4:$D$66"")=CD$2),$F$3:$BP$3,$F173:$BP173))),"""")"),"")</f>
        <v/>
      </c>
      <c r="CF173" s="207">
        <f>IFERROR(__xludf.DUMMYFUNCTION("AVERAGE(ARRAYFORMULA(XLOOKUP(FILTER(INDIRECT(""'""&amp;CF$1&amp;""'!$C$4:$C$66""),INDIRECT(""'""&amp;CF$1&amp;""'!$D$4:$D$66"")=CF$2),$F$3:$BP$3,$F173:$BP173)))"),-0.66666668)</f>
        <v>-0.66666668</v>
      </c>
      <c r="CG173" s="207">
        <f>IFERROR(__xludf.DUMMYFUNCTION("IF(OR(CF173&gt;$BR173+$BS173*$BS$2,CF173&lt;$BR173-$BS173*$BS$2),AVEDEV(ARRAYFORMULA(XLOOKUP(FILTER(INDIRECT(""'""&amp;CF$1&amp;""'!$C$4:$C$66""),INDIRECT(""'""&amp;CF$1&amp;""'!$D$4:$D$66"")=CF$2),$F$3:$BP$3,$F173:$BP173))),"""")"),0.133333352)</f>
        <v>0.133333352</v>
      </c>
      <c r="CH173" s="206"/>
      <c r="CI173" s="251">
        <f>IFERROR(__xludf.DUMMYFUNCTION("AVERAGE(ARRAYFORMULA(XLOOKUP(FILTER(INDIRECT(""'""&amp;CI$1&amp;""'!$C$4:$C$66""),INDIRECT(""'""&amp;CI$1&amp;""'!$D$4:$D$66"")=CI$2),$F$3:$BP$3,$F173:$BP173)))"),0.133333328)</f>
        <v>0.133333328</v>
      </c>
      <c r="CJ173" s="207" t="str">
        <f>IFERROR(__xludf.DUMMYFUNCTION("IF(OR(CI173&gt;$BR173+$BS173*$BS$2,CI173&lt;$BR173-$BS173*$BS$2),AVEDEV(ARRAYFORMULA(XLOOKUP(FILTER(INDIRECT(""'""&amp;CI$1&amp;""'!$C$4:$C$66""),INDIRECT(""'""&amp;CI$1&amp;""'!$D$4:$D$66"")=CI$2),$F$3:$BP$3,$F173:$BP173))),"""")"),"")</f>
        <v/>
      </c>
      <c r="CK173" s="251">
        <f>IFERROR(__xludf.DUMMYFUNCTION("AVERAGE(ARRAYFORMULA(XLOOKUP(FILTER(INDIRECT(""'""&amp;CK$1&amp;""'!$C$4:$C$66""),INDIRECT(""'""&amp;CK$1&amp;""'!$D$4:$D$66"")=CK$2),$F$3:$BP$3,$F173:$BP173)))"),0.09401709179487179)</f>
        <v>0.09401709179</v>
      </c>
      <c r="CL173" s="207" t="str">
        <f>IFERROR(__xludf.DUMMYFUNCTION("IF(OR(CK173&gt;$BR173+$BS173*$BS$2,CK173&lt;$BR173-$BS173*$BS$2),AVEDEV(ARRAYFORMULA(XLOOKUP(FILTER(INDIRECT(""'""&amp;CK$1&amp;""'!$C$4:$C$66""),INDIRECT(""'""&amp;CK$1&amp;""'!$D$4:$D$66"")=CK$2),$F$3:$BP$3,$F173:$BP173))),"""")"),"")</f>
        <v/>
      </c>
      <c r="CM173" s="251">
        <f>IFERROR(__xludf.DUMMYFUNCTION("AVERAGE(ARRAYFORMULA(XLOOKUP(FILTER(INDIRECT(""'""&amp;CM$1&amp;""'!$C$4:$C$66""),INDIRECT(""'""&amp;CM$1&amp;""'!$D$4:$D$66"")=CM$2),$F$3:$BP$3,$F173:$BP173)))"),-0.66666668)</f>
        <v>-0.66666668</v>
      </c>
      <c r="CN173" s="207">
        <f>IFERROR(__xludf.DUMMYFUNCTION("IF(OR(CM173&gt;$BR173+$BS173*$BS$2,CM173&lt;$BR173-$BS173*$BS$2),AVEDEV(ARRAYFORMULA(XLOOKUP(FILTER(INDIRECT(""'""&amp;CM$1&amp;""'!$C$4:$C$66""),INDIRECT(""'""&amp;CM$1&amp;""'!$D$4:$D$66"")=CM$2),$F$3:$BP$3,$F173:$BP173))),"""")"),0.133333352)</f>
        <v>0.133333352</v>
      </c>
      <c r="CO173" s="252"/>
      <c r="CP173" s="251">
        <f>IFERROR(__xludf.DUMMYFUNCTION("AVERAGE(ARRAYFORMULA(XLOOKUP(FILTER(INDIRECT(""'""&amp;CP$1&amp;""'!$C$4:$C$66""),INDIRECT(""'""&amp;CP$1&amp;""'!$D$4:$D$66"")=CP$2),$F$3:$BP$3,$F173:$BP173)))"),0.28571429)</f>
        <v>0.28571429</v>
      </c>
      <c r="CQ173" s="207" t="str">
        <f>IFERROR(__xludf.DUMMYFUNCTION("IF(OR(CP173&gt;$BR173+$BS173*$BS$2,CP173&lt;$BR173-$BS173*$BS$2),AVEDEV(ARRAYFORMULA(XLOOKUP(FILTER(INDIRECT(""'""&amp;CP$1&amp;""'!$C$4:$C$66""),INDIRECT(""'""&amp;CP$1&amp;""'!$D$4:$D$66"")=CP$2),$F$3:$BP$3,$F173:$BP173))),"""")"),"")</f>
        <v/>
      </c>
      <c r="CR173" s="251">
        <f>IFERROR(__xludf.DUMMYFUNCTION("AVERAGE(ARRAYFORMULA(XLOOKUP(FILTER(INDIRECT(""'""&amp;CR$1&amp;""'!$C$4:$C$66""),INDIRECT(""'""&amp;CR$1&amp;""'!$D$4:$D$66"")=CR$2),$F$3:$BP$3,$F173:$BP173)))"),-0.5925926033333333)</f>
        <v>-0.5925926033</v>
      </c>
      <c r="CS173" s="207">
        <f>IFERROR(__xludf.DUMMYFUNCTION("IF(OR(CR173&gt;$BR173+$BS173*$BS$2,CR173&lt;$BR173-$BS173*$BS$2),AVEDEV(ARRAYFORMULA(XLOOKUP(FILTER(INDIRECT(""'""&amp;CR$1&amp;""'!$C$4:$C$66""),INDIRECT(""'""&amp;CR$1&amp;""'!$D$4:$D$66"")=CR$2),$F$3:$BP$3,$F173:$BP173))),"""")"),0.3374485725925926)</f>
        <v>0.3374485726</v>
      </c>
      <c r="CT173" s="251">
        <f>IFERROR(__xludf.DUMMYFUNCTION("AVERAGE(ARRAYFORMULA(XLOOKUP(FILTER(INDIRECT(""'""&amp;CT$1&amp;""'!$C$4:$C$66""),INDIRECT(""'""&amp;CT$1&amp;""'!$D$4:$D$66"")=CT$2),$F$3:$BP$3,$F173:$BP173)))"),0.15151514454545453)</f>
        <v>0.1515151445</v>
      </c>
      <c r="CU173" s="207" t="str">
        <f>IFERROR(__xludf.DUMMYFUNCTION("IF(OR(CT173&gt;$BR173+$BS173*$BS$2,CT173&lt;$BR173-$BS173*$BS$2),AVEDEV(ARRAYFORMULA(XLOOKUP(FILTER(INDIRECT(""'""&amp;CT$1&amp;""'!$C$4:$C$66""),INDIRECT(""'""&amp;CT$1&amp;""'!$D$4:$D$66"")=CT$2),$F$3:$BP$3,$F173:$BP173))),"""")"),"")</f>
        <v/>
      </c>
      <c r="CV173" s="251">
        <f>IFERROR(__xludf.DUMMYFUNCTION("AVERAGE(ARRAYFORMULA(XLOOKUP(FILTER(INDIRECT(""'""&amp;CV$1&amp;""'!$C$4:$C$66""),INDIRECT(""'""&amp;CV$1&amp;""'!$D$4:$D$66"")=CV$2),$F$3:$BP$3,$F173:$BP173)))"),0.33333333)</f>
        <v>0.33333333</v>
      </c>
      <c r="CW173" s="207" t="str">
        <f>IFERROR(__xludf.DUMMYFUNCTION("IF(OR(CV173&gt;$BR173+$BS173*$BS$2,CV173&lt;$BR173-$BS173*$BS$2),AVEDEV(ARRAYFORMULA(XLOOKUP(FILTER(INDIRECT(""'""&amp;CV$1&amp;""'!$C$4:$C$66""),INDIRECT(""'""&amp;CV$1&amp;""'!$D$4:$D$66"")=CV$2),$F$3:$BP$3,$F173:$BP173))),"""")"),"")</f>
        <v/>
      </c>
      <c r="CX173" s="251">
        <f>IFERROR(__xludf.DUMMYFUNCTION("AVERAGE(ARRAYFORMULA(XLOOKUP(FILTER(INDIRECT(""'""&amp;CX$1&amp;""'!$C$4:$C$66""),INDIRECT(""'""&amp;CX$1&amp;""'!$D$4:$D$66"")=CX$2),$F$3:$BP$3,$F173:$BP173)))"),-0.0476190507142857)</f>
        <v>-0.04761905071</v>
      </c>
      <c r="CY173" s="207" t="str">
        <f>IFERROR(__xludf.DUMMYFUNCTION("IF(OR(CX173&gt;$BR173+$BS173*$BS$2,CX173&lt;$BR173-$BS173*$BS$2),AVEDEV(ARRAYFORMULA(XLOOKUP(FILTER(INDIRECT(""'""&amp;CX$1&amp;""'!$C$4:$C$66""),INDIRECT(""'""&amp;CX$1&amp;""'!$D$4:$D$66"")=CX$2),$F$3:$BP$3,$F173:$BP173))),"""")"),"")</f>
        <v/>
      </c>
      <c r="CZ173" s="252"/>
      <c r="DA173" s="251">
        <f>IFERROR(__xludf.DUMMYFUNCTION("AVERAGE(ARRAYFORMULA(XLOOKUP(FILTER(INDIRECT(""'""&amp;DA$1&amp;""'!$C$4:$C$66""),INDIRECT(""'""&amp;DA$1&amp;""'!$D$4:$D$66"")=DA$2),$F$3:$BP$3,$F173:$BP173)))"),0.14444444266666664)</f>
        <v>0.1444444427</v>
      </c>
      <c r="DB173" s="207" t="str">
        <f>IFERROR(__xludf.DUMMYFUNCTION("IF(OR(DA173&gt;$BR173+$BS173*$BS$2,DA173&lt;$BR173-$BS173*$BS$2),AVEDEV(ARRAYFORMULA(XLOOKUP(FILTER(INDIRECT(""'""&amp;DA$1&amp;""'!$C$4:$C$66""),INDIRECT(""'""&amp;DA$1&amp;""'!$D$4:$D$66"")=DA$2),$F$3:$BP$3,$F173:$BP173))),"""")"),"")</f>
        <v/>
      </c>
      <c r="DC173" s="251">
        <f>IFERROR(__xludf.DUMMYFUNCTION("AVERAGE(ARRAYFORMULA(XLOOKUP(FILTER(INDIRECT(""'""&amp;DC$1&amp;""'!$C$4:$C$66""),INDIRECT(""'""&amp;DC$1&amp;""'!$D$4:$D$66"")=DC$2),$F$3:$BP$3,$F173:$BP173)))"),-0.4444444555555555)</f>
        <v>-0.4444444556</v>
      </c>
      <c r="DD173" s="207" t="str">
        <f>IFERROR(__xludf.DUMMYFUNCTION("IF(OR(DC173&gt;$BR173+$BS173*$BS$2,DC173&lt;$BR173-$BS173*$BS$2),AVEDEV(ARRAYFORMULA(XLOOKUP(FILTER(INDIRECT(""'""&amp;DC$1&amp;""'!$C$4:$C$66""),INDIRECT(""'""&amp;DC$1&amp;""'!$D$4:$D$66"")=DC$2),$F$3:$BP$3,$F173:$BP173))),"""")"),"")</f>
        <v/>
      </c>
      <c r="DE173" s="251">
        <f>IFERROR(__xludf.DUMMYFUNCTION("AVERAGE(ARRAYFORMULA(XLOOKUP(FILTER(INDIRECT(""'""&amp;DE$1&amp;""'!$C$4:$C$66""),INDIRECT(""'""&amp;DE$1&amp;""'!$D$4:$D$66"")=DE$2),$F$3:$BP$3,$F173:$BP173)))"),0.37499999874999995)</f>
        <v>0.3749999988</v>
      </c>
      <c r="DF173" s="207" t="str">
        <f>IFERROR(__xludf.DUMMYFUNCTION("IF(OR(DE173&gt;$BR173+$BS173*$BS$2,DE173&lt;$BR173-$BS173*$BS$2),AVEDEV(ARRAYFORMULA(XLOOKUP(FILTER(INDIRECT(""'""&amp;DE$1&amp;""'!$C$4:$C$66""),INDIRECT(""'""&amp;DE$1&amp;""'!$D$4:$D$66"")=DE$2),$F$3:$BP$3,$F173:$BP173))),"""")"),"")</f>
        <v/>
      </c>
      <c r="DG173" s="251">
        <f>IFERROR(__xludf.DUMMYFUNCTION("AVERAGE(ARRAYFORMULA(XLOOKUP(FILTER(INDIRECT(""'""&amp;DG$1&amp;""'!$C$4:$C$66""),INDIRECT(""'""&amp;DG$1&amp;""'!$D$4:$D$66"")=DG$2),$F$3:$BP$3,$F173:$BP173)))"),-0.25925927111111113)</f>
        <v>-0.2592592711</v>
      </c>
      <c r="DH173" s="207" t="str">
        <f>IFERROR(__xludf.DUMMYFUNCTION("IF(OR(DG173&gt;$BR173+$BS173*$BS$2,DG173&lt;$BR173-$BS173*$BS$2),AVEDEV(ARRAYFORMULA(XLOOKUP(FILTER(INDIRECT(""'""&amp;DG$1&amp;""'!$C$4:$C$66""),INDIRECT(""'""&amp;DG$1&amp;""'!$D$4:$D$66"")=DG$2),$F$3:$BP$3,$F173:$BP173))),"""")"),"")</f>
        <v/>
      </c>
      <c r="DI173" s="252"/>
    </row>
    <row r="174">
      <c r="A174" s="2"/>
      <c r="B174" s="204" t="s">
        <v>601</v>
      </c>
      <c r="C174" s="204" t="s">
        <v>618</v>
      </c>
      <c r="D174" s="205" t="b">
        <f>VLOOKUP(C174,'Feature Set List'!A171:C246,2,0)</f>
        <v>1</v>
      </c>
      <c r="E174" s="205" t="b">
        <f>VLOOKUP(C174,'Feature Set List'!A171:C246,3,0)</f>
        <v>0</v>
      </c>
      <c r="F174" s="205">
        <v>0.0</v>
      </c>
      <c r="G174" s="205">
        <v>-0.3636364</v>
      </c>
      <c r="H174" s="205">
        <v>0.0</v>
      </c>
      <c r="I174" s="205">
        <v>-0.5454545</v>
      </c>
      <c r="J174" s="205">
        <v>1.09090909</v>
      </c>
      <c r="K174" s="205">
        <v>0.72727273</v>
      </c>
      <c r="L174" s="205">
        <v>0.36363636</v>
      </c>
      <c r="M174" s="205">
        <v>0.90909091</v>
      </c>
      <c r="N174" s="205">
        <v>-0.5454545</v>
      </c>
      <c r="O174" s="205">
        <v>0.54545455</v>
      </c>
      <c r="P174" s="205">
        <v>0.72727273</v>
      </c>
      <c r="Q174" s="205">
        <v>-0.1818182</v>
      </c>
      <c r="R174" s="205">
        <v>0.0</v>
      </c>
      <c r="S174" s="205">
        <v>0.72727273</v>
      </c>
      <c r="T174" s="205">
        <v>1.09090909</v>
      </c>
      <c r="U174" s="205">
        <v>-0.3636364</v>
      </c>
      <c r="V174" s="205">
        <v>0.54545455</v>
      </c>
      <c r="W174" s="205">
        <v>0.72727273</v>
      </c>
      <c r="X174" s="205">
        <v>-0.3636364</v>
      </c>
      <c r="Y174" s="205">
        <v>-0.3636364</v>
      </c>
      <c r="Z174" s="205">
        <v>1.45454545</v>
      </c>
      <c r="AA174" s="205">
        <v>0.0</v>
      </c>
      <c r="AB174" s="205">
        <v>-0.5454545</v>
      </c>
      <c r="AC174" s="205">
        <v>-0.1818182</v>
      </c>
      <c r="AD174" s="205">
        <v>0.90909091</v>
      </c>
      <c r="AE174" s="205">
        <v>0.72727273</v>
      </c>
      <c r="AF174" s="205">
        <v>-1.0909091</v>
      </c>
      <c r="AG174" s="205">
        <v>0.54545455</v>
      </c>
      <c r="AH174" s="205">
        <v>0.18181818</v>
      </c>
      <c r="AI174" s="205">
        <v>0.36363636</v>
      </c>
      <c r="AJ174" s="205">
        <v>-0.7272727</v>
      </c>
      <c r="AK174" s="205">
        <v>-0.3636364</v>
      </c>
      <c r="AL174" s="205">
        <v>1.81818182</v>
      </c>
      <c r="AM174" s="205">
        <v>-0.1818182</v>
      </c>
      <c r="AN174" s="205">
        <v>0.0</v>
      </c>
      <c r="AO174" s="205">
        <v>-0.7272727</v>
      </c>
      <c r="AP174" s="205">
        <v>-0.9090909</v>
      </c>
      <c r="AQ174" s="205">
        <v>-0.1818182</v>
      </c>
      <c r="AR174" s="205">
        <v>0.54545455</v>
      </c>
      <c r="AS174" s="205">
        <v>0.72727273</v>
      </c>
      <c r="AT174" s="205">
        <v>0.0</v>
      </c>
      <c r="AU174" s="205">
        <v>-0.1818182</v>
      </c>
      <c r="AV174" s="205">
        <v>0.18181818</v>
      </c>
      <c r="AW174" s="205">
        <v>-0.5454545</v>
      </c>
      <c r="AX174" s="205">
        <v>-0.3636364</v>
      </c>
      <c r="AY174" s="205">
        <v>0.0</v>
      </c>
      <c r="AZ174" s="205">
        <v>0.18181818</v>
      </c>
      <c r="BA174" s="205">
        <v>-0.3636364</v>
      </c>
      <c r="BB174" s="205">
        <v>0.18181818</v>
      </c>
      <c r="BC174" s="205">
        <v>2.36363636</v>
      </c>
      <c r="BD174" s="205">
        <v>0.0</v>
      </c>
      <c r="BE174" s="205">
        <v>1.09090909</v>
      </c>
      <c r="BF174" s="205">
        <v>0.90909091</v>
      </c>
      <c r="BG174" s="205">
        <v>-0.1818182</v>
      </c>
      <c r="BH174" s="205">
        <v>0.36363636</v>
      </c>
      <c r="BI174" s="205">
        <v>-0.9090909</v>
      </c>
      <c r="BJ174" s="205">
        <v>-0.1818182</v>
      </c>
      <c r="BK174" s="205">
        <v>1.27272727</v>
      </c>
      <c r="BL174" s="205">
        <v>-0.1818182</v>
      </c>
      <c r="BM174" s="205">
        <v>2.18181818</v>
      </c>
      <c r="BN174" s="205">
        <v>0.18181818</v>
      </c>
      <c r="BO174" s="205">
        <v>0.18181818</v>
      </c>
      <c r="BP174" s="205">
        <v>-0.1818182</v>
      </c>
      <c r="BQ174" s="206"/>
      <c r="BR174" s="250">
        <f t="shared" si="1"/>
        <v>0.2077922051</v>
      </c>
      <c r="BS174" s="250">
        <f t="shared" si="2"/>
        <v>0.5631828514</v>
      </c>
      <c r="BT174" s="206"/>
      <c r="BU174" s="207">
        <f>IFERROR(__xludf.DUMMYFUNCTION("AVERAGE(ARRAYFORMULA(XLOOKUP(FILTER(INDIRECT(""'""&amp;BU$1&amp;""'!$C$4:$C$66""),INDIRECT(""'""&amp;BU$1&amp;""'!$D$4:$D$66"")=BU$2),$F$3:$BP$3,$F174:$BP174)))"),0.33766232714285715)</f>
        <v>0.3376623271</v>
      </c>
      <c r="BV174" s="207" t="str">
        <f>IFERROR(__xludf.DUMMYFUNCTION("IF(OR(BU174&gt;$BR174+$BS174*$BS$2,BU174&lt;$BR174-$BS174*$BS$2),AVEDEV(ARRAYFORMULA(XLOOKUP(FILTER(INDIRECT(""'""&amp;BU$1&amp;""'!$C$4:$C$66""),INDIRECT(""'""&amp;BU$1&amp;""'!$D$4:$D$66"")=BU$2),$F$3:$BP$3,$F174:$BP174))),"""")"),"")</f>
        <v/>
      </c>
      <c r="BW174" s="207">
        <f>IFERROR(__xludf.DUMMYFUNCTION("AVERAGE(ARRAYFORMULA(XLOOKUP(FILTER(INDIRECT(""'""&amp;BW$1&amp;""'!$C$4:$C$66""),INDIRECT(""'""&amp;BW$1&amp;""'!$D$4:$D$66"")=BW$2),$F$3:$BP$3,$F174:$BP174)))"),0.12121211999999999)</f>
        <v>0.12121212</v>
      </c>
      <c r="BX174" s="207" t="str">
        <f>IFERROR(__xludf.DUMMYFUNCTION("IF(OR(BW174&gt;$BR174+$BS174*$BS$2,BW174&lt;$BR174-$BS174*$BS$2),AVEDEV(ARRAYFORMULA(XLOOKUP(FILTER(INDIRECT(""'""&amp;BW$1&amp;""'!$C$4:$C$66""),INDIRECT(""'""&amp;BW$1&amp;""'!$D$4:$D$66"")=BW$2),$F$3:$BP$3,$F174:$BP174))),"""")"),"")</f>
        <v/>
      </c>
      <c r="BY174" s="207">
        <f>IFERROR(__xludf.DUMMYFUNCTION("AVERAGE(ARRAYFORMULA(XLOOKUP(FILTER(INDIRECT(""'""&amp;BY$1&amp;""'!$C$4:$C$66""),INDIRECT(""'""&amp;BY$1&amp;""'!$D$4:$D$66"")=BY$2),$F$3:$BP$3,$F174:$BP174)))"),0.2975206572727273)</f>
        <v>0.2975206573</v>
      </c>
      <c r="BZ174" s="207" t="str">
        <f>IFERROR(__xludf.DUMMYFUNCTION("IF(OR(BY174&gt;$BR174+$BS174*$BS$2,BY174&lt;$BR174-$BS174*$BS$2),AVEDEV(ARRAYFORMULA(XLOOKUP(FILTER(INDIRECT(""'""&amp;BY$1&amp;""'!$C$4:$C$66""),INDIRECT(""'""&amp;BY$1&amp;""'!$D$4:$D$66"")=BY$2),$F$3:$BP$3,$F174:$BP174))),"""")"),"")</f>
        <v/>
      </c>
      <c r="CA174" s="209"/>
      <c r="CB174" s="207">
        <f>IFERROR(__xludf.DUMMYFUNCTION("AVERAGE(ARRAYFORMULA(XLOOKUP(FILTER(INDIRECT(""'""&amp;CB$1&amp;""'!$C$4:$C$66""),INDIRECT(""'""&amp;CB$1&amp;""'!$D$4:$D$66"")=CB$2),$F$3:$BP$3,$F174:$BP174)))"),0.0681818175)</f>
        <v>0.0681818175</v>
      </c>
      <c r="CC174" s="207" t="str">
        <f>IFERROR(__xludf.DUMMYFUNCTION("IF(OR(CB174&gt;$BR174+$BS174*$BS$2,CB174&lt;$BR174-$BS174*$BS$2),AVEDEV(ARRAYFORMULA(XLOOKUP(FILTER(INDIRECT(""'""&amp;CB$1&amp;""'!$C$4:$C$66""),INDIRECT(""'""&amp;CB$1&amp;""'!$D$4:$D$66"")=CB$2),$F$3:$BP$3,$F174:$BP174))),"""")"),"")</f>
        <v/>
      </c>
      <c r="CD174" s="207">
        <f>IFERROR(__xludf.DUMMYFUNCTION("AVERAGE(ARRAYFORMULA(XLOOKUP(FILTER(INDIRECT(""'""&amp;CD$1&amp;""'!$C$4:$C$66""),INDIRECT(""'""&amp;CD$1&amp;""'!$D$4:$D$66"")=CD$2),$F$3:$BP$3,$F174:$BP174)))"),0.17595307354838707)</f>
        <v>0.1759530735</v>
      </c>
      <c r="CE174" s="207" t="str">
        <f>IFERROR(__xludf.DUMMYFUNCTION("IF(OR(CD174&gt;$BR174+$BS174*$BS$2,CD174&lt;$BR174-$BS174*$BS$2),AVEDEV(ARRAYFORMULA(XLOOKUP(FILTER(INDIRECT(""'""&amp;CD$1&amp;""'!$C$4:$C$66""),INDIRECT(""'""&amp;CD$1&amp;""'!$D$4:$D$66"")=CD$2),$F$3:$BP$3,$F174:$BP174))),"""")"),"")</f>
        <v/>
      </c>
      <c r="CF174" s="207">
        <f>IFERROR(__xludf.DUMMYFUNCTION("AVERAGE(ARRAYFORMULA(XLOOKUP(FILTER(INDIRECT(""'""&amp;CF$1&amp;""'!$C$4:$C$66""),INDIRECT(""'""&amp;CF$1&amp;""'!$D$4:$D$66"")=CF$2),$F$3:$BP$3,$F174:$BP174)))"),0.581818184)</f>
        <v>0.581818184</v>
      </c>
      <c r="CG174" s="207" t="str">
        <f>IFERROR(__xludf.DUMMYFUNCTION("IF(OR(CF174&gt;$BR174+$BS174*$BS$2,CF174&lt;$BR174-$BS174*$BS$2),AVEDEV(ARRAYFORMULA(XLOOKUP(FILTER(INDIRECT(""'""&amp;CF$1&amp;""'!$C$4:$C$66""),INDIRECT(""'""&amp;CF$1&amp;""'!$D$4:$D$66"")=CF$2),$F$3:$BP$3,$F174:$BP174))),"""")"),"")</f>
        <v/>
      </c>
      <c r="CH174" s="206"/>
      <c r="CI174" s="251">
        <f>IFERROR(__xludf.DUMMYFUNCTION("AVERAGE(ARRAYFORMULA(XLOOKUP(FILTER(INDIRECT(""'""&amp;CI$1&amp;""'!$C$4:$C$66""),INDIRECT(""'""&amp;CI$1&amp;""'!$D$4:$D$66"")=CI$2),$F$3:$BP$3,$F174:$BP174)))"),0.3393939366666666)</f>
        <v>0.3393939367</v>
      </c>
      <c r="CJ174" s="207" t="str">
        <f>IFERROR(__xludf.DUMMYFUNCTION("IF(OR(CI174&gt;$BR174+$BS174*$BS$2,CI174&lt;$BR174-$BS174*$BS$2),AVEDEV(ARRAYFORMULA(XLOOKUP(FILTER(INDIRECT(""'""&amp;CI$1&amp;""'!$C$4:$C$66""),INDIRECT(""'""&amp;CI$1&amp;""'!$D$4:$D$66"")=CI$2),$F$3:$BP$3,$F174:$BP174))),"""")"),"")</f>
        <v/>
      </c>
      <c r="CK174" s="251">
        <f>IFERROR(__xludf.DUMMYFUNCTION("AVERAGE(ARRAYFORMULA(XLOOKUP(FILTER(INDIRECT(""'""&amp;CK$1&amp;""'!$C$4:$C$66""),INDIRECT(""'""&amp;CK$1&amp;""'!$D$4:$D$66"")=CK$2),$F$3:$BP$3,$F174:$BP174)))"),0.03729603384615389)</f>
        <v>0.03729603385</v>
      </c>
      <c r="CL174" s="207" t="str">
        <f>IFERROR(__xludf.DUMMYFUNCTION("IF(OR(CK174&gt;$BR174+$BS174*$BS$2,CK174&lt;$BR174-$BS174*$BS$2),AVEDEV(ARRAYFORMULA(XLOOKUP(FILTER(INDIRECT(""'""&amp;CK$1&amp;""'!$C$4:$C$66""),INDIRECT(""'""&amp;CK$1&amp;""'!$D$4:$D$66"")=CK$2),$F$3:$BP$3,$F174:$BP174))),"""")"),"")</f>
        <v/>
      </c>
      <c r="CM174" s="251">
        <f>IFERROR(__xludf.DUMMYFUNCTION("AVERAGE(ARRAYFORMULA(XLOOKUP(FILTER(INDIRECT(""'""&amp;CM$1&amp;""'!$C$4:$C$66""),INDIRECT(""'""&amp;CM$1&amp;""'!$D$4:$D$66"")=CM$2),$F$3:$BP$3,$F174:$BP174)))"),0.581818184)</f>
        <v>0.581818184</v>
      </c>
      <c r="CN174" s="207" t="str">
        <f>IFERROR(__xludf.DUMMYFUNCTION("IF(OR(CM174&gt;$BR174+$BS174*$BS$2,CM174&lt;$BR174-$BS174*$BS$2),AVEDEV(ARRAYFORMULA(XLOOKUP(FILTER(INDIRECT(""'""&amp;CM$1&amp;""'!$C$4:$C$66""),INDIRECT(""'""&amp;CM$1&amp;""'!$D$4:$D$66"")=CM$2),$F$3:$BP$3,$F174:$BP174))),"""")"),"")</f>
        <v/>
      </c>
      <c r="CO174" s="252"/>
      <c r="CP174" s="251">
        <f>IFERROR(__xludf.DUMMYFUNCTION("AVERAGE(ARRAYFORMULA(XLOOKUP(FILTER(INDIRECT(""'""&amp;CP$1&amp;""'!$C$4:$C$66""),INDIRECT(""'""&amp;CP$1&amp;""'!$D$4:$D$66"")=CP$2),$F$3:$BP$3,$F174:$BP174)))"),-0.14285714500000002)</f>
        <v>-0.142857145</v>
      </c>
      <c r="CQ174" s="207" t="str">
        <f>IFERROR(__xludf.DUMMYFUNCTION("IF(OR(CP174&gt;$BR174+$BS174*$BS$2,CP174&lt;$BR174-$BS174*$BS$2),AVEDEV(ARRAYFORMULA(XLOOKUP(FILTER(INDIRECT(""'""&amp;CP$1&amp;""'!$C$4:$C$66""),INDIRECT(""'""&amp;CP$1&amp;""'!$D$4:$D$66"")=CP$2),$F$3:$BP$3,$F174:$BP174))),"""")"),"")</f>
        <v/>
      </c>
      <c r="CR174" s="251">
        <f>IFERROR(__xludf.DUMMYFUNCTION("AVERAGE(ARRAYFORMULA(XLOOKUP(FILTER(INDIRECT(""'""&amp;CR$1&amp;""'!$C$4:$C$66""),INDIRECT(""'""&amp;CR$1&amp;""'!$D$4:$D$66"")=CR$2),$F$3:$BP$3,$F174:$BP174)))"),0.3838383811111112)</f>
        <v>0.3838383811</v>
      </c>
      <c r="CS174" s="207" t="str">
        <f>IFERROR(__xludf.DUMMYFUNCTION("IF(OR(CR174&gt;$BR174+$BS174*$BS$2,CR174&lt;$BR174-$BS174*$BS$2),AVEDEV(ARRAYFORMULA(XLOOKUP(FILTER(INDIRECT(""'""&amp;CR$1&amp;""'!$C$4:$C$66""),INDIRECT(""'""&amp;CR$1&amp;""'!$D$4:$D$66"")=CR$2),$F$3:$BP$3,$F174:$BP174))),"""")"),"")</f>
        <v/>
      </c>
      <c r="CT174" s="251">
        <f>IFERROR(__xludf.DUMMYFUNCTION("AVERAGE(ARRAYFORMULA(XLOOKUP(FILTER(INDIRECT(""'""&amp;CT$1&amp;""'!$C$4:$C$66""),INDIRECT(""'""&amp;CT$1&amp;""'!$D$4:$D$66"")=CT$2),$F$3:$BP$3,$F174:$BP174)))"),0.4462809945454545)</f>
        <v>0.4462809945</v>
      </c>
      <c r="CU174" s="207" t="str">
        <f>IFERROR(__xludf.DUMMYFUNCTION("IF(OR(CT174&gt;$BR174+$BS174*$BS$2,CT174&lt;$BR174-$BS174*$BS$2),AVEDEV(ARRAYFORMULA(XLOOKUP(FILTER(INDIRECT(""'""&amp;CT$1&amp;""'!$C$4:$C$66""),INDIRECT(""'""&amp;CT$1&amp;""'!$D$4:$D$66"")=CT$2),$F$3:$BP$3,$F174:$BP174))),"""")"),"")</f>
        <v/>
      </c>
      <c r="CV174" s="251">
        <f>IFERROR(__xludf.DUMMYFUNCTION("AVERAGE(ARRAYFORMULA(XLOOKUP(FILTER(INDIRECT(""'""&amp;CV$1&amp;""'!$C$4:$C$66""),INDIRECT(""'""&amp;CV$1&amp;""'!$D$4:$D$66"")=CV$2),$F$3:$BP$3,$F174:$BP174)))"),-0.1818182)</f>
        <v>-0.1818182</v>
      </c>
      <c r="CW174" s="207" t="str">
        <f>IFERROR(__xludf.DUMMYFUNCTION("IF(OR(CV174&gt;$BR174+$BS174*$BS$2,CV174&lt;$BR174-$BS174*$BS$2),AVEDEV(ARRAYFORMULA(XLOOKUP(FILTER(INDIRECT(""'""&amp;CV$1&amp;""'!$C$4:$C$66""),INDIRECT(""'""&amp;CV$1&amp;""'!$D$4:$D$66"")=CV$2),$F$3:$BP$3,$F174:$BP174))),"""")"),"")</f>
        <v/>
      </c>
      <c r="CX174" s="251">
        <f>IFERROR(__xludf.DUMMYFUNCTION("AVERAGE(ARRAYFORMULA(XLOOKUP(FILTER(INDIRECT(""'""&amp;CX$1&amp;""'!$C$4:$C$66""),INDIRECT(""'""&amp;CX$1&amp;""'!$D$4:$D$66"")=CX$2),$F$3:$BP$3,$F174:$BP174)))"),0.06493506357142859)</f>
        <v>0.06493506357</v>
      </c>
      <c r="CY174" s="207" t="str">
        <f>IFERROR(__xludf.DUMMYFUNCTION("IF(OR(CX174&gt;$BR174+$BS174*$BS$2,CX174&lt;$BR174-$BS174*$BS$2),AVEDEV(ARRAYFORMULA(XLOOKUP(FILTER(INDIRECT(""'""&amp;CX$1&amp;""'!$C$4:$C$66""),INDIRECT(""'""&amp;CX$1&amp;""'!$D$4:$D$66"")=CX$2),$F$3:$BP$3,$F174:$BP174))),"""")"),"")</f>
        <v/>
      </c>
      <c r="CZ174" s="252"/>
      <c r="DA174" s="251">
        <f>IFERROR(__xludf.DUMMYFUNCTION("AVERAGE(ARRAYFORMULA(XLOOKUP(FILTER(INDIRECT(""'""&amp;DA$1&amp;""'!$C$4:$C$66""),INDIRECT(""'""&amp;DA$1&amp;""'!$D$4:$D$66"")=DA$2),$F$3:$BP$3,$F174:$BP174)))"),-0.018181819333333325)</f>
        <v>-0.01818181933</v>
      </c>
      <c r="DB174" s="207" t="str">
        <f>IFERROR(__xludf.DUMMYFUNCTION("IF(OR(DA174&gt;$BR174+$BS174*$BS$2,DA174&lt;$BR174-$BS174*$BS$2),AVEDEV(ARRAYFORMULA(XLOOKUP(FILTER(INDIRECT(""'""&amp;DA$1&amp;""'!$C$4:$C$66""),INDIRECT(""'""&amp;DA$1&amp;""'!$D$4:$D$66"")=DA$2),$F$3:$BP$3,$F174:$BP174))),"""")"),"")</f>
        <v/>
      </c>
      <c r="DC174" s="251">
        <f>IFERROR(__xludf.DUMMYFUNCTION("AVERAGE(ARRAYFORMULA(XLOOKUP(FILTER(INDIRECT(""'""&amp;DC$1&amp;""'!$C$4:$C$66""),INDIRECT(""'""&amp;DC$1&amp;""'!$D$4:$D$66"")=DC$2),$F$3:$BP$3,$F174:$BP174)))"),0.30303030000000003)</f>
        <v>0.3030303</v>
      </c>
      <c r="DD174" s="207" t="str">
        <f>IFERROR(__xludf.DUMMYFUNCTION("IF(OR(DC174&gt;$BR174+$BS174*$BS$2,DC174&lt;$BR174-$BS174*$BS$2),AVEDEV(ARRAYFORMULA(XLOOKUP(FILTER(INDIRECT(""'""&amp;DC$1&amp;""'!$C$4:$C$66""),INDIRECT(""'""&amp;DC$1&amp;""'!$D$4:$D$66"")=DC$2),$F$3:$BP$3,$F174:$BP174))),"""")"),"")</f>
        <v/>
      </c>
      <c r="DE174" s="251">
        <f>IFERROR(__xludf.DUMMYFUNCTION("AVERAGE(ARRAYFORMULA(XLOOKUP(FILTER(INDIRECT(""'""&amp;DE$1&amp;""'!$C$4:$C$66""),INDIRECT(""'""&amp;DE$1&amp;""'!$D$4:$D$66"")=DE$2),$F$3:$BP$3,$F174:$BP174)))"),0.22727272499999995)</f>
        <v>0.227272725</v>
      </c>
      <c r="DF174" s="207" t="str">
        <f>IFERROR(__xludf.DUMMYFUNCTION("IF(OR(DE174&gt;$BR174+$BS174*$BS$2,DE174&lt;$BR174-$BS174*$BS$2),AVEDEV(ARRAYFORMULA(XLOOKUP(FILTER(INDIRECT(""'""&amp;DE$1&amp;""'!$C$4:$C$66""),INDIRECT(""'""&amp;DE$1&amp;""'!$D$4:$D$66"")=DE$2),$F$3:$BP$3,$F174:$BP174))),"""")"),"")</f>
        <v/>
      </c>
      <c r="DG174" s="251">
        <f>IFERROR(__xludf.DUMMYFUNCTION("AVERAGE(ARRAYFORMULA(XLOOKUP(FILTER(INDIRECT(""'""&amp;DG$1&amp;""'!$C$4:$C$66""),INDIRECT(""'""&amp;DG$1&amp;""'!$D$4:$D$66"")=DG$2),$F$3:$BP$3,$F174:$BP174)))"),0.5454545377777777)</f>
        <v>0.5454545378</v>
      </c>
      <c r="DH174" s="207" t="str">
        <f>IFERROR(__xludf.DUMMYFUNCTION("IF(OR(DG174&gt;$BR174+$BS174*$BS$2,DG174&lt;$BR174-$BS174*$BS$2),AVEDEV(ARRAYFORMULA(XLOOKUP(FILTER(INDIRECT(""'""&amp;DG$1&amp;""'!$C$4:$C$66""),INDIRECT(""'""&amp;DG$1&amp;""'!$D$4:$D$66"")=DG$2),$F$3:$BP$3,$F174:$BP174))),"""")"),"")</f>
        <v/>
      </c>
      <c r="DI174" s="252"/>
    </row>
    <row r="175">
      <c r="A175" s="2"/>
      <c r="B175" s="204" t="s">
        <v>601</v>
      </c>
      <c r="C175" s="204" t="s">
        <v>619</v>
      </c>
      <c r="D175" s="205" t="b">
        <f>VLOOKUP(C175,'Feature Set List'!A172:C246,2,0)</f>
        <v>1</v>
      </c>
      <c r="E175" s="205" t="b">
        <f>VLOOKUP(C175,'Feature Set List'!A172:C246,3,0)</f>
        <v>0</v>
      </c>
      <c r="F175" s="205">
        <v>0.0</v>
      </c>
      <c r="G175" s="205">
        <v>1.0</v>
      </c>
      <c r="H175" s="205">
        <v>1.66666667</v>
      </c>
      <c r="I175" s="205">
        <v>0.66666667</v>
      </c>
      <c r="J175" s="205">
        <v>0.33333333</v>
      </c>
      <c r="K175" s="205">
        <v>-0.6666667</v>
      </c>
      <c r="L175" s="205">
        <v>0.0</v>
      </c>
      <c r="M175" s="205">
        <v>-0.3333333</v>
      </c>
      <c r="N175" s="205">
        <v>0.66666667</v>
      </c>
      <c r="O175" s="205">
        <v>0.66666667</v>
      </c>
      <c r="P175" s="205">
        <v>-0.6666667</v>
      </c>
      <c r="Q175" s="205">
        <v>1.0</v>
      </c>
      <c r="R175" s="205">
        <v>0.33333333</v>
      </c>
      <c r="S175" s="205">
        <v>-0.3333333</v>
      </c>
      <c r="T175" s="205">
        <v>1.33333333</v>
      </c>
      <c r="U175" s="205">
        <v>-0.3333333</v>
      </c>
      <c r="V175" s="205">
        <v>-0.3333333</v>
      </c>
      <c r="W175" s="205">
        <v>0.33333333</v>
      </c>
      <c r="X175" s="205">
        <v>-0.3333333</v>
      </c>
      <c r="Y175" s="205">
        <v>1.0</v>
      </c>
      <c r="Z175" s="205">
        <v>-0.3333333</v>
      </c>
      <c r="AA175" s="205">
        <v>-0.3333333</v>
      </c>
      <c r="AB175" s="205">
        <v>0.0</v>
      </c>
      <c r="AC175" s="205">
        <v>-0.3333333</v>
      </c>
      <c r="AD175" s="205">
        <v>-0.3333333</v>
      </c>
      <c r="AE175" s="205">
        <v>-1.0</v>
      </c>
      <c r="AF175" s="205">
        <v>-0.3333333</v>
      </c>
      <c r="AG175" s="205">
        <v>1.0</v>
      </c>
      <c r="AH175" s="205">
        <v>0.0</v>
      </c>
      <c r="AI175" s="205">
        <v>1.66666667</v>
      </c>
      <c r="AJ175" s="205">
        <v>-0.6666667</v>
      </c>
      <c r="AK175" s="205">
        <v>-0.6666667</v>
      </c>
      <c r="AL175" s="205">
        <v>-0.3333333</v>
      </c>
      <c r="AM175" s="205">
        <v>-0.3333333</v>
      </c>
      <c r="AN175" s="205">
        <v>0.0</v>
      </c>
      <c r="AO175" s="205">
        <v>0.0</v>
      </c>
      <c r="AP175" s="205">
        <v>0.0</v>
      </c>
      <c r="AQ175" s="205">
        <v>-1.0</v>
      </c>
      <c r="AR175" s="205">
        <v>0.0</v>
      </c>
      <c r="AS175" s="205">
        <v>0.66666667</v>
      </c>
      <c r="AT175" s="205">
        <v>-1.3333333</v>
      </c>
      <c r="AU175" s="205">
        <v>1.33333333</v>
      </c>
      <c r="AV175" s="205">
        <v>0.0</v>
      </c>
      <c r="AW175" s="205">
        <v>-0.3333333</v>
      </c>
      <c r="AX175" s="205">
        <v>-0.3333333</v>
      </c>
      <c r="AY175" s="205">
        <v>1.66666667</v>
      </c>
      <c r="AZ175" s="205">
        <v>-0.3333333</v>
      </c>
      <c r="BA175" s="205">
        <v>0.33333333</v>
      </c>
      <c r="BB175" s="205">
        <v>-0.3333333</v>
      </c>
      <c r="BC175" s="205">
        <v>2.66666667</v>
      </c>
      <c r="BD175" s="205">
        <v>1.66666667</v>
      </c>
      <c r="BE175" s="205">
        <v>1.0</v>
      </c>
      <c r="BF175" s="205">
        <v>-0.3333333</v>
      </c>
      <c r="BG175" s="205">
        <v>-0.3333333</v>
      </c>
      <c r="BH175" s="205">
        <v>-0.6666667</v>
      </c>
      <c r="BI175" s="205">
        <v>-0.3333333</v>
      </c>
      <c r="BJ175" s="205">
        <v>-0.3333333</v>
      </c>
      <c r="BK175" s="205">
        <v>-0.6666667</v>
      </c>
      <c r="BL175" s="205">
        <v>0.33333333</v>
      </c>
      <c r="BM175" s="205">
        <v>2.66666667</v>
      </c>
      <c r="BN175" s="205">
        <v>1.33333333</v>
      </c>
      <c r="BO175" s="205">
        <v>0.33333333</v>
      </c>
      <c r="BP175" s="205">
        <v>0.0</v>
      </c>
      <c r="BQ175" s="206"/>
      <c r="BR175" s="250">
        <f t="shared" si="1"/>
        <v>0.1851851932</v>
      </c>
      <c r="BS175" s="250">
        <f t="shared" si="2"/>
        <v>0.6737213344</v>
      </c>
      <c r="BT175" s="206"/>
      <c r="BU175" s="207">
        <f>IFERROR(__xludf.DUMMYFUNCTION("AVERAGE(ARRAYFORMULA(XLOOKUP(FILTER(INDIRECT(""'""&amp;BU$1&amp;""'!$C$4:$C$66""),INDIRECT(""'""&amp;BU$1&amp;""'!$D$4:$D$66"")=BU$2),$F$3:$BP$3,$F175:$BP175)))"),0.38095238000000003)</f>
        <v>0.38095238</v>
      </c>
      <c r="BV175" s="207" t="str">
        <f>IFERROR(__xludf.DUMMYFUNCTION("IF(OR(BU175&gt;$BR175+$BS175*$BS$2,BU175&lt;$BR175-$BS175*$BS$2),AVEDEV(ARRAYFORMULA(XLOOKUP(FILTER(INDIRECT(""'""&amp;BU$1&amp;""'!$C$4:$C$66""),INDIRECT(""'""&amp;BU$1&amp;""'!$D$4:$D$66"")=BU$2),$F$3:$BP$3,$F175:$BP175))),"""")"),"")</f>
        <v/>
      </c>
      <c r="BW175" s="207">
        <f>IFERROR(__xludf.DUMMYFUNCTION("AVERAGE(ARRAYFORMULA(XLOOKUP(FILTER(INDIRECT(""'""&amp;BW$1&amp;""'!$C$4:$C$66""),INDIRECT(""'""&amp;BW$1&amp;""'!$D$4:$D$66"")=BW$2),$F$3:$BP$3,$F175:$BP175)))"),0.15079365952380958)</f>
        <v>0.1507936595</v>
      </c>
      <c r="BX175" s="207" t="str">
        <f>IFERROR(__xludf.DUMMYFUNCTION("IF(OR(BW175&gt;$BR175+$BS175*$BS$2,BW175&lt;$BR175-$BS175*$BS$2),AVEDEV(ARRAYFORMULA(XLOOKUP(FILTER(INDIRECT(""'""&amp;BW$1&amp;""'!$C$4:$C$66""),INDIRECT(""'""&amp;BW$1&amp;""'!$D$4:$D$66"")=BW$2),$F$3:$BP$3,$F175:$BP175))),"""")"),"")</f>
        <v/>
      </c>
      <c r="BY175" s="207">
        <f>IFERROR(__xludf.DUMMYFUNCTION("AVERAGE(ARRAYFORMULA(XLOOKUP(FILTER(INDIRECT(""'""&amp;BY$1&amp;""'!$C$4:$C$66""),INDIRECT(""'""&amp;BY$1&amp;""'!$D$4:$D$66"")=BY$2),$F$3:$BP$3,$F175:$BP175)))"),-0.030303020909090924)</f>
        <v>-0.03030302091</v>
      </c>
      <c r="BZ175" s="207" t="str">
        <f>IFERROR(__xludf.DUMMYFUNCTION("IF(OR(BY175&gt;$BR175+$BS175*$BS$2,BY175&lt;$BR175-$BS175*$BS$2),AVEDEV(ARRAYFORMULA(XLOOKUP(FILTER(INDIRECT(""'""&amp;BY$1&amp;""'!$C$4:$C$66""),INDIRECT(""'""&amp;BY$1&amp;""'!$D$4:$D$66"")=BY$2),$F$3:$BP$3,$F175:$BP175))),"""")"),"")</f>
        <v/>
      </c>
      <c r="CA175" s="209"/>
      <c r="CB175" s="207">
        <f>IFERROR(__xludf.DUMMYFUNCTION("AVERAGE(ARRAYFORMULA(XLOOKUP(FILTER(INDIRECT(""'""&amp;CB$1&amp;""'!$C$4:$C$66""),INDIRECT(""'""&amp;CB$1&amp;""'!$D$4:$D$66"")=CB$2),$F$3:$BP$3,$F175:$BP175)))"),0.20833333937500004)</f>
        <v>0.2083333394</v>
      </c>
      <c r="CC175" s="207" t="str">
        <f>IFERROR(__xludf.DUMMYFUNCTION("IF(OR(CB175&gt;$BR175+$BS175*$BS$2,CB175&lt;$BR175-$BS175*$BS$2),AVEDEV(ARRAYFORMULA(XLOOKUP(FILTER(INDIRECT(""'""&amp;CB$1&amp;""'!$C$4:$C$66""),INDIRECT(""'""&amp;CB$1&amp;""'!$D$4:$D$66"")=CB$2),$F$3:$BP$3,$F175:$BP175))),"""")"),"")</f>
        <v/>
      </c>
      <c r="CD175" s="207">
        <f>IFERROR(__xludf.DUMMYFUNCTION("AVERAGE(ARRAYFORMULA(XLOOKUP(FILTER(INDIRECT(""'""&amp;CD$1&amp;""'!$C$4:$C$66""),INDIRECT(""'""&amp;CD$1&amp;""'!$D$4:$D$66"")=CD$2),$F$3:$BP$3,$F175:$BP175)))"),0.18279570774193551)</f>
        <v>0.1827957077</v>
      </c>
      <c r="CE175" s="207" t="str">
        <f>IFERROR(__xludf.DUMMYFUNCTION("IF(OR(CD175&gt;$BR175+$BS175*$BS$2,CD175&lt;$BR175-$BS175*$BS$2),AVEDEV(ARRAYFORMULA(XLOOKUP(FILTER(INDIRECT(""'""&amp;CD$1&amp;""'!$C$4:$C$66""),INDIRECT(""'""&amp;CD$1&amp;""'!$D$4:$D$66"")=CD$2),$F$3:$BP$3,$F175:$BP175))),"""")"),"")</f>
        <v/>
      </c>
      <c r="CF175" s="207">
        <f>IFERROR(__xludf.DUMMYFUNCTION("AVERAGE(ARRAYFORMULA(XLOOKUP(FILTER(INDIRECT(""'""&amp;CF$1&amp;""'!$C$4:$C$66""),INDIRECT(""'""&amp;CF$1&amp;""'!$D$4:$D$66"")=CF$2),$F$3:$BP$3,$F175:$BP175)))"),-0.066666646)</f>
        <v>-0.066666646</v>
      </c>
      <c r="CG175" s="207" t="str">
        <f>IFERROR(__xludf.DUMMYFUNCTION("IF(OR(CF175&gt;$BR175+$BS175*$BS$2,CF175&lt;$BR175-$BS175*$BS$2),AVEDEV(ARRAYFORMULA(XLOOKUP(FILTER(INDIRECT(""'""&amp;CF$1&amp;""'!$C$4:$C$66""),INDIRECT(""'""&amp;CF$1&amp;""'!$D$4:$D$66"")=CF$2),$F$3:$BP$3,$F175:$BP175))),"""")"),"")</f>
        <v/>
      </c>
      <c r="CH175" s="206"/>
      <c r="CI175" s="251">
        <f>IFERROR(__xludf.DUMMYFUNCTION("AVERAGE(ARRAYFORMULA(XLOOKUP(FILTER(INDIRECT(""'""&amp;CI$1&amp;""'!$C$4:$C$66""),INDIRECT(""'""&amp;CI$1&amp;""'!$D$4:$D$66"")=CI$2),$F$3:$BP$3,$F175:$BP175)))"),0.3555555660000001)</f>
        <v>0.355555566</v>
      </c>
      <c r="CJ175" s="207" t="str">
        <f>IFERROR(__xludf.DUMMYFUNCTION("IF(OR(CI175&gt;$BR175+$BS175*$BS$2,CI175&lt;$BR175-$BS175*$BS$2),AVEDEV(ARRAYFORMULA(XLOOKUP(FILTER(INDIRECT(""'""&amp;CI$1&amp;""'!$C$4:$C$66""),INDIRECT(""'""&amp;CI$1&amp;""'!$D$4:$D$66"")=CI$2),$F$3:$BP$3,$F175:$BP175))),"""")"),"")</f>
        <v/>
      </c>
      <c r="CK175" s="251">
        <f>IFERROR(__xludf.DUMMYFUNCTION("AVERAGE(ARRAYFORMULA(XLOOKUP(FILTER(INDIRECT(""'""&amp;CK$1&amp;""'!$C$4:$C$66""),INDIRECT(""'""&amp;CK$1&amp;""'!$D$4:$D$66"")=CK$2),$F$3:$BP$3,$F175:$BP175)))"),0.1111111171794872)</f>
        <v>0.1111111172</v>
      </c>
      <c r="CL175" s="207" t="str">
        <f>IFERROR(__xludf.DUMMYFUNCTION("IF(OR(CK175&gt;$BR175+$BS175*$BS$2,CK175&lt;$BR175-$BS175*$BS$2),AVEDEV(ARRAYFORMULA(XLOOKUP(FILTER(INDIRECT(""'""&amp;CK$1&amp;""'!$C$4:$C$66""),INDIRECT(""'""&amp;CK$1&amp;""'!$D$4:$D$66"")=CK$2),$F$3:$BP$3,$F175:$BP175))),"""")"),"")</f>
        <v/>
      </c>
      <c r="CM175" s="251">
        <f>IFERROR(__xludf.DUMMYFUNCTION("AVERAGE(ARRAYFORMULA(XLOOKUP(FILTER(INDIRECT(""'""&amp;CM$1&amp;""'!$C$4:$C$66""),INDIRECT(""'""&amp;CM$1&amp;""'!$D$4:$D$66"")=CM$2),$F$3:$BP$3,$F175:$BP175)))"),-0.066666646)</f>
        <v>-0.066666646</v>
      </c>
      <c r="CN175" s="207" t="str">
        <f>IFERROR(__xludf.DUMMYFUNCTION("IF(OR(CM175&gt;$BR175+$BS175*$BS$2,CM175&lt;$BR175-$BS175*$BS$2),AVEDEV(ARRAYFORMULA(XLOOKUP(FILTER(INDIRECT(""'""&amp;CM$1&amp;""'!$C$4:$C$66""),INDIRECT(""'""&amp;CM$1&amp;""'!$D$4:$D$66"")=CM$2),$F$3:$BP$3,$F175:$BP175))),"""")"),"")</f>
        <v/>
      </c>
      <c r="CO175" s="252"/>
      <c r="CP175" s="251">
        <f>IFERROR(__xludf.DUMMYFUNCTION("AVERAGE(ARRAYFORMULA(XLOOKUP(FILTER(INDIRECT(""'""&amp;CP$1&amp;""'!$C$4:$C$66""),INDIRECT(""'""&amp;CP$1&amp;""'!$D$4:$D$66"")=CP$2),$F$3:$BP$3,$F175:$BP175)))"),-0.023809516428571428)</f>
        <v>-0.02380951643</v>
      </c>
      <c r="CQ175" s="207" t="str">
        <f>IFERROR(__xludf.DUMMYFUNCTION("IF(OR(CP175&gt;$BR175+$BS175*$BS$2,CP175&lt;$BR175-$BS175*$BS$2),AVEDEV(ARRAYFORMULA(XLOOKUP(FILTER(INDIRECT(""'""&amp;CP$1&amp;""'!$C$4:$C$66""),INDIRECT(""'""&amp;CP$1&amp;""'!$D$4:$D$66"")=CP$2),$F$3:$BP$3,$F175:$BP175))),"""")"),"")</f>
        <v/>
      </c>
      <c r="CR175" s="251">
        <f>IFERROR(__xludf.DUMMYFUNCTION("AVERAGE(ARRAYFORMULA(XLOOKUP(FILTER(INDIRECT(""'""&amp;CR$1&amp;""'!$C$4:$C$66""),INDIRECT(""'""&amp;CR$1&amp;""'!$D$4:$D$66"")=CR$2),$F$3:$BP$3,$F175:$BP175)))"),-0.25925924777777776)</f>
        <v>-0.2592592478</v>
      </c>
      <c r="CS175" s="207" t="str">
        <f>IFERROR(__xludf.DUMMYFUNCTION("IF(OR(CR175&gt;$BR175+$BS175*$BS$2,CR175&lt;$BR175-$BS175*$BS$2),AVEDEV(ARRAYFORMULA(XLOOKUP(FILTER(INDIRECT(""'""&amp;CR$1&amp;""'!$C$4:$C$66""),INDIRECT(""'""&amp;CR$1&amp;""'!$D$4:$D$66"")=CR$2),$F$3:$BP$3,$F175:$BP175))),"""")"),"")</f>
        <v/>
      </c>
      <c r="CT175" s="251">
        <f>IFERROR(__xludf.DUMMYFUNCTION("AVERAGE(ARRAYFORMULA(XLOOKUP(FILTER(INDIRECT(""'""&amp;CT$1&amp;""'!$C$4:$C$66""),INDIRECT(""'""&amp;CT$1&amp;""'!$D$4:$D$66"")=CT$2),$F$3:$BP$3,$F175:$BP175)))"),0.45454546636363635)</f>
        <v>0.4545454664</v>
      </c>
      <c r="CU175" s="207" t="str">
        <f>IFERROR(__xludf.DUMMYFUNCTION("IF(OR(CT175&gt;$BR175+$BS175*$BS$2,CT175&lt;$BR175-$BS175*$BS$2),AVEDEV(ARRAYFORMULA(XLOOKUP(FILTER(INDIRECT(""'""&amp;CT$1&amp;""'!$C$4:$C$66""),INDIRECT(""'""&amp;CT$1&amp;""'!$D$4:$D$66"")=CT$2),$F$3:$BP$3,$F175:$BP175))),"""")"),"")</f>
        <v/>
      </c>
      <c r="CV175" s="251">
        <f>IFERROR(__xludf.DUMMYFUNCTION("AVERAGE(ARRAYFORMULA(XLOOKUP(FILTER(INDIRECT(""'""&amp;CV$1&amp;""'!$C$4:$C$66""),INDIRECT(""'""&amp;CV$1&amp;""'!$D$4:$D$66"")=CV$2),$F$3:$BP$3,$F175:$BP175)))"),-0.3333333)</f>
        <v>-0.3333333</v>
      </c>
      <c r="CW175" s="207" t="str">
        <f>IFERROR(__xludf.DUMMYFUNCTION("IF(OR(CV175&gt;$BR175+$BS175*$BS$2,CV175&lt;$BR175-$BS175*$BS$2),AVEDEV(ARRAYFORMULA(XLOOKUP(FILTER(INDIRECT(""'""&amp;CV$1&amp;""'!$C$4:$C$66""),INDIRECT(""'""&amp;CV$1&amp;""'!$D$4:$D$66"")=CV$2),$F$3:$BP$3,$F175:$BP175))),"""")"),"")</f>
        <v/>
      </c>
      <c r="CX175" s="251">
        <f>IFERROR(__xludf.DUMMYFUNCTION("AVERAGE(ARRAYFORMULA(XLOOKUP(FILTER(INDIRECT(""'""&amp;CX$1&amp;""'!$C$4:$C$66""),INDIRECT(""'""&amp;CX$1&amp;""'!$D$4:$D$66"")=CX$2),$F$3:$BP$3,$F175:$BP175)))"),0.26190476714285715)</f>
        <v>0.2619047671</v>
      </c>
      <c r="CY175" s="207" t="str">
        <f>IFERROR(__xludf.DUMMYFUNCTION("IF(OR(CX175&gt;$BR175+$BS175*$BS$2,CX175&lt;$BR175-$BS175*$BS$2),AVEDEV(ARRAYFORMULA(XLOOKUP(FILTER(INDIRECT(""'""&amp;CX$1&amp;""'!$C$4:$C$66""),INDIRECT(""'""&amp;CX$1&amp;""'!$D$4:$D$66"")=CX$2),$F$3:$BP$3,$F175:$BP175))),"""")"),"")</f>
        <v/>
      </c>
      <c r="CZ175" s="252"/>
      <c r="DA175" s="251">
        <f>IFERROR(__xludf.DUMMYFUNCTION("AVERAGE(ARRAYFORMULA(XLOOKUP(FILTER(INDIRECT(""'""&amp;DA$1&amp;""'!$C$4:$C$66""),INDIRECT(""'""&amp;DA$1&amp;""'!$D$4:$D$66"")=DA$2),$F$3:$BP$3,$F175:$BP175)))"),0.05555556333333335)</f>
        <v>0.05555556333</v>
      </c>
      <c r="DB175" s="207" t="str">
        <f>IFERROR(__xludf.DUMMYFUNCTION("IF(OR(DA175&gt;$BR175+$BS175*$BS$2,DA175&lt;$BR175-$BS175*$BS$2),AVEDEV(ARRAYFORMULA(XLOOKUP(FILTER(INDIRECT(""'""&amp;DA$1&amp;""'!$C$4:$C$66""),INDIRECT(""'""&amp;DA$1&amp;""'!$D$4:$D$66"")=DA$2),$F$3:$BP$3,$F175:$BP175))),"""")"),"")</f>
        <v/>
      </c>
      <c r="DC175" s="251">
        <f>IFERROR(__xludf.DUMMYFUNCTION("AVERAGE(ARRAYFORMULA(XLOOKUP(FILTER(INDIRECT(""'""&amp;DC$1&amp;""'!$C$4:$C$66""),INDIRECT(""'""&amp;DC$1&amp;""'!$D$4:$D$66"")=DC$2),$F$3:$BP$3,$F175:$BP175)))"),0.0740740811111111)</f>
        <v>0.07407408111</v>
      </c>
      <c r="DD175" s="207" t="str">
        <f>IFERROR(__xludf.DUMMYFUNCTION("IF(OR(DC175&gt;$BR175+$BS175*$BS$2,DC175&lt;$BR175-$BS175*$BS$2),AVEDEV(ARRAYFORMULA(XLOOKUP(FILTER(INDIRECT(""'""&amp;DC$1&amp;""'!$C$4:$C$66""),INDIRECT(""'""&amp;DC$1&amp;""'!$D$4:$D$66"")=DC$2),$F$3:$BP$3,$F175:$BP175))),"""")"),"")</f>
        <v/>
      </c>
      <c r="DE175" s="251">
        <f>IFERROR(__xludf.DUMMYFUNCTION("AVERAGE(ARRAYFORMULA(XLOOKUP(FILTER(INDIRECT(""'""&amp;DE$1&amp;""'!$C$4:$C$66""),INDIRECT(""'""&amp;DE$1&amp;""'!$D$4:$D$66"")=DE$2),$F$3:$BP$3,$F175:$BP175)))"),0.7500000087500001)</f>
        <v>0.7500000088</v>
      </c>
      <c r="DF175" s="207" t="str">
        <f>IFERROR(__xludf.DUMMYFUNCTION("IF(OR(DE175&gt;$BR175+$BS175*$BS$2,DE175&lt;$BR175-$BS175*$BS$2),AVEDEV(ARRAYFORMULA(XLOOKUP(FILTER(INDIRECT(""'""&amp;DE$1&amp;""'!$C$4:$C$66""),INDIRECT(""'""&amp;DE$1&amp;""'!$D$4:$D$66"")=DE$2),$F$3:$BP$3,$F175:$BP175))),"""")"),"")</f>
        <v/>
      </c>
      <c r="DG175" s="251">
        <f>IFERROR(__xludf.DUMMYFUNCTION("AVERAGE(ARRAYFORMULA(XLOOKUP(FILTER(INDIRECT(""'""&amp;DG$1&amp;""'!$C$4:$C$66""),INDIRECT(""'""&amp;DG$1&amp;""'!$D$4:$D$66"")=DG$2),$F$3:$BP$3,$F175:$BP175)))"),0.1851852)</f>
        <v>0.1851852</v>
      </c>
      <c r="DH175" s="207" t="str">
        <f>IFERROR(__xludf.DUMMYFUNCTION("IF(OR(DG175&gt;$BR175+$BS175*$BS$2,DG175&lt;$BR175-$BS175*$BS$2),AVEDEV(ARRAYFORMULA(XLOOKUP(FILTER(INDIRECT(""'""&amp;DG$1&amp;""'!$C$4:$C$66""),INDIRECT(""'""&amp;DG$1&amp;""'!$D$4:$D$66"")=DG$2),$F$3:$BP$3,$F175:$BP175))),"""")"),"")</f>
        <v/>
      </c>
      <c r="DI175" s="252"/>
    </row>
    <row r="176">
      <c r="A176" s="2"/>
      <c r="B176" s="204" t="s">
        <v>601</v>
      </c>
      <c r="C176" s="204" t="s">
        <v>620</v>
      </c>
      <c r="D176" s="205" t="b">
        <f>VLOOKUP(C176,'Feature Set List'!A173:C246,2,0)</f>
        <v>1</v>
      </c>
      <c r="E176" s="205" t="b">
        <f>VLOOKUP(C176,'Feature Set List'!A173:C246,3,0)</f>
        <v>0</v>
      </c>
      <c r="F176" s="205">
        <v>-0.4</v>
      </c>
      <c r="G176" s="205">
        <v>0.12307692</v>
      </c>
      <c r="H176" s="205">
        <v>1.93846154</v>
      </c>
      <c r="I176" s="205">
        <v>-0.4923077</v>
      </c>
      <c r="J176" s="205">
        <v>1.93846154</v>
      </c>
      <c r="K176" s="205">
        <v>-0.5230769</v>
      </c>
      <c r="L176" s="205">
        <v>-0.2153846</v>
      </c>
      <c r="M176" s="205">
        <v>1.84615385</v>
      </c>
      <c r="N176" s="205">
        <v>-0.4923077</v>
      </c>
      <c r="O176" s="205">
        <v>-0.4307692</v>
      </c>
      <c r="P176" s="205">
        <v>0.61538462</v>
      </c>
      <c r="Q176" s="205">
        <v>-0.3692308</v>
      </c>
      <c r="R176" s="205">
        <v>0.61538462</v>
      </c>
      <c r="S176" s="205">
        <v>0.52307692</v>
      </c>
      <c r="T176" s="205">
        <v>0.03076923</v>
      </c>
      <c r="U176" s="205">
        <v>-0.2769231</v>
      </c>
      <c r="V176" s="205">
        <v>-0.4307692</v>
      </c>
      <c r="W176" s="205">
        <v>2.64615385</v>
      </c>
      <c r="X176" s="205">
        <v>-0.0615385</v>
      </c>
      <c r="Y176" s="205">
        <v>-0.3384615</v>
      </c>
      <c r="Z176" s="205">
        <v>-0.4615385</v>
      </c>
      <c r="AA176" s="205">
        <v>-0.0615385</v>
      </c>
      <c r="AB176" s="205">
        <v>-0.4</v>
      </c>
      <c r="AC176" s="205">
        <v>0.55384615</v>
      </c>
      <c r="AD176" s="205">
        <v>1.13846154</v>
      </c>
      <c r="AE176" s="205">
        <v>-0.4923077</v>
      </c>
      <c r="AF176" s="205">
        <v>0.06153846</v>
      </c>
      <c r="AG176" s="205">
        <v>-0.3692308</v>
      </c>
      <c r="AH176" s="205">
        <v>0.06153846</v>
      </c>
      <c r="AI176" s="205">
        <v>-0.4615385</v>
      </c>
      <c r="AJ176" s="205">
        <v>0.61538462</v>
      </c>
      <c r="AK176" s="205">
        <v>0.64615385</v>
      </c>
      <c r="AL176" s="205">
        <v>-0.3384615</v>
      </c>
      <c r="AM176" s="205">
        <v>-0.4923077</v>
      </c>
      <c r="AN176" s="205">
        <v>0.70769231</v>
      </c>
      <c r="AO176" s="205">
        <v>0.06153846</v>
      </c>
      <c r="AP176" s="205">
        <v>2.36923077</v>
      </c>
      <c r="AQ176" s="205">
        <v>1.56923077</v>
      </c>
      <c r="AR176" s="205">
        <v>-0.5230769</v>
      </c>
      <c r="AS176" s="205">
        <v>0.83076923</v>
      </c>
      <c r="AT176" s="205">
        <v>-0.3076923</v>
      </c>
      <c r="AU176" s="205">
        <v>0.0</v>
      </c>
      <c r="AV176" s="205">
        <v>0.21538462</v>
      </c>
      <c r="AW176" s="205">
        <v>-0.5230769</v>
      </c>
      <c r="AX176" s="205">
        <v>1.41538462</v>
      </c>
      <c r="AY176" s="205">
        <v>0.06153846</v>
      </c>
      <c r="AZ176" s="205">
        <v>-0.4307692</v>
      </c>
      <c r="BA176" s="205">
        <v>0.64615385</v>
      </c>
      <c r="BB176" s="205">
        <v>-0.4</v>
      </c>
      <c r="BC176" s="205">
        <v>0.55384615</v>
      </c>
      <c r="BD176" s="205">
        <v>0.70769231</v>
      </c>
      <c r="BE176" s="205">
        <v>-0.2769231</v>
      </c>
      <c r="BF176" s="205">
        <v>-0.4615385</v>
      </c>
      <c r="BG176" s="205">
        <v>0.55384615</v>
      </c>
      <c r="BH176" s="205">
        <v>0.55384615</v>
      </c>
      <c r="BI176" s="205">
        <v>-0.3384615</v>
      </c>
      <c r="BJ176" s="205">
        <v>0.18461538</v>
      </c>
      <c r="BK176" s="205">
        <v>-0.4923077</v>
      </c>
      <c r="BL176" s="205">
        <v>-0.2769231</v>
      </c>
      <c r="BM176" s="205">
        <v>0.43076923</v>
      </c>
      <c r="BN176" s="205">
        <v>-0.4923077</v>
      </c>
      <c r="BO176" s="205">
        <v>0.03076923</v>
      </c>
      <c r="BP176" s="205">
        <v>-0.4923077</v>
      </c>
      <c r="BQ176" s="206"/>
      <c r="BR176" s="250">
        <f t="shared" si="1"/>
        <v>0.1924297914</v>
      </c>
      <c r="BS176" s="250">
        <f t="shared" si="2"/>
        <v>0.609678859</v>
      </c>
      <c r="BT176" s="206"/>
      <c r="BU176" s="207">
        <f>IFERROR(__xludf.DUMMYFUNCTION("AVERAGE(ARRAYFORMULA(XLOOKUP(FILTER(INDIRECT(""'""&amp;BU$1&amp;""'!$C$4:$C$66""),INDIRECT(""'""&amp;BU$1&amp;""'!$D$4:$D$66"")=BU$2),$F$3:$BP$3,$F176:$BP176)))"),0.80879121)</f>
        <v>0.80879121</v>
      </c>
      <c r="BV176" s="207">
        <f>IFERROR(__xludf.DUMMYFUNCTION("IF(OR(BU176&gt;$BR176+$BS176*$BS$2,BU176&lt;$BR176-$BS176*$BS$2),AVEDEV(ARRAYFORMULA(XLOOKUP(FILTER(INDIRECT(""'""&amp;BU$1&amp;""'!$C$4:$C$66""),INDIRECT(""'""&amp;BU$1&amp;""'!$D$4:$D$66"")=BU$2),$F$3:$BP$3,$F176:$BP176))),"""")"),0.6982731571428572)</f>
        <v>0.6982731571</v>
      </c>
      <c r="BW176" s="207">
        <f>IFERROR(__xludf.DUMMYFUNCTION("AVERAGE(ARRAYFORMULA(XLOOKUP(FILTER(INDIRECT(""'""&amp;BW$1&amp;""'!$C$4:$C$66""),INDIRECT(""'""&amp;BW$1&amp;""'!$D$4:$D$66"")=BW$2),$F$3:$BP$3,$F176:$BP176)))"),0.1655677623809524)</f>
        <v>0.1655677624</v>
      </c>
      <c r="BX176" s="207" t="str">
        <f>IFERROR(__xludf.DUMMYFUNCTION("IF(OR(BW176&gt;$BR176+$BS176*$BS$2,BW176&lt;$BR176-$BS176*$BS$2),AVEDEV(ARRAYFORMULA(XLOOKUP(FILTER(INDIRECT(""'""&amp;BW$1&amp;""'!$C$4:$C$66""),INDIRECT(""'""&amp;BW$1&amp;""'!$D$4:$D$66"")=BW$2),$F$3:$BP$3,$F176:$BP176))),"""")"),"")</f>
        <v/>
      </c>
      <c r="BY176" s="207">
        <f>IFERROR(__xludf.DUMMYFUNCTION("AVERAGE(ARRAYFORMULA(XLOOKUP(FILTER(INDIRECT(""'""&amp;BY$1&amp;""'!$C$4:$C$66""),INDIRECT(""'""&amp;BY$1&amp;""'!$D$4:$D$66"")=BY$2),$F$3:$BP$3,$F176:$BP176)))"),-0.2433566381818182)</f>
        <v>-0.2433566382</v>
      </c>
      <c r="BZ176" s="207" t="str">
        <f>IFERROR(__xludf.DUMMYFUNCTION("IF(OR(BY176&gt;$BR176+$BS176*$BS$2,BY176&lt;$BR176-$BS176*$BS$2),AVEDEV(ARRAYFORMULA(XLOOKUP(FILTER(INDIRECT(""'""&amp;BY$1&amp;""'!$C$4:$C$66""),INDIRECT(""'""&amp;BY$1&amp;""'!$D$4:$D$66"")=BY$2),$F$3:$BP$3,$F176:$BP176))),"""")"),"")</f>
        <v/>
      </c>
      <c r="CA176" s="209"/>
      <c r="CB176" s="207">
        <f>IFERROR(__xludf.DUMMYFUNCTION("AVERAGE(ARRAYFORMULA(XLOOKUP(FILTER(INDIRECT(""'""&amp;CB$1&amp;""'!$C$4:$C$66""),INDIRECT(""'""&amp;CB$1&amp;""'!$D$4:$D$66"")=CB$2),$F$3:$BP$3,$F176:$BP176)))"),0.555769228125)</f>
        <v>0.5557692281</v>
      </c>
      <c r="CC176" s="207" t="str">
        <f>IFERROR(__xludf.DUMMYFUNCTION("IF(OR(CB176&gt;$BR176+$BS176*$BS$2,CB176&lt;$BR176-$BS176*$BS$2),AVEDEV(ARRAYFORMULA(XLOOKUP(FILTER(INDIRECT(""'""&amp;CB$1&amp;""'!$C$4:$C$66""),INDIRECT(""'""&amp;CB$1&amp;""'!$D$4:$D$66"")=CB$2),$F$3:$BP$3,$F176:$BP176))),"""")"),"")</f>
        <v/>
      </c>
      <c r="CD176" s="207">
        <f>IFERROR(__xludf.DUMMYFUNCTION("AVERAGE(ARRAYFORMULA(XLOOKUP(FILTER(INDIRECT(""'""&amp;CD$1&amp;""'!$C$4:$C$66""),INDIRECT(""'""&amp;CD$1&amp;""'!$D$4:$D$66"")=CD$2),$F$3:$BP$3,$F176:$BP176)))"),-0.01191067193548386)</f>
        <v>-0.01191067194</v>
      </c>
      <c r="CE176" s="207" t="str">
        <f>IFERROR(__xludf.DUMMYFUNCTION("IF(OR(CD176&gt;$BR176+$BS176*$BS$2,CD176&lt;$BR176-$BS176*$BS$2),AVEDEV(ARRAYFORMULA(XLOOKUP(FILTER(INDIRECT(""'""&amp;CD$1&amp;""'!$C$4:$C$66""),INDIRECT(""'""&amp;CD$1&amp;""'!$D$4:$D$66"")=CD$2),$F$3:$BP$3,$F176:$BP176))),"""")"),"")</f>
        <v/>
      </c>
      <c r="CF176" s="207">
        <f>IFERROR(__xludf.DUMMYFUNCTION("AVERAGE(ARRAYFORMULA(XLOOKUP(FILTER(INDIRECT(""'""&amp;CF$1&amp;""'!$C$4:$C$66""),INDIRECT(""'""&amp;CF$1&amp;""'!$D$4:$D$66"")=CF$2),$F$3:$BP$3,$F176:$BP176)))"),-0.264615376)</f>
        <v>-0.264615376</v>
      </c>
      <c r="CG176" s="207" t="str">
        <f>IFERROR(__xludf.DUMMYFUNCTION("IF(OR(CF176&gt;$BR176+$BS176*$BS$2,CF176&lt;$BR176-$BS176*$BS$2),AVEDEV(ARRAYFORMULA(XLOOKUP(FILTER(INDIRECT(""'""&amp;CF$1&amp;""'!$C$4:$C$66""),INDIRECT(""'""&amp;CF$1&amp;""'!$D$4:$D$66"")=CF$2),$F$3:$BP$3,$F176:$BP176))),"""")"),"")</f>
        <v/>
      </c>
      <c r="CH176" s="206"/>
      <c r="CI176" s="251">
        <f>IFERROR(__xludf.DUMMYFUNCTION("AVERAGE(ARRAYFORMULA(XLOOKUP(FILTER(INDIRECT(""'""&amp;CI$1&amp;""'!$C$4:$C$66""),INDIRECT(""'""&amp;CI$1&amp;""'!$D$4:$D$66"")=CI$2),$F$3:$BP$3,$F176:$BP176)))"),0.35487178399999997)</f>
        <v>0.354871784</v>
      </c>
      <c r="CJ176" s="207" t="str">
        <f>IFERROR(__xludf.DUMMYFUNCTION("IF(OR(CI176&gt;$BR176+$BS176*$BS$2,CI176&lt;$BR176-$BS176*$BS$2),AVEDEV(ARRAYFORMULA(XLOOKUP(FILTER(INDIRECT(""'""&amp;CI$1&amp;""'!$C$4:$C$66""),INDIRECT(""'""&amp;CI$1&amp;""'!$D$4:$D$66"")=CI$2),$F$3:$BP$3,$F176:$BP176))),"""")"),"")</f>
        <v/>
      </c>
      <c r="CK176" s="251">
        <f>IFERROR(__xludf.DUMMYFUNCTION("AVERAGE(ARRAYFORMULA(XLOOKUP(FILTER(INDIRECT(""'""&amp;CK$1&amp;""'!$C$4:$C$66""),INDIRECT(""'""&amp;CK$1&amp;""'!$D$4:$D$66"")=CK$2),$F$3:$BP$3,$F176:$BP176)))"),0.16489152025641032)</f>
        <v>0.1648915203</v>
      </c>
      <c r="CL176" s="207" t="str">
        <f>IFERROR(__xludf.DUMMYFUNCTION("IF(OR(CK176&gt;$BR176+$BS176*$BS$2,CK176&lt;$BR176-$BS176*$BS$2),AVEDEV(ARRAYFORMULA(XLOOKUP(FILTER(INDIRECT(""'""&amp;CK$1&amp;""'!$C$4:$C$66""),INDIRECT(""'""&amp;CK$1&amp;""'!$D$4:$D$66"")=CK$2),$F$3:$BP$3,$F176:$BP176))),"""")"),"")</f>
        <v/>
      </c>
      <c r="CM176" s="251">
        <f>IFERROR(__xludf.DUMMYFUNCTION("AVERAGE(ARRAYFORMULA(XLOOKUP(FILTER(INDIRECT(""'""&amp;CM$1&amp;""'!$C$4:$C$66""),INDIRECT(""'""&amp;CM$1&amp;""'!$D$4:$D$66"")=CM$2),$F$3:$BP$3,$F176:$BP176)))"),-0.264615376)</f>
        <v>-0.264615376</v>
      </c>
      <c r="CN176" s="207" t="str">
        <f>IFERROR(__xludf.DUMMYFUNCTION("IF(OR(CM176&gt;$BR176+$BS176*$BS$2,CM176&lt;$BR176-$BS176*$BS$2),AVEDEV(ARRAYFORMULA(XLOOKUP(FILTER(INDIRECT(""'""&amp;CM$1&amp;""'!$C$4:$C$66""),INDIRECT(""'""&amp;CM$1&amp;""'!$D$4:$D$66"")=CM$2),$F$3:$BP$3,$F176:$BP176))),"""")"),"")</f>
        <v/>
      </c>
      <c r="CO176" s="252"/>
      <c r="CP176" s="251">
        <f>IFERROR(__xludf.DUMMYFUNCTION("AVERAGE(ARRAYFORMULA(XLOOKUP(FILTER(INDIRECT(""'""&amp;CP$1&amp;""'!$C$4:$C$66""),INDIRECT(""'""&amp;CP$1&amp;""'!$D$4:$D$66"")=CP$2),$F$3:$BP$3,$F176:$BP176)))"),0.4483516450000001)</f>
        <v>0.448351645</v>
      </c>
      <c r="CQ176" s="207" t="str">
        <f>IFERROR(__xludf.DUMMYFUNCTION("IF(OR(CP176&gt;$BR176+$BS176*$BS$2,CP176&lt;$BR176-$BS176*$BS$2),AVEDEV(ARRAYFORMULA(XLOOKUP(FILTER(INDIRECT(""'""&amp;CP$1&amp;""'!$C$4:$C$66""),INDIRECT(""'""&amp;CP$1&amp;""'!$D$4:$D$66"")=CP$2),$F$3:$BP$3,$F176:$BP176))),"""")"),"")</f>
        <v/>
      </c>
      <c r="CR176" s="251">
        <f>IFERROR(__xludf.DUMMYFUNCTION("AVERAGE(ARRAYFORMULA(XLOOKUP(FILTER(INDIRECT(""'""&amp;CR$1&amp;""'!$C$4:$C$66""),INDIRECT(""'""&amp;CR$1&amp;""'!$D$4:$D$66"")=CR$2),$F$3:$BP$3,$F176:$BP176)))"),-0.2735042644444445)</f>
        <v>-0.2735042644</v>
      </c>
      <c r="CS176" s="207" t="str">
        <f>IFERROR(__xludf.DUMMYFUNCTION("IF(OR(CR176&gt;$BR176+$BS176*$BS$2,CR176&lt;$BR176-$BS176*$BS$2),AVEDEV(ARRAYFORMULA(XLOOKUP(FILTER(INDIRECT(""'""&amp;CR$1&amp;""'!$C$4:$C$66""),INDIRECT(""'""&amp;CR$1&amp;""'!$D$4:$D$66"")=CR$2),$F$3:$BP$3,$F176:$BP176))),"""")"),"")</f>
        <v/>
      </c>
      <c r="CT176" s="251">
        <f>IFERROR(__xludf.DUMMYFUNCTION("AVERAGE(ARRAYFORMULA(XLOOKUP(FILTER(INDIRECT(""'""&amp;CT$1&amp;""'!$C$4:$C$66""),INDIRECT(""'""&amp;CT$1&amp;""'!$D$4:$D$66"")=CT$2),$F$3:$BP$3,$F176:$BP176)))"),-0.09790210818181819)</f>
        <v>-0.09790210818</v>
      </c>
      <c r="CU176" s="207" t="str">
        <f>IFERROR(__xludf.DUMMYFUNCTION("IF(OR(CT176&gt;$BR176+$BS176*$BS$2,CT176&lt;$BR176-$BS176*$BS$2),AVEDEV(ARRAYFORMULA(XLOOKUP(FILTER(INDIRECT(""'""&amp;CT$1&amp;""'!$C$4:$C$66""),INDIRECT(""'""&amp;CT$1&amp;""'!$D$4:$D$66"")=CT$2),$F$3:$BP$3,$F176:$BP176))),"""")"),"")</f>
        <v/>
      </c>
      <c r="CV176" s="251">
        <f>IFERROR(__xludf.DUMMYFUNCTION("AVERAGE(ARRAYFORMULA(XLOOKUP(FILTER(INDIRECT(""'""&amp;CV$1&amp;""'!$C$4:$C$66""),INDIRECT(""'""&amp;CV$1&amp;""'!$D$4:$D$66"")=CV$2),$F$3:$BP$3,$F176:$BP176)))"),0.55384615)</f>
        <v>0.55384615</v>
      </c>
      <c r="CW176" s="207" t="str">
        <f>IFERROR(__xludf.DUMMYFUNCTION("IF(OR(CV176&gt;$BR176+$BS176*$BS$2,CV176&lt;$BR176-$BS176*$BS$2),AVEDEV(ARRAYFORMULA(XLOOKUP(FILTER(INDIRECT(""'""&amp;CV$1&amp;""'!$C$4:$C$66""),INDIRECT(""'""&amp;CV$1&amp;""'!$D$4:$D$66"")=CV$2),$F$3:$BP$3,$F176:$BP176))),"""")"),"")</f>
        <v/>
      </c>
      <c r="CX176" s="251">
        <f>IFERROR(__xludf.DUMMYFUNCTION("AVERAGE(ARRAYFORMULA(XLOOKUP(FILTER(INDIRECT(""'""&amp;CX$1&amp;""'!$C$4:$C$66""),INDIRECT(""'""&amp;CX$1&amp;""'!$D$4:$D$66"")=CX$2),$F$3:$BP$3,$F176:$BP176)))"),-0.05054945000000001)</f>
        <v>-0.05054945</v>
      </c>
      <c r="CY176" s="207" t="str">
        <f>IFERROR(__xludf.DUMMYFUNCTION("IF(OR(CX176&gt;$BR176+$BS176*$BS$2,CX176&lt;$BR176-$BS176*$BS$2),AVEDEV(ARRAYFORMULA(XLOOKUP(FILTER(INDIRECT(""'""&amp;CX$1&amp;""'!$C$4:$C$66""),INDIRECT(""'""&amp;CX$1&amp;""'!$D$4:$D$66"")=CX$2),$F$3:$BP$3,$F176:$BP176))),"""")"),"")</f>
        <v/>
      </c>
      <c r="CZ176" s="252"/>
      <c r="DA176" s="251">
        <f>IFERROR(__xludf.DUMMYFUNCTION("AVERAGE(ARRAYFORMULA(XLOOKUP(FILTER(INDIRECT(""'""&amp;DA$1&amp;""'!$C$4:$C$66""),INDIRECT(""'""&amp;DA$1&amp;""'!$D$4:$D$66"")=DA$2),$F$3:$BP$3,$F176:$BP176)))"),0.25025640800000004)</f>
        <v>0.250256408</v>
      </c>
      <c r="DB176" s="207" t="str">
        <f>IFERROR(__xludf.DUMMYFUNCTION("IF(OR(DA176&gt;$BR176+$BS176*$BS$2,DA176&lt;$BR176-$BS176*$BS$2),AVEDEV(ARRAYFORMULA(XLOOKUP(FILTER(INDIRECT(""'""&amp;DA$1&amp;""'!$C$4:$C$66""),INDIRECT(""'""&amp;DA$1&amp;""'!$D$4:$D$66"")=DA$2),$F$3:$BP$3,$F176:$BP176))),"""")"),"")</f>
        <v/>
      </c>
      <c r="DC176" s="251">
        <f>IFERROR(__xludf.DUMMYFUNCTION("AVERAGE(ARRAYFORMULA(XLOOKUP(FILTER(INDIRECT(""'""&amp;DC$1&amp;""'!$C$4:$C$66""),INDIRECT(""'""&amp;DC$1&amp;""'!$D$4:$D$66"")=DC$2),$F$3:$BP$3,$F176:$BP176)))"),-0.2427350311111111)</f>
        <v>-0.2427350311</v>
      </c>
      <c r="DD176" s="207" t="str">
        <f>IFERROR(__xludf.DUMMYFUNCTION("IF(OR(DC176&gt;$BR176+$BS176*$BS$2,DC176&lt;$BR176-$BS176*$BS$2),AVEDEV(ARRAYFORMULA(XLOOKUP(FILTER(INDIRECT(""'""&amp;DC$1&amp;""'!$C$4:$C$66""),INDIRECT(""'""&amp;DC$1&amp;""'!$D$4:$D$66"")=DC$2),$F$3:$BP$3,$F176:$BP176))),"""")"),"")</f>
        <v/>
      </c>
      <c r="DE176" s="251">
        <f>IFERROR(__xludf.DUMMYFUNCTION("AVERAGE(ARRAYFORMULA(XLOOKUP(FILTER(INDIRECT(""'""&amp;DE$1&amp;""'!$C$4:$C$66""),INDIRECT(""'""&amp;DE$1&amp;""'!$D$4:$D$66"")=DE$2),$F$3:$BP$3,$F176:$BP176)))"),0.04230767875)</f>
        <v>0.04230767875</v>
      </c>
      <c r="DF176" s="207" t="str">
        <f>IFERROR(__xludf.DUMMYFUNCTION("IF(OR(DE176&gt;$BR176+$BS176*$BS$2,DE176&lt;$BR176-$BS176*$BS$2),AVEDEV(ARRAYFORMULA(XLOOKUP(FILTER(INDIRECT(""'""&amp;DE$1&amp;""'!$C$4:$C$66""),INDIRECT(""'""&amp;DE$1&amp;""'!$D$4:$D$66"")=DE$2),$F$3:$BP$3,$F176:$BP176))),"""")"),"")</f>
        <v/>
      </c>
      <c r="DG176" s="251">
        <f>IFERROR(__xludf.DUMMYFUNCTION("AVERAGE(ARRAYFORMULA(XLOOKUP(FILTER(INDIRECT(""'""&amp;DG$1&amp;""'!$C$4:$C$66""),INDIRECT(""'""&amp;DG$1&amp;""'!$D$4:$D$66"")=DG$2),$F$3:$BP$3,$F176:$BP176)))"),-0.017094016666666663)</f>
        <v>-0.01709401667</v>
      </c>
      <c r="DH176" s="207" t="str">
        <f>IFERROR(__xludf.DUMMYFUNCTION("IF(OR(DG176&gt;$BR176+$BS176*$BS$2,DG176&lt;$BR176-$BS176*$BS$2),AVEDEV(ARRAYFORMULA(XLOOKUP(FILTER(INDIRECT(""'""&amp;DG$1&amp;""'!$C$4:$C$66""),INDIRECT(""'""&amp;DG$1&amp;""'!$D$4:$D$66"")=DG$2),$F$3:$BP$3,$F176:$BP176))),"""")"),"")</f>
        <v/>
      </c>
      <c r="DI176" s="252"/>
    </row>
    <row r="177">
      <c r="A177" s="2"/>
      <c r="B177" s="204" t="s">
        <v>601</v>
      </c>
      <c r="C177" s="204" t="s">
        <v>621</v>
      </c>
      <c r="D177" s="205" t="b">
        <f>VLOOKUP(C177,'Feature Set List'!A174:C246,2,0)</f>
        <v>1</v>
      </c>
      <c r="E177" s="205" t="b">
        <f>VLOOKUP(C177,'Feature Set List'!A174:C246,3,0)</f>
        <v>0</v>
      </c>
      <c r="F177" s="205">
        <v>0.37931034</v>
      </c>
      <c r="G177" s="205">
        <v>4.31034483</v>
      </c>
      <c r="H177" s="205">
        <v>-0.5172414</v>
      </c>
      <c r="I177" s="205">
        <v>0.0</v>
      </c>
      <c r="J177" s="205">
        <v>0.20689655</v>
      </c>
      <c r="K177" s="205">
        <v>0.86206897</v>
      </c>
      <c r="L177" s="205">
        <v>0.68965517</v>
      </c>
      <c r="M177" s="205">
        <v>0.13793103</v>
      </c>
      <c r="N177" s="205">
        <v>-0.0344828</v>
      </c>
      <c r="O177" s="205">
        <v>-0.1724138</v>
      </c>
      <c r="P177" s="205">
        <v>-0.1034483</v>
      </c>
      <c r="Q177" s="205">
        <v>1.20689655</v>
      </c>
      <c r="R177" s="205">
        <v>3.34482759</v>
      </c>
      <c r="S177" s="205">
        <v>-0.1724138</v>
      </c>
      <c r="T177" s="205">
        <v>-0.3103448</v>
      </c>
      <c r="U177" s="205">
        <v>1.4137931</v>
      </c>
      <c r="V177" s="205">
        <v>-0.1034483</v>
      </c>
      <c r="W177" s="205">
        <v>0.5862069</v>
      </c>
      <c r="X177" s="205">
        <v>-0.3793103</v>
      </c>
      <c r="Y177" s="205">
        <v>1.27586207</v>
      </c>
      <c r="Z177" s="205">
        <v>-0.1034483</v>
      </c>
      <c r="AA177" s="205">
        <v>-0.3793103</v>
      </c>
      <c r="AB177" s="205">
        <v>-0.1034483</v>
      </c>
      <c r="AC177" s="205">
        <v>-0.3448276</v>
      </c>
      <c r="AD177" s="205">
        <v>-0.2413793</v>
      </c>
      <c r="AE177" s="205">
        <v>0.0</v>
      </c>
      <c r="AF177" s="205">
        <v>0.79310345</v>
      </c>
      <c r="AG177" s="205">
        <v>0.4137931</v>
      </c>
      <c r="AH177" s="205">
        <v>2.10344828</v>
      </c>
      <c r="AI177" s="205">
        <v>0.27586207</v>
      </c>
      <c r="AJ177" s="205">
        <v>-0.137931</v>
      </c>
      <c r="AK177" s="205">
        <v>-0.1034483</v>
      </c>
      <c r="AL177" s="205">
        <v>1.27586207</v>
      </c>
      <c r="AM177" s="205">
        <v>0.44827586</v>
      </c>
      <c r="AN177" s="205">
        <v>-0.5172414</v>
      </c>
      <c r="AO177" s="205">
        <v>-0.5172414</v>
      </c>
      <c r="AP177" s="205">
        <v>0.4137931</v>
      </c>
      <c r="AQ177" s="205">
        <v>0.0</v>
      </c>
      <c r="AR177" s="205">
        <v>-0.0344828</v>
      </c>
      <c r="AS177" s="205">
        <v>-0.4482759</v>
      </c>
      <c r="AT177" s="205">
        <v>1.34482759</v>
      </c>
      <c r="AU177" s="205">
        <v>2.03448276</v>
      </c>
      <c r="AV177" s="205">
        <v>-0.4137931</v>
      </c>
      <c r="AW177" s="205">
        <v>0.86206897</v>
      </c>
      <c r="AX177" s="205">
        <v>0.48275862</v>
      </c>
      <c r="AY177" s="205">
        <v>2.17241379</v>
      </c>
      <c r="AZ177" s="205">
        <v>-0.0689655</v>
      </c>
      <c r="BA177" s="205">
        <v>-0.1034483</v>
      </c>
      <c r="BB177" s="205">
        <v>1.13793103</v>
      </c>
      <c r="BC177" s="205">
        <v>-0.3448276</v>
      </c>
      <c r="BD177" s="205">
        <v>2.24137931</v>
      </c>
      <c r="BE177" s="205">
        <v>1.37931034</v>
      </c>
      <c r="BF177" s="205">
        <v>0.03448276</v>
      </c>
      <c r="BG177" s="205">
        <v>-0.3448276</v>
      </c>
      <c r="BH177" s="205">
        <v>-0.1724138</v>
      </c>
      <c r="BI177" s="205">
        <v>0.75862069</v>
      </c>
      <c r="BJ177" s="205">
        <v>-0.2413793</v>
      </c>
      <c r="BK177" s="205">
        <v>0.0</v>
      </c>
      <c r="BL177" s="205">
        <v>-0.4827586</v>
      </c>
      <c r="BM177" s="205">
        <v>-0.2758621</v>
      </c>
      <c r="BN177" s="205">
        <v>0.24137931</v>
      </c>
      <c r="BO177" s="205">
        <v>2.10344828</v>
      </c>
      <c r="BP177" s="205">
        <v>-0.137931</v>
      </c>
      <c r="BQ177" s="206"/>
      <c r="BR177" s="250">
        <f t="shared" si="1"/>
        <v>0.4384236425</v>
      </c>
      <c r="BS177" s="250">
        <f t="shared" si="2"/>
        <v>0.7359449551</v>
      </c>
      <c r="BT177" s="206"/>
      <c r="BU177" s="207">
        <f>IFERROR(__xludf.DUMMYFUNCTION("AVERAGE(ARRAYFORMULA(XLOOKUP(FILTER(INDIRECT(""'""&amp;BU$1&amp;""'!$C$4:$C$66""),INDIRECT(""'""&amp;BU$1&amp;""'!$D$4:$D$66"")=BU$2),$F$3:$BP$3,$F177:$BP177)))"),0.3399014757142857)</f>
        <v>0.3399014757</v>
      </c>
      <c r="BV177" s="207" t="str">
        <f>IFERROR(__xludf.DUMMYFUNCTION("IF(OR(BU177&gt;$BR177+$BS177*$BS$2,BU177&lt;$BR177-$BS177*$BS$2),AVEDEV(ARRAYFORMULA(XLOOKUP(FILTER(INDIRECT(""'""&amp;BU$1&amp;""'!$C$4:$C$66""),INDIRECT(""'""&amp;BU$1&amp;""'!$D$4:$D$66"")=BU$2),$F$3:$BP$3,$F177:$BP177))),"""")"),"")</f>
        <v/>
      </c>
      <c r="BW177" s="207">
        <f>IFERROR(__xludf.DUMMYFUNCTION("AVERAGE(ARRAYFORMULA(XLOOKUP(FILTER(INDIRECT(""'""&amp;BW$1&amp;""'!$C$4:$C$66""),INDIRECT(""'""&amp;BW$1&amp;""'!$D$4:$D$66"")=BW$2),$F$3:$BP$3,$F177:$BP177)))"),0.5246305378571428)</f>
        <v>0.5246305379</v>
      </c>
      <c r="BX177" s="207" t="str">
        <f>IFERROR(__xludf.DUMMYFUNCTION("IF(OR(BW177&gt;$BR177+$BS177*$BS$2,BW177&lt;$BR177-$BS177*$BS$2),AVEDEV(ARRAYFORMULA(XLOOKUP(FILTER(INDIRECT(""'""&amp;BW$1&amp;""'!$C$4:$C$66""),INDIRECT(""'""&amp;BW$1&amp;""'!$D$4:$D$66"")=BW$2),$F$3:$BP$3,$F177:$BP177))),"""")"),"")</f>
        <v/>
      </c>
      <c r="BY177" s="207">
        <f>IFERROR(__xludf.DUMMYFUNCTION("AVERAGE(ARRAYFORMULA(XLOOKUP(FILTER(INDIRECT(""'""&amp;BY$1&amp;""'!$C$4:$C$66""),INDIRECT(""'""&amp;BY$1&amp;""'!$D$4:$D$66"")=BY$2),$F$3:$BP$3,$F177:$BP177)))"),0.2476489063636363)</f>
        <v>0.2476489064</v>
      </c>
      <c r="BZ177" s="207" t="str">
        <f>IFERROR(__xludf.DUMMYFUNCTION("IF(OR(BY177&gt;$BR177+$BS177*$BS$2,BY177&lt;$BR177-$BS177*$BS$2),AVEDEV(ARRAYFORMULA(XLOOKUP(FILTER(INDIRECT(""'""&amp;BY$1&amp;""'!$C$4:$C$66""),INDIRECT(""'""&amp;BY$1&amp;""'!$D$4:$D$66"")=BY$2),$F$3:$BP$3,$F177:$BP177))),"""")"),"")</f>
        <v/>
      </c>
      <c r="CA177" s="209"/>
      <c r="CB177" s="207">
        <f>IFERROR(__xludf.DUMMYFUNCTION("AVERAGE(ARRAYFORMULA(XLOOKUP(FILTER(INDIRECT(""'""&amp;CB$1&amp;""'!$C$4:$C$66""),INDIRECT(""'""&amp;CB$1&amp;""'!$D$4:$D$66"")=CB$2),$F$3:$BP$3,$F177:$BP177)))"),0.53663793)</f>
        <v>0.53663793</v>
      </c>
      <c r="CC177" s="207" t="str">
        <f>IFERROR(__xludf.DUMMYFUNCTION("IF(OR(CB177&gt;$BR177+$BS177*$BS$2,CB177&lt;$BR177-$BS177*$BS$2),AVEDEV(ARRAYFORMULA(XLOOKUP(FILTER(INDIRECT(""'""&amp;CB$1&amp;""'!$C$4:$C$66""),INDIRECT(""'""&amp;CB$1&amp;""'!$D$4:$D$66"")=CB$2),$F$3:$BP$3,$F177:$BP177))),"""")"),"")</f>
        <v/>
      </c>
      <c r="CD177" s="207">
        <f>IFERROR(__xludf.DUMMYFUNCTION("AVERAGE(ARRAYFORMULA(XLOOKUP(FILTER(INDIRECT(""'""&amp;CD$1&amp;""'!$C$4:$C$66""),INDIRECT(""'""&amp;CD$1&amp;""'!$D$4:$D$66"")=CD$2),$F$3:$BP$3,$F177:$BP177)))"),0.577308117096774)</f>
        <v>0.5773081171</v>
      </c>
      <c r="CE177" s="207" t="str">
        <f>IFERROR(__xludf.DUMMYFUNCTION("IF(OR(CD177&gt;$BR177+$BS177*$BS$2,CD177&lt;$BR177-$BS177*$BS$2),AVEDEV(ARRAYFORMULA(XLOOKUP(FILTER(INDIRECT(""'""&amp;CD$1&amp;""'!$C$4:$C$66""),INDIRECT(""'""&amp;CD$1&amp;""'!$D$4:$D$66"")=CD$2),$F$3:$BP$3,$F177:$BP177))),"""")"),"")</f>
        <v/>
      </c>
      <c r="CF177" s="207">
        <f>IFERROR(__xludf.DUMMYFUNCTION("AVERAGE(ARRAYFORMULA(XLOOKUP(FILTER(INDIRECT(""'""&amp;CF$1&amp;""'!$C$4:$C$66""),INDIRECT(""'""&amp;CF$1&amp;""'!$D$4:$D$66"")=CF$2),$F$3:$BP$3,$F177:$BP177)))"),-0.082758628)</f>
        <v>-0.082758628</v>
      </c>
      <c r="CG177" s="207" t="str">
        <f>IFERROR(__xludf.DUMMYFUNCTION("IF(OR(CF177&gt;$BR177+$BS177*$BS$2,CF177&lt;$BR177-$BS177*$BS$2),AVEDEV(ARRAYFORMULA(XLOOKUP(FILTER(INDIRECT(""'""&amp;CF$1&amp;""'!$C$4:$C$66""),INDIRECT(""'""&amp;CF$1&amp;""'!$D$4:$D$66"")=CF$2),$F$3:$BP$3,$F177:$BP177))),"""")"),"")</f>
        <v/>
      </c>
      <c r="CH177" s="206"/>
      <c r="CI177" s="251">
        <f>IFERROR(__xludf.DUMMYFUNCTION("AVERAGE(ARRAYFORMULA(XLOOKUP(FILTER(INDIRECT(""'""&amp;CI$1&amp;""'!$C$4:$C$66""),INDIRECT(""'""&amp;CI$1&amp;""'!$D$4:$D$66"")=CI$2),$F$3:$BP$3,$F177:$BP177)))"),0.096551726)</f>
        <v>0.096551726</v>
      </c>
      <c r="CJ177" s="207" t="str">
        <f>IFERROR(__xludf.DUMMYFUNCTION("IF(OR(CI177&gt;$BR177+$BS177*$BS$2,CI177&lt;$BR177-$BS177*$BS$2),AVEDEV(ARRAYFORMULA(XLOOKUP(FILTER(INDIRECT(""'""&amp;CI$1&amp;""'!$C$4:$C$66""),INDIRECT(""'""&amp;CI$1&amp;""'!$D$4:$D$66"")=CI$2),$F$3:$BP$3,$F177:$BP177))),"""")"),"")</f>
        <v/>
      </c>
      <c r="CK177" s="251">
        <f>IFERROR(__xludf.DUMMYFUNCTION("AVERAGE(ARRAYFORMULA(XLOOKUP(FILTER(INDIRECT(""'""&amp;CK$1&amp;""'!$C$4:$C$66""),INDIRECT(""'""&amp;CK$1&amp;""'!$D$4:$D$66"")=CK$2),$F$3:$BP$3,$F177:$BP177)))"),0.669319183076923)</f>
        <v>0.6693191831</v>
      </c>
      <c r="CL177" s="207" t="str">
        <f>IFERROR(__xludf.DUMMYFUNCTION("IF(OR(CK177&gt;$BR177+$BS177*$BS$2,CK177&lt;$BR177-$BS177*$BS$2),AVEDEV(ARRAYFORMULA(XLOOKUP(FILTER(INDIRECT(""'""&amp;CK$1&amp;""'!$C$4:$C$66""),INDIRECT(""'""&amp;CK$1&amp;""'!$D$4:$D$66"")=CK$2),$F$3:$BP$3,$F177:$BP177))),"""")"),"")</f>
        <v/>
      </c>
      <c r="CM177" s="251">
        <f>IFERROR(__xludf.DUMMYFUNCTION("AVERAGE(ARRAYFORMULA(XLOOKUP(FILTER(INDIRECT(""'""&amp;CM$1&amp;""'!$C$4:$C$66""),INDIRECT(""'""&amp;CM$1&amp;""'!$D$4:$D$66"")=CM$2),$F$3:$BP$3,$F177:$BP177)))"),-0.082758628)</f>
        <v>-0.082758628</v>
      </c>
      <c r="CN177" s="207" t="str">
        <f>IFERROR(__xludf.DUMMYFUNCTION("IF(OR(CM177&gt;$BR177+$BS177*$BS$2,CM177&lt;$BR177-$BS177*$BS$2),AVEDEV(ARRAYFORMULA(XLOOKUP(FILTER(INDIRECT(""'""&amp;CM$1&amp;""'!$C$4:$C$66""),INDIRECT(""'""&amp;CM$1&amp;""'!$D$4:$D$66"")=CM$2),$F$3:$BP$3,$F177:$BP177))),"""")"),"")</f>
        <v/>
      </c>
      <c r="CO177" s="252"/>
      <c r="CP177" s="251">
        <f>IFERROR(__xludf.DUMMYFUNCTION("AVERAGE(ARRAYFORMULA(XLOOKUP(FILTER(INDIRECT(""'""&amp;CP$1&amp;""'!$C$4:$C$66""),INDIRECT(""'""&amp;CP$1&amp;""'!$D$4:$D$66"")=CP$2),$F$3:$BP$3,$F177:$BP177)))"),0.6354679807142857)</f>
        <v>0.6354679807</v>
      </c>
      <c r="CQ177" s="207" t="str">
        <f>IFERROR(__xludf.DUMMYFUNCTION("IF(OR(CP177&gt;$BR177+$BS177*$BS$2,CP177&lt;$BR177-$BS177*$BS$2),AVEDEV(ARRAYFORMULA(XLOOKUP(FILTER(INDIRECT(""'""&amp;CP$1&amp;""'!$C$4:$C$66""),INDIRECT(""'""&amp;CP$1&amp;""'!$D$4:$D$66"")=CP$2),$F$3:$BP$3,$F177:$BP177))),"""")"),"")</f>
        <v/>
      </c>
      <c r="CR177" s="251">
        <f>IFERROR(__xludf.DUMMYFUNCTION("AVERAGE(ARRAYFORMULA(XLOOKUP(FILTER(INDIRECT(""'""&amp;CR$1&amp;""'!$C$4:$C$66""),INDIRECT(""'""&amp;CR$1&amp;""'!$D$4:$D$66"")=CR$2),$F$3:$BP$3,$F177:$BP177)))"),0.11494253111111112)</f>
        <v>0.1149425311</v>
      </c>
      <c r="CS177" s="207" t="str">
        <f>IFERROR(__xludf.DUMMYFUNCTION("IF(OR(CR177&gt;$BR177+$BS177*$BS$2,CR177&lt;$BR177-$BS177*$BS$2),AVEDEV(ARRAYFORMULA(XLOOKUP(FILTER(INDIRECT(""'""&amp;CR$1&amp;""'!$C$4:$C$66""),INDIRECT(""'""&amp;CR$1&amp;""'!$D$4:$D$66"")=CR$2),$F$3:$BP$3,$F177:$BP177))),"""")"),"")</f>
        <v/>
      </c>
      <c r="CT177" s="251">
        <f>IFERROR(__xludf.DUMMYFUNCTION("AVERAGE(ARRAYFORMULA(XLOOKUP(FILTER(INDIRECT(""'""&amp;CT$1&amp;""'!$C$4:$C$66""),INDIRECT(""'""&amp;CT$1&amp;""'!$D$4:$D$66"")=CT$2),$F$3:$BP$3,$F177:$BP177)))"),0.7711598709090908)</f>
        <v>0.7711598709</v>
      </c>
      <c r="CU177" s="207" t="str">
        <f>IFERROR(__xludf.DUMMYFUNCTION("IF(OR(CT177&gt;$BR177+$BS177*$BS$2,CT177&lt;$BR177-$BS177*$BS$2),AVEDEV(ARRAYFORMULA(XLOOKUP(FILTER(INDIRECT(""'""&amp;CT$1&amp;""'!$C$4:$C$66""),INDIRECT(""'""&amp;CT$1&amp;""'!$D$4:$D$66"")=CT$2),$F$3:$BP$3,$F177:$BP177))),"""")"),"")</f>
        <v/>
      </c>
      <c r="CV177" s="251">
        <f>IFERROR(__xludf.DUMMYFUNCTION("AVERAGE(ARRAYFORMULA(XLOOKUP(FILTER(INDIRECT(""'""&amp;CV$1&amp;""'!$C$4:$C$66""),INDIRECT(""'""&amp;CV$1&amp;""'!$D$4:$D$66"")=CV$2),$F$3:$BP$3,$F177:$BP177)))"),-0.3448276)</f>
        <v>-0.3448276</v>
      </c>
      <c r="CW177" s="207">
        <f>IFERROR(__xludf.DUMMYFUNCTION("IF(OR(CV177&gt;$BR177+$BS177*$BS$2,CV177&lt;$BR177-$BS177*$BS$2),AVEDEV(ARRAYFORMULA(XLOOKUP(FILTER(INDIRECT(""'""&amp;CV$1&amp;""'!$C$4:$C$66""),INDIRECT(""'""&amp;CV$1&amp;""'!$D$4:$D$66"")=CV$2),$F$3:$BP$3,$F177:$BP177))),"""")"),0.0)</f>
        <v>0</v>
      </c>
      <c r="CX177" s="251">
        <f>IFERROR(__xludf.DUMMYFUNCTION("AVERAGE(ARRAYFORMULA(XLOOKUP(FILTER(INDIRECT(""'""&amp;CX$1&amp;""'!$C$4:$C$66""),INDIRECT(""'""&amp;CX$1&amp;""'!$D$4:$D$66"")=CX$2),$F$3:$BP$3,$F177:$BP177)))"),0.524630537142857)</f>
        <v>0.5246305371</v>
      </c>
      <c r="CY177" s="207" t="str">
        <f>IFERROR(__xludf.DUMMYFUNCTION("IF(OR(CX177&gt;$BR177+$BS177*$BS$2,CX177&lt;$BR177-$BS177*$BS$2),AVEDEV(ARRAYFORMULA(XLOOKUP(FILTER(INDIRECT(""'""&amp;CX$1&amp;""'!$C$4:$C$66""),INDIRECT(""'""&amp;CX$1&amp;""'!$D$4:$D$66"")=CX$2),$F$3:$BP$3,$F177:$BP177))),"""")"),"")</f>
        <v/>
      </c>
      <c r="CZ177" s="252"/>
      <c r="DA177" s="251">
        <f>IFERROR(__xludf.DUMMYFUNCTION("AVERAGE(ARRAYFORMULA(XLOOKUP(FILTER(INDIRECT(""'""&amp;DA$1&amp;""'!$C$4:$C$66""),INDIRECT(""'""&amp;DA$1&amp;""'!$D$4:$D$66"")=DA$2),$F$3:$BP$3,$F177:$BP177)))"),0.5781609183333333)</f>
        <v>0.5781609183</v>
      </c>
      <c r="DB177" s="207" t="str">
        <f>IFERROR(__xludf.DUMMYFUNCTION("IF(OR(DA177&gt;$BR177+$BS177*$BS$2,DA177&lt;$BR177-$BS177*$BS$2),AVEDEV(ARRAYFORMULA(XLOOKUP(FILTER(INDIRECT(""'""&amp;DA$1&amp;""'!$C$4:$C$66""),INDIRECT(""'""&amp;DA$1&amp;""'!$D$4:$D$66"")=DA$2),$F$3:$BP$3,$F177:$BP177))),"""")"),"")</f>
        <v/>
      </c>
      <c r="DC177" s="251">
        <f>IFERROR(__xludf.DUMMYFUNCTION("AVERAGE(ARRAYFORMULA(XLOOKUP(FILTER(INDIRECT(""'""&amp;DC$1&amp;""'!$C$4:$C$66""),INDIRECT(""'""&amp;DC$1&amp;""'!$D$4:$D$66"")=DC$2),$F$3:$BP$3,$F177:$BP177)))"),0.3295019155555555)</f>
        <v>0.3295019156</v>
      </c>
      <c r="DD177" s="207" t="str">
        <f>IFERROR(__xludf.DUMMYFUNCTION("IF(OR(DC177&gt;$BR177+$BS177*$BS$2,DC177&lt;$BR177-$BS177*$BS$2),AVEDEV(ARRAYFORMULA(XLOOKUP(FILTER(INDIRECT(""'""&amp;DC$1&amp;""'!$C$4:$C$66""),INDIRECT(""'""&amp;DC$1&amp;""'!$D$4:$D$66"")=DC$2),$F$3:$BP$3,$F177:$BP177))),"""")"),"")</f>
        <v/>
      </c>
      <c r="DE177" s="251">
        <f>IFERROR(__xludf.DUMMYFUNCTION("AVERAGE(ARRAYFORMULA(XLOOKUP(FILTER(INDIRECT(""'""&amp;DE$1&amp;""'!$C$4:$C$66""),INDIRECT(""'""&amp;DE$1&amp;""'!$D$4:$D$66"")=DE$2),$F$3:$BP$3,$F177:$BP177)))"),0.8793103399999999)</f>
        <v>0.87931034</v>
      </c>
      <c r="DF177" s="207" t="str">
        <f>IFERROR(__xludf.DUMMYFUNCTION("IF(OR(DE177&gt;$BR177+$BS177*$BS$2,DE177&lt;$BR177-$BS177*$BS$2),AVEDEV(ARRAYFORMULA(XLOOKUP(FILTER(INDIRECT(""'""&amp;DE$1&amp;""'!$C$4:$C$66""),INDIRECT(""'""&amp;DE$1&amp;""'!$D$4:$D$66"")=DE$2),$F$3:$BP$3,$F177:$BP177))),"""")"),"")</f>
        <v/>
      </c>
      <c r="DG177" s="251">
        <f>IFERROR(__xludf.DUMMYFUNCTION("AVERAGE(ARRAYFORMULA(XLOOKUP(FILTER(INDIRECT(""'""&amp;DG$1&amp;""'!$C$4:$C$66""),INDIRECT(""'""&amp;DG$1&amp;""'!$D$4:$D$66"")=DG$2),$F$3:$BP$3,$F177:$BP177)))"),-0.030651346666666628)</f>
        <v>-0.03065134667</v>
      </c>
      <c r="DH177" s="207" t="str">
        <f>IFERROR(__xludf.DUMMYFUNCTION("IF(OR(DG177&gt;$BR177+$BS177*$BS$2,DG177&lt;$BR177-$BS177*$BS$2),AVEDEV(ARRAYFORMULA(XLOOKUP(FILTER(INDIRECT(""'""&amp;DG$1&amp;""'!$C$4:$C$66""),INDIRECT(""'""&amp;DG$1&amp;""'!$D$4:$D$66"")=DG$2),$F$3:$BP$3,$F177:$BP177))),"""")"),"")</f>
        <v/>
      </c>
      <c r="DI177" s="252"/>
    </row>
    <row r="178">
      <c r="A178" s="2"/>
      <c r="B178" s="204" t="s">
        <v>601</v>
      </c>
      <c r="C178" s="204" t="s">
        <v>622</v>
      </c>
      <c r="D178" s="205" t="b">
        <f>VLOOKUP(C178,'Feature Set List'!A175:C246,2,0)</f>
        <v>1</v>
      </c>
      <c r="E178" s="205" t="b">
        <f>VLOOKUP(C178,'Feature Set List'!A175:C246,3,0)</f>
        <v>0</v>
      </c>
      <c r="F178" s="205">
        <v>-0.0153374</v>
      </c>
      <c r="G178" s="205">
        <v>2.2101227</v>
      </c>
      <c r="H178" s="205">
        <v>2.28527607</v>
      </c>
      <c r="I178" s="205">
        <v>-0.2592025</v>
      </c>
      <c r="J178" s="205">
        <v>0.70092025</v>
      </c>
      <c r="K178" s="205">
        <v>0.75153374</v>
      </c>
      <c r="L178" s="205">
        <v>-0.0153374</v>
      </c>
      <c r="M178" s="205">
        <v>0.72546012</v>
      </c>
      <c r="N178" s="205">
        <v>-0.2960123</v>
      </c>
      <c r="O178" s="205">
        <v>-0.5322086</v>
      </c>
      <c r="P178" s="205">
        <v>-0.0444785</v>
      </c>
      <c r="Q178" s="205">
        <v>0.75153374</v>
      </c>
      <c r="R178" s="205">
        <v>0.71165644</v>
      </c>
      <c r="S178" s="205">
        <v>-0.0460123</v>
      </c>
      <c r="T178" s="205">
        <v>-0.3819018</v>
      </c>
      <c r="U178" s="205">
        <v>0.75153374</v>
      </c>
      <c r="V178" s="205">
        <v>-0.4616564</v>
      </c>
      <c r="W178" s="205">
        <v>0.73006135</v>
      </c>
      <c r="X178" s="205">
        <v>-0.398773</v>
      </c>
      <c r="Y178" s="205">
        <v>0.75153374</v>
      </c>
      <c r="Z178" s="205">
        <v>-0.4171779</v>
      </c>
      <c r="AA178" s="205">
        <v>-0.398773</v>
      </c>
      <c r="AB178" s="205">
        <v>-0.5030675</v>
      </c>
      <c r="AC178" s="205">
        <v>0.24079755</v>
      </c>
      <c r="AD178" s="205">
        <v>0.68711656</v>
      </c>
      <c r="AE178" s="205">
        <v>-0.2592025</v>
      </c>
      <c r="AF178" s="205">
        <v>-0.2883436</v>
      </c>
      <c r="AG178" s="205">
        <v>-0.0322086</v>
      </c>
      <c r="AH178" s="205">
        <v>0.6993865</v>
      </c>
      <c r="AI178" s="205">
        <v>-0.0153374</v>
      </c>
      <c r="AJ178" s="205">
        <v>0.0</v>
      </c>
      <c r="AK178" s="205">
        <v>-0.0153374</v>
      </c>
      <c r="AL178" s="205">
        <v>0.75153374</v>
      </c>
      <c r="AM178" s="205">
        <v>0.22852761</v>
      </c>
      <c r="AN178" s="205">
        <v>0.75153374</v>
      </c>
      <c r="AO178" s="205">
        <v>-0.053681</v>
      </c>
      <c r="AP178" s="205">
        <v>0.75153374</v>
      </c>
      <c r="AQ178" s="205">
        <v>0.69631902</v>
      </c>
      <c r="AR178" s="205">
        <v>-0.2453988</v>
      </c>
      <c r="AS178" s="205">
        <v>0.75153374</v>
      </c>
      <c r="AT178" s="205">
        <v>0.75153374</v>
      </c>
      <c r="AU178" s="205">
        <v>0.75153374</v>
      </c>
      <c r="AV178" s="205">
        <v>-0.0337423</v>
      </c>
      <c r="AW178" s="205">
        <v>0.75153374</v>
      </c>
      <c r="AX178" s="205">
        <v>-0.0260736</v>
      </c>
      <c r="AY178" s="205">
        <v>0.75153374</v>
      </c>
      <c r="AZ178" s="205">
        <v>-0.4248466</v>
      </c>
      <c r="BA178" s="205">
        <v>-0.0153374</v>
      </c>
      <c r="BB178" s="205">
        <v>0.75153374</v>
      </c>
      <c r="BC178" s="205">
        <v>0.24079755</v>
      </c>
      <c r="BD178" s="205">
        <v>-0.0153374</v>
      </c>
      <c r="BE178" s="205">
        <v>0.71932515</v>
      </c>
      <c r="BF178" s="205">
        <v>-0.2714724</v>
      </c>
      <c r="BG178" s="205">
        <v>0.24079755</v>
      </c>
      <c r="BH178" s="205">
        <v>-0.0153374</v>
      </c>
      <c r="BI178" s="205">
        <v>0.25153374</v>
      </c>
      <c r="BJ178" s="205">
        <v>-0.303681</v>
      </c>
      <c r="BK178" s="205">
        <v>-0.2592025</v>
      </c>
      <c r="BL178" s="205">
        <v>-0.5199387</v>
      </c>
      <c r="BM178" s="205">
        <v>0.00153374</v>
      </c>
      <c r="BN178" s="205">
        <v>0.00306748</v>
      </c>
      <c r="BO178" s="205">
        <v>0.75153374</v>
      </c>
      <c r="BP178" s="205">
        <v>-0.4079755</v>
      </c>
      <c r="BQ178" s="206"/>
      <c r="BR178" s="250">
        <f t="shared" si="1"/>
        <v>0.2368536356</v>
      </c>
      <c r="BS178" s="250">
        <f t="shared" si="2"/>
        <v>0.4771155909</v>
      </c>
      <c r="BT178" s="206"/>
      <c r="BU178" s="207">
        <f>IFERROR(__xludf.DUMMYFUNCTION("AVERAGE(ARRAYFORMULA(XLOOKUP(FILTER(INDIRECT(""'""&amp;BU$1&amp;""'!$C$4:$C$66""),INDIRECT(""'""&amp;BU$1&amp;""'!$D$4:$D$66"")=BU$2),$F$3:$BP$3,$F178:$BP178)))"),0.11196319857142857)</f>
        <v>0.1119631986</v>
      </c>
      <c r="BV178" s="207" t="str">
        <f>IFERROR(__xludf.DUMMYFUNCTION("IF(OR(BU178&gt;$BR178+$BS178*$BS$2,BU178&lt;$BR178-$BS178*$BS$2),AVEDEV(ARRAYFORMULA(XLOOKUP(FILTER(INDIRECT(""'""&amp;BU$1&amp;""'!$C$4:$C$66""),INDIRECT(""'""&amp;BU$1&amp;""'!$D$4:$D$66"")=BU$2),$F$3:$BP$3,$F178:$BP178))),"""")"),"")</f>
        <v/>
      </c>
      <c r="BW178" s="207">
        <f>IFERROR(__xludf.DUMMYFUNCTION("AVERAGE(ARRAYFORMULA(XLOOKUP(FILTER(INDIRECT(""'""&amp;BW$1&amp;""'!$C$4:$C$66""),INDIRECT(""'""&amp;BW$1&amp;""'!$D$4:$D$66"")=BW$2),$F$3:$BP$3,$F178:$BP178)))"),0.2864446359523809)</f>
        <v>0.286444636</v>
      </c>
      <c r="BX178" s="207" t="str">
        <f>IFERROR(__xludf.DUMMYFUNCTION("IF(OR(BW178&gt;$BR178+$BS178*$BS$2,BW178&lt;$BR178-$BS178*$BS$2),AVEDEV(ARRAYFORMULA(XLOOKUP(FILTER(INDIRECT(""'""&amp;BW$1&amp;""'!$C$4:$C$66""),INDIRECT(""'""&amp;BW$1&amp;""'!$D$4:$D$66"")=BW$2),$F$3:$BP$3,$F178:$BP178))),"""")"),"")</f>
        <v/>
      </c>
      <c r="BY178" s="207">
        <f>IFERROR(__xludf.DUMMYFUNCTION("AVERAGE(ARRAYFORMULA(XLOOKUP(FILTER(INDIRECT(""'""&amp;BY$1&amp;""'!$C$4:$C$66""),INDIRECT(""'""&amp;BY$1&amp;""'!$D$4:$D$66"")=BY$2),$F$3:$BP$3,$F178:$BP178)))"),-0.10638594727272728)</f>
        <v>-0.1063859473</v>
      </c>
      <c r="BZ178" s="207" t="str">
        <f>IFERROR(__xludf.DUMMYFUNCTION("IF(OR(BY178&gt;$BR178+$BS178*$BS$2,BY178&lt;$BR178-$BS178*$BS$2),AVEDEV(ARRAYFORMULA(XLOOKUP(FILTER(INDIRECT(""'""&amp;BY$1&amp;""'!$C$4:$C$66""),INDIRECT(""'""&amp;BY$1&amp;""'!$D$4:$D$66"")=BY$2),$F$3:$BP$3,$F178:$BP178))),"""")"),"")</f>
        <v/>
      </c>
      <c r="CA178" s="209"/>
      <c r="CB178" s="207">
        <f>IFERROR(__xludf.DUMMYFUNCTION("AVERAGE(ARRAYFORMULA(XLOOKUP(FILTER(INDIRECT(""'""&amp;CB$1&amp;""'!$C$4:$C$66""),INDIRECT(""'""&amp;CB$1&amp;""'!$D$4:$D$66"")=CB$2),$F$3:$BP$3,$F178:$BP178)))"),0.43529524374999995)</f>
        <v>0.4352952438</v>
      </c>
      <c r="CC178" s="207" t="str">
        <f>IFERROR(__xludf.DUMMYFUNCTION("IF(OR(CB178&gt;$BR178+$BS178*$BS$2,CB178&lt;$BR178-$BS178*$BS$2),AVEDEV(ARRAYFORMULA(XLOOKUP(FILTER(INDIRECT(""'""&amp;CB$1&amp;""'!$C$4:$C$66""),INDIRECT(""'""&amp;CB$1&amp;""'!$D$4:$D$66"")=CB$2),$F$3:$BP$3,$F178:$BP178))),"""")"),"")</f>
        <v/>
      </c>
      <c r="CD178" s="207">
        <f>IFERROR(__xludf.DUMMYFUNCTION("AVERAGE(ARRAYFORMULA(XLOOKUP(FILTER(INDIRECT(""'""&amp;CD$1&amp;""'!$C$4:$C$66""),INDIRECT(""'""&amp;CD$1&amp;""'!$D$4:$D$66"")=CD$2),$F$3:$BP$3,$F178:$BP178)))"),0.13101128225806458)</f>
        <v>0.1310112823</v>
      </c>
      <c r="CE178" s="207" t="str">
        <f>IFERROR(__xludf.DUMMYFUNCTION("IF(OR(CD178&gt;$BR178+$BS178*$BS$2,CD178&lt;$BR178-$BS178*$BS$2),AVEDEV(ARRAYFORMULA(XLOOKUP(FILTER(INDIRECT(""'""&amp;CD$1&amp;""'!$C$4:$C$66""),INDIRECT(""'""&amp;CD$1&amp;""'!$D$4:$D$66"")=CD$2),$F$3:$BP$3,$F178:$BP178))),"""")"),"")</f>
        <v/>
      </c>
      <c r="CF178" s="207">
        <f>IFERROR(__xludf.DUMMYFUNCTION("AVERAGE(ARRAYFORMULA(XLOOKUP(FILTER(INDIRECT(""'""&amp;CF$1&amp;""'!$C$4:$C$66""),INDIRECT(""'""&amp;CF$1&amp;""'!$D$4:$D$66"")=CF$2),$F$3:$BP$3,$F178:$BP178)))"),-0.30398774)</f>
        <v>-0.30398774</v>
      </c>
      <c r="CG178" s="207">
        <f>IFERROR(__xludf.DUMMYFUNCTION("IF(OR(CF178&gt;$BR178+$BS178*$BS$2,CF178&lt;$BR178-$BS178*$BS$2),AVEDEV(ARRAYFORMULA(XLOOKUP(FILTER(INDIRECT(""'""&amp;CF$1&amp;""'!$C$4:$C$66""),INDIRECT(""'""&amp;CF$1&amp;""'!$D$4:$D$66"")=CF$2),$F$3:$BP$3,$F178:$BP178))),"""")"),0.13963188799999998)</f>
        <v>0.139631888</v>
      </c>
      <c r="CH178" s="206"/>
      <c r="CI178" s="251">
        <f>IFERROR(__xludf.DUMMYFUNCTION("AVERAGE(ARRAYFORMULA(XLOOKUP(FILTER(INDIRECT(""'""&amp;CI$1&amp;""'!$C$4:$C$66""),INDIRECT(""'""&amp;CI$1&amp;""'!$D$4:$D$66"")=CI$2),$F$3:$BP$3,$F178:$BP178)))"),0.013292436666666678)</f>
        <v>0.01329243667</v>
      </c>
      <c r="CJ178" s="207" t="str">
        <f>IFERROR(__xludf.DUMMYFUNCTION("IF(OR(CI178&gt;$BR178+$BS178*$BS$2,CI178&lt;$BR178-$BS178*$BS$2),AVEDEV(ARRAYFORMULA(XLOOKUP(FILTER(INDIRECT(""'""&amp;CI$1&amp;""'!$C$4:$C$66""),INDIRECT(""'""&amp;CI$1&amp;""'!$D$4:$D$66"")=CI$2),$F$3:$BP$3,$F178:$BP178))),"""")"),"")</f>
        <v/>
      </c>
      <c r="CK178" s="251">
        <f>IFERROR(__xludf.DUMMYFUNCTION("AVERAGE(ARRAYFORMULA(XLOOKUP(FILTER(INDIRECT(""'""&amp;CK$1&amp;""'!$C$4:$C$66""),INDIRECT(""'""&amp;CK$1&amp;""'!$D$4:$D$66"")=CK$2),$F$3:$BP$3,$F178:$BP178)))"),0.33907503410256407)</f>
        <v>0.3390750341</v>
      </c>
      <c r="CL178" s="207" t="str">
        <f>IFERROR(__xludf.DUMMYFUNCTION("IF(OR(CK178&gt;$BR178+$BS178*$BS$2,CK178&lt;$BR178-$BS178*$BS$2),AVEDEV(ARRAYFORMULA(XLOOKUP(FILTER(INDIRECT(""'""&amp;CK$1&amp;""'!$C$4:$C$66""),INDIRECT(""'""&amp;CK$1&amp;""'!$D$4:$D$66"")=CK$2),$F$3:$BP$3,$F178:$BP178))),"""")"),"")</f>
        <v/>
      </c>
      <c r="CM178" s="251">
        <f>IFERROR(__xludf.DUMMYFUNCTION("AVERAGE(ARRAYFORMULA(XLOOKUP(FILTER(INDIRECT(""'""&amp;CM$1&amp;""'!$C$4:$C$66""),INDIRECT(""'""&amp;CM$1&amp;""'!$D$4:$D$66"")=CM$2),$F$3:$BP$3,$F178:$BP178)))"),-0.30398774)</f>
        <v>-0.30398774</v>
      </c>
      <c r="CN178" s="207">
        <f>IFERROR(__xludf.DUMMYFUNCTION("IF(OR(CM178&gt;$BR178+$BS178*$BS$2,CM178&lt;$BR178-$BS178*$BS$2),AVEDEV(ARRAYFORMULA(XLOOKUP(FILTER(INDIRECT(""'""&amp;CM$1&amp;""'!$C$4:$C$66""),INDIRECT(""'""&amp;CM$1&amp;""'!$D$4:$D$66"")=CM$2),$F$3:$BP$3,$F178:$BP178))),"""")"),0.13963188799999998)</f>
        <v>0.139631888</v>
      </c>
      <c r="CO178" s="252"/>
      <c r="CP178" s="251">
        <f>IFERROR(__xludf.DUMMYFUNCTION("AVERAGE(ARRAYFORMULA(XLOOKUP(FILTER(INDIRECT(""'""&amp;CP$1&amp;""'!$C$4:$C$66""),INDIRECT(""'""&amp;CP$1&amp;""'!$D$4:$D$66"")=CP$2),$F$3:$BP$3,$F178:$BP178)))"),0.39932076499999997)</f>
        <v>0.399320765</v>
      </c>
      <c r="CQ178" s="207" t="str">
        <f>IFERROR(__xludf.DUMMYFUNCTION("IF(OR(CP178&gt;$BR178+$BS178*$BS$2,CP178&lt;$BR178-$BS178*$BS$2),AVEDEV(ARRAYFORMULA(XLOOKUP(FILTER(INDIRECT(""'""&amp;CP$1&amp;""'!$C$4:$C$66""),INDIRECT(""'""&amp;CP$1&amp;""'!$D$4:$D$66"")=CP$2),$F$3:$BP$3,$F178:$BP178))),"""")"),"")</f>
        <v/>
      </c>
      <c r="CR178" s="251">
        <f>IFERROR(__xludf.DUMMYFUNCTION("AVERAGE(ARRAYFORMULA(XLOOKUP(FILTER(INDIRECT(""'""&amp;CR$1&amp;""'!$C$4:$C$66""),INDIRECT(""'""&amp;CR$1&amp;""'!$D$4:$D$66"")=CR$2),$F$3:$BP$3,$F178:$BP178)))"),-0.15576005111111113)</f>
        <v>-0.1557600511</v>
      </c>
      <c r="CS178" s="207" t="str">
        <f>IFERROR(__xludf.DUMMYFUNCTION("IF(OR(CR178&gt;$BR178+$BS178*$BS$2,CR178&lt;$BR178-$BS178*$BS$2),AVEDEV(ARRAYFORMULA(XLOOKUP(FILTER(INDIRECT(""'""&amp;CR$1&amp;""'!$C$4:$C$66""),INDIRECT(""'""&amp;CR$1&amp;""'!$D$4:$D$66"")=CR$2),$F$3:$BP$3,$F178:$BP178))),"""")"),"")</f>
        <v/>
      </c>
      <c r="CT178" s="251">
        <f>IFERROR(__xludf.DUMMYFUNCTION("AVERAGE(ARRAYFORMULA(XLOOKUP(FILTER(INDIRECT(""'""&amp;CT$1&amp;""'!$C$4:$C$66""),INDIRECT(""'""&amp;CT$1&amp;""'!$D$4:$D$66"")=CT$2),$F$3:$BP$3,$F178:$BP178)))"),0.19074177090909086)</f>
        <v>0.1907417709</v>
      </c>
      <c r="CU178" s="207" t="str">
        <f>IFERROR(__xludf.DUMMYFUNCTION("IF(OR(CT178&gt;$BR178+$BS178*$BS$2,CT178&lt;$BR178-$BS178*$BS$2),AVEDEV(ARRAYFORMULA(XLOOKUP(FILTER(INDIRECT(""'""&amp;CT$1&amp;""'!$C$4:$C$66""),INDIRECT(""'""&amp;CT$1&amp;""'!$D$4:$D$66"")=CT$2),$F$3:$BP$3,$F178:$BP178))),"""")"),"")</f>
        <v/>
      </c>
      <c r="CV178" s="251">
        <f>IFERROR(__xludf.DUMMYFUNCTION("AVERAGE(ARRAYFORMULA(XLOOKUP(FILTER(INDIRECT(""'""&amp;CV$1&amp;""'!$C$4:$C$66""),INDIRECT(""'""&amp;CV$1&amp;""'!$D$4:$D$66"")=CV$2),$F$3:$BP$3,$F178:$BP178)))"),0.24079755)</f>
        <v>0.24079755</v>
      </c>
      <c r="CW178" s="207" t="str">
        <f>IFERROR(__xludf.DUMMYFUNCTION("IF(OR(CV178&gt;$BR178+$BS178*$BS$2,CV178&lt;$BR178-$BS178*$BS$2),AVEDEV(ARRAYFORMULA(XLOOKUP(FILTER(INDIRECT(""'""&amp;CV$1&amp;""'!$C$4:$C$66""),INDIRECT(""'""&amp;CV$1&amp;""'!$D$4:$D$66"")=CV$2),$F$3:$BP$3,$F178:$BP178))),"""")"),"")</f>
        <v/>
      </c>
      <c r="CX178" s="251">
        <f>IFERROR(__xludf.DUMMYFUNCTION("AVERAGE(ARRAYFORMULA(XLOOKUP(FILTER(INDIRECT(""'""&amp;CX$1&amp;""'!$C$4:$C$66""),INDIRECT(""'""&amp;CX$1&amp;""'!$D$4:$D$66"")=CX$2),$F$3:$BP$3,$F178:$BP178)))"),0.2968886935714285)</f>
        <v>0.2968886936</v>
      </c>
      <c r="CY178" s="207" t="str">
        <f>IFERROR(__xludf.DUMMYFUNCTION("IF(OR(CX178&gt;$BR178+$BS178*$BS$2,CX178&lt;$BR178-$BS178*$BS$2),AVEDEV(ARRAYFORMULA(XLOOKUP(FILTER(INDIRECT(""'""&amp;CX$1&amp;""'!$C$4:$C$66""),INDIRECT(""'""&amp;CX$1&amp;""'!$D$4:$D$66"")=CX$2),$F$3:$BP$3,$F178:$BP178))),"""")"),"")</f>
        <v/>
      </c>
      <c r="CZ178" s="252"/>
      <c r="DA178" s="251">
        <f>IFERROR(__xludf.DUMMYFUNCTION("AVERAGE(ARRAYFORMULA(XLOOKUP(FILTER(INDIRECT(""'""&amp;DA$1&amp;""'!$C$4:$C$66""),INDIRECT(""'""&amp;DA$1&amp;""'!$D$4:$D$66"")=DA$2),$F$3:$BP$3,$F178:$BP178)))"),0.2952965203333333)</f>
        <v>0.2952965203</v>
      </c>
      <c r="DB178" s="207" t="str">
        <f>IFERROR(__xludf.DUMMYFUNCTION("IF(OR(DA178&gt;$BR178+$BS178*$BS$2,DA178&lt;$BR178-$BS178*$BS$2),AVEDEV(ARRAYFORMULA(XLOOKUP(FILTER(INDIRECT(""'""&amp;DA$1&amp;""'!$C$4:$C$66""),INDIRECT(""'""&amp;DA$1&amp;""'!$D$4:$D$66"")=DA$2),$F$3:$BP$3,$F178:$BP178))),"""")"),"")</f>
        <v/>
      </c>
      <c r="DC178" s="251">
        <f>IFERROR(__xludf.DUMMYFUNCTION("AVERAGE(ARRAYFORMULA(XLOOKUP(FILTER(INDIRECT(""'""&amp;DC$1&amp;""'!$C$4:$C$66""),INDIRECT(""'""&amp;DC$1&amp;""'!$D$4:$D$66"")=DC$2),$F$3:$BP$3,$F178:$BP178)))"),-0.05691888000000002)</f>
        <v>-0.05691888</v>
      </c>
      <c r="DD178" s="207" t="str">
        <f>IFERROR(__xludf.DUMMYFUNCTION("IF(OR(DC178&gt;$BR178+$BS178*$BS$2,DC178&lt;$BR178-$BS178*$BS$2),AVEDEV(ARRAYFORMULA(XLOOKUP(FILTER(INDIRECT(""'""&amp;DC$1&amp;""'!$C$4:$C$66""),INDIRECT(""'""&amp;DC$1&amp;""'!$D$4:$D$66"")=DC$2),$F$3:$BP$3,$F178:$BP178))),"""")"),"")</f>
        <v/>
      </c>
      <c r="DE178" s="251">
        <f>IFERROR(__xludf.DUMMYFUNCTION("AVERAGE(ARRAYFORMULA(XLOOKUP(FILTER(INDIRECT(""'""&amp;DE$1&amp;""'!$C$4:$C$66""),INDIRECT(""'""&amp;DE$1&amp;""'!$D$4:$D$66"")=DE$2),$F$3:$BP$3,$F178:$BP178)))"),0.134777615)</f>
        <v>0.134777615</v>
      </c>
      <c r="DF178" s="207" t="str">
        <f>IFERROR(__xludf.DUMMYFUNCTION("IF(OR(DE178&gt;$BR178+$BS178*$BS$2,DE178&lt;$BR178-$BS178*$BS$2),AVEDEV(ARRAYFORMULA(XLOOKUP(FILTER(INDIRECT(""'""&amp;DE$1&amp;""'!$C$4:$C$66""),INDIRECT(""'""&amp;DE$1&amp;""'!$D$4:$D$66"")=DE$2),$F$3:$BP$3,$F178:$BP178))),"""")"),"")</f>
        <v/>
      </c>
      <c r="DG178" s="251">
        <f>IFERROR(__xludf.DUMMYFUNCTION("AVERAGE(ARRAYFORMULA(XLOOKUP(FILTER(INDIRECT(""'""&amp;DG$1&amp;""'!$C$4:$C$66""),INDIRECT(""'""&amp;DG$1&amp;""'!$D$4:$D$66"")=DG$2),$F$3:$BP$3,$F178:$BP178)))"),0.033401495555555556)</f>
        <v>0.03340149556</v>
      </c>
      <c r="DH178" s="207" t="str">
        <f>IFERROR(__xludf.DUMMYFUNCTION("IF(OR(DG178&gt;$BR178+$BS178*$BS$2,DG178&lt;$BR178-$BS178*$BS$2),AVEDEV(ARRAYFORMULA(XLOOKUP(FILTER(INDIRECT(""'""&amp;DG$1&amp;""'!$C$4:$C$66""),INDIRECT(""'""&amp;DG$1&amp;""'!$D$4:$D$66"")=DG$2),$F$3:$BP$3,$F178:$BP178))),"""")"),"")</f>
        <v/>
      </c>
      <c r="DI178" s="252"/>
    </row>
    <row r="179">
      <c r="A179" s="2"/>
      <c r="B179" s="204" t="s">
        <v>601</v>
      </c>
      <c r="C179" s="204" t="s">
        <v>623</v>
      </c>
      <c r="D179" s="205" t="b">
        <f>VLOOKUP(C179,'Feature Set List'!A176:C246,2,0)</f>
        <v>1</v>
      </c>
      <c r="E179" s="205" t="b">
        <f>VLOOKUP(C179,'Feature Set List'!A176:C246,3,0)</f>
        <v>0</v>
      </c>
      <c r="F179" s="205">
        <v>0.10461957</v>
      </c>
      <c r="G179" s="205">
        <v>0.38179348</v>
      </c>
      <c r="H179" s="205">
        <v>-0.21875</v>
      </c>
      <c r="I179" s="205">
        <v>-0.0461957</v>
      </c>
      <c r="J179" s="205">
        <v>0.0</v>
      </c>
      <c r="K179" s="205">
        <v>-0.4959239</v>
      </c>
      <c r="L179" s="205">
        <v>-0.7516304</v>
      </c>
      <c r="M179" s="205">
        <v>1.05706522</v>
      </c>
      <c r="N179" s="205">
        <v>-0.0964674</v>
      </c>
      <c r="O179" s="205">
        <v>-0.85</v>
      </c>
      <c r="P179" s="205">
        <v>1.31929348</v>
      </c>
      <c r="Q179" s="205">
        <v>-0.1861413</v>
      </c>
      <c r="R179" s="205">
        <v>0.38179348</v>
      </c>
      <c r="S179" s="205">
        <v>-0.2608696</v>
      </c>
      <c r="T179" s="205">
        <v>-0.28125</v>
      </c>
      <c r="U179" s="205">
        <v>0.92255435</v>
      </c>
      <c r="V179" s="205">
        <v>-0.5896739</v>
      </c>
      <c r="W179" s="205">
        <v>-0.5095109</v>
      </c>
      <c r="X179" s="205">
        <v>-1.0921196</v>
      </c>
      <c r="Y179" s="205">
        <v>-0.0230978</v>
      </c>
      <c r="Z179" s="205">
        <v>0.0</v>
      </c>
      <c r="AA179" s="205">
        <v>0.53125</v>
      </c>
      <c r="AB179" s="205">
        <v>-0.2649457</v>
      </c>
      <c r="AC179" s="205">
        <v>1.1861413</v>
      </c>
      <c r="AD179" s="205">
        <v>0.39673913</v>
      </c>
      <c r="AE179" s="205">
        <v>0.01222826</v>
      </c>
      <c r="AF179" s="205">
        <v>1.36005435</v>
      </c>
      <c r="AG179" s="205">
        <v>-0.0570652</v>
      </c>
      <c r="AH179" s="205">
        <v>-0.1100543</v>
      </c>
      <c r="AI179" s="205">
        <v>-0.7173913</v>
      </c>
      <c r="AJ179" s="205">
        <v>2.29076087</v>
      </c>
      <c r="AK179" s="205">
        <v>1.2513587</v>
      </c>
      <c r="AL179" s="205">
        <v>-0.1725543</v>
      </c>
      <c r="AM179" s="205">
        <v>0.51358696</v>
      </c>
      <c r="AN179" s="205">
        <v>0.99456522</v>
      </c>
      <c r="AO179" s="205">
        <v>0.69565217</v>
      </c>
      <c r="AP179" s="205">
        <v>0.30434783</v>
      </c>
      <c r="AQ179" s="205">
        <v>3.60597826</v>
      </c>
      <c r="AR179" s="205">
        <v>-0.3586957</v>
      </c>
      <c r="AS179" s="205">
        <v>0.01358696</v>
      </c>
      <c r="AT179" s="205">
        <v>4.33152174</v>
      </c>
      <c r="AU179" s="205">
        <v>-0.1480978</v>
      </c>
      <c r="AV179" s="205">
        <v>0.75679348</v>
      </c>
      <c r="AW179" s="205">
        <v>1.3125</v>
      </c>
      <c r="AX179" s="205">
        <v>0.74048913</v>
      </c>
      <c r="AY179" s="205">
        <v>-0.4048913</v>
      </c>
      <c r="AZ179" s="205">
        <v>-0.6059783</v>
      </c>
      <c r="BA179" s="205">
        <v>0.07336957</v>
      </c>
      <c r="BB179" s="205">
        <v>0.33967391</v>
      </c>
      <c r="BC179" s="205">
        <v>-1.220788</v>
      </c>
      <c r="BD179" s="205">
        <v>-0.6684783</v>
      </c>
      <c r="BE179" s="205">
        <v>-0.1630435</v>
      </c>
      <c r="BF179" s="205">
        <v>-0.5108696</v>
      </c>
      <c r="BG179" s="205">
        <v>1.19293478</v>
      </c>
      <c r="BH179" s="205">
        <v>-0.0665761</v>
      </c>
      <c r="BI179" s="205">
        <v>0.6861413</v>
      </c>
      <c r="BJ179" s="205">
        <v>0.55027174</v>
      </c>
      <c r="BK179" s="205">
        <v>0.19157609</v>
      </c>
      <c r="BL179" s="205">
        <v>-0.6304348</v>
      </c>
      <c r="BM179" s="205">
        <v>-1.2387228</v>
      </c>
      <c r="BN179" s="205">
        <v>-0.5679348</v>
      </c>
      <c r="BO179" s="205">
        <v>0.09375</v>
      </c>
      <c r="BP179" s="205">
        <v>-1.1497283</v>
      </c>
      <c r="BQ179" s="206"/>
      <c r="BR179" s="250">
        <f t="shared" si="1"/>
        <v>0.2084842973</v>
      </c>
      <c r="BS179" s="250">
        <f t="shared" si="2"/>
        <v>0.7015758014</v>
      </c>
      <c r="BT179" s="206"/>
      <c r="BU179" s="207">
        <f>IFERROR(__xludf.DUMMYFUNCTION("AVERAGE(ARRAYFORMULA(XLOOKUP(FILTER(INDIRECT(""'""&amp;BU$1&amp;""'!$C$4:$C$66""),INDIRECT(""'""&amp;BU$1&amp;""'!$D$4:$D$66"")=BU$2),$F$3:$BP$3,$F179:$BP179)))"),0.0772515442857143)</f>
        <v>0.07725154429</v>
      </c>
      <c r="BV179" s="207" t="str">
        <f>IFERROR(__xludf.DUMMYFUNCTION("IF(OR(BU179&gt;$BR179+$BS179*$BS$2,BU179&lt;$BR179-$BS179*$BS$2),AVEDEV(ARRAYFORMULA(XLOOKUP(FILTER(INDIRECT(""'""&amp;BU$1&amp;""'!$C$4:$C$66""),INDIRECT(""'""&amp;BU$1&amp;""'!$D$4:$D$66"")=BU$2),$F$3:$BP$3,$F179:$BP179))),"""")"),"")</f>
        <v/>
      </c>
      <c r="BW179" s="207">
        <f>IFERROR(__xludf.DUMMYFUNCTION("AVERAGE(ARRAYFORMULA(XLOOKUP(FILTER(INDIRECT(""'""&amp;BW$1&amp;""'!$C$4:$C$66""),INDIRECT(""'""&amp;BW$1&amp;""'!$D$4:$D$66"")=BW$2),$F$3:$BP$3,$F179:$BP179)))"),0.36348667023809533)</f>
        <v>0.3634866702</v>
      </c>
      <c r="BX179" s="207" t="str">
        <f>IFERROR(__xludf.DUMMYFUNCTION("IF(OR(BW179&gt;$BR179+$BS179*$BS$2,BW179&lt;$BR179-$BS179*$BS$2),AVEDEV(ARRAYFORMULA(XLOOKUP(FILTER(INDIRECT(""'""&amp;BW$1&amp;""'!$C$4:$C$66""),INDIRECT(""'""&amp;BW$1&amp;""'!$D$4:$D$66"")=BW$2),$F$3:$BP$3,$F179:$BP179))),"""")"),"")</f>
        <v/>
      </c>
      <c r="BY179" s="207">
        <f>IFERROR(__xludf.DUMMYFUNCTION("AVERAGE(ARRAYFORMULA(XLOOKUP(FILTER(INDIRECT(""'""&amp;BY$1&amp;""'!$C$4:$C$66""),INDIRECT(""'""&amp;BY$1&amp;""'!$D$4:$D$66"")=BY$2),$F$3:$BP$3,$F179:$BP179)))"),-0.5058794518181821)</f>
        <v>-0.5058794518</v>
      </c>
      <c r="BZ179" s="207">
        <f>IFERROR(__xludf.DUMMYFUNCTION("IF(OR(BY179&gt;$BR179+$BS179*$BS$2,BY179&lt;$BR179-$BS179*$BS$2),AVEDEV(ARRAYFORMULA(XLOOKUP(FILTER(INDIRECT(""'""&amp;BY$1&amp;""'!$C$4:$C$66""),INDIRECT(""'""&amp;BY$1&amp;""'!$D$4:$D$66"")=BY$2),$F$3:$BP$3,$F179:$BP179))),"""")"),0.2699200525619835)</f>
        <v>0.2699200526</v>
      </c>
      <c r="CA179" s="209"/>
      <c r="CB179" s="207">
        <f>IFERROR(__xludf.DUMMYFUNCTION("AVERAGE(ARRAYFORMULA(XLOOKUP(FILTER(INDIRECT(""'""&amp;CB$1&amp;""'!$C$4:$C$66""),INDIRECT(""'""&amp;CB$1&amp;""'!$D$4:$D$66"")=CB$2),$F$3:$BP$3,$F179:$BP179)))"),0.478260869375)</f>
        <v>0.4782608694</v>
      </c>
      <c r="CC179" s="207" t="str">
        <f>IFERROR(__xludf.DUMMYFUNCTION("IF(OR(CB179&gt;$BR179+$BS179*$BS$2,CB179&lt;$BR179-$BS179*$BS$2),AVEDEV(ARRAYFORMULA(XLOOKUP(FILTER(INDIRECT(""'""&amp;CB$1&amp;""'!$C$4:$C$66""),INDIRECT(""'""&amp;CB$1&amp;""'!$D$4:$D$66"")=CB$2),$F$3:$BP$3,$F179:$BP179))),"""")"),"")</f>
        <v/>
      </c>
      <c r="CD179" s="207">
        <f>IFERROR(__xludf.DUMMYFUNCTION("AVERAGE(ARRAYFORMULA(XLOOKUP(FILTER(INDIRECT(""'""&amp;CD$1&amp;""'!$C$4:$C$66""),INDIRECT(""'""&amp;CD$1&amp;""'!$D$4:$D$66"")=CD$2),$F$3:$BP$3,$F179:$BP179)))"),0.021787343225806468)</f>
        <v>0.02178734323</v>
      </c>
      <c r="CE179" s="207" t="str">
        <f>IFERROR(__xludf.DUMMYFUNCTION("IF(OR(CD179&gt;$BR179+$BS179*$BS$2,CD179&lt;$BR179-$BS179*$BS$2),AVEDEV(ARRAYFORMULA(XLOOKUP(FILTER(INDIRECT(""'""&amp;CD$1&amp;""'!$C$4:$C$66""),INDIRECT(""'""&amp;CD$1&amp;""'!$D$4:$D$66"")=CD$2),$F$3:$BP$3,$F179:$BP179))),"""")"),"")</f>
        <v/>
      </c>
      <c r="CF179" s="207">
        <f>IFERROR(__xludf.DUMMYFUNCTION("AVERAGE(ARRAYFORMULA(XLOOKUP(FILTER(INDIRECT(""'""&amp;CF$1&amp;""'!$C$4:$C$66""),INDIRECT(""'""&amp;CF$1&amp;""'!$D$4:$D$66"")=CF$2),$F$3:$BP$3,$F179:$BP179)))"),-0.51728264)</f>
        <v>-0.51728264</v>
      </c>
      <c r="CG179" s="207">
        <f>IFERROR(__xludf.DUMMYFUNCTION("IF(OR(CF179&gt;$BR179+$BS179*$BS$2,CF179&lt;$BR179-$BS179*$BS$2),AVEDEV(ARRAYFORMULA(XLOOKUP(FILTER(INDIRECT(""'""&amp;CF$1&amp;""'!$C$4:$C$66""),INDIRECT(""'""&amp;CF$1&amp;""'!$D$4:$D$66"")=CF$2),$F$3:$BP$3,$F179:$BP179))),"""")"),0.16856520799999997)</f>
        <v>0.168565208</v>
      </c>
      <c r="CH179" s="206"/>
      <c r="CI179" s="251">
        <f>IFERROR(__xludf.DUMMYFUNCTION("AVERAGE(ARRAYFORMULA(XLOOKUP(FILTER(INDIRECT(""'""&amp;CI$1&amp;""'!$C$4:$C$66""),INDIRECT(""'""&amp;CI$1&amp;""'!$D$4:$D$66"")=CI$2),$F$3:$BP$3,$F179:$BP179)))"),-0.12634058999999997)</f>
        <v>-0.12634059</v>
      </c>
      <c r="CJ179" s="207" t="str">
        <f>IFERROR(__xludf.DUMMYFUNCTION("IF(OR(CI179&gt;$BR179+$BS179*$BS$2,CI179&lt;$BR179-$BS179*$BS$2),AVEDEV(ARRAYFORMULA(XLOOKUP(FILTER(INDIRECT(""'""&amp;CI$1&amp;""'!$C$4:$C$66""),INDIRECT(""'""&amp;CI$1&amp;""'!$D$4:$D$66"")=CI$2),$F$3:$BP$3,$F179:$BP179))),"""")"),"")</f>
        <v/>
      </c>
      <c r="CK179" s="251">
        <f>IFERROR(__xludf.DUMMYFUNCTION("AVERAGE(ARRAYFORMULA(XLOOKUP(FILTER(INDIRECT(""'""&amp;CK$1&amp;""'!$C$4:$C$66""),INDIRECT(""'""&amp;CK$1&amp;""'!$D$4:$D$66"")=CK$2),$F$3:$BP$3,$F179:$BP179)))"),0.3726275115384616)</f>
        <v>0.3726275115</v>
      </c>
      <c r="CL179" s="207" t="str">
        <f>IFERROR(__xludf.DUMMYFUNCTION("IF(OR(CK179&gt;$BR179+$BS179*$BS$2,CK179&lt;$BR179-$BS179*$BS$2),AVEDEV(ARRAYFORMULA(XLOOKUP(FILTER(INDIRECT(""'""&amp;CK$1&amp;""'!$C$4:$C$66""),INDIRECT(""'""&amp;CK$1&amp;""'!$D$4:$D$66"")=CK$2),$F$3:$BP$3,$F179:$BP179))),"""")"),"")</f>
        <v/>
      </c>
      <c r="CM179" s="251">
        <f>IFERROR(__xludf.DUMMYFUNCTION("AVERAGE(ARRAYFORMULA(XLOOKUP(FILTER(INDIRECT(""'""&amp;CM$1&amp;""'!$C$4:$C$66""),INDIRECT(""'""&amp;CM$1&amp;""'!$D$4:$D$66"")=CM$2),$F$3:$BP$3,$F179:$BP179)))"),-0.51728264)</f>
        <v>-0.51728264</v>
      </c>
      <c r="CN179" s="207">
        <f>IFERROR(__xludf.DUMMYFUNCTION("IF(OR(CM179&gt;$BR179+$BS179*$BS$2,CM179&lt;$BR179-$BS179*$BS$2),AVEDEV(ARRAYFORMULA(XLOOKUP(FILTER(INDIRECT(""'""&amp;CM$1&amp;""'!$C$4:$C$66""),INDIRECT(""'""&amp;CM$1&amp;""'!$D$4:$D$66"")=CM$2),$F$3:$BP$3,$F179:$BP179))),"""")"),0.16856520799999997)</f>
        <v>0.168565208</v>
      </c>
      <c r="CO179" s="252"/>
      <c r="CP179" s="251">
        <f>IFERROR(__xludf.DUMMYFUNCTION("AVERAGE(ARRAYFORMULA(XLOOKUP(FILTER(INDIRECT(""'""&amp;CP$1&amp;""'!$C$4:$C$66""),INDIRECT(""'""&amp;CP$1&amp;""'!$D$4:$D$66"")=CP$2),$F$3:$BP$3,$F179:$BP179)))"),0.6891498442857144)</f>
        <v>0.6891498443</v>
      </c>
      <c r="CQ179" s="207" t="str">
        <f>IFERROR(__xludf.DUMMYFUNCTION("IF(OR(CP179&gt;$BR179+$BS179*$BS$2,CP179&lt;$BR179-$BS179*$BS$2),AVEDEV(ARRAYFORMULA(XLOOKUP(FILTER(INDIRECT(""'""&amp;CP$1&amp;""'!$C$4:$C$66""),INDIRECT(""'""&amp;CP$1&amp;""'!$D$4:$D$66"")=CP$2),$F$3:$BP$3,$F179:$BP179))),"""")"),"")</f>
        <v/>
      </c>
      <c r="CR179" s="251">
        <f>IFERROR(__xludf.DUMMYFUNCTION("AVERAGE(ARRAYFORMULA(XLOOKUP(FILTER(INDIRECT(""'""&amp;CR$1&amp;""'!$C$4:$C$66""),INDIRECT(""'""&amp;CR$1&amp;""'!$D$4:$D$66"")=CR$2),$F$3:$BP$3,$F179:$BP179)))"),-0.5032608744444445)</f>
        <v>-0.5032608744</v>
      </c>
      <c r="CS179" s="207">
        <f>IFERROR(__xludf.DUMMYFUNCTION("IF(OR(CR179&gt;$BR179+$BS179*$BS$2,CR179&lt;$BR179-$BS179*$BS$2),AVEDEV(ARRAYFORMULA(XLOOKUP(FILTER(INDIRECT(""'""&amp;CR$1&amp;""'!$C$4:$C$66""),INDIRECT(""'""&amp;CR$1&amp;""'!$D$4:$D$66"")=CR$2),$F$3:$BP$3,$F179:$BP179))),"""")"),0.30513285061728396)</f>
        <v>0.3051328506</v>
      </c>
      <c r="CT179" s="251">
        <f>IFERROR(__xludf.DUMMYFUNCTION("AVERAGE(ARRAYFORMULA(XLOOKUP(FILTER(INDIRECT(""'""&amp;CT$1&amp;""'!$C$4:$C$66""),INDIRECT(""'""&amp;CT$1&amp;""'!$D$4:$D$66"")=CT$2),$F$3:$BP$3,$F179:$BP179)))"),-0.10906620545454547)</f>
        <v>-0.1090662055</v>
      </c>
      <c r="CU179" s="207" t="str">
        <f>IFERROR(__xludf.DUMMYFUNCTION("IF(OR(CT179&gt;$BR179+$BS179*$BS$2,CT179&lt;$BR179-$BS179*$BS$2),AVEDEV(ARRAYFORMULA(XLOOKUP(FILTER(INDIRECT(""'""&amp;CT$1&amp;""'!$C$4:$C$66""),INDIRECT(""'""&amp;CT$1&amp;""'!$D$4:$D$66"")=CT$2),$F$3:$BP$3,$F179:$BP179))),"""")"),"")</f>
        <v/>
      </c>
      <c r="CV179" s="251">
        <f>IFERROR(__xludf.DUMMYFUNCTION("AVERAGE(ARRAYFORMULA(XLOOKUP(FILTER(INDIRECT(""'""&amp;CV$1&amp;""'!$C$4:$C$66""),INDIRECT(""'""&amp;CV$1&amp;""'!$D$4:$D$66"")=CV$2),$F$3:$BP$3,$F179:$BP179)))"),1.18953804)</f>
        <v>1.18953804</v>
      </c>
      <c r="CW179" s="207">
        <f>IFERROR(__xludf.DUMMYFUNCTION("IF(OR(CV179&gt;$BR179+$BS179*$BS$2,CV179&lt;$BR179-$BS179*$BS$2),AVEDEV(ARRAYFORMULA(XLOOKUP(FILTER(INDIRECT(""'""&amp;CV$1&amp;""'!$C$4:$C$66""),INDIRECT(""'""&amp;CV$1&amp;""'!$D$4:$D$66"")=CV$2),$F$3:$BP$3,$F179:$BP179))),"""")"),0.003396740000000009)</f>
        <v>0.00339674</v>
      </c>
      <c r="CX179" s="251">
        <f>IFERROR(__xludf.DUMMYFUNCTION("AVERAGE(ARRAYFORMULA(XLOOKUP(FILTER(INDIRECT(""'""&amp;CX$1&amp;""'!$C$4:$C$66""),INDIRECT(""'""&amp;CX$1&amp;""'!$D$4:$D$66"")=CX$2),$F$3:$BP$3,$F179:$BP179)))"),0.3137713507142857)</f>
        <v>0.3137713507</v>
      </c>
      <c r="CY179" s="207" t="str">
        <f>IFERROR(__xludf.DUMMYFUNCTION("IF(OR(CX179&gt;$BR179+$BS179*$BS$2,CX179&lt;$BR179-$BS179*$BS$2),AVEDEV(ARRAYFORMULA(XLOOKUP(FILTER(INDIRECT(""'""&amp;CX$1&amp;""'!$C$4:$C$66""),INDIRECT(""'""&amp;CX$1&amp;""'!$D$4:$D$66"")=CX$2),$F$3:$BP$3,$F179:$BP179))),"""")"),"")</f>
        <v/>
      </c>
      <c r="CZ179" s="252"/>
      <c r="DA179" s="251">
        <f>IFERROR(__xludf.DUMMYFUNCTION("AVERAGE(ARRAYFORMULA(XLOOKUP(FILTER(INDIRECT(""'""&amp;DA$1&amp;""'!$C$4:$C$66""),INDIRECT(""'""&amp;DA$1&amp;""'!$D$4:$D$66"")=DA$2),$F$3:$BP$3,$F179:$BP179)))"),0.36778985066666664)</f>
        <v>0.3677898507</v>
      </c>
      <c r="DB179" s="207" t="str">
        <f>IFERROR(__xludf.DUMMYFUNCTION("IF(OR(DA179&gt;$BR179+$BS179*$BS$2,DA179&lt;$BR179-$BS179*$BS$2),AVEDEV(ARRAYFORMULA(XLOOKUP(FILTER(INDIRECT(""'""&amp;DA$1&amp;""'!$C$4:$C$66""),INDIRECT(""'""&amp;DA$1&amp;""'!$D$4:$D$66"")=DA$2),$F$3:$BP$3,$F179:$BP179))),"""")"),"")</f>
        <v/>
      </c>
      <c r="DC179" s="251">
        <f>IFERROR(__xludf.DUMMYFUNCTION("AVERAGE(ARRAYFORMULA(XLOOKUP(FILTER(INDIRECT(""'""&amp;DC$1&amp;""'!$C$4:$C$66""),INDIRECT(""'""&amp;DC$1&amp;""'!$D$4:$D$66"")=DC$2),$F$3:$BP$3,$F179:$BP179)))"),-0.46977657)</f>
        <v>-0.46977657</v>
      </c>
      <c r="DD179" s="207" t="str">
        <f>IFERROR(__xludf.DUMMYFUNCTION("IF(OR(DC179&gt;$BR179+$BS179*$BS$2,DC179&lt;$BR179-$BS179*$BS$2),AVEDEV(ARRAYFORMULA(XLOOKUP(FILTER(INDIRECT(""'""&amp;DC$1&amp;""'!$C$4:$C$66""),INDIRECT(""'""&amp;DC$1&amp;""'!$D$4:$D$66"")=DC$2),$F$3:$BP$3,$F179:$BP179))),"""")"),"")</f>
        <v/>
      </c>
      <c r="DE179" s="251">
        <f>IFERROR(__xludf.DUMMYFUNCTION("AVERAGE(ARRAYFORMULA(XLOOKUP(FILTER(INDIRECT(""'""&amp;DE$1&amp;""'!$C$4:$C$66""),INDIRECT(""'""&amp;DE$1&amp;""'!$D$4:$D$66"")=DE$2),$F$3:$BP$3,$F179:$BP179)))"),-0.07048233624999999)</f>
        <v>-0.07048233625</v>
      </c>
      <c r="DF179" s="207" t="str">
        <f>IFERROR(__xludf.DUMMYFUNCTION("IF(OR(DE179&gt;$BR179+$BS179*$BS$2,DE179&lt;$BR179-$BS179*$BS$2),AVEDEV(ARRAYFORMULA(XLOOKUP(FILTER(INDIRECT(""'""&amp;DE$1&amp;""'!$C$4:$C$66""),INDIRECT(""'""&amp;DE$1&amp;""'!$D$4:$D$66"")=DE$2),$F$3:$BP$3,$F179:$BP179))),"""")"),"")</f>
        <v/>
      </c>
      <c r="DG179" s="251">
        <f>IFERROR(__xludf.DUMMYFUNCTION("AVERAGE(ARRAYFORMULA(XLOOKUP(FILTER(INDIRECT(""'""&amp;DG$1&amp;""'!$C$4:$C$66""),INDIRECT(""'""&amp;DG$1&amp;""'!$D$4:$D$66"")=DG$2),$F$3:$BP$3,$F179:$BP179)))"),-0.03132548666666661)</f>
        <v>-0.03132548667</v>
      </c>
      <c r="DH179" s="207" t="str">
        <f>IFERROR(__xludf.DUMMYFUNCTION("IF(OR(DG179&gt;$BR179+$BS179*$BS$2,DG179&lt;$BR179-$BS179*$BS$2),AVEDEV(ARRAYFORMULA(XLOOKUP(FILTER(INDIRECT(""'""&amp;DG$1&amp;""'!$C$4:$C$66""),INDIRECT(""'""&amp;DG$1&amp;""'!$D$4:$D$66"")=DG$2),$F$3:$BP$3,$F179:$BP179))),"""")"),"")</f>
        <v/>
      </c>
      <c r="DI179" s="252"/>
    </row>
    <row r="180">
      <c r="A180" s="2"/>
      <c r="B180" s="204" t="s">
        <v>601</v>
      </c>
      <c r="C180" s="204" t="s">
        <v>624</v>
      </c>
      <c r="D180" s="205" t="b">
        <f>VLOOKUP(C180,'Feature Set List'!A177:C246,2,0)</f>
        <v>1</v>
      </c>
      <c r="E180" s="205" t="b">
        <f>VLOOKUP(C180,'Feature Set List'!A177:C246,3,0)</f>
        <v>0</v>
      </c>
      <c r="F180" s="205">
        <v>0.35542984</v>
      </c>
      <c r="G180" s="205">
        <v>0.21891526</v>
      </c>
      <c r="H180" s="205">
        <v>0.09100972</v>
      </c>
      <c r="I180" s="205">
        <v>0.1008486</v>
      </c>
      <c r="J180" s="205">
        <v>0.07994097</v>
      </c>
      <c r="K180" s="205">
        <v>-0.8268356</v>
      </c>
      <c r="L180" s="205">
        <v>-0.6221867</v>
      </c>
      <c r="M180" s="205">
        <v>1.14992006</v>
      </c>
      <c r="N180" s="205">
        <v>0.15127291</v>
      </c>
      <c r="O180" s="205">
        <v>-0.513098</v>
      </c>
      <c r="P180" s="205">
        <v>1.07735826</v>
      </c>
      <c r="Q180" s="205">
        <v>-0.0848604</v>
      </c>
      <c r="R180" s="205">
        <v>0.48210552</v>
      </c>
      <c r="S180" s="205">
        <v>-0.26565</v>
      </c>
      <c r="T180" s="205">
        <v>-0.0221375</v>
      </c>
      <c r="U180" s="205">
        <v>1.11425409</v>
      </c>
      <c r="V180" s="205">
        <v>-0.6769155</v>
      </c>
      <c r="W180" s="205">
        <v>-0.1771</v>
      </c>
      <c r="X180" s="205">
        <v>-0.7289386</v>
      </c>
      <c r="Y180" s="205">
        <v>0.22383471</v>
      </c>
      <c r="Z180" s="205">
        <v>-0.052884</v>
      </c>
      <c r="AA180" s="205">
        <v>0.70348051</v>
      </c>
      <c r="AB180" s="205">
        <v>-0.0479646</v>
      </c>
      <c r="AC180" s="205">
        <v>1.35653671</v>
      </c>
      <c r="AD180" s="205">
        <v>0.57557496</v>
      </c>
      <c r="AE180" s="205">
        <v>-0.9813061</v>
      </c>
      <c r="AF180" s="205">
        <v>1.30365269</v>
      </c>
      <c r="AG180" s="205">
        <v>0.21522568</v>
      </c>
      <c r="AH180" s="205">
        <v>-0.2939368</v>
      </c>
      <c r="AI180" s="205">
        <v>-0.3888821</v>
      </c>
      <c r="AJ180" s="205">
        <v>1.14131103</v>
      </c>
      <c r="AK180" s="205">
        <v>0.63829787</v>
      </c>
      <c r="AL180" s="205">
        <v>-0.0184479</v>
      </c>
      <c r="AM180" s="205">
        <v>0.0</v>
      </c>
      <c r="AN180" s="205">
        <v>0.95806174</v>
      </c>
      <c r="AO180" s="205">
        <v>0.63829787</v>
      </c>
      <c r="AP180" s="205">
        <v>0.58172427</v>
      </c>
      <c r="AQ180" s="205">
        <v>3.36244004</v>
      </c>
      <c r="AR180" s="205">
        <v>-0.4138482</v>
      </c>
      <c r="AS180" s="205">
        <v>0.33698192</v>
      </c>
      <c r="AT180" s="205">
        <v>-0.3234534</v>
      </c>
      <c r="AU180" s="205">
        <v>0.05657361</v>
      </c>
      <c r="AV180" s="205">
        <v>0.72930759</v>
      </c>
      <c r="AW180" s="205">
        <v>1.38113393</v>
      </c>
      <c r="AX180" s="205">
        <v>0.94822285</v>
      </c>
      <c r="AY180" s="205">
        <v>-0.1033083</v>
      </c>
      <c r="AZ180" s="205">
        <v>-0.7204526</v>
      </c>
      <c r="BA180" s="205">
        <v>0.36772845</v>
      </c>
      <c r="BB180" s="205">
        <v>0.50916246</v>
      </c>
      <c r="BC180" s="205">
        <v>-0.8199483</v>
      </c>
      <c r="BD180" s="205">
        <v>-0.2816382</v>
      </c>
      <c r="BE180" s="205">
        <v>-0.0282868</v>
      </c>
      <c r="BF180" s="205">
        <v>-0.4980937</v>
      </c>
      <c r="BG180" s="205">
        <v>1.36514574</v>
      </c>
      <c r="BH180" s="205">
        <v>-0.3910958</v>
      </c>
      <c r="BI180" s="205">
        <v>0.71823884</v>
      </c>
      <c r="BJ180" s="205">
        <v>-0.0590333</v>
      </c>
      <c r="BK180" s="205">
        <v>-0.3781823</v>
      </c>
      <c r="BL180" s="205">
        <v>-0.689829</v>
      </c>
      <c r="BM180" s="205">
        <v>-0.9123109</v>
      </c>
      <c r="BN180" s="205">
        <v>-0.4208584</v>
      </c>
      <c r="BO180" s="205">
        <v>-0.4525889</v>
      </c>
      <c r="BP180" s="205">
        <v>-0.7221744</v>
      </c>
      <c r="BQ180" s="206"/>
      <c r="BR180" s="250">
        <f t="shared" si="1"/>
        <v>0.1589800381</v>
      </c>
      <c r="BS180" s="250">
        <f t="shared" si="2"/>
        <v>0.5815511714</v>
      </c>
      <c r="BT180" s="206"/>
      <c r="BU180" s="207">
        <f>IFERROR(__xludf.DUMMYFUNCTION("AVERAGE(ARRAYFORMULA(XLOOKUP(FILTER(INDIRECT(""'""&amp;BU$1&amp;""'!$C$4:$C$66""),INDIRECT(""'""&amp;BU$1&amp;""'!$D$4:$D$66"")=BU$2),$F$3:$BP$3,$F180:$BP180)))"),0.2021364342857143)</f>
        <v>0.2021364343</v>
      </c>
      <c r="BV180" s="207" t="str">
        <f>IFERROR(__xludf.DUMMYFUNCTION("IF(OR(BU180&gt;$BR180+$BS180*$BS$2,BU180&lt;$BR180-$BS180*$BS$2),AVEDEV(ARRAYFORMULA(XLOOKUP(FILTER(INDIRECT(""'""&amp;BU$1&amp;""'!$C$4:$C$66""),INDIRECT(""'""&amp;BU$1&amp;""'!$D$4:$D$66"")=BU$2),$F$3:$BP$3,$F180:$BP180))),"""")"),"")</f>
        <v/>
      </c>
      <c r="BW180" s="207">
        <f>IFERROR(__xludf.DUMMYFUNCTION("AVERAGE(ARRAYFORMULA(XLOOKUP(FILTER(INDIRECT(""'""&amp;BW$1&amp;""'!$C$4:$C$66""),INDIRECT(""'""&amp;BW$1&amp;""'!$D$4:$D$66"")=BW$2),$F$3:$BP$3,$F180:$BP180)))"),0.36729214047619035)</f>
        <v>0.3672921405</v>
      </c>
      <c r="BX180" s="207" t="str">
        <f>IFERROR(__xludf.DUMMYFUNCTION("IF(OR(BW180&gt;$BR180+$BS180*$BS$2,BW180&lt;$BR180-$BS180*$BS$2),AVEDEV(ARRAYFORMULA(XLOOKUP(FILTER(INDIRECT(""'""&amp;BW$1&amp;""'!$C$4:$C$66""),INDIRECT(""'""&amp;BW$1&amp;""'!$D$4:$D$66"")=BW$2),$F$3:$BP$3,$F180:$BP180))),"""")"),"")</f>
        <v/>
      </c>
      <c r="BY180" s="207">
        <f>IFERROR(__xludf.DUMMYFUNCTION("AVERAGE(ARRAYFORMULA(XLOOKUP(FILTER(INDIRECT(""'""&amp;BY$1&amp;""'!$C$4:$C$66""),INDIRECT(""'""&amp;BY$1&amp;""'!$D$4:$D$66"")=BY$2),$F$3:$BP$3,$F180:$BP180)))"),-0.5248264145454546)</f>
        <v>-0.5248264145</v>
      </c>
      <c r="BZ180" s="207">
        <f>IFERROR(__xludf.DUMMYFUNCTION("IF(OR(BY180&gt;$BR180+$BS180*$BS$2,BY180&lt;$BR180-$BS180*$BS$2),AVEDEV(ARRAYFORMULA(XLOOKUP(FILTER(INDIRECT(""'""&amp;BY$1&amp;""'!$C$4:$C$66""),INDIRECT(""'""&amp;BY$1&amp;""'!$D$4:$D$66"")=BY$2),$F$3:$BP$3,$F180:$BP180))),"""")"),0.28594167239669416)</f>
        <v>0.2859416724</v>
      </c>
      <c r="CA180" s="209"/>
      <c r="CB180" s="207">
        <f>IFERROR(__xludf.DUMMYFUNCTION("AVERAGE(ARRAYFORMULA(XLOOKUP(FILTER(INDIRECT(""'""&amp;CB$1&amp;""'!$C$4:$C$66""),INDIRECT(""'""&amp;CB$1&amp;""'!$D$4:$D$66"")=CB$2),$F$3:$BP$3,$F180:$BP180)))"),0.49963104125)</f>
        <v>0.4996310413</v>
      </c>
      <c r="CC180" s="207" t="str">
        <f>IFERROR(__xludf.DUMMYFUNCTION("IF(OR(CB180&gt;$BR180+$BS180*$BS$2,CB180&lt;$BR180-$BS180*$BS$2),AVEDEV(ARRAYFORMULA(XLOOKUP(FILTER(INDIRECT(""'""&amp;CB$1&amp;""'!$C$4:$C$66""),INDIRECT(""'""&amp;CB$1&amp;""'!$D$4:$D$66"")=CB$2),$F$3:$BP$3,$F180:$BP180))),"""")"),"")</f>
        <v/>
      </c>
      <c r="CD180" s="207">
        <f>IFERROR(__xludf.DUMMYFUNCTION("AVERAGE(ARRAYFORMULA(XLOOKUP(FILTER(INDIRECT(""'""&amp;CD$1&amp;""'!$C$4:$C$66""),INDIRECT(""'""&amp;CD$1&amp;""'!$D$4:$D$66"")=CD$2),$F$3:$BP$3,$F180:$BP180)))"),0.0352930441935484)</f>
        <v>0.03529304419</v>
      </c>
      <c r="CE180" s="207" t="str">
        <f>IFERROR(__xludf.DUMMYFUNCTION("IF(OR(CD180&gt;$BR180+$BS180*$BS$2,CD180&lt;$BR180-$BS180*$BS$2),AVEDEV(ARRAYFORMULA(XLOOKUP(FILTER(INDIRECT(""'""&amp;CD$1&amp;""'!$C$4:$C$66""),INDIRECT(""'""&amp;CD$1&amp;""'!$D$4:$D$66"")=CD$2),$F$3:$BP$3,$F180:$BP180))),"""")"),"")</f>
        <v/>
      </c>
      <c r="CF180" s="207">
        <f>IFERROR(__xludf.DUMMYFUNCTION("AVERAGE(ARRAYFORMULA(XLOOKUP(FILTER(INDIRECT(""'""&amp;CF$1&amp;""'!$C$4:$C$66""),INDIRECT(""'""&amp;CF$1&amp;""'!$D$4:$D$66"")=CF$2),$F$3:$BP$3,$F180:$BP180)))"),-0.4822285)</f>
        <v>-0.4822285</v>
      </c>
      <c r="CG180" s="207">
        <f>IFERROR(__xludf.DUMMYFUNCTION("IF(OR(CF180&gt;$BR180+$BS180*$BS$2,CF180&lt;$BR180-$BS180*$BS$2),AVEDEV(ARRAYFORMULA(XLOOKUP(FILTER(INDIRECT(""'""&amp;CF$1&amp;""'!$C$4:$C$66""),INDIRECT(""'""&amp;CF$1&amp;""'!$D$4:$D$66"")=CF$2),$F$3:$BP$3,$F180:$BP180))),"""")"),0.11398351999999998)</f>
        <v>0.11398352</v>
      </c>
      <c r="CH180" s="206"/>
      <c r="CI180" s="251">
        <f>IFERROR(__xludf.DUMMYFUNCTION("AVERAGE(ARRAYFORMULA(XLOOKUP(FILTER(INDIRECT(""'""&amp;CI$1&amp;""'!$C$4:$C$66""),INDIRECT(""'""&amp;CI$1&amp;""'!$D$4:$D$66"")=CI$2),$F$3:$BP$3,$F180:$BP180)))"),0.08553274133333333)</f>
        <v>0.08553274133</v>
      </c>
      <c r="CJ180" s="207" t="str">
        <f>IFERROR(__xludf.DUMMYFUNCTION("IF(OR(CI180&gt;$BR180+$BS180*$BS$2,CI180&lt;$BR180-$BS180*$BS$2),AVEDEV(ARRAYFORMULA(XLOOKUP(FILTER(INDIRECT(""'""&amp;CI$1&amp;""'!$C$4:$C$66""),INDIRECT(""'""&amp;CI$1&amp;""'!$D$4:$D$66"")=CI$2),$F$3:$BP$3,$F180:$BP180))),"""")"),"")</f>
        <v/>
      </c>
      <c r="CK180" s="251">
        <f>IFERROR(__xludf.DUMMYFUNCTION("AVERAGE(ARRAYFORMULA(XLOOKUP(FILTER(INDIRECT(""'""&amp;CK$1&amp;""'!$C$4:$C$66""),INDIRECT(""'""&amp;CK$1&amp;""'!$D$4:$D$66"")=CK$2),$F$3:$BP$3,$F180:$BP180)))"),0.3224222579487179)</f>
        <v>0.3224222579</v>
      </c>
      <c r="CL180" s="207" t="str">
        <f>IFERROR(__xludf.DUMMYFUNCTION("IF(OR(CK180&gt;$BR180+$BS180*$BS$2,CK180&lt;$BR180-$BS180*$BS$2),AVEDEV(ARRAYFORMULA(XLOOKUP(FILTER(INDIRECT(""'""&amp;CK$1&amp;""'!$C$4:$C$66""),INDIRECT(""'""&amp;CK$1&amp;""'!$D$4:$D$66"")=CK$2),$F$3:$BP$3,$F180:$BP180))),"""")"),"")</f>
        <v/>
      </c>
      <c r="CM180" s="251">
        <f>IFERROR(__xludf.DUMMYFUNCTION("AVERAGE(ARRAYFORMULA(XLOOKUP(FILTER(INDIRECT(""'""&amp;CM$1&amp;""'!$C$4:$C$66""),INDIRECT(""'""&amp;CM$1&amp;""'!$D$4:$D$66"")=CM$2),$F$3:$BP$3,$F180:$BP180)))"),-0.4822285)</f>
        <v>-0.4822285</v>
      </c>
      <c r="CN180" s="207">
        <f>IFERROR(__xludf.DUMMYFUNCTION("IF(OR(CM180&gt;$BR180+$BS180*$BS$2,CM180&lt;$BR180-$BS180*$BS$2),AVEDEV(ARRAYFORMULA(XLOOKUP(FILTER(INDIRECT(""'""&amp;CM$1&amp;""'!$C$4:$C$66""),INDIRECT(""'""&amp;CM$1&amp;""'!$D$4:$D$66"")=CM$2),$F$3:$BP$3,$F180:$BP180))),"""")"),0.11398351999999998)</f>
        <v>0.11398352</v>
      </c>
      <c r="CO180" s="252"/>
      <c r="CP180" s="251">
        <f>IFERROR(__xludf.DUMMYFUNCTION("AVERAGE(ARRAYFORMULA(XLOOKUP(FILTER(INDIRECT(""'""&amp;CP$1&amp;""'!$C$4:$C$66""),INDIRECT(""'""&amp;CP$1&amp;""'!$D$4:$D$66"")=CP$2),$F$3:$BP$3,$F180:$BP180)))"),0.5579176707142858)</f>
        <v>0.5579176707</v>
      </c>
      <c r="CQ180" s="207" t="str">
        <f>IFERROR(__xludf.DUMMYFUNCTION("IF(OR(CP180&gt;$BR180+$BS180*$BS$2,CP180&lt;$BR180-$BS180*$BS$2),AVEDEV(ARRAYFORMULA(XLOOKUP(FILTER(INDIRECT(""'""&amp;CP$1&amp;""'!$C$4:$C$66""),INDIRECT(""'""&amp;CP$1&amp;""'!$D$4:$D$66"")=CP$2),$F$3:$BP$3,$F180:$BP180))),"""")"),"")</f>
        <v/>
      </c>
      <c r="CR180" s="251">
        <f>IFERROR(__xludf.DUMMYFUNCTION("AVERAGE(ARRAYFORMULA(XLOOKUP(FILTER(INDIRECT(""'""&amp;CR$1&amp;""'!$C$4:$C$66""),INDIRECT(""'""&amp;CR$1&amp;""'!$D$4:$D$66"")=CR$2),$F$3:$BP$3,$F180:$BP180)))"),-0.5533281400000001)</f>
        <v>-0.55332814</v>
      </c>
      <c r="CS180" s="207">
        <f>IFERROR(__xludf.DUMMYFUNCTION("IF(OR(CR180&gt;$BR180+$BS180*$BS$2,CR180&lt;$BR180-$BS180*$BS$2),AVEDEV(ARRAYFORMULA(XLOOKUP(FILTER(INDIRECT(""'""&amp;CR$1&amp;""'!$C$4:$C$66""),INDIRECT(""'""&amp;CR$1&amp;""'!$D$4:$D$66"")=CR$2),$F$3:$BP$3,$F180:$BP180))),"""")"),0.2748147244444444)</f>
        <v>0.2748147244</v>
      </c>
      <c r="CT180" s="251">
        <f>IFERROR(__xludf.DUMMYFUNCTION("AVERAGE(ARRAYFORMULA(XLOOKUP(FILTER(INDIRECT(""'""&amp;CT$1&amp;""'!$C$4:$C$66""),INDIRECT(""'""&amp;CT$1&amp;""'!$D$4:$D$66"")=CT$2),$F$3:$BP$3,$F180:$BP180)))"),0.05934639454545457)</f>
        <v>0.05934639455</v>
      </c>
      <c r="CU180" s="207" t="str">
        <f>IFERROR(__xludf.DUMMYFUNCTION("IF(OR(CT180&gt;$BR180+$BS180*$BS$2,CT180&lt;$BR180-$BS180*$BS$2),AVEDEV(ARRAYFORMULA(XLOOKUP(FILTER(INDIRECT(""'""&amp;CT$1&amp;""'!$C$4:$C$66""),INDIRECT(""'""&amp;CT$1&amp;""'!$D$4:$D$66"")=CT$2),$F$3:$BP$3,$F180:$BP180))),"""")"),"")</f>
        <v/>
      </c>
      <c r="CV180" s="251">
        <f>IFERROR(__xludf.DUMMYFUNCTION("AVERAGE(ARRAYFORMULA(XLOOKUP(FILTER(INDIRECT(""'""&amp;CV$1&amp;""'!$C$4:$C$66""),INDIRECT(""'""&amp;CV$1&amp;""'!$D$4:$D$66"")=CV$2),$F$3:$BP$3,$F180:$BP180)))"),1.3608412250000002)</f>
        <v>1.360841225</v>
      </c>
      <c r="CW180" s="207">
        <f>IFERROR(__xludf.DUMMYFUNCTION("IF(OR(CV180&gt;$BR180+$BS180*$BS$2,CV180&lt;$BR180-$BS180*$BS$2),AVEDEV(ARRAYFORMULA(XLOOKUP(FILTER(INDIRECT(""'""&amp;CV$1&amp;""'!$C$4:$C$66""),INDIRECT(""'""&amp;CV$1&amp;""'!$D$4:$D$66"")=CV$2),$F$3:$BP$3,$F180:$BP180))),"""")"),0.004304514999999953)</f>
        <v>0.004304515</v>
      </c>
      <c r="CX180" s="251">
        <f>IFERROR(__xludf.DUMMYFUNCTION("AVERAGE(ARRAYFORMULA(XLOOKUP(FILTER(INDIRECT(""'""&amp;CX$1&amp;""'!$C$4:$C$66""),INDIRECT(""'""&amp;CX$1&amp;""'!$D$4:$D$66"")=CX$2),$F$3:$BP$3,$F180:$BP180)))"),0.3193949035714286)</f>
        <v>0.3193949036</v>
      </c>
      <c r="CY180" s="207" t="str">
        <f>IFERROR(__xludf.DUMMYFUNCTION("IF(OR(CX180&gt;$BR180+$BS180*$BS$2,CX180&lt;$BR180-$BS180*$BS$2),AVEDEV(ARRAYFORMULA(XLOOKUP(FILTER(INDIRECT(""'""&amp;CX$1&amp;""'!$C$4:$C$66""),INDIRECT(""'""&amp;CX$1&amp;""'!$D$4:$D$66"")=CX$2),$F$3:$BP$3,$F180:$BP180))),"""")"),"")</f>
        <v/>
      </c>
      <c r="CZ180" s="252"/>
      <c r="DA180" s="251">
        <f>IFERROR(__xludf.DUMMYFUNCTION("AVERAGE(ARRAYFORMULA(XLOOKUP(FILTER(INDIRECT(""'""&amp;DA$1&amp;""'!$C$4:$C$66""),INDIRECT(""'""&amp;DA$1&amp;""'!$D$4:$D$66"")=DA$2),$F$3:$BP$3,$F180:$BP180)))"),0.3433689976666666)</f>
        <v>0.3433689977</v>
      </c>
      <c r="DB180" s="207" t="str">
        <f>IFERROR(__xludf.DUMMYFUNCTION("IF(OR(DA180&gt;$BR180+$BS180*$BS$2,DA180&lt;$BR180-$BS180*$BS$2),AVEDEV(ARRAYFORMULA(XLOOKUP(FILTER(INDIRECT(""'""&amp;DA$1&amp;""'!$C$4:$C$66""),INDIRECT(""'""&amp;DA$1&amp;""'!$D$4:$D$66"")=DA$2),$F$3:$BP$3,$F180:$BP180))),"""")"),"")</f>
        <v/>
      </c>
      <c r="DC180" s="251">
        <f>IFERROR(__xludf.DUMMYFUNCTION("AVERAGE(ARRAYFORMULA(XLOOKUP(FILTER(INDIRECT(""'""&amp;DC$1&amp;""'!$C$4:$C$66""),INDIRECT(""'""&amp;DC$1&amp;""'!$D$4:$D$66"")=DC$2),$F$3:$BP$3,$F180:$BP180)))"),-0.4336626611111111)</f>
        <v>-0.4336626611</v>
      </c>
      <c r="DD180" s="207">
        <f>IFERROR(__xludf.DUMMYFUNCTION("IF(OR(DC180&gt;$BR180+$BS180*$BS$2,DC180&lt;$BR180-$BS180*$BS$2),AVEDEV(ARRAYFORMULA(XLOOKUP(FILTER(INDIRECT(""'""&amp;DC$1&amp;""'!$C$4:$C$66""),INDIRECT(""'""&amp;DC$1&amp;""'!$D$4:$D$66"")=DC$2),$F$3:$BP$3,$F180:$BP180))),"""")"),0.3216314296296296)</f>
        <v>0.3216314296</v>
      </c>
      <c r="DE180" s="251">
        <f>IFERROR(__xludf.DUMMYFUNCTION("AVERAGE(ARRAYFORMULA(XLOOKUP(FILTER(INDIRECT(""'""&amp;DE$1&amp;""'!$C$4:$C$66""),INDIRECT(""'""&amp;DE$1&amp;""'!$D$4:$D$66"")=DE$2),$F$3:$BP$3,$F180:$BP180)))"),0.1161911225)</f>
        <v>0.1161911225</v>
      </c>
      <c r="DF180" s="207" t="str">
        <f>IFERROR(__xludf.DUMMYFUNCTION("IF(OR(DE180&gt;$BR180+$BS180*$BS$2,DE180&lt;$BR180-$BS180*$BS$2),AVEDEV(ARRAYFORMULA(XLOOKUP(FILTER(INDIRECT(""'""&amp;DE$1&amp;""'!$C$4:$C$66""),INDIRECT(""'""&amp;DE$1&amp;""'!$D$4:$D$66"")=DE$2),$F$3:$BP$3,$F180:$BP180))),"""")"),"")</f>
        <v/>
      </c>
      <c r="DG180" s="251">
        <f>IFERROR(__xludf.DUMMYFUNCTION("AVERAGE(ARRAYFORMULA(XLOOKUP(FILTER(INDIRECT(""'""&amp;DG$1&amp;""'!$C$4:$C$66""),INDIRECT(""'""&amp;DG$1&amp;""'!$D$4:$D$66"")=DG$2),$F$3:$BP$3,$F180:$BP180)))"),-0.002746673333333338)</f>
        <v>-0.002746673333</v>
      </c>
      <c r="DH180" s="207" t="str">
        <f>IFERROR(__xludf.DUMMYFUNCTION("IF(OR(DG180&gt;$BR180+$BS180*$BS$2,DG180&lt;$BR180-$BS180*$BS$2),AVEDEV(ARRAYFORMULA(XLOOKUP(FILTER(INDIRECT(""'""&amp;DG$1&amp;""'!$C$4:$C$66""),INDIRECT(""'""&amp;DG$1&amp;""'!$D$4:$D$66"")=DG$2),$F$3:$BP$3,$F180:$BP180))),"""")"),"")</f>
        <v/>
      </c>
      <c r="DI180" s="252"/>
    </row>
    <row r="181">
      <c r="A181" s="2"/>
      <c r="B181" s="204" t="s">
        <v>601</v>
      </c>
      <c r="C181" s="204" t="s">
        <v>625</v>
      </c>
      <c r="D181" s="205" t="b">
        <f>VLOOKUP(C181,'Feature Set List'!A178:C246,2,0)</f>
        <v>1</v>
      </c>
      <c r="E181" s="205" t="b">
        <f>VLOOKUP(C181,'Feature Set List'!A178:C246,3,0)</f>
        <v>0</v>
      </c>
      <c r="F181" s="205">
        <v>-0.2509506</v>
      </c>
      <c r="G181" s="205">
        <v>0.58174905</v>
      </c>
      <c r="H181" s="205">
        <v>-0.2965779</v>
      </c>
      <c r="I181" s="205">
        <v>0.03422053</v>
      </c>
      <c r="J181" s="205">
        <v>0.18631179</v>
      </c>
      <c r="K181" s="205">
        <v>3.20152091</v>
      </c>
      <c r="L181" s="205">
        <v>0.68821293</v>
      </c>
      <c r="M181" s="205">
        <v>-0.1939163</v>
      </c>
      <c r="N181" s="205">
        <v>-0.1863118</v>
      </c>
      <c r="O181" s="205">
        <v>-0.1330798</v>
      </c>
      <c r="P181" s="205">
        <v>0.25475285</v>
      </c>
      <c r="Q181" s="205">
        <v>0.23954373</v>
      </c>
      <c r="R181" s="205">
        <v>-0.026616</v>
      </c>
      <c r="S181" s="205">
        <v>0.6539924</v>
      </c>
      <c r="T181" s="205">
        <v>-0.148289</v>
      </c>
      <c r="U181" s="205">
        <v>-0.3117871</v>
      </c>
      <c r="V181" s="205">
        <v>1.60836502</v>
      </c>
      <c r="W181" s="205">
        <v>-0.2623574</v>
      </c>
      <c r="X181" s="205">
        <v>-0.0836502</v>
      </c>
      <c r="Y181" s="205">
        <v>-0.2091255</v>
      </c>
      <c r="Z181" s="205">
        <v>0.57034221</v>
      </c>
      <c r="AA181" s="205">
        <v>-0.2053232</v>
      </c>
      <c r="AB181" s="205">
        <v>-0.0494297</v>
      </c>
      <c r="AC181" s="205">
        <v>-0.3231939</v>
      </c>
      <c r="AD181" s="205">
        <v>-0.1863118</v>
      </c>
      <c r="AE181" s="205">
        <v>8.08365019</v>
      </c>
      <c r="AF181" s="205">
        <v>-0.0418251</v>
      </c>
      <c r="AG181" s="205">
        <v>-0.2509506</v>
      </c>
      <c r="AH181" s="205">
        <v>1.1634981</v>
      </c>
      <c r="AI181" s="205">
        <v>-0.1711027</v>
      </c>
      <c r="AJ181" s="205">
        <v>1.38403042</v>
      </c>
      <c r="AK181" s="205">
        <v>1.03041825</v>
      </c>
      <c r="AL181" s="205">
        <v>0.08365019</v>
      </c>
      <c r="AM181" s="205">
        <v>1.53231939</v>
      </c>
      <c r="AN181" s="205">
        <v>0.02281369</v>
      </c>
      <c r="AO181" s="205">
        <v>0.17110266</v>
      </c>
      <c r="AP181" s="205">
        <v>-0.3422053</v>
      </c>
      <c r="AQ181" s="205">
        <v>-0.2015209</v>
      </c>
      <c r="AR181" s="205">
        <v>0.98098859</v>
      </c>
      <c r="AS181" s="205">
        <v>-0.3764259</v>
      </c>
      <c r="AT181" s="205">
        <v>13.5285171</v>
      </c>
      <c r="AU181" s="205">
        <v>-0.0608365</v>
      </c>
      <c r="AV181" s="205">
        <v>0.08365019</v>
      </c>
      <c r="AW181" s="205">
        <v>-0.2053232</v>
      </c>
      <c r="AX181" s="205">
        <v>-0.3041825</v>
      </c>
      <c r="AY181" s="205">
        <v>-0.21673</v>
      </c>
      <c r="AZ181" s="205">
        <v>1.8365019</v>
      </c>
      <c r="BA181" s="205">
        <v>-0.3307985</v>
      </c>
      <c r="BB181" s="205">
        <v>-0.1520913</v>
      </c>
      <c r="BC181" s="205">
        <v>-0.1749049</v>
      </c>
      <c r="BD181" s="205">
        <v>-0.3726236</v>
      </c>
      <c r="BE181" s="205">
        <v>0.12547529</v>
      </c>
      <c r="BF181" s="205">
        <v>0.90114068</v>
      </c>
      <c r="BG181" s="205">
        <v>-0.3231939</v>
      </c>
      <c r="BH181" s="205">
        <v>1.7338403</v>
      </c>
      <c r="BI181" s="205">
        <v>0.0</v>
      </c>
      <c r="BJ181" s="205">
        <v>1.84030418</v>
      </c>
      <c r="BK181" s="205">
        <v>2.41064639</v>
      </c>
      <c r="BL181" s="205">
        <v>1.53612167</v>
      </c>
      <c r="BM181" s="205">
        <v>0.28897338</v>
      </c>
      <c r="BN181" s="205">
        <v>0.3878327</v>
      </c>
      <c r="BO181" s="205">
        <v>2.5513308</v>
      </c>
      <c r="BP181" s="205">
        <v>-0.3498099</v>
      </c>
      <c r="BQ181" s="206"/>
      <c r="BR181" s="250">
        <f t="shared" si="1"/>
        <v>0.6818154362</v>
      </c>
      <c r="BS181" s="250">
        <f t="shared" si="2"/>
        <v>1.092715695</v>
      </c>
      <c r="BT181" s="206"/>
      <c r="BU181" s="207">
        <f>IFERROR(__xludf.DUMMYFUNCTION("AVERAGE(ARRAYFORMULA(XLOOKUP(FILTER(INDIRECT(""'""&amp;BU$1&amp;""'!$C$4:$C$66""),INDIRECT(""'""&amp;BU$1&amp;""'!$D$4:$D$66"")=BU$2),$F$3:$BP$3,$F181:$BP181)))"),0.1450298685714286)</f>
        <v>0.1450298686</v>
      </c>
      <c r="BV181" s="207" t="str">
        <f>IFERROR(__xludf.DUMMYFUNCTION("IF(OR(BU181&gt;$BR181+$BS181*$BS$2,BU181&lt;$BR181-$BS181*$BS$2),AVEDEV(ARRAYFORMULA(XLOOKUP(FILTER(INDIRECT(""'""&amp;BU$1&amp;""'!$C$4:$C$66""),INDIRECT(""'""&amp;BU$1&amp;""'!$D$4:$D$66"")=BU$2),$F$3:$BP$3,$F181:$BP181))),"""")"),"")</f>
        <v/>
      </c>
      <c r="BW181" s="207">
        <f>IFERROR(__xludf.DUMMYFUNCTION("AVERAGE(ARRAYFORMULA(XLOOKUP(FILTER(INDIRECT(""'""&amp;BW$1&amp;""'!$C$4:$C$66""),INDIRECT(""'""&amp;BW$1&amp;""'!$D$4:$D$66"")=BW$2),$F$3:$BP$3,$F181:$BP181)))"),0.2847184447619048)</f>
        <v>0.2847184448</v>
      </c>
      <c r="BX181" s="207" t="str">
        <f>IFERROR(__xludf.DUMMYFUNCTION("IF(OR(BW181&gt;$BR181+$BS181*$BS$2,BW181&lt;$BR181-$BS181*$BS$2),AVEDEV(ARRAYFORMULA(XLOOKUP(FILTER(INDIRECT(""'""&amp;BW$1&amp;""'!$C$4:$C$66""),INDIRECT(""'""&amp;BW$1&amp;""'!$D$4:$D$66"")=BW$2),$F$3:$BP$3,$F181:$BP181))),"""")"),"")</f>
        <v/>
      </c>
      <c r="BY181" s="207">
        <f>IFERROR(__xludf.DUMMYFUNCTION("AVERAGE(ARRAYFORMULA(XLOOKUP(FILTER(INDIRECT(""'""&amp;BY$1&amp;""'!$C$4:$C$66""),INDIRECT(""'""&amp;BY$1&amp;""'!$D$4:$D$66"")=BY$2),$F$3:$BP$3,$F181:$BP181)))"),1.5385413109090906)</f>
        <v>1.538541311</v>
      </c>
      <c r="BZ181" s="207" t="str">
        <f>IFERROR(__xludf.DUMMYFUNCTION("IF(OR(BY181&gt;$BR181+$BS181*$BS$2,BY181&lt;$BR181-$BS181*$BS$2),AVEDEV(ARRAYFORMULA(XLOOKUP(FILTER(INDIRECT(""'""&amp;BY$1&amp;""'!$C$4:$C$66""),INDIRECT(""'""&amp;BY$1&amp;""'!$D$4:$D$66"")=BY$2),$F$3:$BP$3,$F181:$BP181))),"""")"),"")</f>
        <v/>
      </c>
      <c r="CA181" s="209"/>
      <c r="CB181" s="207">
        <f>IFERROR(__xludf.DUMMYFUNCTION("AVERAGE(ARRAYFORMULA(XLOOKUP(FILTER(INDIRECT(""'""&amp;CB$1&amp;""'!$C$4:$C$66""),INDIRECT(""'""&amp;CB$1&amp;""'!$D$4:$D$66"")=CB$2),$F$3:$BP$3,$F181:$BP181)))"),0.11240493937499998)</f>
        <v>0.1124049394</v>
      </c>
      <c r="CC181" s="207" t="str">
        <f>IFERROR(__xludf.DUMMYFUNCTION("IF(OR(CB181&gt;$BR181+$BS181*$BS$2,CB181&lt;$BR181-$BS181*$BS$2),AVEDEV(ARRAYFORMULA(XLOOKUP(FILTER(INDIRECT(""'""&amp;CB$1&amp;""'!$C$4:$C$66""),INDIRECT(""'""&amp;CB$1&amp;""'!$D$4:$D$66"")=CB$2),$F$3:$BP$3,$F181:$BP181))),"""")"),"")</f>
        <v/>
      </c>
      <c r="CD181" s="207">
        <f>IFERROR(__xludf.DUMMYFUNCTION("AVERAGE(ARRAYFORMULA(XLOOKUP(FILTER(INDIRECT(""'""&amp;CD$1&amp;""'!$C$4:$C$66""),INDIRECT(""'""&amp;CD$1&amp;""'!$D$4:$D$66"")=CD$2),$F$3:$BP$3,$F181:$BP181)))"),0.6587759041935485)</f>
        <v>0.6587759042</v>
      </c>
      <c r="CE181" s="207" t="str">
        <f>IFERROR(__xludf.DUMMYFUNCTION("IF(OR(CD181&gt;$BR181+$BS181*$BS$2,CD181&lt;$BR181-$BS181*$BS$2),AVEDEV(ARRAYFORMULA(XLOOKUP(FILTER(INDIRECT(""'""&amp;CD$1&amp;""'!$C$4:$C$66""),INDIRECT(""'""&amp;CD$1&amp;""'!$D$4:$D$66"")=CD$2),$F$3:$BP$3,$F181:$BP181))),"""")"),"")</f>
        <v/>
      </c>
      <c r="CF181" s="207">
        <f>IFERROR(__xludf.DUMMYFUNCTION("AVERAGE(ARRAYFORMULA(XLOOKUP(FILTER(INDIRECT(""'""&amp;CF$1&amp;""'!$C$4:$C$66""),INDIRECT(""'""&amp;CF$1&amp;""'!$D$4:$D$66"")=CF$2),$F$3:$BP$3,$F181:$BP181)))"),0.847908754)</f>
        <v>0.847908754</v>
      </c>
      <c r="CG181" s="207" t="str">
        <f>IFERROR(__xludf.DUMMYFUNCTION("IF(OR(CF181&gt;$BR181+$BS181*$BS$2,CF181&lt;$BR181-$BS181*$BS$2),AVEDEV(ARRAYFORMULA(XLOOKUP(FILTER(INDIRECT(""'""&amp;CF$1&amp;""'!$C$4:$C$66""),INDIRECT(""'""&amp;CF$1&amp;""'!$D$4:$D$66"")=CF$2),$F$3:$BP$3,$F181:$BP181))),"""")"),"")</f>
        <v/>
      </c>
      <c r="CH181" s="206"/>
      <c r="CI181" s="251">
        <f>IFERROR(__xludf.DUMMYFUNCTION("AVERAGE(ARRAYFORMULA(XLOOKUP(FILTER(INDIRECT(""'""&amp;CI$1&amp;""'!$C$4:$C$66""),INDIRECT(""'""&amp;CI$1&amp;""'!$D$4:$D$66"")=CI$2),$F$3:$BP$3,$F181:$BP181)))"),-0.01444868133333335)</f>
        <v>-0.01444868133</v>
      </c>
      <c r="CJ181" s="207" t="str">
        <f>IFERROR(__xludf.DUMMYFUNCTION("IF(OR(CI181&gt;$BR181+$BS181*$BS$2,CI181&lt;$BR181-$BS181*$BS$2),AVEDEV(ARRAYFORMULA(XLOOKUP(FILTER(INDIRECT(""'""&amp;CI$1&amp;""'!$C$4:$C$66""),INDIRECT(""'""&amp;CI$1&amp;""'!$D$4:$D$66"")=CI$2),$F$3:$BP$3,$F181:$BP181))),"""")"),"")</f>
        <v/>
      </c>
      <c r="CK181" s="251">
        <f>IFERROR(__xludf.DUMMYFUNCTION("AVERAGE(ARRAYFORMULA(XLOOKUP(FILTER(INDIRECT(""'""&amp;CK$1&amp;""'!$C$4:$C$66""),INDIRECT(""'""&amp;CK$1&amp;""'!$D$4:$D$66"")=CK$2),$F$3:$BP$3,$F181:$BP181)))"),0.6016379035897438)</f>
        <v>0.6016379036</v>
      </c>
      <c r="CL181" s="207" t="str">
        <f>IFERROR(__xludf.DUMMYFUNCTION("IF(OR(CK181&gt;$BR181+$BS181*$BS$2,CK181&lt;$BR181-$BS181*$BS$2),AVEDEV(ARRAYFORMULA(XLOOKUP(FILTER(INDIRECT(""'""&amp;CK$1&amp;""'!$C$4:$C$66""),INDIRECT(""'""&amp;CK$1&amp;""'!$D$4:$D$66"")=CK$2),$F$3:$BP$3,$F181:$BP181))),"""")"),"")</f>
        <v/>
      </c>
      <c r="CM181" s="251">
        <f>IFERROR(__xludf.DUMMYFUNCTION("AVERAGE(ARRAYFORMULA(XLOOKUP(FILTER(INDIRECT(""'""&amp;CM$1&amp;""'!$C$4:$C$66""),INDIRECT(""'""&amp;CM$1&amp;""'!$D$4:$D$66"")=CM$2),$F$3:$BP$3,$F181:$BP181)))"),0.847908754)</f>
        <v>0.847908754</v>
      </c>
      <c r="CN181" s="207" t="str">
        <f>IFERROR(__xludf.DUMMYFUNCTION("IF(OR(CM181&gt;$BR181+$BS181*$BS$2,CM181&lt;$BR181-$BS181*$BS$2),AVEDEV(ARRAYFORMULA(XLOOKUP(FILTER(INDIRECT(""'""&amp;CM$1&amp;""'!$C$4:$C$66""),INDIRECT(""'""&amp;CM$1&amp;""'!$D$4:$D$66"")=CM$2),$F$3:$BP$3,$F181:$BP181))),"""")"),"")</f>
        <v/>
      </c>
      <c r="CO181" s="252"/>
      <c r="CP181" s="251">
        <f>IFERROR(__xludf.DUMMYFUNCTION("AVERAGE(ARRAYFORMULA(XLOOKUP(FILTER(INDIRECT(""'""&amp;CP$1&amp;""'!$C$4:$C$66""),INDIRECT(""'""&amp;CP$1&amp;""'!$D$4:$D$66"")=CP$2),$F$3:$BP$3,$F181:$BP181)))"),0.381314505)</f>
        <v>0.381314505</v>
      </c>
      <c r="CQ181" s="207" t="str">
        <f>IFERROR(__xludf.DUMMYFUNCTION("IF(OR(CP181&gt;$BR181+$BS181*$BS$2,CP181&lt;$BR181-$BS181*$BS$2),AVEDEV(ARRAYFORMULA(XLOOKUP(FILTER(INDIRECT(""'""&amp;CP$1&amp;""'!$C$4:$C$66""),INDIRECT(""'""&amp;CP$1&amp;""'!$D$4:$D$66"")=CP$2),$F$3:$BP$3,$F181:$BP181))),"""")"),"")</f>
        <v/>
      </c>
      <c r="CR181" s="251">
        <f>IFERROR(__xludf.DUMMYFUNCTION("AVERAGE(ARRAYFORMULA(XLOOKUP(FILTER(INDIRECT(""'""&amp;CR$1&amp;""'!$C$4:$C$66""),INDIRECT(""'""&amp;CR$1&amp;""'!$D$4:$D$66"")=CR$2),$F$3:$BP$3,$F181:$BP181)))"),1.7338403055555558)</f>
        <v>1.733840306</v>
      </c>
      <c r="CS181" s="207" t="str">
        <f>IFERROR(__xludf.DUMMYFUNCTION("IF(OR(CR181&gt;$BR181+$BS181*$BS$2,CR181&lt;$BR181-$BS181*$BS$2),AVEDEV(ARRAYFORMULA(XLOOKUP(FILTER(INDIRECT(""'""&amp;CR$1&amp;""'!$C$4:$C$66""),INDIRECT(""'""&amp;CR$1&amp;""'!$D$4:$D$66"")=CR$2),$F$3:$BP$3,$F181:$BP181))),"""")"),"")</f>
        <v/>
      </c>
      <c r="CT181" s="251">
        <f>IFERROR(__xludf.DUMMYFUNCTION("AVERAGE(ARRAYFORMULA(XLOOKUP(FILTER(INDIRECT(""'""&amp;CT$1&amp;""'!$C$4:$C$66""),INDIRECT(""'""&amp;CT$1&amp;""'!$D$4:$D$66"")=CT$2),$F$3:$BP$3,$F181:$BP181)))"),0.06878671636363635)</f>
        <v>0.06878671636</v>
      </c>
      <c r="CU181" s="207" t="str">
        <f>IFERROR(__xludf.DUMMYFUNCTION("IF(OR(CT181&gt;$BR181+$BS181*$BS$2,CT181&lt;$BR181-$BS181*$BS$2),AVEDEV(ARRAYFORMULA(XLOOKUP(FILTER(INDIRECT(""'""&amp;CT$1&amp;""'!$C$4:$C$66""),INDIRECT(""'""&amp;CT$1&amp;""'!$D$4:$D$66"")=CT$2),$F$3:$BP$3,$F181:$BP181))),"""")"),"")</f>
        <v/>
      </c>
      <c r="CV181" s="251">
        <f>IFERROR(__xludf.DUMMYFUNCTION("AVERAGE(ARRAYFORMULA(XLOOKUP(FILTER(INDIRECT(""'""&amp;CV$1&amp;""'!$C$4:$C$66""),INDIRECT(""'""&amp;CV$1&amp;""'!$D$4:$D$66"")=CV$2),$F$3:$BP$3,$F181:$BP181)))"),-0.3231939)</f>
        <v>-0.3231939</v>
      </c>
      <c r="CW181" s="207" t="str">
        <f>IFERROR(__xludf.DUMMYFUNCTION("IF(OR(CV181&gt;$BR181+$BS181*$BS$2,CV181&lt;$BR181-$BS181*$BS$2),AVEDEV(ARRAYFORMULA(XLOOKUP(FILTER(INDIRECT(""'""&amp;CV$1&amp;""'!$C$4:$C$66""),INDIRECT(""'""&amp;CV$1&amp;""'!$D$4:$D$66"")=CV$2),$F$3:$BP$3,$F181:$BP181))),"""")"),"")</f>
        <v/>
      </c>
      <c r="CX181" s="251">
        <f>IFERROR(__xludf.DUMMYFUNCTION("AVERAGE(ARRAYFORMULA(XLOOKUP(FILTER(INDIRECT(""'""&amp;CX$1&amp;""'!$C$4:$C$66""),INDIRECT(""'""&amp;CX$1&amp;""'!$D$4:$D$66"")=CX$2),$F$3:$BP$3,$F181:$BP181)))"),0.3661053678571429)</f>
        <v>0.3661053679</v>
      </c>
      <c r="CY181" s="207" t="str">
        <f>IFERROR(__xludf.DUMMYFUNCTION("IF(OR(CX181&gt;$BR181+$BS181*$BS$2,CX181&lt;$BR181-$BS181*$BS$2),AVEDEV(ARRAYFORMULA(XLOOKUP(FILTER(INDIRECT(""'""&amp;CX$1&amp;""'!$C$4:$C$66""),INDIRECT(""'""&amp;CX$1&amp;""'!$D$4:$D$66"")=CX$2),$F$3:$BP$3,$F181:$BP181))),"""")"),"")</f>
        <v/>
      </c>
      <c r="CZ181" s="252"/>
      <c r="DA181" s="251">
        <f>IFERROR(__xludf.DUMMYFUNCTION("AVERAGE(ARRAYFORMULA(XLOOKUP(FILTER(INDIRECT(""'""&amp;DA$1&amp;""'!$C$4:$C$66""),INDIRECT(""'""&amp;DA$1&amp;""'!$D$4:$D$66"")=DA$2),$F$3:$BP$3,$F181:$BP181)))"),0.3304182430000001)</f>
        <v>0.330418243</v>
      </c>
      <c r="DB181" s="207" t="str">
        <f>IFERROR(__xludf.DUMMYFUNCTION("IF(OR(DA181&gt;$BR181+$BS181*$BS$2,DA181&lt;$BR181-$BS181*$BS$2),AVEDEV(ARRAYFORMULA(XLOOKUP(FILTER(INDIRECT(""'""&amp;DA$1&amp;""'!$C$4:$C$66""),INDIRECT(""'""&amp;DA$1&amp;""'!$D$4:$D$66"")=DA$2),$F$3:$BP$3,$F181:$BP181))),"""")"),"")</f>
        <v/>
      </c>
      <c r="DC181" s="251">
        <f>IFERROR(__xludf.DUMMYFUNCTION("AVERAGE(ARRAYFORMULA(XLOOKUP(FILTER(INDIRECT(""'""&amp;DC$1&amp;""'!$C$4:$C$66""),INDIRECT(""'""&amp;DC$1&amp;""'!$D$4:$D$66"")=DC$2),$F$3:$BP$3,$F181:$BP181)))"),1.0088719922222222)</f>
        <v>1.008871992</v>
      </c>
      <c r="DD181" s="207" t="str">
        <f>IFERROR(__xludf.DUMMYFUNCTION("IF(OR(DC181&gt;$BR181+$BS181*$BS$2,DC181&lt;$BR181-$BS181*$BS$2),AVEDEV(ARRAYFORMULA(XLOOKUP(FILTER(INDIRECT(""'""&amp;DC$1&amp;""'!$C$4:$C$66""),INDIRECT(""'""&amp;DC$1&amp;""'!$D$4:$D$66"")=DC$2),$F$3:$BP$3,$F181:$BP181))),"""")"),"")</f>
        <v/>
      </c>
      <c r="DE181" s="251">
        <f>IFERROR(__xludf.DUMMYFUNCTION("AVERAGE(ARRAYFORMULA(XLOOKUP(FILTER(INDIRECT(""'""&amp;DE$1&amp;""'!$C$4:$C$66""),INDIRECT(""'""&amp;DE$1&amp;""'!$D$4:$D$66"")=DE$2),$F$3:$BP$3,$F181:$BP181)))"),-0.030418257500000004)</f>
        <v>-0.0304182575</v>
      </c>
      <c r="DF181" s="207" t="str">
        <f>IFERROR(__xludf.DUMMYFUNCTION("IF(OR(DE181&gt;$BR181+$BS181*$BS$2,DE181&lt;$BR181-$BS181*$BS$2),AVEDEV(ARRAYFORMULA(XLOOKUP(FILTER(INDIRECT(""'""&amp;DE$1&amp;""'!$C$4:$C$66""),INDIRECT(""'""&amp;DE$1&amp;""'!$D$4:$D$66"")=DE$2),$F$3:$BP$3,$F181:$BP181))),"""")"),"")</f>
        <v/>
      </c>
      <c r="DG181" s="251">
        <f>IFERROR(__xludf.DUMMYFUNCTION("AVERAGE(ARRAYFORMULA(XLOOKUP(FILTER(INDIRECT(""'""&amp;DG$1&amp;""'!$C$4:$C$66""),INDIRECT(""'""&amp;DG$1&amp;""'!$D$4:$D$66"")=DG$2),$F$3:$BP$3,$F181:$BP181)))"),1.0198563600000001)</f>
        <v>1.01985636</v>
      </c>
      <c r="DH181" s="207" t="str">
        <f>IFERROR(__xludf.DUMMYFUNCTION("IF(OR(DG181&gt;$BR181+$BS181*$BS$2,DG181&lt;$BR181-$BS181*$BS$2),AVEDEV(ARRAYFORMULA(XLOOKUP(FILTER(INDIRECT(""'""&amp;DG$1&amp;""'!$C$4:$C$66""),INDIRECT(""'""&amp;DG$1&amp;""'!$D$4:$D$66"")=DG$2),$F$3:$BP$3,$F181:$BP181))),"""")"),"")</f>
        <v/>
      </c>
      <c r="DI181" s="252"/>
    </row>
    <row r="182">
      <c r="A182" s="2"/>
      <c r="B182" s="204" t="s">
        <v>601</v>
      </c>
      <c r="C182" s="204" t="s">
        <v>626</v>
      </c>
      <c r="D182" s="205" t="b">
        <f>VLOOKUP(C182,'Feature Set List'!A179:C246,2,0)</f>
        <v>1</v>
      </c>
      <c r="E182" s="205" t="b">
        <f>VLOOKUP(C182,'Feature Set List'!A179:C246,3,0)</f>
        <v>0</v>
      </c>
      <c r="F182" s="205">
        <v>0.20423892</v>
      </c>
      <c r="G182" s="205">
        <v>0.26396917</v>
      </c>
      <c r="H182" s="205">
        <v>-0.0867052</v>
      </c>
      <c r="I182" s="205">
        <v>0.0</v>
      </c>
      <c r="J182" s="205">
        <v>0.01091843</v>
      </c>
      <c r="K182" s="205">
        <v>-0.6974952</v>
      </c>
      <c r="L182" s="205">
        <v>-0.7109827</v>
      </c>
      <c r="M182" s="205">
        <v>1.06936416</v>
      </c>
      <c r="N182" s="205">
        <v>0.00256904</v>
      </c>
      <c r="O182" s="205">
        <v>-0.7007065</v>
      </c>
      <c r="P182" s="205">
        <v>1.1554271</v>
      </c>
      <c r="Q182" s="205">
        <v>-0.1631342</v>
      </c>
      <c r="R182" s="205">
        <v>0.40141297</v>
      </c>
      <c r="S182" s="205">
        <v>-0.2928709</v>
      </c>
      <c r="T182" s="205">
        <v>-0.1753372</v>
      </c>
      <c r="U182" s="205">
        <v>0.98715478</v>
      </c>
      <c r="V182" s="205">
        <v>-0.6634554</v>
      </c>
      <c r="W182" s="205">
        <v>-0.3641618</v>
      </c>
      <c r="X182" s="205">
        <v>-0.9280668</v>
      </c>
      <c r="Y182" s="205">
        <v>0.07450225</v>
      </c>
      <c r="Z182" s="205">
        <v>-0.0584457</v>
      </c>
      <c r="AA182" s="205">
        <v>0.58831085</v>
      </c>
      <c r="AB182" s="205">
        <v>-0.1811175</v>
      </c>
      <c r="AC182" s="205">
        <v>1.23827874</v>
      </c>
      <c r="AD182" s="205">
        <v>0.45728966</v>
      </c>
      <c r="AE182" s="205">
        <v>-0.5375723</v>
      </c>
      <c r="AF182" s="205">
        <v>1.29287091</v>
      </c>
      <c r="AG182" s="205">
        <v>0.05459216</v>
      </c>
      <c r="AH182" s="205">
        <v>-0.236352</v>
      </c>
      <c r="AI182" s="205">
        <v>-0.5728966</v>
      </c>
      <c r="AJ182" s="205">
        <v>1.64739884</v>
      </c>
      <c r="AK182" s="205">
        <v>0.89466924</v>
      </c>
      <c r="AL182" s="205">
        <v>-0.1226718</v>
      </c>
      <c r="AM182" s="205">
        <v>0.21130379</v>
      </c>
      <c r="AN182" s="205">
        <v>0.93898523</v>
      </c>
      <c r="AO182" s="205">
        <v>0.63134232</v>
      </c>
      <c r="AP182" s="205">
        <v>0.41682723</v>
      </c>
      <c r="AQ182" s="205">
        <v>3.42967245</v>
      </c>
      <c r="AR182" s="205">
        <v>-0.416185</v>
      </c>
      <c r="AS182" s="205">
        <v>0.15157354</v>
      </c>
      <c r="AT182" s="205">
        <v>1.8477842</v>
      </c>
      <c r="AU182" s="205">
        <v>-0.0719332</v>
      </c>
      <c r="AV182" s="205">
        <v>0.70777136</v>
      </c>
      <c r="AW182" s="205">
        <v>1.31021195</v>
      </c>
      <c r="AX182" s="205">
        <v>0.8150289</v>
      </c>
      <c r="AY182" s="205">
        <v>-0.2761721</v>
      </c>
      <c r="AZ182" s="205">
        <v>-0.6936416</v>
      </c>
      <c r="BA182" s="205">
        <v>0.19653179</v>
      </c>
      <c r="BB182" s="205">
        <v>0.39563263</v>
      </c>
      <c r="BC182" s="205">
        <v>-1.0359666</v>
      </c>
      <c r="BD182" s="205">
        <v>-0.4938985</v>
      </c>
      <c r="BE182" s="205">
        <v>-0.1226718</v>
      </c>
      <c r="BF182" s="205">
        <v>-0.5317919</v>
      </c>
      <c r="BG182" s="205">
        <v>1.24598587</v>
      </c>
      <c r="BH182" s="205">
        <v>-0.2665382</v>
      </c>
      <c r="BI182" s="205">
        <v>0.66859345</v>
      </c>
      <c r="BJ182" s="205">
        <v>0.19845857</v>
      </c>
      <c r="BK182" s="205">
        <v>-0.1380861</v>
      </c>
      <c r="BL182" s="205">
        <v>-0.6891458</v>
      </c>
      <c r="BM182" s="205">
        <v>-1.0924855</v>
      </c>
      <c r="BN182" s="205">
        <v>-0.5189467</v>
      </c>
      <c r="BO182" s="205">
        <v>-0.2228645</v>
      </c>
      <c r="BP182" s="205">
        <v>-0.9511882</v>
      </c>
      <c r="BQ182" s="206"/>
      <c r="BR182" s="250">
        <f t="shared" si="1"/>
        <v>0.1507171905</v>
      </c>
      <c r="BS182" s="250">
        <f t="shared" si="2"/>
        <v>0.6125944278</v>
      </c>
      <c r="BT182" s="206"/>
      <c r="BU182" s="207">
        <f>IFERROR(__xludf.DUMMYFUNCTION("AVERAGE(ARRAYFORMULA(XLOOKUP(FILTER(INDIRECT(""'""&amp;BU$1&amp;""'!$C$4:$C$66""),INDIRECT(""'""&amp;BU$1&amp;""'!$D$4:$D$66"")=BU$2),$F$3:$BP$3,$F182:$BP182)))"),0.11129461714285714)</f>
        <v>0.1112946171</v>
      </c>
      <c r="BV182" s="207" t="str">
        <f>IFERROR(__xludf.DUMMYFUNCTION("IF(OR(BU182&gt;$BR182+$BS182*$BS$2,BU182&lt;$BR182-$BS182*$BS$2),AVEDEV(ARRAYFORMULA(XLOOKUP(FILTER(INDIRECT(""'""&amp;BU$1&amp;""'!$C$4:$C$66""),INDIRECT(""'""&amp;BU$1&amp;""'!$D$4:$D$66"")=BU$2),$F$3:$BP$3,$F182:$BP182))),"""")"),"")</f>
        <v/>
      </c>
      <c r="BW182" s="207">
        <f>IFERROR(__xludf.DUMMYFUNCTION("AVERAGE(ARRAYFORMULA(XLOOKUP(FILTER(INDIRECT(""'""&amp;BW$1&amp;""'!$C$4:$C$66""),INDIRECT(""'""&amp;BW$1&amp;""'!$D$4:$D$66"")=BW$2),$F$3:$BP$3,$F182:$BP182)))"),0.33278282523809527)</f>
        <v>0.3327828252</v>
      </c>
      <c r="BX182" s="207" t="str">
        <f>IFERROR(__xludf.DUMMYFUNCTION("IF(OR(BW182&gt;$BR182+$BS182*$BS$2,BW182&lt;$BR182-$BS182*$BS$2),AVEDEV(ARRAYFORMULA(XLOOKUP(FILTER(INDIRECT(""'""&amp;BW$1&amp;""'!$C$4:$C$66""),INDIRECT(""'""&amp;BW$1&amp;""'!$D$4:$D$66"")=BW$2),$F$3:$BP$3,$F182:$BP182))),"""")"),"")</f>
        <v/>
      </c>
      <c r="BY182" s="207">
        <f>IFERROR(__xludf.DUMMYFUNCTION("AVERAGE(ARRAYFORMULA(XLOOKUP(FILTER(INDIRECT(""'""&amp;BY$1&amp;""'!$C$4:$C$66""),INDIRECT(""'""&amp;BY$1&amp;""'!$D$4:$D$66"")=BY$2),$F$3:$BP$3,$F182:$BP182)))"),-0.5441700345454545)</f>
        <v>-0.5441700345</v>
      </c>
      <c r="BZ182" s="207">
        <f>IFERROR(__xludf.DUMMYFUNCTION("IF(OR(BY182&gt;$BR182+$BS182*$BS$2,BY182&lt;$BR182-$BS182*$BS$2),AVEDEV(ARRAYFORMULA(XLOOKUP(FILTER(INDIRECT(""'""&amp;BY$1&amp;""'!$C$4:$C$66""),INDIRECT(""'""&amp;BY$1&amp;""'!$D$4:$D$66"")=BY$2),$F$3:$BP$3,$F182:$BP182))),"""")"),0.23169159239669426)</f>
        <v>0.2316915924</v>
      </c>
      <c r="CA182" s="209"/>
      <c r="CB182" s="207">
        <f>IFERROR(__xludf.DUMMYFUNCTION("AVERAGE(ARRAYFORMULA(XLOOKUP(FILTER(INDIRECT(""'""&amp;CB$1&amp;""'!$C$4:$C$66""),INDIRECT(""'""&amp;CB$1&amp;""'!$D$4:$D$66"")=CB$2),$F$3:$BP$3,$F182:$BP182)))"),0.45616569937499996)</f>
        <v>0.4561656994</v>
      </c>
      <c r="CC182" s="207" t="str">
        <f>IFERROR(__xludf.DUMMYFUNCTION("IF(OR(CB182&gt;$BR182+$BS182*$BS$2,CB182&lt;$BR182-$BS182*$BS$2),AVEDEV(ARRAYFORMULA(XLOOKUP(FILTER(INDIRECT(""'""&amp;CB$1&amp;""'!$C$4:$C$66""),INDIRECT(""'""&amp;CB$1&amp;""'!$D$4:$D$66"")=CB$2),$F$3:$BP$3,$F182:$BP182))),"""")"),"")</f>
        <v/>
      </c>
      <c r="CD182" s="207">
        <f>IFERROR(__xludf.DUMMYFUNCTION("AVERAGE(ARRAYFORMULA(XLOOKUP(FILTER(INDIRECT(""'""&amp;CD$1&amp;""'!$C$4:$C$66""),INDIRECT(""'""&amp;CD$1&amp;""'!$D$4:$D$66"")=CD$2),$F$3:$BP$3,$F182:$BP182)))"),-0.0021339625806451753)</f>
        <v>-0.002133962581</v>
      </c>
      <c r="CE182" s="207" t="str">
        <f>IFERROR(__xludf.DUMMYFUNCTION("IF(OR(CD182&gt;$BR182+$BS182*$BS$2,CD182&lt;$BR182-$BS182*$BS$2),AVEDEV(ARRAYFORMULA(XLOOKUP(FILTER(INDIRECT(""'""&amp;CD$1&amp;""'!$C$4:$C$66""),INDIRECT(""'""&amp;CD$1&amp;""'!$D$4:$D$66"")=CD$2),$F$3:$BP$3,$F182:$BP182))),"""")"),"")</f>
        <v/>
      </c>
      <c r="CF182" s="207">
        <f>IFERROR(__xludf.DUMMYFUNCTION("AVERAGE(ARRAYFORMULA(XLOOKUP(FILTER(INDIRECT(""'""&amp;CF$1&amp;""'!$C$4:$C$66""),INDIRECT(""'""&amp;CF$1&amp;""'!$D$4:$D$66"")=CF$2),$F$3:$BP$3,$F182:$BP182)))"),-0.5270391799999999)</f>
        <v>-0.52703918</v>
      </c>
      <c r="CG182" s="207">
        <f>IFERROR(__xludf.DUMMYFUNCTION("IF(OR(CF182&gt;$BR182+$BS182*$BS$2,CF182&lt;$BR182-$BS182*$BS$2),AVEDEV(ARRAYFORMULA(XLOOKUP(FILTER(INDIRECT(""'""&amp;CF$1&amp;""'!$C$4:$C$66""),INDIRECT(""'""&amp;CF$1&amp;""'!$D$4:$D$66"")=CF$2),$F$3:$BP$3,$F182:$BP182))),"""")"),0.138008984)</f>
        <v>0.138008984</v>
      </c>
      <c r="CH182" s="206"/>
      <c r="CI182" s="251">
        <f>IFERROR(__xludf.DUMMYFUNCTION("AVERAGE(ARRAYFORMULA(XLOOKUP(FILTER(INDIRECT(""'""&amp;CI$1&amp;""'!$C$4:$C$66""),INDIRECT(""'""&amp;CI$1&amp;""'!$D$4:$D$66"")=CI$2),$F$3:$BP$3,$F182:$BP182)))"),-0.04581459466666667)</f>
        <v>-0.04581459467</v>
      </c>
      <c r="CJ182" s="207" t="str">
        <f>IFERROR(__xludf.DUMMYFUNCTION("IF(OR(CI182&gt;$BR182+$BS182*$BS$2,CI182&lt;$BR182-$BS182*$BS$2),AVEDEV(ARRAYFORMULA(XLOOKUP(FILTER(INDIRECT(""'""&amp;CI$1&amp;""'!$C$4:$C$66""),INDIRECT(""'""&amp;CI$1&amp;""'!$D$4:$D$66"")=CI$2),$F$3:$BP$3,$F182:$BP182))),"""")"),"")</f>
        <v/>
      </c>
      <c r="CK182" s="251">
        <f>IFERROR(__xludf.DUMMYFUNCTION("AVERAGE(ARRAYFORMULA(XLOOKUP(FILTER(INDIRECT(""'""&amp;CK$1&amp;""'!$C$4:$C$66""),INDIRECT(""'""&amp;CK$1&amp;""'!$D$4:$D$66"")=CK$2),$F$3:$BP$3,$F182:$BP182)))"),0.31360439794871803)</f>
        <v>0.3136043979</v>
      </c>
      <c r="CL182" s="207" t="str">
        <f>IFERROR(__xludf.DUMMYFUNCTION("IF(OR(CK182&gt;$BR182+$BS182*$BS$2,CK182&lt;$BR182-$BS182*$BS$2),AVEDEV(ARRAYFORMULA(XLOOKUP(FILTER(INDIRECT(""'""&amp;CK$1&amp;""'!$C$4:$C$66""),INDIRECT(""'""&amp;CK$1&amp;""'!$D$4:$D$66"")=CK$2),$F$3:$BP$3,$F182:$BP182))),"""")"),"")</f>
        <v/>
      </c>
      <c r="CM182" s="251">
        <f>IFERROR(__xludf.DUMMYFUNCTION("AVERAGE(ARRAYFORMULA(XLOOKUP(FILTER(INDIRECT(""'""&amp;CM$1&amp;""'!$C$4:$C$66""),INDIRECT(""'""&amp;CM$1&amp;""'!$D$4:$D$66"")=CM$2),$F$3:$BP$3,$F182:$BP182)))"),-0.5270391799999999)</f>
        <v>-0.52703918</v>
      </c>
      <c r="CN182" s="207">
        <f>IFERROR(__xludf.DUMMYFUNCTION("IF(OR(CM182&gt;$BR182+$BS182*$BS$2,CM182&lt;$BR182-$BS182*$BS$2),AVEDEV(ARRAYFORMULA(XLOOKUP(FILTER(INDIRECT(""'""&amp;CM$1&amp;""'!$C$4:$C$66""),INDIRECT(""'""&amp;CM$1&amp;""'!$D$4:$D$66"")=CM$2),$F$3:$BP$3,$F182:$BP182))),"""")"),0.138008984)</f>
        <v>0.138008984</v>
      </c>
      <c r="CO182" s="252"/>
      <c r="CP182" s="251">
        <f>IFERROR(__xludf.DUMMYFUNCTION("AVERAGE(ARRAYFORMULA(XLOOKUP(FILTER(INDIRECT(""'""&amp;CP$1&amp;""'!$C$4:$C$66""),INDIRECT(""'""&amp;CP$1&amp;""'!$D$4:$D$66"")=CP$2),$F$3:$BP$3,$F182:$BP182)))"),0.5862923171428571)</f>
        <v>0.5862923171</v>
      </c>
      <c r="CQ182" s="207" t="str">
        <f>IFERROR(__xludf.DUMMYFUNCTION("IF(OR(CP182&gt;$BR182+$BS182*$BS$2,CP182&lt;$BR182-$BS182*$BS$2),AVEDEV(ARRAYFORMULA(XLOOKUP(FILTER(INDIRECT(""'""&amp;CP$1&amp;""'!$C$4:$C$66""),INDIRECT(""'""&amp;CP$1&amp;""'!$D$4:$D$66"")=CP$2),$F$3:$BP$3,$F182:$BP182))),"""")"),"")</f>
        <v/>
      </c>
      <c r="CR182" s="251">
        <f>IFERROR(__xludf.DUMMYFUNCTION("AVERAGE(ARRAYFORMULA(XLOOKUP(FILTER(INDIRECT(""'""&amp;CR$1&amp;""'!$C$4:$C$66""),INDIRECT(""'""&amp;CR$1&amp;""'!$D$4:$D$66"")=CR$2),$F$3:$BP$3,$F182:$BP182)))"),-0.5578391644444444)</f>
        <v>-0.5578391644</v>
      </c>
      <c r="CS182" s="207">
        <f>IFERROR(__xludf.DUMMYFUNCTION("IF(OR(CR182&gt;$BR182+$BS182*$BS$2,CR182&lt;$BR182-$BS182*$BS$2),AVEDEV(ARRAYFORMULA(XLOOKUP(FILTER(INDIRECT(""'""&amp;CR$1&amp;""'!$C$4:$C$66""),INDIRECT(""'""&amp;CR$1&amp;""'!$D$4:$D$66"")=CR$2),$F$3:$BP$3,$F182:$BP182))),"""")"),0.23273626962962968)</f>
        <v>0.2327362696</v>
      </c>
      <c r="CT182" s="251">
        <f>IFERROR(__xludf.DUMMYFUNCTION("AVERAGE(ARRAYFORMULA(XLOOKUP(FILTER(INDIRECT(""'""&amp;CT$1&amp;""'!$C$4:$C$66""),INDIRECT(""'""&amp;CT$1&amp;""'!$D$4:$D$66"")=CT$2),$F$3:$BP$3,$F182:$BP182)))"),-0.05138085272727273)</f>
        <v>-0.05138085273</v>
      </c>
      <c r="CU182" s="207" t="str">
        <f>IFERROR(__xludf.DUMMYFUNCTION("IF(OR(CT182&gt;$BR182+$BS182*$BS$2,CT182&lt;$BR182-$BS182*$BS$2),AVEDEV(ARRAYFORMULA(XLOOKUP(FILTER(INDIRECT(""'""&amp;CT$1&amp;""'!$C$4:$C$66""),INDIRECT(""'""&amp;CT$1&amp;""'!$D$4:$D$66"")=CT$2),$F$3:$BP$3,$F182:$BP182))),"""")"),"")</f>
        <v/>
      </c>
      <c r="CV182" s="251">
        <f>IFERROR(__xludf.DUMMYFUNCTION("AVERAGE(ARRAYFORMULA(XLOOKUP(FILTER(INDIRECT(""'""&amp;CV$1&amp;""'!$C$4:$C$66""),INDIRECT(""'""&amp;CV$1&amp;""'!$D$4:$D$66"")=CV$2),$F$3:$BP$3,$F182:$BP182)))"),1.242132305)</f>
        <v>1.242132305</v>
      </c>
      <c r="CW182" s="207">
        <f>IFERROR(__xludf.DUMMYFUNCTION("IF(OR(CV182&gt;$BR182+$BS182*$BS$2,CV182&lt;$BR182-$BS182*$BS$2),AVEDEV(ARRAYFORMULA(XLOOKUP(FILTER(INDIRECT(""'""&amp;CV$1&amp;""'!$C$4:$C$66""),INDIRECT(""'""&amp;CV$1&amp;""'!$D$4:$D$66"")=CV$2),$F$3:$BP$3,$F182:$BP182))),"""")"),0.0038535650000000032)</f>
        <v>0.003853565</v>
      </c>
      <c r="CX182" s="251">
        <f>IFERROR(__xludf.DUMMYFUNCTION("AVERAGE(ARRAYFORMULA(XLOOKUP(FILTER(INDIRECT(""'""&amp;CX$1&amp;""'!$C$4:$C$66""),INDIRECT(""'""&amp;CX$1&amp;""'!$D$4:$D$66"")=CX$2),$F$3:$BP$3,$F182:$BP182)))"),0.28420039)</f>
        <v>0.28420039</v>
      </c>
      <c r="CY182" s="207" t="str">
        <f>IFERROR(__xludf.DUMMYFUNCTION("IF(OR(CX182&gt;$BR182+$BS182*$BS$2,CX182&lt;$BR182-$BS182*$BS$2),AVEDEV(ARRAYFORMULA(XLOOKUP(FILTER(INDIRECT(""'""&amp;CX$1&amp;""'!$C$4:$C$66""),INDIRECT(""'""&amp;CX$1&amp;""'!$D$4:$D$66"")=CX$2),$F$3:$BP$3,$F182:$BP182))),"""")"),"")</f>
        <v/>
      </c>
      <c r="CZ182" s="252"/>
      <c r="DA182" s="251">
        <f>IFERROR(__xludf.DUMMYFUNCTION("AVERAGE(ARRAYFORMULA(XLOOKUP(FILTER(INDIRECT(""'""&amp;DA$1&amp;""'!$C$4:$C$66""),INDIRECT(""'""&amp;DA$1&amp;""'!$D$4:$D$66"")=DA$2),$F$3:$BP$3,$F182:$BP182)))"),0.3223506740000001)</f>
        <v>0.322350674</v>
      </c>
      <c r="DB182" s="207" t="str">
        <f>IFERROR(__xludf.DUMMYFUNCTION("IF(OR(DA182&gt;$BR182+$BS182*$BS$2,DA182&lt;$BR182-$BS182*$BS$2),AVEDEV(ARRAYFORMULA(XLOOKUP(FILTER(INDIRECT(""'""&amp;DA$1&amp;""'!$C$4:$C$66""),INDIRECT(""'""&amp;DA$1&amp;""'!$D$4:$D$66"")=DA$2),$F$3:$BP$3,$F182:$BP182))),"""")"),"")</f>
        <v/>
      </c>
      <c r="DC182" s="251">
        <f>IFERROR(__xludf.DUMMYFUNCTION("AVERAGE(ARRAYFORMULA(XLOOKUP(FILTER(INDIRECT(""'""&amp;DC$1&amp;""'!$C$4:$C$66""),INDIRECT(""'""&amp;DC$1&amp;""'!$D$4:$D$66"")=DC$2),$F$3:$BP$3,$F182:$BP182)))"),-0.4795547088888889)</f>
        <v>-0.4795547089</v>
      </c>
      <c r="DD182" s="207">
        <f>IFERROR(__xludf.DUMMYFUNCTION("IF(OR(DC182&gt;$BR182+$BS182*$BS$2,DC182&lt;$BR182-$BS182*$BS$2),AVEDEV(ARRAYFORMULA(XLOOKUP(FILTER(INDIRECT(""'""&amp;DC$1&amp;""'!$C$4:$C$66""),INDIRECT(""'""&amp;DC$1&amp;""'!$D$4:$D$66"")=DC$2),$F$3:$BP$3,$F182:$BP182))),"""")"),0.28402198814814805)</f>
        <v>0.2840219881</v>
      </c>
      <c r="DE182" s="251">
        <f>IFERROR(__xludf.DUMMYFUNCTION("AVERAGE(ARRAYFORMULA(XLOOKUP(FILTER(INDIRECT(""'""&amp;DE$1&amp;""'!$C$4:$C$66""),INDIRECT(""'""&amp;DE$1&amp;""'!$D$4:$D$66"")=DE$2),$F$3:$BP$3,$F182:$BP182)))"),-0.0033718612499999967)</f>
        <v>-0.00337186125</v>
      </c>
      <c r="DF182" s="207" t="str">
        <f>IFERROR(__xludf.DUMMYFUNCTION("IF(OR(DE182&gt;$BR182+$BS182*$BS$2,DE182&lt;$BR182-$BS182*$BS$2),AVEDEV(ARRAYFORMULA(XLOOKUP(FILTER(INDIRECT(""'""&amp;DE$1&amp;""'!$C$4:$C$66""),INDIRECT(""'""&amp;DE$1&amp;""'!$D$4:$D$66"")=DE$2),$F$3:$BP$3,$F182:$BP182))),"""")"),"")</f>
        <v/>
      </c>
      <c r="DG182" s="251">
        <f>IFERROR(__xludf.DUMMYFUNCTION("AVERAGE(ARRAYFORMULA(XLOOKUP(FILTER(INDIRECT(""'""&amp;DG$1&amp;""'!$C$4:$C$66""),INDIRECT(""'""&amp;DG$1&amp;""'!$D$4:$D$66"")=DG$2),$F$3:$BP$3,$F182:$BP182)))"),-0.047099125555555586)</f>
        <v>-0.04709912556</v>
      </c>
      <c r="DH182" s="207" t="str">
        <f>IFERROR(__xludf.DUMMYFUNCTION("IF(OR(DG182&gt;$BR182+$BS182*$BS$2,DG182&lt;$BR182-$BS182*$BS$2),AVEDEV(ARRAYFORMULA(XLOOKUP(FILTER(INDIRECT(""'""&amp;DG$1&amp;""'!$C$4:$C$66""),INDIRECT(""'""&amp;DG$1&amp;""'!$D$4:$D$66"")=DG$2),$F$3:$BP$3,$F182:$BP182))),"""")"),"")</f>
        <v/>
      </c>
      <c r="DI182" s="252"/>
    </row>
    <row r="183">
      <c r="A183" s="2"/>
      <c r="B183" s="204" t="s">
        <v>601</v>
      </c>
      <c r="C183" s="204" t="s">
        <v>627</v>
      </c>
      <c r="D183" s="205" t="b">
        <f>VLOOKUP(C183,'Feature Set List'!A180:C246,2,0)</f>
        <v>1</v>
      </c>
      <c r="E183" s="205" t="b">
        <f>VLOOKUP(C183,'Feature Set List'!A180:C246,3,0)</f>
        <v>0</v>
      </c>
      <c r="F183" s="205">
        <v>0.0254717</v>
      </c>
      <c r="G183" s="205">
        <v>0.27075472</v>
      </c>
      <c r="H183" s="205">
        <v>0.09716981</v>
      </c>
      <c r="I183" s="205">
        <v>0.11886792</v>
      </c>
      <c r="J183" s="205">
        <v>-0.2764151</v>
      </c>
      <c r="K183" s="205">
        <v>-0.9764151</v>
      </c>
      <c r="L183" s="205">
        <v>-0.9962264</v>
      </c>
      <c r="M183" s="205">
        <v>0.51792453</v>
      </c>
      <c r="N183" s="205">
        <v>0.2009434</v>
      </c>
      <c r="O183" s="205">
        <v>-0.854717</v>
      </c>
      <c r="P183" s="205">
        <v>0.71132075</v>
      </c>
      <c r="Q183" s="205">
        <v>-0.3349057</v>
      </c>
      <c r="R183" s="205">
        <v>0.39245283</v>
      </c>
      <c r="S183" s="205">
        <v>-0.6141509</v>
      </c>
      <c r="T183" s="205">
        <v>-0.1971698</v>
      </c>
      <c r="U183" s="205">
        <v>0.69245283</v>
      </c>
      <c r="V183" s="205">
        <v>-0.8424528</v>
      </c>
      <c r="W183" s="205">
        <v>-0.2122642</v>
      </c>
      <c r="X183" s="205">
        <v>-1.195283</v>
      </c>
      <c r="Y183" s="205">
        <v>0.27924528</v>
      </c>
      <c r="Z183" s="205">
        <v>-0.2377358</v>
      </c>
      <c r="AA183" s="205">
        <v>0.15283019</v>
      </c>
      <c r="AB183" s="205">
        <v>-0.4358491</v>
      </c>
      <c r="AC183" s="205">
        <v>1.08679245</v>
      </c>
      <c r="AD183" s="205">
        <v>0.2745283</v>
      </c>
      <c r="AE183" s="205">
        <v>-0.745283</v>
      </c>
      <c r="AF183" s="205">
        <v>1.29811321</v>
      </c>
      <c r="AG183" s="205">
        <v>-0.1679245</v>
      </c>
      <c r="AH183" s="205">
        <v>-0.5179245</v>
      </c>
      <c r="AI183" s="205">
        <v>-0.5037736</v>
      </c>
      <c r="AJ183" s="205">
        <v>1.03679245</v>
      </c>
      <c r="AK183" s="205">
        <v>0.32264151</v>
      </c>
      <c r="AL183" s="205">
        <v>-0.3415094</v>
      </c>
      <c r="AM183" s="205">
        <v>-0.0764151</v>
      </c>
      <c r="AN183" s="205">
        <v>0.49056604</v>
      </c>
      <c r="AO183" s="205">
        <v>0.61698113</v>
      </c>
      <c r="AP183" s="205">
        <v>0.58396226</v>
      </c>
      <c r="AQ183" s="205">
        <v>2.08867925</v>
      </c>
      <c r="AR183" s="205">
        <v>-0.5990566</v>
      </c>
      <c r="AS183" s="205">
        <v>0.01415094</v>
      </c>
      <c r="AT183" s="205">
        <v>1.55660377</v>
      </c>
      <c r="AU183" s="205">
        <v>0.16886792</v>
      </c>
      <c r="AV183" s="205">
        <v>0.77075472</v>
      </c>
      <c r="AW183" s="205">
        <v>0.91415094</v>
      </c>
      <c r="AX183" s="205">
        <v>0.85377358</v>
      </c>
      <c r="AY183" s="205">
        <v>0.03113208</v>
      </c>
      <c r="AZ183" s="205">
        <v>-0.8650943</v>
      </c>
      <c r="BA183" s="205">
        <v>0.00377358</v>
      </c>
      <c r="BB183" s="205">
        <v>0.22735849</v>
      </c>
      <c r="BC183" s="205">
        <v>-1.1216981</v>
      </c>
      <c r="BD183" s="205">
        <v>0.0</v>
      </c>
      <c r="BE183" s="205">
        <v>-0.0990566</v>
      </c>
      <c r="BF183" s="205">
        <v>-0.759434</v>
      </c>
      <c r="BG183" s="205">
        <v>1.11037736</v>
      </c>
      <c r="BH183" s="205">
        <v>-0.6886792</v>
      </c>
      <c r="BI183" s="205">
        <v>0.49716981</v>
      </c>
      <c r="BJ183" s="205">
        <v>-0.2103774</v>
      </c>
      <c r="BK183" s="205">
        <v>-0.4886792</v>
      </c>
      <c r="BL183" s="205">
        <v>-0.9622642</v>
      </c>
      <c r="BM183" s="205">
        <v>-1.2481132</v>
      </c>
      <c r="BN183" s="205">
        <v>-0.6037736</v>
      </c>
      <c r="BO183" s="205">
        <v>-0.4424528</v>
      </c>
      <c r="BP183" s="205">
        <v>-1.2641509</v>
      </c>
      <c r="BQ183" s="206"/>
      <c r="BR183" s="250">
        <f t="shared" si="1"/>
        <v>-0.02337525952</v>
      </c>
      <c r="BS183" s="250">
        <f t="shared" si="2"/>
        <v>0.5763368906</v>
      </c>
      <c r="BT183" s="206"/>
      <c r="BU183" s="207">
        <f>IFERROR(__xludf.DUMMYFUNCTION("AVERAGE(ARRAYFORMULA(XLOOKUP(FILTER(INDIRECT(""'""&amp;BU$1&amp;""'!$C$4:$C$66""),INDIRECT(""'""&amp;BU$1&amp;""'!$D$4:$D$66"")=BU$2),$F$3:$BP$3,$F183:$BP183)))"),0.0642857142857143)</f>
        <v>0.06428571429</v>
      </c>
      <c r="BV183" s="207" t="str">
        <f>IFERROR(__xludf.DUMMYFUNCTION("IF(OR(BU183&gt;$BR183+$BS183*$BS$2,BU183&lt;$BR183-$BS183*$BS$2),AVEDEV(ARRAYFORMULA(XLOOKUP(FILTER(INDIRECT(""'""&amp;BU$1&amp;""'!$C$4:$C$66""),INDIRECT(""'""&amp;BU$1&amp;""'!$D$4:$D$66"")=BU$2),$F$3:$BP$3,$F183:$BP183))),"""")"),"")</f>
        <v/>
      </c>
      <c r="BW183" s="207">
        <f>IFERROR(__xludf.DUMMYFUNCTION("AVERAGE(ARRAYFORMULA(XLOOKUP(FILTER(INDIRECT(""'""&amp;BW$1&amp;""'!$C$4:$C$66""),INDIRECT(""'""&amp;BW$1&amp;""'!$D$4:$D$66"")=BW$2),$F$3:$BP$3,$F183:$BP183)))"),0.13191824023809526)</f>
        <v>0.1319182402</v>
      </c>
      <c r="BX183" s="207" t="str">
        <f>IFERROR(__xludf.DUMMYFUNCTION("IF(OR(BW183&gt;$BR183+$BS183*$BS$2,BW183&lt;$BR183-$BS183*$BS$2),AVEDEV(ARRAYFORMULA(XLOOKUP(FILTER(INDIRECT(""'""&amp;BW$1&amp;""'!$C$4:$C$66""),INDIRECT(""'""&amp;BW$1&amp;""'!$D$4:$D$66"")=BW$2),$F$3:$BP$3,$F183:$BP183))),"""")"),"")</f>
        <v/>
      </c>
      <c r="BY183" s="207">
        <f>IFERROR(__xludf.DUMMYFUNCTION("AVERAGE(ARRAYFORMULA(XLOOKUP(FILTER(INDIRECT(""'""&amp;BY$1&amp;""'!$C$4:$C$66""),INDIRECT(""'""&amp;BY$1&amp;""'!$D$4:$D$66"")=BY$2),$F$3:$BP$3,$F183:$BP183)))"),-0.7268439018181818)</f>
        <v>-0.7268439018</v>
      </c>
      <c r="BZ183" s="207">
        <f>IFERROR(__xludf.DUMMYFUNCTION("IF(OR(BY183&gt;$BR183+$BS183*$BS$2,BY183&lt;$BR183-$BS183*$BS$2),AVEDEV(ARRAYFORMULA(XLOOKUP(FILTER(INDIRECT(""'""&amp;BY$1&amp;""'!$C$4:$C$66""),INDIRECT(""'""&amp;BY$1&amp;""'!$D$4:$D$66"")=BY$2),$F$3:$BP$3,$F183:$BP183))),"""")"),0.295088106446281)</f>
        <v>0.2950881064</v>
      </c>
      <c r="CA183" s="209"/>
      <c r="CB183" s="207">
        <f>IFERROR(__xludf.DUMMYFUNCTION("AVERAGE(ARRAYFORMULA(XLOOKUP(FILTER(INDIRECT(""'""&amp;CB$1&amp;""'!$C$4:$C$66""),INDIRECT(""'""&amp;CB$1&amp;""'!$D$4:$D$66"")=CB$2),$F$3:$BP$3,$F183:$BP183)))"),0.31928066187500004)</f>
        <v>0.3192806619</v>
      </c>
      <c r="CC183" s="207" t="str">
        <f>IFERROR(__xludf.DUMMYFUNCTION("IF(OR(CB183&gt;$BR183+$BS183*$BS$2,CB183&lt;$BR183-$BS183*$BS$2),AVEDEV(ARRAYFORMULA(XLOOKUP(FILTER(INDIRECT(""'""&amp;CB$1&amp;""'!$C$4:$C$66""),INDIRECT(""'""&amp;CB$1&amp;""'!$D$4:$D$66"")=CB$2),$F$3:$BP$3,$F183:$BP183))),"""")"),"")</f>
        <v/>
      </c>
      <c r="CD183" s="207">
        <f>IFERROR(__xludf.DUMMYFUNCTION("AVERAGE(ARRAYFORMULA(XLOOKUP(FILTER(INDIRECT(""'""&amp;CD$1&amp;""'!$C$4:$C$66""),INDIRECT(""'""&amp;CD$1&amp;""'!$D$4:$D$66"")=CD$2),$F$3:$BP$3,$F183:$BP183)))"),-0.15073036612903226)</f>
        <v>-0.1507303661</v>
      </c>
      <c r="CE183" s="207" t="str">
        <f>IFERROR(__xludf.DUMMYFUNCTION("IF(OR(CD183&gt;$BR183+$BS183*$BS$2,CD183&lt;$BR183-$BS183*$BS$2),AVEDEV(ARRAYFORMULA(XLOOKUP(FILTER(INDIRECT(""'""&amp;CD$1&amp;""'!$C$4:$C$66""),INDIRECT(""'""&amp;CD$1&amp;""'!$D$4:$D$66"")=CD$2),$F$3:$BP$3,$F183:$BP183))),"""")"),"")</f>
        <v/>
      </c>
      <c r="CF183" s="207">
        <f>IFERROR(__xludf.DUMMYFUNCTION("AVERAGE(ARRAYFORMULA(XLOOKUP(FILTER(INDIRECT(""'""&amp;CF$1&amp;""'!$C$4:$C$66""),INDIRECT(""'""&amp;CF$1&amp;""'!$D$4:$D$66"")=CF$2),$F$3:$BP$3,$F183:$BP183)))"),-0.73849056)</f>
        <v>-0.73849056</v>
      </c>
      <c r="CG183" s="207">
        <f>IFERROR(__xludf.DUMMYFUNCTION("IF(OR(CF183&gt;$BR183+$BS183*$BS$2,CF183&lt;$BR183-$BS183*$BS$2),AVEDEV(ARRAYFORMULA(XLOOKUP(FILTER(INDIRECT(""'""&amp;CF$1&amp;""'!$C$4:$C$66""),INDIRECT(""'""&amp;CF$1&amp;""'!$D$4:$D$66"")=CF$2),$F$3:$BP$3,$F183:$BP183))),"""")"),0.10550944799999998)</f>
        <v>0.105509448</v>
      </c>
      <c r="CH183" s="206"/>
      <c r="CI183" s="251">
        <f>IFERROR(__xludf.DUMMYFUNCTION("AVERAGE(ARRAYFORMULA(XLOOKUP(FILTER(INDIRECT(""'""&amp;CI$1&amp;""'!$C$4:$C$66""),INDIRECT(""'""&amp;CI$1&amp;""'!$D$4:$D$66"")=CI$2),$F$3:$BP$3,$F183:$BP183)))"),-0.20157233066666666)</f>
        <v>-0.2015723307</v>
      </c>
      <c r="CJ183" s="207" t="str">
        <f>IFERROR(__xludf.DUMMYFUNCTION("IF(OR(CI183&gt;$BR183+$BS183*$BS$2,CI183&lt;$BR183-$BS183*$BS$2),AVEDEV(ARRAYFORMULA(XLOOKUP(FILTER(INDIRECT(""'""&amp;CI$1&amp;""'!$C$4:$C$66""),INDIRECT(""'""&amp;CI$1&amp;""'!$D$4:$D$66"")=CI$2),$F$3:$BP$3,$F183:$BP183))),"""")"),"")</f>
        <v/>
      </c>
      <c r="CK183" s="251">
        <f>IFERROR(__xludf.DUMMYFUNCTION("AVERAGE(ARRAYFORMULA(XLOOKUP(FILTER(INDIRECT(""'""&amp;CK$1&amp;""'!$C$4:$C$66""),INDIRECT(""'""&amp;CK$1&amp;""'!$D$4:$D$66"")=CK$2),$F$3:$BP$3,$F183:$BP183)))"),0.13333333666666666)</f>
        <v>0.1333333367</v>
      </c>
      <c r="CL183" s="207" t="str">
        <f>IFERROR(__xludf.DUMMYFUNCTION("IF(OR(CK183&gt;$BR183+$BS183*$BS$2,CK183&lt;$BR183-$BS183*$BS$2),AVEDEV(ARRAYFORMULA(XLOOKUP(FILTER(INDIRECT(""'""&amp;CK$1&amp;""'!$C$4:$C$66""),INDIRECT(""'""&amp;CK$1&amp;""'!$D$4:$D$66"")=CK$2),$F$3:$BP$3,$F183:$BP183))),"""")"),"")</f>
        <v/>
      </c>
      <c r="CM183" s="251">
        <f>IFERROR(__xludf.DUMMYFUNCTION("AVERAGE(ARRAYFORMULA(XLOOKUP(FILTER(INDIRECT(""'""&amp;CM$1&amp;""'!$C$4:$C$66""),INDIRECT(""'""&amp;CM$1&amp;""'!$D$4:$D$66"")=CM$2),$F$3:$BP$3,$F183:$BP183)))"),-0.73849056)</f>
        <v>-0.73849056</v>
      </c>
      <c r="CN183" s="207">
        <f>IFERROR(__xludf.DUMMYFUNCTION("IF(OR(CM183&gt;$BR183+$BS183*$BS$2,CM183&lt;$BR183-$BS183*$BS$2),AVEDEV(ARRAYFORMULA(XLOOKUP(FILTER(INDIRECT(""'""&amp;CM$1&amp;""'!$C$4:$C$66""),INDIRECT(""'""&amp;CM$1&amp;""'!$D$4:$D$66"")=CM$2),$F$3:$BP$3,$F183:$BP183))),"""")"),0.10550944799999998)</f>
        <v>0.105509448</v>
      </c>
      <c r="CO183" s="252"/>
      <c r="CP183" s="251">
        <f>IFERROR(__xludf.DUMMYFUNCTION("AVERAGE(ARRAYFORMULA(XLOOKUP(FILTER(INDIRECT(""'""&amp;CP$1&amp;""'!$C$4:$C$66""),INDIRECT(""'""&amp;CP$1&amp;""'!$D$4:$D$66"")=CP$2),$F$3:$BP$3,$F183:$BP183)))"),0.40545822)</f>
        <v>0.40545822</v>
      </c>
      <c r="CQ183" s="207" t="str">
        <f>IFERROR(__xludf.DUMMYFUNCTION("IF(OR(CP183&gt;$BR183+$BS183*$BS$2,CP183&lt;$BR183-$BS183*$BS$2),AVEDEV(ARRAYFORMULA(XLOOKUP(FILTER(INDIRECT(""'""&amp;CP$1&amp;""'!$C$4:$C$66""),INDIRECT(""'""&amp;CP$1&amp;""'!$D$4:$D$66"")=CP$2),$F$3:$BP$3,$F183:$BP183))),"""")"),"")</f>
        <v/>
      </c>
      <c r="CR183" s="251">
        <f>IFERROR(__xludf.DUMMYFUNCTION("AVERAGE(ARRAYFORMULA(XLOOKUP(FILTER(INDIRECT(""'""&amp;CR$1&amp;""'!$C$4:$C$66""),INDIRECT(""'""&amp;CR$1&amp;""'!$D$4:$D$66"")=CR$2),$F$3:$BP$3,$F183:$BP183)))"),-0.7849056444444444)</f>
        <v>-0.7849056444</v>
      </c>
      <c r="CS183" s="207">
        <f>IFERROR(__xludf.DUMMYFUNCTION("IF(OR(CR183&gt;$BR183+$BS183*$BS$2,CR183&lt;$BR183-$BS183*$BS$2),AVEDEV(ARRAYFORMULA(XLOOKUP(FILTER(INDIRECT(""'""&amp;CR$1&amp;""'!$C$4:$C$66""),INDIRECT(""'""&amp;CR$1&amp;""'!$D$4:$D$66"")=CR$2),$F$3:$BP$3,$F183:$BP183))),"""")"),0.22683438518518517)</f>
        <v>0.2268343852</v>
      </c>
      <c r="CT183" s="251">
        <f>IFERROR(__xludf.DUMMYFUNCTION("AVERAGE(ARRAYFORMULA(XLOOKUP(FILTER(INDIRECT(""'""&amp;CT$1&amp;""'!$C$4:$C$66""),INDIRECT(""'""&amp;CT$1&amp;""'!$D$4:$D$66"")=CT$2),$F$3:$BP$3,$F183:$BP183)))"),-0.16243567636363637)</f>
        <v>-0.1624356764</v>
      </c>
      <c r="CU183" s="207" t="str">
        <f>IFERROR(__xludf.DUMMYFUNCTION("IF(OR(CT183&gt;$BR183+$BS183*$BS$2,CT183&lt;$BR183-$BS183*$BS$2),AVEDEV(ARRAYFORMULA(XLOOKUP(FILTER(INDIRECT(""'""&amp;CT$1&amp;""'!$C$4:$C$66""),INDIRECT(""'""&amp;CT$1&amp;""'!$D$4:$D$66"")=CT$2),$F$3:$BP$3,$F183:$BP183))),"""")"),"")</f>
        <v/>
      </c>
      <c r="CV183" s="251">
        <f>IFERROR(__xludf.DUMMYFUNCTION("AVERAGE(ARRAYFORMULA(XLOOKUP(FILTER(INDIRECT(""'""&amp;CV$1&amp;""'!$C$4:$C$66""),INDIRECT(""'""&amp;CV$1&amp;""'!$D$4:$D$66"")=CV$2),$F$3:$BP$3,$F183:$BP183)))"),1.098584905)</f>
        <v>1.098584905</v>
      </c>
      <c r="CW183" s="207">
        <f>IFERROR(__xludf.DUMMYFUNCTION("IF(OR(CV183&gt;$BR183+$BS183*$BS$2,CV183&lt;$BR183-$BS183*$BS$2),AVEDEV(ARRAYFORMULA(XLOOKUP(FILTER(INDIRECT(""'""&amp;CV$1&amp;""'!$C$4:$C$66""),INDIRECT(""'""&amp;CV$1&amp;""'!$D$4:$D$66"")=CV$2),$F$3:$BP$3,$F183:$BP183))),"""")"),0.011792455000000035)</f>
        <v>0.011792455</v>
      </c>
      <c r="CX183" s="251">
        <f>IFERROR(__xludf.DUMMYFUNCTION("AVERAGE(ARRAYFORMULA(XLOOKUP(FILTER(INDIRECT(""'""&amp;CX$1&amp;""'!$C$4:$C$66""),INDIRECT(""'""&amp;CX$1&amp;""'!$D$4:$D$66"")=CX$2),$F$3:$BP$3,$F183:$BP183)))"),0.025741244285714306)</f>
        <v>0.02574124429</v>
      </c>
      <c r="CY183" s="207" t="str">
        <f>IFERROR(__xludf.DUMMYFUNCTION("IF(OR(CX183&gt;$BR183+$BS183*$BS$2,CX183&lt;$BR183-$BS183*$BS$2),AVEDEV(ARRAYFORMULA(XLOOKUP(FILTER(INDIRECT(""'""&amp;CX$1&amp;""'!$C$4:$C$66""),INDIRECT(""'""&amp;CX$1&amp;""'!$D$4:$D$66"")=CX$2),$F$3:$BP$3,$F183:$BP183))),"""")"),"")</f>
        <v/>
      </c>
      <c r="CZ183" s="252"/>
      <c r="DA183" s="251">
        <f>IFERROR(__xludf.DUMMYFUNCTION("AVERAGE(ARRAYFORMULA(XLOOKUP(FILTER(INDIRECT(""'""&amp;DA$1&amp;""'!$C$4:$C$66""),INDIRECT(""'""&amp;DA$1&amp;""'!$D$4:$D$66"")=DA$2),$F$3:$BP$3,$F183:$BP183)))"),0.11981132133333335)</f>
        <v>0.1198113213</v>
      </c>
      <c r="DB183" s="207" t="str">
        <f>IFERROR(__xludf.DUMMYFUNCTION("IF(OR(DA183&gt;$BR183+$BS183*$BS$2,DA183&lt;$BR183-$BS183*$BS$2),AVEDEV(ARRAYFORMULA(XLOOKUP(FILTER(INDIRECT(""'""&amp;DA$1&amp;""'!$C$4:$C$66""),INDIRECT(""'""&amp;DA$1&amp;""'!$D$4:$D$66"")=DA$2),$F$3:$BP$3,$F183:$BP183))),"""")"),"")</f>
        <v/>
      </c>
      <c r="DC183" s="251">
        <f>IFERROR(__xludf.DUMMYFUNCTION("AVERAGE(ARRAYFORMULA(XLOOKUP(FILTER(INDIRECT(""'""&amp;DC$1&amp;""'!$C$4:$C$66""),INDIRECT(""'""&amp;DC$1&amp;""'!$D$4:$D$66"")=DC$2),$F$3:$BP$3,$F183:$BP183)))"),-0.6574423422222222)</f>
        <v>-0.6574423422</v>
      </c>
      <c r="DD183" s="207">
        <f>IFERROR(__xludf.DUMMYFUNCTION("IF(OR(DC183&gt;$BR183+$BS183*$BS$2,DC183&lt;$BR183-$BS183*$BS$2),AVEDEV(ARRAYFORMULA(XLOOKUP(FILTER(INDIRECT(""'""&amp;DC$1&amp;""'!$C$4:$C$66""),INDIRECT(""'""&amp;DC$1&amp;""'!$D$4:$D$66"")=DC$2),$F$3:$BP$3,$F183:$BP183))),"""")"),0.34500349925925927)</f>
        <v>0.3450034993</v>
      </c>
      <c r="DE183" s="251">
        <f>IFERROR(__xludf.DUMMYFUNCTION("AVERAGE(ARRAYFORMULA(XLOOKUP(FILTER(INDIRECT(""'""&amp;DE$1&amp;""'!$C$4:$C$66""),INDIRECT(""'""&amp;DE$1&amp;""'!$D$4:$D$66"")=DE$2),$F$3:$BP$3,$F183:$BP183)))"),0.02558962375)</f>
        <v>0.02558962375</v>
      </c>
      <c r="DF183" s="207" t="str">
        <f>IFERROR(__xludf.DUMMYFUNCTION("IF(OR(DE183&gt;$BR183+$BS183*$BS$2,DE183&lt;$BR183-$BS183*$BS$2),AVEDEV(ARRAYFORMULA(XLOOKUP(FILTER(INDIRECT(""'""&amp;DE$1&amp;""'!$C$4:$C$66""),INDIRECT(""'""&amp;DE$1&amp;""'!$D$4:$D$66"")=DE$2),$F$3:$BP$3,$F183:$BP183))),"""")"),"")</f>
        <v/>
      </c>
      <c r="DG183" s="251">
        <f>IFERROR(__xludf.DUMMYFUNCTION("AVERAGE(ARRAYFORMULA(XLOOKUP(FILTER(INDIRECT(""'""&amp;DG$1&amp;""'!$C$4:$C$66""),INDIRECT(""'""&amp;DG$1&amp;""'!$D$4:$D$66"")=DG$2),$F$3:$BP$3,$F183:$BP183)))"),-0.1961215855555556)</f>
        <v>-0.1961215856</v>
      </c>
      <c r="DH183" s="207" t="str">
        <f>IFERROR(__xludf.DUMMYFUNCTION("IF(OR(DG183&gt;$BR183+$BS183*$BS$2,DG183&lt;$BR183-$BS183*$BS$2),AVEDEV(ARRAYFORMULA(XLOOKUP(FILTER(INDIRECT(""'""&amp;DG$1&amp;""'!$C$4:$C$66""),INDIRECT(""'""&amp;DG$1&amp;""'!$D$4:$D$66"")=DG$2),$F$3:$BP$3,$F183:$BP183))),"""")"),"")</f>
        <v/>
      </c>
      <c r="DI183" s="252"/>
    </row>
    <row r="184">
      <c r="A184" s="2"/>
      <c r="B184" s="204" t="s">
        <v>601</v>
      </c>
      <c r="C184" s="204" t="s">
        <v>628</v>
      </c>
      <c r="D184" s="205" t="b">
        <f>VLOOKUP(C184,'Feature Set List'!A181:C246,2,0)</f>
        <v>1</v>
      </c>
      <c r="E184" s="205" t="b">
        <f>VLOOKUP(C184,'Feature Set List'!A181:C246,3,0)</f>
        <v>0</v>
      </c>
      <c r="F184" s="205">
        <v>0.0</v>
      </c>
      <c r="G184" s="205">
        <v>0.0</v>
      </c>
      <c r="H184" s="205">
        <v>0.0</v>
      </c>
      <c r="I184" s="205">
        <v>0.0</v>
      </c>
      <c r="J184" s="205">
        <v>0.0</v>
      </c>
      <c r="K184" s="205">
        <v>2.44902957</v>
      </c>
      <c r="L184" s="205">
        <v>1.22451479</v>
      </c>
      <c r="M184" s="205">
        <v>0.0</v>
      </c>
      <c r="N184" s="205">
        <v>0.0</v>
      </c>
      <c r="O184" s="205">
        <v>4.1988612</v>
      </c>
      <c r="P184" s="205">
        <v>0.0</v>
      </c>
      <c r="Q184" s="205">
        <v>0.0</v>
      </c>
      <c r="R184" s="205">
        <v>0.0</v>
      </c>
      <c r="S184" s="205">
        <v>0.91838609</v>
      </c>
      <c r="T184" s="205">
        <v>0.0</v>
      </c>
      <c r="U184" s="205">
        <v>0.0</v>
      </c>
      <c r="V184" s="205">
        <v>2.14290088</v>
      </c>
      <c r="W184" s="205">
        <v>0.0</v>
      </c>
      <c r="X184" s="205">
        <v>1.83677218</v>
      </c>
      <c r="Y184" s="205">
        <v>0.0</v>
      </c>
      <c r="Z184" s="205">
        <v>0.0</v>
      </c>
      <c r="AA184" s="205">
        <v>0.91838609</v>
      </c>
      <c r="AB184" s="205">
        <v>1.95922366</v>
      </c>
      <c r="AC184" s="205">
        <v>0.0</v>
      </c>
      <c r="AD184" s="205">
        <v>0.0</v>
      </c>
      <c r="AE184" s="205">
        <v>1.83677218</v>
      </c>
      <c r="AF184" s="205">
        <v>0.0</v>
      </c>
      <c r="AG184" s="205">
        <v>0.0</v>
      </c>
      <c r="AH184" s="205">
        <v>0.97961183</v>
      </c>
      <c r="AI184" s="205">
        <v>0.36735444</v>
      </c>
      <c r="AJ184" s="205">
        <v>0.0</v>
      </c>
      <c r="AK184" s="205">
        <v>0.0</v>
      </c>
      <c r="AL184" s="205">
        <v>0.0</v>
      </c>
      <c r="AM184" s="205">
        <v>1.22451479</v>
      </c>
      <c r="AN184" s="205">
        <v>0.0</v>
      </c>
      <c r="AO184" s="205">
        <v>0.0</v>
      </c>
      <c r="AP184" s="205">
        <v>0.0</v>
      </c>
      <c r="AQ184" s="205">
        <v>0.0</v>
      </c>
      <c r="AR184" s="205">
        <v>0.97961183</v>
      </c>
      <c r="AS184" s="205">
        <v>0.0</v>
      </c>
      <c r="AT184" s="205">
        <v>0.0</v>
      </c>
      <c r="AU184" s="205">
        <v>0.0</v>
      </c>
      <c r="AV184" s="205">
        <v>0.0</v>
      </c>
      <c r="AW184" s="205">
        <v>0.0</v>
      </c>
      <c r="AX184" s="205">
        <v>0.0</v>
      </c>
      <c r="AY184" s="205">
        <v>0.0</v>
      </c>
      <c r="AZ184" s="205">
        <v>3.67354436</v>
      </c>
      <c r="BA184" s="205">
        <v>0.61225739</v>
      </c>
      <c r="BB184" s="205">
        <v>0.0</v>
      </c>
      <c r="BC184" s="205">
        <v>2.44902957</v>
      </c>
      <c r="BD184" s="205">
        <v>0.0</v>
      </c>
      <c r="BE184" s="205">
        <v>0.0</v>
      </c>
      <c r="BF184" s="205">
        <v>1.53064348</v>
      </c>
      <c r="BG184" s="205">
        <v>0.0</v>
      </c>
      <c r="BH184" s="205">
        <v>0.0</v>
      </c>
      <c r="BI184" s="205">
        <v>0.0</v>
      </c>
      <c r="BJ184" s="205">
        <v>1.22451479</v>
      </c>
      <c r="BK184" s="205">
        <v>1.22451479</v>
      </c>
      <c r="BL184" s="205">
        <v>1.02038817</v>
      </c>
      <c r="BM184" s="205">
        <v>3.20210617</v>
      </c>
      <c r="BN184" s="205">
        <v>0.0</v>
      </c>
      <c r="BO184" s="205">
        <v>0.40813078</v>
      </c>
      <c r="BP184" s="205">
        <v>6.8572828</v>
      </c>
      <c r="BQ184" s="206"/>
      <c r="BR184" s="250">
        <f t="shared" si="1"/>
        <v>0.6863230449</v>
      </c>
      <c r="BS184" s="250">
        <f t="shared" si="2"/>
        <v>0.8928301054</v>
      </c>
      <c r="BT184" s="206"/>
      <c r="BU184" s="207">
        <f>IFERROR(__xludf.DUMMYFUNCTION("AVERAGE(ARRAYFORMULA(XLOOKUP(FILTER(INDIRECT(""'""&amp;BU$1&amp;""'!$C$4:$C$66""),INDIRECT(""'""&amp;BU$1&amp;""'!$D$4:$D$66"")=BU$2),$F$3:$BP$3,$F184:$BP184)))"),0.2623960257142857)</f>
        <v>0.2623960257</v>
      </c>
      <c r="BV184" s="207" t="str">
        <f>IFERROR(__xludf.DUMMYFUNCTION("IF(OR(BU184&gt;$BR184+$BS184*$BS$2,BU184&lt;$BR184-$BS184*$BS$2),AVEDEV(ARRAYFORMULA(XLOOKUP(FILTER(INDIRECT(""'""&amp;BU$1&amp;""'!$C$4:$C$66""),INDIRECT(""'""&amp;BU$1&amp;""'!$D$4:$D$66"")=BU$2),$F$3:$BP$3,$F184:$BP184))),"""")"),"")</f>
        <v/>
      </c>
      <c r="BW184" s="207">
        <f>IFERROR(__xludf.DUMMYFUNCTION("AVERAGE(ARRAYFORMULA(XLOOKUP(FILTER(INDIRECT(""'""&amp;BW$1&amp;""'!$C$4:$C$66""),INDIRECT(""'""&amp;BW$1&amp;""'!$D$4:$D$66"")=BW$2),$F$3:$BP$3,$F184:$BP184)))"),0.46789001571428573)</f>
        <v>0.4678900157</v>
      </c>
      <c r="BX184" s="207" t="str">
        <f>IFERROR(__xludf.DUMMYFUNCTION("IF(OR(BW184&gt;$BR184+$BS184*$BS$2,BW184&lt;$BR184-$BS184*$BS$2),AVEDEV(ARRAYFORMULA(XLOOKUP(FILTER(INDIRECT(""'""&amp;BW$1&amp;""'!$C$4:$C$66""),INDIRECT(""'""&amp;BW$1&amp;""'!$D$4:$D$66"")=BW$2),$F$3:$BP$3,$F184:$BP184))),"""")"),"")</f>
        <v/>
      </c>
      <c r="BY184" s="207">
        <f>IFERROR(__xludf.DUMMYFUNCTION("AVERAGE(ARRAYFORMULA(XLOOKUP(FILTER(INDIRECT(""'""&amp;BY$1&amp;""'!$C$4:$C$66""),INDIRECT(""'""&amp;BY$1&amp;""'!$D$4:$D$66"")=BY$2),$F$3:$BP$3,$F184:$BP184)))"),1.7546517654545455)</f>
        <v>1.754651765</v>
      </c>
      <c r="BZ184" s="207">
        <f>IFERROR(__xludf.DUMMYFUNCTION("IF(OR(BY184&gt;$BR184+$BS184*$BS$2,BY184&lt;$BR184-$BS184*$BS$2),AVEDEV(ARRAYFORMULA(XLOOKUP(FILTER(INDIRECT(""'""&amp;BY$1&amp;""'!$C$4:$C$66""),INDIRECT(""'""&amp;BY$1&amp;""'!$D$4:$D$66"")=BY$2),$F$3:$BP$3,$F184:$BP184))),"""")"),1.0199945049586778)</f>
        <v>1.019994505</v>
      </c>
      <c r="CA184" s="209"/>
      <c r="CB184" s="207">
        <f>IFERROR(__xludf.DUMMYFUNCTION("AVERAGE(ARRAYFORMULA(XLOOKUP(FILTER(INDIRECT(""'""&amp;CB$1&amp;""'!$C$4:$C$66""),INDIRECT(""'""&amp;CB$1&amp;""'!$D$4:$D$66"")=CB$2),$F$3:$BP$3,$F184:$BP184)))"),0.09949182625)</f>
        <v>0.09949182625</v>
      </c>
      <c r="CC184" s="207" t="str">
        <f>IFERROR(__xludf.DUMMYFUNCTION("IF(OR(CB184&gt;$BR184+$BS184*$BS$2,CB184&lt;$BR184-$BS184*$BS$2),AVEDEV(ARRAYFORMULA(XLOOKUP(FILTER(INDIRECT(""'""&amp;CB$1&amp;""'!$C$4:$C$66""),INDIRECT(""'""&amp;CB$1&amp;""'!$D$4:$D$66"")=CB$2),$F$3:$BP$3,$F184:$BP184))),"""")"),"")</f>
        <v/>
      </c>
      <c r="CD184" s="207">
        <f>IFERROR(__xludf.DUMMYFUNCTION("AVERAGE(ARRAYFORMULA(XLOOKUP(FILTER(INDIRECT(""'""&amp;CD$1&amp;""'!$C$4:$C$66""),INDIRECT(""'""&amp;CD$1&amp;""'!$D$4:$D$66"")=CD$2),$F$3:$BP$3,$F184:$BP184)))"),0.8274678425806452)</f>
        <v>0.8274678426</v>
      </c>
      <c r="CE184" s="207" t="str">
        <f>IFERROR(__xludf.DUMMYFUNCTION("IF(OR(CD184&gt;$BR184+$BS184*$BS$2,CD184&lt;$BR184-$BS184*$BS$2),AVEDEV(ARRAYFORMULA(XLOOKUP(FILTER(INDIRECT(""'""&amp;CD$1&amp;""'!$C$4:$C$66""),INDIRECT(""'""&amp;CD$1&amp;""'!$D$4:$D$66"")=CD$2),$F$3:$BP$3,$F184:$BP184))),"""")"),"")</f>
        <v/>
      </c>
      <c r="CF184" s="207">
        <f>IFERROR(__xludf.DUMMYFUNCTION("AVERAGE(ARRAYFORMULA(XLOOKUP(FILTER(INDIRECT(""'""&amp;CF$1&amp;""'!$C$4:$C$66""),INDIRECT(""'""&amp;CF$1&amp;""'!$D$4:$D$66"")=CF$2),$F$3:$BP$3,$F184:$BP184)))"),2.260209392)</f>
        <v>2.260209392</v>
      </c>
      <c r="CG184" s="207">
        <f>IFERROR(__xludf.DUMMYFUNCTION("IF(OR(CF184&gt;$BR184+$BS184*$BS$2,CF184&lt;$BR184-$BS184*$BS$2),AVEDEV(ARRAYFORMULA(XLOOKUP(FILTER(INDIRECT(""'""&amp;CF$1&amp;""'!$C$4:$C$66""),INDIRECT(""'""&amp;CF$1&amp;""'!$D$4:$D$66"")=CF$2),$F$3:$BP$3,$F184:$BP184))),"""")"),1.3407947103999998)</f>
        <v>1.34079471</v>
      </c>
      <c r="CH184" s="206"/>
      <c r="CI184" s="251">
        <f>IFERROR(__xludf.DUMMYFUNCTION("AVERAGE(ARRAYFORMULA(XLOOKUP(FILTER(INDIRECT(""'""&amp;CI$1&amp;""'!$C$4:$C$66""),INDIRECT(""'""&amp;CI$1&amp;""'!$D$4:$D$66"")=CI$2),$F$3:$BP$3,$F184:$BP184)))"),0.42313516599999995)</f>
        <v>0.423135166</v>
      </c>
      <c r="CJ184" s="207" t="str">
        <f>IFERROR(__xludf.DUMMYFUNCTION("IF(OR(CI184&gt;$BR184+$BS184*$BS$2,CI184&lt;$BR184-$BS184*$BS$2),AVEDEV(ARRAYFORMULA(XLOOKUP(FILTER(INDIRECT(""'""&amp;CI$1&amp;""'!$C$4:$C$66""),INDIRECT(""'""&amp;CI$1&amp;""'!$D$4:$D$66"")=CI$2),$F$3:$BP$3,$F184:$BP184))),"""")"),"")</f>
        <v/>
      </c>
      <c r="CK184" s="251">
        <f>IFERROR(__xludf.DUMMYFUNCTION("AVERAGE(ARRAYFORMULA(XLOOKUP(FILTER(INDIRECT(""'""&amp;CK$1&amp;""'!$C$4:$C$66""),INDIRECT(""'""&amp;CK$1&amp;""'!$D$4:$D$66"")=CK$2),$F$3:$BP$3,$F184:$BP184)))"),0.5619675133333334)</f>
        <v>0.5619675133</v>
      </c>
      <c r="CL184" s="207" t="str">
        <f>IFERROR(__xludf.DUMMYFUNCTION("IF(OR(CK184&gt;$BR184+$BS184*$BS$2,CK184&lt;$BR184-$BS184*$BS$2),AVEDEV(ARRAYFORMULA(XLOOKUP(FILTER(INDIRECT(""'""&amp;CK$1&amp;""'!$C$4:$C$66""),INDIRECT(""'""&amp;CK$1&amp;""'!$D$4:$D$66"")=CK$2),$F$3:$BP$3,$F184:$BP184))),"""")"),"")</f>
        <v/>
      </c>
      <c r="CM184" s="251">
        <f>IFERROR(__xludf.DUMMYFUNCTION("AVERAGE(ARRAYFORMULA(XLOOKUP(FILTER(INDIRECT(""'""&amp;CM$1&amp;""'!$C$4:$C$66""),INDIRECT(""'""&amp;CM$1&amp;""'!$D$4:$D$66"")=CM$2),$F$3:$BP$3,$F184:$BP184)))"),2.260209392)</f>
        <v>2.260209392</v>
      </c>
      <c r="CN184" s="207">
        <f>IFERROR(__xludf.DUMMYFUNCTION("IF(OR(CM184&gt;$BR184+$BS184*$BS$2,CM184&lt;$BR184-$BS184*$BS$2),AVEDEV(ARRAYFORMULA(XLOOKUP(FILTER(INDIRECT(""'""&amp;CM$1&amp;""'!$C$4:$C$66""),INDIRECT(""'""&amp;CM$1&amp;""'!$D$4:$D$66"")=CM$2),$F$3:$BP$3,$F184:$BP184))),"""")"),1.3407947103999998)</f>
        <v>1.34079471</v>
      </c>
      <c r="CO184" s="252"/>
      <c r="CP184" s="251">
        <f>IFERROR(__xludf.DUMMYFUNCTION("AVERAGE(ARRAYFORMULA(XLOOKUP(FILTER(INDIRECT(""'""&amp;CP$1&amp;""'!$C$4:$C$66""),INDIRECT(""'""&amp;CP$1&amp;""'!$D$4:$D$66"")=CP$2),$F$3:$BP$3,$F184:$BP184)))"),0.1574376157142857)</f>
        <v>0.1574376157</v>
      </c>
      <c r="CQ184" s="207" t="str">
        <f>IFERROR(__xludf.DUMMYFUNCTION("IF(OR(CP184&gt;$BR184+$BS184*$BS$2,CP184&lt;$BR184-$BS184*$BS$2),AVEDEV(ARRAYFORMULA(XLOOKUP(FILTER(INDIRECT(""'""&amp;CP$1&amp;""'!$C$4:$C$66""),INDIRECT(""'""&amp;CP$1&amp;""'!$D$4:$D$66"")=CP$2),$F$3:$BP$3,$F184:$BP184))),"""")"),"")</f>
        <v/>
      </c>
      <c r="CR184" s="251">
        <f>IFERROR(__xludf.DUMMYFUNCTION("AVERAGE(ARRAYFORMULA(XLOOKUP(FILTER(INDIRECT(""'""&amp;CR$1&amp;""'!$C$4:$C$66""),INDIRECT(""'""&amp;CR$1&amp;""'!$D$4:$D$66"")=CR$2),$F$3:$BP$3,$F184:$BP184)))"),2.0311979166666667)</f>
        <v>2.031197917</v>
      </c>
      <c r="CS184" s="207">
        <f>IFERROR(__xludf.DUMMYFUNCTION("IF(OR(CR184&gt;$BR184+$BS184*$BS$2,CR184&lt;$BR184-$BS184*$BS$2),AVEDEV(ARRAYFORMULA(XLOOKUP(FILTER(INDIRECT(""'""&amp;CR$1&amp;""'!$C$4:$C$66""),INDIRECT(""'""&amp;CR$1&amp;""'!$D$4:$D$66"")=CR$2),$F$3:$BP$3,$F184:$BP184))),"""")"),0.9643431874074072)</f>
        <v>0.9643431874</v>
      </c>
      <c r="CT184" s="251">
        <f>IFERROR(__xludf.DUMMYFUNCTION("AVERAGE(ARRAYFORMULA(XLOOKUP(FILTER(INDIRECT(""'""&amp;CT$1&amp;""'!$C$4:$C$66""),INDIRECT(""'""&amp;CT$1&amp;""'!$D$4:$D$66"")=CT$2),$F$3:$BP$3,$F184:$BP184)))"),0.4007502936363636)</f>
        <v>0.4007502936</v>
      </c>
      <c r="CU184" s="207" t="str">
        <f>IFERROR(__xludf.DUMMYFUNCTION("IF(OR(CT184&gt;$BR184+$BS184*$BS$2,CT184&lt;$BR184-$BS184*$BS$2),AVEDEV(ARRAYFORMULA(XLOOKUP(FILTER(INDIRECT(""'""&amp;CT$1&amp;""'!$C$4:$C$66""),INDIRECT(""'""&amp;CT$1&amp;""'!$D$4:$D$66"")=CT$2),$F$3:$BP$3,$F184:$BP184))),"""")"),"")</f>
        <v/>
      </c>
      <c r="CV184" s="251">
        <f>IFERROR(__xludf.DUMMYFUNCTION("AVERAGE(ARRAYFORMULA(XLOOKUP(FILTER(INDIRECT(""'""&amp;CV$1&amp;""'!$C$4:$C$66""),INDIRECT(""'""&amp;CV$1&amp;""'!$D$4:$D$66"")=CV$2),$F$3:$BP$3,$F184:$BP184)))"),0.0)</f>
        <v>0</v>
      </c>
      <c r="CW184" s="207" t="str">
        <f>IFERROR(__xludf.DUMMYFUNCTION("IF(OR(CV184&gt;$BR184+$BS184*$BS$2,CV184&lt;$BR184-$BS184*$BS$2),AVEDEV(ARRAYFORMULA(XLOOKUP(FILTER(INDIRECT(""'""&amp;CV$1&amp;""'!$C$4:$C$66""),INDIRECT(""'""&amp;CV$1&amp;""'!$D$4:$D$66"")=CV$2),$F$3:$BP$3,$F184:$BP184))),"""")"),"")</f>
        <v/>
      </c>
      <c r="CX184" s="251">
        <f>IFERROR(__xludf.DUMMYFUNCTION("AVERAGE(ARRAYFORMULA(XLOOKUP(FILTER(INDIRECT(""'""&amp;CX$1&amp;""'!$C$4:$C$66""),INDIRECT(""'""&amp;CX$1&amp;""'!$D$4:$D$66"")=CX$2),$F$3:$BP$3,$F184:$BP184)))"),0.8613849271428572)</f>
        <v>0.8613849271</v>
      </c>
      <c r="CY184" s="207" t="str">
        <f>IFERROR(__xludf.DUMMYFUNCTION("IF(OR(CX184&gt;$BR184+$BS184*$BS$2,CX184&lt;$BR184-$BS184*$BS$2),AVEDEV(ARRAYFORMULA(XLOOKUP(FILTER(INDIRECT(""'""&amp;CX$1&amp;""'!$C$4:$C$66""),INDIRECT(""'""&amp;CX$1&amp;""'!$D$4:$D$66"")=CX$2),$F$3:$BP$3,$F184:$BP184))),"""")"),"")</f>
        <v/>
      </c>
      <c r="CZ184" s="252"/>
      <c r="DA184" s="251">
        <f>IFERROR(__xludf.DUMMYFUNCTION("AVERAGE(ARRAYFORMULA(XLOOKUP(FILTER(INDIRECT(""'""&amp;DA$1&amp;""'!$C$4:$C$66""),INDIRECT(""'""&amp;DA$1&amp;""'!$D$4:$D$66"")=DA$2),$F$3:$BP$3,$F184:$BP184)))"),0.5238188536666667)</f>
        <v>0.5238188537</v>
      </c>
      <c r="DB184" s="207" t="str">
        <f>IFERROR(__xludf.DUMMYFUNCTION("IF(OR(DA184&gt;$BR184+$BS184*$BS$2,DA184&lt;$BR184-$BS184*$BS$2),AVEDEV(ARRAYFORMULA(XLOOKUP(FILTER(INDIRECT(""'""&amp;DA$1&amp;""'!$C$4:$C$66""),INDIRECT(""'""&amp;DA$1&amp;""'!$D$4:$D$66"")=DA$2),$F$3:$BP$3,$F184:$BP184))),"""")"),"")</f>
        <v/>
      </c>
      <c r="DC184" s="251">
        <f>IFERROR(__xludf.DUMMYFUNCTION("AVERAGE(ARRAYFORMULA(XLOOKUP(FILTER(INDIRECT(""'""&amp;DC$1&amp;""'!$C$4:$C$66""),INDIRECT(""'""&amp;DC$1&amp;""'!$D$4:$D$66"")=DC$2),$F$3:$BP$3,$F184:$BP184)))"),1.7364027844444445)</f>
        <v>1.736402784</v>
      </c>
      <c r="DD184" s="207">
        <f>IFERROR(__xludf.DUMMYFUNCTION("IF(OR(DC184&gt;$BR184+$BS184*$BS$2,DC184&lt;$BR184-$BS184*$BS$2),AVEDEV(ARRAYFORMULA(XLOOKUP(FILTER(INDIRECT(""'""&amp;DC$1&amp;""'!$C$4:$C$66""),INDIRECT(""'""&amp;DC$1&amp;""'!$D$4:$D$66"")=DC$2),$F$3:$BP$3,$F184:$BP184))),"""")"),1.2263833049382715)</f>
        <v>1.226383305</v>
      </c>
      <c r="DE184" s="251">
        <f>IFERROR(__xludf.DUMMYFUNCTION("AVERAGE(ARRAYFORMULA(XLOOKUP(FILTER(INDIRECT(""'""&amp;DE$1&amp;""'!$C$4:$C$66""),INDIRECT(""'""&amp;DE$1&amp;""'!$D$4:$D$66"")=DE$2),$F$3:$BP$3,$F184:$BP184)))"),0.045919305)</f>
        <v>0.045919305</v>
      </c>
      <c r="DF184" s="207" t="str">
        <f>IFERROR(__xludf.DUMMYFUNCTION("IF(OR(DE184&gt;$BR184+$BS184*$BS$2,DE184&lt;$BR184-$BS184*$BS$2),AVEDEV(ARRAYFORMULA(XLOOKUP(FILTER(INDIRECT(""'""&amp;DE$1&amp;""'!$C$4:$C$66""),INDIRECT(""'""&amp;DE$1&amp;""'!$D$4:$D$66"")=DE$2),$F$3:$BP$3,$F184:$BP184))),"""")"),"")</f>
        <v/>
      </c>
      <c r="DG184" s="251">
        <f>IFERROR(__xludf.DUMMYFUNCTION("AVERAGE(ARRAYFORMULA(XLOOKUP(FILTER(INDIRECT(""'""&amp;DG$1&amp;""'!$C$4:$C$66""),INDIRECT(""'""&amp;DG$1&amp;""'!$D$4:$D$66"")=DG$2),$F$3:$BP$3,$F184:$BP184)))"),0.872806928888889)</f>
        <v>0.8728069289</v>
      </c>
      <c r="DH184" s="207" t="str">
        <f>IFERROR(__xludf.DUMMYFUNCTION("IF(OR(DG184&gt;$BR184+$BS184*$BS$2,DG184&lt;$BR184-$BS184*$BS$2),AVEDEV(ARRAYFORMULA(XLOOKUP(FILTER(INDIRECT(""'""&amp;DG$1&amp;""'!$C$4:$C$66""),INDIRECT(""'""&amp;DG$1&amp;""'!$D$4:$D$66"")=DG$2),$F$3:$BP$3,$F184:$BP184))),"""")"),"")</f>
        <v/>
      </c>
      <c r="DI184" s="252"/>
    </row>
    <row r="185">
      <c r="A185" s="2"/>
      <c r="B185" s="204" t="s">
        <v>601</v>
      </c>
      <c r="C185" s="204" t="s">
        <v>629</v>
      </c>
      <c r="D185" s="205" t="b">
        <f>VLOOKUP(C185,'Feature Set List'!A182:C246,2,0)</f>
        <v>1</v>
      </c>
      <c r="E185" s="205" t="b">
        <f>VLOOKUP(C185,'Feature Set List'!A182:C246,3,0)</f>
        <v>0</v>
      </c>
      <c r="F185" s="205">
        <v>0.57142857</v>
      </c>
      <c r="G185" s="205">
        <v>-0.0714286</v>
      </c>
      <c r="H185" s="205">
        <v>-0.2857143</v>
      </c>
      <c r="I185" s="205">
        <v>0.08171429</v>
      </c>
      <c r="J185" s="205">
        <v>0.28571429</v>
      </c>
      <c r="K185" s="205">
        <v>0.762</v>
      </c>
      <c r="L185" s="205">
        <v>-0.5714286</v>
      </c>
      <c r="M185" s="205">
        <v>-0.4285714</v>
      </c>
      <c r="N185" s="205">
        <v>-0.3265714</v>
      </c>
      <c r="O185" s="205">
        <v>-0.7345714</v>
      </c>
      <c r="P185" s="205">
        <v>0.762</v>
      </c>
      <c r="Q185" s="205">
        <v>-0.0714286</v>
      </c>
      <c r="R185" s="205">
        <v>-0.1905714</v>
      </c>
      <c r="S185" s="205">
        <v>0.28571429</v>
      </c>
      <c r="T185" s="205">
        <v>-0.508</v>
      </c>
      <c r="U185" s="205">
        <v>1.0</v>
      </c>
      <c r="V185" s="205">
        <v>0.28571429</v>
      </c>
      <c r="W185" s="205">
        <v>-0.6665714</v>
      </c>
      <c r="X185" s="205">
        <v>0.28571429</v>
      </c>
      <c r="Y185" s="205">
        <v>-0.0714286</v>
      </c>
      <c r="Z185" s="205">
        <v>-0.4285714</v>
      </c>
      <c r="AA185" s="205">
        <v>0.28571429</v>
      </c>
      <c r="AB185" s="205">
        <v>0.57142857</v>
      </c>
      <c r="AC185" s="205">
        <v>-0.4285714</v>
      </c>
      <c r="AD185" s="205">
        <v>1.0</v>
      </c>
      <c r="AE185" s="205">
        <v>0.28571429</v>
      </c>
      <c r="AF185" s="205">
        <v>0.28571429</v>
      </c>
      <c r="AG185" s="205">
        <v>-0.0714286</v>
      </c>
      <c r="AH185" s="205">
        <v>0.0</v>
      </c>
      <c r="AI185" s="205">
        <v>0.0</v>
      </c>
      <c r="AJ185" s="205">
        <v>0.762</v>
      </c>
      <c r="AK185" s="205">
        <v>0.762</v>
      </c>
      <c r="AL185" s="205">
        <v>1.0</v>
      </c>
      <c r="AM185" s="205">
        <v>-0.4285714</v>
      </c>
      <c r="AN185" s="205">
        <v>0.0</v>
      </c>
      <c r="AO185" s="205">
        <v>0.0</v>
      </c>
      <c r="AP185" s="205">
        <v>0.0</v>
      </c>
      <c r="AQ185" s="205">
        <v>1.71428571</v>
      </c>
      <c r="AR185" s="205">
        <v>0.57142857</v>
      </c>
      <c r="AS185" s="205">
        <v>0.08171429</v>
      </c>
      <c r="AT185" s="205">
        <v>1.71428571</v>
      </c>
      <c r="AU185" s="205">
        <v>-0.508</v>
      </c>
      <c r="AV185" s="205">
        <v>0.0</v>
      </c>
      <c r="AW185" s="205">
        <v>1.0</v>
      </c>
      <c r="AX185" s="205">
        <v>-0.4285714</v>
      </c>
      <c r="AY185" s="205">
        <v>-0.5714286</v>
      </c>
      <c r="AZ185" s="205">
        <v>-0.4285714</v>
      </c>
      <c r="BA185" s="205">
        <v>-0.1905714</v>
      </c>
      <c r="BB185" s="205">
        <v>1.0</v>
      </c>
      <c r="BC185" s="205">
        <v>-0.4834286</v>
      </c>
      <c r="BD185" s="205">
        <v>-0.2857143</v>
      </c>
      <c r="BE185" s="205">
        <v>-0.4285714</v>
      </c>
      <c r="BF185" s="205">
        <v>1.0</v>
      </c>
      <c r="BG185" s="205">
        <v>-0.4285714</v>
      </c>
      <c r="BH185" s="205">
        <v>0.762</v>
      </c>
      <c r="BI185" s="205">
        <v>-0.4285714</v>
      </c>
      <c r="BJ185" s="205">
        <v>0.28571429</v>
      </c>
      <c r="BK185" s="205">
        <v>0.762</v>
      </c>
      <c r="BL185" s="205">
        <v>0.28571429</v>
      </c>
      <c r="BM185" s="205">
        <v>-0.4834286</v>
      </c>
      <c r="BN185" s="205">
        <v>0.12685714</v>
      </c>
      <c r="BO185" s="205">
        <v>-0.1905714</v>
      </c>
      <c r="BP185" s="205">
        <v>-0.5714286</v>
      </c>
      <c r="BQ185" s="206"/>
      <c r="BR185" s="250">
        <f t="shared" si="1"/>
        <v>0.1248526105</v>
      </c>
      <c r="BS185" s="250">
        <f t="shared" si="2"/>
        <v>0.4775276951</v>
      </c>
      <c r="BT185" s="206"/>
      <c r="BU185" s="207">
        <f>IFERROR(__xludf.DUMMYFUNCTION("AVERAGE(ARRAYFORMULA(XLOOKUP(FILTER(INDIRECT(""'""&amp;BU$1&amp;""'!$C$4:$C$66""),INDIRECT(""'""&amp;BU$1&amp;""'!$D$4:$D$66"")=BU$2),$F$3:$BP$3,$F185:$BP185)))"),-0.18820407142857146)</f>
        <v>-0.1882040714</v>
      </c>
      <c r="BV185" s="207" t="str">
        <f>IFERROR(__xludf.DUMMYFUNCTION("IF(OR(BU185&gt;$BR185+$BS185*$BS$2,BU185&lt;$BR185-$BS185*$BS$2),AVEDEV(ARRAYFORMULA(XLOOKUP(FILTER(INDIRECT(""'""&amp;BU$1&amp;""'!$C$4:$C$66""),INDIRECT(""'""&amp;BU$1&amp;""'!$D$4:$D$66"")=BU$2),$F$3:$BP$3,$F185:$BP185))),"""")"),"")</f>
        <v/>
      </c>
      <c r="BW185" s="207">
        <f>IFERROR(__xludf.DUMMYFUNCTION("AVERAGE(ARRAYFORMULA(XLOOKUP(FILTER(INDIRECT(""'""&amp;BW$1&amp;""'!$C$4:$C$66""),INDIRECT(""'""&amp;BW$1&amp;""'!$D$4:$D$66"")=BW$2),$F$3:$BP$3,$F185:$BP185)))"),0.1852857173809524)</f>
        <v>0.1852857174</v>
      </c>
      <c r="BX185" s="207" t="str">
        <f>IFERROR(__xludf.DUMMYFUNCTION("IF(OR(BW185&gt;$BR185+$BS185*$BS$2,BW185&lt;$BR185-$BS185*$BS$2),AVEDEV(ARRAYFORMULA(XLOOKUP(FILTER(INDIRECT(""'""&amp;BW$1&amp;""'!$C$4:$C$66""),INDIRECT(""'""&amp;BW$1&amp;""'!$D$4:$D$66"")=BW$2),$F$3:$BP$3,$F185:$BP185))),"""")"),"")</f>
        <v/>
      </c>
      <c r="BY185" s="207">
        <f>IFERROR(__xludf.DUMMYFUNCTION("AVERAGE(ARRAYFORMULA(XLOOKUP(FILTER(INDIRECT(""'""&amp;BY$1&amp;""'!$C$4:$C$66""),INDIRECT(""'""&amp;BY$1&amp;""'!$D$4:$D$66"")=BY$2),$F$3:$BP$3,$F185:$BP185)))"),0.04145454727272728)</f>
        <v>0.04145454727</v>
      </c>
      <c r="BZ185" s="207" t="str">
        <f>IFERROR(__xludf.DUMMYFUNCTION("IF(OR(BY185&gt;$BR185+$BS185*$BS$2,BY185&lt;$BR185-$BS185*$BS$2),AVEDEV(ARRAYFORMULA(XLOOKUP(FILTER(INDIRECT(""'""&amp;BY$1&amp;""'!$C$4:$C$66""),INDIRECT(""'""&amp;BY$1&amp;""'!$D$4:$D$66"")=BY$2),$F$3:$BP$3,$F185:$BP185))),"""")"),"")</f>
        <v/>
      </c>
      <c r="CA185" s="209"/>
      <c r="CB185" s="207">
        <f>IFERROR(__xludf.DUMMYFUNCTION("AVERAGE(ARRAYFORMULA(XLOOKUP(FILTER(INDIRECT(""'""&amp;CB$1&amp;""'!$C$4:$C$66""),INDIRECT(""'""&amp;CB$1&amp;""'!$D$4:$D$66"")=CB$2),$F$3:$BP$3,$F185:$BP185)))"),0.1168571475)</f>
        <v>0.1168571475</v>
      </c>
      <c r="CC185" s="207" t="str">
        <f>IFERROR(__xludf.DUMMYFUNCTION("IF(OR(CB185&gt;$BR185+$BS185*$BS$2,CB185&lt;$BR185-$BS185*$BS$2),AVEDEV(ARRAYFORMULA(XLOOKUP(FILTER(INDIRECT(""'""&amp;CB$1&amp;""'!$C$4:$C$66""),INDIRECT(""'""&amp;CB$1&amp;""'!$D$4:$D$66"")=CB$2),$F$3:$BP$3,$F185:$BP185))),"""")"),"")</f>
        <v/>
      </c>
      <c r="CD185" s="207">
        <f>IFERROR(__xludf.DUMMYFUNCTION("AVERAGE(ARRAYFORMULA(XLOOKUP(FILTER(INDIRECT(""'""&amp;CD$1&amp;""'!$C$4:$C$66""),INDIRECT(""'""&amp;CD$1&amp;""'!$D$4:$D$66"")=CD$2),$F$3:$BP$3,$F185:$BP185)))"),0.018165900645161298)</f>
        <v>0.01816590065</v>
      </c>
      <c r="CE185" s="207" t="str">
        <f>IFERROR(__xludf.DUMMYFUNCTION("IF(OR(CD185&gt;$BR185+$BS185*$BS$2,CD185&lt;$BR185-$BS185*$BS$2),AVEDEV(ARRAYFORMULA(XLOOKUP(FILTER(INDIRECT(""'""&amp;CD$1&amp;""'!$C$4:$C$66""),INDIRECT(""'""&amp;CD$1&amp;""'!$D$4:$D$66"")=CD$2),$F$3:$BP$3,$F185:$BP185))),"""")"),"")</f>
        <v/>
      </c>
      <c r="CF185" s="207">
        <f>IFERROR(__xludf.DUMMYFUNCTION("AVERAGE(ARRAYFORMULA(XLOOKUP(FILTER(INDIRECT(""'""&amp;CF$1&amp;""'!$C$4:$C$66""),INDIRECT(""'""&amp;CF$1&amp;""'!$D$4:$D$66"")=CF$2),$F$3:$BP$3,$F185:$BP185)))"),0.138800012)</f>
        <v>0.138800012</v>
      </c>
      <c r="CG185" s="207" t="str">
        <f>IFERROR(__xludf.DUMMYFUNCTION("IF(OR(CF185&gt;$BR185+$BS185*$BS$2,CF185&lt;$BR185-$BS185*$BS$2),AVEDEV(ARRAYFORMULA(XLOOKUP(FILTER(INDIRECT(""'""&amp;CF$1&amp;""'!$C$4:$C$66""),INDIRECT(""'""&amp;CF$1&amp;""'!$D$4:$D$66"")=CF$2),$F$3:$BP$3,$F185:$BP185))),"""")"),"")</f>
        <v/>
      </c>
      <c r="CH185" s="206"/>
      <c r="CI185" s="251">
        <f>IFERROR(__xludf.DUMMYFUNCTION("AVERAGE(ARRAYFORMULA(XLOOKUP(FILTER(INDIRECT(""'""&amp;CI$1&amp;""'!$C$4:$C$66""),INDIRECT(""'""&amp;CI$1&amp;""'!$D$4:$D$66"")=CI$2),$F$3:$BP$3,$F185:$BP185)))"),0.041942862666666664)</f>
        <v>0.04194286267</v>
      </c>
      <c r="CJ185" s="207" t="str">
        <f>IFERROR(__xludf.DUMMYFUNCTION("IF(OR(CI185&gt;$BR185+$BS185*$BS$2,CI185&lt;$BR185-$BS185*$BS$2),AVEDEV(ARRAYFORMULA(XLOOKUP(FILTER(INDIRECT(""'""&amp;CI$1&amp;""'!$C$4:$C$66""),INDIRECT(""'""&amp;CI$1&amp;""'!$D$4:$D$66"")=CI$2),$F$3:$BP$3,$F185:$BP185))),"""")"),"")</f>
        <v/>
      </c>
      <c r="CK185" s="251">
        <f>IFERROR(__xludf.DUMMYFUNCTION("AVERAGE(ARRAYFORMULA(XLOOKUP(FILTER(INDIRECT(""'""&amp;CK$1&amp;""'!$C$4:$C$66""),INDIRECT(""'""&amp;CK$1&amp;""'!$D$4:$D$66"")=CK$2),$F$3:$BP$3,$F185:$BP185)))"),0.12398535000000002)</f>
        <v>0.12398535</v>
      </c>
      <c r="CL185" s="207" t="str">
        <f>IFERROR(__xludf.DUMMYFUNCTION("IF(OR(CK185&gt;$BR185+$BS185*$BS$2,CK185&lt;$BR185-$BS185*$BS$2),AVEDEV(ARRAYFORMULA(XLOOKUP(FILTER(INDIRECT(""'""&amp;CK$1&amp;""'!$C$4:$C$66""),INDIRECT(""'""&amp;CK$1&amp;""'!$D$4:$D$66"")=CK$2),$F$3:$BP$3,$F185:$BP185))),"""")"),"")</f>
        <v/>
      </c>
      <c r="CM185" s="251">
        <f>IFERROR(__xludf.DUMMYFUNCTION("AVERAGE(ARRAYFORMULA(XLOOKUP(FILTER(INDIRECT(""'""&amp;CM$1&amp;""'!$C$4:$C$66""),INDIRECT(""'""&amp;CM$1&amp;""'!$D$4:$D$66"")=CM$2),$F$3:$BP$3,$F185:$BP185)))"),0.138800012)</f>
        <v>0.138800012</v>
      </c>
      <c r="CN185" s="207" t="str">
        <f>IFERROR(__xludf.DUMMYFUNCTION("IF(OR(CM185&gt;$BR185+$BS185*$BS$2,CM185&lt;$BR185-$BS185*$BS$2),AVEDEV(ARRAYFORMULA(XLOOKUP(FILTER(INDIRECT(""'""&amp;CM$1&amp;""'!$C$4:$C$66""),INDIRECT(""'""&amp;CM$1&amp;""'!$D$4:$D$66"")=CM$2),$F$3:$BP$3,$F185:$BP185))),"""")"),"")</f>
        <v/>
      </c>
      <c r="CO185" s="252"/>
      <c r="CP185" s="251">
        <f>IFERROR(__xludf.DUMMYFUNCTION("AVERAGE(ARRAYFORMULA(XLOOKUP(FILTER(INDIRECT(""'""&amp;CP$1&amp;""'!$C$4:$C$66""),INDIRECT(""'""&amp;CP$1&amp;""'!$D$4:$D$66"")=CP$2),$F$3:$BP$3,$F185:$BP185)))"),0.23204081928571427)</f>
        <v>0.2320408193</v>
      </c>
      <c r="CQ185" s="207" t="str">
        <f>IFERROR(__xludf.DUMMYFUNCTION("IF(OR(CP185&gt;$BR185+$BS185*$BS$2,CP185&lt;$BR185-$BS185*$BS$2),AVEDEV(ARRAYFORMULA(XLOOKUP(FILTER(INDIRECT(""'""&amp;CP$1&amp;""'!$C$4:$C$66""),INDIRECT(""'""&amp;CP$1&amp;""'!$D$4:$D$66"")=CP$2),$F$3:$BP$3,$F185:$BP185))),"""")"),"")</f>
        <v/>
      </c>
      <c r="CR185" s="251">
        <f>IFERROR(__xludf.DUMMYFUNCTION("AVERAGE(ARRAYFORMULA(XLOOKUP(FILTER(INDIRECT(""'""&amp;CR$1&amp;""'!$C$4:$C$66""),INDIRECT(""'""&amp;CR$1&amp;""'!$D$4:$D$66"")=CR$2),$F$3:$BP$3,$F185:$BP185)))"),0.08241270333333335)</f>
        <v>0.08241270333</v>
      </c>
      <c r="CS185" s="207" t="str">
        <f>IFERROR(__xludf.DUMMYFUNCTION("IF(OR(CR185&gt;$BR185+$BS185*$BS$2,CR185&lt;$BR185-$BS185*$BS$2),AVEDEV(ARRAYFORMULA(XLOOKUP(FILTER(INDIRECT(""'""&amp;CR$1&amp;""'!$C$4:$C$66""),INDIRECT(""'""&amp;CR$1&amp;""'!$D$4:$D$66"")=CR$2),$F$3:$BP$3,$F185:$BP185))),"""")"),"")</f>
        <v/>
      </c>
      <c r="CT185" s="251">
        <f>IFERROR(__xludf.DUMMYFUNCTION("AVERAGE(ARRAYFORMULA(XLOOKUP(FILTER(INDIRECT(""'""&amp;CT$1&amp;""'!$C$4:$C$66""),INDIRECT(""'""&amp;CT$1&amp;""'!$D$4:$D$66"")=CT$2),$F$3:$BP$3,$F185:$BP185)))"),0.11779220818181818)</f>
        <v>0.1177922082</v>
      </c>
      <c r="CU185" s="207" t="str">
        <f>IFERROR(__xludf.DUMMYFUNCTION("IF(OR(CT185&gt;$BR185+$BS185*$BS$2,CT185&lt;$BR185-$BS185*$BS$2),AVEDEV(ARRAYFORMULA(XLOOKUP(FILTER(INDIRECT(""'""&amp;CT$1&amp;""'!$C$4:$C$66""),INDIRECT(""'""&amp;CT$1&amp;""'!$D$4:$D$66"")=CT$2),$F$3:$BP$3,$F185:$BP185))),"""")"),"")</f>
        <v/>
      </c>
      <c r="CV185" s="251">
        <f>IFERROR(__xludf.DUMMYFUNCTION("AVERAGE(ARRAYFORMULA(XLOOKUP(FILTER(INDIRECT(""'""&amp;CV$1&amp;""'!$C$4:$C$66""),INDIRECT(""'""&amp;CV$1&amp;""'!$D$4:$D$66"")=CV$2),$F$3:$BP$3,$F185:$BP185)))"),-0.4285714)</f>
        <v>-0.4285714</v>
      </c>
      <c r="CW185" s="207">
        <f>IFERROR(__xludf.DUMMYFUNCTION("IF(OR(CV185&gt;$BR185+$BS185*$BS$2,CV185&lt;$BR185-$BS185*$BS$2),AVEDEV(ARRAYFORMULA(XLOOKUP(FILTER(INDIRECT(""'""&amp;CV$1&amp;""'!$C$4:$C$66""),INDIRECT(""'""&amp;CV$1&amp;""'!$D$4:$D$66"")=CV$2),$F$3:$BP$3,$F185:$BP185))),"""")"),0.0)</f>
        <v>0</v>
      </c>
      <c r="CX185" s="251">
        <f>IFERROR(__xludf.DUMMYFUNCTION("AVERAGE(ARRAYFORMULA(XLOOKUP(FILTER(INDIRECT(""'""&amp;CX$1&amp;""'!$C$4:$C$66""),INDIRECT(""'""&amp;CX$1&amp;""'!$D$4:$D$66"")=CX$2),$F$3:$BP$3,$F185:$BP185)))"),0.1904489792857143)</f>
        <v>0.1904489793</v>
      </c>
      <c r="CY185" s="207" t="str">
        <f>IFERROR(__xludf.DUMMYFUNCTION("IF(OR(CX185&gt;$BR185+$BS185*$BS$2,CX185&lt;$BR185-$BS185*$BS$2),AVEDEV(ARRAYFORMULA(XLOOKUP(FILTER(INDIRECT(""'""&amp;CX$1&amp;""'!$C$4:$C$66""),INDIRECT(""'""&amp;CX$1&amp;""'!$D$4:$D$66"")=CX$2),$F$3:$BP$3,$F185:$BP185))),"""")"),"")</f>
        <v/>
      </c>
      <c r="CZ185" s="252"/>
      <c r="DA185" s="251">
        <f>IFERROR(__xludf.DUMMYFUNCTION("AVERAGE(ARRAYFORMULA(XLOOKUP(FILTER(INDIRECT(""'""&amp;DA$1&amp;""'!$C$4:$C$66""),INDIRECT(""'""&amp;DA$1&amp;""'!$D$4:$D$66"")=DA$2),$F$3:$BP$3,$F185:$BP185)))"),0.22529524033333329)</f>
        <v>0.2252952403</v>
      </c>
      <c r="DB185" s="207" t="str">
        <f>IFERROR(__xludf.DUMMYFUNCTION("IF(OR(DA185&gt;$BR185+$BS185*$BS$2,DA185&lt;$BR185-$BS185*$BS$2),AVEDEV(ARRAYFORMULA(XLOOKUP(FILTER(INDIRECT(""'""&amp;DA$1&amp;""'!$C$4:$C$66""),INDIRECT(""'""&amp;DA$1&amp;""'!$D$4:$D$66"")=DA$2),$F$3:$BP$3,$F185:$BP185))),"""")"),"")</f>
        <v/>
      </c>
      <c r="DC185" s="251">
        <f>IFERROR(__xludf.DUMMYFUNCTION("AVERAGE(ARRAYFORMULA(XLOOKUP(FILTER(INDIRECT(""'""&amp;DC$1&amp;""'!$C$4:$C$66""),INDIRECT(""'""&amp;DC$1&amp;""'!$D$4:$D$66"")=DC$2),$F$3:$BP$3,$F185:$BP185)))"),-0.005777773333333335)</f>
        <v>-0.005777773333</v>
      </c>
      <c r="DD185" s="207" t="str">
        <f>IFERROR(__xludf.DUMMYFUNCTION("IF(OR(DC185&gt;$BR185+$BS185*$BS$2,DC185&lt;$BR185-$BS185*$BS$2),AVEDEV(ARRAYFORMULA(XLOOKUP(FILTER(INDIRECT(""'""&amp;DC$1&amp;""'!$C$4:$C$66""),INDIRECT(""'""&amp;DC$1&amp;""'!$D$4:$D$66"")=DC$2),$F$3:$BP$3,$F185:$BP185))),"""")"),"")</f>
        <v/>
      </c>
      <c r="DE185" s="251">
        <f>IFERROR(__xludf.DUMMYFUNCTION("AVERAGE(ARRAYFORMULA(XLOOKUP(FILTER(INDIRECT(""'""&amp;DE$1&amp;""'!$C$4:$C$66""),INDIRECT(""'""&amp;DE$1&amp;""'!$D$4:$D$66"")=DE$2),$F$3:$BP$3,$F185:$BP185)))"),-0.31564285)</f>
        <v>-0.31564285</v>
      </c>
      <c r="DF185" s="207" t="str">
        <f>IFERROR(__xludf.DUMMYFUNCTION("IF(OR(DE185&gt;$BR185+$BS185*$BS$2,DE185&lt;$BR185-$BS185*$BS$2),AVEDEV(ARRAYFORMULA(XLOOKUP(FILTER(INDIRECT(""'""&amp;DE$1&amp;""'!$C$4:$C$66""),INDIRECT(""'""&amp;DE$1&amp;""'!$D$4:$D$66"")=DE$2),$F$3:$BP$3,$F185:$BP185))),"""")"),"")</f>
        <v/>
      </c>
      <c r="DG185" s="251">
        <f>IFERROR(__xludf.DUMMYFUNCTION("AVERAGE(ARRAYFORMULA(XLOOKUP(FILTER(INDIRECT(""'""&amp;DG$1&amp;""'!$C$4:$C$66""),INDIRECT(""'""&amp;DG$1&amp;""'!$D$4:$D$66"")=DG$2),$F$3:$BP$3,$F185:$BP185)))"),0.1032380988888889)</f>
        <v>0.1032380989</v>
      </c>
      <c r="DH185" s="207" t="str">
        <f>IFERROR(__xludf.DUMMYFUNCTION("IF(OR(DG185&gt;$BR185+$BS185*$BS$2,DG185&lt;$BR185-$BS185*$BS$2),AVEDEV(ARRAYFORMULA(XLOOKUP(FILTER(INDIRECT(""'""&amp;DG$1&amp;""'!$C$4:$C$66""),INDIRECT(""'""&amp;DG$1&amp;""'!$D$4:$D$66"")=DG$2),$F$3:$BP$3,$F185:$BP185))),"""")"),"")</f>
        <v/>
      </c>
      <c r="DI185" s="252"/>
    </row>
    <row r="186">
      <c r="A186" s="2"/>
      <c r="B186" s="204" t="s">
        <v>630</v>
      </c>
      <c r="C186" s="204" t="s">
        <v>631</v>
      </c>
      <c r="D186" s="205" t="b">
        <f>VLOOKUP(C186,'Feature Set List'!A183:C246,2,0)</f>
        <v>1</v>
      </c>
      <c r="E186" s="205" t="b">
        <f>VLOOKUP(C186,'Feature Set List'!A183:C246,3,0)</f>
        <v>1</v>
      </c>
      <c r="F186" s="205">
        <v>-0.3150427</v>
      </c>
      <c r="G186" s="205">
        <v>-0.3382076</v>
      </c>
      <c r="H186" s="205">
        <v>-0.6057623</v>
      </c>
      <c r="I186" s="205">
        <v>0.04835674</v>
      </c>
      <c r="J186" s="205">
        <v>-0.8678442</v>
      </c>
      <c r="K186" s="205">
        <v>0.80787607</v>
      </c>
      <c r="L186" s="205">
        <v>1.58274215</v>
      </c>
      <c r="M186" s="205">
        <v>0.11408716</v>
      </c>
      <c r="N186" s="205">
        <v>0.53974229</v>
      </c>
      <c r="O186" s="205">
        <v>1.12176053</v>
      </c>
      <c r="P186" s="205">
        <v>-0.8463877</v>
      </c>
      <c r="Q186" s="205">
        <v>0.35905603</v>
      </c>
      <c r="R186" s="205">
        <v>2.38048357</v>
      </c>
      <c r="S186" s="205">
        <v>-0.5180252</v>
      </c>
      <c r="T186" s="205">
        <v>0.83509483</v>
      </c>
      <c r="U186" s="205">
        <v>0.64050963</v>
      </c>
      <c r="V186" s="205">
        <v>0.99232663</v>
      </c>
      <c r="W186" s="205">
        <v>0.564355</v>
      </c>
      <c r="X186" s="205">
        <v>-0.540611</v>
      </c>
      <c r="Y186" s="205">
        <v>-0.0176632</v>
      </c>
      <c r="Z186" s="205">
        <v>-0.1815549</v>
      </c>
      <c r="AA186" s="205">
        <v>-1.1521645</v>
      </c>
      <c r="AB186" s="205">
        <v>0.04111771</v>
      </c>
      <c r="AC186" s="205">
        <v>-0.6439844</v>
      </c>
      <c r="AD186" s="205">
        <v>0.8188794</v>
      </c>
      <c r="AE186" s="205">
        <v>0.0</v>
      </c>
      <c r="AF186" s="205">
        <v>0.33299551</v>
      </c>
      <c r="AG186" s="205">
        <v>0.31591139</v>
      </c>
      <c r="AH186" s="205">
        <v>-0.0671782</v>
      </c>
      <c r="AI186" s="205">
        <v>1.82742146</v>
      </c>
      <c r="AJ186" s="205">
        <v>-0.3605038</v>
      </c>
      <c r="AK186" s="205">
        <v>-0.4502678</v>
      </c>
      <c r="AL186" s="205">
        <v>-0.0915014</v>
      </c>
      <c r="AM186" s="205">
        <v>-0.1250905</v>
      </c>
      <c r="AN186" s="205">
        <v>0.50007239</v>
      </c>
      <c r="AO186" s="205">
        <v>-0.7262198</v>
      </c>
      <c r="AP186" s="205">
        <v>-0.0587809</v>
      </c>
      <c r="AQ186" s="205">
        <v>0.1048212</v>
      </c>
      <c r="AR186" s="205">
        <v>0.12161575</v>
      </c>
      <c r="AS186" s="205">
        <v>-0.5545099</v>
      </c>
      <c r="AT186" s="205">
        <v>-1.1521645</v>
      </c>
      <c r="AU186" s="205">
        <v>0.51455046</v>
      </c>
      <c r="AV186" s="205">
        <v>0.72448241</v>
      </c>
      <c r="AW186" s="205">
        <v>0.01563631</v>
      </c>
      <c r="AX186" s="205">
        <v>0.97640075</v>
      </c>
      <c r="AY186" s="205">
        <v>0.03300999</v>
      </c>
      <c r="AZ186" s="205">
        <v>1.11249457</v>
      </c>
      <c r="BA186" s="205">
        <v>-0.0674678</v>
      </c>
      <c r="BB186" s="205">
        <v>1.52656725</v>
      </c>
      <c r="BC186" s="205">
        <v>-0.6949472</v>
      </c>
      <c r="BD186" s="205">
        <v>-0.1456493</v>
      </c>
      <c r="BE186" s="205">
        <v>-0.5953381</v>
      </c>
      <c r="BF186" s="205">
        <v>0.31185754</v>
      </c>
      <c r="BG186" s="205">
        <v>-0.6549877</v>
      </c>
      <c r="BH186" s="205">
        <v>0.16852469</v>
      </c>
      <c r="BI186" s="205">
        <v>0.59562762</v>
      </c>
      <c r="BJ186" s="205">
        <v>-0.3694802</v>
      </c>
      <c r="BK186" s="205">
        <v>-0.9607065</v>
      </c>
      <c r="BL186" s="205">
        <v>-0.3387867</v>
      </c>
      <c r="BM186" s="205">
        <v>-0.4893586</v>
      </c>
      <c r="BN186" s="205">
        <v>-0.1054003</v>
      </c>
      <c r="BO186" s="205">
        <v>-0.4456349</v>
      </c>
      <c r="BP186" s="205">
        <v>4.09468655</v>
      </c>
      <c r="BQ186" s="206"/>
      <c r="BR186" s="250">
        <f t="shared" si="1"/>
        <v>0.1530451076</v>
      </c>
      <c r="BS186" s="250">
        <f t="shared" si="2"/>
        <v>0.634010671</v>
      </c>
      <c r="BT186" s="206"/>
      <c r="BU186" s="207">
        <f>IFERROR(__xludf.DUMMYFUNCTION("AVERAGE(ARRAYFORMULA(XLOOKUP(FILTER(INDIRECT(""'""&amp;BU$1&amp;""'!$C$4:$C$66""),INDIRECT(""'""&amp;BU$1&amp;""'!$D$4:$D$66"")=BU$2),$F$3:$BP$3,$F186:$BP186)))"),0.24315705285714287)</f>
        <v>0.2431570529</v>
      </c>
      <c r="BV186" s="207" t="str">
        <f>IFERROR(__xludf.DUMMYFUNCTION("IF(OR(BU186&gt;$BR186+$BS186*$BS$2,BU186&lt;$BR186-$BS186*$BS$2),AVEDEV(ARRAYFORMULA(XLOOKUP(FILTER(INDIRECT(""'""&amp;BU$1&amp;""'!$C$4:$C$66""),INDIRECT(""'""&amp;BU$1&amp;""'!$D$4:$D$66"")=BU$2),$F$3:$BP$3,$F186:$BP186))),"""")"),"")</f>
        <v/>
      </c>
      <c r="BW186" s="207">
        <f>IFERROR(__xludf.DUMMYFUNCTION("AVERAGE(ARRAYFORMULA(XLOOKUP(FILTER(INDIRECT(""'""&amp;BW$1&amp;""'!$C$4:$C$66""),INDIRECT(""'""&amp;BW$1&amp;""'!$D$4:$D$66"")=BW$2),$F$3:$BP$3,$F186:$BP186)))"),0.15368743023809522)</f>
        <v>0.1536874302</v>
      </c>
      <c r="BX186" s="207" t="str">
        <f>IFERROR(__xludf.DUMMYFUNCTION("IF(OR(BW186&gt;$BR186+$BS186*$BS$2,BW186&lt;$BR186-$BS186*$BS$2),AVEDEV(ARRAYFORMULA(XLOOKUP(FILTER(INDIRECT(""'""&amp;BW$1&amp;""'!$C$4:$C$66""),INDIRECT(""'""&amp;BW$1&amp;""'!$D$4:$D$66"")=BW$2),$F$3:$BP$3,$F186:$BP186))),"""")"),"")</f>
        <v/>
      </c>
      <c r="BY186" s="207">
        <f>IFERROR(__xludf.DUMMYFUNCTION("AVERAGE(ARRAYFORMULA(XLOOKUP(FILTER(INDIRECT(""'""&amp;BY$1&amp;""'!$C$4:$C$66""),INDIRECT(""'""&amp;BY$1&amp;""'!$D$4:$D$66"")=BY$2),$F$3:$BP$3,$F186:$BP186)))"),0.3579767581818181)</f>
        <v>0.3579767582</v>
      </c>
      <c r="BZ186" s="207" t="str">
        <f>IFERROR(__xludf.DUMMYFUNCTION("IF(OR(BY186&gt;$BR186+$BS186*$BS$2,BY186&lt;$BR186-$BS186*$BS$2),AVEDEV(ARRAYFORMULA(XLOOKUP(FILTER(INDIRECT(""'""&amp;BY$1&amp;""'!$C$4:$C$66""),INDIRECT(""'""&amp;BY$1&amp;""'!$D$4:$D$66"")=BY$2),$F$3:$BP$3,$F186:$BP186))),"""")"),"")</f>
        <v/>
      </c>
      <c r="CA186" s="209"/>
      <c r="CB186" s="207">
        <f>IFERROR(__xludf.DUMMYFUNCTION("AVERAGE(ARRAYFORMULA(XLOOKUP(FILTER(INDIRECT(""'""&amp;CB$1&amp;""'!$C$4:$C$66""),INDIRECT(""'""&amp;CB$1&amp;""'!$D$4:$D$66"")=CB$2),$F$3:$BP$3,$F186:$BP186)))"),-0.007602788749999995)</f>
        <v>-0.00760278875</v>
      </c>
      <c r="CC186" s="207" t="str">
        <f>IFERROR(__xludf.DUMMYFUNCTION("IF(OR(CB186&gt;$BR186+$BS186*$BS$2,CB186&lt;$BR186-$BS186*$BS$2),AVEDEV(ARRAYFORMULA(XLOOKUP(FILTER(INDIRECT(""'""&amp;CB$1&amp;""'!$C$4:$C$66""),INDIRECT(""'""&amp;CB$1&amp;""'!$D$4:$D$66"")=CB$2),$F$3:$BP$3,$F186:$BP186))),"""")"),"")</f>
        <v/>
      </c>
      <c r="CD186" s="207">
        <f>IFERROR(__xludf.DUMMYFUNCTION("AVERAGE(ARRAYFORMULA(XLOOKUP(FILTER(INDIRECT(""'""&amp;CD$1&amp;""'!$C$4:$C$66""),INDIRECT(""'""&amp;CD$1&amp;""'!$D$4:$D$66"")=CD$2),$F$3:$BP$3,$F186:$BP186)))"),0.34199059709677415)</f>
        <v>0.3419905971</v>
      </c>
      <c r="CE186" s="207" t="str">
        <f>IFERROR(__xludf.DUMMYFUNCTION("IF(OR(CD186&gt;$BR186+$BS186*$BS$2,CD186&lt;$BR186-$BS186*$BS$2),AVEDEV(ARRAYFORMULA(XLOOKUP(FILTER(INDIRECT(""'""&amp;CD$1&amp;""'!$C$4:$C$66""),INDIRECT(""'""&amp;CD$1&amp;""'!$D$4:$D$66"")=CD$2),$F$3:$BP$3,$F186:$BP186))),"""")"),"")</f>
        <v/>
      </c>
      <c r="CF186" s="207">
        <f>IFERROR(__xludf.DUMMYFUNCTION("AVERAGE(ARRAYFORMULA(XLOOKUP(FILTER(INDIRECT(""'""&amp;CF$1&amp;""'!$C$4:$C$66""),INDIRECT(""'""&amp;CF$1&amp;""'!$D$4:$D$66"")=CF$2),$F$3:$BP$3,$F186:$BP186)))"),0.42994063800000004)</f>
        <v>0.429940638</v>
      </c>
      <c r="CG186" s="207" t="str">
        <f>IFERROR(__xludf.DUMMYFUNCTION("IF(OR(CF186&gt;$BR186+$BS186*$BS$2,CF186&lt;$BR186-$BS186*$BS$2),AVEDEV(ARRAYFORMULA(XLOOKUP(FILTER(INDIRECT(""'""&amp;CF$1&amp;""'!$C$4:$C$66""),INDIRECT(""'""&amp;CF$1&amp;""'!$D$4:$D$66"")=CF$2),$F$3:$BP$3,$F186:$BP186))),"""")"),"")</f>
        <v/>
      </c>
      <c r="CH186" s="206"/>
      <c r="CI186" s="251">
        <f>IFERROR(__xludf.DUMMYFUNCTION("AVERAGE(ARRAYFORMULA(XLOOKUP(FILTER(INDIRECT(""'""&amp;CI$1&amp;""'!$C$4:$C$66""),INDIRECT(""'""&amp;CI$1&amp;""'!$D$4:$D$66"")=CI$2),$F$3:$BP$3,$F186:$BP186)))"),-0.047449440666666676)</f>
        <v>-0.04744944067</v>
      </c>
      <c r="CJ186" s="207" t="str">
        <f>IFERROR(__xludf.DUMMYFUNCTION("IF(OR(CI186&gt;$BR186+$BS186*$BS$2,CI186&lt;$BR186-$BS186*$BS$2),AVEDEV(ARRAYFORMULA(XLOOKUP(FILTER(INDIRECT(""'""&amp;CI$1&amp;""'!$C$4:$C$66""),INDIRECT(""'""&amp;CI$1&amp;""'!$D$4:$D$66"")=CI$2),$F$3:$BP$3,$F186:$BP186))),"""")"),"")</f>
        <v/>
      </c>
      <c r="CK186" s="251">
        <f>IFERROR(__xludf.DUMMYFUNCTION("AVERAGE(ARRAYFORMULA(XLOOKUP(FILTER(INDIRECT(""'""&amp;CK$1&amp;""'!$C$4:$C$66""),INDIRECT(""'""&amp;CK$1&amp;""'!$D$4:$D$66"")=CK$2),$F$3:$BP$3,$F186:$BP186)))"),0.2978836076923076)</f>
        <v>0.2978836077</v>
      </c>
      <c r="CL186" s="207" t="str">
        <f>IFERROR(__xludf.DUMMYFUNCTION("IF(OR(CK186&gt;$BR186+$BS186*$BS$2,CK186&lt;$BR186-$BS186*$BS$2),AVEDEV(ARRAYFORMULA(XLOOKUP(FILTER(INDIRECT(""'""&amp;CK$1&amp;""'!$C$4:$C$66""),INDIRECT(""'""&amp;CK$1&amp;""'!$D$4:$D$66"")=CK$2),$F$3:$BP$3,$F186:$BP186))),"""")"),"")</f>
        <v/>
      </c>
      <c r="CM186" s="251">
        <f>IFERROR(__xludf.DUMMYFUNCTION("AVERAGE(ARRAYFORMULA(XLOOKUP(FILTER(INDIRECT(""'""&amp;CM$1&amp;""'!$C$4:$C$66""),INDIRECT(""'""&amp;CM$1&amp;""'!$D$4:$D$66"")=CM$2),$F$3:$BP$3,$F186:$BP186)))"),0.42994063800000004)</f>
        <v>0.429940638</v>
      </c>
      <c r="CN186" s="207" t="str">
        <f>IFERROR(__xludf.DUMMYFUNCTION("IF(OR(CM186&gt;$BR186+$BS186*$BS$2,CM186&lt;$BR186-$BS186*$BS$2),AVEDEV(ARRAYFORMULA(XLOOKUP(FILTER(INDIRECT(""'""&amp;CM$1&amp;""'!$C$4:$C$66""),INDIRECT(""'""&amp;CM$1&amp;""'!$D$4:$D$66"")=CM$2),$F$3:$BP$3,$F186:$BP186))),"""")"),"")</f>
        <v/>
      </c>
      <c r="CO186" s="252"/>
      <c r="CP186" s="251">
        <f>IFERROR(__xludf.DUMMYFUNCTION("AVERAGE(ARRAYFORMULA(XLOOKUP(FILTER(INDIRECT(""'""&amp;CP$1&amp;""'!$C$4:$C$66""),INDIRECT(""'""&amp;CP$1&amp;""'!$D$4:$D$66"")=CP$2),$F$3:$BP$3,$F186:$BP186)))"),-0.020476110714285713)</f>
        <v>-0.02047611071</v>
      </c>
      <c r="CQ186" s="207" t="str">
        <f>IFERROR(__xludf.DUMMYFUNCTION("IF(OR(CP186&gt;$BR186+$BS186*$BS$2,CP186&lt;$BR186-$BS186*$BS$2),AVEDEV(ARRAYFORMULA(XLOOKUP(FILTER(INDIRECT(""'""&amp;CP$1&amp;""'!$C$4:$C$66""),INDIRECT(""'""&amp;CP$1&amp;""'!$D$4:$D$66"")=CP$2),$F$3:$BP$3,$F186:$BP186))),"""")"),"")</f>
        <v/>
      </c>
      <c r="CR186" s="251">
        <f>IFERROR(__xludf.DUMMYFUNCTION("AVERAGE(ARRAYFORMULA(XLOOKUP(FILTER(INDIRECT(""'""&amp;CR$1&amp;""'!$C$4:$C$66""),INDIRECT(""'""&amp;CR$1&amp;""'!$D$4:$D$66"")=CR$2),$F$3:$BP$3,$F186:$BP186)))"),0.4715023388888888)</f>
        <v>0.4715023389</v>
      </c>
      <c r="CS186" s="207" t="str">
        <f>IFERROR(__xludf.DUMMYFUNCTION("IF(OR(CR186&gt;$BR186+$BS186*$BS$2,CR186&lt;$BR186-$BS186*$BS$2),AVEDEV(ARRAYFORMULA(XLOOKUP(FILTER(INDIRECT(""'""&amp;CR$1&amp;""'!$C$4:$C$66""),INDIRECT(""'""&amp;CR$1&amp;""'!$D$4:$D$66"")=CR$2),$F$3:$BP$3,$F186:$BP186))),"""")"),"")</f>
        <v/>
      </c>
      <c r="CT186" s="251">
        <f>IFERROR(__xludf.DUMMYFUNCTION("AVERAGE(ARRAYFORMULA(XLOOKUP(FILTER(INDIRECT(""'""&amp;CT$1&amp;""'!$C$4:$C$66""),INDIRECT(""'""&amp;CT$1&amp;""'!$D$4:$D$66"")=CT$2),$F$3:$BP$3,$F186:$BP186)))"),0.1374363327272727)</f>
        <v>0.1374363327</v>
      </c>
      <c r="CU186" s="207" t="str">
        <f>IFERROR(__xludf.DUMMYFUNCTION("IF(OR(CT186&gt;$BR186+$BS186*$BS$2,CT186&lt;$BR186-$BS186*$BS$2),AVEDEV(ARRAYFORMULA(XLOOKUP(FILTER(INDIRECT(""'""&amp;CT$1&amp;""'!$C$4:$C$66""),INDIRECT(""'""&amp;CT$1&amp;""'!$D$4:$D$66"")=CT$2),$F$3:$BP$3,$F186:$BP186))),"""")"),"")</f>
        <v/>
      </c>
      <c r="CV186" s="251">
        <f>IFERROR(__xludf.DUMMYFUNCTION("AVERAGE(ARRAYFORMULA(XLOOKUP(FILTER(INDIRECT(""'""&amp;CV$1&amp;""'!$C$4:$C$66""),INDIRECT(""'""&amp;CV$1&amp;""'!$D$4:$D$66"")=CV$2),$F$3:$BP$3,$F186:$BP186)))"),-0.6494860499999999)</f>
        <v>-0.64948605</v>
      </c>
      <c r="CW186" s="207">
        <f>IFERROR(__xludf.DUMMYFUNCTION("IF(OR(CV186&gt;$BR186+$BS186*$BS$2,CV186&lt;$BR186-$BS186*$BS$2),AVEDEV(ARRAYFORMULA(XLOOKUP(FILTER(INDIRECT(""'""&amp;CV$1&amp;""'!$C$4:$C$66""),INDIRECT(""'""&amp;CV$1&amp;""'!$D$4:$D$66"")=CV$2),$F$3:$BP$3,$F186:$BP186))),"""")"),0.005501649999999969)</f>
        <v>0.00550165</v>
      </c>
      <c r="CX186" s="251">
        <f>IFERROR(__xludf.DUMMYFUNCTION("AVERAGE(ARRAYFORMULA(XLOOKUP(FILTER(INDIRECT(""'""&amp;CX$1&amp;""'!$C$4:$C$66""),INDIRECT(""'""&amp;CX$1&amp;""'!$D$4:$D$66"")=CX$2),$F$3:$BP$3,$F186:$BP186)))"),0.5219963214285713)</f>
        <v>0.5219963214</v>
      </c>
      <c r="CY186" s="207" t="str">
        <f>IFERROR(__xludf.DUMMYFUNCTION("IF(OR(CX186&gt;$BR186+$BS186*$BS$2,CX186&lt;$BR186-$BS186*$BS$2),AVEDEV(ARRAYFORMULA(XLOOKUP(FILTER(INDIRECT(""'""&amp;CX$1&amp;""'!$C$4:$C$66""),INDIRECT(""'""&amp;CX$1&amp;""'!$D$4:$D$66"")=CX$2),$F$3:$BP$3,$F186:$BP186))),"""")"),"")</f>
        <v/>
      </c>
      <c r="CZ186" s="252"/>
      <c r="DA186" s="251">
        <f>IFERROR(__xludf.DUMMYFUNCTION("AVERAGE(ARRAYFORMULA(XLOOKUP(FILTER(INDIRECT(""'""&amp;DA$1&amp;""'!$C$4:$C$66""),INDIRECT(""'""&amp;DA$1&amp;""'!$D$4:$D$66"")=DA$2),$F$3:$BP$3,$F186:$BP186)))"),0.061212303333333294)</f>
        <v>0.06121230333</v>
      </c>
      <c r="DB186" s="207" t="str">
        <f>IFERROR(__xludf.DUMMYFUNCTION("IF(OR(DA186&gt;$BR186+$BS186*$BS$2,DA186&lt;$BR186-$BS186*$BS$2),AVEDEV(ARRAYFORMULA(XLOOKUP(FILTER(INDIRECT(""'""&amp;DA$1&amp;""'!$C$4:$C$66""),INDIRECT(""'""&amp;DA$1&amp;""'!$D$4:$D$66"")=DA$2),$F$3:$BP$3,$F186:$BP186))),"""")"),"")</f>
        <v/>
      </c>
      <c r="DC186" s="251">
        <f>IFERROR(__xludf.DUMMYFUNCTION("AVERAGE(ARRAYFORMULA(XLOOKUP(FILTER(INDIRECT(""'""&amp;DC$1&amp;""'!$C$4:$C$66""),INDIRECT(""'""&amp;DC$1&amp;""'!$D$4:$D$66"")=DC$2),$F$3:$BP$3,$F186:$BP186)))"),0.5510995344444444)</f>
        <v>0.5510995344</v>
      </c>
      <c r="DD186" s="207" t="str">
        <f>IFERROR(__xludf.DUMMYFUNCTION("IF(OR(DC186&gt;$BR186+$BS186*$BS$2,DC186&lt;$BR186-$BS186*$BS$2),AVEDEV(ARRAYFORMULA(XLOOKUP(FILTER(INDIRECT(""'""&amp;DC$1&amp;""'!$C$4:$C$66""),INDIRECT(""'""&amp;DC$1&amp;""'!$D$4:$D$66"")=DC$2),$F$3:$BP$3,$F186:$BP186))),"""")"),"")</f>
        <v/>
      </c>
      <c r="DE186" s="251">
        <f>IFERROR(__xludf.DUMMYFUNCTION("AVERAGE(ARRAYFORMULA(XLOOKUP(FILTER(INDIRECT(""'""&amp;DE$1&amp;""'!$C$4:$C$66""),INDIRECT(""'""&amp;DE$1&amp;""'!$D$4:$D$66"")=DE$2),$F$3:$BP$3,$F186:$BP186)))"),0.8462067525)</f>
        <v>0.8462067525</v>
      </c>
      <c r="DF186" s="207">
        <f>IFERROR(__xludf.DUMMYFUNCTION("IF(OR(DE186&gt;$BR186+$BS186*$BS$2,DE186&lt;$BR186-$BS186*$BS$2),AVEDEV(ARRAYFORMULA(XLOOKUP(FILTER(INDIRECT(""'""&amp;DE$1&amp;""'!$C$4:$C$66""),INDIRECT(""'""&amp;DE$1&amp;""'!$D$4:$D$66"")=DE$2),$F$3:$BP$3,$F186:$BP186))),"""")"),0.6614213806250001)</f>
        <v>0.6614213806</v>
      </c>
      <c r="DG186" s="251">
        <f>IFERROR(__xludf.DUMMYFUNCTION("AVERAGE(ARRAYFORMULA(XLOOKUP(FILTER(INDIRECT(""'""&amp;DG$1&amp;""'!$C$4:$C$66""),INDIRECT(""'""&amp;DG$1&amp;""'!$D$4:$D$66"")=DG$2),$F$3:$BP$3,$F186:$BP186)))"),-0.18663836)</f>
        <v>-0.18663836</v>
      </c>
      <c r="DH186" s="207" t="str">
        <f>IFERROR(__xludf.DUMMYFUNCTION("IF(OR(DG186&gt;$BR186+$BS186*$BS$2,DG186&lt;$BR186-$BS186*$BS$2),AVEDEV(ARRAYFORMULA(XLOOKUP(FILTER(INDIRECT(""'""&amp;DG$1&amp;""'!$C$4:$C$66""),INDIRECT(""'""&amp;DG$1&amp;""'!$D$4:$D$66"")=DG$2),$F$3:$BP$3,$F186:$BP186))),"""")"),"")</f>
        <v/>
      </c>
      <c r="DI186" s="252"/>
    </row>
    <row r="187">
      <c r="A187" s="2"/>
      <c r="B187" s="204" t="s">
        <v>630</v>
      </c>
      <c r="C187" s="204" t="s">
        <v>632</v>
      </c>
      <c r="D187" s="205" t="b">
        <f>VLOOKUP(C187,'Feature Set List'!A184:C246,2,0)</f>
        <v>1</v>
      </c>
      <c r="E187" s="205" t="b">
        <f>VLOOKUP(C187,'Feature Set List'!A184:C246,3,0)</f>
        <v>1</v>
      </c>
      <c r="F187" s="205">
        <v>1.72808053</v>
      </c>
      <c r="G187" s="205">
        <v>-0.3147953</v>
      </c>
      <c r="H187" s="205">
        <v>0.42130119</v>
      </c>
      <c r="I187" s="205">
        <v>-0.4598273</v>
      </c>
      <c r="J187" s="205">
        <v>-0.925247</v>
      </c>
      <c r="K187" s="205">
        <v>-0.3277201</v>
      </c>
      <c r="L187" s="205">
        <v>-0.180824</v>
      </c>
      <c r="M187" s="205">
        <v>-0.4193749</v>
      </c>
      <c r="N187" s="205">
        <v>-0.2584975</v>
      </c>
      <c r="O187" s="205">
        <v>0.60896042</v>
      </c>
      <c r="P187" s="205">
        <v>-0.4433605</v>
      </c>
      <c r="Q187" s="205">
        <v>-0.1118499</v>
      </c>
      <c r="R187" s="205">
        <v>0.147269</v>
      </c>
      <c r="S187" s="205">
        <v>0.24544833</v>
      </c>
      <c r="T187" s="205">
        <v>0.49276083</v>
      </c>
      <c r="U187" s="205">
        <v>-0.4747406</v>
      </c>
      <c r="V187" s="205">
        <v>0.47474057</v>
      </c>
      <c r="W187" s="205">
        <v>2.25812465</v>
      </c>
      <c r="X187" s="205">
        <v>0.02050581</v>
      </c>
      <c r="Y187" s="205">
        <v>1.57024793</v>
      </c>
      <c r="Z187" s="205">
        <v>-0.2690611</v>
      </c>
      <c r="AA187" s="205">
        <v>0.92835394</v>
      </c>
      <c r="AB187" s="205">
        <v>0.63568011</v>
      </c>
      <c r="AC187" s="205">
        <v>0.63443733</v>
      </c>
      <c r="AD187" s="205">
        <v>0.44118561</v>
      </c>
      <c r="AE187" s="205">
        <v>-0.2926738</v>
      </c>
      <c r="AF187" s="205">
        <v>1.62493009</v>
      </c>
      <c r="AG187" s="205">
        <v>1.06630212</v>
      </c>
      <c r="AH187" s="205">
        <v>-0.3374138</v>
      </c>
      <c r="AI187" s="205">
        <v>1.40682284</v>
      </c>
      <c r="AJ187" s="205">
        <v>-0.925247</v>
      </c>
      <c r="AK187" s="205">
        <v>-0.1572112</v>
      </c>
      <c r="AL187" s="205">
        <v>0.66488535</v>
      </c>
      <c r="AM187" s="205">
        <v>0.30758715</v>
      </c>
      <c r="AN187" s="205">
        <v>-0.6725906</v>
      </c>
      <c r="AO187" s="205">
        <v>-0.925247</v>
      </c>
      <c r="AP187" s="205">
        <v>0.0894799</v>
      </c>
      <c r="AQ187" s="205">
        <v>0.02671969</v>
      </c>
      <c r="AR187" s="205">
        <v>-0.2566333</v>
      </c>
      <c r="AS187" s="205">
        <v>-0.0950724</v>
      </c>
      <c r="AT187" s="205">
        <v>-0.925247</v>
      </c>
      <c r="AU187" s="205">
        <v>2.73597216</v>
      </c>
      <c r="AV187" s="205">
        <v>0.09258684</v>
      </c>
      <c r="AW187" s="205">
        <v>-0.5584416</v>
      </c>
      <c r="AX187" s="205">
        <v>1.12160567</v>
      </c>
      <c r="AY187" s="205">
        <v>-0.2852172</v>
      </c>
      <c r="AZ187" s="205">
        <v>-0.1199279</v>
      </c>
      <c r="BA187" s="205">
        <v>-0.1230349</v>
      </c>
      <c r="BB187" s="205">
        <v>0.0</v>
      </c>
      <c r="BC187" s="205">
        <v>-0.324986</v>
      </c>
      <c r="BD187" s="205">
        <v>1.95240167</v>
      </c>
      <c r="BE187" s="205">
        <v>1.45777667</v>
      </c>
      <c r="BF187" s="205">
        <v>-0.3931523</v>
      </c>
      <c r="BG187" s="205">
        <v>0.74566582</v>
      </c>
      <c r="BH187" s="205">
        <v>-0.925247</v>
      </c>
      <c r="BI187" s="205">
        <v>0.06710992</v>
      </c>
      <c r="BJ187" s="205">
        <v>-0.5982725</v>
      </c>
      <c r="BK187" s="205">
        <v>0.87615734</v>
      </c>
      <c r="BL187" s="205">
        <v>-0.5043808</v>
      </c>
      <c r="BM187" s="205">
        <v>-0.3620208</v>
      </c>
      <c r="BN187" s="205">
        <v>4.99658237</v>
      </c>
      <c r="BO187" s="205">
        <v>-0.4192506</v>
      </c>
      <c r="BP187" s="205">
        <v>1.38134593</v>
      </c>
      <c r="BQ187" s="206"/>
      <c r="BR187" s="250">
        <f t="shared" si="1"/>
        <v>0.2830866965</v>
      </c>
      <c r="BS187" s="250">
        <f t="shared" si="2"/>
        <v>0.7535818277</v>
      </c>
      <c r="BT187" s="206"/>
      <c r="BU187" s="207">
        <f>IFERROR(__xludf.DUMMYFUNCTION("AVERAGE(ARRAYFORMULA(XLOOKUP(FILTER(INDIRECT(""'""&amp;BU$1&amp;""'!$C$4:$C$66""),INDIRECT(""'""&amp;BU$1&amp;""'!$D$4:$D$66"")=BU$2),$F$3:$BP$3,$F187:$BP187)))"),0.8436320942857142)</f>
        <v>0.8436320943</v>
      </c>
      <c r="BV187" s="207" t="str">
        <f>IFERROR(__xludf.DUMMYFUNCTION("IF(OR(BU187&gt;$BR187+$BS187*$BS$2,BU187&lt;$BR187-$BS187*$BS$2),AVEDEV(ARRAYFORMULA(XLOOKUP(FILTER(INDIRECT(""'""&amp;BU$1&amp;""'!$C$4:$C$66""),INDIRECT(""'""&amp;BU$1&amp;""'!$D$4:$D$66"")=BU$2),$F$3:$BP$3,$F187:$BP187))),"""")"),"")</f>
        <v/>
      </c>
      <c r="BW187" s="207">
        <f>IFERROR(__xludf.DUMMYFUNCTION("AVERAGE(ARRAYFORMULA(XLOOKUP(FILTER(INDIRECT(""'""&amp;BW$1&amp;""'!$C$4:$C$66""),INDIRECT(""'""&amp;BW$1&amp;""'!$D$4:$D$66"")=BW$2),$F$3:$BP$3,$F187:$BP187)))"),0.27121374214285715)</f>
        <v>0.2712137421</v>
      </c>
      <c r="BX187" s="207" t="str">
        <f>IFERROR(__xludf.DUMMYFUNCTION("IF(OR(BW187&gt;$BR187+$BS187*$BS$2,BW187&lt;$BR187-$BS187*$BS$2),AVEDEV(ARRAYFORMULA(XLOOKUP(FILTER(INDIRECT(""'""&amp;BW$1&amp;""'!$C$4:$C$66""),INDIRECT(""'""&amp;BW$1&amp;""'!$D$4:$D$66"")=BW$2),$F$3:$BP$3,$F187:$BP187))),"""")"),"")</f>
        <v/>
      </c>
      <c r="BY187" s="207">
        <f>IFERROR(__xludf.DUMMYFUNCTION("AVERAGE(ARRAYFORMULA(XLOOKUP(FILTER(INDIRECT(""'""&amp;BY$1&amp;""'!$C$4:$C$66""),INDIRECT(""'""&amp;BY$1&amp;""'!$D$4:$D$66"")=BY$2),$F$3:$BP$3,$F187:$BP187)))"),0.12427198727272729)</f>
        <v>0.1242719873</v>
      </c>
      <c r="BZ187" s="207" t="str">
        <f>IFERROR(__xludf.DUMMYFUNCTION("IF(OR(BY187&gt;$BR187+$BS187*$BS$2,BY187&lt;$BR187-$BS187*$BS$2),AVEDEV(ARRAYFORMULA(XLOOKUP(FILTER(INDIRECT(""'""&amp;BY$1&amp;""'!$C$4:$C$66""),INDIRECT(""'""&amp;BY$1&amp;""'!$D$4:$D$66"")=BY$2),$F$3:$BP$3,$F187:$BP187))),"""")"),"")</f>
        <v/>
      </c>
      <c r="CA187" s="209"/>
      <c r="CB187" s="207">
        <f>IFERROR(__xludf.DUMMYFUNCTION("AVERAGE(ARRAYFORMULA(XLOOKUP(FILTER(INDIRECT(""'""&amp;CB$1&amp;""'!$C$4:$C$66""),INDIRECT(""'""&amp;CB$1&amp;""'!$D$4:$D$66"")=CB$2),$F$3:$BP$3,$F187:$BP187)))"),-0.050080016249999984)</f>
        <v>-0.05008001625</v>
      </c>
      <c r="CC187" s="207" t="str">
        <f>IFERROR(__xludf.DUMMYFUNCTION("IF(OR(CB187&gt;$BR187+$BS187*$BS$2,CB187&lt;$BR187-$BS187*$BS$2),AVEDEV(ARRAYFORMULA(XLOOKUP(FILTER(INDIRECT(""'""&amp;CB$1&amp;""'!$C$4:$C$66""),INDIRECT(""'""&amp;CB$1&amp;""'!$D$4:$D$66"")=CB$2),$F$3:$BP$3,$F187:$BP187))),"""")"),"")</f>
        <v/>
      </c>
      <c r="CD187" s="207">
        <f>IFERROR(__xludf.DUMMYFUNCTION("AVERAGE(ARRAYFORMULA(XLOOKUP(FILTER(INDIRECT(""'""&amp;CD$1&amp;""'!$C$4:$C$66""),INDIRECT(""'""&amp;CD$1&amp;""'!$D$4:$D$66"")=CD$2),$F$3:$BP$3,$F187:$BP187)))"),0.3622492619354838)</f>
        <v>0.3622492619</v>
      </c>
      <c r="CE187" s="207" t="str">
        <f>IFERROR(__xludf.DUMMYFUNCTION("IF(OR(CD187&gt;$BR187+$BS187*$BS$2,CD187&lt;$BR187-$BS187*$BS$2),AVEDEV(ARRAYFORMULA(XLOOKUP(FILTER(INDIRECT(""'""&amp;CD$1&amp;""'!$C$4:$C$66""),INDIRECT(""'""&amp;CD$1&amp;""'!$D$4:$D$66"")=CD$2),$F$3:$BP$3,$F187:$BP187))),"""")"),"")</f>
        <v/>
      </c>
      <c r="CF187" s="207">
        <f>IFERROR(__xludf.DUMMYFUNCTION("AVERAGE(ARRAYFORMULA(XLOOKUP(FILTER(INDIRECT(""'""&amp;CF$1&amp;""'!$C$4:$C$66""),INDIRECT(""'""&amp;CF$1&amp;""'!$D$4:$D$66"")=CF$2),$F$3:$BP$3,$F187:$BP187)))"),0.01693904999999999)</f>
        <v>0.01693905</v>
      </c>
      <c r="CG187" s="207" t="str">
        <f>IFERROR(__xludf.DUMMYFUNCTION("IF(OR(CF187&gt;$BR187+$BS187*$BS$2,CF187&lt;$BR187-$BS187*$BS$2),AVEDEV(ARRAYFORMULA(XLOOKUP(FILTER(INDIRECT(""'""&amp;CF$1&amp;""'!$C$4:$C$66""),INDIRECT(""'""&amp;CF$1&amp;""'!$D$4:$D$66"")=CF$2),$F$3:$BP$3,$F187:$BP187))),"""")"),"")</f>
        <v/>
      </c>
      <c r="CH187" s="206"/>
      <c r="CI187" s="251">
        <f>IFERROR(__xludf.DUMMYFUNCTION("AVERAGE(ARRAYFORMULA(XLOOKUP(FILTER(INDIRECT(""'""&amp;CI$1&amp;""'!$C$4:$C$66""),INDIRECT(""'""&amp;CI$1&amp;""'!$D$4:$D$66"")=CI$2),$F$3:$BP$3,$F187:$BP187)))"),0.8739369026666666)</f>
        <v>0.8739369027</v>
      </c>
      <c r="CJ187" s="207" t="str">
        <f>IFERROR(__xludf.DUMMYFUNCTION("IF(OR(CI187&gt;$BR187+$BS187*$BS$2,CI187&lt;$BR187-$BS187*$BS$2),AVEDEV(ARRAYFORMULA(XLOOKUP(FILTER(INDIRECT(""'""&amp;CI$1&amp;""'!$C$4:$C$66""),INDIRECT(""'""&amp;CI$1&amp;""'!$D$4:$D$66"")=CI$2),$F$3:$BP$3,$F187:$BP187))),"""")"),"")</f>
        <v/>
      </c>
      <c r="CK187" s="251">
        <f>IFERROR(__xludf.DUMMYFUNCTION("AVERAGE(ARRAYFORMULA(XLOOKUP(FILTER(INDIRECT(""'""&amp;CK$1&amp;""'!$C$4:$C$66""),INDIRECT(""'""&amp;CK$1&amp;""'!$D$4:$D$66"")=CK$2),$F$3:$BP$3,$F187:$BP187)))"),0.11778173230769234)</f>
        <v>0.1177817323</v>
      </c>
      <c r="CL187" s="207" t="str">
        <f>IFERROR(__xludf.DUMMYFUNCTION("IF(OR(CK187&gt;$BR187+$BS187*$BS$2,CK187&lt;$BR187-$BS187*$BS$2),AVEDEV(ARRAYFORMULA(XLOOKUP(FILTER(INDIRECT(""'""&amp;CK$1&amp;""'!$C$4:$C$66""),INDIRECT(""'""&amp;CK$1&amp;""'!$D$4:$D$66"")=CK$2),$F$3:$BP$3,$F187:$BP187))),"""")"),"")</f>
        <v/>
      </c>
      <c r="CM187" s="251">
        <f>IFERROR(__xludf.DUMMYFUNCTION("AVERAGE(ARRAYFORMULA(XLOOKUP(FILTER(INDIRECT(""'""&amp;CM$1&amp;""'!$C$4:$C$66""),INDIRECT(""'""&amp;CM$1&amp;""'!$D$4:$D$66"")=CM$2),$F$3:$BP$3,$F187:$BP187)))"),0.01693904999999999)</f>
        <v>0.01693905</v>
      </c>
      <c r="CN187" s="207" t="str">
        <f>IFERROR(__xludf.DUMMYFUNCTION("IF(OR(CM187&gt;$BR187+$BS187*$BS$2,CM187&lt;$BR187-$BS187*$BS$2),AVEDEV(ARRAYFORMULA(XLOOKUP(FILTER(INDIRECT(""'""&amp;CM$1&amp;""'!$C$4:$C$66""),INDIRECT(""'""&amp;CM$1&amp;""'!$D$4:$D$66"")=CM$2),$F$3:$BP$3,$F187:$BP187))),"""")"),"")</f>
        <v/>
      </c>
      <c r="CO187" s="252"/>
      <c r="CP187" s="251">
        <f>IFERROR(__xludf.DUMMYFUNCTION("AVERAGE(ARRAYFORMULA(XLOOKUP(FILTER(INDIRECT(""'""&amp;CP$1&amp;""'!$C$4:$C$66""),INDIRECT(""'""&amp;CP$1&amp;""'!$D$4:$D$66"")=CP$2),$F$3:$BP$3,$F187:$BP187)))"),-0.06472646357142854)</f>
        <v>-0.06472646357</v>
      </c>
      <c r="CQ187" s="207" t="str">
        <f>IFERROR(__xludf.DUMMYFUNCTION("IF(OR(CP187&gt;$BR187+$BS187*$BS$2,CP187&lt;$BR187-$BS187*$BS$2),AVEDEV(ARRAYFORMULA(XLOOKUP(FILTER(INDIRECT(""'""&amp;CP$1&amp;""'!$C$4:$C$66""),INDIRECT(""'""&amp;CP$1&amp;""'!$D$4:$D$66"")=CP$2),$F$3:$BP$3,$F187:$BP187))),"""")"),"")</f>
        <v/>
      </c>
      <c r="CR187" s="251">
        <f>IFERROR(__xludf.DUMMYFUNCTION("AVERAGE(ARRAYFORMULA(XLOOKUP(FILTER(INDIRECT(""'""&amp;CR$1&amp;""'!$C$4:$C$66""),INDIRECT(""'""&amp;CR$1&amp;""'!$D$4:$D$66"")=CR$2),$F$3:$BP$3,$F187:$BP187)))"),0.2396210955555555)</f>
        <v>0.2396210956</v>
      </c>
      <c r="CS187" s="207" t="str">
        <f>IFERROR(__xludf.DUMMYFUNCTION("IF(OR(CR187&gt;$BR187+$BS187*$BS$2,CR187&lt;$BR187-$BS187*$BS$2),AVEDEV(ARRAYFORMULA(XLOOKUP(FILTER(INDIRECT(""'""&amp;CR$1&amp;""'!$C$4:$C$66""),INDIRECT(""'""&amp;CR$1&amp;""'!$D$4:$D$66"")=CR$2),$F$3:$BP$3,$F187:$BP187))),"""")"),"")</f>
        <v/>
      </c>
      <c r="CT187" s="251">
        <f>IFERROR(__xludf.DUMMYFUNCTION("AVERAGE(ARRAYFORMULA(XLOOKUP(FILTER(INDIRECT(""'""&amp;CT$1&amp;""'!$C$4:$C$66""),INDIRECT(""'""&amp;CT$1&amp;""'!$D$4:$D$66"")=CT$2),$F$3:$BP$3,$F187:$BP187)))"),0.9211401863636365)</f>
        <v>0.9211401864</v>
      </c>
      <c r="CU187" s="207" t="str">
        <f>IFERROR(__xludf.DUMMYFUNCTION("IF(OR(CT187&gt;$BR187+$BS187*$BS$2,CT187&lt;$BR187-$BS187*$BS$2),AVEDEV(ARRAYFORMULA(XLOOKUP(FILTER(INDIRECT(""'""&amp;CT$1&amp;""'!$C$4:$C$66""),INDIRECT(""'""&amp;CT$1&amp;""'!$D$4:$D$66"")=CT$2),$F$3:$BP$3,$F187:$BP187))),"""")"),"")</f>
        <v/>
      </c>
      <c r="CV187" s="251">
        <f>IFERROR(__xludf.DUMMYFUNCTION("AVERAGE(ARRAYFORMULA(XLOOKUP(FILTER(INDIRECT(""'""&amp;CV$1&amp;""'!$C$4:$C$66""),INDIRECT(""'""&amp;CV$1&amp;""'!$D$4:$D$66"")=CV$2),$F$3:$BP$3,$F187:$BP187)))"),0.690051575)</f>
        <v>0.690051575</v>
      </c>
      <c r="CW187" s="207" t="str">
        <f>IFERROR(__xludf.DUMMYFUNCTION("IF(OR(CV187&gt;$BR187+$BS187*$BS$2,CV187&lt;$BR187-$BS187*$BS$2),AVEDEV(ARRAYFORMULA(XLOOKUP(FILTER(INDIRECT(""'""&amp;CV$1&amp;""'!$C$4:$C$66""),INDIRECT(""'""&amp;CV$1&amp;""'!$D$4:$D$66"")=CV$2),$F$3:$BP$3,$F187:$BP187))),"""")"),"")</f>
        <v/>
      </c>
      <c r="CX187" s="251">
        <f>IFERROR(__xludf.DUMMYFUNCTION("AVERAGE(ARRAYFORMULA(XLOOKUP(FILTER(INDIRECT(""'""&amp;CX$1&amp;""'!$C$4:$C$66""),INDIRECT(""'""&amp;CX$1&amp;""'!$D$4:$D$66"")=CX$2),$F$3:$BP$3,$F187:$BP187)))"),0.1200832542857143)</f>
        <v>0.1200832543</v>
      </c>
      <c r="CY187" s="207" t="str">
        <f>IFERROR(__xludf.DUMMYFUNCTION("IF(OR(CX187&gt;$BR187+$BS187*$BS$2,CX187&lt;$BR187-$BS187*$BS$2),AVEDEV(ARRAYFORMULA(XLOOKUP(FILTER(INDIRECT(""'""&amp;CX$1&amp;""'!$C$4:$C$66""),INDIRECT(""'""&amp;CX$1&amp;""'!$D$4:$D$66"")=CX$2),$F$3:$BP$3,$F187:$BP187))),"""")"),"")</f>
        <v/>
      </c>
      <c r="CZ187" s="252"/>
      <c r="DA187" s="251">
        <f>IFERROR(__xludf.DUMMYFUNCTION("AVERAGE(ARRAYFORMULA(XLOOKUP(FILTER(INDIRECT(""'""&amp;DA$1&amp;""'!$C$4:$C$66""),INDIRECT(""'""&amp;DA$1&amp;""'!$D$4:$D$66"")=DA$2),$F$3:$BP$3,$F187:$BP187)))"),0.10091550466666664)</f>
        <v>0.1009155047</v>
      </c>
      <c r="DB187" s="207" t="str">
        <f>IFERROR(__xludf.DUMMYFUNCTION("IF(OR(DA187&gt;$BR187+$BS187*$BS$2,DA187&lt;$BR187-$BS187*$BS$2),AVEDEV(ARRAYFORMULA(XLOOKUP(FILTER(INDIRECT(""'""&amp;DA$1&amp;""'!$C$4:$C$66""),INDIRECT(""'""&amp;DA$1&amp;""'!$D$4:$D$66"")=DA$2),$F$3:$BP$3,$F187:$BP187))),"""")"),"")</f>
        <v/>
      </c>
      <c r="DC187" s="251">
        <f>IFERROR(__xludf.DUMMYFUNCTION("AVERAGE(ARRAYFORMULA(XLOOKUP(FILTER(INDIRECT(""'""&amp;DC$1&amp;""'!$C$4:$C$66""),INDIRECT(""'""&amp;DC$1&amp;""'!$D$4:$D$66"")=DC$2),$F$3:$BP$3,$F187:$BP187)))"),0.517816578888889)</f>
        <v>0.5178165789</v>
      </c>
      <c r="DD187" s="207" t="str">
        <f>IFERROR(__xludf.DUMMYFUNCTION("IF(OR(DC187&gt;$BR187+$BS187*$BS$2,DC187&lt;$BR187-$BS187*$BS$2),AVEDEV(ARRAYFORMULA(XLOOKUP(FILTER(INDIRECT(""'""&amp;DC$1&amp;""'!$C$4:$C$66""),INDIRECT(""'""&amp;DC$1&amp;""'!$D$4:$D$66"")=DC$2),$F$3:$BP$3,$F187:$BP187))),"""")"),"")</f>
        <v/>
      </c>
      <c r="DE187" s="251">
        <f>IFERROR(__xludf.DUMMYFUNCTION("AVERAGE(ARRAYFORMULA(XLOOKUP(FILTER(INDIRECT(""'""&amp;DE$1&amp;""'!$C$4:$C$66""),INDIRECT(""'""&amp;DE$1&amp;""'!$D$4:$D$66"")=DE$2),$F$3:$BP$3,$F187:$BP187)))"),0.28047908)</f>
        <v>0.28047908</v>
      </c>
      <c r="DF187" s="207" t="str">
        <f>IFERROR(__xludf.DUMMYFUNCTION("IF(OR(DE187&gt;$BR187+$BS187*$BS$2,DE187&lt;$BR187-$BS187*$BS$2),AVEDEV(ARRAYFORMULA(XLOOKUP(FILTER(INDIRECT(""'""&amp;DE$1&amp;""'!$C$4:$C$66""),INDIRECT(""'""&amp;DE$1&amp;""'!$D$4:$D$66"")=DE$2),$F$3:$BP$3,$F187:$BP187))),"""")"),"")</f>
        <v/>
      </c>
      <c r="DG187" s="251">
        <f>IFERROR(__xludf.DUMMYFUNCTION("AVERAGE(ARRAYFORMULA(XLOOKUP(FILTER(INDIRECT(""'""&amp;DG$1&amp;""'!$C$4:$C$66""),INDIRECT(""'""&amp;DG$1&amp;""'!$D$4:$D$66"")=DG$2),$F$3:$BP$3,$F187:$BP187)))"),0.6937039577777777)</f>
        <v>0.6937039578</v>
      </c>
      <c r="DH187" s="207" t="str">
        <f>IFERROR(__xludf.DUMMYFUNCTION("IF(OR(DG187&gt;$BR187+$BS187*$BS$2,DG187&lt;$BR187-$BS187*$BS$2),AVEDEV(ARRAYFORMULA(XLOOKUP(FILTER(INDIRECT(""'""&amp;DG$1&amp;""'!$C$4:$C$66""),INDIRECT(""'""&amp;DG$1&amp;""'!$D$4:$D$66"")=DG$2),$F$3:$BP$3,$F187:$BP187))),"""")"),"")</f>
        <v/>
      </c>
      <c r="DI187" s="252"/>
    </row>
    <row r="188">
      <c r="A188" s="2"/>
      <c r="B188" s="204" t="s">
        <v>630</v>
      </c>
      <c r="C188" s="204" t="s">
        <v>633</v>
      </c>
      <c r="D188" s="205" t="b">
        <f>VLOOKUP(C188,'Feature Set List'!A185:C246,2,0)</f>
        <v>1</v>
      </c>
      <c r="E188" s="205" t="b">
        <f>VLOOKUP(C188,'Feature Set List'!A185:C246,3,0)</f>
        <v>1</v>
      </c>
      <c r="F188" s="205">
        <v>1.33333333</v>
      </c>
      <c r="G188" s="205">
        <v>0.0</v>
      </c>
      <c r="H188" s="205">
        <v>0.66666667</v>
      </c>
      <c r="I188" s="205">
        <v>0.66666667</v>
      </c>
      <c r="J188" s="205">
        <v>1.0</v>
      </c>
      <c r="K188" s="205">
        <v>0.33333333</v>
      </c>
      <c r="L188" s="205">
        <v>-0.6666667</v>
      </c>
      <c r="M188" s="205">
        <v>1.0</v>
      </c>
      <c r="N188" s="205">
        <v>1.33333333</v>
      </c>
      <c r="O188" s="205">
        <v>-0.6666667</v>
      </c>
      <c r="P188" s="205">
        <v>0.33333333</v>
      </c>
      <c r="Q188" s="205">
        <v>-0.6666667</v>
      </c>
      <c r="R188" s="205">
        <v>0.33333333</v>
      </c>
      <c r="S188" s="205">
        <v>1.33333333</v>
      </c>
      <c r="T188" s="205">
        <v>-0.3333333</v>
      </c>
      <c r="U188" s="205">
        <v>0.0</v>
      </c>
      <c r="V188" s="205">
        <v>0.0</v>
      </c>
      <c r="W188" s="205">
        <v>-0.6666667</v>
      </c>
      <c r="X188" s="205">
        <v>1.66666667</v>
      </c>
      <c r="Y188" s="205">
        <v>-1.3333333</v>
      </c>
      <c r="Z188" s="205">
        <v>0.33333333</v>
      </c>
      <c r="AA188" s="205">
        <v>-2.0</v>
      </c>
      <c r="AB188" s="205">
        <v>1.33333333</v>
      </c>
      <c r="AC188" s="205">
        <v>0.33333333</v>
      </c>
      <c r="AD188" s="205">
        <v>-0.3333333</v>
      </c>
      <c r="AE188" s="205">
        <v>0.66666667</v>
      </c>
      <c r="AF188" s="205">
        <v>-0.3333333</v>
      </c>
      <c r="AG188" s="205">
        <v>0.66666667</v>
      </c>
      <c r="AH188" s="205">
        <v>-0.3333333</v>
      </c>
      <c r="AI188" s="205">
        <v>-0.6666667</v>
      </c>
      <c r="AJ188" s="205">
        <v>1.0</v>
      </c>
      <c r="AK188" s="205">
        <v>1.33333333</v>
      </c>
      <c r="AL188" s="205">
        <v>1.33333333</v>
      </c>
      <c r="AM188" s="205">
        <v>0.0</v>
      </c>
      <c r="AN188" s="205">
        <v>-1.6666667</v>
      </c>
      <c r="AO188" s="205">
        <v>0.0</v>
      </c>
      <c r="AP188" s="205">
        <v>0.0</v>
      </c>
      <c r="AQ188" s="205">
        <v>-0.3333333</v>
      </c>
      <c r="AR188" s="205">
        <v>0.33333333</v>
      </c>
      <c r="AS188" s="205">
        <v>4.33333333</v>
      </c>
      <c r="AT188" s="205">
        <v>-2.0</v>
      </c>
      <c r="AU188" s="205">
        <v>0.0</v>
      </c>
      <c r="AV188" s="205">
        <v>0.66666667</v>
      </c>
      <c r="AW188" s="205">
        <v>0.0</v>
      </c>
      <c r="AX188" s="205">
        <v>-1.0</v>
      </c>
      <c r="AY188" s="205">
        <v>0.0</v>
      </c>
      <c r="AZ188" s="205">
        <v>-0.6666667</v>
      </c>
      <c r="BA188" s="205">
        <v>-0.6666667</v>
      </c>
      <c r="BB188" s="205">
        <v>-0.6666667</v>
      </c>
      <c r="BC188" s="205">
        <v>2.33333333</v>
      </c>
      <c r="BD188" s="205">
        <v>0.66666667</v>
      </c>
      <c r="BE188" s="205">
        <v>1.66666667</v>
      </c>
      <c r="BF188" s="205">
        <v>0.0</v>
      </c>
      <c r="BG188" s="205">
        <v>0.0</v>
      </c>
      <c r="BH188" s="205">
        <v>0.33333333</v>
      </c>
      <c r="BI188" s="205">
        <v>2.33333333</v>
      </c>
      <c r="BJ188" s="205">
        <v>0.0</v>
      </c>
      <c r="BK188" s="205">
        <v>-0.3333333</v>
      </c>
      <c r="BL188" s="205">
        <v>-0.6666667</v>
      </c>
      <c r="BM188" s="205">
        <v>0.66666667</v>
      </c>
      <c r="BN188" s="205">
        <v>0.66666667</v>
      </c>
      <c r="BO188" s="205">
        <v>0.33333333</v>
      </c>
      <c r="BP188" s="205">
        <v>-0.3333333</v>
      </c>
      <c r="BQ188" s="206"/>
      <c r="BR188" s="250">
        <f t="shared" si="1"/>
        <v>0.2380952367</v>
      </c>
      <c r="BS188" s="250">
        <f t="shared" si="2"/>
        <v>0.7679516257</v>
      </c>
      <c r="BT188" s="206"/>
      <c r="BU188" s="207">
        <f>IFERROR(__xludf.DUMMYFUNCTION("AVERAGE(ARRAYFORMULA(XLOOKUP(FILTER(INDIRECT(""'""&amp;BU$1&amp;""'!$C$4:$C$66""),INDIRECT(""'""&amp;BU$1&amp;""'!$D$4:$D$66"")=BU$2),$F$3:$BP$3,$F188:$BP188)))"),-0.5714285757142857)</f>
        <v>-0.5714285757</v>
      </c>
      <c r="BV188" s="207">
        <f>IFERROR(__xludf.DUMMYFUNCTION("IF(OR(BU188&gt;$BR188+$BS188*$BS$2,BU188&lt;$BR188-$BS188*$BS$2),AVEDEV(ARRAYFORMULA(XLOOKUP(FILTER(INDIRECT(""'""&amp;BU$1&amp;""'!$C$4:$C$66""),INDIRECT(""'""&amp;BU$1&amp;""'!$D$4:$D$66"")=BU$2),$F$3:$BP$3,$F188:$BP188))),"""")"),0.4897959420408164)</f>
        <v>0.489795942</v>
      </c>
      <c r="BW188" s="207">
        <f>IFERROR(__xludf.DUMMYFUNCTION("AVERAGE(ARRAYFORMULA(XLOOKUP(FILTER(INDIRECT(""'""&amp;BW$1&amp;""'!$C$4:$C$66""),INDIRECT(""'""&amp;BW$1&amp;""'!$D$4:$D$66"")=BW$2),$F$3:$BP$3,$F188:$BP188)))"),0.36507936690476195)</f>
        <v>0.3650793669</v>
      </c>
      <c r="BX188" s="207" t="str">
        <f>IFERROR(__xludf.DUMMYFUNCTION("IF(OR(BW188&gt;$BR188+$BS188*$BS$2,BW188&lt;$BR188-$BS188*$BS$2),AVEDEV(ARRAYFORMULA(XLOOKUP(FILTER(INDIRECT(""'""&amp;BW$1&amp;""'!$C$4:$C$66""),INDIRECT(""'""&amp;BW$1&amp;""'!$D$4:$D$66"")=BW$2),$F$3:$BP$3,$F188:$BP188))),"""")"),"")</f>
        <v/>
      </c>
      <c r="BY188" s="207">
        <f>IFERROR(__xludf.DUMMYFUNCTION("AVERAGE(ARRAYFORMULA(XLOOKUP(FILTER(INDIRECT(""'""&amp;BY$1&amp;""'!$C$4:$C$66""),INDIRECT(""'""&amp;BY$1&amp;""'!$D$4:$D$66"")=BY$2),$F$3:$BP$3,$F188:$BP188)))"),0.24242423000000005)</f>
        <v>0.24242423</v>
      </c>
      <c r="BZ188" s="207" t="str">
        <f>IFERROR(__xludf.DUMMYFUNCTION("IF(OR(BY188&gt;$BR188+$BS188*$BS$2,BY188&lt;$BR188-$BS188*$BS$2),AVEDEV(ARRAYFORMULA(XLOOKUP(FILTER(INDIRECT(""'""&amp;BY$1&amp;""'!$C$4:$C$66""),INDIRECT(""'""&amp;BY$1&amp;""'!$D$4:$D$66"")=BY$2),$F$3:$BP$3,$F188:$BP188))),"""")"),"")</f>
        <v/>
      </c>
      <c r="CA188" s="209"/>
      <c r="CB188" s="207">
        <f>IFERROR(__xludf.DUMMYFUNCTION("AVERAGE(ARRAYFORMULA(XLOOKUP(FILTER(INDIRECT(""'""&amp;CB$1&amp;""'!$C$4:$C$66""),INDIRECT(""'""&amp;CB$1&amp;""'!$D$4:$D$66"")=CB$2),$F$3:$BP$3,$F188:$BP188)))"),0.52083334)</f>
        <v>0.52083334</v>
      </c>
      <c r="CC188" s="207" t="str">
        <f>IFERROR(__xludf.DUMMYFUNCTION("IF(OR(CB188&gt;$BR188+$BS188*$BS$2,CB188&lt;$BR188-$BS188*$BS$2),AVEDEV(ARRAYFORMULA(XLOOKUP(FILTER(INDIRECT(""'""&amp;CB$1&amp;""'!$C$4:$C$66""),INDIRECT(""'""&amp;CB$1&amp;""'!$D$4:$D$66"")=CB$2),$F$3:$BP$3,$F188:$BP188))),"""")"),"")</f>
        <v/>
      </c>
      <c r="CD188" s="207">
        <f>IFERROR(__xludf.DUMMYFUNCTION("AVERAGE(ARRAYFORMULA(XLOOKUP(FILTER(INDIRECT(""'""&amp;CD$1&amp;""'!$C$4:$C$66""),INDIRECT(""'""&amp;CD$1&amp;""'!$D$4:$D$66"")=CD$2),$F$3:$BP$3,$F188:$BP188)))"),0.22580644870967748)</f>
        <v>0.2258064487</v>
      </c>
      <c r="CE188" s="207" t="str">
        <f>IFERROR(__xludf.DUMMYFUNCTION("IF(OR(CD188&gt;$BR188+$BS188*$BS$2,CD188&lt;$BR188-$BS188*$BS$2),AVEDEV(ARRAYFORMULA(XLOOKUP(FILTER(INDIRECT(""'""&amp;CD$1&amp;""'!$C$4:$C$66""),INDIRECT(""'""&amp;CD$1&amp;""'!$D$4:$D$66"")=CD$2),$F$3:$BP$3,$F188:$BP188))),"""")"),"")</f>
        <v/>
      </c>
      <c r="CF188" s="207">
        <f>IFERROR(__xludf.DUMMYFUNCTION("AVERAGE(ARRAYFORMULA(XLOOKUP(FILTER(INDIRECT(""'""&amp;CF$1&amp;""'!$C$4:$C$66""),INDIRECT(""'""&amp;CF$1&amp;""'!$D$4:$D$66"")=CF$2),$F$3:$BP$3,$F188:$BP188)))"),0.06666665200000002)</f>
        <v>0.066666652</v>
      </c>
      <c r="CG188" s="207" t="str">
        <f>IFERROR(__xludf.DUMMYFUNCTION("IF(OR(CF188&gt;$BR188+$BS188*$BS$2,CF188&lt;$BR188-$BS188*$BS$2),AVEDEV(ARRAYFORMULA(XLOOKUP(FILTER(INDIRECT(""'""&amp;CF$1&amp;""'!$C$4:$C$66""),INDIRECT(""'""&amp;CF$1&amp;""'!$D$4:$D$66"")=CF$2),$F$3:$BP$3,$F188:$BP188))),"""")"),"")</f>
        <v/>
      </c>
      <c r="CH188" s="206"/>
      <c r="CI188" s="251">
        <f>IFERROR(__xludf.DUMMYFUNCTION("AVERAGE(ARRAYFORMULA(XLOOKUP(FILTER(INDIRECT(""'""&amp;CI$1&amp;""'!$C$4:$C$66""),INDIRECT(""'""&amp;CI$1&amp;""'!$D$4:$D$66"")=CI$2),$F$3:$BP$3,$F188:$BP188)))"),0.4888888866666667)</f>
        <v>0.4888888867</v>
      </c>
      <c r="CJ188" s="207" t="str">
        <f>IFERROR(__xludf.DUMMYFUNCTION("IF(OR(CI188&gt;$BR188+$BS188*$BS$2,CI188&lt;$BR188-$BS188*$BS$2),AVEDEV(ARRAYFORMULA(XLOOKUP(FILTER(INDIRECT(""'""&amp;CI$1&amp;""'!$C$4:$C$66""),INDIRECT(""'""&amp;CI$1&amp;""'!$D$4:$D$66"")=CI$2),$F$3:$BP$3,$F188:$BP188))),"""")"),"")</f>
        <v/>
      </c>
      <c r="CK188" s="251">
        <f>IFERROR(__xludf.DUMMYFUNCTION("AVERAGE(ARRAYFORMULA(XLOOKUP(FILTER(INDIRECT(""'""&amp;CK$1&amp;""'!$C$4:$C$66""),INDIRECT(""'""&amp;CK$1&amp;""'!$D$4:$D$66"")=CK$2),$F$3:$BP$3,$F188:$BP188)))"),0.17094017051282057)</f>
        <v>0.1709401705</v>
      </c>
      <c r="CL188" s="207" t="str">
        <f>IFERROR(__xludf.DUMMYFUNCTION("IF(OR(CK188&gt;$BR188+$BS188*$BS$2,CK188&lt;$BR188-$BS188*$BS$2),AVEDEV(ARRAYFORMULA(XLOOKUP(FILTER(INDIRECT(""'""&amp;CK$1&amp;""'!$C$4:$C$66""),INDIRECT(""'""&amp;CK$1&amp;""'!$D$4:$D$66"")=CK$2),$F$3:$BP$3,$F188:$BP188))),"""")"),"")</f>
        <v/>
      </c>
      <c r="CM188" s="251">
        <f>IFERROR(__xludf.DUMMYFUNCTION("AVERAGE(ARRAYFORMULA(XLOOKUP(FILTER(INDIRECT(""'""&amp;CM$1&amp;""'!$C$4:$C$66""),INDIRECT(""'""&amp;CM$1&amp;""'!$D$4:$D$66"")=CM$2),$F$3:$BP$3,$F188:$BP188)))"),0.06666665200000002)</f>
        <v>0.066666652</v>
      </c>
      <c r="CN188" s="207" t="str">
        <f>IFERROR(__xludf.DUMMYFUNCTION("IF(OR(CM188&gt;$BR188+$BS188*$BS$2,CM188&lt;$BR188-$BS188*$BS$2),AVEDEV(ARRAYFORMULA(XLOOKUP(FILTER(INDIRECT(""'""&amp;CM$1&amp;""'!$C$4:$C$66""),INDIRECT(""'""&amp;CM$1&amp;""'!$D$4:$D$66"")=CM$2),$F$3:$BP$3,$F188:$BP188))),"""")"),"")</f>
        <v/>
      </c>
      <c r="CO188" s="252"/>
      <c r="CP188" s="251">
        <f>IFERROR(__xludf.DUMMYFUNCTION("AVERAGE(ARRAYFORMULA(XLOOKUP(FILTER(INDIRECT(""'""&amp;CP$1&amp;""'!$C$4:$C$66""),INDIRECT(""'""&amp;CP$1&amp;""'!$D$4:$D$66"")=CP$2),$F$3:$BP$3,$F188:$BP188)))"),0.38095238857142866)</f>
        <v>0.3809523886</v>
      </c>
      <c r="CQ188" s="207" t="str">
        <f>IFERROR(__xludf.DUMMYFUNCTION("IF(OR(CP188&gt;$BR188+$BS188*$BS$2,CP188&lt;$BR188-$BS188*$BS$2),AVEDEV(ARRAYFORMULA(XLOOKUP(FILTER(INDIRECT(""'""&amp;CP$1&amp;""'!$C$4:$C$66""),INDIRECT(""'""&amp;CP$1&amp;""'!$D$4:$D$66"")=CP$2),$F$3:$BP$3,$F188:$BP188))),"""")"),"")</f>
        <v/>
      </c>
      <c r="CR188" s="251">
        <f>IFERROR(__xludf.DUMMYFUNCTION("AVERAGE(ARRAYFORMULA(XLOOKUP(FILTER(INDIRECT(""'""&amp;CR$1&amp;""'!$C$4:$C$66""),INDIRECT(""'""&amp;CR$1&amp;""'!$D$4:$D$66"")=CR$2),$F$3:$BP$3,$F188:$BP188)))"),0.3703703588888889)</f>
        <v>0.3703703589</v>
      </c>
      <c r="CS188" s="207" t="str">
        <f>IFERROR(__xludf.DUMMYFUNCTION("IF(OR(CR188&gt;$BR188+$BS188*$BS$2,CR188&lt;$BR188-$BS188*$BS$2),AVEDEV(ARRAYFORMULA(XLOOKUP(FILTER(INDIRECT(""'""&amp;CR$1&amp;""'!$C$4:$C$66""),INDIRECT(""'""&amp;CR$1&amp;""'!$D$4:$D$66"")=CR$2),$F$3:$BP$3,$F188:$BP188))),"""")"),"")</f>
        <v/>
      </c>
      <c r="CT188" s="251">
        <f>IFERROR(__xludf.DUMMYFUNCTION("AVERAGE(ARRAYFORMULA(XLOOKUP(FILTER(INDIRECT(""'""&amp;CT$1&amp;""'!$C$4:$C$66""),INDIRECT(""'""&amp;CT$1&amp;""'!$D$4:$D$66"")=CT$2),$F$3:$BP$3,$F188:$BP188)))"),0.6363636354545454)</f>
        <v>0.6363636355</v>
      </c>
      <c r="CU188" s="207" t="str">
        <f>IFERROR(__xludf.DUMMYFUNCTION("IF(OR(CT188&gt;$BR188+$BS188*$BS$2,CT188&lt;$BR188-$BS188*$BS$2),AVEDEV(ARRAYFORMULA(XLOOKUP(FILTER(INDIRECT(""'""&amp;CT$1&amp;""'!$C$4:$C$66""),INDIRECT(""'""&amp;CT$1&amp;""'!$D$4:$D$66"")=CT$2),$F$3:$BP$3,$F188:$BP188))),"""")"),"")</f>
        <v/>
      </c>
      <c r="CV188" s="251">
        <f>IFERROR(__xludf.DUMMYFUNCTION("AVERAGE(ARRAYFORMULA(XLOOKUP(FILTER(INDIRECT(""'""&amp;CV$1&amp;""'!$C$4:$C$66""),INDIRECT(""'""&amp;CV$1&amp;""'!$D$4:$D$66"")=CV$2),$F$3:$BP$3,$F188:$BP188)))"),0.166666665)</f>
        <v>0.166666665</v>
      </c>
      <c r="CW188" s="207" t="str">
        <f>IFERROR(__xludf.DUMMYFUNCTION("IF(OR(CV188&gt;$BR188+$BS188*$BS$2,CV188&lt;$BR188-$BS188*$BS$2),AVEDEV(ARRAYFORMULA(XLOOKUP(FILTER(INDIRECT(""'""&amp;CV$1&amp;""'!$C$4:$C$66""),INDIRECT(""'""&amp;CV$1&amp;""'!$D$4:$D$66"")=CV$2),$F$3:$BP$3,$F188:$BP188))),"""")"),"")</f>
        <v/>
      </c>
      <c r="CX188" s="251">
        <f>IFERROR(__xludf.DUMMYFUNCTION("AVERAGE(ARRAYFORMULA(XLOOKUP(FILTER(INDIRECT(""'""&amp;CX$1&amp;""'!$C$4:$C$66""),INDIRECT(""'""&amp;CX$1&amp;""'!$D$4:$D$66"")=CX$2),$F$3:$BP$3,$F188:$BP188)))"),0.09523809428571428)</f>
        <v>0.09523809429</v>
      </c>
      <c r="CY188" s="207" t="str">
        <f>IFERROR(__xludf.DUMMYFUNCTION("IF(OR(CX188&gt;$BR188+$BS188*$BS$2,CX188&lt;$BR188-$BS188*$BS$2),AVEDEV(ARRAYFORMULA(XLOOKUP(FILTER(INDIRECT(""'""&amp;CX$1&amp;""'!$C$4:$C$66""),INDIRECT(""'""&amp;CX$1&amp;""'!$D$4:$D$66"")=CX$2),$F$3:$BP$3,$F188:$BP188))),"""")"),"")</f>
        <v/>
      </c>
      <c r="CZ188" s="252"/>
      <c r="DA188" s="251">
        <f>IFERROR(__xludf.DUMMYFUNCTION("AVERAGE(ARRAYFORMULA(XLOOKUP(FILTER(INDIRECT(""'""&amp;DA$1&amp;""'!$C$4:$C$66""),INDIRECT(""'""&amp;DA$1&amp;""'!$D$4:$D$66"")=DA$2),$F$3:$BP$3,$F188:$BP188)))"),0.3666666696666667)</f>
        <v>0.3666666697</v>
      </c>
      <c r="DB188" s="207" t="str">
        <f>IFERROR(__xludf.DUMMYFUNCTION("IF(OR(DA188&gt;$BR188+$BS188*$BS$2,DA188&lt;$BR188-$BS188*$BS$2),AVEDEV(ARRAYFORMULA(XLOOKUP(FILTER(INDIRECT(""'""&amp;DA$1&amp;""'!$C$4:$C$66""),INDIRECT(""'""&amp;DA$1&amp;""'!$D$4:$D$66"")=DA$2),$F$3:$BP$3,$F188:$BP188))),"""")"),"")</f>
        <v/>
      </c>
      <c r="DC188" s="251">
        <f>IFERROR(__xludf.DUMMYFUNCTION("AVERAGE(ARRAYFORMULA(XLOOKUP(FILTER(INDIRECT(""'""&amp;DC$1&amp;""'!$C$4:$C$66""),INDIRECT(""'""&amp;DC$1&amp;""'!$D$4:$D$66"")=DC$2),$F$3:$BP$3,$F188:$BP188)))"),0.037037021111111144)</f>
        <v>0.03703702111</v>
      </c>
      <c r="DD188" s="207" t="str">
        <f>IFERROR(__xludf.DUMMYFUNCTION("IF(OR(DC188&gt;$BR188+$BS188*$BS$2,DC188&lt;$BR188-$BS188*$BS$2),AVEDEV(ARRAYFORMULA(XLOOKUP(FILTER(INDIRECT(""'""&amp;DC$1&amp;""'!$C$4:$C$66""),INDIRECT(""'""&amp;DC$1&amp;""'!$D$4:$D$66"")=DC$2),$F$3:$BP$3,$F188:$BP188))),"""")"),"")</f>
        <v/>
      </c>
      <c r="DE188" s="251">
        <f>IFERROR(__xludf.DUMMYFUNCTION("AVERAGE(ARRAYFORMULA(XLOOKUP(FILTER(INDIRECT(""'""&amp;DE$1&amp;""'!$C$4:$C$66""),INDIRECT(""'""&amp;DE$1&amp;""'!$D$4:$D$66"")=DE$2),$F$3:$BP$3,$F188:$BP188)))"),-0.08333333874999997)</f>
        <v>-0.08333333875</v>
      </c>
      <c r="DF188" s="207" t="str">
        <f>IFERROR(__xludf.DUMMYFUNCTION("IF(OR(DE188&gt;$BR188+$BS188*$BS$2,DE188&lt;$BR188-$BS188*$BS$2),AVEDEV(ARRAYFORMULA(XLOOKUP(FILTER(INDIRECT(""'""&amp;DE$1&amp;""'!$C$4:$C$66""),INDIRECT(""'""&amp;DE$1&amp;""'!$D$4:$D$66"")=DE$2),$F$3:$BP$3,$F188:$BP188))),"""")"),"")</f>
        <v/>
      </c>
      <c r="DG188" s="251">
        <f>IFERROR(__xludf.DUMMYFUNCTION("AVERAGE(ARRAYFORMULA(XLOOKUP(FILTER(INDIRECT(""'""&amp;DG$1&amp;""'!$C$4:$C$66""),INDIRECT(""'""&amp;DG$1&amp;""'!$D$4:$D$66"")=DG$2),$F$3:$BP$3,$F188:$BP188)))"),0.7037037044444445)</f>
        <v>0.7037037044</v>
      </c>
      <c r="DH188" s="207" t="str">
        <f>IFERROR(__xludf.DUMMYFUNCTION("IF(OR(DG188&gt;$BR188+$BS188*$BS$2,DG188&lt;$BR188-$BS188*$BS$2),AVEDEV(ARRAYFORMULA(XLOOKUP(FILTER(INDIRECT(""'""&amp;DG$1&amp;""'!$C$4:$C$66""),INDIRECT(""'""&amp;DG$1&amp;""'!$D$4:$D$66"")=DG$2),$F$3:$BP$3,$F188:$BP188))),"""")"),"")</f>
        <v/>
      </c>
      <c r="DI188" s="252"/>
    </row>
    <row r="189">
      <c r="A189" s="2"/>
      <c r="B189" s="204" t="s">
        <v>630</v>
      </c>
      <c r="C189" s="204" t="s">
        <v>634</v>
      </c>
      <c r="D189" s="205" t="b">
        <f>VLOOKUP(C189,'Feature Set List'!A186:C246,2,0)</f>
        <v>1</v>
      </c>
      <c r="E189" s="205" t="b">
        <f>VLOOKUP(C189,'Feature Set List'!A186:C246,3,0)</f>
        <v>1</v>
      </c>
      <c r="F189" s="205">
        <v>-0.3636364</v>
      </c>
      <c r="G189" s="205">
        <v>0.18181818</v>
      </c>
      <c r="H189" s="205">
        <v>-0.7272727</v>
      </c>
      <c r="I189" s="205">
        <v>1.09090909</v>
      </c>
      <c r="J189" s="205">
        <v>-1.8181818</v>
      </c>
      <c r="K189" s="205">
        <v>0.18181818</v>
      </c>
      <c r="L189" s="205">
        <v>-0.7272727</v>
      </c>
      <c r="M189" s="205">
        <v>0.36363636</v>
      </c>
      <c r="N189" s="205">
        <v>0.72727273</v>
      </c>
      <c r="O189" s="205">
        <v>-0.1818182</v>
      </c>
      <c r="P189" s="205">
        <v>-0.7272727</v>
      </c>
      <c r="Q189" s="205">
        <v>0.18181818</v>
      </c>
      <c r="R189" s="205">
        <v>1.09090909</v>
      </c>
      <c r="S189" s="205">
        <v>0.0</v>
      </c>
      <c r="T189" s="205">
        <v>0.0</v>
      </c>
      <c r="U189" s="205">
        <v>0.18181818</v>
      </c>
      <c r="V189" s="205">
        <v>0.18181818</v>
      </c>
      <c r="W189" s="205">
        <v>-0.5454545</v>
      </c>
      <c r="X189" s="205">
        <v>0.90909091</v>
      </c>
      <c r="Y189" s="205">
        <v>-0.1818182</v>
      </c>
      <c r="Z189" s="205">
        <v>0.90909091</v>
      </c>
      <c r="AA189" s="205">
        <v>-0.9090909</v>
      </c>
      <c r="AB189" s="205">
        <v>0.18181818</v>
      </c>
      <c r="AC189" s="205">
        <v>0.54545455</v>
      </c>
      <c r="AD189" s="205">
        <v>-0.7272727</v>
      </c>
      <c r="AE189" s="205">
        <v>0.90909091</v>
      </c>
      <c r="AF189" s="205">
        <v>-0.7272727</v>
      </c>
      <c r="AG189" s="205">
        <v>-0.1818182</v>
      </c>
      <c r="AH189" s="205">
        <v>-0.1818182</v>
      </c>
      <c r="AI189" s="205">
        <v>0.36363636</v>
      </c>
      <c r="AJ189" s="205">
        <v>-1.4545455</v>
      </c>
      <c r="AK189" s="205">
        <v>0.54545455</v>
      </c>
      <c r="AL189" s="205">
        <v>-0.1818182</v>
      </c>
      <c r="AM189" s="205">
        <v>-0.5454545</v>
      </c>
      <c r="AN189" s="205">
        <v>-0.1818182</v>
      </c>
      <c r="AO189" s="205">
        <v>-1.6363636</v>
      </c>
      <c r="AP189" s="205">
        <v>-0.1818182</v>
      </c>
      <c r="AQ189" s="205">
        <v>-0.7272727</v>
      </c>
      <c r="AR189" s="205">
        <v>-0.3636364</v>
      </c>
      <c r="AS189" s="205">
        <v>0.18181818</v>
      </c>
      <c r="AT189" s="205">
        <v>-2.0</v>
      </c>
      <c r="AU189" s="205">
        <v>-0.5454545</v>
      </c>
      <c r="AV189" s="205">
        <v>1.27272727</v>
      </c>
      <c r="AW189" s="205">
        <v>-0.3636364</v>
      </c>
      <c r="AX189" s="205">
        <v>0.36363636</v>
      </c>
      <c r="AY189" s="205">
        <v>0.36363636</v>
      </c>
      <c r="AZ189" s="205">
        <v>0.18181818</v>
      </c>
      <c r="BA189" s="205">
        <v>0.36363636</v>
      </c>
      <c r="BB189" s="205">
        <v>0.90909091</v>
      </c>
      <c r="BC189" s="205">
        <v>0.54545455</v>
      </c>
      <c r="BD189" s="205">
        <v>-0.3636364</v>
      </c>
      <c r="BE189" s="205">
        <v>0.0</v>
      </c>
      <c r="BF189" s="205">
        <v>1.09090909</v>
      </c>
      <c r="BG189" s="205">
        <v>0.0</v>
      </c>
      <c r="BH189" s="205">
        <v>-2.0</v>
      </c>
      <c r="BI189" s="205">
        <v>0.18181818</v>
      </c>
      <c r="BJ189" s="205">
        <v>0.54545455</v>
      </c>
      <c r="BK189" s="205">
        <v>-1.6363636</v>
      </c>
      <c r="BL189" s="205">
        <v>1.09090909</v>
      </c>
      <c r="BM189" s="205">
        <v>-0.7272727</v>
      </c>
      <c r="BN189" s="205">
        <v>-0.9090909</v>
      </c>
      <c r="BO189" s="205">
        <v>-0.3636364</v>
      </c>
      <c r="BP189" s="205">
        <v>-1.6363636</v>
      </c>
      <c r="BQ189" s="206"/>
      <c r="BR189" s="250">
        <f t="shared" si="1"/>
        <v>-0.1298701283</v>
      </c>
      <c r="BS189" s="250">
        <f t="shared" si="2"/>
        <v>0.6283240547</v>
      </c>
      <c r="BT189" s="206"/>
      <c r="BU189" s="207">
        <f>IFERROR(__xludf.DUMMYFUNCTION("AVERAGE(ARRAYFORMULA(XLOOKUP(FILTER(INDIRECT(""'""&amp;BU$1&amp;""'!$C$4:$C$66""),INDIRECT(""'""&amp;BU$1&amp;""'!$D$4:$D$66"")=BU$2),$F$3:$BP$3,$F189:$BP189)))"),-0.28571428285714284)</f>
        <v>-0.2857142829</v>
      </c>
      <c r="BV189" s="207" t="str">
        <f>IFERROR(__xludf.DUMMYFUNCTION("IF(OR(BU189&gt;$BR189+$BS189*$BS$2,BU189&lt;$BR189-$BS189*$BS$2),AVEDEV(ARRAYFORMULA(XLOOKUP(FILTER(INDIRECT(""'""&amp;BU$1&amp;""'!$C$4:$C$66""),INDIRECT(""'""&amp;BU$1&amp;""'!$D$4:$D$66"")=BU$2),$F$3:$BP$3,$F189:$BP189))),"""")"),"")</f>
        <v/>
      </c>
      <c r="BW189" s="207">
        <f>IFERROR(__xludf.DUMMYFUNCTION("AVERAGE(ARRAYFORMULA(XLOOKUP(FILTER(INDIRECT(""'""&amp;BW$1&amp;""'!$C$4:$C$66""),INDIRECT(""'""&amp;BW$1&amp;""'!$D$4:$D$66"")=BW$2),$F$3:$BP$3,$F189:$BP189)))"),-0.15584415380952377)</f>
        <v>-0.1558441538</v>
      </c>
      <c r="BX189" s="207" t="str">
        <f>IFERROR(__xludf.DUMMYFUNCTION("IF(OR(BW189&gt;$BR189+$BS189*$BS$2,BW189&lt;$BR189-$BS189*$BS$2),AVEDEV(ARRAYFORMULA(XLOOKUP(FILTER(INDIRECT(""'""&amp;BW$1&amp;""'!$C$4:$C$66""),INDIRECT(""'""&amp;BW$1&amp;""'!$D$4:$D$66"")=BW$2),$F$3:$BP$3,$F189:$BP189))),"""")"),"")</f>
        <v/>
      </c>
      <c r="BY189" s="207">
        <f>IFERROR(__xludf.DUMMYFUNCTION("AVERAGE(ARRAYFORMULA(XLOOKUP(FILTER(INDIRECT(""'""&amp;BY$1&amp;""'!$C$4:$C$66""),INDIRECT(""'""&amp;BY$1&amp;""'!$D$4:$D$66"")=BY$2),$F$3:$BP$3,$F189:$BP189)))"),0.23140495545454545)</f>
        <v>0.2314049555</v>
      </c>
      <c r="BZ189" s="207" t="str">
        <f>IFERROR(__xludf.DUMMYFUNCTION("IF(OR(BY189&gt;$BR189+$BS189*$BS$2,BY189&lt;$BR189-$BS189*$BS$2),AVEDEV(ARRAYFORMULA(XLOOKUP(FILTER(INDIRECT(""'""&amp;BY$1&amp;""'!$C$4:$C$66""),INDIRECT(""'""&amp;BY$1&amp;""'!$D$4:$D$66"")=BY$2),$F$3:$BP$3,$F189:$BP189))),"""")"),"")</f>
        <v/>
      </c>
      <c r="CA189" s="209"/>
      <c r="CB189" s="207">
        <f>IFERROR(__xludf.DUMMYFUNCTION("AVERAGE(ARRAYFORMULA(XLOOKUP(FILTER(INDIRECT(""'""&amp;CB$1&amp;""'!$C$4:$C$66""),INDIRECT(""'""&amp;CB$1&amp;""'!$D$4:$D$66"")=CB$2),$F$3:$BP$3,$F189:$BP189)))"),-0.19318181749999996)</f>
        <v>-0.1931818175</v>
      </c>
      <c r="CC189" s="207" t="str">
        <f>IFERROR(__xludf.DUMMYFUNCTION("IF(OR(CB189&gt;$BR189+$BS189*$BS$2,CB189&lt;$BR189-$BS189*$BS$2),AVEDEV(ARRAYFORMULA(XLOOKUP(FILTER(INDIRECT(""'""&amp;CB$1&amp;""'!$C$4:$C$66""),INDIRECT(""'""&amp;CB$1&amp;""'!$D$4:$D$66"")=CB$2),$F$3:$BP$3,$F189:$BP189))),"""")"),"")</f>
        <v/>
      </c>
      <c r="CD189" s="207">
        <f>IFERROR(__xludf.DUMMYFUNCTION("AVERAGE(ARRAYFORMULA(XLOOKUP(FILTER(INDIRECT(""'""&amp;CD$1&amp;""'!$C$4:$C$66""),INDIRECT(""'""&amp;CD$1&amp;""'!$D$4:$D$66"")=CD$2),$F$3:$BP$3,$F189:$BP189)))"),2.9032258138768945E-9)</f>
        <v>0.000000002903225814</v>
      </c>
      <c r="CE189" s="207" t="str">
        <f>IFERROR(__xludf.DUMMYFUNCTION("IF(OR(CD189&gt;$BR189+$BS189*$BS$2,CD189&lt;$BR189-$BS189*$BS$2),AVEDEV(ARRAYFORMULA(XLOOKUP(FILTER(INDIRECT(""'""&amp;CD$1&amp;""'!$C$4:$C$66""),INDIRECT(""'""&amp;CD$1&amp;""'!$D$4:$D$66"")=CD$2),$F$3:$BP$3,$F189:$BP189))),"""")"),"")</f>
        <v/>
      </c>
      <c r="CF189" s="207">
        <f>IFERROR(__xludf.DUMMYFUNCTION("AVERAGE(ARRAYFORMULA(XLOOKUP(FILTER(INDIRECT(""'""&amp;CF$1&amp;""'!$C$4:$C$66""),INDIRECT(""'""&amp;CF$1&amp;""'!$D$4:$D$66"")=CF$2),$F$3:$BP$3,$F189:$BP189)))"),0.145454534)</f>
        <v>0.145454534</v>
      </c>
      <c r="CG189" s="207" t="str">
        <f>IFERROR(__xludf.DUMMYFUNCTION("IF(OR(CF189&gt;$BR189+$BS189*$BS$2,CF189&lt;$BR189-$BS189*$BS$2),AVEDEV(ARRAYFORMULA(XLOOKUP(FILTER(INDIRECT(""'""&amp;CF$1&amp;""'!$C$4:$C$66""),INDIRECT(""'""&amp;CF$1&amp;""'!$D$4:$D$66"")=CF$2),$F$3:$BP$3,$F189:$BP189))),"""")"),"")</f>
        <v/>
      </c>
      <c r="CH189" s="206"/>
      <c r="CI189" s="251">
        <f>IFERROR(__xludf.DUMMYFUNCTION("AVERAGE(ARRAYFORMULA(XLOOKUP(FILTER(INDIRECT(""'""&amp;CI$1&amp;""'!$C$4:$C$66""),INDIRECT(""'""&amp;CI$1&amp;""'!$D$4:$D$66"")=CI$2),$F$3:$BP$3,$F189:$BP189)))"),-6.66666677417993E-10)</f>
        <v>-0.0000000006666666774</v>
      </c>
      <c r="CJ189" s="207" t="str">
        <f>IFERROR(__xludf.DUMMYFUNCTION("IF(OR(CI189&gt;$BR189+$BS189*$BS$2,CI189&lt;$BR189-$BS189*$BS$2),AVEDEV(ARRAYFORMULA(XLOOKUP(FILTER(INDIRECT(""'""&amp;CI$1&amp;""'!$C$4:$C$66""),INDIRECT(""'""&amp;CI$1&amp;""'!$D$4:$D$66"")=CI$2),$F$3:$BP$3,$F189:$BP189))),"""")"),"")</f>
        <v/>
      </c>
      <c r="CK189" s="251">
        <f>IFERROR(__xludf.DUMMYFUNCTION("AVERAGE(ARRAYFORMULA(XLOOKUP(FILTER(INDIRECT(""'""&amp;CK$1&amp;""'!$C$4:$C$66""),INDIRECT(""'""&amp;CK$1&amp;""'!$D$4:$D$66"")=CK$2),$F$3:$BP$3,$F189:$BP189)))"),-0.13053612794871794)</f>
        <v>-0.1305361279</v>
      </c>
      <c r="CL189" s="207" t="str">
        <f>IFERROR(__xludf.DUMMYFUNCTION("IF(OR(CK189&gt;$BR189+$BS189*$BS$2,CK189&lt;$BR189-$BS189*$BS$2),AVEDEV(ARRAYFORMULA(XLOOKUP(FILTER(INDIRECT(""'""&amp;CK$1&amp;""'!$C$4:$C$66""),INDIRECT(""'""&amp;CK$1&amp;""'!$D$4:$D$66"")=CK$2),$F$3:$BP$3,$F189:$BP189))),"""")"),"")</f>
        <v/>
      </c>
      <c r="CM189" s="251">
        <f>IFERROR(__xludf.DUMMYFUNCTION("AVERAGE(ARRAYFORMULA(XLOOKUP(FILTER(INDIRECT(""'""&amp;CM$1&amp;""'!$C$4:$C$66""),INDIRECT(""'""&amp;CM$1&amp;""'!$D$4:$D$66"")=CM$2),$F$3:$BP$3,$F189:$BP189)))"),0.145454534)</f>
        <v>0.145454534</v>
      </c>
      <c r="CN189" s="207" t="str">
        <f>IFERROR(__xludf.DUMMYFUNCTION("IF(OR(CM189&gt;$BR189+$BS189*$BS$2,CM189&lt;$BR189-$BS189*$BS$2),AVEDEV(ARRAYFORMULA(XLOOKUP(FILTER(INDIRECT(""'""&amp;CM$1&amp;""'!$C$4:$C$66""),INDIRECT(""'""&amp;CM$1&amp;""'!$D$4:$D$66"")=CM$2),$F$3:$BP$3,$F189:$BP189))),"""")"),"")</f>
        <v/>
      </c>
      <c r="CO189" s="252"/>
      <c r="CP189" s="251">
        <f>IFERROR(__xludf.DUMMYFUNCTION("AVERAGE(ARRAYFORMULA(XLOOKUP(FILTER(INDIRECT(""'""&amp;CP$1&amp;""'!$C$4:$C$66""),INDIRECT(""'""&amp;CP$1&amp;""'!$D$4:$D$66"")=CP$2),$F$3:$BP$3,$F189:$BP189)))"),-0.051948051428571416)</f>
        <v>-0.05194805143</v>
      </c>
      <c r="CQ189" s="207" t="str">
        <f>IFERROR(__xludf.DUMMYFUNCTION("IF(OR(CP189&gt;$BR189+$BS189*$BS$2,CP189&lt;$BR189-$BS189*$BS$2),AVEDEV(ARRAYFORMULA(XLOOKUP(FILTER(INDIRECT(""'""&amp;CP$1&amp;""'!$C$4:$C$66""),INDIRECT(""'""&amp;CP$1&amp;""'!$D$4:$D$66"")=CP$2),$F$3:$BP$3,$F189:$BP189))),"""")"),"")</f>
        <v/>
      </c>
      <c r="CR189" s="251">
        <f>IFERROR(__xludf.DUMMYFUNCTION("AVERAGE(ARRAYFORMULA(XLOOKUP(FILTER(INDIRECT(""'""&amp;CR$1&amp;""'!$C$4:$C$66""),INDIRECT(""'""&amp;CR$1&amp;""'!$D$4:$D$66"")=CR$2),$F$3:$BP$3,$F189:$BP189)))"),0.12121211777777775)</f>
        <v>0.1212121178</v>
      </c>
      <c r="CS189" s="207" t="str">
        <f>IFERROR(__xludf.DUMMYFUNCTION("IF(OR(CR189&gt;$BR189+$BS189*$BS$2,CR189&lt;$BR189-$BS189*$BS$2),AVEDEV(ARRAYFORMULA(XLOOKUP(FILTER(INDIRECT(""'""&amp;CR$1&amp;""'!$C$4:$C$66""),INDIRECT(""'""&amp;CR$1&amp;""'!$D$4:$D$66"")=CR$2),$F$3:$BP$3,$F189:$BP189))),"""")"),"")</f>
        <v/>
      </c>
      <c r="CT189" s="251">
        <f>IFERROR(__xludf.DUMMYFUNCTION("AVERAGE(ARRAYFORMULA(XLOOKUP(FILTER(INDIRECT(""'""&amp;CT$1&amp;""'!$C$4:$C$66""),INDIRECT(""'""&amp;CT$1&amp;""'!$D$4:$D$66"")=CT$2),$F$3:$BP$3,$F189:$BP189)))"),0.09917355545454544)</f>
        <v>0.09917355545</v>
      </c>
      <c r="CU189" s="207" t="str">
        <f>IFERROR(__xludf.DUMMYFUNCTION("IF(OR(CT189&gt;$BR189+$BS189*$BS$2,CT189&lt;$BR189-$BS189*$BS$2),AVEDEV(ARRAYFORMULA(XLOOKUP(FILTER(INDIRECT(""'""&amp;CT$1&amp;""'!$C$4:$C$66""),INDIRECT(""'""&amp;CT$1&amp;""'!$D$4:$D$66"")=CT$2),$F$3:$BP$3,$F189:$BP189))),"""")"),"")</f>
        <v/>
      </c>
      <c r="CV189" s="251">
        <f>IFERROR(__xludf.DUMMYFUNCTION("AVERAGE(ARRAYFORMULA(XLOOKUP(FILTER(INDIRECT(""'""&amp;CV$1&amp;""'!$C$4:$C$66""),INDIRECT(""'""&amp;CV$1&amp;""'!$D$4:$D$66"")=CV$2),$F$3:$BP$3,$F189:$BP189)))"),0.272727275)</f>
        <v>0.272727275</v>
      </c>
      <c r="CW189" s="207" t="str">
        <f>IFERROR(__xludf.DUMMYFUNCTION("IF(OR(CV189&gt;$BR189+$BS189*$BS$2,CV189&lt;$BR189-$BS189*$BS$2),AVEDEV(ARRAYFORMULA(XLOOKUP(FILTER(INDIRECT(""'""&amp;CV$1&amp;""'!$C$4:$C$66""),INDIRECT(""'""&amp;CV$1&amp;""'!$D$4:$D$66"")=CV$2),$F$3:$BP$3,$F189:$BP189))),"""")"),"")</f>
        <v/>
      </c>
      <c r="CX189" s="251">
        <f>IFERROR(__xludf.DUMMYFUNCTION("AVERAGE(ARRAYFORMULA(XLOOKUP(FILTER(INDIRECT(""'""&amp;CX$1&amp;""'!$C$4:$C$66""),INDIRECT(""'""&amp;CX$1&amp;""'!$D$4:$D$66"")=CX$2),$F$3:$BP$3,$F189:$BP189)))"),-0.35064934571428574)</f>
        <v>-0.3506493457</v>
      </c>
      <c r="CY189" s="207" t="str">
        <f>IFERROR(__xludf.DUMMYFUNCTION("IF(OR(CX189&gt;$BR189+$BS189*$BS$2,CX189&lt;$BR189-$BS189*$BS$2),AVEDEV(ARRAYFORMULA(XLOOKUP(FILTER(INDIRECT(""'""&amp;CX$1&amp;""'!$C$4:$C$66""),INDIRECT(""'""&amp;CX$1&amp;""'!$D$4:$D$66"")=CX$2),$F$3:$BP$3,$F189:$BP189))),"""")"),"")</f>
        <v/>
      </c>
      <c r="CZ189" s="252"/>
      <c r="DA189" s="251">
        <f>IFERROR(__xludf.DUMMYFUNCTION("AVERAGE(ARRAYFORMULA(XLOOKUP(FILTER(INDIRECT(""'""&amp;DA$1&amp;""'!$C$4:$C$66""),INDIRECT(""'""&amp;DA$1&amp;""'!$D$4:$D$66"")=DA$2),$F$3:$BP$3,$F189:$BP189)))"),-0.27272727300000005)</f>
        <v>-0.272727273</v>
      </c>
      <c r="DB189" s="207" t="str">
        <f>IFERROR(__xludf.DUMMYFUNCTION("IF(OR(DA189&gt;$BR189+$BS189*$BS$2,DA189&lt;$BR189-$BS189*$BS$2),AVEDEV(ARRAYFORMULA(XLOOKUP(FILTER(INDIRECT(""'""&amp;DA$1&amp;""'!$C$4:$C$66""),INDIRECT(""'""&amp;DA$1&amp;""'!$D$4:$D$66"")=DA$2),$F$3:$BP$3,$F189:$BP189))),"""")"),"")</f>
        <v/>
      </c>
      <c r="DC189" s="251">
        <f>IFERROR(__xludf.DUMMYFUNCTION("AVERAGE(ARRAYFORMULA(XLOOKUP(FILTER(INDIRECT(""'""&amp;DC$1&amp;""'!$C$4:$C$66""),INDIRECT(""'""&amp;DC$1&amp;""'!$D$4:$D$66"")=DC$2),$F$3:$BP$3,$F189:$BP189)))"),-0.020202018888888895)</f>
        <v>-0.02020201889</v>
      </c>
      <c r="DD189" s="207" t="str">
        <f>IFERROR(__xludf.DUMMYFUNCTION("IF(OR(DC189&gt;$BR189+$BS189*$BS$2,DC189&lt;$BR189-$BS189*$BS$2),AVEDEV(ARRAYFORMULA(XLOOKUP(FILTER(INDIRECT(""'""&amp;DC$1&amp;""'!$C$4:$C$66""),INDIRECT(""'""&amp;DC$1&amp;""'!$D$4:$D$66"")=DC$2),$F$3:$BP$3,$F189:$BP189))),"""")"),"")</f>
        <v/>
      </c>
      <c r="DE189" s="251">
        <f>IFERROR(__xludf.DUMMYFUNCTION("AVERAGE(ARRAYFORMULA(XLOOKUP(FILTER(INDIRECT(""'""&amp;DE$1&amp;""'!$C$4:$C$66""),INDIRECT(""'""&amp;DE$1&amp;""'!$D$4:$D$66"")=DE$2),$F$3:$BP$3,$F189:$BP189)))"),0.49999999875)</f>
        <v>0.4999999988</v>
      </c>
      <c r="DF189" s="207">
        <f>IFERROR(__xludf.DUMMYFUNCTION("IF(OR(DE189&gt;$BR189+$BS189*$BS$2,DE189&lt;$BR189-$BS189*$BS$2),AVEDEV(ARRAYFORMULA(XLOOKUP(FILTER(INDIRECT(""'""&amp;DE$1&amp;""'!$C$4:$C$66""),INDIRECT(""'""&amp;DE$1&amp;""'!$D$4:$D$66"")=DE$2),$F$3:$BP$3,$F189:$BP189))),"""")"),0.3068181834375)</f>
        <v>0.3068181834</v>
      </c>
      <c r="DG189" s="251">
        <f>IFERROR(__xludf.DUMMYFUNCTION("AVERAGE(ARRAYFORMULA(XLOOKUP(FILTER(INDIRECT(""'""&amp;DG$1&amp;""'!$C$4:$C$66""),INDIRECT(""'""&amp;DG$1&amp;""'!$D$4:$D$66"")=DG$2),$F$3:$BP$3,$F189:$BP189)))"),0.16161615999999998)</f>
        <v>0.16161616</v>
      </c>
      <c r="DH189" s="207" t="str">
        <f>IFERROR(__xludf.DUMMYFUNCTION("IF(OR(DG189&gt;$BR189+$BS189*$BS$2,DG189&lt;$BR189-$BS189*$BS$2),AVEDEV(ARRAYFORMULA(XLOOKUP(FILTER(INDIRECT(""'""&amp;DG$1&amp;""'!$C$4:$C$66""),INDIRECT(""'""&amp;DG$1&amp;""'!$D$4:$D$66"")=DG$2),$F$3:$BP$3,$F189:$BP189))),"""")"),"")</f>
        <v/>
      </c>
      <c r="DI189" s="252"/>
    </row>
    <row r="190">
      <c r="A190" s="2"/>
      <c r="B190" s="204" t="s">
        <v>630</v>
      </c>
      <c r="C190" s="204" t="s">
        <v>635</v>
      </c>
      <c r="D190" s="205" t="b">
        <f>VLOOKUP(C190,'Feature Set List'!A187:C246,2,0)</f>
        <v>1</v>
      </c>
      <c r="E190" s="205" t="b">
        <f>VLOOKUP(C190,'Feature Set List'!A187:C246,3,0)</f>
        <v>1</v>
      </c>
      <c r="F190" s="205">
        <v>1.5797453</v>
      </c>
      <c r="G190" s="205">
        <v>0.8835658</v>
      </c>
      <c r="H190" s="205">
        <v>0.88174651</v>
      </c>
      <c r="I190" s="205">
        <v>-0.349909</v>
      </c>
      <c r="J190" s="205">
        <v>-1.4907823</v>
      </c>
      <c r="K190" s="205">
        <v>-0.3165555</v>
      </c>
      <c r="L190" s="205">
        <v>-0.447544</v>
      </c>
      <c r="M190" s="205">
        <v>-0.3159491</v>
      </c>
      <c r="N190" s="205">
        <v>-0.7992723</v>
      </c>
      <c r="O190" s="205">
        <v>0.12310491</v>
      </c>
      <c r="P190" s="205">
        <v>0.3856883</v>
      </c>
      <c r="Q190" s="205">
        <v>-0.4311704</v>
      </c>
      <c r="R190" s="205">
        <v>-0.3850819</v>
      </c>
      <c r="S190" s="205">
        <v>0.11218921</v>
      </c>
      <c r="T190" s="205">
        <v>0.38204973</v>
      </c>
      <c r="U190" s="205">
        <v>-0.5051546</v>
      </c>
      <c r="V190" s="205">
        <v>-0.3608247</v>
      </c>
      <c r="W190" s="205">
        <v>0.29472408</v>
      </c>
      <c r="X190" s="205">
        <v>0.77198302</v>
      </c>
      <c r="Y190" s="205">
        <v>1.30442693</v>
      </c>
      <c r="Z190" s="205">
        <v>0.16858702</v>
      </c>
      <c r="AA190" s="205">
        <v>0.28138266</v>
      </c>
      <c r="AB190" s="205">
        <v>0.12734991</v>
      </c>
      <c r="AC190" s="205">
        <v>1.88417223</v>
      </c>
      <c r="AD190" s="205">
        <v>-0.1024864</v>
      </c>
      <c r="AE190" s="205">
        <v>-0.5045482</v>
      </c>
      <c r="AF190" s="205">
        <v>1.1055185</v>
      </c>
      <c r="AG190" s="205">
        <v>-0.0430564</v>
      </c>
      <c r="AH190" s="205">
        <v>-0.2007277</v>
      </c>
      <c r="AI190" s="205">
        <v>2.14857489</v>
      </c>
      <c r="AJ190" s="205">
        <v>-1.6662583</v>
      </c>
      <c r="AK190" s="205">
        <v>0.04730139</v>
      </c>
      <c r="AL190" s="205">
        <v>0.47907823</v>
      </c>
      <c r="AM190" s="205">
        <v>0.38508187</v>
      </c>
      <c r="AN190" s="205">
        <v>-0.468769</v>
      </c>
      <c r="AO190" s="205">
        <v>-1.6737174</v>
      </c>
      <c r="AP190" s="205">
        <v>-0.3141298</v>
      </c>
      <c r="AQ190" s="205">
        <v>-0.1934506</v>
      </c>
      <c r="AR190" s="205">
        <v>0.0</v>
      </c>
      <c r="AS190" s="205">
        <v>0.4548211</v>
      </c>
      <c r="AT190" s="205">
        <v>-1.6882959</v>
      </c>
      <c r="AU190" s="205">
        <v>1.27713766</v>
      </c>
      <c r="AV190" s="205">
        <v>0.46634324</v>
      </c>
      <c r="AW190" s="205">
        <v>-0.5003032</v>
      </c>
      <c r="AX190" s="205">
        <v>0.64766525</v>
      </c>
      <c r="AY190" s="205">
        <v>-0.0830807</v>
      </c>
      <c r="AZ190" s="205">
        <v>-0.2807762</v>
      </c>
      <c r="BA190" s="205">
        <v>0.93935719</v>
      </c>
      <c r="BB190" s="205">
        <v>-0.3305033</v>
      </c>
      <c r="BC190" s="205">
        <v>0.24984839</v>
      </c>
      <c r="BD190" s="205">
        <v>0.60824742</v>
      </c>
      <c r="BE190" s="205">
        <v>1.37659187</v>
      </c>
      <c r="BF190" s="205">
        <v>-0.4123711</v>
      </c>
      <c r="BG190" s="205">
        <v>2.22922984</v>
      </c>
      <c r="BH190" s="205">
        <v>-1.6882959</v>
      </c>
      <c r="BI190" s="205">
        <v>-0.4372347</v>
      </c>
      <c r="BJ190" s="205">
        <v>-0.3596119</v>
      </c>
      <c r="BK190" s="205">
        <v>1.58156458</v>
      </c>
      <c r="BL190" s="205">
        <v>0.64584597</v>
      </c>
      <c r="BM190" s="205">
        <v>-0.3232262</v>
      </c>
      <c r="BN190" s="205">
        <v>1.60097029</v>
      </c>
      <c r="BO190" s="205">
        <v>-0.0072771</v>
      </c>
      <c r="BP190" s="205">
        <v>-0.7180109</v>
      </c>
      <c r="BQ190" s="206"/>
      <c r="BR190" s="250">
        <f t="shared" si="1"/>
        <v>0.127389184</v>
      </c>
      <c r="BS190" s="250">
        <f t="shared" si="2"/>
        <v>0.6849028541</v>
      </c>
      <c r="BT190" s="206"/>
      <c r="BU190" s="207">
        <f>IFERROR(__xludf.DUMMYFUNCTION("AVERAGE(ARRAYFORMULA(XLOOKUP(FILTER(INDIRECT(""'""&amp;BU$1&amp;""'!$C$4:$C$66""),INDIRECT(""'""&amp;BU$1&amp;""'!$D$4:$D$66"")=BU$2),$F$3:$BP$3,$F190:$BP190)))"),0.5692627499999999)</f>
        <v>0.56926275</v>
      </c>
      <c r="BV190" s="207" t="str">
        <f>IFERROR(__xludf.DUMMYFUNCTION("IF(OR(BU190&gt;$BR190+$BS190*$BS$2,BU190&lt;$BR190-$BS190*$BS$2),AVEDEV(ARRAYFORMULA(XLOOKUP(FILTER(INDIRECT(""'""&amp;BU$1&amp;""'!$C$4:$C$66""),INDIRECT(""'""&amp;BU$1&amp;""'!$D$4:$D$66"")=BU$2),$F$3:$BP$3,$F190:$BP190))),"""")"),"")</f>
        <v/>
      </c>
      <c r="BW190" s="207">
        <f>IFERROR(__xludf.DUMMYFUNCTION("AVERAGE(ARRAYFORMULA(XLOOKUP(FILTER(INDIRECT(""'""&amp;BW$1&amp;""'!$C$4:$C$66""),INDIRECT(""'""&amp;BW$1&amp;""'!$D$4:$D$66"")=BW$2),$F$3:$BP$3,$F190:$BP190)))"),0.0799486007142857)</f>
        <v>0.07994860071</v>
      </c>
      <c r="BX190" s="207" t="str">
        <f>IFERROR(__xludf.DUMMYFUNCTION("IF(OR(BW190&gt;$BR190+$BS190*$BS$2,BW190&lt;$BR190-$BS190*$BS$2),AVEDEV(ARRAYFORMULA(XLOOKUP(FILTER(INDIRECT(""'""&amp;BW$1&amp;""'!$C$4:$C$66""),INDIRECT(""'""&amp;BW$1&amp;""'!$D$4:$D$66"")=BW$2),$F$3:$BP$3,$F190:$BP190))),"""")"),"")</f>
        <v/>
      </c>
      <c r="BY190" s="207">
        <f>IFERROR(__xludf.DUMMYFUNCTION("AVERAGE(ARRAYFORMULA(XLOOKUP(FILTER(INDIRECT(""'""&amp;BY$1&amp;""'!$C$4:$C$66""),INDIRECT(""'""&amp;BY$1&amp;""'!$D$4:$D$66"")=BY$2),$F$3:$BP$3,$F190:$BP190)))"),0.11268537363636363)</f>
        <v>0.1126853736</v>
      </c>
      <c r="BZ190" s="207" t="str">
        <f>IFERROR(__xludf.DUMMYFUNCTION("IF(OR(BY190&gt;$BR190+$BS190*$BS$2,BY190&lt;$BR190-$BS190*$BS$2),AVEDEV(ARRAYFORMULA(XLOOKUP(FILTER(INDIRECT(""'""&amp;BY$1&amp;""'!$C$4:$C$66""),INDIRECT(""'""&amp;BY$1&amp;""'!$D$4:$D$66"")=BY$2),$F$3:$BP$3,$F190:$BP190))),"""")"),"")</f>
        <v/>
      </c>
      <c r="CA190" s="209"/>
      <c r="CB190" s="207">
        <f>IFERROR(__xludf.DUMMYFUNCTION("AVERAGE(ARRAYFORMULA(XLOOKUP(FILTER(INDIRECT(""'""&amp;CB$1&amp;""'!$C$4:$C$66""),INDIRECT(""'""&amp;CB$1&amp;""'!$D$4:$D$66"")=CB$2),$F$3:$BP$3,$F190:$BP190)))"),-0.06317919812500003)</f>
        <v>-0.06317919813</v>
      </c>
      <c r="CC190" s="207" t="str">
        <f>IFERROR(__xludf.DUMMYFUNCTION("IF(OR(CB190&gt;$BR190+$BS190*$BS$2,CB190&lt;$BR190-$BS190*$BS$2),AVEDEV(ARRAYFORMULA(XLOOKUP(FILTER(INDIRECT(""'""&amp;CB$1&amp;""'!$C$4:$C$66""),INDIRECT(""'""&amp;CB$1&amp;""'!$D$4:$D$66"")=CB$2),$F$3:$BP$3,$F190:$BP190))),"""")"),"")</f>
        <v/>
      </c>
      <c r="CD190" s="207">
        <f>IFERROR(__xludf.DUMMYFUNCTION("AVERAGE(ARRAYFORMULA(XLOOKUP(FILTER(INDIRECT(""'""&amp;CD$1&amp;""'!$C$4:$C$66""),INDIRECT(""'""&amp;CD$1&amp;""'!$D$4:$D$66"")=CD$2),$F$3:$BP$3,$F190:$BP190)))"),0.17776169419354837)</f>
        <v>0.1777616942</v>
      </c>
      <c r="CE190" s="207" t="str">
        <f>IFERROR(__xludf.DUMMYFUNCTION("IF(OR(CD190&gt;$BR190+$BS190*$BS$2,CD190&lt;$BR190-$BS190*$BS$2),AVEDEV(ARRAYFORMULA(XLOOKUP(FILTER(INDIRECT(""'""&amp;CD$1&amp;""'!$C$4:$C$66""),INDIRECT(""'""&amp;CD$1&amp;""'!$D$4:$D$66"")=CD$2),$F$3:$BP$3,$F190:$BP190))),"""")"),"")</f>
        <v/>
      </c>
      <c r="CF190" s="207">
        <f>IFERROR(__xludf.DUMMYFUNCTION("AVERAGE(ARRAYFORMULA(XLOOKUP(FILTER(INDIRECT(""'""&amp;CF$1&amp;""'!$C$4:$C$66""),INDIRECT(""'""&amp;CF$1&amp;""'!$D$4:$D$66"")=CF$2),$F$3:$BP$3,$F190:$BP190)))"),-0.091570636)</f>
        <v>-0.091570636</v>
      </c>
      <c r="CG190" s="207" t="str">
        <f>IFERROR(__xludf.DUMMYFUNCTION("IF(OR(CF190&gt;$BR190+$BS190*$BS$2,CF190&lt;$BR190-$BS190*$BS$2),AVEDEV(ARRAYFORMULA(XLOOKUP(FILTER(INDIRECT(""'""&amp;CF$1&amp;""'!$C$4:$C$66""),INDIRECT(""'""&amp;CF$1&amp;""'!$D$4:$D$66"")=CF$2),$F$3:$BP$3,$F190:$BP190))),"""")"),"")</f>
        <v/>
      </c>
      <c r="CH190" s="206"/>
      <c r="CI190" s="251">
        <f>IFERROR(__xludf.DUMMYFUNCTION("AVERAGE(ARRAYFORMULA(XLOOKUP(FILTER(INDIRECT(""'""&amp;CI$1&amp;""'!$C$4:$C$66""),INDIRECT(""'""&amp;CI$1&amp;""'!$D$4:$D$66"")=CI$2),$F$3:$BP$3,$F190:$BP190)))"),0.4929047860000001)</f>
        <v>0.492904786</v>
      </c>
      <c r="CJ190" s="207" t="str">
        <f>IFERROR(__xludf.DUMMYFUNCTION("IF(OR(CI190&gt;$BR190+$BS190*$BS$2,CI190&lt;$BR190-$BS190*$BS$2),AVEDEV(ARRAYFORMULA(XLOOKUP(FILTER(INDIRECT(""'""&amp;CI$1&amp;""'!$C$4:$C$66""),INDIRECT(""'""&amp;CI$1&amp;""'!$D$4:$D$66"")=CI$2),$F$3:$BP$3,$F190:$BP190))),"""")"),"")</f>
        <v/>
      </c>
      <c r="CK190" s="251">
        <f>IFERROR(__xludf.DUMMYFUNCTION("AVERAGE(ARRAYFORMULA(XLOOKUP(FILTER(INDIRECT(""'""&amp;CK$1&amp;""'!$C$4:$C$66""),INDIRECT(""'""&amp;CK$1&amp;""'!$D$4:$D$66"")=CK$2),$F$3:$BP$3,$F190:$BP190)))"),0.0016650358974359119)</f>
        <v>0.001665035897</v>
      </c>
      <c r="CL190" s="207" t="str">
        <f>IFERROR(__xludf.DUMMYFUNCTION("IF(OR(CK190&gt;$BR190+$BS190*$BS$2,CK190&lt;$BR190-$BS190*$BS$2),AVEDEV(ARRAYFORMULA(XLOOKUP(FILTER(INDIRECT(""'""&amp;CK$1&amp;""'!$C$4:$C$66""),INDIRECT(""'""&amp;CK$1&amp;""'!$D$4:$D$66"")=CK$2),$F$3:$BP$3,$F190:$BP190))),"""")"),"")</f>
        <v/>
      </c>
      <c r="CM190" s="251">
        <f>IFERROR(__xludf.DUMMYFUNCTION("AVERAGE(ARRAYFORMULA(XLOOKUP(FILTER(INDIRECT(""'""&amp;CM$1&amp;""'!$C$4:$C$66""),INDIRECT(""'""&amp;CM$1&amp;""'!$D$4:$D$66"")=CM$2),$F$3:$BP$3,$F190:$BP190)))"),-0.091570636)</f>
        <v>-0.091570636</v>
      </c>
      <c r="CN190" s="207" t="str">
        <f>IFERROR(__xludf.DUMMYFUNCTION("IF(OR(CM190&gt;$BR190+$BS190*$BS$2,CM190&lt;$BR190-$BS190*$BS$2),AVEDEV(ARRAYFORMULA(XLOOKUP(FILTER(INDIRECT(""'""&amp;CM$1&amp;""'!$C$4:$C$66""),INDIRECT(""'""&amp;CM$1&amp;""'!$D$4:$D$66"")=CM$2),$F$3:$BP$3,$F190:$BP190))),"""")"),"")</f>
        <v/>
      </c>
      <c r="CO190" s="252"/>
      <c r="CP190" s="251">
        <f>IFERROR(__xludf.DUMMYFUNCTION("AVERAGE(ARRAYFORMULA(XLOOKUP(FILTER(INDIRECT(""'""&amp;CP$1&amp;""'!$C$4:$C$66""),INDIRECT(""'""&amp;CP$1&amp;""'!$D$4:$D$66"")=CP$2),$F$3:$BP$3,$F190:$BP190)))"),-0.11490167142857148)</f>
        <v>-0.1149016714</v>
      </c>
      <c r="CQ190" s="207" t="str">
        <f>IFERROR(__xludf.DUMMYFUNCTION("IF(OR(CP190&gt;$BR190+$BS190*$BS$2,CP190&lt;$BR190-$BS190*$BS$2),AVEDEV(ARRAYFORMULA(XLOOKUP(FILTER(INDIRECT(""'""&amp;CP$1&amp;""'!$C$4:$C$66""),INDIRECT(""'""&amp;CP$1&amp;""'!$D$4:$D$66"")=CP$2),$F$3:$BP$3,$F190:$BP190))),"""")"),"")</f>
        <v/>
      </c>
      <c r="CR190" s="251">
        <f>IFERROR(__xludf.DUMMYFUNCTION("AVERAGE(ARRAYFORMULA(XLOOKUP(FILTER(INDIRECT(""'""&amp;CR$1&amp;""'!$C$4:$C$66""),INDIRECT(""'""&amp;CR$1&amp;""'!$D$4:$D$66"")=CR$2),$F$3:$BP$3,$F190:$BP190)))"),0.0751970933333333)</f>
        <v>0.07519709333</v>
      </c>
      <c r="CS190" s="207" t="str">
        <f>IFERROR(__xludf.DUMMYFUNCTION("IF(OR(CR190&gt;$BR190+$BS190*$BS$2,CR190&lt;$BR190-$BS190*$BS$2),AVEDEV(ARRAYFORMULA(XLOOKUP(FILTER(INDIRECT(""'""&amp;CR$1&amp;""'!$C$4:$C$66""),INDIRECT(""'""&amp;CR$1&amp;""'!$D$4:$D$66"")=CR$2),$F$3:$BP$3,$F190:$BP190))),"""")"),"")</f>
        <v/>
      </c>
      <c r="CT190" s="251">
        <f>IFERROR(__xludf.DUMMYFUNCTION("AVERAGE(ARRAYFORMULA(XLOOKUP(FILTER(INDIRECT(""'""&amp;CT$1&amp;""'!$C$4:$C$66""),INDIRECT(""'""&amp;CT$1&amp;""'!$D$4:$D$66"")=CT$2),$F$3:$BP$3,$F190:$BP190)))"),0.3150669790909091)</f>
        <v>0.3150669791</v>
      </c>
      <c r="CU190" s="207" t="str">
        <f>IFERROR(__xludf.DUMMYFUNCTION("IF(OR(CT190&gt;$BR190+$BS190*$BS$2,CT190&lt;$BR190-$BS190*$BS$2),AVEDEV(ARRAYFORMULA(XLOOKUP(FILTER(INDIRECT(""'""&amp;CT$1&amp;""'!$C$4:$C$66""),INDIRECT(""'""&amp;CT$1&amp;""'!$D$4:$D$66"")=CT$2),$F$3:$BP$3,$F190:$BP190))),"""")"),"")</f>
        <v/>
      </c>
      <c r="CV190" s="251">
        <f>IFERROR(__xludf.DUMMYFUNCTION("AVERAGE(ARRAYFORMULA(XLOOKUP(FILTER(INDIRECT(""'""&amp;CV$1&amp;""'!$C$4:$C$66""),INDIRECT(""'""&amp;CV$1&amp;""'!$D$4:$D$66"")=CV$2),$F$3:$BP$3,$F190:$BP190)))"),2.0567010349999997)</f>
        <v>2.056701035</v>
      </c>
      <c r="CW190" s="207">
        <f>IFERROR(__xludf.DUMMYFUNCTION("IF(OR(CV190&gt;$BR190+$BS190*$BS$2,CV190&lt;$BR190-$BS190*$BS$2),AVEDEV(ARRAYFORMULA(XLOOKUP(FILTER(INDIRECT(""'""&amp;CV$1&amp;""'!$C$4:$C$66""),INDIRECT(""'""&amp;CV$1&amp;""'!$D$4:$D$66"")=CV$2),$F$3:$BP$3,$F190:$BP190))),"""")"),0.172528805)</f>
        <v>0.172528805</v>
      </c>
      <c r="CX190" s="251">
        <f>IFERROR(__xludf.DUMMYFUNCTION("AVERAGE(ARRAYFORMULA(XLOOKUP(FILTER(INDIRECT(""'""&amp;CX$1&amp;""'!$C$4:$C$66""),INDIRECT(""'""&amp;CX$1&amp;""'!$D$4:$D$66"")=CX$2),$F$3:$BP$3,$F190:$BP190)))"),-0.08606947214285711)</f>
        <v>-0.08606947214</v>
      </c>
      <c r="CY190" s="207" t="str">
        <f>IFERROR(__xludf.DUMMYFUNCTION("IF(OR(CX190&gt;$BR190+$BS190*$BS$2,CX190&lt;$BR190-$BS190*$BS$2),AVEDEV(ARRAYFORMULA(XLOOKUP(FILTER(INDIRECT(""'""&amp;CX$1&amp;""'!$C$4:$C$66""),INDIRECT(""'""&amp;CX$1&amp;""'!$D$4:$D$66"")=CX$2),$F$3:$BP$3,$F190:$BP190))),"""")"),"")</f>
        <v/>
      </c>
      <c r="CZ190" s="252"/>
      <c r="DA190" s="251">
        <f>IFERROR(__xludf.DUMMYFUNCTION("AVERAGE(ARRAYFORMULA(XLOOKUP(FILTER(INDIRECT(""'""&amp;DA$1&amp;""'!$C$4:$C$66""),INDIRECT(""'""&amp;DA$1&amp;""'!$D$4:$D$66"")=DA$2),$F$3:$BP$3,$F190:$BP190)))"),-0.10721487200000006)</f>
        <v>-0.107214872</v>
      </c>
      <c r="DB190" s="207" t="str">
        <f>IFERROR(__xludf.DUMMYFUNCTION("IF(OR(DA190&gt;$BR190+$BS190*$BS$2,DA190&lt;$BR190-$BS190*$BS$2),AVEDEV(ARRAYFORMULA(XLOOKUP(FILTER(INDIRECT(""'""&amp;DA$1&amp;""'!$C$4:$C$66""),INDIRECT(""'""&amp;DA$1&amp;""'!$D$4:$D$66"")=DA$2),$F$3:$BP$3,$F190:$BP190))),"""")"),"")</f>
        <v/>
      </c>
      <c r="DC190" s="251">
        <f>IFERROR(__xludf.DUMMYFUNCTION("AVERAGE(ARRAYFORMULA(XLOOKUP(FILTER(INDIRECT(""'""&amp;DC$1&amp;""'!$C$4:$C$66""),INDIRECT(""'""&amp;DC$1&amp;""'!$D$4:$D$66"")=DC$2),$F$3:$BP$3,$F190:$BP190)))"),0.2591469611111111)</f>
        <v>0.2591469611</v>
      </c>
      <c r="DD190" s="207" t="str">
        <f>IFERROR(__xludf.DUMMYFUNCTION("IF(OR(DC190&gt;$BR190+$BS190*$BS$2,DC190&lt;$BR190-$BS190*$BS$2),AVEDEV(ARRAYFORMULA(XLOOKUP(FILTER(INDIRECT(""'""&amp;DC$1&amp;""'!$C$4:$C$66""),INDIRECT(""'""&amp;DC$1&amp;""'!$D$4:$D$66"")=DC$2),$F$3:$BP$3,$F190:$BP190))),"""")"),"")</f>
        <v/>
      </c>
      <c r="DE190" s="251">
        <f>IFERROR(__xludf.DUMMYFUNCTION("AVERAGE(ARRAYFORMULA(XLOOKUP(FILTER(INDIRECT(""'""&amp;DE$1&amp;""'!$C$4:$C$66""),INDIRECT(""'""&amp;DE$1&amp;""'!$D$4:$D$66"")=DE$2),$F$3:$BP$3,$F190:$BP190)))"),0.20603394874999995)</f>
        <v>0.2060339488</v>
      </c>
      <c r="DF190" s="207" t="str">
        <f>IFERROR(__xludf.DUMMYFUNCTION("IF(OR(DE190&gt;$BR190+$BS190*$BS$2,DE190&lt;$BR190-$BS190*$BS$2),AVEDEV(ARRAYFORMULA(XLOOKUP(FILTER(INDIRECT(""'""&amp;DE$1&amp;""'!$C$4:$C$66""),INDIRECT(""'""&amp;DE$1&amp;""'!$D$4:$D$66"")=DE$2),$F$3:$BP$3,$F190:$BP190))),"""")"),"")</f>
        <v/>
      </c>
      <c r="DG190" s="251">
        <f>IFERROR(__xludf.DUMMYFUNCTION("AVERAGE(ARRAYFORMULA(XLOOKUP(FILTER(INDIRECT(""'""&amp;DG$1&amp;""'!$C$4:$C$66""),INDIRECT(""'""&amp;DG$1&amp;""'!$D$4:$D$66"")=DG$2),$F$3:$BP$3,$F190:$BP190)))"),0.73377805)</f>
        <v>0.73377805</v>
      </c>
      <c r="DH190" s="207" t="str">
        <f>IFERROR(__xludf.DUMMYFUNCTION("IF(OR(DG190&gt;$BR190+$BS190*$BS$2,DG190&lt;$BR190-$BS190*$BS$2),AVEDEV(ARRAYFORMULA(XLOOKUP(FILTER(INDIRECT(""'""&amp;DG$1&amp;""'!$C$4:$C$66""),INDIRECT(""'""&amp;DG$1&amp;""'!$D$4:$D$66"")=DG$2),$F$3:$BP$3,$F190:$BP190))),"""")"),"")</f>
        <v/>
      </c>
      <c r="DI190" s="252"/>
    </row>
    <row r="191">
      <c r="A191" s="2"/>
      <c r="B191" s="204" t="s">
        <v>630</v>
      </c>
      <c r="C191" s="204" t="s">
        <v>636</v>
      </c>
      <c r="D191" s="205" t="b">
        <f>VLOOKUP(C191,'Feature Set List'!A188:C246,2,0)</f>
        <v>1</v>
      </c>
      <c r="E191" s="205" t="b">
        <f>VLOOKUP(C191,'Feature Set List'!A188:C246,3,0)</f>
        <v>1</v>
      </c>
      <c r="F191" s="205">
        <v>-0.244012</v>
      </c>
      <c r="G191" s="205">
        <v>0.10751463</v>
      </c>
      <c r="H191" s="205">
        <v>-0.244012</v>
      </c>
      <c r="I191" s="205">
        <v>0.72039234</v>
      </c>
      <c r="J191" s="205">
        <v>-0.244012</v>
      </c>
      <c r="K191" s="205">
        <v>0.98965354</v>
      </c>
      <c r="L191" s="205">
        <v>-0.244012</v>
      </c>
      <c r="M191" s="205">
        <v>0.55016611</v>
      </c>
      <c r="N191" s="205">
        <v>0.36696725</v>
      </c>
      <c r="O191" s="205">
        <v>1.0772979</v>
      </c>
      <c r="P191" s="205">
        <v>-0.244012</v>
      </c>
      <c r="Q191" s="205">
        <v>-0.244012</v>
      </c>
      <c r="R191" s="205">
        <v>-0.2391457</v>
      </c>
      <c r="S191" s="205">
        <v>0.42771713</v>
      </c>
      <c r="T191" s="205">
        <v>-0.244012</v>
      </c>
      <c r="U191" s="205">
        <v>1.67340611</v>
      </c>
      <c r="V191" s="205">
        <v>0.0</v>
      </c>
      <c r="W191" s="205">
        <v>-0.1335232</v>
      </c>
      <c r="X191" s="205">
        <v>-0.0873912</v>
      </c>
      <c r="Y191" s="205">
        <v>-0.244012</v>
      </c>
      <c r="Z191" s="205">
        <v>-0.244012</v>
      </c>
      <c r="AA191" s="205">
        <v>1.8923588</v>
      </c>
      <c r="AB191" s="205">
        <v>-0.0632811</v>
      </c>
      <c r="AC191" s="205">
        <v>0.05980066</v>
      </c>
      <c r="AD191" s="205">
        <v>-0.244012</v>
      </c>
      <c r="AE191" s="205">
        <v>0.81468122</v>
      </c>
      <c r="AF191" s="205">
        <v>-0.244012</v>
      </c>
      <c r="AG191" s="205">
        <v>0.1223857</v>
      </c>
      <c r="AH191" s="205">
        <v>0.74317355</v>
      </c>
      <c r="AI191" s="205">
        <v>-0.244012</v>
      </c>
      <c r="AJ191" s="205">
        <v>1.5383009</v>
      </c>
      <c r="AK191" s="205">
        <v>0.31824078</v>
      </c>
      <c r="AL191" s="205">
        <v>-0.1309287</v>
      </c>
      <c r="AM191" s="205">
        <v>0.69381427</v>
      </c>
      <c r="AN191" s="205">
        <v>2.01512419</v>
      </c>
      <c r="AO191" s="205">
        <v>1.42534409</v>
      </c>
      <c r="AP191" s="205">
        <v>0.33152982</v>
      </c>
      <c r="AQ191" s="205">
        <v>0.90580604</v>
      </c>
      <c r="AR191" s="205">
        <v>0.99218478</v>
      </c>
      <c r="AS191" s="205">
        <v>-0.144281</v>
      </c>
      <c r="AT191" s="205">
        <v>-0.244012</v>
      </c>
      <c r="AU191" s="205">
        <v>0.04856826</v>
      </c>
      <c r="AV191" s="205">
        <v>1.39022307</v>
      </c>
      <c r="AW191" s="205">
        <v>0.38721721</v>
      </c>
      <c r="AX191" s="205">
        <v>-0.244012</v>
      </c>
      <c r="AY191" s="205">
        <v>0.25306122</v>
      </c>
      <c r="AZ191" s="205">
        <v>0.78398988</v>
      </c>
      <c r="BA191" s="205">
        <v>-0.244012</v>
      </c>
      <c r="BB191" s="205">
        <v>0.48561936</v>
      </c>
      <c r="BC191" s="205">
        <v>-0.2428125</v>
      </c>
      <c r="BD191" s="205">
        <v>-0.244012</v>
      </c>
      <c r="BE191" s="205">
        <v>-0.1425091</v>
      </c>
      <c r="BF191" s="205">
        <v>-0.244012</v>
      </c>
      <c r="BG191" s="205">
        <v>-0.244012</v>
      </c>
      <c r="BH191" s="205">
        <v>1.36206296</v>
      </c>
      <c r="BI191" s="205">
        <v>0.93048568</v>
      </c>
      <c r="BJ191" s="205">
        <v>0.92194273</v>
      </c>
      <c r="BK191" s="205">
        <v>-0.244012</v>
      </c>
      <c r="BL191" s="205">
        <v>-0.244012</v>
      </c>
      <c r="BM191" s="205">
        <v>-0.244012</v>
      </c>
      <c r="BN191" s="205">
        <v>-0.1221009</v>
      </c>
      <c r="BO191" s="205">
        <v>0.7688024</v>
      </c>
      <c r="BP191" s="205">
        <v>-0.244012</v>
      </c>
      <c r="BQ191" s="206"/>
      <c r="BR191" s="250">
        <f t="shared" si="1"/>
        <v>0.2924380187</v>
      </c>
      <c r="BS191" s="250">
        <f t="shared" si="2"/>
        <v>0.5366067817</v>
      </c>
      <c r="BT191" s="206"/>
      <c r="BU191" s="207">
        <f>IFERROR(__xludf.DUMMYFUNCTION("AVERAGE(ARRAYFORMULA(XLOOKUP(FILTER(INDIRECT(""'""&amp;BU$1&amp;""'!$C$4:$C$66""),INDIRECT(""'""&amp;BU$1&amp;""'!$D$4:$D$66"")=BU$2),$F$3:$BP$3,$F191:$BP191)))"),0.09450585571428562)</f>
        <v>0.09450585571</v>
      </c>
      <c r="BV191" s="207" t="str">
        <f>IFERROR(__xludf.DUMMYFUNCTION("IF(OR(BU191&gt;$BR191+$BS191*$BS$2,BU191&lt;$BR191-$BS191*$BS$2),AVEDEV(ARRAYFORMULA(XLOOKUP(FILTER(INDIRECT(""'""&amp;BU$1&amp;""'!$C$4:$C$66""),INDIRECT(""'""&amp;BU$1&amp;""'!$D$4:$D$66"")=BU$2),$F$3:$BP$3,$F191:$BP191))),"""")"),"")</f>
        <v/>
      </c>
      <c r="BW191" s="207">
        <f>IFERROR(__xludf.DUMMYFUNCTION("AVERAGE(ARRAYFORMULA(XLOOKUP(FILTER(INDIRECT(""'""&amp;BW$1&amp;""'!$C$4:$C$66""),INDIRECT(""'""&amp;BW$1&amp;""'!$D$4:$D$66"")=BW$2),$F$3:$BP$3,$F191:$BP191)))"),0.35633135714285735)</f>
        <v>0.3563313571</v>
      </c>
      <c r="BX191" s="207" t="str">
        <f>IFERROR(__xludf.DUMMYFUNCTION("IF(OR(BW191&gt;$BR191+$BS191*$BS$2,BW191&lt;$BR191-$BS191*$BS$2),AVEDEV(ARRAYFORMULA(XLOOKUP(FILTER(INDIRECT(""'""&amp;BW$1&amp;""'!$C$4:$C$66""),INDIRECT(""'""&amp;BW$1&amp;""'!$D$4:$D$66"")=BW$2),$F$3:$BP$3,$F191:$BP191))),"""")"),"")</f>
        <v/>
      </c>
      <c r="BY191" s="207">
        <f>IFERROR(__xludf.DUMMYFUNCTION("AVERAGE(ARRAYFORMULA(XLOOKUP(FILTER(INDIRECT(""'""&amp;BY$1&amp;""'!$C$4:$C$66""),INDIRECT(""'""&amp;BY$1&amp;""'!$D$4:$D$66"")=BY$2),$F$3:$BP$3,$F191:$BP191)))"),0.3206339718181818)</f>
        <v>0.3206339718</v>
      </c>
      <c r="BZ191" s="207" t="str">
        <f>IFERROR(__xludf.DUMMYFUNCTION("IF(OR(BY191&gt;$BR191+$BS191*$BS$2,BY191&lt;$BR191-$BS191*$BS$2),AVEDEV(ARRAYFORMULA(XLOOKUP(FILTER(INDIRECT(""'""&amp;BY$1&amp;""'!$C$4:$C$66""),INDIRECT(""'""&amp;BY$1&amp;""'!$D$4:$D$66"")=BY$2),$F$3:$BP$3,$F191:$BP191))),"""")"),"")</f>
        <v/>
      </c>
      <c r="CA191" s="209"/>
      <c r="CB191" s="207">
        <f>IFERROR(__xludf.DUMMYFUNCTION("AVERAGE(ARRAYFORMULA(XLOOKUP(FILTER(INDIRECT(""'""&amp;CB$1&amp;""'!$C$4:$C$66""),INDIRECT(""'""&amp;CB$1&amp;""'!$D$4:$D$66"")=CB$2),$F$3:$BP$3,$F191:$BP191)))"),0.4358250325000001)</f>
        <v>0.4358250325</v>
      </c>
      <c r="CC191" s="207" t="str">
        <f>IFERROR(__xludf.DUMMYFUNCTION("IF(OR(CB191&gt;$BR191+$BS191*$BS$2,CB191&lt;$BR191-$BS191*$BS$2),AVEDEV(ARRAYFORMULA(XLOOKUP(FILTER(INDIRECT(""'""&amp;CB$1&amp;""'!$C$4:$C$66""),INDIRECT(""'""&amp;CB$1&amp;""'!$D$4:$D$66"")=CB$2),$F$3:$BP$3,$F191:$BP191))),"""")"),"")</f>
        <v/>
      </c>
      <c r="CD191" s="207">
        <f>IFERROR(__xludf.DUMMYFUNCTION("AVERAGE(ARRAYFORMULA(XLOOKUP(FILTER(INDIRECT(""'""&amp;CD$1&amp;""'!$C$4:$C$66""),INDIRECT(""'""&amp;CD$1&amp;""'!$D$4:$D$66"")=CD$2),$F$3:$BP$3,$F191:$BP191)))"),0.22011503645161296)</f>
        <v>0.2201150365</v>
      </c>
      <c r="CE191" s="207" t="str">
        <f>IFERROR(__xludf.DUMMYFUNCTION("IF(OR(CD191&gt;$BR191+$BS191*$BS$2,CD191&lt;$BR191-$BS191*$BS$2),AVEDEV(ARRAYFORMULA(XLOOKUP(FILTER(INDIRECT(""'""&amp;CD$1&amp;""'!$C$4:$C$66""),INDIRECT(""'""&amp;CD$1&amp;""'!$D$4:$D$66"")=CD$2),$F$3:$BP$3,$F191:$BP191))),"""")"),"")</f>
        <v/>
      </c>
      <c r="CF191" s="207">
        <f>IFERROR(__xludf.DUMMYFUNCTION("AVERAGE(ARRAYFORMULA(XLOOKUP(FILTER(INDIRECT(""'""&amp;CF$1&amp;""'!$C$4:$C$66""),INDIRECT(""'""&amp;CF$1&amp;""'!$D$4:$D$66"")=CF$2),$F$3:$BP$3,$F191:$BP191)))"),0.607435538)</f>
        <v>0.607435538</v>
      </c>
      <c r="CG191" s="207" t="str">
        <f>IFERROR(__xludf.DUMMYFUNCTION("IF(OR(CF191&gt;$BR191+$BS191*$BS$2,CF191&lt;$BR191-$BS191*$BS$2),AVEDEV(ARRAYFORMULA(XLOOKUP(FILTER(INDIRECT(""'""&amp;CF$1&amp;""'!$C$4:$C$66""),INDIRECT(""'""&amp;CF$1&amp;""'!$D$4:$D$66"")=CF$2),$F$3:$BP$3,$F191:$BP191))),"""")"),"")</f>
        <v/>
      </c>
      <c r="CH191" s="206"/>
      <c r="CI191" s="251">
        <f>IFERROR(__xludf.DUMMYFUNCTION("AVERAGE(ARRAYFORMULA(XLOOKUP(FILTER(INDIRECT(""'""&amp;CI$1&amp;""'!$C$4:$C$66""),INDIRECT(""'""&amp;CI$1&amp;""'!$D$4:$D$66"")=CI$2),$F$3:$BP$3,$F191:$BP191)))"),0.020416614)</f>
        <v>0.020416614</v>
      </c>
      <c r="CJ191" s="207" t="str">
        <f>IFERROR(__xludf.DUMMYFUNCTION("IF(OR(CI191&gt;$BR191+$BS191*$BS$2,CI191&lt;$BR191-$BS191*$BS$2),AVEDEV(ARRAYFORMULA(XLOOKUP(FILTER(INDIRECT(""'""&amp;CI$1&amp;""'!$C$4:$C$66""),INDIRECT(""'""&amp;CI$1&amp;""'!$D$4:$D$66"")=CI$2),$F$3:$BP$3,$F191:$BP191))),"""")"),"")</f>
        <v/>
      </c>
      <c r="CK191" s="251">
        <f>IFERROR(__xludf.DUMMYFUNCTION("AVERAGE(ARRAYFORMULA(XLOOKUP(FILTER(INDIRECT(""'""&amp;CK$1&amp;""'!$C$4:$C$66""),INDIRECT(""'""&amp;CK$1&amp;""'!$D$4:$D$66"")=CK$2),$F$3:$BP$3,$F191:$BP191)))"),0.411667096923077)</f>
        <v>0.4116670969</v>
      </c>
      <c r="CL191" s="207" t="str">
        <f>IFERROR(__xludf.DUMMYFUNCTION("IF(OR(CK191&gt;$BR191+$BS191*$BS$2,CK191&lt;$BR191-$BS191*$BS$2),AVEDEV(ARRAYFORMULA(XLOOKUP(FILTER(INDIRECT(""'""&amp;CK$1&amp;""'!$C$4:$C$66""),INDIRECT(""'""&amp;CK$1&amp;""'!$D$4:$D$66"")=CK$2),$F$3:$BP$3,$F191:$BP191))),"""")"),"")</f>
        <v/>
      </c>
      <c r="CM191" s="251">
        <f>IFERROR(__xludf.DUMMYFUNCTION("AVERAGE(ARRAYFORMULA(XLOOKUP(FILTER(INDIRECT(""'""&amp;CM$1&amp;""'!$C$4:$C$66""),INDIRECT(""'""&amp;CM$1&amp;""'!$D$4:$D$66"")=CM$2),$F$3:$BP$3,$F191:$BP191)))"),0.607435538)</f>
        <v>0.607435538</v>
      </c>
      <c r="CN191" s="207" t="str">
        <f>IFERROR(__xludf.DUMMYFUNCTION("IF(OR(CM191&gt;$BR191+$BS191*$BS$2,CM191&lt;$BR191-$BS191*$BS$2),AVEDEV(ARRAYFORMULA(XLOOKUP(FILTER(INDIRECT(""'""&amp;CM$1&amp;""'!$C$4:$C$66""),INDIRECT(""'""&amp;CM$1&amp;""'!$D$4:$D$66"")=CM$2),$F$3:$BP$3,$F191:$BP191))),"""")"),"")</f>
        <v/>
      </c>
      <c r="CO191" s="252"/>
      <c r="CP191" s="251">
        <f>IFERROR(__xludf.DUMMYFUNCTION("AVERAGE(ARRAYFORMULA(XLOOKUP(FILTER(INDIRECT(""'""&amp;CP$1&amp;""'!$C$4:$C$66""),INDIRECT(""'""&amp;CP$1&amp;""'!$D$4:$D$66"")=CP$2),$F$3:$BP$3,$F191:$BP191)))"),0.6492643592857145)</f>
        <v>0.6492643593</v>
      </c>
      <c r="CQ191" s="207" t="str">
        <f>IFERROR(__xludf.DUMMYFUNCTION("IF(OR(CP191&gt;$BR191+$BS191*$BS$2,CP191&lt;$BR191-$BS191*$BS$2),AVEDEV(ARRAYFORMULA(XLOOKUP(FILTER(INDIRECT(""'""&amp;CP$1&amp;""'!$C$4:$C$66""),INDIRECT(""'""&amp;CP$1&amp;""'!$D$4:$D$66"")=CP$2),$F$3:$BP$3,$F191:$BP191))),"""")"),"")</f>
        <v/>
      </c>
      <c r="CR191" s="251">
        <f>IFERROR(__xludf.DUMMYFUNCTION("AVERAGE(ARRAYFORMULA(XLOOKUP(FILTER(INDIRECT(""'""&amp;CR$1&amp;""'!$C$4:$C$66""),INDIRECT(""'""&amp;CR$1&amp;""'!$D$4:$D$66"")=CR$2),$F$3:$BP$3,$F191:$BP191)))"),0.39088049666666663)</f>
        <v>0.3908804967</v>
      </c>
      <c r="CS191" s="207" t="str">
        <f>IFERROR(__xludf.DUMMYFUNCTION("IF(OR(CR191&gt;$BR191+$BS191*$BS$2,CR191&lt;$BR191-$BS191*$BS$2),AVEDEV(ARRAYFORMULA(XLOOKUP(FILTER(INDIRECT(""'""&amp;CR$1&amp;""'!$C$4:$C$66""),INDIRECT(""'""&amp;CR$1&amp;""'!$D$4:$D$66"")=CR$2),$F$3:$BP$3,$F191:$BP191))),"""")"),"")</f>
        <v/>
      </c>
      <c r="CT191" s="251">
        <f>IFERROR(__xludf.DUMMYFUNCTION("AVERAGE(ARRAYFORMULA(XLOOKUP(FILTER(INDIRECT(""'""&amp;CT$1&amp;""'!$C$4:$C$66""),INDIRECT(""'""&amp;CT$1&amp;""'!$D$4:$D$66"")=CT$2),$F$3:$BP$3,$F191:$BP191)))"),0.10260114363636363)</f>
        <v>0.1026011436</v>
      </c>
      <c r="CU191" s="207" t="str">
        <f>IFERROR(__xludf.DUMMYFUNCTION("IF(OR(CT191&gt;$BR191+$BS191*$BS$2,CT191&lt;$BR191-$BS191*$BS$2),AVEDEV(ARRAYFORMULA(XLOOKUP(FILTER(INDIRECT(""'""&amp;CT$1&amp;""'!$C$4:$C$66""),INDIRECT(""'""&amp;CT$1&amp;""'!$D$4:$D$66"")=CT$2),$F$3:$BP$3,$F191:$BP191))),"""")"),"")</f>
        <v/>
      </c>
      <c r="CV191" s="251">
        <f>IFERROR(__xludf.DUMMYFUNCTION("AVERAGE(ARRAYFORMULA(XLOOKUP(FILTER(INDIRECT(""'""&amp;CV$1&amp;""'!$C$4:$C$66""),INDIRECT(""'""&amp;CV$1&amp;""'!$D$4:$D$66"")=CV$2),$F$3:$BP$3,$F191:$BP191)))"),-0.09210567)</f>
        <v>-0.09210567</v>
      </c>
      <c r="CW191" s="207" t="str">
        <f>IFERROR(__xludf.DUMMYFUNCTION("IF(OR(CV191&gt;$BR191+$BS191*$BS$2,CV191&lt;$BR191-$BS191*$BS$2),AVEDEV(ARRAYFORMULA(XLOOKUP(FILTER(INDIRECT(""'""&amp;CV$1&amp;""'!$C$4:$C$66""),INDIRECT(""'""&amp;CV$1&amp;""'!$D$4:$D$66"")=CV$2),$F$3:$BP$3,$F191:$BP191))),"""")"),"")</f>
        <v/>
      </c>
      <c r="CX191" s="251">
        <f>IFERROR(__xludf.DUMMYFUNCTION("AVERAGE(ARRAYFORMULA(XLOOKUP(FILTER(INDIRECT(""'""&amp;CX$1&amp;""'!$C$4:$C$66""),INDIRECT(""'""&amp;CX$1&amp;""'!$D$4:$D$66"")=CX$2),$F$3:$BP$3,$F191:$BP191)))"),0.3169073692857142)</f>
        <v>0.3169073693</v>
      </c>
      <c r="CY191" s="207" t="str">
        <f>IFERROR(__xludf.DUMMYFUNCTION("IF(OR(CX191&gt;$BR191+$BS191*$BS$2,CX191&lt;$BR191-$BS191*$BS$2),AVEDEV(ARRAYFORMULA(XLOOKUP(FILTER(INDIRECT(""'""&amp;CX$1&amp;""'!$C$4:$C$66""),INDIRECT(""'""&amp;CX$1&amp;""'!$D$4:$D$66"")=CX$2),$F$3:$BP$3,$F191:$BP191))),"""")"),"")</f>
        <v/>
      </c>
      <c r="CZ191" s="252"/>
      <c r="DA191" s="251">
        <f>IFERROR(__xludf.DUMMYFUNCTION("AVERAGE(ARRAYFORMULA(XLOOKUP(FILTER(INDIRECT(""'""&amp;DA$1&amp;""'!$C$4:$C$66""),INDIRECT(""'""&amp;DA$1&amp;""'!$D$4:$D$66"")=DA$2),$F$3:$BP$3,$F191:$BP191)))"),0.4142192746666669)</f>
        <v>0.4142192747</v>
      </c>
      <c r="DB191" s="207" t="str">
        <f>IFERROR(__xludf.DUMMYFUNCTION("IF(OR(DA191&gt;$BR191+$BS191*$BS$2,DA191&lt;$BR191-$BS191*$BS$2),AVEDEV(ARRAYFORMULA(XLOOKUP(FILTER(INDIRECT(""'""&amp;DA$1&amp;""'!$C$4:$C$66""),INDIRECT(""'""&amp;DA$1&amp;""'!$D$4:$D$66"")=DA$2),$F$3:$BP$3,$F191:$BP191))),"""")"),"")</f>
        <v/>
      </c>
      <c r="DC191" s="251">
        <f>IFERROR(__xludf.DUMMYFUNCTION("AVERAGE(ARRAYFORMULA(XLOOKUP(FILTER(INDIRECT(""'""&amp;DC$1&amp;""'!$C$4:$C$66""),INDIRECT(""'""&amp;DC$1&amp;""'!$D$4:$D$66"")=DC$2),$F$3:$BP$3,$F191:$BP191)))"),0.28835452333333333)</f>
        <v>0.2883545233</v>
      </c>
      <c r="DD191" s="207" t="str">
        <f>IFERROR(__xludf.DUMMYFUNCTION("IF(OR(DC191&gt;$BR191+$BS191*$BS$2,DC191&lt;$BR191-$BS191*$BS$2),AVEDEV(ARRAYFORMULA(XLOOKUP(FILTER(INDIRECT(""'""&amp;DC$1&amp;""'!$C$4:$C$66""),INDIRECT(""'""&amp;DC$1&amp;""'!$D$4:$D$66"")=DC$2),$F$3:$BP$3,$F191:$BP191))),"""")"),"")</f>
        <v/>
      </c>
      <c r="DE191" s="251">
        <f>IFERROR(__xludf.DUMMYFUNCTION("AVERAGE(ARRAYFORMULA(XLOOKUP(FILTER(INDIRECT(""'""&amp;DE$1&amp;""'!$C$4:$C$66""),INDIRECT(""'""&amp;DE$1&amp;""'!$D$4:$D$66"")=DE$2),$F$3:$BP$3,$F191:$BP191)))"),-0.10489715375)</f>
        <v>-0.1048971538</v>
      </c>
      <c r="DF191" s="207" t="str">
        <f>IFERROR(__xludf.DUMMYFUNCTION("IF(OR(DE191&gt;$BR191+$BS191*$BS$2,DE191&lt;$BR191-$BS191*$BS$2),AVEDEV(ARRAYFORMULA(XLOOKUP(FILTER(INDIRECT(""'""&amp;DE$1&amp;""'!$C$4:$C$66""),INDIRECT(""'""&amp;DE$1&amp;""'!$D$4:$D$66"")=DE$2),$F$3:$BP$3,$F191:$BP191))),"""")"),"")</f>
        <v/>
      </c>
      <c r="DG191" s="251">
        <f>IFERROR(__xludf.DUMMYFUNCTION("AVERAGE(ARRAYFORMULA(XLOOKUP(FILTER(INDIRECT(""'""&amp;DG$1&amp;""'!$C$4:$C$66""),INDIRECT(""'""&amp;DG$1&amp;""'!$D$4:$D$66"")=DG$2),$F$3:$BP$3,$F191:$BP191)))"),0.2698272144444444)</f>
        <v>0.2698272144</v>
      </c>
      <c r="DH191" s="207" t="str">
        <f>IFERROR(__xludf.DUMMYFUNCTION("IF(OR(DG191&gt;$BR191+$BS191*$BS$2,DG191&lt;$BR191-$BS191*$BS$2),AVEDEV(ARRAYFORMULA(XLOOKUP(FILTER(INDIRECT(""'""&amp;DG$1&amp;""'!$C$4:$C$66""),INDIRECT(""'""&amp;DG$1&amp;""'!$D$4:$D$66"")=DG$2),$F$3:$BP$3,$F191:$BP191))),"""")"),"")</f>
        <v/>
      </c>
      <c r="DI191" s="252"/>
    </row>
    <row r="192">
      <c r="A192" s="2"/>
      <c r="B192" s="204" t="s">
        <v>630</v>
      </c>
      <c r="C192" s="204" t="s">
        <v>637</v>
      </c>
      <c r="D192" s="205" t="b">
        <f>VLOOKUP(C192,'Feature Set List'!A189:C246,2,0)</f>
        <v>1</v>
      </c>
      <c r="E192" s="205" t="b">
        <f>VLOOKUP(C192,'Feature Set List'!A189:C246,3,0)</f>
        <v>1</v>
      </c>
      <c r="F192" s="205">
        <v>0.0</v>
      </c>
      <c r="G192" s="205">
        <v>0.0</v>
      </c>
      <c r="H192" s="205">
        <v>0.0</v>
      </c>
      <c r="I192" s="205">
        <v>0.0</v>
      </c>
      <c r="J192" s="205">
        <v>0.2079</v>
      </c>
      <c r="K192" s="205">
        <v>0.0</v>
      </c>
      <c r="L192" s="205">
        <v>0.5403</v>
      </c>
      <c r="M192" s="205">
        <v>0.0</v>
      </c>
      <c r="N192" s="205">
        <v>0.4409</v>
      </c>
      <c r="O192" s="205">
        <v>0.0</v>
      </c>
      <c r="P192" s="205">
        <v>0.0</v>
      </c>
      <c r="Q192" s="205">
        <v>0.0</v>
      </c>
      <c r="R192" s="205">
        <v>0.2777</v>
      </c>
      <c r="S192" s="205">
        <v>0.0</v>
      </c>
      <c r="T192" s="205">
        <v>0.0</v>
      </c>
      <c r="U192" s="205">
        <v>0.0</v>
      </c>
      <c r="V192" s="205">
        <v>0.0</v>
      </c>
      <c r="W192" s="205">
        <v>0.1048</v>
      </c>
      <c r="X192" s="205">
        <v>0.0</v>
      </c>
      <c r="Y192" s="205">
        <v>0.0</v>
      </c>
      <c r="Z192" s="205">
        <v>0.0</v>
      </c>
      <c r="AA192" s="205">
        <v>0.0</v>
      </c>
      <c r="AB192" s="205">
        <v>0.0</v>
      </c>
      <c r="AC192" s="205">
        <v>0.0</v>
      </c>
      <c r="AD192" s="205">
        <v>0.3128</v>
      </c>
      <c r="AE192" s="205">
        <v>0.0</v>
      </c>
      <c r="AF192" s="205">
        <v>0.0</v>
      </c>
      <c r="AG192" s="205">
        <v>0.0</v>
      </c>
      <c r="AH192" s="205">
        <v>0.0</v>
      </c>
      <c r="AI192" s="205">
        <v>0.0</v>
      </c>
      <c r="AJ192" s="205">
        <v>0.0218</v>
      </c>
      <c r="AK192" s="205">
        <v>0.0</v>
      </c>
      <c r="AL192" s="205">
        <v>0.0</v>
      </c>
      <c r="AM192" s="205">
        <v>0.0</v>
      </c>
      <c r="AN192" s="205">
        <v>0.0</v>
      </c>
      <c r="AO192" s="205">
        <v>0.0</v>
      </c>
      <c r="AP192" s="205">
        <v>0.0</v>
      </c>
      <c r="AQ192" s="205">
        <v>0.0</v>
      </c>
      <c r="AR192" s="205">
        <v>0.0</v>
      </c>
      <c r="AS192" s="205">
        <v>0.0</v>
      </c>
      <c r="AT192" s="205">
        <v>0.0</v>
      </c>
      <c r="AU192" s="205">
        <v>0.0</v>
      </c>
      <c r="AV192" s="205">
        <v>0.0</v>
      </c>
      <c r="AW192" s="205">
        <v>0.1169</v>
      </c>
      <c r="AX192" s="205">
        <v>0.0</v>
      </c>
      <c r="AY192" s="205">
        <v>0.0</v>
      </c>
      <c r="AZ192" s="205">
        <v>0.0</v>
      </c>
      <c r="BA192" s="205">
        <v>0.0</v>
      </c>
      <c r="BB192" s="205">
        <v>0.02013</v>
      </c>
      <c r="BC192" s="205">
        <v>0.0</v>
      </c>
      <c r="BD192" s="205">
        <v>0.0</v>
      </c>
      <c r="BE192" s="205">
        <v>0.003412</v>
      </c>
      <c r="BF192" s="205">
        <v>0.0</v>
      </c>
      <c r="BG192" s="205">
        <v>0.02669</v>
      </c>
      <c r="BH192" s="205">
        <v>0.03929</v>
      </c>
      <c r="BI192" s="205">
        <v>0.0949</v>
      </c>
      <c r="BJ192" s="205">
        <v>0.02306</v>
      </c>
      <c r="BK192" s="205">
        <v>0.0</v>
      </c>
      <c r="BL192" s="205">
        <v>0.0</v>
      </c>
      <c r="BM192" s="205">
        <v>0.0</v>
      </c>
      <c r="BN192" s="205">
        <v>0.0</v>
      </c>
      <c r="BO192" s="205">
        <v>0.0</v>
      </c>
      <c r="BP192" s="205">
        <v>0.6808</v>
      </c>
      <c r="BQ192" s="206"/>
      <c r="BR192" s="250">
        <f t="shared" si="1"/>
        <v>0.0462124127</v>
      </c>
      <c r="BS192" s="250">
        <f t="shared" si="2"/>
        <v>0.07495518367</v>
      </c>
      <c r="BT192" s="206"/>
      <c r="BU192" s="207">
        <f>IFERROR(__xludf.DUMMYFUNCTION("AVERAGE(ARRAYFORMULA(XLOOKUP(FILTER(INDIRECT(""'""&amp;BU$1&amp;""'!$C$4:$C$66""),INDIRECT(""'""&amp;BU$1&amp;""'!$D$4:$D$66"")=BU$2),$F$3:$BP$3,$F192:$BP192)))"),0.014971428571428571)</f>
        <v>0.01497142857</v>
      </c>
      <c r="BV192" s="207" t="str">
        <f>IFERROR(__xludf.DUMMYFUNCTION("IF(OR(BU192&gt;$BR192+$BS192*$BS$2,BU192&lt;$BR192-$BS192*$BS$2),AVEDEV(ARRAYFORMULA(XLOOKUP(FILTER(INDIRECT(""'""&amp;BU$1&amp;""'!$C$4:$C$66""),INDIRECT(""'""&amp;BU$1&amp;""'!$D$4:$D$66"")=BU$2),$F$3:$BP$3,$F192:$BP192))),"""")"),"")</f>
        <v/>
      </c>
      <c r="BW192" s="207">
        <f>IFERROR(__xludf.DUMMYFUNCTION("AVERAGE(ARRAYFORMULA(XLOOKUP(FILTER(INDIRECT(""'""&amp;BW$1&amp;""'!$C$4:$C$66""),INDIRECT(""'""&amp;BW$1&amp;""'!$D$4:$D$66"")=BW$2),$F$3:$BP$3,$F192:$BP192)))"),0.05395909523809524)</f>
        <v>0.05395909524</v>
      </c>
      <c r="BX192" s="207" t="str">
        <f>IFERROR(__xludf.DUMMYFUNCTION("IF(OR(BW192&gt;$BR192+$BS192*$BS$2,BW192&lt;$BR192-$BS192*$BS$2),AVEDEV(ARRAYFORMULA(XLOOKUP(FILTER(INDIRECT(""'""&amp;BW$1&amp;""'!$C$4:$C$66""),INDIRECT(""'""&amp;BW$1&amp;""'!$D$4:$D$66"")=BW$2),$F$3:$BP$3,$F192:$BP192))),"""")"),"")</f>
        <v/>
      </c>
      <c r="BY192" s="207">
        <f>IFERROR(__xludf.DUMMYFUNCTION("AVERAGE(ARRAYFORMULA(XLOOKUP(FILTER(INDIRECT(""'""&amp;BY$1&amp;""'!$C$4:$C$66""),INDIRECT(""'""&amp;BY$1&amp;""'!$D$4:$D$66"")=BY$2),$F$3:$BP$3,$F192:$BP192)))"),0.04911818181818182)</f>
        <v>0.04911818182</v>
      </c>
      <c r="BZ192" s="207" t="str">
        <f>IFERROR(__xludf.DUMMYFUNCTION("IF(OR(BY192&gt;$BR192+$BS192*$BS$2,BY192&lt;$BR192-$BS192*$BS$2),AVEDEV(ARRAYFORMULA(XLOOKUP(FILTER(INDIRECT(""'""&amp;BY$1&amp;""'!$C$4:$C$66""),INDIRECT(""'""&amp;BY$1&amp;""'!$D$4:$D$66"")=BY$2),$F$3:$BP$3,$F192:$BP192))),"""")"),"")</f>
        <v/>
      </c>
      <c r="CA192" s="209"/>
      <c r="CB192" s="207">
        <f>IFERROR(__xludf.DUMMYFUNCTION("AVERAGE(ARRAYFORMULA(XLOOKUP(FILTER(INDIRECT(""'""&amp;CB$1&amp;""'!$C$4:$C$66""),INDIRECT(""'""&amp;CB$1&amp;""'!$D$4:$D$66"")=CB$2),$F$3:$BP$3,$F192:$BP192)))"),0.0341195)</f>
        <v>0.0341195</v>
      </c>
      <c r="CC192" s="207" t="str">
        <f>IFERROR(__xludf.DUMMYFUNCTION("IF(OR(CB192&gt;$BR192+$BS192*$BS$2,CB192&lt;$BR192-$BS192*$BS$2),AVEDEV(ARRAYFORMULA(XLOOKUP(FILTER(INDIRECT(""'""&amp;CB$1&amp;""'!$C$4:$C$66""),INDIRECT(""'""&amp;CB$1&amp;""'!$D$4:$D$66"")=CB$2),$F$3:$BP$3,$F192:$BP192))),"""")"),"")</f>
        <v/>
      </c>
      <c r="CD192" s="207">
        <f>IFERROR(__xludf.DUMMYFUNCTION("AVERAGE(ARRAYFORMULA(XLOOKUP(FILTER(INDIRECT(""'""&amp;CD$1&amp;""'!$C$4:$C$66""),INDIRECT(""'""&amp;CD$1&amp;""'!$D$4:$D$66"")=CD$2),$F$3:$BP$3,$F192:$BP192)))"),0.06915387096774193)</f>
        <v>0.06915387097</v>
      </c>
      <c r="CE192" s="207" t="str">
        <f>IFERROR(__xludf.DUMMYFUNCTION("IF(OR(CD192&gt;$BR192+$BS192*$BS$2,CD192&lt;$BR192-$BS192*$BS$2),AVEDEV(ARRAYFORMULA(XLOOKUP(FILTER(INDIRECT(""'""&amp;CD$1&amp;""'!$C$4:$C$66""),INDIRECT(""'""&amp;CD$1&amp;""'!$D$4:$D$66"")=CD$2),$F$3:$BP$3,$F192:$BP192))),"""")"),"")</f>
        <v/>
      </c>
      <c r="CF192" s="207">
        <f>IFERROR(__xludf.DUMMYFUNCTION("AVERAGE(ARRAYFORMULA(XLOOKUP(FILTER(INDIRECT(""'""&amp;CF$1&amp;""'!$C$4:$C$66""),INDIRECT(""'""&amp;CF$1&amp;""'!$D$4:$D$66"")=CF$2),$F$3:$BP$3,$F192:$BP192)))"),0.0)</f>
        <v>0</v>
      </c>
      <c r="CG192" s="207" t="str">
        <f>IFERROR(__xludf.DUMMYFUNCTION("IF(OR(CF192&gt;$BR192+$BS192*$BS$2,CF192&lt;$BR192-$BS192*$BS$2),AVEDEV(ARRAYFORMULA(XLOOKUP(FILTER(INDIRECT(""'""&amp;CF$1&amp;""'!$C$4:$C$66""),INDIRECT(""'""&amp;CF$1&amp;""'!$D$4:$D$66"")=CF$2),$F$3:$BP$3,$F192:$BP192))),"""")"),"")</f>
        <v/>
      </c>
      <c r="CH192" s="206"/>
      <c r="CI192" s="251">
        <f>IFERROR(__xludf.DUMMYFUNCTION("AVERAGE(ARRAYFORMULA(XLOOKUP(FILTER(INDIRECT(""'""&amp;CI$1&amp;""'!$C$4:$C$66""),INDIRECT(""'""&amp;CI$1&amp;""'!$D$4:$D$66"")=CI$2),$F$3:$BP$3,$F192:$BP192)))"),0.02784)</f>
        <v>0.02784</v>
      </c>
      <c r="CJ192" s="207" t="str">
        <f>IFERROR(__xludf.DUMMYFUNCTION("IF(OR(CI192&gt;$BR192+$BS192*$BS$2,CI192&lt;$BR192-$BS192*$BS$2),AVEDEV(ARRAYFORMULA(XLOOKUP(FILTER(INDIRECT(""'""&amp;CI$1&amp;""'!$C$4:$C$66""),INDIRECT(""'""&amp;CI$1&amp;""'!$D$4:$D$66"")=CI$2),$F$3:$BP$3,$F192:$BP192))),"""")"),"")</f>
        <v/>
      </c>
      <c r="CK192" s="251">
        <f>IFERROR(__xludf.DUMMYFUNCTION("AVERAGE(ARRAYFORMULA(XLOOKUP(FILTER(INDIRECT(""'""&amp;CK$1&amp;""'!$C$4:$C$66""),INDIRECT(""'""&amp;CK$1&amp;""'!$D$4:$D$66"")=CK$2),$F$3:$BP$3,$F192:$BP192)))"),0.06394312820512821)</f>
        <v>0.06394312821</v>
      </c>
      <c r="CL192" s="207" t="str">
        <f>IFERROR(__xludf.DUMMYFUNCTION("IF(OR(CK192&gt;$BR192+$BS192*$BS$2,CK192&lt;$BR192-$BS192*$BS$2),AVEDEV(ARRAYFORMULA(XLOOKUP(FILTER(INDIRECT(""'""&amp;CK$1&amp;""'!$C$4:$C$66""),INDIRECT(""'""&amp;CK$1&amp;""'!$D$4:$D$66"")=CK$2),$F$3:$BP$3,$F192:$BP192))),"""")"),"")</f>
        <v/>
      </c>
      <c r="CM192" s="251">
        <f>IFERROR(__xludf.DUMMYFUNCTION("AVERAGE(ARRAYFORMULA(XLOOKUP(FILTER(INDIRECT(""'""&amp;CM$1&amp;""'!$C$4:$C$66""),INDIRECT(""'""&amp;CM$1&amp;""'!$D$4:$D$66"")=CM$2),$F$3:$BP$3,$F192:$BP192)))"),0.0)</f>
        <v>0</v>
      </c>
      <c r="CN192" s="207" t="str">
        <f>IFERROR(__xludf.DUMMYFUNCTION("IF(OR(CM192&gt;$BR192+$BS192*$BS$2,CM192&lt;$BR192-$BS192*$BS$2),AVEDEV(ARRAYFORMULA(XLOOKUP(FILTER(INDIRECT(""'""&amp;CM$1&amp;""'!$C$4:$C$66""),INDIRECT(""'""&amp;CM$1&amp;""'!$D$4:$D$66"")=CM$2),$F$3:$BP$3,$F192:$BP192))),"""")"),"")</f>
        <v/>
      </c>
      <c r="CO192" s="252"/>
      <c r="CP192" s="251">
        <f>IFERROR(__xludf.DUMMYFUNCTION("AVERAGE(ARRAYFORMULA(XLOOKUP(FILTER(INDIRECT(""'""&amp;CP$1&amp;""'!$C$4:$C$66""),INDIRECT(""'""&amp;CP$1&amp;""'!$D$4:$D$66"")=CP$2),$F$3:$BP$3,$F192:$BP192)))"),0.025790857142857143)</f>
        <v>0.02579085714</v>
      </c>
      <c r="CQ192" s="207" t="str">
        <f>IFERROR(__xludf.DUMMYFUNCTION("IF(OR(CP192&gt;$BR192+$BS192*$BS$2,CP192&lt;$BR192-$BS192*$BS$2),AVEDEV(ARRAYFORMULA(XLOOKUP(FILTER(INDIRECT(""'""&amp;CP$1&amp;""'!$C$4:$C$66""),INDIRECT(""'""&amp;CP$1&amp;""'!$D$4:$D$66"")=CP$2),$F$3:$BP$3,$F192:$BP192))),"""")"),"")</f>
        <v/>
      </c>
      <c r="CR192" s="251">
        <f>IFERROR(__xludf.DUMMYFUNCTION("AVERAGE(ARRAYFORMULA(XLOOKUP(FILTER(INDIRECT(""'""&amp;CR$1&amp;""'!$C$4:$C$66""),INDIRECT(""'""&amp;CR$1&amp;""'!$D$4:$D$66"")=CR$2),$F$3:$BP$3,$F192:$BP192)))"),0.060033333333333334)</f>
        <v>0.06003333333</v>
      </c>
      <c r="CS192" s="207" t="str">
        <f>IFERROR(__xludf.DUMMYFUNCTION("IF(OR(CR192&gt;$BR192+$BS192*$BS$2,CR192&lt;$BR192-$BS192*$BS$2),AVEDEV(ARRAYFORMULA(XLOOKUP(FILTER(INDIRECT(""'""&amp;CR$1&amp;""'!$C$4:$C$66""),INDIRECT(""'""&amp;CR$1&amp;""'!$D$4:$D$66"")=CR$2),$F$3:$BP$3,$F192:$BP192))),"""")"),"")</f>
        <v/>
      </c>
      <c r="CT192" s="251">
        <f>IFERROR(__xludf.DUMMYFUNCTION("AVERAGE(ARRAYFORMULA(XLOOKUP(FILTER(INDIRECT(""'""&amp;CT$1&amp;""'!$C$4:$C$66""),INDIRECT(""'""&amp;CT$1&amp;""'!$D$4:$D$66"")=CT$2),$F$3:$BP$3,$F192:$BP192)))"),0.025245454545454547)</f>
        <v>0.02524545455</v>
      </c>
      <c r="CU192" s="207" t="str">
        <f>IFERROR(__xludf.DUMMYFUNCTION("IF(OR(CT192&gt;$BR192+$BS192*$BS$2,CT192&lt;$BR192-$BS192*$BS$2),AVEDEV(ARRAYFORMULA(XLOOKUP(FILTER(INDIRECT(""'""&amp;CT$1&amp;""'!$C$4:$C$66""),INDIRECT(""'""&amp;CT$1&amp;""'!$D$4:$D$66"")=CT$2),$F$3:$BP$3,$F192:$BP192))),"""")"),"")</f>
        <v/>
      </c>
      <c r="CV192" s="251">
        <f>IFERROR(__xludf.DUMMYFUNCTION("AVERAGE(ARRAYFORMULA(XLOOKUP(FILTER(INDIRECT(""'""&amp;CV$1&amp;""'!$C$4:$C$66""),INDIRECT(""'""&amp;CV$1&amp;""'!$D$4:$D$66"")=CV$2),$F$3:$BP$3,$F192:$BP192)))"),0.013345)</f>
        <v>0.013345</v>
      </c>
      <c r="CW192" s="207" t="str">
        <f>IFERROR(__xludf.DUMMYFUNCTION("IF(OR(CV192&gt;$BR192+$BS192*$BS$2,CV192&lt;$BR192-$BS192*$BS$2),AVEDEV(ARRAYFORMULA(XLOOKUP(FILTER(INDIRECT(""'""&amp;CV$1&amp;""'!$C$4:$C$66""),INDIRECT(""'""&amp;CV$1&amp;""'!$D$4:$D$66"")=CV$2),$F$3:$BP$3,$F192:$BP192))),"""")"),"")</f>
        <v/>
      </c>
      <c r="CX192" s="251">
        <f>IFERROR(__xludf.DUMMYFUNCTION("AVERAGE(ARRAYFORMULA(XLOOKUP(FILTER(INDIRECT(""'""&amp;CX$1&amp;""'!$C$4:$C$66""),INDIRECT(""'""&amp;CX$1&amp;""'!$D$4:$D$66"")=CX$2),$F$3:$BP$3,$F192:$BP192)))"),0.09949428571428572)</f>
        <v>0.09949428571</v>
      </c>
      <c r="CY192" s="207" t="str">
        <f>IFERROR(__xludf.DUMMYFUNCTION("IF(OR(CX192&gt;$BR192+$BS192*$BS$2,CX192&lt;$BR192-$BS192*$BS$2),AVEDEV(ARRAYFORMULA(XLOOKUP(FILTER(INDIRECT(""'""&amp;CX$1&amp;""'!$C$4:$C$66""),INDIRECT(""'""&amp;CX$1&amp;""'!$D$4:$D$66"")=CX$2),$F$3:$BP$3,$F192:$BP192))),"""")"),"")</f>
        <v/>
      </c>
      <c r="CZ192" s="252"/>
      <c r="DA192" s="251">
        <f>IFERROR(__xludf.DUMMYFUNCTION("AVERAGE(ARRAYFORMULA(XLOOKUP(FILTER(INDIRECT(""'""&amp;DA$1&amp;""'!$C$4:$C$66""),INDIRECT(""'""&amp;DA$1&amp;""'!$D$4:$D$66"")=DA$2),$F$3:$BP$3,$F192:$BP192)))"),0.05069973333333333)</f>
        <v>0.05069973333</v>
      </c>
      <c r="DB192" s="207" t="str">
        <f>IFERROR(__xludf.DUMMYFUNCTION("IF(OR(DA192&gt;$BR192+$BS192*$BS$2,DA192&lt;$BR192-$BS192*$BS$2),AVEDEV(ARRAYFORMULA(XLOOKUP(FILTER(INDIRECT(""'""&amp;DA$1&amp;""'!$C$4:$C$66""),INDIRECT(""'""&amp;DA$1&amp;""'!$D$4:$D$66"")=DA$2),$F$3:$BP$3,$F192:$BP192))),"""")"),"")</f>
        <v/>
      </c>
      <c r="DC192" s="251">
        <f>IFERROR(__xludf.DUMMYFUNCTION("AVERAGE(ARRAYFORMULA(XLOOKUP(FILTER(INDIRECT(""'""&amp;DC$1&amp;""'!$C$4:$C$66""),INDIRECT(""'""&amp;DC$1&amp;""'!$D$4:$D$66"")=DC$2),$F$3:$BP$3,$F192:$BP192)))"),0.060033333333333334)</f>
        <v>0.06003333333</v>
      </c>
      <c r="DD192" s="207" t="str">
        <f>IFERROR(__xludf.DUMMYFUNCTION("IF(OR(DC192&gt;$BR192+$BS192*$BS$2,DC192&lt;$BR192-$BS192*$BS$2),AVEDEV(ARRAYFORMULA(XLOOKUP(FILTER(INDIRECT(""'""&amp;DC$1&amp;""'!$C$4:$C$66""),INDIRECT(""'""&amp;DC$1&amp;""'!$D$4:$D$66"")=DC$2),$F$3:$BP$3,$F192:$BP192))),"""")"),"")</f>
        <v/>
      </c>
      <c r="DE192" s="251">
        <f>IFERROR(__xludf.DUMMYFUNCTION("AVERAGE(ARRAYFORMULA(XLOOKUP(FILTER(INDIRECT(""'""&amp;DE$1&amp;""'!$C$4:$C$66""),INDIRECT(""'""&amp;DE$1&amp;""'!$D$4:$D$66"")=DE$2),$F$3:$BP$3,$F192:$BP192)))"),0.089825)</f>
        <v>0.089825</v>
      </c>
      <c r="DF192" s="207" t="str">
        <f>IFERROR(__xludf.DUMMYFUNCTION("IF(OR(DE192&gt;$BR192+$BS192*$BS$2,DE192&lt;$BR192-$BS192*$BS$2),AVEDEV(ARRAYFORMULA(XLOOKUP(FILTER(INDIRECT(""'""&amp;DE$1&amp;""'!$C$4:$C$66""),INDIRECT(""'""&amp;DE$1&amp;""'!$D$4:$D$66"")=DE$2),$F$3:$BP$3,$F192:$BP192))),"""")"),"")</f>
        <v/>
      </c>
      <c r="DG192" s="251">
        <f>IFERROR(__xludf.DUMMYFUNCTION("AVERAGE(ARRAYFORMULA(XLOOKUP(FILTER(INDIRECT(""'""&amp;DG$1&amp;""'!$C$4:$C$66""),INDIRECT(""'""&amp;DG$1&amp;""'!$D$4:$D$66"")=DG$2),$F$3:$BP$3,$F192:$BP192)))"),0.0029655555555555555)</f>
        <v>0.002965555556</v>
      </c>
      <c r="DH192" s="207" t="str">
        <f>IFERROR(__xludf.DUMMYFUNCTION("IF(OR(DG192&gt;$BR192+$BS192*$BS$2,DG192&lt;$BR192-$BS192*$BS$2),AVEDEV(ARRAYFORMULA(XLOOKUP(FILTER(INDIRECT(""'""&amp;DG$1&amp;""'!$C$4:$C$66""),INDIRECT(""'""&amp;DG$1&amp;""'!$D$4:$D$66"")=DG$2),$F$3:$BP$3,$F192:$BP192))),"""")"),"")</f>
        <v/>
      </c>
      <c r="DI192" s="252"/>
    </row>
    <row r="193">
      <c r="A193" s="2"/>
      <c r="B193" s="204" t="s">
        <v>630</v>
      </c>
      <c r="C193" s="204" t="s">
        <v>638</v>
      </c>
      <c r="D193" s="205" t="b">
        <f>VLOOKUP(C193,'Feature Set List'!A190:C246,2,0)</f>
        <v>1</v>
      </c>
      <c r="E193" s="205" t="b">
        <f>VLOOKUP(C193,'Feature Set List'!A190:C246,3,0)</f>
        <v>1</v>
      </c>
      <c r="F193" s="205">
        <v>-0.1428145</v>
      </c>
      <c r="G193" s="205">
        <v>-0.2681628</v>
      </c>
      <c r="H193" s="205">
        <v>0.35977309</v>
      </c>
      <c r="I193" s="205">
        <v>-0.2781648</v>
      </c>
      <c r="J193" s="205">
        <v>1.49034634</v>
      </c>
      <c r="K193" s="205">
        <v>-0.2767715</v>
      </c>
      <c r="L193" s="205">
        <v>-0.4246616</v>
      </c>
      <c r="M193" s="205">
        <v>0.90565287</v>
      </c>
      <c r="N193" s="205">
        <v>-0.183121</v>
      </c>
      <c r="O193" s="205">
        <v>-0.6266421</v>
      </c>
      <c r="P193" s="205">
        <v>0.83698248</v>
      </c>
      <c r="Q193" s="205">
        <v>1.90933519</v>
      </c>
      <c r="R193" s="205">
        <v>0.68968949</v>
      </c>
      <c r="S193" s="205">
        <v>0.09454618</v>
      </c>
      <c r="T193" s="205">
        <v>1.22312898</v>
      </c>
      <c r="U193" s="205">
        <v>-0.1597333</v>
      </c>
      <c r="V193" s="205">
        <v>1.77846338</v>
      </c>
      <c r="W193" s="205">
        <v>0.41401274</v>
      </c>
      <c r="X193" s="205">
        <v>0.27866242</v>
      </c>
      <c r="Y193" s="205">
        <v>1.27985669</v>
      </c>
      <c r="Z193" s="205">
        <v>0.64390924</v>
      </c>
      <c r="AA193" s="205">
        <v>-0.7354697</v>
      </c>
      <c r="AB193" s="205">
        <v>1.20123408</v>
      </c>
      <c r="AC193" s="205">
        <v>-0.2045183</v>
      </c>
      <c r="AD193" s="205">
        <v>0.11445064</v>
      </c>
      <c r="AE193" s="205">
        <v>0.52896099</v>
      </c>
      <c r="AF193" s="205">
        <v>0.55881768</v>
      </c>
      <c r="AG193" s="205">
        <v>1.51721736</v>
      </c>
      <c r="AH193" s="205">
        <v>0.11793392</v>
      </c>
      <c r="AI193" s="205">
        <v>-0.4325239</v>
      </c>
      <c r="AJ193" s="205">
        <v>-0.3255872</v>
      </c>
      <c r="AK193" s="205">
        <v>0.11843153</v>
      </c>
      <c r="AL193" s="205">
        <v>-0.1184315</v>
      </c>
      <c r="AM193" s="205">
        <v>0.16769506</v>
      </c>
      <c r="AN193" s="205">
        <v>-0.7354697</v>
      </c>
      <c r="AO193" s="205">
        <v>-0.7354697</v>
      </c>
      <c r="AP193" s="205">
        <v>1.23755971</v>
      </c>
      <c r="AQ193" s="205">
        <v>-0.7354697</v>
      </c>
      <c r="AR193" s="205">
        <v>-0.4445163</v>
      </c>
      <c r="AS193" s="205">
        <v>0.74293392</v>
      </c>
      <c r="AT193" s="205">
        <v>-0.7354697</v>
      </c>
      <c r="AU193" s="205">
        <v>-0.6809813</v>
      </c>
      <c r="AV193" s="205">
        <v>-0.7027966</v>
      </c>
      <c r="AW193" s="205">
        <v>1.33807723</v>
      </c>
      <c r="AX193" s="205">
        <v>0.0</v>
      </c>
      <c r="AY193" s="205">
        <v>1.24054538</v>
      </c>
      <c r="AZ193" s="205">
        <v>-0.5095541</v>
      </c>
      <c r="BA193" s="205">
        <v>0.48964968</v>
      </c>
      <c r="BB193" s="205">
        <v>1.43063296</v>
      </c>
      <c r="BC193" s="205">
        <v>-0.7354697</v>
      </c>
      <c r="BD193" s="205">
        <v>-0.1930732</v>
      </c>
      <c r="BE193" s="205">
        <v>-0.1861067</v>
      </c>
      <c r="BF193" s="205">
        <v>0.28861465</v>
      </c>
      <c r="BG193" s="205">
        <v>-0.15625</v>
      </c>
      <c r="BH193" s="205">
        <v>-0.7354697</v>
      </c>
      <c r="BI193" s="205">
        <v>-0.1263933</v>
      </c>
      <c r="BJ193" s="205">
        <v>-0.2060111</v>
      </c>
      <c r="BK193" s="205">
        <v>0.07663217</v>
      </c>
      <c r="BL193" s="205">
        <v>0.84544188</v>
      </c>
      <c r="BM193" s="205">
        <v>-0.140824</v>
      </c>
      <c r="BN193" s="205">
        <v>0.32941879</v>
      </c>
      <c r="BO193" s="205">
        <v>-0.3408141</v>
      </c>
      <c r="BP193" s="205">
        <v>-0.6575438</v>
      </c>
      <c r="BQ193" s="206"/>
      <c r="BR193" s="250">
        <f t="shared" si="1"/>
        <v>0.1795924098</v>
      </c>
      <c r="BS193" s="250">
        <f t="shared" si="2"/>
        <v>0.6053684754</v>
      </c>
      <c r="BT193" s="206"/>
      <c r="BU193" s="207">
        <f>IFERROR(__xludf.DUMMYFUNCTION("AVERAGE(ARRAYFORMULA(XLOOKUP(FILTER(INDIRECT(""'""&amp;BU$1&amp;""'!$C$4:$C$66""),INDIRECT(""'""&amp;BU$1&amp;""'!$D$4:$D$66"")=BU$2),$F$3:$BP$3,$F193:$BP193)))"),0.18212581000000003)</f>
        <v>0.18212581</v>
      </c>
      <c r="BV193" s="207" t="str">
        <f>IFERROR(__xludf.DUMMYFUNCTION("IF(OR(BU193&gt;$BR193+$BS193*$BS$2,BU193&lt;$BR193-$BS193*$BS$2),AVEDEV(ARRAYFORMULA(XLOOKUP(FILTER(INDIRECT(""'""&amp;BU$1&amp;""'!$C$4:$C$66""),INDIRECT(""'""&amp;BU$1&amp;""'!$D$4:$D$66"")=BU$2),$F$3:$BP$3,$F193:$BP193))),"""")"),"")</f>
        <v/>
      </c>
      <c r="BW193" s="207">
        <f>IFERROR(__xludf.DUMMYFUNCTION("AVERAGE(ARRAYFORMULA(XLOOKUP(FILTER(INDIRECT(""'""&amp;BW$1&amp;""'!$C$4:$C$66""),INDIRECT(""'""&amp;BW$1&amp;""'!$D$4:$D$66"")=BW$2),$F$3:$BP$3,$F193:$BP193)))"),0.19915311976190478)</f>
        <v>0.1991531198</v>
      </c>
      <c r="BX193" s="207" t="str">
        <f>IFERROR(__xludf.DUMMYFUNCTION("IF(OR(BW193&gt;$BR193+$BS193*$BS$2,BW193&lt;$BR193-$BS193*$BS$2),AVEDEV(ARRAYFORMULA(XLOOKUP(FILTER(INDIRECT(""'""&amp;BW$1&amp;""'!$C$4:$C$66""),INDIRECT(""'""&amp;BW$1&amp;""'!$D$4:$D$66"")=BW$2),$F$3:$BP$3,$F193:$BP193))),"""")"),"")</f>
        <v/>
      </c>
      <c r="BY193" s="207">
        <f>IFERROR(__xludf.DUMMYFUNCTION("AVERAGE(ARRAYFORMULA(XLOOKUP(FILTER(INDIRECT(""'""&amp;BY$1&amp;""'!$C$4:$C$66""),INDIRECT(""'""&amp;BY$1&amp;""'!$D$4:$D$66"")=BY$2),$F$3:$BP$3,$F193:$BP193)))"),0.25328876636363634)</f>
        <v>0.2532887664</v>
      </c>
      <c r="BZ193" s="207" t="str">
        <f>IFERROR(__xludf.DUMMYFUNCTION("IF(OR(BY193&gt;$BR193+$BS193*$BS$2,BY193&lt;$BR193-$BS193*$BS$2),AVEDEV(ARRAYFORMULA(XLOOKUP(FILTER(INDIRECT(""'""&amp;BY$1&amp;""'!$C$4:$C$66""),INDIRECT(""'""&amp;BY$1&amp;""'!$D$4:$D$66"")=BY$2),$F$3:$BP$3,$F193:$BP193))),"""")"),"")</f>
        <v/>
      </c>
      <c r="CA193" s="209"/>
      <c r="CB193" s="207">
        <f>IFERROR(__xludf.DUMMYFUNCTION("AVERAGE(ARRAYFORMULA(XLOOKUP(FILTER(INDIRECT(""'""&amp;CB$1&amp;""'!$C$4:$C$66""),INDIRECT(""'""&amp;CB$1&amp;""'!$D$4:$D$66"")=CB$2),$F$3:$BP$3,$F193:$BP193)))"),0.26402829)</f>
        <v>0.26402829</v>
      </c>
      <c r="CC193" s="207" t="str">
        <f>IFERROR(__xludf.DUMMYFUNCTION("IF(OR(CB193&gt;$BR193+$BS193*$BS$2,CB193&lt;$BR193-$BS193*$BS$2),AVEDEV(ARRAYFORMULA(XLOOKUP(FILTER(INDIRECT(""'""&amp;CB$1&amp;""'!$C$4:$C$66""),INDIRECT(""'""&amp;CB$1&amp;""'!$D$4:$D$66"")=CB$2),$F$3:$BP$3,$F193:$BP193))),"""")"),"")</f>
        <v/>
      </c>
      <c r="CD193" s="207">
        <f>IFERROR(__xludf.DUMMYFUNCTION("AVERAGE(ARRAYFORMULA(XLOOKUP(FILTER(INDIRECT(""'""&amp;CD$1&amp;""'!$C$4:$C$66""),INDIRECT(""'""&amp;CD$1&amp;""'!$D$4:$D$66"")=CD$2),$F$3:$BP$3,$F193:$BP193)))"),0.25834704032258066)</f>
        <v>0.2583470403</v>
      </c>
      <c r="CE193" s="207" t="str">
        <f>IFERROR(__xludf.DUMMYFUNCTION("IF(OR(CD193&gt;$BR193+$BS193*$BS$2,CD193&lt;$BR193-$BS193*$BS$2),AVEDEV(ARRAYFORMULA(XLOOKUP(FILTER(INDIRECT(""'""&amp;CD$1&amp;""'!$C$4:$C$66""),INDIRECT(""'""&amp;CD$1&amp;""'!$D$4:$D$66"")=CD$2),$F$3:$BP$3,$F193:$BP193))),"""")"),"")</f>
        <v/>
      </c>
      <c r="CF193" s="207">
        <f>IFERROR(__xludf.DUMMYFUNCTION("AVERAGE(ARRAYFORMULA(XLOOKUP(FILTER(INDIRECT(""'""&amp;CF$1&amp;""'!$C$4:$C$66""),INDIRECT(""'""&amp;CF$1&amp;""'!$D$4:$D$66"")=CF$2),$F$3:$BP$3,$F193:$BP193)))"),-0.23951033400000005)</f>
        <v>-0.239510334</v>
      </c>
      <c r="CG193" s="207" t="str">
        <f>IFERROR(__xludf.DUMMYFUNCTION("IF(OR(CF193&gt;$BR193+$BS193*$BS$2,CF193&lt;$BR193-$BS193*$BS$2),AVEDEV(ARRAYFORMULA(XLOOKUP(FILTER(INDIRECT(""'""&amp;CF$1&amp;""'!$C$4:$C$66""),INDIRECT(""'""&amp;CF$1&amp;""'!$D$4:$D$66"")=CF$2),$F$3:$BP$3,$F193:$BP193))),"""")"),"")</f>
        <v/>
      </c>
      <c r="CH193" s="206"/>
      <c r="CI193" s="251">
        <f>IFERROR(__xludf.DUMMYFUNCTION("AVERAGE(ARRAYFORMULA(XLOOKUP(FILTER(INDIRECT(""'""&amp;CI$1&amp;""'!$C$4:$C$66""),INDIRECT(""'""&amp;CI$1&amp;""'!$D$4:$D$66"")=CI$2),$F$3:$BP$3,$F193:$BP193)))"),0.5089570133333333)</f>
        <v>0.5089570133</v>
      </c>
      <c r="CJ193" s="207" t="str">
        <f>IFERROR(__xludf.DUMMYFUNCTION("IF(OR(CI193&gt;$BR193+$BS193*$BS$2,CI193&lt;$BR193-$BS193*$BS$2),AVEDEV(ARRAYFORMULA(XLOOKUP(FILTER(INDIRECT(""'""&amp;CI$1&amp;""'!$C$4:$C$66""),INDIRECT(""'""&amp;CI$1&amp;""'!$D$4:$D$66"")=CI$2),$F$3:$BP$3,$F193:$BP193))),"""")"),"")</f>
        <v/>
      </c>
      <c r="CK193" s="251">
        <f>IFERROR(__xludf.DUMMYFUNCTION("AVERAGE(ARRAYFORMULA(XLOOKUP(FILTER(INDIRECT(""'""&amp;CK$1&amp;""'!$C$4:$C$66""),INDIRECT(""'""&amp;CK$1&amp;""'!$D$4:$D$66"")=CK$2),$F$3:$BP$3,$F193:$BP193)))"),0.1515910879487179)</f>
        <v>0.1515910879</v>
      </c>
      <c r="CL193" s="207" t="str">
        <f>IFERROR(__xludf.DUMMYFUNCTION("IF(OR(CK193&gt;$BR193+$BS193*$BS$2,CK193&lt;$BR193-$BS193*$BS$2),AVEDEV(ARRAYFORMULA(XLOOKUP(FILTER(INDIRECT(""'""&amp;CK$1&amp;""'!$C$4:$C$66""),INDIRECT(""'""&amp;CK$1&amp;""'!$D$4:$D$66"")=CK$2),$F$3:$BP$3,$F193:$BP193))),"""")"),"")</f>
        <v/>
      </c>
      <c r="CM193" s="251">
        <f>IFERROR(__xludf.DUMMYFUNCTION("AVERAGE(ARRAYFORMULA(XLOOKUP(FILTER(INDIRECT(""'""&amp;CM$1&amp;""'!$C$4:$C$66""),INDIRECT(""'""&amp;CM$1&amp;""'!$D$4:$D$66"")=CM$2),$F$3:$BP$3,$F193:$BP193)))"),-0.23951033400000005)</f>
        <v>-0.239510334</v>
      </c>
      <c r="CN193" s="207" t="str">
        <f>IFERROR(__xludf.DUMMYFUNCTION("IF(OR(CM193&gt;$BR193+$BS193*$BS$2,CM193&lt;$BR193-$BS193*$BS$2),AVEDEV(ARRAYFORMULA(XLOOKUP(FILTER(INDIRECT(""'""&amp;CM$1&amp;""'!$C$4:$C$66""),INDIRECT(""'""&amp;CM$1&amp;""'!$D$4:$D$66"")=CM$2),$F$3:$BP$3,$F193:$BP193))),"""")"),"")</f>
        <v/>
      </c>
      <c r="CO193" s="252"/>
      <c r="CP193" s="251">
        <f>IFERROR(__xludf.DUMMYFUNCTION("AVERAGE(ARRAYFORMULA(XLOOKUP(FILTER(INDIRECT(""'""&amp;CP$1&amp;""'!$C$4:$C$66""),INDIRECT(""'""&amp;CP$1&amp;""'!$D$4:$D$66"")=CP$2),$F$3:$BP$3,$F193:$BP193)))"),0.013629582142857144)</f>
        <v>0.01362958214</v>
      </c>
      <c r="CQ193" s="207" t="str">
        <f>IFERROR(__xludf.DUMMYFUNCTION("IF(OR(CP193&gt;$BR193+$BS193*$BS$2,CP193&lt;$BR193-$BS193*$BS$2),AVEDEV(ARRAYFORMULA(XLOOKUP(FILTER(INDIRECT(""'""&amp;CP$1&amp;""'!$C$4:$C$66""),INDIRECT(""'""&amp;CP$1&amp;""'!$D$4:$D$66"")=CP$2),$F$3:$BP$3,$F193:$BP193))),"""")"),"")</f>
        <v/>
      </c>
      <c r="CR193" s="251">
        <f>IFERROR(__xludf.DUMMYFUNCTION("AVERAGE(ARRAYFORMULA(XLOOKUP(FILTER(INDIRECT(""'""&amp;CR$1&amp;""'!$C$4:$C$66""),INDIRECT(""'""&amp;CR$1&amp;""'!$D$4:$D$66"")=CR$2),$F$3:$BP$3,$F193:$BP193)))"),0.07779879666666664)</f>
        <v>0.07779879667</v>
      </c>
      <c r="CS193" s="207" t="str">
        <f>IFERROR(__xludf.DUMMYFUNCTION("IF(OR(CR193&gt;$BR193+$BS193*$BS$2,CR193&lt;$BR193-$BS193*$BS$2),AVEDEV(ARRAYFORMULA(XLOOKUP(FILTER(INDIRECT(""'""&amp;CR$1&amp;""'!$C$4:$C$66""),INDIRECT(""'""&amp;CR$1&amp;""'!$D$4:$D$66"")=CR$2),$F$3:$BP$3,$F193:$BP193))),"""")"),"")</f>
        <v/>
      </c>
      <c r="CT193" s="251">
        <f>IFERROR(__xludf.DUMMYFUNCTION("AVERAGE(ARRAYFORMULA(XLOOKUP(FILTER(INDIRECT(""'""&amp;CT$1&amp;""'!$C$4:$C$66""),INDIRECT(""'""&amp;CT$1&amp;""'!$D$4:$D$66"")=CT$2),$F$3:$BP$3,$F193:$BP193)))"),0.4653345827272728)</f>
        <v>0.4653345827</v>
      </c>
      <c r="CU193" s="207" t="str">
        <f>IFERROR(__xludf.DUMMYFUNCTION("IF(OR(CT193&gt;$BR193+$BS193*$BS$2,CT193&lt;$BR193-$BS193*$BS$2),AVEDEV(ARRAYFORMULA(XLOOKUP(FILTER(INDIRECT(""'""&amp;CT$1&amp;""'!$C$4:$C$66""),INDIRECT(""'""&amp;CT$1&amp;""'!$D$4:$D$66"")=CT$2),$F$3:$BP$3,$F193:$BP193))),"""")"),"")</f>
        <v/>
      </c>
      <c r="CV193" s="251">
        <f>IFERROR(__xludf.DUMMYFUNCTION("AVERAGE(ARRAYFORMULA(XLOOKUP(FILTER(INDIRECT(""'""&amp;CV$1&amp;""'!$C$4:$C$66""),INDIRECT(""'""&amp;CV$1&amp;""'!$D$4:$D$66"")=CV$2),$F$3:$BP$3,$F193:$BP193)))"),-0.18038415)</f>
        <v>-0.18038415</v>
      </c>
      <c r="CW193" s="207" t="str">
        <f>IFERROR(__xludf.DUMMYFUNCTION("IF(OR(CV193&gt;$BR193+$BS193*$BS$2,CV193&lt;$BR193-$BS193*$BS$2),AVEDEV(ARRAYFORMULA(XLOOKUP(FILTER(INDIRECT(""'""&amp;CV$1&amp;""'!$C$4:$C$66""),INDIRECT(""'""&amp;CV$1&amp;""'!$D$4:$D$66"")=CV$2),$F$3:$BP$3,$F193:$BP193))),"""")"),"")</f>
        <v/>
      </c>
      <c r="CX193" s="251">
        <f>IFERROR(__xludf.DUMMYFUNCTION("AVERAGE(ARRAYFORMULA(XLOOKUP(FILTER(INDIRECT(""'""&amp;CX$1&amp;""'!$C$4:$C$66""),INDIRECT(""'""&amp;CX$1&amp;""'!$D$4:$D$66"")=CX$2),$F$3:$BP$3,$F193:$BP193)))"),0.2578871507142856)</f>
        <v>0.2578871507</v>
      </c>
      <c r="CY193" s="207" t="str">
        <f>IFERROR(__xludf.DUMMYFUNCTION("IF(OR(CX193&gt;$BR193+$BS193*$BS$2,CX193&lt;$BR193-$BS193*$BS$2),AVEDEV(ARRAYFORMULA(XLOOKUP(FILTER(INDIRECT(""'""&amp;CX$1&amp;""'!$C$4:$C$66""),INDIRECT(""'""&amp;CX$1&amp;""'!$D$4:$D$66"")=CX$2),$F$3:$BP$3,$F193:$BP193))),"""")"),"")</f>
        <v/>
      </c>
      <c r="CZ193" s="252"/>
      <c r="DA193" s="251">
        <f>IFERROR(__xludf.DUMMYFUNCTION("AVERAGE(ARRAYFORMULA(XLOOKUP(FILTER(INDIRECT(""'""&amp;DA$1&amp;""'!$C$4:$C$66""),INDIRECT(""'""&amp;DA$1&amp;""'!$D$4:$D$66"")=DA$2),$F$3:$BP$3,$F193:$BP193)))"),0.29626958000000003)</f>
        <v>0.29626958</v>
      </c>
      <c r="DB193" s="207" t="str">
        <f>IFERROR(__xludf.DUMMYFUNCTION("IF(OR(DA193&gt;$BR193+$BS193*$BS$2,DA193&lt;$BR193-$BS193*$BS$2),AVEDEV(ARRAYFORMULA(XLOOKUP(FILTER(INDIRECT(""'""&amp;DA$1&amp;""'!$C$4:$C$66""),INDIRECT(""'""&amp;DA$1&amp;""'!$D$4:$D$66"")=DA$2),$F$3:$BP$3,$F193:$BP193))),"""")"),"")</f>
        <v/>
      </c>
      <c r="DC193" s="251">
        <f>IFERROR(__xludf.DUMMYFUNCTION("AVERAGE(ARRAYFORMULA(XLOOKUP(FILTER(INDIRECT(""'""&amp;DC$1&amp;""'!$C$4:$C$66""),INDIRECT(""'""&amp;DC$1&amp;""'!$D$4:$D$66"")=DC$2),$F$3:$BP$3,$F193:$BP193)))"),0.006336259999999996)</f>
        <v>0.00633626</v>
      </c>
      <c r="DD193" s="207" t="str">
        <f>IFERROR(__xludf.DUMMYFUNCTION("IF(OR(DC193&gt;$BR193+$BS193*$BS$2,DC193&lt;$BR193-$BS193*$BS$2),AVEDEV(ARRAYFORMULA(XLOOKUP(FILTER(INDIRECT(""'""&amp;DC$1&amp;""'!$C$4:$C$66""),INDIRECT(""'""&amp;DC$1&amp;""'!$D$4:$D$66"")=DC$2),$F$3:$BP$3,$F193:$BP193))),"""")"),"")</f>
        <v/>
      </c>
      <c r="DE193" s="251">
        <f>IFERROR(__xludf.DUMMYFUNCTION("AVERAGE(ARRAYFORMULA(XLOOKUP(FILTER(INDIRECT(""'""&amp;DE$1&amp;""'!$C$4:$C$66""),INDIRECT(""'""&amp;DE$1&amp;""'!$D$4:$D$66"")=DE$2),$F$3:$BP$3,$F193:$BP193)))"),0.6363704225000001)</f>
        <v>0.6363704225</v>
      </c>
      <c r="DF193" s="207" t="str">
        <f>IFERROR(__xludf.DUMMYFUNCTION("IF(OR(DE193&gt;$BR193+$BS193*$BS$2,DE193&lt;$BR193-$BS193*$BS$2),AVEDEV(ARRAYFORMULA(XLOOKUP(FILTER(INDIRECT(""'""&amp;DE$1&amp;""'!$C$4:$C$66""),INDIRECT(""'""&amp;DE$1&amp;""'!$D$4:$D$66"")=DE$2),$F$3:$BP$3,$F193:$BP193))),"""")"),"")</f>
        <v/>
      </c>
      <c r="DG193" s="251">
        <f>IFERROR(__xludf.DUMMYFUNCTION("AVERAGE(ARRAYFORMULA(XLOOKUP(FILTER(INDIRECT(""'""&amp;DG$1&amp;""'!$C$4:$C$66""),INDIRECT(""'""&amp;DG$1&amp;""'!$D$4:$D$66"")=DG$2),$F$3:$BP$3,$F193:$BP193)))"),-0.07003272222222222)</f>
        <v>-0.07003272222</v>
      </c>
      <c r="DH193" s="207" t="str">
        <f>IFERROR(__xludf.DUMMYFUNCTION("IF(OR(DG193&gt;$BR193+$BS193*$BS$2,DG193&lt;$BR193-$BS193*$BS$2),AVEDEV(ARRAYFORMULA(XLOOKUP(FILTER(INDIRECT(""'""&amp;DG$1&amp;""'!$C$4:$C$66""),INDIRECT(""'""&amp;DG$1&amp;""'!$D$4:$D$66"")=DG$2),$F$3:$BP$3,$F193:$BP193))),"""")"),"")</f>
        <v/>
      </c>
      <c r="DI193" s="252"/>
    </row>
    <row r="194">
      <c r="A194" s="2"/>
      <c r="B194" s="204" t="s">
        <v>630</v>
      </c>
      <c r="C194" s="204" t="s">
        <v>639</v>
      </c>
      <c r="D194" s="205" t="b">
        <f>VLOOKUP(C194,'Feature Set List'!A191:C246,2,0)</f>
        <v>1</v>
      </c>
      <c r="E194" s="205" t="b">
        <f>VLOOKUP(C194,'Feature Set List'!A191:C246,3,0)</f>
        <v>1</v>
      </c>
      <c r="F194" s="205">
        <v>0.0</v>
      </c>
      <c r="G194" s="205">
        <v>0.0</v>
      </c>
      <c r="H194" s="205">
        <v>0.0</v>
      </c>
      <c r="I194" s="205">
        <v>0.0</v>
      </c>
      <c r="J194" s="205">
        <v>0.0</v>
      </c>
      <c r="K194" s="205">
        <v>0.0</v>
      </c>
      <c r="L194" s="205">
        <v>0.0</v>
      </c>
      <c r="M194" s="205">
        <v>0.0</v>
      </c>
      <c r="N194" s="205">
        <v>0.0</v>
      </c>
      <c r="O194" s="205">
        <v>0.0</v>
      </c>
      <c r="P194" s="205">
        <v>0.0</v>
      </c>
      <c r="Q194" s="205">
        <v>0.0</v>
      </c>
      <c r="R194" s="205">
        <v>0.0</v>
      </c>
      <c r="S194" s="205">
        <v>0.0</v>
      </c>
      <c r="T194" s="205">
        <v>0.0</v>
      </c>
      <c r="U194" s="205">
        <v>0.0</v>
      </c>
      <c r="V194" s="205">
        <v>0.0</v>
      </c>
      <c r="W194" s="205">
        <v>0.0</v>
      </c>
      <c r="X194" s="205">
        <v>0.0</v>
      </c>
      <c r="Y194" s="205">
        <v>0.0</v>
      </c>
      <c r="Z194" s="205">
        <v>0.0</v>
      </c>
      <c r="AA194" s="205">
        <v>0.0</v>
      </c>
      <c r="AB194" s="205">
        <v>0.0</v>
      </c>
      <c r="AC194" s="205">
        <v>0.0</v>
      </c>
      <c r="AD194" s="205">
        <v>0.0</v>
      </c>
      <c r="AE194" s="205">
        <v>0.0</v>
      </c>
      <c r="AF194" s="205">
        <v>0.0</v>
      </c>
      <c r="AG194" s="205">
        <v>0.0</v>
      </c>
      <c r="AH194" s="205">
        <v>0.0</v>
      </c>
      <c r="AI194" s="205">
        <v>0.0</v>
      </c>
      <c r="AJ194" s="205">
        <v>0.0</v>
      </c>
      <c r="AK194" s="205">
        <v>0.0</v>
      </c>
      <c r="AL194" s="205">
        <v>0.0</v>
      </c>
      <c r="AM194" s="205">
        <v>0.0</v>
      </c>
      <c r="AN194" s="205">
        <v>0.0</v>
      </c>
      <c r="AO194" s="205">
        <v>0.0</v>
      </c>
      <c r="AP194" s="205">
        <v>0.0</v>
      </c>
      <c r="AQ194" s="205">
        <v>0.0</v>
      </c>
      <c r="AR194" s="205">
        <v>0.0</v>
      </c>
      <c r="AS194" s="205">
        <v>0.0</v>
      </c>
      <c r="AT194" s="205">
        <v>0.0</v>
      </c>
      <c r="AU194" s="205">
        <v>0.0</v>
      </c>
      <c r="AV194" s="205">
        <v>0.0</v>
      </c>
      <c r="AW194" s="205">
        <v>0.0</v>
      </c>
      <c r="AX194" s="205">
        <v>0.0</v>
      </c>
      <c r="AY194" s="205">
        <v>0.0</v>
      </c>
      <c r="AZ194" s="205">
        <v>0.0</v>
      </c>
      <c r="BA194" s="205">
        <v>0.0</v>
      </c>
      <c r="BB194" s="205">
        <v>0.0</v>
      </c>
      <c r="BC194" s="205">
        <v>0.0</v>
      </c>
      <c r="BD194" s="205">
        <v>0.0</v>
      </c>
      <c r="BE194" s="205">
        <v>0.0</v>
      </c>
      <c r="BF194" s="205">
        <v>0.0</v>
      </c>
      <c r="BG194" s="205">
        <v>0.0</v>
      </c>
      <c r="BH194" s="205">
        <v>0.0</v>
      </c>
      <c r="BI194" s="205">
        <v>0.0</v>
      </c>
      <c r="BJ194" s="205">
        <v>0.0</v>
      </c>
      <c r="BK194" s="205">
        <v>0.0</v>
      </c>
      <c r="BL194" s="205">
        <v>0.0</v>
      </c>
      <c r="BM194" s="205">
        <v>0.0</v>
      </c>
      <c r="BN194" s="205">
        <v>0.0</v>
      </c>
      <c r="BO194" s="205">
        <v>0.0</v>
      </c>
      <c r="BP194" s="205">
        <v>0.04464</v>
      </c>
      <c r="BQ194" s="206"/>
      <c r="BR194" s="250">
        <f t="shared" si="1"/>
        <v>0.0007085714286</v>
      </c>
      <c r="BS194" s="250">
        <f t="shared" si="2"/>
        <v>0.001394648526</v>
      </c>
      <c r="BT194" s="206"/>
      <c r="BU194" s="207">
        <f>IFERROR(__xludf.DUMMYFUNCTION("AVERAGE(ARRAYFORMULA(XLOOKUP(FILTER(INDIRECT(""'""&amp;BU$1&amp;""'!$C$4:$C$66""),INDIRECT(""'""&amp;BU$1&amp;""'!$D$4:$D$66"")=BU$2),$F$3:$BP$3,$F194:$BP194)))"),0.0)</f>
        <v>0</v>
      </c>
      <c r="BV194" s="207" t="str">
        <f>IFERROR(__xludf.DUMMYFUNCTION("IF(OR(BU194&gt;$BR194+$BS194*$BS$2,BU194&lt;$BR194-$BS194*$BS$2),AVEDEV(ARRAYFORMULA(XLOOKUP(FILTER(INDIRECT(""'""&amp;BU$1&amp;""'!$C$4:$C$66""),INDIRECT(""'""&amp;BU$1&amp;""'!$D$4:$D$66"")=BU$2),$F$3:$BP$3,$F194:$BP194))),"""")"),"")</f>
        <v/>
      </c>
      <c r="BW194" s="207">
        <f>IFERROR(__xludf.DUMMYFUNCTION("AVERAGE(ARRAYFORMULA(XLOOKUP(FILTER(INDIRECT(""'""&amp;BW$1&amp;""'!$C$4:$C$66""),INDIRECT(""'""&amp;BW$1&amp;""'!$D$4:$D$66"")=BW$2),$F$3:$BP$3,$F194:$BP194)))"),0.0010628571428571427)</f>
        <v>0.001062857143</v>
      </c>
      <c r="BX194" s="207" t="str">
        <f>IFERROR(__xludf.DUMMYFUNCTION("IF(OR(BW194&gt;$BR194+$BS194*$BS$2,BW194&lt;$BR194-$BS194*$BS$2),AVEDEV(ARRAYFORMULA(XLOOKUP(FILTER(INDIRECT(""'""&amp;BW$1&amp;""'!$C$4:$C$66""),INDIRECT(""'""&amp;BW$1&amp;""'!$D$4:$D$66"")=BW$2),$F$3:$BP$3,$F194:$BP194))),"""")"),"")</f>
        <v/>
      </c>
      <c r="BY194" s="207">
        <f>IFERROR(__xludf.DUMMYFUNCTION("AVERAGE(ARRAYFORMULA(XLOOKUP(FILTER(INDIRECT(""'""&amp;BY$1&amp;""'!$C$4:$C$66""),INDIRECT(""'""&amp;BY$1&amp;""'!$D$4:$D$66"")=BY$2),$F$3:$BP$3,$F194:$BP194)))"),0.0)</f>
        <v>0</v>
      </c>
      <c r="BZ194" s="207" t="str">
        <f>IFERROR(__xludf.DUMMYFUNCTION("IF(OR(BY194&gt;$BR194+$BS194*$BS$2,BY194&lt;$BR194-$BS194*$BS$2),AVEDEV(ARRAYFORMULA(XLOOKUP(FILTER(INDIRECT(""'""&amp;BY$1&amp;""'!$C$4:$C$66""),INDIRECT(""'""&amp;BY$1&amp;""'!$D$4:$D$66"")=BY$2),$F$3:$BP$3,$F194:$BP194))),"""")"),"")</f>
        <v/>
      </c>
      <c r="CA194" s="209"/>
      <c r="CB194" s="207">
        <f>IFERROR(__xludf.DUMMYFUNCTION("AVERAGE(ARRAYFORMULA(XLOOKUP(FILTER(INDIRECT(""'""&amp;CB$1&amp;""'!$C$4:$C$66""),INDIRECT(""'""&amp;CB$1&amp;""'!$D$4:$D$66"")=CB$2),$F$3:$BP$3,$F194:$BP194)))"),0.0)</f>
        <v>0</v>
      </c>
      <c r="CC194" s="207" t="str">
        <f>IFERROR(__xludf.DUMMYFUNCTION("IF(OR(CB194&gt;$BR194+$BS194*$BS$2,CB194&lt;$BR194-$BS194*$BS$2),AVEDEV(ARRAYFORMULA(XLOOKUP(FILTER(INDIRECT(""'""&amp;CB$1&amp;""'!$C$4:$C$66""),INDIRECT(""'""&amp;CB$1&amp;""'!$D$4:$D$66"")=CB$2),$F$3:$BP$3,$F194:$BP194))),"""")"),"")</f>
        <v/>
      </c>
      <c r="CD194" s="207">
        <f>IFERROR(__xludf.DUMMYFUNCTION("AVERAGE(ARRAYFORMULA(XLOOKUP(FILTER(INDIRECT(""'""&amp;CD$1&amp;""'!$C$4:$C$66""),INDIRECT(""'""&amp;CD$1&amp;""'!$D$4:$D$66"")=CD$2),$F$3:$BP$3,$F194:$BP194)))"),0.0014399999999999999)</f>
        <v>0.00144</v>
      </c>
      <c r="CE194" s="207" t="str">
        <f>IFERROR(__xludf.DUMMYFUNCTION("IF(OR(CD194&gt;$BR194+$BS194*$BS$2,CD194&lt;$BR194-$BS194*$BS$2),AVEDEV(ARRAYFORMULA(XLOOKUP(FILTER(INDIRECT(""'""&amp;CD$1&amp;""'!$C$4:$C$66""),INDIRECT(""'""&amp;CD$1&amp;""'!$D$4:$D$66"")=CD$2),$F$3:$BP$3,$F194:$BP194))),"""")"),"")</f>
        <v/>
      </c>
      <c r="CF194" s="207">
        <f>IFERROR(__xludf.DUMMYFUNCTION("AVERAGE(ARRAYFORMULA(XLOOKUP(FILTER(INDIRECT(""'""&amp;CF$1&amp;""'!$C$4:$C$66""),INDIRECT(""'""&amp;CF$1&amp;""'!$D$4:$D$66"")=CF$2),$F$3:$BP$3,$F194:$BP194)))"),0.0)</f>
        <v>0</v>
      </c>
      <c r="CG194" s="207" t="str">
        <f>IFERROR(__xludf.DUMMYFUNCTION("IF(OR(CF194&gt;$BR194+$BS194*$BS$2,CF194&lt;$BR194-$BS194*$BS$2),AVEDEV(ARRAYFORMULA(XLOOKUP(FILTER(INDIRECT(""'""&amp;CF$1&amp;""'!$C$4:$C$66""),INDIRECT(""'""&amp;CF$1&amp;""'!$D$4:$D$66"")=CF$2),$F$3:$BP$3,$F194:$BP194))),"""")"),"")</f>
        <v/>
      </c>
      <c r="CH194" s="206"/>
      <c r="CI194" s="251">
        <f>IFERROR(__xludf.DUMMYFUNCTION("AVERAGE(ARRAYFORMULA(XLOOKUP(FILTER(INDIRECT(""'""&amp;CI$1&amp;""'!$C$4:$C$66""),INDIRECT(""'""&amp;CI$1&amp;""'!$D$4:$D$66"")=CI$2),$F$3:$BP$3,$F194:$BP194)))"),0.0)</f>
        <v>0</v>
      </c>
      <c r="CJ194" s="207" t="str">
        <f>IFERROR(__xludf.DUMMYFUNCTION("IF(OR(CI194&gt;$BR194+$BS194*$BS$2,CI194&lt;$BR194-$BS194*$BS$2),AVEDEV(ARRAYFORMULA(XLOOKUP(FILTER(INDIRECT(""'""&amp;CI$1&amp;""'!$C$4:$C$66""),INDIRECT(""'""&amp;CI$1&amp;""'!$D$4:$D$66"")=CI$2),$F$3:$BP$3,$F194:$BP194))),"""")"),"")</f>
        <v/>
      </c>
      <c r="CK194" s="251">
        <f>IFERROR(__xludf.DUMMYFUNCTION("AVERAGE(ARRAYFORMULA(XLOOKUP(FILTER(INDIRECT(""'""&amp;CK$1&amp;""'!$C$4:$C$66""),INDIRECT(""'""&amp;CK$1&amp;""'!$D$4:$D$66"")=CK$2),$F$3:$BP$3,$F194:$BP194)))"),0.0011446153846153845)</f>
        <v>0.001144615385</v>
      </c>
      <c r="CL194" s="207" t="str">
        <f>IFERROR(__xludf.DUMMYFUNCTION("IF(OR(CK194&gt;$BR194+$BS194*$BS$2,CK194&lt;$BR194-$BS194*$BS$2),AVEDEV(ARRAYFORMULA(XLOOKUP(FILTER(INDIRECT(""'""&amp;CK$1&amp;""'!$C$4:$C$66""),INDIRECT(""'""&amp;CK$1&amp;""'!$D$4:$D$66"")=CK$2),$F$3:$BP$3,$F194:$BP194))),"""")"),"")</f>
        <v/>
      </c>
      <c r="CM194" s="251">
        <f>IFERROR(__xludf.DUMMYFUNCTION("AVERAGE(ARRAYFORMULA(XLOOKUP(FILTER(INDIRECT(""'""&amp;CM$1&amp;""'!$C$4:$C$66""),INDIRECT(""'""&amp;CM$1&amp;""'!$D$4:$D$66"")=CM$2),$F$3:$BP$3,$F194:$BP194)))"),0.0)</f>
        <v>0</v>
      </c>
      <c r="CN194" s="207" t="str">
        <f>IFERROR(__xludf.DUMMYFUNCTION("IF(OR(CM194&gt;$BR194+$BS194*$BS$2,CM194&lt;$BR194-$BS194*$BS$2),AVEDEV(ARRAYFORMULA(XLOOKUP(FILTER(INDIRECT(""'""&amp;CM$1&amp;""'!$C$4:$C$66""),INDIRECT(""'""&amp;CM$1&amp;""'!$D$4:$D$66"")=CM$2),$F$3:$BP$3,$F194:$BP194))),"""")"),"")</f>
        <v/>
      </c>
      <c r="CO194" s="252"/>
      <c r="CP194" s="251">
        <f>IFERROR(__xludf.DUMMYFUNCTION("AVERAGE(ARRAYFORMULA(XLOOKUP(FILTER(INDIRECT(""'""&amp;CP$1&amp;""'!$C$4:$C$66""),INDIRECT(""'""&amp;CP$1&amp;""'!$D$4:$D$66"")=CP$2),$F$3:$BP$3,$F194:$BP194)))"),0.0)</f>
        <v>0</v>
      </c>
      <c r="CQ194" s="207" t="str">
        <f>IFERROR(__xludf.DUMMYFUNCTION("IF(OR(CP194&gt;$BR194+$BS194*$BS$2,CP194&lt;$BR194-$BS194*$BS$2),AVEDEV(ARRAYFORMULA(XLOOKUP(FILTER(INDIRECT(""'""&amp;CP$1&amp;""'!$C$4:$C$66""),INDIRECT(""'""&amp;CP$1&amp;""'!$D$4:$D$66"")=CP$2),$F$3:$BP$3,$F194:$BP194))),"""")"),"")</f>
        <v/>
      </c>
      <c r="CR194" s="251">
        <f>IFERROR(__xludf.DUMMYFUNCTION("AVERAGE(ARRAYFORMULA(XLOOKUP(FILTER(INDIRECT(""'""&amp;CR$1&amp;""'!$C$4:$C$66""),INDIRECT(""'""&amp;CR$1&amp;""'!$D$4:$D$66"")=CR$2),$F$3:$BP$3,$F194:$BP194)))"),0.0)</f>
        <v>0</v>
      </c>
      <c r="CS194" s="207" t="str">
        <f>IFERROR(__xludf.DUMMYFUNCTION("IF(OR(CR194&gt;$BR194+$BS194*$BS$2,CR194&lt;$BR194-$BS194*$BS$2),AVEDEV(ARRAYFORMULA(XLOOKUP(FILTER(INDIRECT(""'""&amp;CR$1&amp;""'!$C$4:$C$66""),INDIRECT(""'""&amp;CR$1&amp;""'!$D$4:$D$66"")=CR$2),$F$3:$BP$3,$F194:$BP194))),"""")"),"")</f>
        <v/>
      </c>
      <c r="CT194" s="251">
        <f>IFERROR(__xludf.DUMMYFUNCTION("AVERAGE(ARRAYFORMULA(XLOOKUP(FILTER(INDIRECT(""'""&amp;CT$1&amp;""'!$C$4:$C$66""),INDIRECT(""'""&amp;CT$1&amp;""'!$D$4:$D$66"")=CT$2),$F$3:$BP$3,$F194:$BP194)))"),0.0)</f>
        <v>0</v>
      </c>
      <c r="CU194" s="207" t="str">
        <f>IFERROR(__xludf.DUMMYFUNCTION("IF(OR(CT194&gt;$BR194+$BS194*$BS$2,CT194&lt;$BR194-$BS194*$BS$2),AVEDEV(ARRAYFORMULA(XLOOKUP(FILTER(INDIRECT(""'""&amp;CT$1&amp;""'!$C$4:$C$66""),INDIRECT(""'""&amp;CT$1&amp;""'!$D$4:$D$66"")=CT$2),$F$3:$BP$3,$F194:$BP194))),"""")"),"")</f>
        <v/>
      </c>
      <c r="CV194" s="251">
        <f>IFERROR(__xludf.DUMMYFUNCTION("AVERAGE(ARRAYFORMULA(XLOOKUP(FILTER(INDIRECT(""'""&amp;CV$1&amp;""'!$C$4:$C$66""),INDIRECT(""'""&amp;CV$1&amp;""'!$D$4:$D$66"")=CV$2),$F$3:$BP$3,$F194:$BP194)))"),0.0)</f>
        <v>0</v>
      </c>
      <c r="CW194" s="207" t="str">
        <f>IFERROR(__xludf.DUMMYFUNCTION("IF(OR(CV194&gt;$BR194+$BS194*$BS$2,CV194&lt;$BR194-$BS194*$BS$2),AVEDEV(ARRAYFORMULA(XLOOKUP(FILTER(INDIRECT(""'""&amp;CV$1&amp;""'!$C$4:$C$66""),INDIRECT(""'""&amp;CV$1&amp;""'!$D$4:$D$66"")=CV$2),$F$3:$BP$3,$F194:$BP194))),"""")"),"")</f>
        <v/>
      </c>
      <c r="CX194" s="251">
        <f>IFERROR(__xludf.DUMMYFUNCTION("AVERAGE(ARRAYFORMULA(XLOOKUP(FILTER(INDIRECT(""'""&amp;CX$1&amp;""'!$C$4:$C$66""),INDIRECT(""'""&amp;CX$1&amp;""'!$D$4:$D$66"")=CX$2),$F$3:$BP$3,$F194:$BP194)))"),0.0031885714285714286)</f>
        <v>0.003188571429</v>
      </c>
      <c r="CY194" s="207">
        <f>IFERROR(__xludf.DUMMYFUNCTION("IF(OR(CX194&gt;$BR194+$BS194*$BS$2,CX194&lt;$BR194-$BS194*$BS$2),AVEDEV(ARRAYFORMULA(XLOOKUP(FILTER(INDIRECT(""'""&amp;CX$1&amp;""'!$C$4:$C$66""),INDIRECT(""'""&amp;CX$1&amp;""'!$D$4:$D$66"")=CX$2),$F$3:$BP$3,$F194:$BP194))),"""")"),0.005921632653061225)</f>
        <v>0.005921632653</v>
      </c>
      <c r="CZ194" s="252"/>
      <c r="DA194" s="251">
        <f>IFERROR(__xludf.DUMMYFUNCTION("AVERAGE(ARRAYFORMULA(XLOOKUP(FILTER(INDIRECT(""'""&amp;DA$1&amp;""'!$C$4:$C$66""),INDIRECT(""'""&amp;DA$1&amp;""'!$D$4:$D$66"")=DA$2),$F$3:$BP$3,$F194:$BP194)))"),0.001488)</f>
        <v>0.001488</v>
      </c>
      <c r="DB194" s="207" t="str">
        <f>IFERROR(__xludf.DUMMYFUNCTION("IF(OR(DA194&gt;$BR194+$BS194*$BS$2,DA194&lt;$BR194-$BS194*$BS$2),AVEDEV(ARRAYFORMULA(XLOOKUP(FILTER(INDIRECT(""'""&amp;DA$1&amp;""'!$C$4:$C$66""),INDIRECT(""'""&amp;DA$1&amp;""'!$D$4:$D$66"")=DA$2),$F$3:$BP$3,$F194:$BP194))),"""")"),"")</f>
        <v/>
      </c>
      <c r="DC194" s="251">
        <f>IFERROR(__xludf.DUMMYFUNCTION("AVERAGE(ARRAYFORMULA(XLOOKUP(FILTER(INDIRECT(""'""&amp;DC$1&amp;""'!$C$4:$C$66""),INDIRECT(""'""&amp;DC$1&amp;""'!$D$4:$D$66"")=DC$2),$F$3:$BP$3,$F194:$BP194)))"),0.0)</f>
        <v>0</v>
      </c>
      <c r="DD194" s="207" t="str">
        <f>IFERROR(__xludf.DUMMYFUNCTION("IF(OR(DC194&gt;$BR194+$BS194*$BS$2,DC194&lt;$BR194-$BS194*$BS$2),AVEDEV(ARRAYFORMULA(XLOOKUP(FILTER(INDIRECT(""'""&amp;DC$1&amp;""'!$C$4:$C$66""),INDIRECT(""'""&amp;DC$1&amp;""'!$D$4:$D$66"")=DC$2),$F$3:$BP$3,$F194:$BP194))),"""")"),"")</f>
        <v/>
      </c>
      <c r="DE194" s="251">
        <f>IFERROR(__xludf.DUMMYFUNCTION("AVERAGE(ARRAYFORMULA(XLOOKUP(FILTER(INDIRECT(""'""&amp;DE$1&amp;""'!$C$4:$C$66""),INDIRECT(""'""&amp;DE$1&amp;""'!$D$4:$D$66"")=DE$2),$F$3:$BP$3,$F194:$BP194)))"),0.0)</f>
        <v>0</v>
      </c>
      <c r="DF194" s="207" t="str">
        <f>IFERROR(__xludf.DUMMYFUNCTION("IF(OR(DE194&gt;$BR194+$BS194*$BS$2,DE194&lt;$BR194-$BS194*$BS$2),AVEDEV(ARRAYFORMULA(XLOOKUP(FILTER(INDIRECT(""'""&amp;DE$1&amp;""'!$C$4:$C$66""),INDIRECT(""'""&amp;DE$1&amp;""'!$D$4:$D$66"")=DE$2),$F$3:$BP$3,$F194:$BP194))),"""")"),"")</f>
        <v/>
      </c>
      <c r="DG194" s="251">
        <f>IFERROR(__xludf.DUMMYFUNCTION("AVERAGE(ARRAYFORMULA(XLOOKUP(FILTER(INDIRECT(""'""&amp;DG$1&amp;""'!$C$4:$C$66""),INDIRECT(""'""&amp;DG$1&amp;""'!$D$4:$D$66"")=DG$2),$F$3:$BP$3,$F194:$BP194)))"),0.0)</f>
        <v>0</v>
      </c>
      <c r="DH194" s="207" t="str">
        <f>IFERROR(__xludf.DUMMYFUNCTION("IF(OR(DG194&gt;$BR194+$BS194*$BS$2,DG194&lt;$BR194-$BS194*$BS$2),AVEDEV(ARRAYFORMULA(XLOOKUP(FILTER(INDIRECT(""'""&amp;DG$1&amp;""'!$C$4:$C$66""),INDIRECT(""'""&amp;DG$1&amp;""'!$D$4:$D$66"")=DG$2),$F$3:$BP$3,$F194:$BP194))),"""")"),"")</f>
        <v/>
      </c>
      <c r="DI194" s="252"/>
    </row>
    <row r="195">
      <c r="A195" s="2"/>
      <c r="B195" s="204" t="s">
        <v>630</v>
      </c>
      <c r="C195" s="204" t="s">
        <v>640</v>
      </c>
      <c r="D195" s="205" t="b">
        <f>VLOOKUP(C195,'Feature Set List'!A192:C246,2,0)</f>
        <v>1</v>
      </c>
      <c r="E195" s="205" t="b">
        <f>VLOOKUP(C195,'Feature Set List'!A192:C246,3,0)</f>
        <v>1</v>
      </c>
      <c r="F195" s="205">
        <v>5.66758223</v>
      </c>
      <c r="G195" s="205">
        <v>0.0</v>
      </c>
      <c r="H195" s="205">
        <v>0.0</v>
      </c>
      <c r="I195" s="205">
        <v>0.0</v>
      </c>
      <c r="J195" s="205">
        <v>0.0</v>
      </c>
      <c r="K195" s="205">
        <v>6.48824278</v>
      </c>
      <c r="L195" s="205">
        <v>7.45517072</v>
      </c>
      <c r="M195" s="205">
        <v>0.09852393</v>
      </c>
      <c r="N195" s="205">
        <v>0.0</v>
      </c>
      <c r="O195" s="205">
        <v>9.42922221</v>
      </c>
      <c r="P195" s="205">
        <v>0.0</v>
      </c>
      <c r="Q195" s="205">
        <v>0.0</v>
      </c>
      <c r="R195" s="205">
        <v>0.0</v>
      </c>
      <c r="S195" s="205">
        <v>8.98818695</v>
      </c>
      <c r="T195" s="205">
        <v>0.0</v>
      </c>
      <c r="U195" s="205">
        <v>0.0</v>
      </c>
      <c r="V195" s="205">
        <v>5.60617226</v>
      </c>
      <c r="W195" s="205">
        <v>0.0</v>
      </c>
      <c r="X195" s="205">
        <v>7.69634443</v>
      </c>
      <c r="Y195" s="205">
        <v>0.0</v>
      </c>
      <c r="Z195" s="205">
        <v>0.0</v>
      </c>
      <c r="AA195" s="205">
        <v>0.0</v>
      </c>
      <c r="AB195" s="205">
        <v>0.0</v>
      </c>
      <c r="AC195" s="205">
        <v>0.0</v>
      </c>
      <c r="AD195" s="205">
        <v>0.0</v>
      </c>
      <c r="AE195" s="205">
        <v>10.3224582</v>
      </c>
      <c r="AF195" s="205">
        <v>0.0</v>
      </c>
      <c r="AG195" s="205">
        <v>0.0</v>
      </c>
      <c r="AH195" s="205">
        <v>0.0</v>
      </c>
      <c r="AI195" s="205">
        <v>0.0</v>
      </c>
      <c r="AJ195" s="205">
        <v>0.0</v>
      </c>
      <c r="AK195" s="205">
        <v>0.0</v>
      </c>
      <c r="AL195" s="205">
        <v>0.0</v>
      </c>
      <c r="AM195" s="205">
        <v>0.0</v>
      </c>
      <c r="AN195" s="205">
        <v>0.0</v>
      </c>
      <c r="AO195" s="205">
        <v>0.0</v>
      </c>
      <c r="AP195" s="205">
        <v>0.0</v>
      </c>
      <c r="AQ195" s="205">
        <v>3.47133829</v>
      </c>
      <c r="AR195" s="205">
        <v>0.0</v>
      </c>
      <c r="AS195" s="205">
        <v>1.90147607</v>
      </c>
      <c r="AT195" s="205">
        <v>0.0</v>
      </c>
      <c r="AU195" s="205">
        <v>4.81565843</v>
      </c>
      <c r="AV195" s="205">
        <v>0.0</v>
      </c>
      <c r="AW195" s="205">
        <v>0.0</v>
      </c>
      <c r="AX195" s="205">
        <v>0.0</v>
      </c>
      <c r="AY195" s="205">
        <v>4.93736183</v>
      </c>
      <c r="AZ195" s="205">
        <v>7.72425806</v>
      </c>
      <c r="BA195" s="205">
        <v>0.0</v>
      </c>
      <c r="BB195" s="205">
        <v>0.0</v>
      </c>
      <c r="BC195" s="205">
        <v>10.7512115</v>
      </c>
      <c r="BD195" s="205">
        <v>0.0</v>
      </c>
      <c r="BE195" s="205">
        <v>0.0</v>
      </c>
      <c r="BF195" s="205">
        <v>0.0</v>
      </c>
      <c r="BG195" s="205">
        <v>0.0</v>
      </c>
      <c r="BH195" s="205">
        <v>0.0</v>
      </c>
      <c r="BI195" s="205">
        <v>4.27190103</v>
      </c>
      <c r="BJ195" s="205">
        <v>0.0</v>
      </c>
      <c r="BK195" s="205">
        <v>0.0</v>
      </c>
      <c r="BL195" s="205">
        <v>11.4669168</v>
      </c>
      <c r="BM195" s="205">
        <v>0.0</v>
      </c>
      <c r="BN195" s="205">
        <v>0.0</v>
      </c>
      <c r="BO195" s="205">
        <v>0.0</v>
      </c>
      <c r="BP195" s="205">
        <v>0.0</v>
      </c>
      <c r="BQ195" s="206"/>
      <c r="BR195" s="250">
        <f t="shared" si="1"/>
        <v>1.763365488</v>
      </c>
      <c r="BS195" s="250">
        <f t="shared" si="2"/>
        <v>2.627925523</v>
      </c>
      <c r="BT195" s="206"/>
      <c r="BU195" s="207">
        <f>IFERROR(__xludf.DUMMYFUNCTION("AVERAGE(ARRAYFORMULA(XLOOKUP(FILTER(INDIRECT(""'""&amp;BU$1&amp;""'!$C$4:$C$66""),INDIRECT(""'""&amp;BU$1&amp;""'!$D$4:$D$66"")=BU$2),$F$3:$BP$3,$F195:$BP195)))"),0.0)</f>
        <v>0</v>
      </c>
      <c r="BV195" s="207" t="str">
        <f>IFERROR(__xludf.DUMMYFUNCTION("IF(OR(BU195&gt;$BR195+$BS195*$BS$2,BU195&lt;$BR195-$BS195*$BS$2),AVEDEV(ARRAYFORMULA(XLOOKUP(FILTER(INDIRECT(""'""&amp;BU$1&amp;""'!$C$4:$C$66""),INDIRECT(""'""&amp;BU$1&amp;""'!$D$4:$D$66"")=BU$2),$F$3:$BP$3,$F195:$BP195))),"""")"),"")</f>
        <v/>
      </c>
      <c r="BW195" s="207">
        <f>IFERROR(__xludf.DUMMYFUNCTION("AVERAGE(ARRAYFORMULA(XLOOKUP(FILTER(INDIRECT(""'""&amp;BW$1&amp;""'!$C$4:$C$66""),INDIRECT(""'""&amp;BW$1&amp;""'!$D$4:$D$66"")=BW$2),$F$3:$BP$3,$F195:$BP195)))"),0.3466404226190476)</f>
        <v>0.3466404226</v>
      </c>
      <c r="BX195" s="207" t="str">
        <f>IFERROR(__xludf.DUMMYFUNCTION("IF(OR(BW195&gt;$BR195+$BS195*$BS$2,BW195&lt;$BR195-$BS195*$BS$2),AVEDEV(ARRAYFORMULA(XLOOKUP(FILTER(INDIRECT(""'""&amp;BW$1&amp;""'!$C$4:$C$66""),INDIRECT(""'""&amp;BW$1&amp;""'!$D$4:$D$66"")=BW$2),$F$3:$BP$3,$F195:$BP195))),"""")"),"")</f>
        <v/>
      </c>
      <c r="BY195" s="207">
        <f>IFERROR(__xludf.DUMMYFUNCTION("AVERAGE(ARRAYFORMULA(XLOOKUP(FILTER(INDIRECT(""'""&amp;BY$1&amp;""'!$C$4:$C$66""),INDIRECT(""'""&amp;BY$1&amp;""'!$D$4:$D$66"")=BY$2),$F$3:$BP$3,$F195:$BP195)))"),7.7983560427272725)</f>
        <v>7.798356043</v>
      </c>
      <c r="BZ195" s="207">
        <f>IFERROR(__xludf.DUMMYFUNCTION("IF(OR(BY195&gt;$BR195+$BS195*$BS$2,BY195&lt;$BR195-$BS195*$BS$2),AVEDEV(ARRAYFORMULA(XLOOKUP(FILTER(INDIRECT(""'""&amp;BY$1&amp;""'!$C$4:$C$66""),INDIRECT(""'""&amp;BY$1&amp;""'!$D$4:$D$66"")=BY$2),$F$3:$BP$3,$F195:$BP195))),"""")"),1.638792725289256)</f>
        <v>1.638792725</v>
      </c>
      <c r="CA195" s="209"/>
      <c r="CB195" s="207">
        <f>IFERROR(__xludf.DUMMYFUNCTION("AVERAGE(ARRAYFORMULA(XLOOKUP(FILTER(INDIRECT(""'""&amp;CB$1&amp;""'!$C$4:$C$66""),INDIRECT(""'""&amp;CB$1&amp;""'!$D$4:$D$66"")=CB$2),$F$3:$BP$3,$F195:$BP195)))"),0.125)</f>
        <v>0.125</v>
      </c>
      <c r="CC195" s="207" t="str">
        <f>IFERROR(__xludf.DUMMYFUNCTION("IF(OR(CB195&gt;$BR195+$BS195*$BS$2,CB195&lt;$BR195-$BS195*$BS$2),AVEDEV(ARRAYFORMULA(XLOOKUP(FILTER(INDIRECT(""'""&amp;CB$1&amp;""'!$C$4:$C$66""),INDIRECT(""'""&amp;CB$1&amp;""'!$D$4:$D$66"")=CB$2),$F$3:$BP$3,$F195:$BP195))),"""")"),"")</f>
        <v/>
      </c>
      <c r="CD195" s="207">
        <f>IFERROR(__xludf.DUMMYFUNCTION("AVERAGE(ARRAYFORMULA(XLOOKUP(FILTER(INDIRECT(""'""&amp;CD$1&amp;""'!$C$4:$C$66""),INDIRECT(""'""&amp;CD$1&amp;""'!$D$4:$D$66"")=CD$2),$F$3:$BP$3,$F195:$BP195)))"),1.6643003122580646)</f>
        <v>1.664300312</v>
      </c>
      <c r="CE195" s="207" t="str">
        <f>IFERROR(__xludf.DUMMYFUNCTION("IF(OR(CD195&gt;$BR195+$BS195*$BS$2,CD195&lt;$BR195-$BS195*$BS$2),AVEDEV(ARRAYFORMULA(XLOOKUP(FILTER(INDIRECT(""'""&amp;CD$1&amp;""'!$C$4:$C$66""),INDIRECT(""'""&amp;CD$1&amp;""'!$D$4:$D$66"")=CD$2),$F$3:$BP$3,$F195:$BP195))),"""")"),"")</f>
        <v/>
      </c>
      <c r="CF195" s="207">
        <f>IFERROR(__xludf.DUMMYFUNCTION("AVERAGE(ARRAYFORMULA(XLOOKUP(FILTER(INDIRECT(""'""&amp;CF$1&amp;""'!$C$4:$C$66""),INDIRECT(""'""&amp;CF$1&amp;""'!$D$4:$D$66"")=CF$2),$F$3:$BP$3,$F195:$BP195)))"),5.228333444)</f>
        <v>5.228333444</v>
      </c>
      <c r="CG195" s="207">
        <f>IFERROR(__xludf.DUMMYFUNCTION("IF(OR(CF195&gt;$BR195+$BS195*$BS$2,CF195&lt;$BR195-$BS195*$BS$2),AVEDEV(ARRAYFORMULA(XLOOKUP(FILTER(INDIRECT(""'""&amp;CF$1&amp;""'!$C$4:$C$66""),INDIRECT(""'""&amp;CF$1&amp;""'!$D$4:$D$66"")=CF$2),$F$3:$BP$3,$F195:$BP195))),"""")"),4.1826667552000005)</f>
        <v>4.182666755</v>
      </c>
      <c r="CH195" s="206"/>
      <c r="CI195" s="251">
        <f>IFERROR(__xludf.DUMMYFUNCTION("AVERAGE(ARRAYFORMULA(XLOOKUP(FILTER(INDIRECT(""'""&amp;CI$1&amp;""'!$C$4:$C$66""),INDIRECT(""'""&amp;CI$1&amp;""'!$D$4:$D$66"")=CI$2),$F$3:$BP$3,$F195:$BP195)))"),1.7887228973333333)</f>
        <v>1.788722897</v>
      </c>
      <c r="CJ195" s="207" t="str">
        <f>IFERROR(__xludf.DUMMYFUNCTION("IF(OR(CI195&gt;$BR195+$BS195*$BS$2,CI195&lt;$BR195-$BS195*$BS$2),AVEDEV(ARRAYFORMULA(XLOOKUP(FILTER(INDIRECT(""'""&amp;CI$1&amp;""'!$C$4:$C$66""),INDIRECT(""'""&amp;CI$1&amp;""'!$D$4:$D$66"")=CI$2),$F$3:$BP$3,$F195:$BP195))),"""")"),"")</f>
        <v/>
      </c>
      <c r="CK195" s="251">
        <f>IFERROR(__xludf.DUMMYFUNCTION("AVERAGE(ARRAYFORMULA(XLOOKUP(FILTER(INDIRECT(""'""&amp;CK$1&amp;""'!$C$4:$C$66""),INDIRECT(""'""&amp;CK$1&amp;""'!$D$4:$D$66"")=CK$2),$F$3:$BP$3,$F195:$BP195)))"),1.2145718856410257)</f>
        <v>1.214571886</v>
      </c>
      <c r="CL195" s="207" t="str">
        <f>IFERROR(__xludf.DUMMYFUNCTION("IF(OR(CK195&gt;$BR195+$BS195*$BS$2,CK195&lt;$BR195-$BS195*$BS$2),AVEDEV(ARRAYFORMULA(XLOOKUP(FILTER(INDIRECT(""'""&amp;CK$1&amp;""'!$C$4:$C$66""),INDIRECT(""'""&amp;CK$1&amp;""'!$D$4:$D$66"")=CK$2),$F$3:$BP$3,$F195:$BP195))),"""")"),"")</f>
        <v/>
      </c>
      <c r="CM195" s="251">
        <f>IFERROR(__xludf.DUMMYFUNCTION("AVERAGE(ARRAYFORMULA(XLOOKUP(FILTER(INDIRECT(""'""&amp;CM$1&amp;""'!$C$4:$C$66""),INDIRECT(""'""&amp;CM$1&amp;""'!$D$4:$D$66"")=CM$2),$F$3:$BP$3,$F195:$BP195)))"),5.228333444)</f>
        <v>5.228333444</v>
      </c>
      <c r="CN195" s="207">
        <f>IFERROR(__xludf.DUMMYFUNCTION("IF(OR(CM195&gt;$BR195+$BS195*$BS$2,CM195&lt;$BR195-$BS195*$BS$2),AVEDEV(ARRAYFORMULA(XLOOKUP(FILTER(INDIRECT(""'""&amp;CM$1&amp;""'!$C$4:$C$66""),INDIRECT(""'""&amp;CM$1&amp;""'!$D$4:$D$66"")=CM$2),$F$3:$BP$3,$F195:$BP195))),"""")"),4.1826667552000005)</f>
        <v>4.182666755</v>
      </c>
      <c r="CO195" s="252"/>
      <c r="CP195" s="251">
        <f>IFERROR(__xludf.DUMMYFUNCTION("AVERAGE(ARRAYFORMULA(XLOOKUP(FILTER(INDIRECT(""'""&amp;CP$1&amp;""'!$C$4:$C$66""),INDIRECT(""'""&amp;CP$1&amp;""'!$D$4:$D$66"")=CP$2),$F$3:$BP$3,$F195:$BP195)))"),0.007037423571428571)</f>
        <v>0.007037423571</v>
      </c>
      <c r="CQ195" s="207" t="str">
        <f>IFERROR(__xludf.DUMMYFUNCTION("IF(OR(CP195&gt;$BR195+$BS195*$BS$2,CP195&lt;$BR195-$BS195*$BS$2),AVEDEV(ARRAYFORMULA(XLOOKUP(FILTER(INDIRECT(""'""&amp;CP$1&amp;""'!$C$4:$C$66""),INDIRECT(""'""&amp;CP$1&amp;""'!$D$4:$D$66"")=CP$2),$F$3:$BP$3,$F195:$BP195))),"""")"),"")</f>
        <v/>
      </c>
      <c r="CR195" s="251">
        <f>IFERROR(__xludf.DUMMYFUNCTION("AVERAGE(ARRAYFORMULA(XLOOKUP(FILTER(INDIRECT(""'""&amp;CR$1&amp;""'!$C$4:$C$66""),INDIRECT(""'""&amp;CR$1&amp;""'!$D$4:$D$66"")=CR$2),$F$3:$BP$3,$F195:$BP195)))"),7.708626426666667)</f>
        <v>7.708626427</v>
      </c>
      <c r="CS195" s="207">
        <f>IFERROR(__xludf.DUMMYFUNCTION("IF(OR(CR195&gt;$BR195+$BS195*$BS$2,CR195&lt;$BR195-$BS195*$BS$2),AVEDEV(ARRAYFORMULA(XLOOKUP(FILTER(INDIRECT(""'""&amp;CR$1&amp;""'!$C$4:$C$66""),INDIRECT(""'""&amp;CR$1&amp;""'!$D$4:$D$66"")=CR$2),$F$3:$BP$3,$F195:$BP195))),"""")"),1.251026602962963)</f>
        <v>1.251026603</v>
      </c>
      <c r="CT195" s="251">
        <f>IFERROR(__xludf.DUMMYFUNCTION("AVERAGE(ARRAYFORMULA(XLOOKUP(FILTER(INDIRECT(""'""&amp;CT$1&amp;""'!$C$4:$C$66""),INDIRECT(""'""&amp;CT$1&amp;""'!$D$4:$D$66"")=CT$2),$F$3:$BP$3,$F195:$BP195)))"),1.0594996663636362)</f>
        <v>1.059499666</v>
      </c>
      <c r="CU195" s="207" t="str">
        <f>IFERROR(__xludf.DUMMYFUNCTION("IF(OR(CT195&gt;$BR195+$BS195*$BS$2,CT195&lt;$BR195-$BS195*$BS$2),AVEDEV(ARRAYFORMULA(XLOOKUP(FILTER(INDIRECT(""'""&amp;CT$1&amp;""'!$C$4:$C$66""),INDIRECT(""'""&amp;CT$1&amp;""'!$D$4:$D$66"")=CT$2),$F$3:$BP$3,$F195:$BP195))),"""")"),"")</f>
        <v/>
      </c>
      <c r="CV195" s="251">
        <f>IFERROR(__xludf.DUMMYFUNCTION("AVERAGE(ARRAYFORMULA(XLOOKUP(FILTER(INDIRECT(""'""&amp;CV$1&amp;""'!$C$4:$C$66""),INDIRECT(""'""&amp;CV$1&amp;""'!$D$4:$D$66"")=CV$2),$F$3:$BP$3,$F195:$BP195)))"),0.0)</f>
        <v>0</v>
      </c>
      <c r="CW195" s="207" t="str">
        <f>IFERROR(__xludf.DUMMYFUNCTION("IF(OR(CV195&gt;$BR195+$BS195*$BS$2,CV195&lt;$BR195-$BS195*$BS$2),AVEDEV(ARRAYFORMULA(XLOOKUP(FILTER(INDIRECT(""'""&amp;CV$1&amp;""'!$C$4:$C$66""),INDIRECT(""'""&amp;CV$1&amp;""'!$D$4:$D$66"")=CV$2),$F$3:$BP$3,$F195:$BP195))),"""")"),"")</f>
        <v/>
      </c>
      <c r="CX195" s="251">
        <f>IFERROR(__xludf.DUMMYFUNCTION("AVERAGE(ARRAYFORMULA(XLOOKUP(FILTER(INDIRECT(""'""&amp;CX$1&amp;""'!$C$4:$C$66""),INDIRECT(""'""&amp;CX$1&amp;""'!$D$4:$D$66"")=CX$2),$F$3:$BP$3,$F195:$BP195)))"),0.5530885228571429)</f>
        <v>0.5530885229</v>
      </c>
      <c r="CY195" s="207" t="str">
        <f>IFERROR(__xludf.DUMMYFUNCTION("IF(OR(CX195&gt;$BR195+$BS195*$BS$2,CX195&lt;$BR195-$BS195*$BS$2),AVEDEV(ARRAYFORMULA(XLOOKUP(FILTER(INDIRECT(""'""&amp;CX$1&amp;""'!$C$4:$C$66""),INDIRECT(""'""&amp;CX$1&amp;""'!$D$4:$D$66"")=CX$2),$F$3:$BP$3,$F195:$BP195))),"""")"),"")</f>
        <v/>
      </c>
      <c r="CZ195" s="252"/>
      <c r="DA195" s="251">
        <f>IFERROR(__xludf.DUMMYFUNCTION("AVERAGE(ARRAYFORMULA(XLOOKUP(FILTER(INDIRECT(""'""&amp;DA$1&amp;""'!$C$4:$C$66""),INDIRECT(""'""&amp;DA$1&amp;""'!$D$4:$D$66"")=DA$2),$F$3:$BP$3,$F195:$BP195)))"),0.2090633676666667)</f>
        <v>0.2090633677</v>
      </c>
      <c r="DB195" s="207" t="str">
        <f>IFERROR(__xludf.DUMMYFUNCTION("IF(OR(DA195&gt;$BR195+$BS195*$BS$2,DA195&lt;$BR195-$BS195*$BS$2),AVEDEV(ARRAYFORMULA(XLOOKUP(FILTER(INDIRECT(""'""&amp;DA$1&amp;""'!$C$4:$C$66""),INDIRECT(""'""&amp;DA$1&amp;""'!$D$4:$D$66"")=DA$2),$F$3:$BP$3,$F195:$BP195))),"""")"),"")</f>
        <v/>
      </c>
      <c r="DC195" s="251">
        <f>IFERROR(__xludf.DUMMYFUNCTION("AVERAGE(ARRAYFORMULA(XLOOKUP(FILTER(INDIRECT(""'""&amp;DC$1&amp;""'!$C$4:$C$66""),INDIRECT(""'""&amp;DC$1&amp;""'!$D$4:$D$66"")=DC$2),$F$3:$BP$3,$F195:$BP195)))"),7.515712271111111)</f>
        <v>7.515712271</v>
      </c>
      <c r="DD195" s="207">
        <f>IFERROR(__xludf.DUMMYFUNCTION("IF(OR(DC195&gt;$BR195+$BS195*$BS$2,DC195&lt;$BR195-$BS195*$BS$2),AVEDEV(ARRAYFORMULA(XLOOKUP(FILTER(INDIRECT(""'""&amp;DC$1&amp;""'!$C$4:$C$66""),INDIRECT(""'""&amp;DC$1&amp;""'!$D$4:$D$66"")=DC$2),$F$3:$BP$3,$F195:$BP195))),"""")"),1.6768299856790123)</f>
        <v>1.676829986</v>
      </c>
      <c r="DE195" s="251">
        <f>IFERROR(__xludf.DUMMYFUNCTION("AVERAGE(ARRAYFORMULA(XLOOKUP(FILTER(INDIRECT(""'""&amp;DE$1&amp;""'!$C$4:$C$66""),INDIRECT(""'""&amp;DE$1&amp;""'!$D$4:$D$66"")=DE$2),$F$3:$BP$3,$F195:$BP195)))"),0.61717022875)</f>
        <v>0.6171702288</v>
      </c>
      <c r="DF195" s="207" t="str">
        <f>IFERROR(__xludf.DUMMYFUNCTION("IF(OR(DE195&gt;$BR195+$BS195*$BS$2,DE195&lt;$BR195-$BS195*$BS$2),AVEDEV(ARRAYFORMULA(XLOOKUP(FILTER(INDIRECT(""'""&amp;DE$1&amp;""'!$C$4:$C$66""),INDIRECT(""'""&amp;DE$1&amp;""'!$D$4:$D$66"")=DE$2),$F$3:$BP$3,$F195:$BP195))),"""")"),"")</f>
        <v/>
      </c>
      <c r="DG195" s="251">
        <f>IFERROR(__xludf.DUMMYFUNCTION("AVERAGE(ARRAYFORMULA(XLOOKUP(FILTER(INDIRECT(""'""&amp;DG$1&amp;""'!$C$4:$C$66""),INDIRECT(""'""&amp;DG$1&amp;""'!$D$4:$D$66"")=DG$2),$F$3:$BP$3,$F195:$BP195)))"),2.0020891811111112)</f>
        <v>2.002089181</v>
      </c>
      <c r="DH195" s="207" t="str">
        <f>IFERROR(__xludf.DUMMYFUNCTION("IF(OR(DG195&gt;$BR195+$BS195*$BS$2,DG195&lt;$BR195-$BS195*$BS$2),AVEDEV(ARRAYFORMULA(XLOOKUP(FILTER(INDIRECT(""'""&amp;DG$1&amp;""'!$C$4:$C$66""),INDIRECT(""'""&amp;DG$1&amp;""'!$D$4:$D$66"")=DG$2),$F$3:$BP$3,$F195:$BP195))),"""")"),"")</f>
        <v/>
      </c>
      <c r="DI195" s="252"/>
    </row>
    <row r="196">
      <c r="A196" s="2"/>
      <c r="B196" s="204" t="s">
        <v>630</v>
      </c>
      <c r="C196" s="204" t="s">
        <v>641</v>
      </c>
      <c r="D196" s="205" t="b">
        <f>VLOOKUP(C196,'Feature Set List'!A193:C246,2,0)</f>
        <v>1</v>
      </c>
      <c r="E196" s="205" t="b">
        <f>VLOOKUP(C196,'Feature Set List'!A193:C246,3,0)</f>
        <v>1</v>
      </c>
      <c r="F196" s="205">
        <v>1.33940485</v>
      </c>
      <c r="G196" s="205">
        <v>0.0</v>
      </c>
      <c r="H196" s="205">
        <v>1.26951181</v>
      </c>
      <c r="I196" s="205">
        <v>0.0</v>
      </c>
      <c r="J196" s="205">
        <v>0.0</v>
      </c>
      <c r="K196" s="205">
        <v>1.23075294</v>
      </c>
      <c r="L196" s="205">
        <v>1.41416923</v>
      </c>
      <c r="M196" s="205">
        <v>0.01868898</v>
      </c>
      <c r="N196" s="205">
        <v>0.0</v>
      </c>
      <c r="O196" s="205">
        <v>1.7886265</v>
      </c>
      <c r="P196" s="205">
        <v>0.0</v>
      </c>
      <c r="Q196" s="205">
        <v>1.11786509</v>
      </c>
      <c r="R196" s="205">
        <v>0.0</v>
      </c>
      <c r="S196" s="205">
        <v>1.70496664</v>
      </c>
      <c r="T196" s="205">
        <v>0.0</v>
      </c>
      <c r="U196" s="205">
        <v>0.0</v>
      </c>
      <c r="V196" s="205">
        <v>1.06343323</v>
      </c>
      <c r="W196" s="205">
        <v>0.0</v>
      </c>
      <c r="X196" s="205">
        <v>1.4599174</v>
      </c>
      <c r="Y196" s="205">
        <v>0.0</v>
      </c>
      <c r="Z196" s="205">
        <v>1.61622366</v>
      </c>
      <c r="AA196" s="205">
        <v>0.0</v>
      </c>
      <c r="AB196" s="205">
        <v>1.22990575</v>
      </c>
      <c r="AC196" s="205">
        <v>0.0</v>
      </c>
      <c r="AD196" s="205">
        <v>0.0</v>
      </c>
      <c r="AE196" s="205">
        <v>1.95806417</v>
      </c>
      <c r="AF196" s="205">
        <v>0.0</v>
      </c>
      <c r="AG196" s="205">
        <v>0.0</v>
      </c>
      <c r="AH196" s="205">
        <v>0.0</v>
      </c>
      <c r="AI196" s="205">
        <v>0.0</v>
      </c>
      <c r="AJ196" s="205">
        <v>0.0</v>
      </c>
      <c r="AK196" s="205">
        <v>0.26919411</v>
      </c>
      <c r="AL196" s="205">
        <v>0.0</v>
      </c>
      <c r="AM196" s="205">
        <v>0.0</v>
      </c>
      <c r="AN196" s="205">
        <v>0.0</v>
      </c>
      <c r="AO196" s="205">
        <v>0.0</v>
      </c>
      <c r="AP196" s="205">
        <v>0.0</v>
      </c>
      <c r="AQ196" s="205">
        <v>0.65847718</v>
      </c>
      <c r="AR196" s="205">
        <v>0.0</v>
      </c>
      <c r="AS196" s="205">
        <v>0.36069046</v>
      </c>
      <c r="AT196" s="205">
        <v>0.0</v>
      </c>
      <c r="AU196" s="205">
        <v>0.91348089</v>
      </c>
      <c r="AV196" s="205">
        <v>0.0</v>
      </c>
      <c r="AW196" s="205">
        <v>0.0</v>
      </c>
      <c r="AX196" s="205">
        <v>0.0</v>
      </c>
      <c r="AY196" s="205">
        <v>0.93656677</v>
      </c>
      <c r="AZ196" s="205">
        <v>1.46521233</v>
      </c>
      <c r="BA196" s="205">
        <v>0.0</v>
      </c>
      <c r="BB196" s="205">
        <v>0.0</v>
      </c>
      <c r="BC196" s="205">
        <v>2.71312083</v>
      </c>
      <c r="BD196" s="205">
        <v>0.10003177</v>
      </c>
      <c r="BE196" s="205">
        <v>0.0</v>
      </c>
      <c r="BF196" s="205">
        <v>0.0</v>
      </c>
      <c r="BG196" s="205">
        <v>0.0</v>
      </c>
      <c r="BH196" s="205">
        <v>0.25966324</v>
      </c>
      <c r="BI196" s="205">
        <v>0.8103357</v>
      </c>
      <c r="BJ196" s="205">
        <v>0.0</v>
      </c>
      <c r="BK196" s="205">
        <v>0.0</v>
      </c>
      <c r="BL196" s="205">
        <v>3.0731759</v>
      </c>
      <c r="BM196" s="205">
        <v>2.54791909</v>
      </c>
      <c r="BN196" s="205">
        <v>0.0</v>
      </c>
      <c r="BO196" s="205">
        <v>0.0</v>
      </c>
      <c r="BP196" s="205">
        <v>0.0</v>
      </c>
      <c r="BQ196" s="206"/>
      <c r="BR196" s="250">
        <f t="shared" si="1"/>
        <v>0.4971333098</v>
      </c>
      <c r="BS196" s="250">
        <f t="shared" si="2"/>
        <v>0.6466178972</v>
      </c>
      <c r="BT196" s="206"/>
      <c r="BU196" s="207">
        <f>IFERROR(__xludf.DUMMYFUNCTION("AVERAGE(ARRAYFORMULA(XLOOKUP(FILTER(INDIRECT(""'""&amp;BU$1&amp;""'!$C$4:$C$66""),INDIRECT(""'""&amp;BU$1&amp;""'!$D$4:$D$66"")=BU$2),$F$3:$BP$3,$F196:$BP196)))"),0.014290252857142858)</f>
        <v>0.01429025286</v>
      </c>
      <c r="BV196" s="207" t="str">
        <f>IFERROR(__xludf.DUMMYFUNCTION("IF(OR(BU196&gt;$BR196+$BS196*$BS$2,BU196&lt;$BR196-$BS196*$BS$2),AVEDEV(ARRAYFORMULA(XLOOKUP(FILTER(INDIRECT(""'""&amp;BU$1&amp;""'!$C$4:$C$66""),INDIRECT(""'""&amp;BU$1&amp;""'!$D$4:$D$66"")=BU$2),$F$3:$BP$3,$F196:$BP196))),"""")"),"")</f>
        <v/>
      </c>
      <c r="BW196" s="207">
        <f>IFERROR(__xludf.DUMMYFUNCTION("AVERAGE(ARRAYFORMULA(XLOOKUP(FILTER(INDIRECT(""'""&amp;BW$1&amp;""'!$C$4:$C$66""),INDIRECT(""'""&amp;BW$1&amp;""'!$D$4:$D$66"")=BW$2),$F$3:$BP$3,$F196:$BP196)))"),0.23339152738095242)</f>
        <v>0.2333915274</v>
      </c>
      <c r="BX196" s="207" t="str">
        <f>IFERROR(__xludf.DUMMYFUNCTION("IF(OR(BW196&gt;$BR196+$BS196*$BS$2,BW196&lt;$BR196-$BS196*$BS$2),AVEDEV(ARRAYFORMULA(XLOOKUP(FILTER(INDIRECT(""'""&amp;BW$1&amp;""'!$C$4:$C$66""),INDIRECT(""'""&amp;BW$1&amp;""'!$D$4:$D$66"")=BW$2),$F$3:$BP$3,$F196:$BP196))),"""")"),"")</f>
        <v/>
      </c>
      <c r="BY196" s="207">
        <f>IFERROR(__xludf.DUMMYFUNCTION("AVERAGE(ARRAYFORMULA(XLOOKUP(FILTER(INDIRECT(""'""&amp;BY$1&amp;""'!$C$4:$C$66""),INDIRECT(""'""&amp;BY$1&amp;""'!$D$4:$D$66"")=BY$2),$F$3:$BP$3,$F196:$BP196)))"),1.5849354509090907)</f>
        <v>1.584935451</v>
      </c>
      <c r="BZ196" s="207">
        <f>IFERROR(__xludf.DUMMYFUNCTION("IF(OR(BY196&gt;$BR196+$BS196*$BS$2,BY196&lt;$BR196-$BS196*$BS$2),AVEDEV(ARRAYFORMULA(XLOOKUP(FILTER(INDIRECT(""'""&amp;BY$1&amp;""'!$C$4:$C$66""),INDIRECT(""'""&amp;BY$1&amp;""'!$D$4:$D$66"")=BY$2),$F$3:$BP$3,$F196:$BP196))),"""")"),0.39728934661157017)</f>
        <v>0.3972893466</v>
      </c>
      <c r="CA196" s="209"/>
      <c r="CB196" s="207">
        <f>IFERROR(__xludf.DUMMYFUNCTION("AVERAGE(ARRAYFORMULA(XLOOKUP(FILTER(INDIRECT(""'""&amp;CB$1&amp;""'!$C$4:$C$66""),INDIRECT(""'""&amp;CB$1&amp;""'!$D$4:$D$66"")=CB$2),$F$3:$BP$3,$F196:$BP196)))"),0.023711215)</f>
        <v>0.023711215</v>
      </c>
      <c r="CC196" s="207" t="str">
        <f>IFERROR(__xludf.DUMMYFUNCTION("IF(OR(CB196&gt;$BR196+$BS196*$BS$2,CB196&lt;$BR196-$BS196*$BS$2),AVEDEV(ARRAYFORMULA(XLOOKUP(FILTER(INDIRECT(""'""&amp;CB$1&amp;""'!$C$4:$C$66""),INDIRECT(""'""&amp;CB$1&amp;""'!$D$4:$D$66"")=CB$2),$F$3:$BP$3,$F196:$BP196))),"""")"),"")</f>
        <v/>
      </c>
      <c r="CD196" s="207">
        <f>IFERROR(__xludf.DUMMYFUNCTION("AVERAGE(ARRAYFORMULA(XLOOKUP(FILTER(INDIRECT(""'""&amp;CD$1&amp;""'!$C$4:$C$66""),INDIRECT(""'""&amp;CD$1&amp;""'!$D$4:$D$66"")=CD$2),$F$3:$BP$3,$F196:$BP196)))"),0.5460491303225805)</f>
        <v>0.5460491303</v>
      </c>
      <c r="CE196" s="207" t="str">
        <f>IFERROR(__xludf.DUMMYFUNCTION("IF(OR(CD196&gt;$BR196+$BS196*$BS$2,CD196&lt;$BR196-$BS196*$BS$2),AVEDEV(ARRAYFORMULA(XLOOKUP(FILTER(INDIRECT(""'""&amp;CD$1&amp;""'!$C$4:$C$66""),INDIRECT(""'""&amp;CD$1&amp;""'!$D$4:$D$66"")=CD$2),$F$3:$BP$3,$F196:$BP196))),"""")"),"")</f>
        <v/>
      </c>
      <c r="CF196" s="207">
        <f>IFERROR(__xludf.DUMMYFUNCTION("AVERAGE(ARRAYFORMULA(XLOOKUP(FILTER(INDIRECT(""'""&amp;CF$1&amp;""'!$C$4:$C$66""),INDIRECT(""'""&amp;CF$1&amp;""'!$D$4:$D$66"")=CF$2),$F$3:$BP$3,$F196:$BP196)))"),0.9917610939999999)</f>
        <v>0.991761094</v>
      </c>
      <c r="CG196" s="207" t="str">
        <f>IFERROR(__xludf.DUMMYFUNCTION("IF(OR(CF196&gt;$BR196+$BS196*$BS$2,CF196&lt;$BR196-$BS196*$BS$2),AVEDEV(ARRAYFORMULA(XLOOKUP(FILTER(INDIRECT(""'""&amp;CF$1&amp;""'!$C$4:$C$66""),INDIRECT(""'""&amp;CF$1&amp;""'!$D$4:$D$66"")=CF$2),$F$3:$BP$3,$F196:$BP196))),"""")"),"")</f>
        <v/>
      </c>
      <c r="CH196" s="206"/>
      <c r="CI196" s="251">
        <f>IFERROR(__xludf.DUMMYFUNCTION("AVERAGE(ARRAYFORMULA(XLOOKUP(FILTER(INDIRECT(""'""&amp;CI$1&amp;""'!$C$4:$C$66""),INDIRECT(""'""&amp;CI$1&amp;""'!$D$4:$D$66"")=CI$2),$F$3:$BP$3,$F196:$BP196)))"),0.6132025846666667)</f>
        <v>0.6132025847</v>
      </c>
      <c r="CJ196" s="207" t="str">
        <f>IFERROR(__xludf.DUMMYFUNCTION("IF(OR(CI196&gt;$BR196+$BS196*$BS$2,CI196&lt;$BR196-$BS196*$BS$2),AVEDEV(ARRAYFORMULA(XLOOKUP(FILTER(INDIRECT(""'""&amp;CI$1&amp;""'!$C$4:$C$66""),INDIRECT(""'""&amp;CI$1&amp;""'!$D$4:$D$66"")=CI$2),$F$3:$BP$3,$F196:$BP196))),"""")"),"")</f>
        <v/>
      </c>
      <c r="CK196" s="251">
        <f>IFERROR(__xludf.DUMMYFUNCTION("AVERAGE(ARRAYFORMULA(XLOOKUP(FILTER(INDIRECT(""'""&amp;CK$1&amp;""'!$C$4:$C$66""),INDIRECT(""'""&amp;CK$1&amp;""'!$D$4:$D$66"")=CK$2),$F$3:$BP$3,$F196:$BP196)))"),0.33794670871794874)</f>
        <v>0.3379467087</v>
      </c>
      <c r="CL196" s="207" t="str">
        <f>IFERROR(__xludf.DUMMYFUNCTION("IF(OR(CK196&gt;$BR196+$BS196*$BS$2,CK196&lt;$BR196-$BS196*$BS$2),AVEDEV(ARRAYFORMULA(XLOOKUP(FILTER(INDIRECT(""'""&amp;CK$1&amp;""'!$C$4:$C$66""),INDIRECT(""'""&amp;CK$1&amp;""'!$D$4:$D$66"")=CK$2),$F$3:$BP$3,$F196:$BP196))),"""")"),"")</f>
        <v/>
      </c>
      <c r="CM196" s="251">
        <f>IFERROR(__xludf.DUMMYFUNCTION("AVERAGE(ARRAYFORMULA(XLOOKUP(FILTER(INDIRECT(""'""&amp;CM$1&amp;""'!$C$4:$C$66""),INDIRECT(""'""&amp;CM$1&amp;""'!$D$4:$D$66"")=CM$2),$F$3:$BP$3,$F196:$BP196)))"),0.9917610939999999)</f>
        <v>0.991761094</v>
      </c>
      <c r="CN196" s="207" t="str">
        <f>IFERROR(__xludf.DUMMYFUNCTION("IF(OR(CM196&gt;$BR196+$BS196*$BS$2,CM196&lt;$BR196-$BS196*$BS$2),AVEDEV(ARRAYFORMULA(XLOOKUP(FILTER(INDIRECT(""'""&amp;CM$1&amp;""'!$C$4:$C$66""),INDIRECT(""'""&amp;CM$1&amp;""'!$D$4:$D$66"")=CM$2),$F$3:$BP$3,$F196:$BP196))),"""")"),"")</f>
        <v/>
      </c>
      <c r="CO196" s="252"/>
      <c r="CP196" s="251">
        <f>IFERROR(__xludf.DUMMYFUNCTION("AVERAGE(ARRAYFORMULA(XLOOKUP(FILTER(INDIRECT(""'""&amp;CP$1&amp;""'!$C$4:$C$66""),INDIRECT(""'""&amp;CP$1&amp;""'!$D$4:$D$66"")=CP$2),$F$3:$BP$3,$F196:$BP196)))"),0.02056307785714286)</f>
        <v>0.02056307786</v>
      </c>
      <c r="CQ196" s="207" t="str">
        <f>IFERROR(__xludf.DUMMYFUNCTION("IF(OR(CP196&gt;$BR196+$BS196*$BS$2,CP196&lt;$BR196-$BS196*$BS$2),AVEDEV(ARRAYFORMULA(XLOOKUP(FILTER(INDIRECT(""'""&amp;CP$1&amp;""'!$C$4:$C$66""),INDIRECT(""'""&amp;CP$1&amp;""'!$D$4:$D$66"")=CP$2),$F$3:$BP$3,$F196:$BP196))),"""")"),"")</f>
        <v/>
      </c>
      <c r="CR196" s="251">
        <f>IFERROR(__xludf.DUMMYFUNCTION("AVERAGE(ARRAYFORMULA(XLOOKUP(FILTER(INDIRECT(""'""&amp;CR$1&amp;""'!$C$4:$C$66""),INDIRECT(""'""&amp;CR$1&amp;""'!$D$4:$D$66"")=CR$2),$F$3:$BP$3,$F196:$BP196)))"),1.4916163655555554)</f>
        <v>1.491616366</v>
      </c>
      <c r="CS196" s="207">
        <f>IFERROR(__xludf.DUMMYFUNCTION("IF(OR(CR196&gt;$BR196+$BS196*$BS$2,CR196&lt;$BR196-$BS196*$BS$2),AVEDEV(ARRAYFORMULA(XLOOKUP(FILTER(INDIRECT(""'""&amp;CR$1&amp;""'!$C$4:$C$66""),INDIRECT(""'""&amp;CR$1&amp;""'!$D$4:$D$66"")=CR$2),$F$3:$BP$3,$F196:$BP196))),"""")"),0.21706849185185184)</f>
        <v>0.2170684919</v>
      </c>
      <c r="CT196" s="251">
        <f>IFERROR(__xludf.DUMMYFUNCTION("AVERAGE(ARRAYFORMULA(XLOOKUP(FILTER(INDIRECT(""'""&amp;CT$1&amp;""'!$C$4:$C$66""),INDIRECT(""'""&amp;CT$1&amp;""'!$D$4:$D$66"")=CT$2),$F$3:$BP$3,$F196:$BP196)))"),0.45971523)</f>
        <v>0.45971523</v>
      </c>
      <c r="CU196" s="207" t="str">
        <f>IFERROR(__xludf.DUMMYFUNCTION("IF(OR(CT196&gt;$BR196+$BS196*$BS$2,CT196&lt;$BR196-$BS196*$BS$2),AVEDEV(ARRAYFORMULA(XLOOKUP(FILTER(INDIRECT(""'""&amp;CT$1&amp;""'!$C$4:$C$66""),INDIRECT(""'""&amp;CT$1&amp;""'!$D$4:$D$66"")=CT$2),$F$3:$BP$3,$F196:$BP196))),"""")"),"")</f>
        <v/>
      </c>
      <c r="CV196" s="251">
        <f>IFERROR(__xludf.DUMMYFUNCTION("AVERAGE(ARRAYFORMULA(XLOOKUP(FILTER(INDIRECT(""'""&amp;CV$1&amp;""'!$C$4:$C$66""),INDIRECT(""'""&amp;CV$1&amp;""'!$D$4:$D$66"")=CV$2),$F$3:$BP$3,$F196:$BP196)))"),0.0)</f>
        <v>0</v>
      </c>
      <c r="CW196" s="207" t="str">
        <f>IFERROR(__xludf.DUMMYFUNCTION("IF(OR(CV196&gt;$BR196+$BS196*$BS$2,CV196&lt;$BR196-$BS196*$BS$2),AVEDEV(ARRAYFORMULA(XLOOKUP(FILTER(INDIRECT(""'""&amp;CV$1&amp;""'!$C$4:$C$66""),INDIRECT(""'""&amp;CV$1&amp;""'!$D$4:$D$66"")=CV$2),$F$3:$BP$3,$F196:$BP196))),"""")"),"")</f>
        <v/>
      </c>
      <c r="CX196" s="251">
        <f>IFERROR(__xludf.DUMMYFUNCTION("AVERAGE(ARRAYFORMULA(XLOOKUP(FILTER(INDIRECT(""'""&amp;CX$1&amp;""'!$C$4:$C$66""),INDIRECT(""'""&amp;CX$1&amp;""'!$D$4:$D$66"")=CX$2),$F$3:$BP$3,$F196:$BP196)))"),0.3853043071428572)</f>
        <v>0.3853043071</v>
      </c>
      <c r="CY196" s="207" t="str">
        <f>IFERROR(__xludf.DUMMYFUNCTION("IF(OR(CX196&gt;$BR196+$BS196*$BS$2,CX196&lt;$BR196-$BS196*$BS$2),AVEDEV(ARRAYFORMULA(XLOOKUP(FILTER(INDIRECT(""'""&amp;CX$1&amp;""'!$C$4:$C$66""),INDIRECT(""'""&amp;CX$1&amp;""'!$D$4:$D$66"")=CX$2),$F$3:$BP$3,$F196:$BP196))),"""")"),"")</f>
        <v/>
      </c>
      <c r="CZ196" s="252"/>
      <c r="DA196" s="251">
        <f>IFERROR(__xludf.DUMMYFUNCTION("AVERAGE(ARRAYFORMULA(XLOOKUP(FILTER(INDIRECT(""'""&amp;DA$1&amp;""'!$C$4:$C$66""),INDIRECT(""'""&amp;DA$1&amp;""'!$D$4:$D$66"")=DA$2),$F$3:$BP$3,$F196:$BP196)))"),0.10161700033333333)</f>
        <v>0.1016170003</v>
      </c>
      <c r="DB196" s="207" t="str">
        <f>IFERROR(__xludf.DUMMYFUNCTION("IF(OR(DA196&gt;$BR196+$BS196*$BS$2,DA196&lt;$BR196-$BS196*$BS$2),AVEDEV(ARRAYFORMULA(XLOOKUP(FILTER(INDIRECT(""'""&amp;DA$1&amp;""'!$C$4:$C$66""),INDIRECT(""'""&amp;DA$1&amp;""'!$D$4:$D$66"")=DA$2),$F$3:$BP$3,$F196:$BP196))),"""")"),"")</f>
        <v/>
      </c>
      <c r="DC196" s="251">
        <f>IFERROR(__xludf.DUMMYFUNCTION("AVERAGE(ARRAYFORMULA(XLOOKUP(FILTER(INDIRECT(""'""&amp;DC$1&amp;""'!$C$4:$C$66""),INDIRECT(""'""&amp;DC$1&amp;""'!$D$4:$D$66"")=DC$2),$F$3:$BP$3,$F196:$BP196)))"),1.554802501111111)</f>
        <v>1.554802501</v>
      </c>
      <c r="DD196" s="207">
        <f>IFERROR(__xludf.DUMMYFUNCTION("IF(OR(DC196&gt;$BR196+$BS196*$BS$2,DC196&lt;$BR196-$BS196*$BS$2),AVEDEV(ARRAYFORMULA(XLOOKUP(FILTER(INDIRECT(""'""&amp;DC$1&amp;""'!$C$4:$C$66""),INDIRECT(""'""&amp;DC$1&amp;""'!$D$4:$D$66"")=DC$2),$F$3:$BP$3,$F196:$BP196))),"""")"),0.42274700814814814)</f>
        <v>0.4227470081</v>
      </c>
      <c r="DE196" s="251">
        <f>IFERROR(__xludf.DUMMYFUNCTION("AVERAGE(ARRAYFORMULA(XLOOKUP(FILTER(INDIRECT(""'""&amp;DE$1&amp;""'!$C$4:$C$66""),INDIRECT(""'""&amp;DE$1&amp;""'!$D$4:$D$66"")=DE$2),$F$3:$BP$3,$F196:$BP196)))"),0.45883194000000005)</f>
        <v>0.45883194</v>
      </c>
      <c r="DF196" s="207" t="str">
        <f>IFERROR(__xludf.DUMMYFUNCTION("IF(OR(DE196&gt;$BR196+$BS196*$BS$2,DE196&lt;$BR196-$BS196*$BS$2),AVEDEV(ARRAYFORMULA(XLOOKUP(FILTER(INDIRECT(""'""&amp;DE$1&amp;""'!$C$4:$C$66""),INDIRECT(""'""&amp;DE$1&amp;""'!$D$4:$D$66"")=DE$2),$F$3:$BP$3,$F196:$BP196))),"""")"),"")</f>
        <v/>
      </c>
      <c r="DG196" s="251">
        <f>IFERROR(__xludf.DUMMYFUNCTION("AVERAGE(ARRAYFORMULA(XLOOKUP(FILTER(INDIRECT(""'""&amp;DG$1&amp;""'!$C$4:$C$66""),INDIRECT(""'""&amp;DG$1&amp;""'!$D$4:$D$66"")=DG$2),$F$3:$BP$3,$F196:$BP196)))"),0.6628778511111112)</f>
        <v>0.6628778511</v>
      </c>
      <c r="DH196" s="207" t="str">
        <f>IFERROR(__xludf.DUMMYFUNCTION("IF(OR(DG196&gt;$BR196+$BS196*$BS$2,DG196&lt;$BR196-$BS196*$BS$2),AVEDEV(ARRAYFORMULA(XLOOKUP(FILTER(INDIRECT(""'""&amp;DG$1&amp;""'!$C$4:$C$66""),INDIRECT(""'""&amp;DG$1&amp;""'!$D$4:$D$66"")=DG$2),$F$3:$BP$3,$F196:$BP196))),"""")"),"")</f>
        <v/>
      </c>
      <c r="DI196" s="252"/>
    </row>
    <row r="197">
      <c r="A197" s="2"/>
      <c r="B197" s="204" t="s">
        <v>630</v>
      </c>
      <c r="C197" s="204" t="s">
        <v>642</v>
      </c>
      <c r="D197" s="205" t="b">
        <f>VLOOKUP(C197,'Feature Set List'!A194:C246,2,0)</f>
        <v>1</v>
      </c>
      <c r="E197" s="205" t="b">
        <f>VLOOKUP(C197,'Feature Set List'!A194:C246,3,0)</f>
        <v>1</v>
      </c>
      <c r="F197" s="205">
        <v>0.0</v>
      </c>
      <c r="G197" s="205">
        <v>0.0</v>
      </c>
      <c r="H197" s="205">
        <v>0.0</v>
      </c>
      <c r="I197" s="205">
        <v>0.0</v>
      </c>
      <c r="J197" s="205">
        <v>0.0</v>
      </c>
      <c r="K197" s="205">
        <v>0.0</v>
      </c>
      <c r="L197" s="205">
        <v>0.0</v>
      </c>
      <c r="M197" s="205">
        <v>0.0</v>
      </c>
      <c r="N197" s="205">
        <v>0.0</v>
      </c>
      <c r="O197" s="205">
        <v>0.0</v>
      </c>
      <c r="P197" s="205">
        <v>0.0</v>
      </c>
      <c r="Q197" s="205">
        <v>0.0</v>
      </c>
      <c r="R197" s="205">
        <v>0.0</v>
      </c>
      <c r="S197" s="205">
        <v>0.0</v>
      </c>
      <c r="T197" s="205">
        <v>0.03834</v>
      </c>
      <c r="U197" s="205">
        <v>0.0</v>
      </c>
      <c r="V197" s="205">
        <v>0.0</v>
      </c>
      <c r="W197" s="205">
        <v>0.0</v>
      </c>
      <c r="X197" s="205">
        <v>0.0</v>
      </c>
      <c r="Y197" s="205">
        <v>0.0</v>
      </c>
      <c r="Z197" s="205">
        <v>0.0</v>
      </c>
      <c r="AA197" s="205">
        <v>0.0</v>
      </c>
      <c r="AB197" s="205">
        <v>0.0</v>
      </c>
      <c r="AC197" s="205">
        <v>0.0</v>
      </c>
      <c r="AD197" s="205">
        <v>0.0</v>
      </c>
      <c r="AE197" s="205">
        <v>0.0</v>
      </c>
      <c r="AF197" s="205">
        <v>0.0</v>
      </c>
      <c r="AG197" s="205">
        <v>0.0</v>
      </c>
      <c r="AH197" s="205">
        <v>0.08203</v>
      </c>
      <c r="AI197" s="205">
        <v>0.0</v>
      </c>
      <c r="AJ197" s="205">
        <v>0.103</v>
      </c>
      <c r="AK197" s="205">
        <v>0.0</v>
      </c>
      <c r="AL197" s="205">
        <v>0.04946</v>
      </c>
      <c r="AM197" s="205">
        <v>0.0</v>
      </c>
      <c r="AN197" s="205">
        <v>0.0</v>
      </c>
      <c r="AO197" s="205">
        <v>0.0</v>
      </c>
      <c r="AP197" s="205">
        <v>0.0851</v>
      </c>
      <c r="AQ197" s="205">
        <v>0.0</v>
      </c>
      <c r="AR197" s="205">
        <v>0.0</v>
      </c>
      <c r="AS197" s="205">
        <v>0.0</v>
      </c>
      <c r="AT197" s="205">
        <v>0.0</v>
      </c>
      <c r="AU197" s="205">
        <v>0.0</v>
      </c>
      <c r="AV197" s="205">
        <v>0.0</v>
      </c>
      <c r="AW197" s="205">
        <v>0.0</v>
      </c>
      <c r="AX197" s="205">
        <v>0.0</v>
      </c>
      <c r="AY197" s="205">
        <v>0.0</v>
      </c>
      <c r="AZ197" s="205">
        <v>0.0</v>
      </c>
      <c r="BA197" s="205">
        <v>0.0</v>
      </c>
      <c r="BB197" s="205">
        <v>0.0</v>
      </c>
      <c r="BC197" s="205">
        <v>0.0</v>
      </c>
      <c r="BD197" s="205">
        <v>0.0</v>
      </c>
      <c r="BE197" s="205">
        <v>0.0</v>
      </c>
      <c r="BF197" s="205">
        <v>0.0</v>
      </c>
      <c r="BG197" s="205">
        <v>0.0</v>
      </c>
      <c r="BH197" s="205">
        <v>0.0</v>
      </c>
      <c r="BI197" s="205">
        <v>0.03189</v>
      </c>
      <c r="BJ197" s="205">
        <v>0.0</v>
      </c>
      <c r="BK197" s="205">
        <v>0.0</v>
      </c>
      <c r="BL197" s="205">
        <v>0.0</v>
      </c>
      <c r="BM197" s="205">
        <v>0.08391</v>
      </c>
      <c r="BN197" s="205">
        <v>0.0</v>
      </c>
      <c r="BO197" s="205">
        <v>0.0</v>
      </c>
      <c r="BP197" s="205">
        <v>0.03879</v>
      </c>
      <c r="BQ197" s="206"/>
      <c r="BR197" s="250">
        <f t="shared" si="1"/>
        <v>0.008135238095</v>
      </c>
      <c r="BS197" s="250">
        <f t="shared" si="2"/>
        <v>0.01420438398</v>
      </c>
      <c r="BT197" s="206"/>
      <c r="BU197" s="207">
        <f>IFERROR(__xludf.DUMMYFUNCTION("AVERAGE(ARRAYFORMULA(XLOOKUP(FILTER(INDIRECT(""'""&amp;BU$1&amp;""'!$C$4:$C$66""),INDIRECT(""'""&amp;BU$1&amp;""'!$D$4:$D$66"")=BU$2),$F$3:$BP$3,$F197:$BP197)))"),0.005477142857142857)</f>
        <v>0.005477142857</v>
      </c>
      <c r="BV197" s="207" t="str">
        <f>IFERROR(__xludf.DUMMYFUNCTION("IF(OR(BU197&gt;$BR197+$BS197*$BS$2,BU197&lt;$BR197-$BS197*$BS$2),AVEDEV(ARRAYFORMULA(XLOOKUP(FILTER(INDIRECT(""'""&amp;BU$1&amp;""'!$C$4:$C$66""),INDIRECT(""'""&amp;BU$1&amp;""'!$D$4:$D$66"")=BU$2),$F$3:$BP$3,$F197:$BP197))),"""")"),"")</f>
        <v/>
      </c>
      <c r="BW197" s="207">
        <f>IFERROR(__xludf.DUMMYFUNCTION("AVERAGE(ARRAYFORMULA(XLOOKUP(FILTER(INDIRECT(""'""&amp;BW$1&amp;""'!$C$4:$C$66""),INDIRECT(""'""&amp;BW$1&amp;""'!$D$4:$D$66"")=BW$2),$F$3:$BP$3,$F197:$BP197)))"),0.011289999999999998)</f>
        <v>0.01129</v>
      </c>
      <c r="BX197" s="207" t="str">
        <f>IFERROR(__xludf.DUMMYFUNCTION("IF(OR(BW197&gt;$BR197+$BS197*$BS$2,BW197&lt;$BR197-$BS197*$BS$2),AVEDEV(ARRAYFORMULA(XLOOKUP(FILTER(INDIRECT(""'""&amp;BW$1&amp;""'!$C$4:$C$66""),INDIRECT(""'""&amp;BW$1&amp;""'!$D$4:$D$66"")=BW$2),$F$3:$BP$3,$F197:$BP197))),"""")"),"")</f>
        <v/>
      </c>
      <c r="BY197" s="207">
        <f>IFERROR(__xludf.DUMMYFUNCTION("AVERAGE(ARRAYFORMULA(XLOOKUP(FILTER(INDIRECT(""'""&amp;BY$1&amp;""'!$C$4:$C$66""),INDIRECT(""'""&amp;BY$1&amp;""'!$D$4:$D$66"")=BY$2),$F$3:$BP$3,$F197:$BP197)))"),0.0)</f>
        <v>0</v>
      </c>
      <c r="BZ197" s="207" t="str">
        <f>IFERROR(__xludf.DUMMYFUNCTION("IF(OR(BY197&gt;$BR197+$BS197*$BS$2,BY197&lt;$BR197-$BS197*$BS$2),AVEDEV(ARRAYFORMULA(XLOOKUP(FILTER(INDIRECT(""'""&amp;BY$1&amp;""'!$C$4:$C$66""),INDIRECT(""'""&amp;BY$1&amp;""'!$D$4:$D$66"")=BY$2),$F$3:$BP$3,$F197:$BP197))),"""")"),"")</f>
        <v/>
      </c>
      <c r="CA197" s="209"/>
      <c r="CB197" s="207">
        <f>IFERROR(__xludf.DUMMYFUNCTION("AVERAGE(ARRAYFORMULA(XLOOKUP(FILTER(INDIRECT(""'""&amp;CB$1&amp;""'!$C$4:$C$66""),INDIRECT(""'""&amp;CB$1&amp;""'!$D$4:$D$66"")=CB$2),$F$3:$BP$3,$F197:$BP197)))"),0.019279374999999998)</f>
        <v>0.019279375</v>
      </c>
      <c r="CC197" s="207" t="str">
        <f>IFERROR(__xludf.DUMMYFUNCTION("IF(OR(CB197&gt;$BR197+$BS197*$BS$2,CB197&lt;$BR197-$BS197*$BS$2),AVEDEV(ARRAYFORMULA(XLOOKUP(FILTER(INDIRECT(""'""&amp;CB$1&amp;""'!$C$4:$C$66""),INDIRECT(""'""&amp;CB$1&amp;""'!$D$4:$D$66"")=CB$2),$F$3:$BP$3,$F197:$BP197))),"""")"),"")</f>
        <v/>
      </c>
      <c r="CD197" s="207">
        <f>IFERROR(__xludf.DUMMYFUNCTION("AVERAGE(ARRAYFORMULA(XLOOKUP(FILTER(INDIRECT(""'""&amp;CD$1&amp;""'!$C$4:$C$66""),INDIRECT(""'""&amp;CD$1&amp;""'!$D$4:$D$66"")=CD$2),$F$3:$BP$3,$F197:$BP197)))"),0.006582258064516129)</f>
        <v>0.006582258065</v>
      </c>
      <c r="CE197" s="207" t="str">
        <f>IFERROR(__xludf.DUMMYFUNCTION("IF(OR(CD197&gt;$BR197+$BS197*$BS$2,CD197&lt;$BR197-$BS197*$BS$2),AVEDEV(ARRAYFORMULA(XLOOKUP(FILTER(INDIRECT(""'""&amp;CD$1&amp;""'!$C$4:$C$66""),INDIRECT(""'""&amp;CD$1&amp;""'!$D$4:$D$66"")=CD$2),$F$3:$BP$3,$F197:$BP197))),"""")"),"")</f>
        <v/>
      </c>
      <c r="CF197" s="207">
        <f>IFERROR(__xludf.DUMMYFUNCTION("AVERAGE(ARRAYFORMULA(XLOOKUP(FILTER(INDIRECT(""'""&amp;CF$1&amp;""'!$C$4:$C$66""),INDIRECT(""'""&amp;CF$1&amp;""'!$D$4:$D$66"")=CF$2),$F$3:$BP$3,$F197:$BP197)))"),0.0)</f>
        <v>0</v>
      </c>
      <c r="CG197" s="207" t="str">
        <f>IFERROR(__xludf.DUMMYFUNCTION("IF(OR(CF197&gt;$BR197+$BS197*$BS$2,CF197&lt;$BR197-$BS197*$BS$2),AVEDEV(ARRAYFORMULA(XLOOKUP(FILTER(INDIRECT(""'""&amp;CF$1&amp;""'!$C$4:$C$66""),INDIRECT(""'""&amp;CF$1&amp;""'!$D$4:$D$66"")=CF$2),$F$3:$BP$3,$F197:$BP197))),"""")"),"")</f>
        <v/>
      </c>
      <c r="CH197" s="206"/>
      <c r="CI197" s="251">
        <f>IFERROR(__xludf.DUMMYFUNCTION("AVERAGE(ARRAYFORMULA(XLOOKUP(FILTER(INDIRECT(""'""&amp;CI$1&amp;""'!$C$4:$C$66""),INDIRECT(""'""&amp;CI$1&amp;""'!$D$4:$D$66"")=CI$2),$F$3:$BP$3,$F197:$BP197)))"),0.002556)</f>
        <v>0.002556</v>
      </c>
      <c r="CJ197" s="207" t="str">
        <f>IFERROR(__xludf.DUMMYFUNCTION("IF(OR(CI197&gt;$BR197+$BS197*$BS$2,CI197&lt;$BR197-$BS197*$BS$2),AVEDEV(ARRAYFORMULA(XLOOKUP(FILTER(INDIRECT(""'""&amp;CI$1&amp;""'!$C$4:$C$66""),INDIRECT(""'""&amp;CI$1&amp;""'!$D$4:$D$66"")=CI$2),$F$3:$BP$3,$F197:$BP197))),"""")"),"")</f>
        <v/>
      </c>
      <c r="CK197" s="251">
        <f>IFERROR(__xludf.DUMMYFUNCTION("AVERAGE(ARRAYFORMULA(XLOOKUP(FILTER(INDIRECT(""'""&amp;CK$1&amp;""'!$C$4:$C$66""),INDIRECT(""'""&amp;CK$1&amp;""'!$D$4:$D$66"")=CK$2),$F$3:$BP$3,$F197:$BP197)))"),0.012158461538461536)</f>
        <v>0.01215846154</v>
      </c>
      <c r="CL197" s="207" t="str">
        <f>IFERROR(__xludf.DUMMYFUNCTION("IF(OR(CK197&gt;$BR197+$BS197*$BS$2,CK197&lt;$BR197-$BS197*$BS$2),AVEDEV(ARRAYFORMULA(XLOOKUP(FILTER(INDIRECT(""'""&amp;CK$1&amp;""'!$C$4:$C$66""),INDIRECT(""'""&amp;CK$1&amp;""'!$D$4:$D$66"")=CK$2),$F$3:$BP$3,$F197:$BP197))),"""")"),"")</f>
        <v/>
      </c>
      <c r="CM197" s="251">
        <f>IFERROR(__xludf.DUMMYFUNCTION("AVERAGE(ARRAYFORMULA(XLOOKUP(FILTER(INDIRECT(""'""&amp;CM$1&amp;""'!$C$4:$C$66""),INDIRECT(""'""&amp;CM$1&amp;""'!$D$4:$D$66"")=CM$2),$F$3:$BP$3,$F197:$BP197)))"),0.0)</f>
        <v>0</v>
      </c>
      <c r="CN197" s="207" t="str">
        <f>IFERROR(__xludf.DUMMYFUNCTION("IF(OR(CM197&gt;$BR197+$BS197*$BS$2,CM197&lt;$BR197-$BS197*$BS$2),AVEDEV(ARRAYFORMULA(XLOOKUP(FILTER(INDIRECT(""'""&amp;CM$1&amp;""'!$C$4:$C$66""),INDIRECT(""'""&amp;CM$1&amp;""'!$D$4:$D$66"")=CM$2),$F$3:$BP$3,$F197:$BP197))),"""")"),"")</f>
        <v/>
      </c>
      <c r="CO197" s="252"/>
      <c r="CP197" s="251">
        <f>IFERROR(__xludf.DUMMYFUNCTION("AVERAGE(ARRAYFORMULA(XLOOKUP(FILTER(INDIRECT(""'""&amp;CP$1&amp;""'!$C$4:$C$66""),INDIRECT(""'""&amp;CP$1&amp;""'!$D$4:$D$66"")=CP$2),$F$3:$BP$3,$F197:$BP197)))"),0.019295)</f>
        <v>0.019295</v>
      </c>
      <c r="CQ197" s="207" t="str">
        <f>IFERROR(__xludf.DUMMYFUNCTION("IF(OR(CP197&gt;$BR197+$BS197*$BS$2,CP197&lt;$BR197-$BS197*$BS$2),AVEDEV(ARRAYFORMULA(XLOOKUP(FILTER(INDIRECT(""'""&amp;CP$1&amp;""'!$C$4:$C$66""),INDIRECT(""'""&amp;CP$1&amp;""'!$D$4:$D$66"")=CP$2),$F$3:$BP$3,$F197:$BP197))),"""")"),"")</f>
        <v/>
      </c>
      <c r="CR197" s="251">
        <f>IFERROR(__xludf.DUMMYFUNCTION("AVERAGE(ARRAYFORMULA(XLOOKUP(FILTER(INDIRECT(""'""&amp;CR$1&amp;""'!$C$4:$C$66""),INDIRECT(""'""&amp;CR$1&amp;""'!$D$4:$D$66"")=CR$2),$F$3:$BP$3,$F197:$BP197)))"),0.0)</f>
        <v>0</v>
      </c>
      <c r="CS197" s="207" t="str">
        <f>IFERROR(__xludf.DUMMYFUNCTION("IF(OR(CR197&gt;$BR197+$BS197*$BS$2,CR197&lt;$BR197-$BS197*$BS$2),AVEDEV(ARRAYFORMULA(XLOOKUP(FILTER(INDIRECT(""'""&amp;CR$1&amp;""'!$C$4:$C$66""),INDIRECT(""'""&amp;CR$1&amp;""'!$D$4:$D$66"")=CR$2),$F$3:$BP$3,$F197:$BP197))),"""")"),"")</f>
        <v/>
      </c>
      <c r="CT197" s="251">
        <f>IFERROR(__xludf.DUMMYFUNCTION("AVERAGE(ARRAYFORMULA(XLOOKUP(FILTER(INDIRECT(""'""&amp;CT$1&amp;""'!$C$4:$C$66""),INDIRECT(""'""&amp;CT$1&amp;""'!$D$4:$D$66"")=CT$2),$F$3:$BP$3,$F197:$BP197)))"),0.004496363636363636)</f>
        <v>0.004496363636</v>
      </c>
      <c r="CU197" s="207" t="str">
        <f>IFERROR(__xludf.DUMMYFUNCTION("IF(OR(CT197&gt;$BR197+$BS197*$BS$2,CT197&lt;$BR197-$BS197*$BS$2),AVEDEV(ARRAYFORMULA(XLOOKUP(FILTER(INDIRECT(""'""&amp;CT$1&amp;""'!$C$4:$C$66""),INDIRECT(""'""&amp;CT$1&amp;""'!$D$4:$D$66"")=CT$2),$F$3:$BP$3,$F197:$BP197))),"""")"),"")</f>
        <v/>
      </c>
      <c r="CV197" s="251">
        <f>IFERROR(__xludf.DUMMYFUNCTION("AVERAGE(ARRAYFORMULA(XLOOKUP(FILTER(INDIRECT(""'""&amp;CV$1&amp;""'!$C$4:$C$66""),INDIRECT(""'""&amp;CV$1&amp;""'!$D$4:$D$66"")=CV$2),$F$3:$BP$3,$F197:$BP197)))"),0.0)</f>
        <v>0</v>
      </c>
      <c r="CW197" s="207" t="str">
        <f>IFERROR(__xludf.DUMMYFUNCTION("IF(OR(CV197&gt;$BR197+$BS197*$BS$2,CV197&lt;$BR197-$BS197*$BS$2),AVEDEV(ARRAYFORMULA(XLOOKUP(FILTER(INDIRECT(""'""&amp;CV$1&amp;""'!$C$4:$C$66""),INDIRECT(""'""&amp;CV$1&amp;""'!$D$4:$D$66"")=CV$2),$F$3:$BP$3,$F197:$BP197))),"""")"),"")</f>
        <v/>
      </c>
      <c r="CX197" s="251">
        <f>IFERROR(__xludf.DUMMYFUNCTION("AVERAGE(ARRAYFORMULA(XLOOKUP(FILTER(INDIRECT(""'""&amp;CX$1&amp;""'!$C$4:$C$66""),INDIRECT(""'""&amp;CX$1&amp;""'!$D$4:$D$66"")=CX$2),$F$3:$BP$3,$F197:$BP197)))"),0.011042142857142858)</f>
        <v>0.01104214286</v>
      </c>
      <c r="CY197" s="207" t="str">
        <f>IFERROR(__xludf.DUMMYFUNCTION("IF(OR(CX197&gt;$BR197+$BS197*$BS$2,CX197&lt;$BR197-$BS197*$BS$2),AVEDEV(ARRAYFORMULA(XLOOKUP(FILTER(INDIRECT(""'""&amp;CX$1&amp;""'!$C$4:$C$66""),INDIRECT(""'""&amp;CX$1&amp;""'!$D$4:$D$66"")=CX$2),$F$3:$BP$3,$F197:$BP197))),"""")"),"")</f>
        <v/>
      </c>
      <c r="CZ197" s="252"/>
      <c r="DA197" s="251">
        <f>IFERROR(__xludf.DUMMYFUNCTION("AVERAGE(ARRAYFORMULA(XLOOKUP(FILTER(INDIRECT(""'""&amp;DA$1&amp;""'!$C$4:$C$66""),INDIRECT(""'""&amp;DA$1&amp;""'!$D$4:$D$66"")=DA$2),$F$3:$BP$3,$F197:$BP197)))"),0.011360333333333332)</f>
        <v>0.01136033333</v>
      </c>
      <c r="DB197" s="207" t="str">
        <f>IFERROR(__xludf.DUMMYFUNCTION("IF(OR(DA197&gt;$BR197+$BS197*$BS$2,DA197&lt;$BR197-$BS197*$BS$2),AVEDEV(ARRAYFORMULA(XLOOKUP(FILTER(INDIRECT(""'""&amp;DA$1&amp;""'!$C$4:$C$66""),INDIRECT(""'""&amp;DA$1&amp;""'!$D$4:$D$66"")=DA$2),$F$3:$BP$3,$F197:$BP197))),"""")"),"")</f>
        <v/>
      </c>
      <c r="DC197" s="251">
        <f>IFERROR(__xludf.DUMMYFUNCTION("AVERAGE(ARRAYFORMULA(XLOOKUP(FILTER(INDIRECT(""'""&amp;DC$1&amp;""'!$C$4:$C$66""),INDIRECT(""'""&amp;DC$1&amp;""'!$D$4:$D$66"")=DC$2),$F$3:$BP$3,$F197:$BP197)))"),0.0)</f>
        <v>0</v>
      </c>
      <c r="DD197" s="207" t="str">
        <f>IFERROR(__xludf.DUMMYFUNCTION("IF(OR(DC197&gt;$BR197+$BS197*$BS$2,DC197&lt;$BR197-$BS197*$BS$2),AVEDEV(ARRAYFORMULA(XLOOKUP(FILTER(INDIRECT(""'""&amp;DC$1&amp;""'!$C$4:$C$66""),INDIRECT(""'""&amp;DC$1&amp;""'!$D$4:$D$66"")=DC$2),$F$3:$BP$3,$F197:$BP197))),"""")"),"")</f>
        <v/>
      </c>
      <c r="DE197" s="251">
        <f>IFERROR(__xludf.DUMMYFUNCTION("AVERAGE(ARRAYFORMULA(XLOOKUP(FILTER(INDIRECT(""'""&amp;DE$1&amp;""'!$C$4:$C$66""),INDIRECT(""'""&amp;DE$1&amp;""'!$D$4:$D$66"")=DE$2),$F$3:$BP$3,$F197:$BP197)))"),0.0047925)</f>
        <v>0.0047925</v>
      </c>
      <c r="DF197" s="207" t="str">
        <f>IFERROR(__xludf.DUMMYFUNCTION("IF(OR(DE197&gt;$BR197+$BS197*$BS$2,DE197&lt;$BR197-$BS197*$BS$2),AVEDEV(ARRAYFORMULA(XLOOKUP(FILTER(INDIRECT(""'""&amp;DE$1&amp;""'!$C$4:$C$66""),INDIRECT(""'""&amp;DE$1&amp;""'!$D$4:$D$66"")=DE$2),$F$3:$BP$3,$F197:$BP197))),"""")"),"")</f>
        <v/>
      </c>
      <c r="DG197" s="251">
        <f>IFERROR(__xludf.DUMMYFUNCTION("AVERAGE(ARRAYFORMULA(XLOOKUP(FILTER(INDIRECT(""'""&amp;DG$1&amp;""'!$C$4:$C$66""),INDIRECT(""'""&amp;DG$1&amp;""'!$D$4:$D$66"")=DG$2),$F$3:$BP$3,$F197:$BP197)))"),0.014818888888888888)</f>
        <v>0.01481888889</v>
      </c>
      <c r="DH197" s="207" t="str">
        <f>IFERROR(__xludf.DUMMYFUNCTION("IF(OR(DG197&gt;$BR197+$BS197*$BS$2,DG197&lt;$BR197-$BS197*$BS$2),AVEDEV(ARRAYFORMULA(XLOOKUP(FILTER(INDIRECT(""'""&amp;DG$1&amp;""'!$C$4:$C$66""),INDIRECT(""'""&amp;DG$1&amp;""'!$D$4:$D$66"")=DG$2),$F$3:$BP$3,$F197:$BP197))),"""")"),"")</f>
        <v/>
      </c>
      <c r="DI197" s="252"/>
    </row>
    <row r="198">
      <c r="A198" s="2"/>
      <c r="B198" s="204" t="s">
        <v>630</v>
      </c>
      <c r="C198" s="204" t="s">
        <v>643</v>
      </c>
      <c r="D198" s="205" t="b">
        <f>VLOOKUP(C198,'Feature Set List'!A195:C246,2,0)</f>
        <v>1</v>
      </c>
      <c r="E198" s="205" t="b">
        <f>VLOOKUP(C198,'Feature Set List'!A195:C246,3,0)</f>
        <v>1</v>
      </c>
      <c r="F198" s="205">
        <v>0.0</v>
      </c>
      <c r="G198" s="205">
        <v>0.0</v>
      </c>
      <c r="H198" s="205">
        <v>0.0</v>
      </c>
      <c r="I198" s="205">
        <v>0.0</v>
      </c>
      <c r="J198" s="205">
        <v>0.02107</v>
      </c>
      <c r="K198" s="205">
        <v>0.0</v>
      </c>
      <c r="L198" s="205">
        <v>0.0</v>
      </c>
      <c r="M198" s="205">
        <v>0.0</v>
      </c>
      <c r="N198" s="205">
        <v>0.0</v>
      </c>
      <c r="O198" s="205">
        <v>0.0</v>
      </c>
      <c r="P198" s="205">
        <v>0.0</v>
      </c>
      <c r="Q198" s="205">
        <v>0.0</v>
      </c>
      <c r="R198" s="205">
        <v>0.0</v>
      </c>
      <c r="S198" s="205">
        <v>0.0</v>
      </c>
      <c r="T198" s="205">
        <v>0.0</v>
      </c>
      <c r="U198" s="205">
        <v>0.0</v>
      </c>
      <c r="V198" s="205">
        <v>0.0</v>
      </c>
      <c r="W198" s="205">
        <v>0.0</v>
      </c>
      <c r="X198" s="205">
        <v>0.0</v>
      </c>
      <c r="Y198" s="205">
        <v>0.0</v>
      </c>
      <c r="Z198" s="205">
        <v>0.0</v>
      </c>
      <c r="AA198" s="205">
        <v>0.0</v>
      </c>
      <c r="AB198" s="205">
        <v>0.0</v>
      </c>
      <c r="AC198" s="205">
        <v>0.0</v>
      </c>
      <c r="AD198" s="205">
        <v>0.01788</v>
      </c>
      <c r="AE198" s="205">
        <v>0.0</v>
      </c>
      <c r="AF198" s="205">
        <v>0.0</v>
      </c>
      <c r="AG198" s="205">
        <v>0.0</v>
      </c>
      <c r="AH198" s="205">
        <v>0.0</v>
      </c>
      <c r="AI198" s="205">
        <v>0.0</v>
      </c>
      <c r="AJ198" s="205">
        <v>0.05754</v>
      </c>
      <c r="AK198" s="205">
        <v>0.0</v>
      </c>
      <c r="AL198" s="205">
        <v>0.0</v>
      </c>
      <c r="AM198" s="205">
        <v>0.0</v>
      </c>
      <c r="AN198" s="205">
        <v>0.0</v>
      </c>
      <c r="AO198" s="205">
        <v>0.0</v>
      </c>
      <c r="AP198" s="205">
        <v>0.0</v>
      </c>
      <c r="AQ198" s="205">
        <v>0.0</v>
      </c>
      <c r="AR198" s="205">
        <v>0.0</v>
      </c>
      <c r="AS198" s="205">
        <v>6.903E-4</v>
      </c>
      <c r="AT198" s="205">
        <v>0.0</v>
      </c>
      <c r="AU198" s="205">
        <v>0.0</v>
      </c>
      <c r="AV198" s="205">
        <v>0.0</v>
      </c>
      <c r="AW198" s="205">
        <v>0.0</v>
      </c>
      <c r="AX198" s="205">
        <v>0.0</v>
      </c>
      <c r="AY198" s="205">
        <v>0.0</v>
      </c>
      <c r="AZ198" s="205">
        <v>0.0</v>
      </c>
      <c r="BA198" s="205">
        <v>0.0</v>
      </c>
      <c r="BB198" s="205">
        <v>0.0</v>
      </c>
      <c r="BC198" s="205">
        <v>0.05269</v>
      </c>
      <c r="BD198" s="205">
        <v>0.0</v>
      </c>
      <c r="BE198" s="205">
        <v>0.09947</v>
      </c>
      <c r="BF198" s="205">
        <v>0.0</v>
      </c>
      <c r="BG198" s="205">
        <v>0.0</v>
      </c>
      <c r="BH198" s="205">
        <v>0.005047</v>
      </c>
      <c r="BI198" s="205">
        <v>0.0</v>
      </c>
      <c r="BJ198" s="205">
        <v>0.0</v>
      </c>
      <c r="BK198" s="205">
        <v>0.0</v>
      </c>
      <c r="BL198" s="205">
        <v>0.0</v>
      </c>
      <c r="BM198" s="205">
        <v>0.0</v>
      </c>
      <c r="BN198" s="205">
        <v>0.0</v>
      </c>
      <c r="BO198" s="205">
        <v>0.0</v>
      </c>
      <c r="BP198" s="205">
        <v>0.04464</v>
      </c>
      <c r="BQ198" s="206"/>
      <c r="BR198" s="250">
        <f t="shared" si="1"/>
        <v>0.004746465079</v>
      </c>
      <c r="BS198" s="250">
        <f t="shared" si="2"/>
        <v>0.008416245855</v>
      </c>
      <c r="BT198" s="206"/>
      <c r="BU198" s="207">
        <f>IFERROR(__xludf.DUMMYFUNCTION("AVERAGE(ARRAYFORMULA(XLOOKUP(FILTER(INDIRECT(""'""&amp;BU$1&amp;""'!$C$4:$C$66""),INDIRECT(""'""&amp;BU$1&amp;""'!$D$4:$D$66"")=BU$2),$F$3:$BP$3,$F198:$BP198)))"),0.0)</f>
        <v>0</v>
      </c>
      <c r="BV198" s="207" t="str">
        <f>IFERROR(__xludf.DUMMYFUNCTION("IF(OR(BU198&gt;$BR198+$BS198*$BS$2,BU198&lt;$BR198-$BS198*$BS$2),AVEDEV(ARRAYFORMULA(XLOOKUP(FILTER(INDIRECT(""'""&amp;BU$1&amp;""'!$C$4:$C$66""),INDIRECT(""'""&amp;BU$1&amp;""'!$D$4:$D$66"")=BU$2),$F$3:$BP$3,$F198:$BP198))),"""")"),"")</f>
        <v/>
      </c>
      <c r="BW198" s="207">
        <f>IFERROR(__xludf.DUMMYFUNCTION("AVERAGE(ARRAYFORMULA(XLOOKUP(FILTER(INDIRECT(""'""&amp;BW$1&amp;""'!$C$4:$C$66""),INDIRECT(""'""&amp;BW$1&amp;""'!$D$4:$D$66"")=BW$2),$F$3:$BP$3,$F198:$BP198)))"),0.0058651738095238095)</f>
        <v>0.00586517381</v>
      </c>
      <c r="BX198" s="207" t="str">
        <f>IFERROR(__xludf.DUMMYFUNCTION("IF(OR(BW198&gt;$BR198+$BS198*$BS$2,BW198&lt;$BR198-$BS198*$BS$2),AVEDEV(ARRAYFORMULA(XLOOKUP(FILTER(INDIRECT(""'""&amp;BW$1&amp;""'!$C$4:$C$66""),INDIRECT(""'""&amp;BW$1&amp;""'!$D$4:$D$66"")=BW$2),$F$3:$BP$3,$F198:$BP198))),"""")"),"")</f>
        <v/>
      </c>
      <c r="BY198" s="207">
        <f>IFERROR(__xludf.DUMMYFUNCTION("AVERAGE(ARRAYFORMULA(XLOOKUP(FILTER(INDIRECT(""'""&amp;BY$1&amp;""'!$C$4:$C$66""),INDIRECT(""'""&amp;BY$1&amp;""'!$D$4:$D$66"")=BY$2),$F$3:$BP$3,$F198:$BP198)))"),0.0)</f>
        <v>0</v>
      </c>
      <c r="BZ198" s="207" t="str">
        <f>IFERROR(__xludf.DUMMYFUNCTION("IF(OR(BY198&gt;$BR198+$BS198*$BS$2,BY198&lt;$BR198-$BS198*$BS$2),AVEDEV(ARRAYFORMULA(XLOOKUP(FILTER(INDIRECT(""'""&amp;BY$1&amp;""'!$C$4:$C$66""),INDIRECT(""'""&amp;BY$1&amp;""'!$D$4:$D$66"")=BY$2),$F$3:$BP$3,$F198:$BP198))),"""")"),"")</f>
        <v/>
      </c>
      <c r="CA198" s="209"/>
      <c r="CB198" s="207">
        <f>IFERROR(__xludf.DUMMYFUNCTION("AVERAGE(ARRAYFORMULA(XLOOKUP(FILTER(INDIRECT(""'""&amp;CB$1&amp;""'!$C$4:$C$66""),INDIRECT(""'""&amp;CB$1&amp;""'!$D$4:$D$66"")=CB$2),$F$3:$BP$3,$F198:$BP198)))"),0.012290643750000002)</f>
        <v>0.01229064375</v>
      </c>
      <c r="CC198" s="207" t="str">
        <f>IFERROR(__xludf.DUMMYFUNCTION("IF(OR(CB198&gt;$BR198+$BS198*$BS$2,CB198&lt;$BR198-$BS198*$BS$2),AVEDEV(ARRAYFORMULA(XLOOKUP(FILTER(INDIRECT(""'""&amp;CB$1&amp;""'!$C$4:$C$66""),INDIRECT(""'""&amp;CB$1&amp;""'!$D$4:$D$66"")=CB$2),$F$3:$BP$3,$F198:$BP198))),"""")"),"")</f>
        <v/>
      </c>
      <c r="CD198" s="207">
        <f>IFERROR(__xludf.DUMMYFUNCTION("AVERAGE(ARRAYFORMULA(XLOOKUP(FILTER(INDIRECT(""'""&amp;CD$1&amp;""'!$C$4:$C$66""),INDIRECT(""'""&amp;CD$1&amp;""'!$D$4:$D$66"")=CD$2),$F$3:$BP$3,$F198:$BP198)))"),0.0016028064516129033)</f>
        <v>0.001602806452</v>
      </c>
      <c r="CE198" s="207" t="str">
        <f>IFERROR(__xludf.DUMMYFUNCTION("IF(OR(CD198&gt;$BR198+$BS198*$BS$2,CD198&lt;$BR198-$BS198*$BS$2),AVEDEV(ARRAYFORMULA(XLOOKUP(FILTER(INDIRECT(""'""&amp;CD$1&amp;""'!$C$4:$C$66""),INDIRECT(""'""&amp;CD$1&amp;""'!$D$4:$D$66"")=CD$2),$F$3:$BP$3,$F198:$BP198))),"""")"),"")</f>
        <v/>
      </c>
      <c r="CF198" s="207">
        <f>IFERROR(__xludf.DUMMYFUNCTION("AVERAGE(ARRAYFORMULA(XLOOKUP(FILTER(INDIRECT(""'""&amp;CF$1&amp;""'!$C$4:$C$66""),INDIRECT(""'""&amp;CF$1&amp;""'!$D$4:$D$66"")=CF$2),$F$3:$BP$3,$F198:$BP198)))"),0.0)</f>
        <v>0</v>
      </c>
      <c r="CG198" s="207" t="str">
        <f>IFERROR(__xludf.DUMMYFUNCTION("IF(OR(CF198&gt;$BR198+$BS198*$BS$2,CF198&lt;$BR198-$BS198*$BS$2),AVEDEV(ARRAYFORMULA(XLOOKUP(FILTER(INDIRECT(""'""&amp;CF$1&amp;""'!$C$4:$C$66""),INDIRECT(""'""&amp;CF$1&amp;""'!$D$4:$D$66"")=CF$2),$F$3:$BP$3,$F198:$BP198))),"""")"),"")</f>
        <v/>
      </c>
      <c r="CH198" s="206"/>
      <c r="CI198" s="251">
        <f>IFERROR(__xludf.DUMMYFUNCTION("AVERAGE(ARRAYFORMULA(XLOOKUP(FILTER(INDIRECT(""'""&amp;CI$1&amp;""'!$C$4:$C$66""),INDIRECT(""'""&amp;CI$1&amp;""'!$D$4:$D$66"")=CI$2),$F$3:$BP$3,$F198:$BP198)))"),0.00123802)</f>
        <v>0.00123802</v>
      </c>
      <c r="CJ198" s="207" t="str">
        <f>IFERROR(__xludf.DUMMYFUNCTION("IF(OR(CI198&gt;$BR198+$BS198*$BS$2,CI198&lt;$BR198-$BS198*$BS$2),AVEDEV(ARRAYFORMULA(XLOOKUP(FILTER(INDIRECT(""'""&amp;CI$1&amp;""'!$C$4:$C$66""),INDIRECT(""'""&amp;CI$1&amp;""'!$D$4:$D$66"")=CI$2),$F$3:$BP$3,$F198:$BP198))),"""")"),"")</f>
        <v/>
      </c>
      <c r="CK198" s="251">
        <f>IFERROR(__xludf.DUMMYFUNCTION("AVERAGE(ARRAYFORMULA(XLOOKUP(FILTER(INDIRECT(""'""&amp;CK$1&amp;""'!$C$4:$C$66""),INDIRECT(""'""&amp;CK$1&amp;""'!$D$4:$D$66"")=CK$2),$F$3:$BP$3,$F198:$BP198)))"),0.005840179487179487)</f>
        <v>0.005840179487</v>
      </c>
      <c r="CL198" s="207" t="str">
        <f>IFERROR(__xludf.DUMMYFUNCTION("IF(OR(CK198&gt;$BR198+$BS198*$BS$2,CK198&lt;$BR198-$BS198*$BS$2),AVEDEV(ARRAYFORMULA(XLOOKUP(FILTER(INDIRECT(""'""&amp;CK$1&amp;""'!$C$4:$C$66""),INDIRECT(""'""&amp;CK$1&amp;""'!$D$4:$D$66"")=CK$2),$F$3:$BP$3,$F198:$BP198))),"""")"),"")</f>
        <v/>
      </c>
      <c r="CM198" s="251">
        <f>IFERROR(__xludf.DUMMYFUNCTION("AVERAGE(ARRAYFORMULA(XLOOKUP(FILTER(INDIRECT(""'""&amp;CM$1&amp;""'!$C$4:$C$66""),INDIRECT(""'""&amp;CM$1&amp;""'!$D$4:$D$66"")=CM$2),$F$3:$BP$3,$F198:$BP198)))"),0.0)</f>
        <v>0</v>
      </c>
      <c r="CN198" s="207" t="str">
        <f>IFERROR(__xludf.DUMMYFUNCTION("IF(OR(CM198&gt;$BR198+$BS198*$BS$2,CM198&lt;$BR198-$BS198*$BS$2),AVEDEV(ARRAYFORMULA(XLOOKUP(FILTER(INDIRECT(""'""&amp;CM$1&amp;""'!$C$4:$C$66""),INDIRECT(""'""&amp;CM$1&amp;""'!$D$4:$D$66"")=CM$2),$F$3:$BP$3,$F198:$BP198))),"""")"),"")</f>
        <v/>
      </c>
      <c r="CO198" s="252"/>
      <c r="CP198" s="251">
        <f>IFERROR(__xludf.DUMMYFUNCTION("AVERAGE(ARRAYFORMULA(XLOOKUP(FILTER(INDIRECT(""'""&amp;CP$1&amp;""'!$C$4:$C$66""),INDIRECT(""'""&amp;CP$1&amp;""'!$D$4:$D$66"")=CP$2),$F$3:$BP$3,$F198:$BP198)))"),0.012492142857142858)</f>
        <v>0.01249214286</v>
      </c>
      <c r="CQ198" s="207" t="str">
        <f>IFERROR(__xludf.DUMMYFUNCTION("IF(OR(CP198&gt;$BR198+$BS198*$BS$2,CP198&lt;$BR198-$BS198*$BS$2),AVEDEV(ARRAYFORMULA(XLOOKUP(FILTER(INDIRECT(""'""&amp;CP$1&amp;""'!$C$4:$C$66""),INDIRECT(""'""&amp;CP$1&amp;""'!$D$4:$D$66"")=CP$2),$F$3:$BP$3,$F198:$BP198))),"""")"),"")</f>
        <v/>
      </c>
      <c r="CR198" s="251">
        <f>IFERROR(__xludf.DUMMYFUNCTION("AVERAGE(ARRAYFORMULA(XLOOKUP(FILTER(INDIRECT(""'""&amp;CR$1&amp;""'!$C$4:$C$66""),INDIRECT(""'""&amp;CR$1&amp;""'!$D$4:$D$66"")=CR$2),$F$3:$BP$3,$F198:$BP198)))"),0.0)</f>
        <v>0</v>
      </c>
      <c r="CS198" s="207" t="str">
        <f>IFERROR(__xludf.DUMMYFUNCTION("IF(OR(CR198&gt;$BR198+$BS198*$BS$2,CR198&lt;$BR198-$BS198*$BS$2),AVEDEV(ARRAYFORMULA(XLOOKUP(FILTER(INDIRECT(""'""&amp;CR$1&amp;""'!$C$4:$C$66""),INDIRECT(""'""&amp;CR$1&amp;""'!$D$4:$D$66"")=CR$2),$F$3:$BP$3,$F198:$BP198))),"""")"),"")</f>
        <v/>
      </c>
      <c r="CT198" s="251">
        <f>IFERROR(__xludf.DUMMYFUNCTION("AVERAGE(ARRAYFORMULA(XLOOKUP(FILTER(INDIRECT(""'""&amp;CT$1&amp;""'!$C$4:$C$66""),INDIRECT(""'""&amp;CT$1&amp;""'!$D$4:$D$66"")=CT$2),$F$3:$BP$3,$F198:$BP198)))"),6.275454545454545E-5)</f>
        <v>0.00006275454545</v>
      </c>
      <c r="CU198" s="207" t="str">
        <f>IFERROR(__xludf.DUMMYFUNCTION("IF(OR(CT198&gt;$BR198+$BS198*$BS$2,CT198&lt;$BR198-$BS198*$BS$2),AVEDEV(ARRAYFORMULA(XLOOKUP(FILTER(INDIRECT(""'""&amp;CT$1&amp;""'!$C$4:$C$66""),INDIRECT(""'""&amp;CT$1&amp;""'!$D$4:$D$66"")=CT$2),$F$3:$BP$3,$F198:$BP198))),"""")"),"")</f>
        <v/>
      </c>
      <c r="CV198" s="251">
        <f>IFERROR(__xludf.DUMMYFUNCTION("AVERAGE(ARRAYFORMULA(XLOOKUP(FILTER(INDIRECT(""'""&amp;CV$1&amp;""'!$C$4:$C$66""),INDIRECT(""'""&amp;CV$1&amp;""'!$D$4:$D$66"")=CV$2),$F$3:$BP$3,$F198:$BP198)))"),0.0)</f>
        <v>0</v>
      </c>
      <c r="CW198" s="207" t="str">
        <f>IFERROR(__xludf.DUMMYFUNCTION("IF(OR(CV198&gt;$BR198+$BS198*$BS$2,CV198&lt;$BR198-$BS198*$BS$2),AVEDEV(ARRAYFORMULA(XLOOKUP(FILTER(INDIRECT(""'""&amp;CV$1&amp;""'!$C$4:$C$66""),INDIRECT(""'""&amp;CV$1&amp;""'!$D$4:$D$66"")=CV$2),$F$3:$BP$3,$F198:$BP198))),"""")"),"")</f>
        <v/>
      </c>
      <c r="CX198" s="251">
        <f>IFERROR(__xludf.DUMMYFUNCTION("AVERAGE(ARRAYFORMULA(XLOOKUP(FILTER(INDIRECT(""'""&amp;CX$1&amp;""'!$C$4:$C$66""),INDIRECT(""'""&amp;CX$1&amp;""'!$D$4:$D$66"")=CX$2),$F$3:$BP$3,$F198:$BP198)))"),0.0035490714285714288)</f>
        <v>0.003549071429</v>
      </c>
      <c r="CY198" s="207" t="str">
        <f>IFERROR(__xludf.DUMMYFUNCTION("IF(OR(CX198&gt;$BR198+$BS198*$BS$2,CX198&lt;$BR198-$BS198*$BS$2),AVEDEV(ARRAYFORMULA(XLOOKUP(FILTER(INDIRECT(""'""&amp;CX$1&amp;""'!$C$4:$C$66""),INDIRECT(""'""&amp;CX$1&amp;""'!$D$4:$D$66"")=CX$2),$F$3:$BP$3,$F198:$BP198))),"""")"),"")</f>
        <v/>
      </c>
      <c r="CZ198" s="252"/>
      <c r="DA198" s="251">
        <f>IFERROR(__xludf.DUMMYFUNCTION("AVERAGE(ARRAYFORMULA(XLOOKUP(FILTER(INDIRECT(""'""&amp;DA$1&amp;""'!$C$4:$C$66""),INDIRECT(""'""&amp;DA$1&amp;""'!$D$4:$D$66"")=DA$2),$F$3:$BP$3,$F198:$BP198)))"),0.008211243333333333)</f>
        <v>0.008211243333</v>
      </c>
      <c r="DB198" s="207" t="str">
        <f>IFERROR(__xludf.DUMMYFUNCTION("IF(OR(DA198&gt;$BR198+$BS198*$BS$2,DA198&lt;$BR198-$BS198*$BS$2),AVEDEV(ARRAYFORMULA(XLOOKUP(FILTER(INDIRECT(""'""&amp;DA$1&amp;""'!$C$4:$C$66""),INDIRECT(""'""&amp;DA$1&amp;""'!$D$4:$D$66"")=DA$2),$F$3:$BP$3,$F198:$BP198))),"""")"),"")</f>
        <v/>
      </c>
      <c r="DC198" s="251">
        <f>IFERROR(__xludf.DUMMYFUNCTION("AVERAGE(ARRAYFORMULA(XLOOKUP(FILTER(INDIRECT(""'""&amp;DC$1&amp;""'!$C$4:$C$66""),INDIRECT(""'""&amp;DC$1&amp;""'!$D$4:$D$66"")=DC$2),$F$3:$BP$3,$F198:$BP198)))"),0.0)</f>
        <v>0</v>
      </c>
      <c r="DD198" s="207" t="str">
        <f>IFERROR(__xludf.DUMMYFUNCTION("IF(OR(DC198&gt;$BR198+$BS198*$BS$2,DC198&lt;$BR198-$BS198*$BS$2),AVEDEV(ARRAYFORMULA(XLOOKUP(FILTER(INDIRECT(""'""&amp;DC$1&amp;""'!$C$4:$C$66""),INDIRECT(""'""&amp;DC$1&amp;""'!$D$4:$D$66"")=DC$2),$F$3:$BP$3,$F198:$BP198))),"""")"),"")</f>
        <v/>
      </c>
      <c r="DE198" s="251">
        <f>IFERROR(__xludf.DUMMYFUNCTION("AVERAGE(ARRAYFORMULA(XLOOKUP(FILTER(INDIRECT(""'""&amp;DE$1&amp;""'!$C$4:$C$66""),INDIRECT(""'""&amp;DE$1&amp;""'!$D$4:$D$66"")=DE$2),$F$3:$BP$3,$F198:$BP198)))"),0.0)</f>
        <v>0</v>
      </c>
      <c r="DF198" s="207" t="str">
        <f>IFERROR(__xludf.DUMMYFUNCTION("IF(OR(DE198&gt;$BR198+$BS198*$BS$2,DE198&lt;$BR198-$BS198*$BS$2),AVEDEV(ARRAYFORMULA(XLOOKUP(FILTER(INDIRECT(""'""&amp;DE$1&amp;""'!$C$4:$C$66""),INDIRECT(""'""&amp;DE$1&amp;""'!$D$4:$D$66"")=DE$2),$F$3:$BP$3,$F198:$BP198))),"""")"),"")</f>
        <v/>
      </c>
      <c r="DG198" s="251">
        <f>IFERROR(__xludf.DUMMYFUNCTION("AVERAGE(ARRAYFORMULA(XLOOKUP(FILTER(INDIRECT(""'""&amp;DG$1&amp;""'!$C$4:$C$66""),INDIRECT(""'""&amp;DG$1&amp;""'!$D$4:$D$66"")=DG$2),$F$3:$BP$3,$F198:$BP198)))"),0.0)</f>
        <v>0</v>
      </c>
      <c r="DH198" s="207" t="str">
        <f>IFERROR(__xludf.DUMMYFUNCTION("IF(OR(DG198&gt;$BR198+$BS198*$BS$2,DG198&lt;$BR198-$BS198*$BS$2),AVEDEV(ARRAYFORMULA(XLOOKUP(FILTER(INDIRECT(""'""&amp;DG$1&amp;""'!$C$4:$C$66""),INDIRECT(""'""&amp;DG$1&amp;""'!$D$4:$D$66"")=DG$2),$F$3:$BP$3,$F198:$BP198))),"""")"),"")</f>
        <v/>
      </c>
      <c r="DI198" s="252"/>
    </row>
    <row r="199">
      <c r="A199" s="2"/>
      <c r="B199" s="204" t="s">
        <v>630</v>
      </c>
      <c r="C199" s="204" t="s">
        <v>644</v>
      </c>
      <c r="D199" s="205" t="b">
        <f>VLOOKUP(C199,'Feature Set List'!A196:C246,2,0)</f>
        <v>1</v>
      </c>
      <c r="E199" s="205" t="b">
        <f>VLOOKUP(C199,'Feature Set List'!A196:C246,3,0)</f>
        <v>1</v>
      </c>
      <c r="F199" s="205">
        <v>0.85420376</v>
      </c>
      <c r="G199" s="205">
        <v>4.48071217</v>
      </c>
      <c r="H199" s="205">
        <v>0.08468843</v>
      </c>
      <c r="I199" s="205">
        <v>0.0</v>
      </c>
      <c r="J199" s="205">
        <v>4.60534125</v>
      </c>
      <c r="K199" s="205">
        <v>0.0</v>
      </c>
      <c r="L199" s="205">
        <v>0.0</v>
      </c>
      <c r="M199" s="205">
        <v>0.0</v>
      </c>
      <c r="N199" s="205">
        <v>0.0</v>
      </c>
      <c r="O199" s="205">
        <v>0.0</v>
      </c>
      <c r="P199" s="205">
        <v>0.1109001</v>
      </c>
      <c r="Q199" s="205">
        <v>0.0</v>
      </c>
      <c r="R199" s="205">
        <v>0.0</v>
      </c>
      <c r="S199" s="205">
        <v>0.84866469</v>
      </c>
      <c r="T199" s="205">
        <v>0.0</v>
      </c>
      <c r="U199" s="205">
        <v>0.0</v>
      </c>
      <c r="V199" s="205">
        <v>0.0</v>
      </c>
      <c r="W199" s="205">
        <v>0.0</v>
      </c>
      <c r="X199" s="205">
        <v>0.88486647</v>
      </c>
      <c r="Y199" s="205">
        <v>0.0</v>
      </c>
      <c r="Z199" s="205">
        <v>0.0</v>
      </c>
      <c r="AA199" s="205">
        <v>0.0</v>
      </c>
      <c r="AB199" s="205">
        <v>0.08138477</v>
      </c>
      <c r="AC199" s="205">
        <v>1.89950544</v>
      </c>
      <c r="AD199" s="205">
        <v>3.3867458</v>
      </c>
      <c r="AE199" s="205">
        <v>0.0</v>
      </c>
      <c r="AF199" s="205">
        <v>0.0</v>
      </c>
      <c r="AG199" s="205">
        <v>0.0</v>
      </c>
      <c r="AH199" s="205">
        <v>0.0</v>
      </c>
      <c r="AI199" s="205">
        <v>0.23382789</v>
      </c>
      <c r="AJ199" s="205">
        <v>0.0</v>
      </c>
      <c r="AK199" s="205">
        <v>3.50544016</v>
      </c>
      <c r="AL199" s="205">
        <v>1.6933729</v>
      </c>
      <c r="AM199" s="205">
        <v>0.0</v>
      </c>
      <c r="AN199" s="205">
        <v>0.0</v>
      </c>
      <c r="AO199" s="205">
        <v>0.0</v>
      </c>
      <c r="AP199" s="205">
        <v>0.0</v>
      </c>
      <c r="AQ199" s="205">
        <v>5.84965381</v>
      </c>
      <c r="AR199" s="205">
        <v>0.0</v>
      </c>
      <c r="AS199" s="205">
        <v>0.0</v>
      </c>
      <c r="AT199" s="205">
        <v>0.0</v>
      </c>
      <c r="AU199" s="205">
        <v>1.11513353</v>
      </c>
      <c r="AV199" s="205">
        <v>0.79307616</v>
      </c>
      <c r="AW199" s="205">
        <v>0.0</v>
      </c>
      <c r="AX199" s="205">
        <v>6.19188922</v>
      </c>
      <c r="AY199" s="205">
        <v>0.0</v>
      </c>
      <c r="AZ199" s="205">
        <v>0.0</v>
      </c>
      <c r="BA199" s="205">
        <v>0.0</v>
      </c>
      <c r="BB199" s="205">
        <v>0.0</v>
      </c>
      <c r="BC199" s="205">
        <v>6.9297725</v>
      </c>
      <c r="BD199" s="205">
        <v>0.0</v>
      </c>
      <c r="BE199" s="205">
        <v>1.684273</v>
      </c>
      <c r="BF199" s="205">
        <v>7.00890208</v>
      </c>
      <c r="BG199" s="205">
        <v>2.14836795</v>
      </c>
      <c r="BH199" s="205">
        <v>2.84470821</v>
      </c>
      <c r="BI199" s="205">
        <v>0.0</v>
      </c>
      <c r="BJ199" s="205">
        <v>2.89416419</v>
      </c>
      <c r="BK199" s="205">
        <v>0.0</v>
      </c>
      <c r="BL199" s="205">
        <v>0.0</v>
      </c>
      <c r="BM199" s="205">
        <v>6.1305638</v>
      </c>
      <c r="BN199" s="205">
        <v>0.74559842</v>
      </c>
      <c r="BO199" s="205">
        <v>0.0</v>
      </c>
      <c r="BP199" s="205">
        <v>0.0</v>
      </c>
      <c r="BQ199" s="206"/>
      <c r="BR199" s="250">
        <f t="shared" si="1"/>
        <v>1.06358344</v>
      </c>
      <c r="BS199" s="250">
        <f t="shared" si="2"/>
        <v>1.439720983</v>
      </c>
      <c r="BT199" s="206"/>
      <c r="BU199" s="207">
        <f>IFERROR(__xludf.DUMMYFUNCTION("AVERAGE(ARRAYFORMULA(XLOOKUP(FILTER(INDIRECT(""'""&amp;BU$1&amp;""'!$C$4:$C$66""),INDIRECT(""'""&amp;BU$1&amp;""'!$D$4:$D$66"")=BU$2),$F$3:$BP$3,$F199:$BP199)))"),0.8845556028571429)</f>
        <v>0.8845556029</v>
      </c>
      <c r="BV199" s="207" t="str">
        <f>IFERROR(__xludf.DUMMYFUNCTION("IF(OR(BU199&gt;$BR199+$BS199*$BS$2,BU199&lt;$BR199-$BS199*$BS$2),AVEDEV(ARRAYFORMULA(XLOOKUP(FILTER(INDIRECT(""'""&amp;BU$1&amp;""'!$C$4:$C$66""),INDIRECT(""'""&amp;BU$1&amp;""'!$D$4:$D$66"")=BU$2),$F$3:$BP$3,$F199:$BP199))),"""")"),"")</f>
        <v/>
      </c>
      <c r="BW199" s="207">
        <f>IFERROR(__xludf.DUMMYFUNCTION("AVERAGE(ARRAYFORMULA(XLOOKUP(FILTER(INDIRECT(""'""&amp;BW$1&amp;""'!$C$4:$C$66""),INDIRECT(""'""&amp;BW$1&amp;""'!$D$4:$D$66"")=BW$2),$F$3:$BP$3,$F199:$BP199)))"),1.219325515)</f>
        <v>1.219325515</v>
      </c>
      <c r="BX199" s="207" t="str">
        <f>IFERROR(__xludf.DUMMYFUNCTION("IF(OR(BW199&gt;$BR199+$BS199*$BS$2,BW199&lt;$BR199-$BS199*$BS$2),AVEDEV(ARRAYFORMULA(XLOOKUP(FILTER(INDIRECT(""'""&amp;BW$1&amp;""'!$C$4:$C$66""),INDIRECT(""'""&amp;BW$1&amp;""'!$D$4:$D$66"")=BW$2),$F$3:$BP$3,$F199:$BP199))),"""")"),"")</f>
        <v/>
      </c>
      <c r="BY199" s="207">
        <f>IFERROR(__xludf.DUMMYFUNCTION("AVERAGE(ARRAYFORMULA(XLOOKUP(FILTER(INDIRECT(""'""&amp;BY$1&amp;""'!$C$4:$C$66""),INDIRECT(""'""&amp;BY$1&amp;""'!$D$4:$D$66"")=BY$2),$F$3:$BP$3,$F199:$BP199)))"),0.23524862909090907)</f>
        <v>0.2352486291</v>
      </c>
      <c r="BZ199" s="207" t="str">
        <f>IFERROR(__xludf.DUMMYFUNCTION("IF(OR(BY199&gt;$BR199+$BS199*$BS$2,BY199&lt;$BR199-$BS199*$BS$2),AVEDEV(ARRAYFORMULA(XLOOKUP(FILTER(INDIRECT(""'""&amp;BY$1&amp;""'!$C$4:$C$66""),INDIRECT(""'""&amp;BY$1&amp;""'!$D$4:$D$66"")=BY$2),$F$3:$BP$3,$F199:$BP199))),"""")"),"")</f>
        <v/>
      </c>
      <c r="CA199" s="209"/>
      <c r="CB199" s="207">
        <f>IFERROR(__xludf.DUMMYFUNCTION("AVERAGE(ARRAYFORMULA(XLOOKUP(FILTER(INDIRECT(""'""&amp;CB$1&amp;""'!$C$4:$C$66""),INDIRECT(""'""&amp;CB$1&amp;""'!$D$4:$D$66"")=CB$2),$F$3:$BP$3,$F199:$BP199)))"),0.9343842737500001)</f>
        <v>0.9343842738</v>
      </c>
      <c r="CC199" s="207" t="str">
        <f>IFERROR(__xludf.DUMMYFUNCTION("IF(OR(CB199&gt;$BR199+$BS199*$BS$2,CB199&lt;$BR199-$BS199*$BS$2),AVEDEV(ARRAYFORMULA(XLOOKUP(FILTER(INDIRECT(""'""&amp;CB$1&amp;""'!$C$4:$C$66""),INDIRECT(""'""&amp;CB$1&amp;""'!$D$4:$D$66"")=CB$2),$F$3:$BP$3,$F199:$BP199))),"""")"),"")</f>
        <v/>
      </c>
      <c r="CD199" s="207">
        <f>IFERROR(__xludf.DUMMYFUNCTION("AVERAGE(ARRAYFORMULA(XLOOKUP(FILTER(INDIRECT(""'""&amp;CD$1&amp;""'!$C$4:$C$66""),INDIRECT(""'""&amp;CD$1&amp;""'!$D$4:$D$66"")=CD$2),$F$3:$BP$3,$F199:$BP199)))"),0.9591653106451612)</f>
        <v>0.9591653106</v>
      </c>
      <c r="CE199" s="207" t="str">
        <f>IFERROR(__xludf.DUMMYFUNCTION("IF(OR(CD199&gt;$BR199+$BS199*$BS$2,CD199&lt;$BR199-$BS199*$BS$2),AVEDEV(ARRAYFORMULA(XLOOKUP(FILTER(INDIRECT(""'""&amp;CD$1&amp;""'!$C$4:$C$66""),INDIRECT(""'""&amp;CD$1&amp;""'!$D$4:$D$66"")=CD$2),$F$3:$BP$3,$F199:$BP199))),"""")"),"")</f>
        <v/>
      </c>
      <c r="CF199" s="207">
        <f>IFERROR(__xludf.DUMMYFUNCTION("AVERAGE(ARRAYFORMULA(XLOOKUP(FILTER(INDIRECT(""'""&amp;CF$1&amp;""'!$C$4:$C$66""),INDIRECT(""'""&amp;CF$1&amp;""'!$D$4:$D$66"")=CF$2),$F$3:$BP$3,$F199:$BP199)))"),1.571513354)</f>
        <v>1.571513354</v>
      </c>
      <c r="CG199" s="207" t="str">
        <f>IFERROR(__xludf.DUMMYFUNCTION("IF(OR(CF199&gt;$BR199+$BS199*$BS$2,CF199&lt;$BR199-$BS199*$BS$2),AVEDEV(ARRAYFORMULA(XLOOKUP(FILTER(INDIRECT(""'""&amp;CF$1&amp;""'!$C$4:$C$66""),INDIRECT(""'""&amp;CF$1&amp;""'!$D$4:$D$66"")=CF$2),$F$3:$BP$3,$F199:$BP199))),"""")"),"")</f>
        <v/>
      </c>
      <c r="CH199" s="206"/>
      <c r="CI199" s="251">
        <f>IFERROR(__xludf.DUMMYFUNCTION("AVERAGE(ARRAYFORMULA(XLOOKUP(FILTER(INDIRECT(""'""&amp;CI$1&amp;""'!$C$4:$C$66""),INDIRECT(""'""&amp;CI$1&amp;""'!$D$4:$D$66"")=CI$2),$F$3:$BP$3,$F199:$BP199)))"),0.3968532813333333)</f>
        <v>0.3968532813</v>
      </c>
      <c r="CJ199" s="207" t="str">
        <f>IFERROR(__xludf.DUMMYFUNCTION("IF(OR(CI199&gt;$BR199+$BS199*$BS$2,CI199&lt;$BR199-$BS199*$BS$2),AVEDEV(ARRAYFORMULA(XLOOKUP(FILTER(INDIRECT(""'""&amp;CI$1&amp;""'!$C$4:$C$66""),INDIRECT(""'""&amp;CI$1&amp;""'!$D$4:$D$66"")=CI$2),$F$3:$BP$3,$F199:$BP199))),"""")"),"")</f>
        <v/>
      </c>
      <c r="CK199" s="251">
        <f>IFERROR(__xludf.DUMMYFUNCTION("AVERAGE(ARRAYFORMULA(XLOOKUP(FILTER(INDIRECT(""'""&amp;CK$1&amp;""'!$C$4:$C$66""),INDIRECT(""'""&amp;CK$1&amp;""'!$D$4:$D$66"")=CK$2),$F$3:$BP$3,$F199:$BP199)))"),1.1841264046153848)</f>
        <v>1.184126405</v>
      </c>
      <c r="CL199" s="207" t="str">
        <f>IFERROR(__xludf.DUMMYFUNCTION("IF(OR(CK199&gt;$BR199+$BS199*$BS$2,CK199&lt;$BR199-$BS199*$BS$2),AVEDEV(ARRAYFORMULA(XLOOKUP(FILTER(INDIRECT(""'""&amp;CK$1&amp;""'!$C$4:$C$66""),INDIRECT(""'""&amp;CK$1&amp;""'!$D$4:$D$66"")=CK$2),$F$3:$BP$3,$F199:$BP199))),"""")"),"")</f>
        <v/>
      </c>
      <c r="CM199" s="251">
        <f>IFERROR(__xludf.DUMMYFUNCTION("AVERAGE(ARRAYFORMULA(XLOOKUP(FILTER(INDIRECT(""'""&amp;CM$1&amp;""'!$C$4:$C$66""),INDIRECT(""'""&amp;CM$1&amp;""'!$D$4:$D$66"")=CM$2),$F$3:$BP$3,$F199:$BP199)))"),1.571513354)</f>
        <v>1.571513354</v>
      </c>
      <c r="CN199" s="207" t="str">
        <f>IFERROR(__xludf.DUMMYFUNCTION("IF(OR(CM199&gt;$BR199+$BS199*$BS$2,CM199&lt;$BR199-$BS199*$BS$2),AVEDEV(ARRAYFORMULA(XLOOKUP(FILTER(INDIRECT(""'""&amp;CM$1&amp;""'!$C$4:$C$66""),INDIRECT(""'""&amp;CM$1&amp;""'!$D$4:$D$66"")=CM$2),$F$3:$BP$3,$F199:$BP199))),"""")"),"")</f>
        <v/>
      </c>
      <c r="CO199" s="252"/>
      <c r="CP199" s="251">
        <f>IFERROR(__xludf.DUMMYFUNCTION("AVERAGE(ARRAYFORMULA(XLOOKUP(FILTER(INDIRECT(""'""&amp;CP$1&amp;""'!$C$4:$C$66""),INDIRECT(""'""&amp;CP$1&amp;""'!$D$4:$D$66"")=CP$2),$F$3:$BP$3,$F199:$BP199)))"),1.1960293914285713)</f>
        <v>1.196029391</v>
      </c>
      <c r="CQ199" s="207" t="str">
        <f>IFERROR(__xludf.DUMMYFUNCTION("IF(OR(CP199&gt;$BR199+$BS199*$BS$2,CP199&lt;$BR199-$BS199*$BS$2),AVEDEV(ARRAYFORMULA(XLOOKUP(FILTER(INDIRECT(""'""&amp;CP$1&amp;""'!$C$4:$C$66""),INDIRECT(""'""&amp;CP$1&amp;""'!$D$4:$D$66"")=CP$2),$F$3:$BP$3,$F199:$BP199))),"""")"),"")</f>
        <v/>
      </c>
      <c r="CR199" s="251">
        <f>IFERROR(__xludf.DUMMYFUNCTION("AVERAGE(ARRAYFORMULA(XLOOKUP(FILTER(INDIRECT(""'""&amp;CR$1&amp;""'!$C$4:$C$66""),INDIRECT(""'""&amp;CR$1&amp;""'!$D$4:$D$66"")=CR$2),$F$3:$BP$3,$F199:$BP199)))"),0.2875261022222222)</f>
        <v>0.2875261022</v>
      </c>
      <c r="CS199" s="207" t="str">
        <f>IFERROR(__xludf.DUMMYFUNCTION("IF(OR(CR199&gt;$BR199+$BS199*$BS$2,CR199&lt;$BR199-$BS199*$BS$2),AVEDEV(ARRAYFORMULA(XLOOKUP(FILTER(INDIRECT(""'""&amp;CR$1&amp;""'!$C$4:$C$66""),INDIRECT(""'""&amp;CR$1&amp;""'!$D$4:$D$66"")=CR$2),$F$3:$BP$3,$F199:$BP199))),"""")"),"")</f>
        <v/>
      </c>
      <c r="CT199" s="251">
        <f>IFERROR(__xludf.DUMMYFUNCTION("AVERAGE(ARRAYFORMULA(XLOOKUP(FILTER(INDIRECT(""'""&amp;CT$1&amp;""'!$C$4:$C$66""),INDIRECT(""'""&amp;CT$1&amp;""'!$D$4:$D$66"")=CT$2),$F$3:$BP$3,$F199:$BP199)))"),0.9676719727272727)</f>
        <v>0.9676719727</v>
      </c>
      <c r="CU199" s="207" t="str">
        <f>IFERROR(__xludf.DUMMYFUNCTION("IF(OR(CT199&gt;$BR199+$BS199*$BS$2,CT199&lt;$BR199-$BS199*$BS$2),AVEDEV(ARRAYFORMULA(XLOOKUP(FILTER(INDIRECT(""'""&amp;CT$1&amp;""'!$C$4:$C$66""),INDIRECT(""'""&amp;CT$1&amp;""'!$D$4:$D$66"")=CT$2),$F$3:$BP$3,$F199:$BP199))),"""")"),"")</f>
        <v/>
      </c>
      <c r="CV199" s="251">
        <f>IFERROR(__xludf.DUMMYFUNCTION("AVERAGE(ARRAYFORMULA(XLOOKUP(FILTER(INDIRECT(""'""&amp;CV$1&amp;""'!$C$4:$C$66""),INDIRECT(""'""&amp;CV$1&amp;""'!$D$4:$D$66"")=CV$2),$F$3:$BP$3,$F199:$BP199)))"),2.0239366949999997)</f>
        <v>2.023936695</v>
      </c>
      <c r="CW199" s="207" t="str">
        <f>IFERROR(__xludf.DUMMYFUNCTION("IF(OR(CV199&gt;$BR199+$BS199*$BS$2,CV199&lt;$BR199-$BS199*$BS$2),AVEDEV(ARRAYFORMULA(XLOOKUP(FILTER(INDIRECT(""'""&amp;CV$1&amp;""'!$C$4:$C$66""),INDIRECT(""'""&amp;CV$1&amp;""'!$D$4:$D$66"")=CV$2),$F$3:$BP$3,$F199:$BP199))),"""")"),"")</f>
        <v/>
      </c>
      <c r="CX199" s="251">
        <f>IFERROR(__xludf.DUMMYFUNCTION("AVERAGE(ARRAYFORMULA(XLOOKUP(FILTER(INDIRECT(""'""&amp;CX$1&amp;""'!$C$4:$C$66""),INDIRECT(""'""&amp;CX$1&amp;""'!$D$4:$D$66"")=CX$2),$F$3:$BP$3,$F199:$BP199)))"),1.0835467007142858)</f>
        <v>1.083546701</v>
      </c>
      <c r="CY199" s="207" t="str">
        <f>IFERROR(__xludf.DUMMYFUNCTION("IF(OR(CX199&gt;$BR199+$BS199*$BS$2,CX199&lt;$BR199-$BS199*$BS$2),AVEDEV(ARRAYFORMULA(XLOOKUP(FILTER(INDIRECT(""'""&amp;CX$1&amp;""'!$C$4:$C$66""),INDIRECT(""'""&amp;CX$1&amp;""'!$D$4:$D$66"")=CX$2),$F$3:$BP$3,$F199:$BP199))),"""")"),"")</f>
        <v/>
      </c>
      <c r="CZ199" s="252"/>
      <c r="DA199" s="251">
        <f>IFERROR(__xludf.DUMMYFUNCTION("AVERAGE(ARRAYFORMULA(XLOOKUP(FILTER(INDIRECT(""'""&amp;DA$1&amp;""'!$C$4:$C$66""),INDIRECT(""'""&amp;DA$1&amp;""'!$D$4:$D$66"")=DA$2),$F$3:$BP$3,$F199:$BP199)))"),1.0200857243333334)</f>
        <v>1.020085724</v>
      </c>
      <c r="DB199" s="207" t="str">
        <f>IFERROR(__xludf.DUMMYFUNCTION("IF(OR(DA199&gt;$BR199+$BS199*$BS$2,DA199&lt;$BR199-$BS199*$BS$2),AVEDEV(ARRAYFORMULA(XLOOKUP(FILTER(INDIRECT(""'""&amp;DA$1&amp;""'!$C$4:$C$66""),INDIRECT(""'""&amp;DA$1&amp;""'!$D$4:$D$66"")=DA$2),$F$3:$BP$3,$F199:$BP199))),"""")"),"")</f>
        <v/>
      </c>
      <c r="DC199" s="251">
        <f>IFERROR(__xludf.DUMMYFUNCTION("AVERAGE(ARRAYFORMULA(XLOOKUP(FILTER(INDIRECT(""'""&amp;DC$1&amp;""'!$C$4:$C$66""),INDIRECT(""'""&amp;DC$1&amp;""'!$D$4:$D$66"")=DC$2),$F$3:$BP$3,$F199:$BP199)))"),0.3131113311111111)</f>
        <v>0.3131113311</v>
      </c>
      <c r="DD199" s="207" t="str">
        <f>IFERROR(__xludf.DUMMYFUNCTION("IF(OR(DC199&gt;$BR199+$BS199*$BS$2,DC199&lt;$BR199-$BS199*$BS$2),AVEDEV(ARRAYFORMULA(XLOOKUP(FILTER(INDIRECT(""'""&amp;DC$1&amp;""'!$C$4:$C$66""),INDIRECT(""'""&amp;DC$1&amp;""'!$D$4:$D$66"")=DC$2),$F$3:$BP$3,$F199:$BP199))),"""")"),"")</f>
        <v/>
      </c>
      <c r="DE199" s="251">
        <f>IFERROR(__xludf.DUMMYFUNCTION("AVERAGE(ARRAYFORMULA(XLOOKUP(FILTER(INDIRECT(""'""&amp;DE$1&amp;""'!$C$4:$C$66""),INDIRECT(""'""&amp;DE$1&amp;""'!$D$4:$D$66"")=DE$2),$F$3:$BP$3,$F199:$BP199)))"),0.80321463875)</f>
        <v>0.8032146388</v>
      </c>
      <c r="DF199" s="207" t="str">
        <f>IFERROR(__xludf.DUMMYFUNCTION("IF(OR(DE199&gt;$BR199+$BS199*$BS$2,DE199&lt;$BR199-$BS199*$BS$2),AVEDEV(ARRAYFORMULA(XLOOKUP(FILTER(INDIRECT(""'""&amp;DE$1&amp;""'!$C$4:$C$66""),INDIRECT(""'""&amp;DE$1&amp;""'!$D$4:$D$66"")=DE$2),$F$3:$BP$3,$F199:$BP199))),"""")"),"")</f>
        <v/>
      </c>
      <c r="DG199" s="251">
        <f>IFERROR(__xludf.DUMMYFUNCTION("AVERAGE(ARRAYFORMULA(XLOOKUP(FILTER(INDIRECT(""'""&amp;DG$1&amp;""'!$C$4:$C$66""),INDIRECT(""'""&amp;DG$1&amp;""'!$D$4:$D$66"")=DG$2),$F$3:$BP$3,$F199:$BP199)))"),1.5883723488888888)</f>
        <v>1.588372349</v>
      </c>
      <c r="DH199" s="207" t="str">
        <f>IFERROR(__xludf.DUMMYFUNCTION("IF(OR(DG199&gt;$BR199+$BS199*$BS$2,DG199&lt;$BR199-$BS199*$BS$2),AVEDEV(ARRAYFORMULA(XLOOKUP(FILTER(INDIRECT(""'""&amp;DG$1&amp;""'!$C$4:$C$66""),INDIRECT(""'""&amp;DG$1&amp;""'!$D$4:$D$66"")=DG$2),$F$3:$BP$3,$F199:$BP199))),"""")"),"")</f>
        <v/>
      </c>
      <c r="DI199" s="252"/>
    </row>
    <row r="200">
      <c r="A200" s="2"/>
      <c r="B200" s="204" t="s">
        <v>630</v>
      </c>
      <c r="C200" s="204" t="s">
        <v>645</v>
      </c>
      <c r="D200" s="205" t="b">
        <f>VLOOKUP(C200,'Feature Set List'!A197:C246,2,0)</f>
        <v>1</v>
      </c>
      <c r="E200" s="205" t="b">
        <f>VLOOKUP(C200,'Feature Set List'!A197:C246,3,0)</f>
        <v>1</v>
      </c>
      <c r="F200" s="205">
        <v>0.05123967</v>
      </c>
      <c r="G200" s="205">
        <v>-0.3041322</v>
      </c>
      <c r="H200" s="205">
        <v>0.65983471</v>
      </c>
      <c r="I200" s="205">
        <v>-0.3246281</v>
      </c>
      <c r="J200" s="205">
        <v>0.5014876</v>
      </c>
      <c r="K200" s="205">
        <v>-0.4145455</v>
      </c>
      <c r="L200" s="205">
        <v>-0.448595</v>
      </c>
      <c r="M200" s="205">
        <v>0.43239669</v>
      </c>
      <c r="N200" s="205">
        <v>-0.3884298</v>
      </c>
      <c r="O200" s="205">
        <v>-0.5120661</v>
      </c>
      <c r="P200" s="205">
        <v>0.50545455</v>
      </c>
      <c r="Q200" s="205">
        <v>1.19636364</v>
      </c>
      <c r="R200" s="205">
        <v>0.29421488</v>
      </c>
      <c r="S200" s="205">
        <v>-0.0578512</v>
      </c>
      <c r="T200" s="205">
        <v>0.80198347</v>
      </c>
      <c r="U200" s="205">
        <v>-0.3196694</v>
      </c>
      <c r="V200" s="205">
        <v>1.08099174</v>
      </c>
      <c r="W200" s="205">
        <v>0.78578512</v>
      </c>
      <c r="X200" s="205">
        <v>0.02942149</v>
      </c>
      <c r="Y200" s="205">
        <v>0.69719008</v>
      </c>
      <c r="Z200" s="205">
        <v>0.9861157</v>
      </c>
      <c r="AA200" s="205">
        <v>-0.9771901</v>
      </c>
      <c r="AB200" s="205">
        <v>0.88595041</v>
      </c>
      <c r="AC200" s="205">
        <v>-0.0264463</v>
      </c>
      <c r="AD200" s="205">
        <v>-0.2019835</v>
      </c>
      <c r="AE200" s="205">
        <v>0.1553719</v>
      </c>
      <c r="AF200" s="205">
        <v>0.34446281</v>
      </c>
      <c r="AG200" s="205">
        <v>0.71471074</v>
      </c>
      <c r="AH200" s="205">
        <v>-0.134876</v>
      </c>
      <c r="AI200" s="205">
        <v>0.17256198</v>
      </c>
      <c r="AJ200" s="205">
        <v>-0.7048926</v>
      </c>
      <c r="AK200" s="205">
        <v>-0.1900826</v>
      </c>
      <c r="AL200" s="205">
        <v>-0.286281</v>
      </c>
      <c r="AM200" s="205">
        <v>-0.0436364</v>
      </c>
      <c r="AN200" s="205">
        <v>-0.9771901</v>
      </c>
      <c r="AO200" s="205">
        <v>-0.8778512</v>
      </c>
      <c r="AP200" s="205">
        <v>0.6968595</v>
      </c>
      <c r="AQ200" s="205">
        <v>0.42380165</v>
      </c>
      <c r="AR200" s="205">
        <v>-0.4614876</v>
      </c>
      <c r="AS200" s="205">
        <v>0.17586777</v>
      </c>
      <c r="AT200" s="205">
        <v>-0.9771901</v>
      </c>
      <c r="AU200" s="205">
        <v>0.23669421</v>
      </c>
      <c r="AV200" s="205">
        <v>-0.8572231</v>
      </c>
      <c r="AW200" s="205">
        <v>0.63504132</v>
      </c>
      <c r="AX200" s="205">
        <v>0.0</v>
      </c>
      <c r="AY200" s="205">
        <v>0.63669421</v>
      </c>
      <c r="AZ200" s="205">
        <v>-0.5173554</v>
      </c>
      <c r="BA200" s="205">
        <v>0.57123967</v>
      </c>
      <c r="BB200" s="205">
        <v>0.75900826</v>
      </c>
      <c r="BC200" s="205">
        <v>-0.7065124</v>
      </c>
      <c r="BD200" s="205">
        <v>0.66578512</v>
      </c>
      <c r="BE200" s="205">
        <v>-0.2383471</v>
      </c>
      <c r="BF200" s="205">
        <v>0.05719008</v>
      </c>
      <c r="BG200" s="205">
        <v>-0.2747107</v>
      </c>
      <c r="BH200" s="205">
        <v>-0.9771901</v>
      </c>
      <c r="BI200" s="205">
        <v>-0.5649587</v>
      </c>
      <c r="BJ200" s="205">
        <v>-0.3438017</v>
      </c>
      <c r="BK200" s="205">
        <v>-0.437686</v>
      </c>
      <c r="BL200" s="205">
        <v>0.57652893</v>
      </c>
      <c r="BM200" s="205">
        <v>-0.5821488</v>
      </c>
      <c r="BN200" s="205">
        <v>0.18942149</v>
      </c>
      <c r="BO200" s="205">
        <v>0.72561983</v>
      </c>
      <c r="BP200" s="205">
        <v>-0.788</v>
      </c>
      <c r="BQ200" s="206"/>
      <c r="BR200" s="250">
        <f t="shared" si="1"/>
        <v>0.02743381619</v>
      </c>
      <c r="BS200" s="250">
        <f t="shared" si="2"/>
        <v>0.5014235212</v>
      </c>
      <c r="BT200" s="206"/>
      <c r="BU200" s="207">
        <f>IFERROR(__xludf.DUMMYFUNCTION("AVERAGE(ARRAYFORMULA(XLOOKUP(FILTER(INDIRECT(""'""&amp;BU$1&amp;""'!$C$4:$C$66""),INDIRECT(""'""&amp;BU$1&amp;""'!$D$4:$D$66"")=BU$2),$F$3:$BP$3,$F200:$BP200)))"),0.20141675428571432)</f>
        <v>0.2014167543</v>
      </c>
      <c r="BV200" s="207" t="str">
        <f>IFERROR(__xludf.DUMMYFUNCTION("IF(OR(BU200&gt;$BR200+$BS200*$BS$2,BU200&lt;$BR200-$BS200*$BS$2),AVEDEV(ARRAYFORMULA(XLOOKUP(FILTER(INDIRECT(""'""&amp;BU$1&amp;""'!$C$4:$C$66""),INDIRECT(""'""&amp;BU$1&amp;""'!$D$4:$D$66"")=BU$2),$F$3:$BP$3,$F200:$BP200))),"""")"),"")</f>
        <v/>
      </c>
      <c r="BW200" s="207">
        <f>IFERROR(__xludf.DUMMYFUNCTION("AVERAGE(ARRAYFORMULA(XLOOKUP(FILTER(INDIRECT(""'""&amp;BW$1&amp;""'!$C$4:$C$66""),INDIRECT(""'""&amp;BW$1&amp;""'!$D$4:$D$66"")=BW$2),$F$3:$BP$3,$F200:$BP200)))"),0.018153480714285714)</f>
        <v>0.01815348071</v>
      </c>
      <c r="BX200" s="207" t="str">
        <f>IFERROR(__xludf.DUMMYFUNCTION("IF(OR(BW200&gt;$BR200+$BS200*$BS$2,BW200&lt;$BR200-$BS200*$BS$2),AVEDEV(ARRAYFORMULA(XLOOKUP(FILTER(INDIRECT(""'""&amp;BW$1&amp;""'!$C$4:$C$66""),INDIRECT(""'""&amp;BW$1&amp;""'!$D$4:$D$66"")=BW$2),$F$3:$BP$3,$F200:$BP200))),"""")"),"")</f>
        <v/>
      </c>
      <c r="BY200" s="207">
        <f>IFERROR(__xludf.DUMMYFUNCTION("AVERAGE(ARRAYFORMULA(XLOOKUP(FILTER(INDIRECT(""'""&amp;BY$1&amp;""'!$C$4:$C$66""),INDIRECT(""'""&amp;BY$1&amp;""'!$D$4:$D$66"")=BY$2),$F$3:$BP$3,$F200:$BP200)))"),0.0527122490909091)</f>
        <v>0.05271224909</v>
      </c>
      <c r="BZ200" s="207" t="str">
        <f>IFERROR(__xludf.DUMMYFUNCTION("IF(OR(BY200&gt;$BR200+$BS200*$BS$2,BY200&lt;$BR200-$BS200*$BS$2),AVEDEV(ARRAYFORMULA(XLOOKUP(FILTER(INDIRECT(""'""&amp;BY$1&amp;""'!$C$4:$C$66""),INDIRECT(""'""&amp;BY$1&amp;""'!$D$4:$D$66"")=BY$2),$F$3:$BP$3,$F200:$BP200))),"""")"),"")</f>
        <v/>
      </c>
      <c r="CA200" s="209"/>
      <c r="CB200" s="207">
        <f>IFERROR(__xludf.DUMMYFUNCTION("AVERAGE(ARRAYFORMULA(XLOOKUP(FILTER(INDIRECT(""'""&amp;CB$1&amp;""'!$C$4:$C$66""),INDIRECT(""'""&amp;CB$1&amp;""'!$D$4:$D$66"")=CB$2),$F$3:$BP$3,$F200:$BP200)))"),-0.027456605625000005)</f>
        <v>-0.02745660563</v>
      </c>
      <c r="CC200" s="207" t="str">
        <f>IFERROR(__xludf.DUMMYFUNCTION("IF(OR(CB200&gt;$BR200+$BS200*$BS$2,CB200&lt;$BR200-$BS200*$BS$2),AVEDEV(ARRAYFORMULA(XLOOKUP(FILTER(INDIRECT(""'""&amp;CB$1&amp;""'!$C$4:$C$66""),INDIRECT(""'""&amp;CB$1&amp;""'!$D$4:$D$66"")=CB$2),$F$3:$BP$3,$F200:$BP200))),"""")"),"")</f>
        <v/>
      </c>
      <c r="CD200" s="207">
        <f>IFERROR(__xludf.DUMMYFUNCTION("AVERAGE(ARRAYFORMULA(XLOOKUP(FILTER(INDIRECT(""'""&amp;CD$1&amp;""'!$C$4:$C$66""),INDIRECT(""'""&amp;CD$1&amp;""'!$D$4:$D$66"")=CD$2),$F$3:$BP$3,$F200:$BP200)))"),0.11084296903225807)</f>
        <v>0.110842969</v>
      </c>
      <c r="CE200" s="207" t="str">
        <f>IFERROR(__xludf.DUMMYFUNCTION("IF(OR(CD200&gt;$BR200+$BS200*$BS$2,CD200&lt;$BR200-$BS200*$BS$2),AVEDEV(ARRAYFORMULA(XLOOKUP(FILTER(INDIRECT(""'""&amp;CD$1&amp;""'!$C$4:$C$66""),INDIRECT(""'""&amp;CD$1&amp;""'!$D$4:$D$66"")=CD$2),$F$3:$BP$3,$F200:$BP200))),"""")"),"")</f>
        <v/>
      </c>
      <c r="CF200" s="207">
        <f>IFERROR(__xludf.DUMMYFUNCTION("AVERAGE(ARRAYFORMULA(XLOOKUP(FILTER(INDIRECT(""'""&amp;CF$1&amp;""'!$C$4:$C$66""),INDIRECT(""'""&amp;CF$1&amp;""'!$D$4:$D$66"")=CF$2),$F$3:$BP$3,$F200:$BP200)))"),-0.298314044)</f>
        <v>-0.298314044</v>
      </c>
      <c r="CG200" s="207" t="str">
        <f>IFERROR(__xludf.DUMMYFUNCTION("IF(OR(CF200&gt;$BR200+$BS200*$BS$2,CF200&lt;$BR200-$BS200*$BS$2),AVEDEV(ARRAYFORMULA(XLOOKUP(FILTER(INDIRECT(""'""&amp;CF$1&amp;""'!$C$4:$C$66""),INDIRECT(""'""&amp;CF$1&amp;""'!$D$4:$D$66"")=CF$2),$F$3:$BP$3,$F200:$BP200))),"""")"),"")</f>
        <v/>
      </c>
      <c r="CH200" s="206"/>
      <c r="CI200" s="251">
        <f>IFERROR(__xludf.DUMMYFUNCTION("AVERAGE(ARRAYFORMULA(XLOOKUP(FILTER(INDIRECT(""'""&amp;CI$1&amp;""'!$C$4:$C$66""),INDIRECT(""'""&amp;CI$1&amp;""'!$D$4:$D$66"")=CI$2),$F$3:$BP$3,$F200:$BP200)))"),0.3791515113333333)</f>
        <v>0.3791515113</v>
      </c>
      <c r="CJ200" s="207" t="str">
        <f>IFERROR(__xludf.DUMMYFUNCTION("IF(OR(CI200&gt;$BR200+$BS200*$BS$2,CI200&lt;$BR200-$BS200*$BS$2),AVEDEV(ARRAYFORMULA(XLOOKUP(FILTER(INDIRECT(""'""&amp;CI$1&amp;""'!$C$4:$C$66""),INDIRECT(""'""&amp;CI$1&amp;""'!$D$4:$D$66"")=CI$2),$F$3:$BP$3,$F200:$BP200))),"""")"),"")</f>
        <v/>
      </c>
      <c r="CK200" s="251">
        <f>IFERROR(__xludf.DUMMYFUNCTION("AVERAGE(ARRAYFORMULA(XLOOKUP(FILTER(INDIRECT(""'""&amp;CK$1&amp;""'!$C$4:$C$66""),INDIRECT(""'""&amp;CK$1&amp;""'!$D$4:$D$66"")=CK$2),$F$3:$BP$3,$F200:$BP200)))"),-0.025790211282051285)</f>
        <v>-0.02579021128</v>
      </c>
      <c r="CL200" s="207" t="str">
        <f>IFERROR(__xludf.DUMMYFUNCTION("IF(OR(CK200&gt;$BR200+$BS200*$BS$2,CK200&lt;$BR200-$BS200*$BS$2),AVEDEV(ARRAYFORMULA(XLOOKUP(FILTER(INDIRECT(""'""&amp;CK$1&amp;""'!$C$4:$C$66""),INDIRECT(""'""&amp;CK$1&amp;""'!$D$4:$D$66"")=CK$2),$F$3:$BP$3,$F200:$BP200))),"""")"),"")</f>
        <v/>
      </c>
      <c r="CM200" s="251">
        <f>IFERROR(__xludf.DUMMYFUNCTION("AVERAGE(ARRAYFORMULA(XLOOKUP(FILTER(INDIRECT(""'""&amp;CM$1&amp;""'!$C$4:$C$66""),INDIRECT(""'""&amp;CM$1&amp;""'!$D$4:$D$66"")=CM$2),$F$3:$BP$3,$F200:$BP200)))"),-0.298314044)</f>
        <v>-0.298314044</v>
      </c>
      <c r="CN200" s="207" t="str">
        <f>IFERROR(__xludf.DUMMYFUNCTION("IF(OR(CM200&gt;$BR200+$BS200*$BS$2,CM200&lt;$BR200-$BS200*$BS$2),AVEDEV(ARRAYFORMULA(XLOOKUP(FILTER(INDIRECT(""'""&amp;CM$1&amp;""'!$C$4:$C$66""),INDIRECT(""'""&amp;CM$1&amp;""'!$D$4:$D$66"")=CM$2),$F$3:$BP$3,$F200:$BP200))),"""")"),"")</f>
        <v/>
      </c>
      <c r="CO200" s="252"/>
      <c r="CP200" s="251">
        <f>IFERROR(__xludf.DUMMYFUNCTION("AVERAGE(ARRAYFORMULA(XLOOKUP(FILTER(INDIRECT(""'""&amp;CP$1&amp;""'!$C$4:$C$66""),INDIRECT(""'""&amp;CP$1&amp;""'!$D$4:$D$66"")=CP$2),$F$3:$BP$3,$F200:$BP200)))"),-0.2159834642857143)</f>
        <v>-0.2159834643</v>
      </c>
      <c r="CQ200" s="207" t="str">
        <f>IFERROR(__xludf.DUMMYFUNCTION("IF(OR(CP200&gt;$BR200+$BS200*$BS$2,CP200&lt;$BR200-$BS200*$BS$2),AVEDEV(ARRAYFORMULA(XLOOKUP(FILTER(INDIRECT(""'""&amp;CP$1&amp;""'!$C$4:$C$66""),INDIRECT(""'""&amp;CP$1&amp;""'!$D$4:$D$66"")=CP$2),$F$3:$BP$3,$F200:$BP200))),"""")"),"")</f>
        <v/>
      </c>
      <c r="CR200" s="251">
        <f>IFERROR(__xludf.DUMMYFUNCTION("AVERAGE(ARRAYFORMULA(XLOOKUP(FILTER(INDIRECT(""'""&amp;CR$1&amp;""'!$C$4:$C$66""),INDIRECT(""'""&amp;CR$1&amp;""'!$D$4:$D$66"")=CR$2),$F$3:$BP$3,$F200:$BP200)))"),-0.0703764888888889)</f>
        <v>-0.07037648889</v>
      </c>
      <c r="CS200" s="207" t="str">
        <f>IFERROR(__xludf.DUMMYFUNCTION("IF(OR(CR200&gt;$BR200+$BS200*$BS$2,CR200&lt;$BR200-$BS200*$BS$2),AVEDEV(ARRAYFORMULA(XLOOKUP(FILTER(INDIRECT(""'""&amp;CR$1&amp;""'!$C$4:$C$66""),INDIRECT(""'""&amp;CR$1&amp;""'!$D$4:$D$66"")=CR$2),$F$3:$BP$3,$F200:$BP200))),"""")"),"")</f>
        <v/>
      </c>
      <c r="CT200" s="251">
        <f>IFERROR(__xludf.DUMMYFUNCTION("AVERAGE(ARRAYFORMULA(XLOOKUP(FILTER(INDIRECT(""'""&amp;CT$1&amp;""'!$C$4:$C$66""),INDIRECT(""'""&amp;CT$1&amp;""'!$D$4:$D$66"")=CT$2),$F$3:$BP$3,$F200:$BP200)))"),0.26485348999999997)</f>
        <v>0.26485349</v>
      </c>
      <c r="CU200" s="207" t="str">
        <f>IFERROR(__xludf.DUMMYFUNCTION("IF(OR(CT200&gt;$BR200+$BS200*$BS$2,CT200&lt;$BR200-$BS200*$BS$2),AVEDEV(ARRAYFORMULA(XLOOKUP(FILTER(INDIRECT(""'""&amp;CT$1&amp;""'!$C$4:$C$66""),INDIRECT(""'""&amp;CT$1&amp;""'!$D$4:$D$66"")=CT$2),$F$3:$BP$3,$F200:$BP200))),"""")"),"")</f>
        <v/>
      </c>
      <c r="CV200" s="251">
        <f>IFERROR(__xludf.DUMMYFUNCTION("AVERAGE(ARRAYFORMULA(XLOOKUP(FILTER(INDIRECT(""'""&amp;CV$1&amp;""'!$C$4:$C$66""),INDIRECT(""'""&amp;CV$1&amp;""'!$D$4:$D$66"")=CV$2),$F$3:$BP$3,$F200:$BP200)))"),-0.15057849999999998)</f>
        <v>-0.1505785</v>
      </c>
      <c r="CW200" s="207" t="str">
        <f>IFERROR(__xludf.DUMMYFUNCTION("IF(OR(CV200&gt;$BR200+$BS200*$BS$2,CV200&lt;$BR200-$BS200*$BS$2),AVEDEV(ARRAYFORMULA(XLOOKUP(FILTER(INDIRECT(""'""&amp;CV$1&amp;""'!$C$4:$C$66""),INDIRECT(""'""&amp;CV$1&amp;""'!$D$4:$D$66"")=CV$2),$F$3:$BP$3,$F200:$BP200))),"""")"),"")</f>
        <v/>
      </c>
      <c r="CX200" s="251">
        <f>IFERROR(__xludf.DUMMYFUNCTION("AVERAGE(ARRAYFORMULA(XLOOKUP(FILTER(INDIRECT(""'""&amp;CX$1&amp;""'!$C$4:$C$66""),INDIRECT(""'""&amp;CX$1&amp;""'!$D$4:$D$66"")=CX$2),$F$3:$BP$3,$F200:$BP200)))"),0.126476965)</f>
        <v>0.126476965</v>
      </c>
      <c r="CY200" s="207" t="str">
        <f>IFERROR(__xludf.DUMMYFUNCTION("IF(OR(CX200&gt;$BR200+$BS200*$BS$2,CX200&lt;$BR200-$BS200*$BS$2),AVEDEV(ARRAYFORMULA(XLOOKUP(FILTER(INDIRECT(""'""&amp;CX$1&amp;""'!$C$4:$C$66""),INDIRECT(""'""&amp;CX$1&amp;""'!$D$4:$D$66"")=CX$2),$F$3:$BP$3,$F200:$BP200))),"""")"),"")</f>
        <v/>
      </c>
      <c r="CZ200" s="252"/>
      <c r="DA200" s="251">
        <f>IFERROR(__xludf.DUMMYFUNCTION("AVERAGE(ARRAYFORMULA(XLOOKUP(FILTER(INDIRECT(""'""&amp;DA$1&amp;""'!$C$4:$C$66""),INDIRECT(""'""&amp;DA$1&amp;""'!$D$4:$D$66"")=DA$2),$F$3:$BP$3,$F200:$BP200)))"),0.04590082433333332)</f>
        <v>0.04590082433</v>
      </c>
      <c r="DB200" s="207" t="str">
        <f>IFERROR(__xludf.DUMMYFUNCTION("IF(OR(DA200&gt;$BR200+$BS200*$BS$2,DA200&lt;$BR200-$BS200*$BS$2),AVEDEV(ARRAYFORMULA(XLOOKUP(FILTER(INDIRECT(""'""&amp;DA$1&amp;""'!$C$4:$C$66""),INDIRECT(""'""&amp;DA$1&amp;""'!$D$4:$D$66"")=DA$2),$F$3:$BP$3,$F200:$BP200))),"""")"),"")</f>
        <v/>
      </c>
      <c r="DC200" s="251">
        <f>IFERROR(__xludf.DUMMYFUNCTION("AVERAGE(ARRAYFORMULA(XLOOKUP(FILTER(INDIRECT(""'""&amp;DC$1&amp;""'!$C$4:$C$66""),INDIRECT(""'""&amp;DC$1&amp;""'!$D$4:$D$66"")=DC$2),$F$3:$BP$3,$F200:$BP200)))"),-5.509611111111175E-4)</f>
        <v>-0.0005509611111</v>
      </c>
      <c r="DD200" s="207" t="str">
        <f>IFERROR(__xludf.DUMMYFUNCTION("IF(OR(DC200&gt;$BR200+$BS200*$BS$2,DC200&lt;$BR200-$BS200*$BS$2),AVEDEV(ARRAYFORMULA(XLOOKUP(FILTER(INDIRECT(""'""&amp;DC$1&amp;""'!$C$4:$C$66""),INDIRECT(""'""&amp;DC$1&amp;""'!$D$4:$D$66"")=DC$2),$F$3:$BP$3,$F200:$BP200))),"""")"),"")</f>
        <v/>
      </c>
      <c r="DE200" s="251">
        <f>IFERROR(__xludf.DUMMYFUNCTION("AVERAGE(ARRAYFORMULA(XLOOKUP(FILTER(INDIRECT(""'""&amp;DE$1&amp;""'!$C$4:$C$66""),INDIRECT(""'""&amp;DE$1&amp;""'!$D$4:$D$66"")=DE$2),$F$3:$BP$3,$F200:$BP200)))"),0.46243801000000007)</f>
        <v>0.46243801</v>
      </c>
      <c r="DF200" s="207" t="str">
        <f>IFERROR(__xludf.DUMMYFUNCTION("IF(OR(DE200&gt;$BR200+$BS200*$BS$2,DE200&lt;$BR200-$BS200*$BS$2),AVEDEV(ARRAYFORMULA(XLOOKUP(FILTER(INDIRECT(""'""&amp;DE$1&amp;""'!$C$4:$C$66""),INDIRECT(""'""&amp;DE$1&amp;""'!$D$4:$D$66"")=DE$2),$F$3:$BP$3,$F200:$BP200))),"""")"),"")</f>
        <v/>
      </c>
      <c r="DG200" s="251">
        <f>IFERROR(__xludf.DUMMYFUNCTION("AVERAGE(ARRAYFORMULA(XLOOKUP(FILTER(INDIRECT(""'""&amp;DG$1&amp;""'!$C$4:$C$66""),INDIRECT(""'""&amp;DG$1&amp;""'!$D$4:$D$66"")=DG$2),$F$3:$BP$3,$F200:$BP200)))"),-0.23489806888888895)</f>
        <v>-0.2348980689</v>
      </c>
      <c r="DH200" s="207" t="str">
        <f>IFERROR(__xludf.DUMMYFUNCTION("IF(OR(DG200&gt;$BR200+$BS200*$BS$2,DG200&lt;$BR200-$BS200*$BS$2),AVEDEV(ARRAYFORMULA(XLOOKUP(FILTER(INDIRECT(""'""&amp;DG$1&amp;""'!$C$4:$C$66""),INDIRECT(""'""&amp;DG$1&amp;""'!$D$4:$D$66"")=DG$2),$F$3:$BP$3,$F200:$BP200))),"""")"),"")</f>
        <v/>
      </c>
      <c r="DI200" s="252"/>
    </row>
    <row r="201">
      <c r="A201" s="2"/>
      <c r="B201" s="204" t="s">
        <v>646</v>
      </c>
      <c r="C201" s="204" t="s">
        <v>647</v>
      </c>
      <c r="D201" s="205" t="b">
        <f>VLOOKUP(C201,'Feature Set List'!A198:C246,2,0)</f>
        <v>1</v>
      </c>
      <c r="E201" s="205" t="b">
        <f>VLOOKUP(C201,'Feature Set List'!A198:C246,3,0)</f>
        <v>1</v>
      </c>
      <c r="F201" s="205">
        <v>-0.3333333</v>
      </c>
      <c r="G201" s="205">
        <v>0.0</v>
      </c>
      <c r="H201" s="205">
        <v>-0.6666667</v>
      </c>
      <c r="I201" s="205">
        <v>0.66666667</v>
      </c>
      <c r="J201" s="205">
        <v>0.0</v>
      </c>
      <c r="K201" s="205">
        <v>-0.3333333</v>
      </c>
      <c r="L201" s="205">
        <v>-0.6666667</v>
      </c>
      <c r="M201" s="205">
        <v>0.0</v>
      </c>
      <c r="N201" s="205">
        <v>0.66666667</v>
      </c>
      <c r="O201" s="205">
        <v>-0.6666667</v>
      </c>
      <c r="P201" s="205">
        <v>-0.6666667</v>
      </c>
      <c r="Q201" s="205">
        <v>-0.6666667</v>
      </c>
      <c r="R201" s="205">
        <v>0.33333333</v>
      </c>
      <c r="S201" s="205">
        <v>0.0</v>
      </c>
      <c r="T201" s="205">
        <v>-0.3333333</v>
      </c>
      <c r="U201" s="205">
        <v>0.33333333</v>
      </c>
      <c r="V201" s="205">
        <v>-0.3333333</v>
      </c>
      <c r="W201" s="205">
        <v>0.0</v>
      </c>
      <c r="X201" s="205">
        <v>1.0</v>
      </c>
      <c r="Y201" s="205">
        <v>-1.0</v>
      </c>
      <c r="Z201" s="205">
        <v>-0.3333333</v>
      </c>
      <c r="AA201" s="205">
        <v>0.0</v>
      </c>
      <c r="AB201" s="205">
        <v>0.0</v>
      </c>
      <c r="AC201" s="205">
        <v>0.0</v>
      </c>
      <c r="AD201" s="205">
        <v>-0.3333333</v>
      </c>
      <c r="AE201" s="205">
        <v>0.33333333</v>
      </c>
      <c r="AF201" s="205">
        <v>-0.6666667</v>
      </c>
      <c r="AG201" s="205">
        <v>1.33333333</v>
      </c>
      <c r="AH201" s="205">
        <v>0.66666667</v>
      </c>
      <c r="AI201" s="205">
        <v>-0.6666667</v>
      </c>
      <c r="AJ201" s="205">
        <v>-0.3333333</v>
      </c>
      <c r="AK201" s="205">
        <v>1.0</v>
      </c>
      <c r="AL201" s="205">
        <v>0.33333333</v>
      </c>
      <c r="AM201" s="205">
        <v>0.0</v>
      </c>
      <c r="AN201" s="205">
        <v>-1.6666667</v>
      </c>
      <c r="AO201" s="205">
        <v>-0.3333333</v>
      </c>
      <c r="AP201" s="205">
        <v>-0.6666667</v>
      </c>
      <c r="AQ201" s="205">
        <v>-0.6666667</v>
      </c>
      <c r="AR201" s="205">
        <v>-0.3333333</v>
      </c>
      <c r="AS201" s="205">
        <v>0.33333333</v>
      </c>
      <c r="AT201" s="205">
        <v>-2.3333333</v>
      </c>
      <c r="AU201" s="205">
        <v>0.0</v>
      </c>
      <c r="AV201" s="205">
        <v>0.0</v>
      </c>
      <c r="AW201" s="205">
        <v>0.33333333</v>
      </c>
      <c r="AX201" s="205">
        <v>-1.0</v>
      </c>
      <c r="AY201" s="205">
        <v>0.33333333</v>
      </c>
      <c r="AZ201" s="205">
        <v>1.0</v>
      </c>
      <c r="BA201" s="205">
        <v>-0.6666667</v>
      </c>
      <c r="BB201" s="205">
        <v>0.0</v>
      </c>
      <c r="BC201" s="205">
        <v>0.0</v>
      </c>
      <c r="BD201" s="205">
        <v>-0.3333333</v>
      </c>
      <c r="BE201" s="205">
        <v>0.33333333</v>
      </c>
      <c r="BF201" s="205">
        <v>0.0</v>
      </c>
      <c r="BG201" s="205">
        <v>-0.6666667</v>
      </c>
      <c r="BH201" s="205">
        <v>0.0</v>
      </c>
      <c r="BI201" s="205">
        <v>1.33333333</v>
      </c>
      <c r="BJ201" s="205">
        <v>0.0</v>
      </c>
      <c r="BK201" s="205">
        <v>-0.6666667</v>
      </c>
      <c r="BL201" s="205">
        <v>-0.6666667</v>
      </c>
      <c r="BM201" s="205">
        <v>0.33333333</v>
      </c>
      <c r="BN201" s="205">
        <v>0.33333333</v>
      </c>
      <c r="BO201" s="205">
        <v>0.66666667</v>
      </c>
      <c r="BP201" s="205">
        <v>0.33333333</v>
      </c>
      <c r="BQ201" s="206"/>
      <c r="BR201" s="250">
        <f t="shared" si="1"/>
        <v>-0.0952380973</v>
      </c>
      <c r="BS201" s="250">
        <f t="shared" si="2"/>
        <v>0.4897959198</v>
      </c>
      <c r="BT201" s="206"/>
      <c r="BU201" s="207">
        <f>IFERROR(__xludf.DUMMYFUNCTION("AVERAGE(ARRAYFORMULA(XLOOKUP(FILTER(INDIRECT(""'""&amp;BU$1&amp;""'!$C$4:$C$66""),INDIRECT(""'""&amp;BU$1&amp;""'!$D$4:$D$66"")=BU$2),$F$3:$BP$3,$F201:$BP201)))"),-0.6666666714285714)</f>
        <v>-0.6666666714</v>
      </c>
      <c r="BV201" s="207">
        <f>IFERROR(__xludf.DUMMYFUNCTION("IF(OR(BU201&gt;$BR201+$BS201*$BS$2,BU201&lt;$BR201-$BS201*$BS$2),AVEDEV(ARRAYFORMULA(XLOOKUP(FILTER(INDIRECT(""'""&amp;BU$1&amp;""'!$C$4:$C$66""),INDIRECT(""'""&amp;BU$1&amp;""'!$D$4:$D$66"")=BU$2),$F$3:$BP$3,$F201:$BP201))),"""")"),0.38095240408163267)</f>
        <v>0.3809524041</v>
      </c>
      <c r="BW201" s="207">
        <f>IFERROR(__xludf.DUMMYFUNCTION("AVERAGE(ARRAYFORMULA(XLOOKUP(FILTER(INDIRECT(""'""&amp;BW$1&amp;""'!$C$4:$C$66""),INDIRECT(""'""&amp;BW$1&amp;""'!$D$4:$D$66"")=BW$2),$F$3:$BP$3,$F201:$BP201)))"),0.0476190454761905)</f>
        <v>0.04761904548</v>
      </c>
      <c r="BX201" s="207" t="str">
        <f>IFERROR(__xludf.DUMMYFUNCTION("IF(OR(BW201&gt;$BR201+$BS201*$BS$2,BW201&lt;$BR201-$BS201*$BS$2),AVEDEV(ARRAYFORMULA(XLOOKUP(FILTER(INDIRECT(""'""&amp;BW$1&amp;""'!$C$4:$C$66""),INDIRECT(""'""&amp;BW$1&amp;""'!$D$4:$D$66"")=BW$2),$F$3:$BP$3,$F201:$BP201))),"""")"),"")</f>
        <v/>
      </c>
      <c r="BY201" s="207">
        <f>IFERROR(__xludf.DUMMYFUNCTION("AVERAGE(ARRAYFORMULA(XLOOKUP(FILTER(INDIRECT(""'""&amp;BY$1&amp;""'!$C$4:$C$66""),INDIRECT(""'""&amp;BY$1&amp;""'!$D$4:$D$66"")=BY$2),$F$3:$BP$3,$F201:$BP201)))"),-0.03030303090909089)</f>
        <v>-0.03030303091</v>
      </c>
      <c r="BZ201" s="207" t="str">
        <f>IFERROR(__xludf.DUMMYFUNCTION("IF(OR(BY201&gt;$BR201+$BS201*$BS$2,BY201&lt;$BR201-$BS201*$BS$2),AVEDEV(ARRAYFORMULA(XLOOKUP(FILTER(INDIRECT(""'""&amp;BY$1&amp;""'!$C$4:$C$66""),INDIRECT(""'""&amp;BY$1&amp;""'!$D$4:$D$66"")=BY$2),$F$3:$BP$3,$F201:$BP201))),"""")"),"")</f>
        <v/>
      </c>
      <c r="CA201" s="209"/>
      <c r="CB201" s="207">
        <f>IFERROR(__xludf.DUMMYFUNCTION("AVERAGE(ARRAYFORMULA(XLOOKUP(FILTER(INDIRECT(""'""&amp;CB$1&amp;""'!$C$4:$C$66""),INDIRECT(""'""&amp;CB$1&amp;""'!$D$4:$D$66"")=CB$2),$F$3:$BP$3,$F201:$BP201)))"),-0.062499998125)</f>
        <v>-0.06249999813</v>
      </c>
      <c r="CC201" s="207" t="str">
        <f>IFERROR(__xludf.DUMMYFUNCTION("IF(OR(CB201&gt;$BR201+$BS201*$BS$2,CB201&lt;$BR201-$BS201*$BS$2),AVEDEV(ARRAYFORMULA(XLOOKUP(FILTER(INDIRECT(""'""&amp;CB$1&amp;""'!$C$4:$C$66""),INDIRECT(""'""&amp;CB$1&amp;""'!$D$4:$D$66"")=CB$2),$F$3:$BP$3,$F201:$BP201))),"""")"),"")</f>
        <v/>
      </c>
      <c r="CD201" s="207">
        <f>IFERROR(__xludf.DUMMYFUNCTION("AVERAGE(ARRAYFORMULA(XLOOKUP(FILTER(INDIRECT(""'""&amp;CD$1&amp;""'!$C$4:$C$66""),INDIRECT(""'""&amp;CD$1&amp;""'!$D$4:$D$66"")=CD$2),$F$3:$BP$3,$F201:$BP201)))"),0.043010750967741915)</f>
        <v>0.04301075097</v>
      </c>
      <c r="CE201" s="207" t="str">
        <f>IFERROR(__xludf.DUMMYFUNCTION("IF(OR(CD201&gt;$BR201+$BS201*$BS$2,CD201&lt;$BR201-$BS201*$BS$2),AVEDEV(ARRAYFORMULA(XLOOKUP(FILTER(INDIRECT(""'""&amp;CD$1&amp;""'!$C$4:$C$66""),INDIRECT(""'""&amp;CD$1&amp;""'!$D$4:$D$66"")=CD$2),$F$3:$BP$3,$F201:$BP201))),"""")"),"")</f>
        <v/>
      </c>
      <c r="CF201" s="207">
        <f>IFERROR(__xludf.DUMMYFUNCTION("AVERAGE(ARRAYFORMULA(XLOOKUP(FILTER(INDIRECT(""'""&amp;CF$1&amp;""'!$C$4:$C$66""),INDIRECT(""'""&amp;CF$1&amp;""'!$D$4:$D$66"")=CF$2),$F$3:$BP$3,$F201:$BP201)))"),1.1102230246251566E-17)</f>
        <v>0</v>
      </c>
      <c r="CG201" s="207" t="str">
        <f>IFERROR(__xludf.DUMMYFUNCTION("IF(OR(CF201&gt;$BR201+$BS201*$BS$2,CF201&lt;$BR201-$BS201*$BS$2),AVEDEV(ARRAYFORMULA(XLOOKUP(FILTER(INDIRECT(""'""&amp;CF$1&amp;""'!$C$4:$C$66""),INDIRECT(""'""&amp;CF$1&amp;""'!$D$4:$D$66"")=CF$2),$F$3:$BP$3,$F201:$BP201))),"""")"),"")</f>
        <v/>
      </c>
      <c r="CH201" s="206"/>
      <c r="CI201" s="251">
        <f>IFERROR(__xludf.DUMMYFUNCTION("AVERAGE(ARRAYFORMULA(XLOOKUP(FILTER(INDIRECT(""'""&amp;CI$1&amp;""'!$C$4:$C$66""),INDIRECT(""'""&amp;CI$1&amp;""'!$D$4:$D$66"")=CI$2),$F$3:$BP$3,$F201:$BP201)))"),6.000000000542608E-9)</f>
        <v>0.000000006000000001</v>
      </c>
      <c r="CJ201" s="207" t="str">
        <f>IFERROR(__xludf.DUMMYFUNCTION("IF(OR(CI201&gt;$BR201+$BS201*$BS$2,CI201&lt;$BR201-$BS201*$BS$2),AVEDEV(ARRAYFORMULA(XLOOKUP(FILTER(INDIRECT(""'""&amp;CI$1&amp;""'!$C$4:$C$66""),INDIRECT(""'""&amp;CI$1&amp;""'!$D$4:$D$66"")=CI$2),$F$3:$BP$3,$F201:$BP201))),"""")"),"")</f>
        <v/>
      </c>
      <c r="CK201" s="251">
        <f>IFERROR(__xludf.DUMMYFUNCTION("AVERAGE(ARRAYFORMULA(XLOOKUP(FILTER(INDIRECT(""'""&amp;CK$1&amp;""'!$C$4:$C$66""),INDIRECT(""'""&amp;CK$1&amp;""'!$D$4:$D$66"")=CK$2),$F$3:$BP$3,$F201:$BP201)))"),-0.05982906461538462)</f>
        <v>-0.05982906462</v>
      </c>
      <c r="CL201" s="207" t="str">
        <f>IFERROR(__xludf.DUMMYFUNCTION("IF(OR(CK201&gt;$BR201+$BS201*$BS$2,CK201&lt;$BR201-$BS201*$BS$2),AVEDEV(ARRAYFORMULA(XLOOKUP(FILTER(INDIRECT(""'""&amp;CK$1&amp;""'!$C$4:$C$66""),INDIRECT(""'""&amp;CK$1&amp;""'!$D$4:$D$66"")=CK$2),$F$3:$BP$3,$F201:$BP201))),"""")"),"")</f>
        <v/>
      </c>
      <c r="CM201" s="251">
        <f>IFERROR(__xludf.DUMMYFUNCTION("AVERAGE(ARRAYFORMULA(XLOOKUP(FILTER(INDIRECT(""'""&amp;CM$1&amp;""'!$C$4:$C$66""),INDIRECT(""'""&amp;CM$1&amp;""'!$D$4:$D$66"")=CM$2),$F$3:$BP$3,$F201:$BP201)))"),1.1102230246251566E-17)</f>
        <v>0</v>
      </c>
      <c r="CN201" s="207" t="str">
        <f>IFERROR(__xludf.DUMMYFUNCTION("IF(OR(CM201&gt;$BR201+$BS201*$BS$2,CM201&lt;$BR201-$BS201*$BS$2),AVEDEV(ARRAYFORMULA(XLOOKUP(FILTER(INDIRECT(""'""&amp;CM$1&amp;""'!$C$4:$C$66""),INDIRECT(""'""&amp;CM$1&amp;""'!$D$4:$D$66"")=CM$2),$F$3:$BP$3,$F201:$BP201))),"""")"),"")</f>
        <v/>
      </c>
      <c r="CO201" s="252"/>
      <c r="CP201" s="251">
        <f>IFERROR(__xludf.DUMMYFUNCTION("AVERAGE(ARRAYFORMULA(XLOOKUP(FILTER(INDIRECT(""'""&amp;CP$1&amp;""'!$C$4:$C$66""),INDIRECT(""'""&amp;CP$1&amp;""'!$D$4:$D$66"")=CP$2),$F$3:$BP$3,$F201:$BP201)))"),0.04761905000000001)</f>
        <v>0.04761905</v>
      </c>
      <c r="CQ201" s="207" t="str">
        <f>IFERROR(__xludf.DUMMYFUNCTION("IF(OR(CP201&gt;$BR201+$BS201*$BS$2,CP201&lt;$BR201-$BS201*$BS$2),AVEDEV(ARRAYFORMULA(XLOOKUP(FILTER(INDIRECT(""'""&amp;CP$1&amp;""'!$C$4:$C$66""),INDIRECT(""'""&amp;CP$1&amp;""'!$D$4:$D$66"")=CP$2),$F$3:$BP$3,$F201:$BP201))),"""")"),"")</f>
        <v/>
      </c>
      <c r="CR201" s="251">
        <f>IFERROR(__xludf.DUMMYFUNCTION("AVERAGE(ARRAYFORMULA(XLOOKUP(FILTER(INDIRECT(""'""&amp;CR$1&amp;""'!$C$4:$C$66""),INDIRECT(""'""&amp;CR$1&amp;""'!$D$4:$D$66"")=CR$2),$F$3:$BP$3,$F201:$BP201)))"),3.3333333377467196E-9)</f>
        <v>0.000000003333333338</v>
      </c>
      <c r="CS201" s="207" t="str">
        <f>IFERROR(__xludf.DUMMYFUNCTION("IF(OR(CR201&gt;$BR201+$BS201*$BS$2,CR201&lt;$BR201-$BS201*$BS$2),AVEDEV(ARRAYFORMULA(XLOOKUP(FILTER(INDIRECT(""'""&amp;CR$1&amp;""'!$C$4:$C$66""),INDIRECT(""'""&amp;CR$1&amp;""'!$D$4:$D$66"")=CR$2),$F$3:$BP$3,$F201:$BP201))),"""")"),"")</f>
        <v/>
      </c>
      <c r="CT201" s="251">
        <f>IFERROR(__xludf.DUMMYFUNCTION("AVERAGE(ARRAYFORMULA(XLOOKUP(FILTER(INDIRECT(""'""&amp;CT$1&amp;""'!$C$4:$C$66""),INDIRECT(""'""&amp;CT$1&amp;""'!$D$4:$D$66"")=CT$2),$F$3:$BP$3,$F201:$BP201)))"),0.2424242436363636)</f>
        <v>0.2424242436</v>
      </c>
      <c r="CU201" s="207" t="str">
        <f>IFERROR(__xludf.DUMMYFUNCTION("IF(OR(CT201&gt;$BR201+$BS201*$BS$2,CT201&lt;$BR201-$BS201*$BS$2),AVEDEV(ARRAYFORMULA(XLOOKUP(FILTER(INDIRECT(""'""&amp;CT$1&amp;""'!$C$4:$C$66""),INDIRECT(""'""&amp;CT$1&amp;""'!$D$4:$D$66"")=CT$2),$F$3:$BP$3,$F201:$BP201))),"""")"),"")</f>
        <v/>
      </c>
      <c r="CV201" s="251">
        <f>IFERROR(__xludf.DUMMYFUNCTION("AVERAGE(ARRAYFORMULA(XLOOKUP(FILTER(INDIRECT(""'""&amp;CV$1&amp;""'!$C$4:$C$66""),INDIRECT(""'""&amp;CV$1&amp;""'!$D$4:$D$66"")=CV$2),$F$3:$BP$3,$F201:$BP201)))"),-0.33333335)</f>
        <v>-0.33333335</v>
      </c>
      <c r="CW201" s="207" t="str">
        <f>IFERROR(__xludf.DUMMYFUNCTION("IF(OR(CV201&gt;$BR201+$BS201*$BS$2,CV201&lt;$BR201-$BS201*$BS$2),AVEDEV(ARRAYFORMULA(XLOOKUP(FILTER(INDIRECT(""'""&amp;CV$1&amp;""'!$C$4:$C$66""),INDIRECT(""'""&amp;CV$1&amp;""'!$D$4:$D$66"")=CV$2),$F$3:$BP$3,$F201:$BP201))),"""")"),"")</f>
        <v/>
      </c>
      <c r="CX201" s="251">
        <f>IFERROR(__xludf.DUMMYFUNCTION("AVERAGE(ARRAYFORMULA(XLOOKUP(FILTER(INDIRECT(""'""&amp;CX$1&amp;""'!$C$4:$C$66""),INDIRECT(""'""&amp;CX$1&amp;""'!$D$4:$D$66"")=CX$2),$F$3:$BP$3,$F201:$BP201)))"),-1.0000000002666606E-8)</f>
        <v>-0.00000001</v>
      </c>
      <c r="CY201" s="207" t="str">
        <f>IFERROR(__xludf.DUMMYFUNCTION("IF(OR(CX201&gt;$BR201+$BS201*$BS$2,CX201&lt;$BR201-$BS201*$BS$2),AVEDEV(ARRAYFORMULA(XLOOKUP(FILTER(INDIRECT(""'""&amp;CX$1&amp;""'!$C$4:$C$66""),INDIRECT(""'""&amp;CX$1&amp;""'!$D$4:$D$66"")=CX$2),$F$3:$BP$3,$F201:$BP201))),"""")"),"")</f>
        <v/>
      </c>
      <c r="CZ201" s="252"/>
      <c r="DA201" s="251">
        <f>IFERROR(__xludf.DUMMYFUNCTION("AVERAGE(ARRAYFORMULA(XLOOKUP(FILTER(INDIRECT(""'""&amp;DA$1&amp;""'!$C$4:$C$66""),INDIRECT(""'""&amp;DA$1&amp;""'!$D$4:$D$66"")=DA$2),$F$3:$BP$3,$F201:$BP201)))"),0.07777777733333337)</f>
        <v>0.07777777733</v>
      </c>
      <c r="DB201" s="207" t="str">
        <f>IFERROR(__xludf.DUMMYFUNCTION("IF(OR(DA201&gt;$BR201+$BS201*$BS$2,DA201&lt;$BR201-$BS201*$BS$2),AVEDEV(ARRAYFORMULA(XLOOKUP(FILTER(INDIRECT(""'""&amp;DA$1&amp;""'!$C$4:$C$66""),INDIRECT(""'""&amp;DA$1&amp;""'!$D$4:$D$66"")=DA$2),$F$3:$BP$3,$F201:$BP201))),"""")"),"")</f>
        <v/>
      </c>
      <c r="DC201" s="251">
        <f>IFERROR(__xludf.DUMMYFUNCTION("AVERAGE(ARRAYFORMULA(XLOOKUP(FILTER(INDIRECT(""'""&amp;DC$1&amp;""'!$C$4:$C$66""),INDIRECT(""'""&amp;DC$1&amp;""'!$D$4:$D$66"")=DC$2),$F$3:$BP$3,$F201:$BP201)))"),-0.2222222222222222)</f>
        <v>-0.2222222222</v>
      </c>
      <c r="DD201" s="207" t="str">
        <f>IFERROR(__xludf.DUMMYFUNCTION("IF(OR(DC201&gt;$BR201+$BS201*$BS$2,DC201&lt;$BR201-$BS201*$BS$2),AVEDEV(ARRAYFORMULA(XLOOKUP(FILTER(INDIRECT(""'""&amp;DC$1&amp;""'!$C$4:$C$66""),INDIRECT(""'""&amp;DC$1&amp;""'!$D$4:$D$66"")=DC$2),$F$3:$BP$3,$F201:$BP201))),"""")"),"")</f>
        <v/>
      </c>
      <c r="DE201" s="251">
        <f>IFERROR(__xludf.DUMMYFUNCTION("AVERAGE(ARRAYFORMULA(XLOOKUP(FILTER(INDIRECT(""'""&amp;DE$1&amp;""'!$C$4:$C$66""),INDIRECT(""'""&amp;DE$1&amp;""'!$D$4:$D$66"")=DE$2),$F$3:$BP$3,$F201:$BP201)))"),-0.20833333375000002)</f>
        <v>-0.2083333338</v>
      </c>
      <c r="DF201" s="207" t="str">
        <f>IFERROR(__xludf.DUMMYFUNCTION("IF(OR(DE201&gt;$BR201+$BS201*$BS$2,DE201&lt;$BR201-$BS201*$BS$2),AVEDEV(ARRAYFORMULA(XLOOKUP(FILTER(INDIRECT(""'""&amp;DE$1&amp;""'!$C$4:$C$66""),INDIRECT(""'""&amp;DE$1&amp;""'!$D$4:$D$66"")=DE$2),$F$3:$BP$3,$F201:$BP201))),"""")"),"")</f>
        <v/>
      </c>
      <c r="DG201" s="251">
        <f>IFERROR(__xludf.DUMMYFUNCTION("AVERAGE(ARRAYFORMULA(XLOOKUP(FILTER(INDIRECT(""'""&amp;DG$1&amp;""'!$C$4:$C$66""),INDIRECT(""'""&amp;DG$1&amp;""'!$D$4:$D$66"")=DG$2),$F$3:$BP$3,$F201:$BP201)))"),0.14814814666666665)</f>
        <v>0.1481481467</v>
      </c>
      <c r="DH201" s="207" t="str">
        <f>IFERROR(__xludf.DUMMYFUNCTION("IF(OR(DG201&gt;$BR201+$BS201*$BS$2,DG201&lt;$BR201-$BS201*$BS$2),AVEDEV(ARRAYFORMULA(XLOOKUP(FILTER(INDIRECT(""'""&amp;DG$1&amp;""'!$C$4:$C$66""),INDIRECT(""'""&amp;DG$1&amp;""'!$D$4:$D$66"")=DG$2),$F$3:$BP$3,$F201:$BP201))),"""")"),"")</f>
        <v/>
      </c>
      <c r="DI201" s="252"/>
    </row>
    <row r="202">
      <c r="A202" s="2"/>
      <c r="B202" s="204" t="s">
        <v>646</v>
      </c>
      <c r="C202" s="204" t="s">
        <v>648</v>
      </c>
      <c r="D202" s="205" t="b">
        <f>VLOOKUP(C202,'Feature Set List'!A199:C246,2,0)</f>
        <v>1</v>
      </c>
      <c r="E202" s="205" t="b">
        <f>VLOOKUP(C202,'Feature Set List'!A199:C246,3,0)</f>
        <v>1</v>
      </c>
      <c r="F202" s="205">
        <v>-0.571833</v>
      </c>
      <c r="G202" s="205">
        <v>-0.2908705</v>
      </c>
      <c r="H202" s="205">
        <v>-1.1939137</v>
      </c>
      <c r="I202" s="205">
        <v>0.12031139</v>
      </c>
      <c r="J202" s="205">
        <v>0.07926398</v>
      </c>
      <c r="K202" s="205">
        <v>-0.6093418</v>
      </c>
      <c r="L202" s="205">
        <v>-1.1472045</v>
      </c>
      <c r="M202" s="205">
        <v>0.40622788</v>
      </c>
      <c r="N202" s="205">
        <v>0.39419674</v>
      </c>
      <c r="O202" s="205">
        <v>-1.2434536</v>
      </c>
      <c r="P202" s="205">
        <v>0.16489738</v>
      </c>
      <c r="Q202" s="205">
        <v>-0.4317056</v>
      </c>
      <c r="R202" s="205">
        <v>0.89879689</v>
      </c>
      <c r="S202" s="205">
        <v>-0.2512385</v>
      </c>
      <c r="T202" s="205">
        <v>-0.3545648</v>
      </c>
      <c r="U202" s="205">
        <v>-0.5194621</v>
      </c>
      <c r="V202" s="205">
        <v>-0.601557</v>
      </c>
      <c r="W202" s="205">
        <v>0.39490446</v>
      </c>
      <c r="X202" s="205">
        <v>0.84147205</v>
      </c>
      <c r="Y202" s="205">
        <v>-0.0707714</v>
      </c>
      <c r="Z202" s="205">
        <v>-0.0622788</v>
      </c>
      <c r="AA202" s="205">
        <v>-0.9532909</v>
      </c>
      <c r="AB202" s="205">
        <v>0.0</v>
      </c>
      <c r="AC202" s="205">
        <v>0.38358103</v>
      </c>
      <c r="AD202" s="205">
        <v>0.32908705</v>
      </c>
      <c r="AE202" s="205">
        <v>0.34465676</v>
      </c>
      <c r="AF202" s="205">
        <v>-0.1953291</v>
      </c>
      <c r="AG202" s="205">
        <v>0.52158528</v>
      </c>
      <c r="AH202" s="205">
        <v>0.23213022</v>
      </c>
      <c r="AI202" s="205">
        <v>-0.7070064</v>
      </c>
      <c r="AJ202" s="205">
        <v>-0.5201699</v>
      </c>
      <c r="AK202" s="205">
        <v>0.62137297</v>
      </c>
      <c r="AL202" s="205">
        <v>0.37862703</v>
      </c>
      <c r="AM202" s="205">
        <v>0.34041047</v>
      </c>
      <c r="AN202" s="205">
        <v>-1.5994338</v>
      </c>
      <c r="AO202" s="205">
        <v>-0.6744515</v>
      </c>
      <c r="AP202" s="205">
        <v>0.11464968</v>
      </c>
      <c r="AQ202" s="205">
        <v>0.32130219</v>
      </c>
      <c r="AR202" s="205">
        <v>-0.9051663</v>
      </c>
      <c r="AS202" s="205">
        <v>0.21302194</v>
      </c>
      <c r="AT202" s="205">
        <v>-2.039632</v>
      </c>
      <c r="AU202" s="205">
        <v>0.67657466</v>
      </c>
      <c r="AV202" s="205">
        <v>0.6079264</v>
      </c>
      <c r="AW202" s="205">
        <v>0.4373673</v>
      </c>
      <c r="AX202" s="205">
        <v>-0.6475584</v>
      </c>
      <c r="AY202" s="205">
        <v>0.68648266</v>
      </c>
      <c r="AZ202" s="205">
        <v>-0.6857749</v>
      </c>
      <c r="BA202" s="205">
        <v>-0.8244869</v>
      </c>
      <c r="BB202" s="205">
        <v>0.86907289</v>
      </c>
      <c r="BC202" s="205">
        <v>-0.1627742</v>
      </c>
      <c r="BD202" s="205">
        <v>-0.7898089</v>
      </c>
      <c r="BE202" s="205">
        <v>0.51663128</v>
      </c>
      <c r="BF202" s="205">
        <v>-0.6857749</v>
      </c>
      <c r="BG202" s="205">
        <v>-0.2193914</v>
      </c>
      <c r="BH202" s="205">
        <v>0.25477707</v>
      </c>
      <c r="BI202" s="205">
        <v>1.35456476</v>
      </c>
      <c r="BJ202" s="205">
        <v>0.3517339</v>
      </c>
      <c r="BK202" s="205">
        <v>-1.0134466</v>
      </c>
      <c r="BL202" s="205">
        <v>-0.5951875</v>
      </c>
      <c r="BM202" s="205">
        <v>0.86058033</v>
      </c>
      <c r="BN202" s="205">
        <v>0.49115357</v>
      </c>
      <c r="BO202" s="205">
        <v>-0.168436</v>
      </c>
      <c r="BP202" s="205">
        <v>0.56546355</v>
      </c>
      <c r="BQ202" s="206"/>
      <c r="BR202" s="250">
        <f t="shared" si="1"/>
        <v>-0.09464271651</v>
      </c>
      <c r="BS202" s="250">
        <f t="shared" si="2"/>
        <v>0.5669087594</v>
      </c>
      <c r="BT202" s="206"/>
      <c r="BU202" s="207">
        <f>IFERROR(__xludf.DUMMYFUNCTION("AVERAGE(ARRAYFORMULA(XLOOKUP(FILTER(INDIRECT(""'""&amp;BU$1&amp;""'!$C$4:$C$66""),INDIRECT(""'""&amp;BU$1&amp;""'!$D$4:$D$66"")=BU$2),$F$3:$BP$3,$F202:$BP202)))"),-0.6906278485714284)</f>
        <v>-0.6906278486</v>
      </c>
      <c r="BV202" s="207">
        <f>IFERROR(__xludf.DUMMYFUNCTION("IF(OR(BU202&gt;$BR202+$BS202*$BS$2,BU202&lt;$BR202-$BS202*$BS$2),AVEDEV(ARRAYFORMULA(XLOOKUP(FILTER(INDIRECT(""'""&amp;BU$1&amp;""'!$C$4:$C$66""),INDIRECT(""'""&amp;BU$1&amp;""'!$D$4:$D$66"")=BU$2),$F$3:$BP$3,$F202:$BP202))),"""")"),0.41847565877551024)</f>
        <v>0.4184756588</v>
      </c>
      <c r="BW202" s="207">
        <f>IFERROR(__xludf.DUMMYFUNCTION("AVERAGE(ARRAYFORMULA(XLOOKUP(FILTER(INDIRECT(""'""&amp;BW$1&amp;""'!$C$4:$C$66""),INDIRECT(""'""&amp;BW$1&amp;""'!$D$4:$D$66"")=BW$2),$F$3:$BP$3,$F202:$BP202)))"),0.14526673880952387)</f>
        <v>0.1452667388</v>
      </c>
      <c r="BX202" s="207" t="str">
        <f>IFERROR(__xludf.DUMMYFUNCTION("IF(OR(BW202&gt;$BR202+$BS202*$BS$2,BW202&lt;$BR202-$BS202*$BS$2),AVEDEV(ARRAYFORMULA(XLOOKUP(FILTER(INDIRECT(""'""&amp;BW$1&amp;""'!$C$4:$C$66""),INDIRECT(""'""&amp;BW$1&amp;""'!$D$4:$D$66"")=BW$2),$F$3:$BP$3,$F202:$BP202))),"""")"),"")</f>
        <v/>
      </c>
      <c r="BY202" s="207">
        <f>IFERROR(__xludf.DUMMYFUNCTION("AVERAGE(ARRAYFORMULA(XLOOKUP(FILTER(INDIRECT(""'""&amp;BY$1&amp;""'!$C$4:$C$66""),INDIRECT(""'""&amp;BY$1&amp;""'!$D$4:$D$66"")=BY$2),$F$3:$BP$3,$F202:$BP202)))"),-0.3484526663636364)</f>
        <v>-0.3484526664</v>
      </c>
      <c r="BZ202" s="207" t="str">
        <f>IFERROR(__xludf.DUMMYFUNCTION("IF(OR(BY202&gt;$BR202+$BS202*$BS$2,BY202&lt;$BR202-$BS202*$BS$2),AVEDEV(ARRAYFORMULA(XLOOKUP(FILTER(INDIRECT(""'""&amp;BY$1&amp;""'!$C$4:$C$66""),INDIRECT(""'""&amp;BY$1&amp;""'!$D$4:$D$66"")=BY$2),$F$3:$BP$3,$F202:$BP202))),"""")"),"")</f>
        <v/>
      </c>
      <c r="CA202" s="209"/>
      <c r="CB202" s="207">
        <f>IFERROR(__xludf.DUMMYFUNCTION("AVERAGE(ARRAYFORMULA(XLOOKUP(FILTER(INDIRECT(""'""&amp;CB$1&amp;""'!$C$4:$C$66""),INDIRECT(""'""&amp;CB$1&amp;""'!$D$4:$D$66"")=CB$2),$F$3:$BP$3,$F202:$BP202)))"),-0.04750531125000002)</f>
        <v>-0.04750531125</v>
      </c>
      <c r="CC202" s="207" t="str">
        <f>IFERROR(__xludf.DUMMYFUNCTION("IF(OR(CB202&gt;$BR202+$BS202*$BS$2,CB202&lt;$BR202-$BS202*$BS$2),AVEDEV(ARRAYFORMULA(XLOOKUP(FILTER(INDIRECT(""'""&amp;CB$1&amp;""'!$C$4:$C$66""),INDIRECT(""'""&amp;CB$1&amp;""'!$D$4:$D$66"")=CB$2),$F$3:$BP$3,$F202:$BP202))),"""")"),"")</f>
        <v/>
      </c>
      <c r="CD202" s="207">
        <f>IFERROR(__xludf.DUMMYFUNCTION("AVERAGE(ARRAYFORMULA(XLOOKUP(FILTER(INDIRECT(""'""&amp;CD$1&amp;""'!$C$4:$C$66""),INDIRECT(""'""&amp;CD$1&amp;""'!$D$4:$D$66"")=CD$2),$F$3:$BP$3,$F202:$BP202)))"),0.13227404258064515)</f>
        <v>0.1322740426</v>
      </c>
      <c r="CE202" s="207" t="str">
        <f>IFERROR(__xludf.DUMMYFUNCTION("IF(OR(CD202&gt;$BR202+$BS202*$BS$2,CD202&lt;$BR202-$BS202*$BS$2),AVEDEV(ARRAYFORMULA(XLOOKUP(FILTER(INDIRECT(""'""&amp;CD$1&amp;""'!$C$4:$C$66""),INDIRECT(""'""&amp;CD$1&amp;""'!$D$4:$D$66"")=CD$2),$F$3:$BP$3,$F202:$BP202))),"""")"),"")</f>
        <v/>
      </c>
      <c r="CF202" s="207">
        <f>IFERROR(__xludf.DUMMYFUNCTION("AVERAGE(ARRAYFORMULA(XLOOKUP(FILTER(INDIRECT(""'""&amp;CF$1&amp;""'!$C$4:$C$66""),INDIRECT(""'""&amp;CF$1&amp;""'!$D$4:$D$66"")=CF$2),$F$3:$BP$3,$F202:$BP202)))"),-0.75428164)</f>
        <v>-0.75428164</v>
      </c>
      <c r="CG202" s="207">
        <f>IFERROR(__xludf.DUMMYFUNCTION("IF(OR(CF202&gt;$BR202+$BS202*$BS$2,CF202&lt;$BR202-$BS202*$BS$2),AVEDEV(ARRAYFORMULA(XLOOKUP(FILTER(INDIRECT(""'""&amp;CF$1&amp;""'!$C$4:$C$66""),INDIRECT(""'""&amp;CF$1&amp;""'!$D$4:$D$66"")=CF$2),$F$3:$BP$3,$F202:$BP202))),"""")"),0.25602264799999996)</f>
        <v>0.256022648</v>
      </c>
      <c r="CH202" s="206"/>
      <c r="CI202" s="251">
        <f>IFERROR(__xludf.DUMMYFUNCTION("AVERAGE(ARRAYFORMULA(XLOOKUP(FILTER(INDIRECT(""'""&amp;CI$1&amp;""'!$C$4:$C$66""),INDIRECT(""'""&amp;CI$1&amp;""'!$D$4:$D$66"")=CI$2),$F$3:$BP$3,$F202:$BP202)))"),-0.06359990466666668)</f>
        <v>-0.06359990467</v>
      </c>
      <c r="CJ202" s="207" t="str">
        <f>IFERROR(__xludf.DUMMYFUNCTION("IF(OR(CI202&gt;$BR202+$BS202*$BS$2,CI202&lt;$BR202-$BS202*$BS$2),AVEDEV(ARRAYFORMULA(XLOOKUP(FILTER(INDIRECT(""'""&amp;CI$1&amp;""'!$C$4:$C$66""),INDIRECT(""'""&amp;CI$1&amp;""'!$D$4:$D$66"")=CI$2),$F$3:$BP$3,$F202:$BP202))),"""")"),"")</f>
        <v/>
      </c>
      <c r="CK202" s="251">
        <f>IFERROR(__xludf.DUMMYFUNCTION("AVERAGE(ARRAYFORMULA(XLOOKUP(FILTER(INDIRECT(""'""&amp;CK$1&amp;""'!$C$4:$C$66""),INDIRECT(""'""&amp;CK$1&amp;""'!$D$4:$D$66"")=CK$2),$F$3:$BP$3,$F202:$BP202)))"),0.08135082384615384)</f>
        <v>0.08135082385</v>
      </c>
      <c r="CL202" s="207" t="str">
        <f>IFERROR(__xludf.DUMMYFUNCTION("IF(OR(CK202&gt;$BR202+$BS202*$BS$2,CK202&lt;$BR202-$BS202*$BS$2),AVEDEV(ARRAYFORMULA(XLOOKUP(FILTER(INDIRECT(""'""&amp;CK$1&amp;""'!$C$4:$C$66""),INDIRECT(""'""&amp;CK$1&amp;""'!$D$4:$D$66"")=CK$2),$F$3:$BP$3,$F202:$BP202))),"""")"),"")</f>
        <v/>
      </c>
      <c r="CM202" s="251">
        <f>IFERROR(__xludf.DUMMYFUNCTION("AVERAGE(ARRAYFORMULA(XLOOKUP(FILTER(INDIRECT(""'""&amp;CM$1&amp;""'!$C$4:$C$66""),INDIRECT(""'""&amp;CM$1&amp;""'!$D$4:$D$66"")=CM$2),$F$3:$BP$3,$F202:$BP202)))"),-0.75428164)</f>
        <v>-0.75428164</v>
      </c>
      <c r="CN202" s="207">
        <f>IFERROR(__xludf.DUMMYFUNCTION("IF(OR(CM202&gt;$BR202+$BS202*$BS$2,CM202&lt;$BR202-$BS202*$BS$2),AVEDEV(ARRAYFORMULA(XLOOKUP(FILTER(INDIRECT(""'""&amp;CM$1&amp;""'!$C$4:$C$66""),INDIRECT(""'""&amp;CM$1&amp;""'!$D$4:$D$66"")=CM$2),$F$3:$BP$3,$F202:$BP202))),"""")"),0.25602264799999996)</f>
        <v>0.256022648</v>
      </c>
      <c r="CO202" s="252"/>
      <c r="CP202" s="251">
        <f>IFERROR(__xludf.DUMMYFUNCTION("AVERAGE(ARRAYFORMULA(XLOOKUP(FILTER(INDIRECT(""'""&amp;CP$1&amp;""'!$C$4:$C$66""),INDIRECT(""'""&amp;CP$1&amp;""'!$D$4:$D$66"")=CP$2),$F$3:$BP$3,$F202:$BP202)))"),0.07855626214285714)</f>
        <v>0.07855626214</v>
      </c>
      <c r="CQ202" s="207" t="str">
        <f>IFERROR(__xludf.DUMMYFUNCTION("IF(OR(CP202&gt;$BR202+$BS202*$BS$2,CP202&lt;$BR202-$BS202*$BS$2),AVEDEV(ARRAYFORMULA(XLOOKUP(FILTER(INDIRECT(""'""&amp;CP$1&amp;""'!$C$4:$C$66""),INDIRECT(""'""&amp;CP$1&amp;""'!$D$4:$D$66"")=CP$2),$F$3:$BP$3,$F202:$BP202))),"""")"),"")</f>
        <v/>
      </c>
      <c r="CR202" s="251">
        <f>IFERROR(__xludf.DUMMYFUNCTION("AVERAGE(ARRAYFORMULA(XLOOKUP(FILTER(INDIRECT(""'""&amp;CR$1&amp;""'!$C$4:$C$66""),INDIRECT(""'""&amp;CR$1&amp;""'!$D$4:$D$66"")=CR$2),$F$3:$BP$3,$F202:$BP202)))"),-0.4360304988888889)</f>
        <v>-0.4360304989</v>
      </c>
      <c r="CS202" s="207" t="str">
        <f>IFERROR(__xludf.DUMMYFUNCTION("IF(OR(CR202&gt;$BR202+$BS202*$BS$2,CR202&lt;$BR202-$BS202*$BS$2),AVEDEV(ARRAYFORMULA(XLOOKUP(FILTER(INDIRECT(""'""&amp;CR$1&amp;""'!$C$4:$C$66""),INDIRECT(""'""&amp;CR$1&amp;""'!$D$4:$D$66"")=CR$2),$F$3:$BP$3,$F202:$BP202))),"""")"),"")</f>
        <v/>
      </c>
      <c r="CT202" s="251">
        <f>IFERROR(__xludf.DUMMYFUNCTION("AVERAGE(ARRAYFORMULA(XLOOKUP(FILTER(INDIRECT(""'""&amp;CT$1&amp;""'!$C$4:$C$66""),INDIRECT(""'""&amp;CT$1&amp;""'!$D$4:$D$66"")=CT$2),$F$3:$BP$3,$F202:$BP202)))"),0.19680885727272726)</f>
        <v>0.1968088573</v>
      </c>
      <c r="CU202" s="207" t="str">
        <f>IFERROR(__xludf.DUMMYFUNCTION("IF(OR(CT202&gt;$BR202+$BS202*$BS$2,CT202&lt;$BR202-$BS202*$BS$2),AVEDEV(ARRAYFORMULA(XLOOKUP(FILTER(INDIRECT(""'""&amp;CT$1&amp;""'!$C$4:$C$66""),INDIRECT(""'""&amp;CT$1&amp;""'!$D$4:$D$66"")=CT$2),$F$3:$BP$3,$F202:$BP202))),"""")"),"")</f>
        <v/>
      </c>
      <c r="CV202" s="251">
        <f>IFERROR(__xludf.DUMMYFUNCTION("AVERAGE(ARRAYFORMULA(XLOOKUP(FILTER(INDIRECT(""'""&amp;CV$1&amp;""'!$C$4:$C$66""),INDIRECT(""'""&amp;CV$1&amp;""'!$D$4:$D$66"")=CV$2),$F$3:$BP$3,$F202:$BP202)))"),0.082094815)</f>
        <v>0.082094815</v>
      </c>
      <c r="CW202" s="207" t="str">
        <f>IFERROR(__xludf.DUMMYFUNCTION("IF(OR(CV202&gt;$BR202+$BS202*$BS$2,CV202&lt;$BR202-$BS202*$BS$2),AVEDEV(ARRAYFORMULA(XLOOKUP(FILTER(INDIRECT(""'""&amp;CV$1&amp;""'!$C$4:$C$66""),INDIRECT(""'""&amp;CV$1&amp;""'!$D$4:$D$66"")=CV$2),$F$3:$BP$3,$F202:$BP202))),"""")"),"")</f>
        <v/>
      </c>
      <c r="CX202" s="251">
        <f>IFERROR(__xludf.DUMMYFUNCTION("AVERAGE(ARRAYFORMULA(XLOOKUP(FILTER(INDIRECT(""'""&amp;CX$1&amp;""'!$C$4:$C$66""),INDIRECT(""'""&amp;CX$1&amp;""'!$D$4:$D$66"")=CX$2),$F$3:$BP$3,$F202:$BP202)))"),0.2989080914285715)</f>
        <v>0.2989080914</v>
      </c>
      <c r="CY202" s="207" t="str">
        <f>IFERROR(__xludf.DUMMYFUNCTION("IF(OR(CX202&gt;$BR202+$BS202*$BS$2,CX202&lt;$BR202-$BS202*$BS$2),AVEDEV(ARRAYFORMULA(XLOOKUP(FILTER(INDIRECT(""'""&amp;CX$1&amp;""'!$C$4:$C$66""),INDIRECT(""'""&amp;CX$1&amp;""'!$D$4:$D$66"")=CX$2),$F$3:$BP$3,$F202:$BP202))),"""")"),"")</f>
        <v/>
      </c>
      <c r="CZ202" s="252"/>
      <c r="DA202" s="251">
        <f>IFERROR(__xludf.DUMMYFUNCTION("AVERAGE(ARRAYFORMULA(XLOOKUP(FILTER(INDIRECT(""'""&amp;DA$1&amp;""'!$C$4:$C$66""),INDIRECT(""'""&amp;DA$1&amp;""'!$D$4:$D$66"")=DA$2),$F$3:$BP$3,$F202:$BP202)))"),0.05999056299999999)</f>
        <v>0.059990563</v>
      </c>
      <c r="DB202" s="207" t="str">
        <f>IFERROR(__xludf.DUMMYFUNCTION("IF(OR(DA202&gt;$BR202+$BS202*$BS$2,DA202&lt;$BR202-$BS202*$BS$2),AVEDEV(ARRAYFORMULA(XLOOKUP(FILTER(INDIRECT(""'""&amp;DA$1&amp;""'!$C$4:$C$66""),INDIRECT(""'""&amp;DA$1&amp;""'!$D$4:$D$66"")=DA$2),$F$3:$BP$3,$F202:$BP202))),"""")"),"")</f>
        <v/>
      </c>
      <c r="DC202" s="251">
        <f>IFERROR(__xludf.DUMMYFUNCTION("AVERAGE(ARRAYFORMULA(XLOOKUP(FILTER(INDIRECT(""'""&amp;DC$1&amp;""'!$C$4:$C$66""),INDIRECT(""'""&amp;DC$1&amp;""'!$D$4:$D$66"")=DC$2),$F$3:$BP$3,$F202:$BP202)))"),-0.5587795711111111)</f>
        <v>-0.5587795711</v>
      </c>
      <c r="DD202" s="207" t="str">
        <f>IFERROR(__xludf.DUMMYFUNCTION("IF(OR(DC202&gt;$BR202+$BS202*$BS$2,DC202&lt;$BR202-$BS202*$BS$2),AVEDEV(ARRAYFORMULA(XLOOKUP(FILTER(INDIRECT(""'""&amp;DC$1&amp;""'!$C$4:$C$66""),INDIRECT(""'""&amp;DC$1&amp;""'!$D$4:$D$66"")=DC$2),$F$3:$BP$3,$F202:$BP202))),"""")"),"")</f>
        <v/>
      </c>
      <c r="DE202" s="251">
        <f>IFERROR(__xludf.DUMMYFUNCTION("AVERAGE(ARRAYFORMULA(XLOOKUP(FILTER(INDIRECT(""'""&amp;DE$1&amp;""'!$C$4:$C$66""),INDIRECT(""'""&amp;DE$1&amp;""'!$D$4:$D$66"")=DE$2),$F$3:$BP$3,$F202:$BP202)))"),-0.027954713749999985)</f>
        <v>-0.02795471375</v>
      </c>
      <c r="DF202" s="207" t="str">
        <f>IFERROR(__xludf.DUMMYFUNCTION("IF(OR(DE202&gt;$BR202+$BS202*$BS$2,DE202&lt;$BR202-$BS202*$BS$2),AVEDEV(ARRAYFORMULA(XLOOKUP(FILTER(INDIRECT(""'""&amp;DE$1&amp;""'!$C$4:$C$66""),INDIRECT(""'""&amp;DE$1&amp;""'!$D$4:$D$66"")=DE$2),$F$3:$BP$3,$F202:$BP202))),"""")"),"")</f>
        <v/>
      </c>
      <c r="DG202" s="251">
        <f>IFERROR(__xludf.DUMMYFUNCTION("AVERAGE(ARRAYFORMULA(XLOOKUP(FILTER(INDIRECT(""'""&amp;DG$1&amp;""'!$C$4:$C$66""),INDIRECT(""'""&amp;DG$1&amp;""'!$D$4:$D$66"")=DG$2),$F$3:$BP$3,$F202:$BP202)))"),0.3092710522222222)</f>
        <v>0.3092710522</v>
      </c>
      <c r="DH202" s="207" t="str">
        <f>IFERROR(__xludf.DUMMYFUNCTION("IF(OR(DG202&gt;$BR202+$BS202*$BS$2,DG202&lt;$BR202-$BS202*$BS$2),AVEDEV(ARRAYFORMULA(XLOOKUP(FILTER(INDIRECT(""'""&amp;DG$1&amp;""'!$C$4:$C$66""),INDIRECT(""'""&amp;DG$1&amp;""'!$D$4:$D$66"")=DG$2),$F$3:$BP$3,$F202:$BP202))),"""")"),"")</f>
        <v/>
      </c>
      <c r="DI202" s="252"/>
    </row>
    <row r="203">
      <c r="A203" s="2"/>
      <c r="B203" s="204" t="s">
        <v>646</v>
      </c>
      <c r="C203" s="204" t="s">
        <v>649</v>
      </c>
      <c r="D203" s="205" t="b">
        <f>VLOOKUP(C203,'Feature Set List'!A200:C246,2,0)</f>
        <v>1</v>
      </c>
      <c r="E203" s="205" t="b">
        <f>VLOOKUP(C203,'Feature Set List'!A200:C246,3,0)</f>
        <v>1</v>
      </c>
      <c r="F203" s="205">
        <v>-0.9518349</v>
      </c>
      <c r="G203" s="205">
        <v>0.36238532</v>
      </c>
      <c r="H203" s="205">
        <v>-0.4311927</v>
      </c>
      <c r="I203" s="205">
        <v>1.23623853</v>
      </c>
      <c r="J203" s="205">
        <v>-0.3302752</v>
      </c>
      <c r="K203" s="205">
        <v>-0.6330275</v>
      </c>
      <c r="L203" s="205">
        <v>-1.1534404</v>
      </c>
      <c r="M203" s="205">
        <v>0.7087156</v>
      </c>
      <c r="N203" s="205">
        <v>0.80963303</v>
      </c>
      <c r="O203" s="205">
        <v>-0.8715596</v>
      </c>
      <c r="P203" s="205">
        <v>-0.4885321</v>
      </c>
      <c r="Q203" s="205">
        <v>-0.3876147</v>
      </c>
      <c r="R203" s="205">
        <v>-0.0756881</v>
      </c>
      <c r="S203" s="205">
        <v>0.0</v>
      </c>
      <c r="T203" s="205">
        <v>0.74311927</v>
      </c>
      <c r="U203" s="205">
        <v>0.28899083</v>
      </c>
      <c r="V203" s="205">
        <v>-0.4449541</v>
      </c>
      <c r="W203" s="205">
        <v>-0.8899083</v>
      </c>
      <c r="X203" s="205">
        <v>0.6146789</v>
      </c>
      <c r="Y203" s="205">
        <v>-0.9587156</v>
      </c>
      <c r="Z203" s="205">
        <v>-0.3302752</v>
      </c>
      <c r="AA203" s="205">
        <v>0.0733945</v>
      </c>
      <c r="AB203" s="205">
        <v>-0.3623853</v>
      </c>
      <c r="AC203" s="205">
        <v>0.06651376</v>
      </c>
      <c r="AD203" s="205">
        <v>0.35321101</v>
      </c>
      <c r="AE203" s="205">
        <v>0.13302752</v>
      </c>
      <c r="AF203" s="205">
        <v>-0.5779817</v>
      </c>
      <c r="AG203" s="205">
        <v>1.66284404</v>
      </c>
      <c r="AH203" s="205">
        <v>1.40137615</v>
      </c>
      <c r="AI203" s="205">
        <v>-0.1811927</v>
      </c>
      <c r="AJ203" s="205">
        <v>0.16055046</v>
      </c>
      <c r="AK203" s="205">
        <v>0.57110092</v>
      </c>
      <c r="AL203" s="205">
        <v>-0.1651376</v>
      </c>
      <c r="AM203" s="205">
        <v>-0.4655963</v>
      </c>
      <c r="AN203" s="205">
        <v>-1.8006881</v>
      </c>
      <c r="AO203" s="205">
        <v>0.48165138</v>
      </c>
      <c r="AP203" s="205">
        <v>-0.2018349</v>
      </c>
      <c r="AQ203" s="205">
        <v>-1.987844</v>
      </c>
      <c r="AR203" s="205">
        <v>-0.162844</v>
      </c>
      <c r="AS203" s="205">
        <v>0.8646789</v>
      </c>
      <c r="AT203" s="205">
        <v>-3.2706422</v>
      </c>
      <c r="AU203" s="205">
        <v>1.19495413</v>
      </c>
      <c r="AV203" s="205">
        <v>0.22477064</v>
      </c>
      <c r="AW203" s="205">
        <v>1.21788991</v>
      </c>
      <c r="AX203" s="205">
        <v>-0.8463303</v>
      </c>
      <c r="AY203" s="205">
        <v>0.15366972</v>
      </c>
      <c r="AZ203" s="205">
        <v>0.65366972</v>
      </c>
      <c r="BA203" s="205">
        <v>-0.9449541</v>
      </c>
      <c r="BB203" s="205">
        <v>0.12385321</v>
      </c>
      <c r="BC203" s="205">
        <v>-0.309633</v>
      </c>
      <c r="BD203" s="205">
        <v>-0.2247706</v>
      </c>
      <c r="BE203" s="205">
        <v>0.48853211</v>
      </c>
      <c r="BF203" s="205">
        <v>0.71559633</v>
      </c>
      <c r="BG203" s="205">
        <v>-0.4266055</v>
      </c>
      <c r="BH203" s="205">
        <v>0.61009174</v>
      </c>
      <c r="BI203" s="205">
        <v>2.64678899</v>
      </c>
      <c r="BJ203" s="205">
        <v>1.22018349</v>
      </c>
      <c r="BK203" s="205">
        <v>-0.3417431</v>
      </c>
      <c r="BL203" s="205">
        <v>-0.3004587</v>
      </c>
      <c r="BM203" s="205">
        <v>0.53899083</v>
      </c>
      <c r="BN203" s="205">
        <v>-0.0619266</v>
      </c>
      <c r="BO203" s="205">
        <v>0.5206422</v>
      </c>
      <c r="BP203" s="205">
        <v>0.57110092</v>
      </c>
      <c r="BQ203" s="206"/>
      <c r="BR203" s="250">
        <f t="shared" si="1"/>
        <v>0.01322630095</v>
      </c>
      <c r="BS203" s="250">
        <f t="shared" si="2"/>
        <v>0.6667564676</v>
      </c>
      <c r="BT203" s="206"/>
      <c r="BU203" s="207">
        <f>IFERROR(__xludf.DUMMYFUNCTION("AVERAGE(ARRAYFORMULA(XLOOKUP(FILTER(INDIRECT(""'""&amp;BU$1&amp;""'!$C$4:$C$66""),INDIRECT(""'""&amp;BU$1&amp;""'!$D$4:$D$66"")=BU$2),$F$3:$BP$3,$F203:$BP203)))"),-0.6150393185714285)</f>
        <v>-0.6150393186</v>
      </c>
      <c r="BV203" s="207" t="str">
        <f>IFERROR(__xludf.DUMMYFUNCTION("IF(OR(BU203&gt;$BR203+$BS203*$BS$2,BU203&lt;$BR203-$BS203*$BS$2),AVEDEV(ARRAYFORMULA(XLOOKUP(FILTER(INDIRECT(""'""&amp;BU$1&amp;""'!$C$4:$C$66""),INDIRECT(""'""&amp;BU$1&amp;""'!$D$4:$D$66"")=BU$2),$F$3:$BP$3,$F203:$BP203))),"""")"),"")</f>
        <v/>
      </c>
      <c r="BW203" s="207">
        <f>IFERROR(__xludf.DUMMYFUNCTION("AVERAGE(ARRAYFORMULA(XLOOKUP(FILTER(INDIRECT(""'""&amp;BW$1&amp;""'!$C$4:$C$66""),INDIRECT(""'""&amp;BW$1&amp;""'!$D$4:$D$66"")=BW$2),$F$3:$BP$3,$F203:$BP203)))"),0.28452927214285706)</f>
        <v>0.2845292721</v>
      </c>
      <c r="BX203" s="207" t="str">
        <f>IFERROR(__xludf.DUMMYFUNCTION("IF(OR(BW203&gt;$BR203+$BS203*$BS$2,BW203&lt;$BR203-$BS203*$BS$2),AVEDEV(ARRAYFORMULA(XLOOKUP(FILTER(INDIRECT(""'""&amp;BW$1&amp;""'!$C$4:$C$66""),INDIRECT(""'""&amp;BW$1&amp;""'!$D$4:$D$66"")=BW$2),$F$3:$BP$3,$F203:$BP203))),"""")"),"")</f>
        <v/>
      </c>
      <c r="BY203" s="207">
        <f>IFERROR(__xludf.DUMMYFUNCTION("AVERAGE(ARRAYFORMULA(XLOOKUP(FILTER(INDIRECT(""'""&amp;BY$1&amp;""'!$C$4:$C$66""),INDIRECT(""'""&amp;BY$1&amp;""'!$D$4:$D$66"")=BY$2),$F$3:$BP$3,$F203:$BP203)))"),-0.2545663036363636)</f>
        <v>-0.2545663036</v>
      </c>
      <c r="BZ203" s="207" t="str">
        <f>IFERROR(__xludf.DUMMYFUNCTION("IF(OR(BY203&gt;$BR203+$BS203*$BS$2,BY203&lt;$BR203-$BS203*$BS$2),AVEDEV(ARRAYFORMULA(XLOOKUP(FILTER(INDIRECT(""'""&amp;BY$1&amp;""'!$C$4:$C$66""),INDIRECT(""'""&amp;BY$1&amp;""'!$D$4:$D$66"")=BY$2),$F$3:$BP$3,$F203:$BP203))),"""")"),"")</f>
        <v/>
      </c>
      <c r="CA203" s="209"/>
      <c r="CB203" s="207">
        <f>IFERROR(__xludf.DUMMYFUNCTION("AVERAGE(ARRAYFORMULA(XLOOKUP(FILTER(INDIRECT(""'""&amp;CB$1&amp;""'!$C$4:$C$66""),INDIRECT(""'""&amp;CB$1&amp;""'!$D$4:$D$66"")=CB$2),$F$3:$BP$3,$F203:$BP203)))"),0.32869839375)</f>
        <v>0.3286983938</v>
      </c>
      <c r="CC203" s="207" t="str">
        <f>IFERROR(__xludf.DUMMYFUNCTION("IF(OR(CB203&gt;$BR203+$BS203*$BS$2,CB203&lt;$BR203-$BS203*$BS$2),AVEDEV(ARRAYFORMULA(XLOOKUP(FILTER(INDIRECT(""'""&amp;CB$1&amp;""'!$C$4:$C$66""),INDIRECT(""'""&amp;CB$1&amp;""'!$D$4:$D$66"")=CB$2),$F$3:$BP$3,$F203:$BP203))),"""")"),"")</f>
        <v/>
      </c>
      <c r="CD203" s="207">
        <f>IFERROR(__xludf.DUMMYFUNCTION("AVERAGE(ARRAYFORMULA(XLOOKUP(FILTER(INDIRECT(""'""&amp;CD$1&amp;""'!$C$4:$C$66""),INDIRECT(""'""&amp;CD$1&amp;""'!$D$4:$D$66"")=CD$2),$F$3:$BP$3,$F203:$BP203)))"),0.14087748064516134)</f>
        <v>0.1408774806</v>
      </c>
      <c r="CE203" s="207" t="str">
        <f>IFERROR(__xludf.DUMMYFUNCTION("IF(OR(CD203&gt;$BR203+$BS203*$BS$2,CD203&lt;$BR203-$BS203*$BS$2),AVEDEV(ARRAYFORMULA(XLOOKUP(FILTER(INDIRECT(""'""&amp;CD$1&amp;""'!$C$4:$C$66""),INDIRECT(""'""&amp;CD$1&amp;""'!$D$4:$D$66"")=CD$2),$F$3:$BP$3,$F203:$BP203))),"""")"),"")</f>
        <v/>
      </c>
      <c r="CF203" s="207">
        <f>IFERROR(__xludf.DUMMYFUNCTION("AVERAGE(ARRAYFORMULA(XLOOKUP(FILTER(INDIRECT(""'""&amp;CF$1&amp;""'!$C$4:$C$66""),INDIRECT(""'""&amp;CF$1&amp;""'!$D$4:$D$66"")=CF$2),$F$3:$BP$3,$F203:$BP203)))"),0.06697249000000001)</f>
        <v>0.06697249</v>
      </c>
      <c r="CG203" s="207" t="str">
        <f>IFERROR(__xludf.DUMMYFUNCTION("IF(OR(CF203&gt;$BR203+$BS203*$BS$2,CF203&lt;$BR203-$BS203*$BS$2),AVEDEV(ARRAYFORMULA(XLOOKUP(FILTER(INDIRECT(""'""&amp;CF$1&amp;""'!$C$4:$C$66""),INDIRECT(""'""&amp;CF$1&amp;""'!$D$4:$D$66"")=CF$2),$F$3:$BP$3,$F203:$BP203))),"""")"),"")</f>
        <v/>
      </c>
      <c r="CH203" s="206"/>
      <c r="CI203" s="251">
        <f>IFERROR(__xludf.DUMMYFUNCTION("AVERAGE(ARRAYFORMULA(XLOOKUP(FILTER(INDIRECT(""'""&amp;CI$1&amp;""'!$C$4:$C$66""),INDIRECT(""'""&amp;CI$1&amp;""'!$D$4:$D$66"")=CI$2),$F$3:$BP$3,$F203:$BP203)))"),0.06360856799999999)</f>
        <v>0.063608568</v>
      </c>
      <c r="CJ203" s="207" t="str">
        <f>IFERROR(__xludf.DUMMYFUNCTION("IF(OR(CI203&gt;$BR203+$BS203*$BS$2,CI203&lt;$BR203-$BS203*$BS$2),AVEDEV(ARRAYFORMULA(XLOOKUP(FILTER(INDIRECT(""'""&amp;CI$1&amp;""'!$C$4:$C$66""),INDIRECT(""'""&amp;CI$1&amp;""'!$D$4:$D$66"")=CI$2),$F$3:$BP$3,$F203:$BP203))),"""")"),"")</f>
        <v/>
      </c>
      <c r="CK203" s="251">
        <f>IFERROR(__xludf.DUMMYFUNCTION("AVERAGE(ARRAYFORMULA(XLOOKUP(FILTER(INDIRECT(""'""&amp;CK$1&amp;""'!$C$4:$C$66""),INDIRECT(""'""&amp;CK$1&amp;""'!$D$4:$D$66"")=CK$2),$F$3:$BP$3,$F203:$BP203)))"),0.09993530743589746)</f>
        <v>0.09993530744</v>
      </c>
      <c r="CL203" s="207" t="str">
        <f>IFERROR(__xludf.DUMMYFUNCTION("IF(OR(CK203&gt;$BR203+$BS203*$BS$2,CK203&lt;$BR203-$BS203*$BS$2),AVEDEV(ARRAYFORMULA(XLOOKUP(FILTER(INDIRECT(""'""&amp;CK$1&amp;""'!$C$4:$C$66""),INDIRECT(""'""&amp;CK$1&amp;""'!$D$4:$D$66"")=CK$2),$F$3:$BP$3,$F203:$BP203))),"""")"),"")</f>
        <v/>
      </c>
      <c r="CM203" s="251">
        <f>IFERROR(__xludf.DUMMYFUNCTION("AVERAGE(ARRAYFORMULA(XLOOKUP(FILTER(INDIRECT(""'""&amp;CM$1&amp;""'!$C$4:$C$66""),INDIRECT(""'""&amp;CM$1&amp;""'!$D$4:$D$66"")=CM$2),$F$3:$BP$3,$F203:$BP203)))"),0.06697249000000001)</f>
        <v>0.06697249</v>
      </c>
      <c r="CN203" s="207" t="str">
        <f>IFERROR(__xludf.DUMMYFUNCTION("IF(OR(CM203&gt;$BR203+$BS203*$BS$2,CM203&lt;$BR203-$BS203*$BS$2),AVEDEV(ARRAYFORMULA(XLOOKUP(FILTER(INDIRECT(""'""&amp;CM$1&amp;""'!$C$4:$C$66""),INDIRECT(""'""&amp;CM$1&amp;""'!$D$4:$D$66"")=CM$2),$F$3:$BP$3,$F203:$BP203))),"""")"),"")</f>
        <v/>
      </c>
      <c r="CO203" s="252"/>
      <c r="CP203" s="251">
        <f>IFERROR(__xludf.DUMMYFUNCTION("AVERAGE(ARRAYFORMULA(XLOOKUP(FILTER(INDIRECT(""'""&amp;CP$1&amp;""'!$C$4:$C$66""),INDIRECT(""'""&amp;CP$1&amp;""'!$D$4:$D$66"")=CP$2),$F$3:$BP$3,$F203:$BP203)))"),0.47984927428571433)</f>
        <v>0.4798492743</v>
      </c>
      <c r="CQ203" s="207" t="str">
        <f>IFERROR(__xludf.DUMMYFUNCTION("IF(OR(CP203&gt;$BR203+$BS203*$BS$2,CP203&lt;$BR203-$BS203*$BS$2),AVEDEV(ARRAYFORMULA(XLOOKUP(FILTER(INDIRECT(""'""&amp;CP$1&amp;""'!$C$4:$C$66""),INDIRECT(""'""&amp;CP$1&amp;""'!$D$4:$D$66"")=CP$2),$F$3:$BP$3,$F203:$BP203))),"""")"),"")</f>
        <v/>
      </c>
      <c r="CR203" s="251">
        <f>IFERROR(__xludf.DUMMYFUNCTION("AVERAGE(ARRAYFORMULA(XLOOKUP(FILTER(INDIRECT(""'""&amp;CR$1&amp;""'!$C$4:$C$66""),INDIRECT(""'""&amp;CR$1&amp;""'!$D$4:$D$66"")=CR$2),$F$3:$BP$3,$F203:$BP203)))"),-0.29482670666666666)</f>
        <v>-0.2948267067</v>
      </c>
      <c r="CS203" s="207" t="str">
        <f>IFERROR(__xludf.DUMMYFUNCTION("IF(OR(CR203&gt;$BR203+$BS203*$BS$2,CR203&lt;$BR203-$BS203*$BS$2),AVEDEV(ARRAYFORMULA(XLOOKUP(FILTER(INDIRECT(""'""&amp;CR$1&amp;""'!$C$4:$C$66""),INDIRECT(""'""&amp;CR$1&amp;""'!$D$4:$D$66"")=CR$2),$F$3:$BP$3,$F203:$BP203))),"""")"),"")</f>
        <v/>
      </c>
      <c r="CT203" s="251">
        <f>IFERROR(__xludf.DUMMYFUNCTION("AVERAGE(ARRAYFORMULA(XLOOKUP(FILTER(INDIRECT(""'""&amp;CT$1&amp;""'!$C$4:$C$66""),INDIRECT(""'""&amp;CT$1&amp;""'!$D$4:$D$66"")=CT$2),$F$3:$BP$3,$F203:$BP203)))"),0.33361134727272723)</f>
        <v>0.3336113473</v>
      </c>
      <c r="CU203" s="207" t="str">
        <f>IFERROR(__xludf.DUMMYFUNCTION("IF(OR(CT203&gt;$BR203+$BS203*$BS$2,CT203&lt;$BR203-$BS203*$BS$2),AVEDEV(ARRAYFORMULA(XLOOKUP(FILTER(INDIRECT(""'""&amp;CT$1&amp;""'!$C$4:$C$66""),INDIRECT(""'""&amp;CT$1&amp;""'!$D$4:$D$66"")=CT$2),$F$3:$BP$3,$F203:$BP203))),"""")"),"")</f>
        <v/>
      </c>
      <c r="CV203" s="251">
        <f>IFERROR(__xludf.DUMMYFUNCTION("AVERAGE(ARRAYFORMULA(XLOOKUP(FILTER(INDIRECT(""'""&amp;CV$1&amp;""'!$C$4:$C$66""),INDIRECT(""'""&amp;CV$1&amp;""'!$D$4:$D$66"")=CV$2),$F$3:$BP$3,$F203:$BP203)))"),-0.18004587)</f>
        <v>-0.18004587</v>
      </c>
      <c r="CW203" s="207" t="str">
        <f>IFERROR(__xludf.DUMMYFUNCTION("IF(OR(CV203&gt;$BR203+$BS203*$BS$2,CV203&lt;$BR203-$BS203*$BS$2),AVEDEV(ARRAYFORMULA(XLOOKUP(FILTER(INDIRECT(""'""&amp;CV$1&amp;""'!$C$4:$C$66""),INDIRECT(""'""&amp;CV$1&amp;""'!$D$4:$D$66"")=CV$2),$F$3:$BP$3,$F203:$BP203))),"""")"),"")</f>
        <v/>
      </c>
      <c r="CX203" s="251">
        <f>IFERROR(__xludf.DUMMYFUNCTION("AVERAGE(ARRAYFORMULA(XLOOKUP(FILTER(INDIRECT(""'""&amp;CX$1&amp;""'!$C$4:$C$66""),INDIRECT(""'""&amp;CX$1&amp;""'!$D$4:$D$66"")=CX$2),$F$3:$BP$3,$F203:$BP203)))"),0.18353538785714288)</f>
        <v>0.1835353879</v>
      </c>
      <c r="CY203" s="207" t="str">
        <f>IFERROR(__xludf.DUMMYFUNCTION("IF(OR(CX203&gt;$BR203+$BS203*$BS$2,CX203&lt;$BR203-$BS203*$BS$2),AVEDEV(ARRAYFORMULA(XLOOKUP(FILTER(INDIRECT(""'""&amp;CX$1&amp;""'!$C$4:$C$66""),INDIRECT(""'""&amp;CX$1&amp;""'!$D$4:$D$66"")=CX$2),$F$3:$BP$3,$F203:$BP203))),"""")"),"")</f>
        <v/>
      </c>
      <c r="CZ203" s="252"/>
      <c r="DA203" s="251">
        <f>IFERROR(__xludf.DUMMYFUNCTION("AVERAGE(ARRAYFORMULA(XLOOKUP(FILTER(INDIRECT(""'""&amp;DA$1&amp;""'!$C$4:$C$66""),INDIRECT(""'""&amp;DA$1&amp;""'!$D$4:$D$66"")=DA$2),$F$3:$BP$3,$F203:$BP203)))"),0.3908256913333333)</f>
        <v>0.3908256913</v>
      </c>
      <c r="DB203" s="207" t="str">
        <f>IFERROR(__xludf.DUMMYFUNCTION("IF(OR(DA203&gt;$BR203+$BS203*$BS$2,DA203&lt;$BR203-$BS203*$BS$2),AVEDEV(ARRAYFORMULA(XLOOKUP(FILTER(INDIRECT(""'""&amp;DA$1&amp;""'!$C$4:$C$66""),INDIRECT(""'""&amp;DA$1&amp;""'!$D$4:$D$66"")=DA$2),$F$3:$BP$3,$F203:$BP203))),"""")"),"")</f>
        <v/>
      </c>
      <c r="DC203" s="251">
        <f>IFERROR(__xludf.DUMMYFUNCTION("AVERAGE(ARRAYFORMULA(XLOOKUP(FILTER(INDIRECT(""'""&amp;DC$1&amp;""'!$C$4:$C$66""),INDIRECT(""'""&amp;DC$1&amp;""'!$D$4:$D$66"")=DC$2),$F$3:$BP$3,$F203:$BP203)))"),-0.27851681666666667)</f>
        <v>-0.2785168167</v>
      </c>
      <c r="DD203" s="207" t="str">
        <f>IFERROR(__xludf.DUMMYFUNCTION("IF(OR(DC203&gt;$BR203+$BS203*$BS$2,DC203&lt;$BR203-$BS203*$BS$2),AVEDEV(ARRAYFORMULA(XLOOKUP(FILTER(INDIRECT(""'""&amp;DC$1&amp;""'!$C$4:$C$66""),INDIRECT(""'""&amp;DC$1&amp;""'!$D$4:$D$66"")=DC$2),$F$3:$BP$3,$F203:$BP203))),"""")"),"")</f>
        <v/>
      </c>
      <c r="DE203" s="251">
        <f>IFERROR(__xludf.DUMMYFUNCTION("AVERAGE(ARRAYFORMULA(XLOOKUP(FILTER(INDIRECT(""'""&amp;DE$1&amp;""'!$C$4:$C$66""),INDIRECT(""'""&amp;DE$1&amp;""'!$D$4:$D$66"")=DE$2),$F$3:$BP$3,$F203:$BP203)))"),-0.014334872499999988)</f>
        <v>-0.0143348725</v>
      </c>
      <c r="DF203" s="207" t="str">
        <f>IFERROR(__xludf.DUMMYFUNCTION("IF(OR(DE203&gt;$BR203+$BS203*$BS$2,DE203&lt;$BR203-$BS203*$BS$2),AVEDEV(ARRAYFORMULA(XLOOKUP(FILTER(INDIRECT(""'""&amp;DE$1&amp;""'!$C$4:$C$66""),INDIRECT(""'""&amp;DE$1&amp;""'!$D$4:$D$66"")=DE$2),$F$3:$BP$3,$F203:$BP203))),"""")"),"")</f>
        <v/>
      </c>
      <c r="DG203" s="251">
        <f>IFERROR(__xludf.DUMMYFUNCTION("AVERAGE(ARRAYFORMULA(XLOOKUP(FILTER(INDIRECT(""'""&amp;DG$1&amp;""'!$C$4:$C$66""),INDIRECT(""'""&amp;DG$1&amp;""'!$D$4:$D$66"")=DG$2),$F$3:$BP$3,$F203:$BP203)))"),0.08460755000000002)</f>
        <v>0.08460755</v>
      </c>
      <c r="DH203" s="207" t="str">
        <f>IFERROR(__xludf.DUMMYFUNCTION("IF(OR(DG203&gt;$BR203+$BS203*$BS$2,DG203&lt;$BR203-$BS203*$BS$2),AVEDEV(ARRAYFORMULA(XLOOKUP(FILTER(INDIRECT(""'""&amp;DG$1&amp;""'!$C$4:$C$66""),INDIRECT(""'""&amp;DG$1&amp;""'!$D$4:$D$66"")=DG$2),$F$3:$BP$3,$F203:$BP203))),"""")"),"")</f>
        <v/>
      </c>
      <c r="DI203" s="252"/>
    </row>
    <row r="204">
      <c r="A204" s="2"/>
      <c r="B204" s="204" t="s">
        <v>646</v>
      </c>
      <c r="C204" s="204" t="s">
        <v>650</v>
      </c>
      <c r="D204" s="205" t="b">
        <f>VLOOKUP(C204,'Feature Set List'!A201:C246,2,0)</f>
        <v>1</v>
      </c>
      <c r="E204" s="205" t="b">
        <f>VLOOKUP(C204,'Feature Set List'!A201:C246,3,0)</f>
        <v>1</v>
      </c>
      <c r="F204" s="205">
        <v>0.67662298</v>
      </c>
      <c r="G204" s="205">
        <v>-0.1901859</v>
      </c>
      <c r="H204" s="205">
        <v>-0.3617799</v>
      </c>
      <c r="I204" s="205">
        <v>-0.4017068</v>
      </c>
      <c r="J204" s="205">
        <v>-1.1694301</v>
      </c>
      <c r="K204" s="205">
        <v>0.51752514</v>
      </c>
      <c r="L204" s="205">
        <v>1.13837245</v>
      </c>
      <c r="M204" s="205">
        <v>-0.348979</v>
      </c>
      <c r="N204" s="205">
        <v>0.25601951</v>
      </c>
      <c r="O204" s="205">
        <v>0.90307833</v>
      </c>
      <c r="P204" s="205">
        <v>-0.971655</v>
      </c>
      <c r="Q204" s="205">
        <v>0.00792441</v>
      </c>
      <c r="R204" s="205">
        <v>1.16915575</v>
      </c>
      <c r="S204" s="205">
        <v>-0.3864675</v>
      </c>
      <c r="T204" s="205">
        <v>0.06400488</v>
      </c>
      <c r="U204" s="205">
        <v>0.16641268</v>
      </c>
      <c r="V204" s="205">
        <v>0.6086559</v>
      </c>
      <c r="W204" s="205">
        <v>0.90795489</v>
      </c>
      <c r="X204" s="205">
        <v>0.18744285</v>
      </c>
      <c r="Y204" s="205">
        <v>1.79731789</v>
      </c>
      <c r="Z204" s="205">
        <v>0.02590674</v>
      </c>
      <c r="AA204" s="205">
        <v>0.0</v>
      </c>
      <c r="AB204" s="205">
        <v>0.23468455</v>
      </c>
      <c r="AC204" s="205">
        <v>0.77842121</v>
      </c>
      <c r="AD204" s="205">
        <v>-0.110637</v>
      </c>
      <c r="AE204" s="205">
        <v>-0.307833</v>
      </c>
      <c r="AF204" s="205">
        <v>0.92685157</v>
      </c>
      <c r="AG204" s="205">
        <v>-0.0755867</v>
      </c>
      <c r="AH204" s="205">
        <v>-0.2551052</v>
      </c>
      <c r="AI204" s="205">
        <v>3.95214874</v>
      </c>
      <c r="AJ204" s="205">
        <v>-0.676623</v>
      </c>
      <c r="AK204" s="205">
        <v>-0.3852484</v>
      </c>
      <c r="AL204" s="205">
        <v>-0.0420603</v>
      </c>
      <c r="AM204" s="205">
        <v>-0.0387077</v>
      </c>
      <c r="AN204" s="205">
        <v>-0.1398964</v>
      </c>
      <c r="AO204" s="205">
        <v>-1.0149345</v>
      </c>
      <c r="AP204" s="205">
        <v>0.15117342</v>
      </c>
      <c r="AQ204" s="205">
        <v>-0.3529412</v>
      </c>
      <c r="AR204" s="205">
        <v>-0.1011887</v>
      </c>
      <c r="AS204" s="205">
        <v>-0.3175861</v>
      </c>
      <c r="AT204" s="205">
        <v>-1.4486437</v>
      </c>
      <c r="AU204" s="205">
        <v>2.12953368</v>
      </c>
      <c r="AV204" s="205">
        <v>0.99481865</v>
      </c>
      <c r="AW204" s="205">
        <v>-0.6747943</v>
      </c>
      <c r="AX204" s="205">
        <v>1.2316367</v>
      </c>
      <c r="AY204" s="205">
        <v>-0.2218836</v>
      </c>
      <c r="AZ204" s="205">
        <v>0.32246266</v>
      </c>
      <c r="BA204" s="205">
        <v>0.24321853</v>
      </c>
      <c r="BB204" s="205">
        <v>-0.3992685</v>
      </c>
      <c r="BC204" s="205">
        <v>-0.6699177</v>
      </c>
      <c r="BD204" s="205">
        <v>0.4651021</v>
      </c>
      <c r="BE204" s="205">
        <v>0.78756477</v>
      </c>
      <c r="BF204" s="205">
        <v>0.02590674</v>
      </c>
      <c r="BG204" s="205">
        <v>0.73879915</v>
      </c>
      <c r="BH204" s="205">
        <v>-0.1853094</v>
      </c>
      <c r="BI204" s="205">
        <v>0.48643706</v>
      </c>
      <c r="BJ204" s="205">
        <v>-0.6821091</v>
      </c>
      <c r="BK204" s="205">
        <v>-0.6366961</v>
      </c>
      <c r="BL204" s="205">
        <v>-0.2672966</v>
      </c>
      <c r="BM204" s="205">
        <v>-0.9625114</v>
      </c>
      <c r="BN204" s="205">
        <v>2.14782079</v>
      </c>
      <c r="BO204" s="205">
        <v>-0.6208473</v>
      </c>
      <c r="BP204" s="205">
        <v>1.0716245</v>
      </c>
      <c r="BQ204" s="206"/>
      <c r="BR204" s="250">
        <f t="shared" si="1"/>
        <v>0.169789986</v>
      </c>
      <c r="BS204" s="250">
        <f t="shared" si="2"/>
        <v>0.6485244666</v>
      </c>
      <c r="BT204" s="206"/>
      <c r="BU204" s="207">
        <f>IFERROR(__xludf.DUMMYFUNCTION("AVERAGE(ARRAYFORMULA(XLOOKUP(FILTER(INDIRECT(""'""&amp;BU$1&amp;""'!$C$4:$C$66""),INDIRECT(""'""&amp;BU$1&amp;""'!$D$4:$D$66"")=BU$2),$F$3:$BP$3,$F204:$BP204)))"),0.3050463714285714)</f>
        <v>0.3050463714</v>
      </c>
      <c r="BV204" s="207" t="str">
        <f>IFERROR(__xludf.DUMMYFUNCTION("IF(OR(BU204&gt;$BR204+$BS204*$BS$2,BU204&lt;$BR204-$BS204*$BS$2),AVEDEV(ARRAYFORMULA(XLOOKUP(FILTER(INDIRECT(""'""&amp;BU$1&amp;""'!$C$4:$C$66""),INDIRECT(""'""&amp;BU$1&amp;""'!$D$4:$D$66"")=BU$2),$F$3:$BP$3,$F204:$BP204))),"""")"),"")</f>
        <v/>
      </c>
      <c r="BW204" s="207">
        <f>IFERROR(__xludf.DUMMYFUNCTION("AVERAGE(ARRAYFORMULA(XLOOKUP(FILTER(INDIRECT(""'""&amp;BW$1&amp;""'!$C$4:$C$66""),INDIRECT(""'""&amp;BW$1&amp;""'!$D$4:$D$66"")=BW$2),$F$3:$BP$3,$F204:$BP204)))"),0.18740729071428572)</f>
        <v>0.1874072907</v>
      </c>
      <c r="BX204" s="207" t="str">
        <f>IFERROR(__xludf.DUMMYFUNCTION("IF(OR(BW204&gt;$BR204+$BS204*$BS$2,BW204&lt;$BR204-$BS204*$BS$2),AVEDEV(ARRAYFORMULA(XLOOKUP(FILTER(INDIRECT(""'""&amp;BW$1&amp;""'!$C$4:$C$66""),INDIRECT(""'""&amp;BW$1&amp;""'!$D$4:$D$66"")=BW$2),$F$3:$BP$3,$F204:$BP204))),"""")"),"")</f>
        <v/>
      </c>
      <c r="BY204" s="207">
        <f>IFERROR(__xludf.DUMMYFUNCTION("AVERAGE(ARRAYFORMULA(XLOOKUP(FILTER(INDIRECT(""'""&amp;BY$1&amp;""'!$C$4:$C$66""),INDIRECT(""'""&amp;BY$1&amp;""'!$D$4:$D$66"")=BY$2),$F$3:$BP$3,$F204:$BP204)))"),0.2882436009090909)</f>
        <v>0.2882436009</v>
      </c>
      <c r="BZ204" s="207" t="str">
        <f>IFERROR(__xludf.DUMMYFUNCTION("IF(OR(BY204&gt;$BR204+$BS204*$BS$2,BY204&lt;$BR204-$BS204*$BS$2),AVEDEV(ARRAYFORMULA(XLOOKUP(FILTER(INDIRECT(""'""&amp;BY$1&amp;""'!$C$4:$C$66""),INDIRECT(""'""&amp;BY$1&amp;""'!$D$4:$D$66"")=BY$2),$F$3:$BP$3,$F204:$BP204))),"""")"),"")</f>
        <v/>
      </c>
      <c r="CA204" s="209"/>
      <c r="CB204" s="207">
        <f>IFERROR(__xludf.DUMMYFUNCTION("AVERAGE(ARRAYFORMULA(XLOOKUP(FILTER(INDIRECT(""'""&amp;CB$1&amp;""'!$C$4:$C$66""),INDIRECT(""'""&amp;CB$1&amp;""'!$D$4:$D$66"")=CB$2),$F$3:$BP$3,$F204:$BP204)))"),-0.07194644374999999)</f>
        <v>-0.07194644375</v>
      </c>
      <c r="CC204" s="207" t="str">
        <f>IFERROR(__xludf.DUMMYFUNCTION("IF(OR(CB204&gt;$BR204+$BS204*$BS$2,CB204&lt;$BR204-$BS204*$BS$2),AVEDEV(ARRAYFORMULA(XLOOKUP(FILTER(INDIRECT(""'""&amp;CB$1&amp;""'!$C$4:$C$66""),INDIRECT(""'""&amp;CB$1&amp;""'!$D$4:$D$66"")=CB$2),$F$3:$BP$3,$F204:$BP204))),"""")"),"")</f>
        <v/>
      </c>
      <c r="CD204" s="207">
        <f>IFERROR(__xludf.DUMMYFUNCTION("AVERAGE(ARRAYFORMULA(XLOOKUP(FILTER(INDIRECT(""'""&amp;CD$1&amp;""'!$C$4:$C$66""),INDIRECT(""'""&amp;CD$1&amp;""'!$D$4:$D$66"")=CD$2),$F$3:$BP$3,$F204:$BP204)))"),0.38398993322580643)</f>
        <v>0.3839899332</v>
      </c>
      <c r="CE204" s="207" t="str">
        <f>IFERROR(__xludf.DUMMYFUNCTION("IF(OR(CD204&gt;$BR204+$BS204*$BS$2,CD204&lt;$BR204-$BS204*$BS$2),AVEDEV(ARRAYFORMULA(XLOOKUP(FILTER(INDIRECT(""'""&amp;CD$1&amp;""'!$C$4:$C$66""),INDIRECT(""'""&amp;CD$1&amp;""'!$D$4:$D$66"")=CD$2),$F$3:$BP$3,$F204:$BP204))),"""")"),"")</f>
        <v/>
      </c>
      <c r="CF204" s="207">
        <f>IFERROR(__xludf.DUMMYFUNCTION("AVERAGE(ARRAYFORMULA(XLOOKUP(FILTER(INDIRECT(""'""&amp;CF$1&amp;""'!$C$4:$C$66""),INDIRECT(""'""&amp;CF$1&amp;""'!$D$4:$D$66"")=CF$2),$F$3:$BP$3,$F204:$BP204)))"),0.152758306)</f>
        <v>0.152758306</v>
      </c>
      <c r="CG204" s="207" t="str">
        <f>IFERROR(__xludf.DUMMYFUNCTION("IF(OR(CF204&gt;$BR204+$BS204*$BS$2,CF204&lt;$BR204-$BS204*$BS$2),AVEDEV(ARRAYFORMULA(XLOOKUP(FILTER(INDIRECT(""'""&amp;CF$1&amp;""'!$C$4:$C$66""),INDIRECT(""'""&amp;CF$1&amp;""'!$D$4:$D$66"")=CF$2),$F$3:$BP$3,$F204:$BP204))),"""")"),"")</f>
        <v/>
      </c>
      <c r="CH204" s="206"/>
      <c r="CI204" s="251">
        <f>IFERROR(__xludf.DUMMYFUNCTION("AVERAGE(ARRAYFORMULA(XLOOKUP(FILTER(INDIRECT(""'""&amp;CI$1&amp;""'!$C$4:$C$66""),INDIRECT(""'""&amp;CI$1&amp;""'!$D$4:$D$66"")=CI$2),$F$3:$BP$3,$F204:$BP204)))"),0.2555115273333333)</f>
        <v>0.2555115273</v>
      </c>
      <c r="CJ204" s="207" t="str">
        <f>IFERROR(__xludf.DUMMYFUNCTION("IF(OR(CI204&gt;$BR204+$BS204*$BS$2,CI204&lt;$BR204-$BS204*$BS$2),AVEDEV(ARRAYFORMULA(XLOOKUP(FILTER(INDIRECT(""'""&amp;CI$1&amp;""'!$C$4:$C$66""),INDIRECT(""'""&amp;CI$1&amp;""'!$D$4:$D$66"")=CI$2),$F$3:$BP$3,$F204:$BP204))),"""")"),"")</f>
        <v/>
      </c>
      <c r="CK204" s="251">
        <f>IFERROR(__xludf.DUMMYFUNCTION("AVERAGE(ARRAYFORMULA(XLOOKUP(FILTER(INDIRECT(""'""&amp;CK$1&amp;""'!$C$4:$C$66""),INDIRECT(""'""&amp;CK$1&amp;""'!$D$4:$D$66"")=CK$2),$F$3:$BP$3,$F204:$BP204)))"),0.2363421046153846)</f>
        <v>0.2363421046</v>
      </c>
      <c r="CL204" s="207" t="str">
        <f>IFERROR(__xludf.DUMMYFUNCTION("IF(OR(CK204&gt;$BR204+$BS204*$BS$2,CK204&lt;$BR204-$BS204*$BS$2),AVEDEV(ARRAYFORMULA(XLOOKUP(FILTER(INDIRECT(""'""&amp;CK$1&amp;""'!$C$4:$C$66""),INDIRECT(""'""&amp;CK$1&amp;""'!$D$4:$D$66"")=CK$2),$F$3:$BP$3,$F204:$BP204))),"""")"),"")</f>
        <v/>
      </c>
      <c r="CM204" s="251">
        <f>IFERROR(__xludf.DUMMYFUNCTION("AVERAGE(ARRAYFORMULA(XLOOKUP(FILTER(INDIRECT(""'""&amp;CM$1&amp;""'!$C$4:$C$66""),INDIRECT(""'""&amp;CM$1&amp;""'!$D$4:$D$66"")=CM$2),$F$3:$BP$3,$F204:$BP204)))"),0.152758306)</f>
        <v>0.152758306</v>
      </c>
      <c r="CN204" s="207" t="str">
        <f>IFERROR(__xludf.DUMMYFUNCTION("IF(OR(CM204&gt;$BR204+$BS204*$BS$2,CM204&lt;$BR204-$BS204*$BS$2),AVEDEV(ARRAYFORMULA(XLOOKUP(FILTER(INDIRECT(""'""&amp;CM$1&amp;""'!$C$4:$C$66""),INDIRECT(""'""&amp;CM$1&amp;""'!$D$4:$D$66"")=CM$2),$F$3:$BP$3,$F204:$BP204))),"""")"),"")</f>
        <v/>
      </c>
      <c r="CO204" s="252"/>
      <c r="CP204" s="251">
        <f>IFERROR(__xludf.DUMMYFUNCTION("AVERAGE(ARRAYFORMULA(XLOOKUP(FILTER(INDIRECT(""'""&amp;CP$1&amp;""'!$C$4:$C$66""),INDIRECT(""'""&amp;CP$1&amp;""'!$D$4:$D$66"")=CP$2),$F$3:$BP$3,$F204:$BP204)))"),-0.07419341499999998)</f>
        <v>-0.074193415</v>
      </c>
      <c r="CQ204" s="207" t="str">
        <f>IFERROR(__xludf.DUMMYFUNCTION("IF(OR(CP204&gt;$BR204+$BS204*$BS$2,CP204&lt;$BR204-$BS204*$BS$2),AVEDEV(ARRAYFORMULA(XLOOKUP(FILTER(INDIRECT(""'""&amp;CP$1&amp;""'!$C$4:$C$66""),INDIRECT(""'""&amp;CP$1&amp;""'!$D$4:$D$66"")=CP$2),$F$3:$BP$3,$F204:$BP204))),"""")"),"")</f>
        <v/>
      </c>
      <c r="CR204" s="251">
        <f>IFERROR(__xludf.DUMMYFUNCTION("AVERAGE(ARRAYFORMULA(XLOOKUP(FILTER(INDIRECT(""'""&amp;CR$1&amp;""'!$C$4:$C$66""),INDIRECT(""'""&amp;CR$1&amp;""'!$D$4:$D$66"")=CR$2),$F$3:$BP$3,$F204:$BP204)))"),0.40665109)</f>
        <v>0.40665109</v>
      </c>
      <c r="CS204" s="207" t="str">
        <f>IFERROR(__xludf.DUMMYFUNCTION("IF(OR(CR204&gt;$BR204+$BS204*$BS$2,CR204&lt;$BR204-$BS204*$BS$2),AVEDEV(ARRAYFORMULA(XLOOKUP(FILTER(INDIRECT(""'""&amp;CR$1&amp;""'!$C$4:$C$66""),INDIRECT(""'""&amp;CR$1&amp;""'!$D$4:$D$66"")=CR$2),$F$3:$BP$3,$F204:$BP204))),"""")"),"")</f>
        <v/>
      </c>
      <c r="CT204" s="251">
        <f>IFERROR(__xludf.DUMMYFUNCTION("AVERAGE(ARRAYFORMULA(XLOOKUP(FILTER(INDIRECT(""'""&amp;CT$1&amp;""'!$C$4:$C$66""),INDIRECT(""'""&amp;CT$1&amp;""'!$D$4:$D$66"")=CT$2),$F$3:$BP$3,$F204:$BP204)))"),0.46144468636363634)</f>
        <v>0.4614446864</v>
      </c>
      <c r="CU204" s="207" t="str">
        <f>IFERROR(__xludf.DUMMYFUNCTION("IF(OR(CT204&gt;$BR204+$BS204*$BS$2,CT204&lt;$BR204-$BS204*$BS$2),AVEDEV(ARRAYFORMULA(XLOOKUP(FILTER(INDIRECT(""'""&amp;CT$1&amp;""'!$C$4:$C$66""),INDIRECT(""'""&amp;CT$1&amp;""'!$D$4:$D$66"")=CT$2),$F$3:$BP$3,$F204:$BP204))),"""")"),"")</f>
        <v/>
      </c>
      <c r="CV204" s="251">
        <f>IFERROR(__xludf.DUMMYFUNCTION("AVERAGE(ARRAYFORMULA(XLOOKUP(FILTER(INDIRECT(""'""&amp;CV$1&amp;""'!$C$4:$C$66""),INDIRECT(""'""&amp;CV$1&amp;""'!$D$4:$D$66"")=CV$2),$F$3:$BP$3,$F204:$BP204)))"),0.75861018)</f>
        <v>0.75861018</v>
      </c>
      <c r="CW204" s="207" t="str">
        <f>IFERROR(__xludf.DUMMYFUNCTION("IF(OR(CV204&gt;$BR204+$BS204*$BS$2,CV204&lt;$BR204-$BS204*$BS$2),AVEDEV(ARRAYFORMULA(XLOOKUP(FILTER(INDIRECT(""'""&amp;CV$1&amp;""'!$C$4:$C$66""),INDIRECT(""'""&amp;CV$1&amp;""'!$D$4:$D$66"")=CV$2),$F$3:$BP$3,$F204:$BP204))),"""")"),"")</f>
        <v/>
      </c>
      <c r="CX204" s="251">
        <f>IFERROR(__xludf.DUMMYFUNCTION("AVERAGE(ARRAYFORMULA(XLOOKUP(FILTER(INDIRECT(""'""&amp;CX$1&amp;""'!$C$4:$C$66""),INDIRECT(""'""&amp;CX$1&amp;""'!$D$4:$D$66"")=CX$2),$F$3:$BP$3,$F204:$BP204)))"),0.24038837928571427)</f>
        <v>0.2403883793</v>
      </c>
      <c r="CY204" s="207" t="str">
        <f>IFERROR(__xludf.DUMMYFUNCTION("IF(OR(CX204&gt;$BR204+$BS204*$BS$2,CX204&lt;$BR204-$BS204*$BS$2),AVEDEV(ARRAYFORMULA(XLOOKUP(FILTER(INDIRECT(""'""&amp;CX$1&amp;""'!$C$4:$C$66""),INDIRECT(""'""&amp;CX$1&amp;""'!$D$4:$D$66"")=CX$2),$F$3:$BP$3,$F204:$BP204))),"""")"),"")</f>
        <v/>
      </c>
      <c r="CZ204" s="252"/>
      <c r="DA204" s="251">
        <f>IFERROR(__xludf.DUMMYFUNCTION("AVERAGE(ARRAYFORMULA(XLOOKUP(FILTER(INDIRECT(""'""&amp;DA$1&amp;""'!$C$4:$C$66""),INDIRECT(""'""&amp;DA$1&amp;""'!$D$4:$D$66"")=DA$2),$F$3:$BP$3,$F204:$BP204)))"),-0.072080673)</f>
        <v>-0.072080673</v>
      </c>
      <c r="DB204" s="207" t="str">
        <f>IFERROR(__xludf.DUMMYFUNCTION("IF(OR(DA204&gt;$BR204+$BS204*$BS$2,DA204&lt;$BR204-$BS204*$BS$2),AVEDEV(ARRAYFORMULA(XLOOKUP(FILTER(INDIRECT(""'""&amp;DA$1&amp;""'!$C$4:$C$66""),INDIRECT(""'""&amp;DA$1&amp;""'!$D$4:$D$66"")=DA$2),$F$3:$BP$3,$F204:$BP204))),"""")"),"")</f>
        <v/>
      </c>
      <c r="DC204" s="251">
        <f>IFERROR(__xludf.DUMMYFUNCTION("AVERAGE(ARRAYFORMULA(XLOOKUP(FILTER(INDIRECT(""'""&amp;DC$1&amp;""'!$C$4:$C$66""),INDIRECT(""'""&amp;DC$1&amp;""'!$D$4:$D$66"")=DC$2),$F$3:$BP$3,$F204:$BP204)))"),0.6269430044444445)</f>
        <v>0.6269430044</v>
      </c>
      <c r="DD204" s="207" t="str">
        <f>IFERROR(__xludf.DUMMYFUNCTION("IF(OR(DC204&gt;$BR204+$BS204*$BS$2,DC204&lt;$BR204-$BS204*$BS$2),AVEDEV(ARRAYFORMULA(XLOOKUP(FILTER(INDIRECT(""'""&amp;DC$1&amp;""'!$C$4:$C$66""),INDIRECT(""'""&amp;DC$1&amp;""'!$D$4:$D$66"")=DC$2),$F$3:$BP$3,$F204:$BP204))),"""")"),"")</f>
        <v/>
      </c>
      <c r="DE204" s="251">
        <f>IFERROR(__xludf.DUMMYFUNCTION("AVERAGE(ARRAYFORMULA(XLOOKUP(FILTER(INDIRECT(""'""&amp;DE$1&amp;""'!$C$4:$C$66""),INDIRECT(""'""&amp;DE$1&amp;""'!$D$4:$D$66"")=DE$2),$F$3:$BP$3,$F204:$BP204)))"),0.81061414125)</f>
        <v>0.8106141413</v>
      </c>
      <c r="DF204" s="207" t="str">
        <f>IFERROR(__xludf.DUMMYFUNCTION("IF(OR(DE204&gt;$BR204+$BS204*$BS$2,DE204&lt;$BR204-$BS204*$BS$2),AVEDEV(ARRAYFORMULA(XLOOKUP(FILTER(INDIRECT(""'""&amp;DE$1&amp;""'!$C$4:$C$66""),INDIRECT(""'""&amp;DE$1&amp;""'!$D$4:$D$66"")=DE$2),$F$3:$BP$3,$F204:$BP204))),"""")"),"")</f>
        <v/>
      </c>
      <c r="DG204" s="251">
        <f>IFERROR(__xludf.DUMMYFUNCTION("AVERAGE(ARRAYFORMULA(XLOOKUP(FILTER(INDIRECT(""'""&amp;DG$1&amp;""'!$C$4:$C$66""),INDIRECT(""'""&amp;DG$1&amp;""'!$D$4:$D$66"")=DG$2),$F$3:$BP$3,$F204:$BP204)))"),0.38152325)</f>
        <v>0.38152325</v>
      </c>
      <c r="DH204" s="207" t="str">
        <f>IFERROR(__xludf.DUMMYFUNCTION("IF(OR(DG204&gt;$BR204+$BS204*$BS$2,DG204&lt;$BR204-$BS204*$BS$2),AVEDEV(ARRAYFORMULA(XLOOKUP(FILTER(INDIRECT(""'""&amp;DG$1&amp;""'!$C$4:$C$66""),INDIRECT(""'""&amp;DG$1&amp;""'!$D$4:$D$66"")=DG$2),$F$3:$BP$3,$F204:$BP204))),"""")"),"")</f>
        <v/>
      </c>
      <c r="DI204" s="252"/>
    </row>
    <row r="205">
      <c r="A205" s="2"/>
      <c r="B205" s="204" t="s">
        <v>646</v>
      </c>
      <c r="C205" s="204" t="s">
        <v>651</v>
      </c>
      <c r="D205" s="205" t="b">
        <f>VLOOKUP(C205,'Feature Set List'!A202:C246,2,0)</f>
        <v>1</v>
      </c>
      <c r="E205" s="205" t="b">
        <f>VLOOKUP(C205,'Feature Set List'!A202:C246,3,0)</f>
        <v>1</v>
      </c>
      <c r="F205" s="205">
        <v>0.09439266</v>
      </c>
      <c r="G205" s="205">
        <v>0.25477142</v>
      </c>
      <c r="H205" s="205">
        <v>-1.4863145</v>
      </c>
      <c r="I205" s="205">
        <v>-0.7601716</v>
      </c>
      <c r="J205" s="205">
        <v>0.1843468</v>
      </c>
      <c r="K205" s="205">
        <v>0.79567983</v>
      </c>
      <c r="L205" s="205">
        <v>-0.5731617</v>
      </c>
      <c r="M205" s="205">
        <v>0.10534103</v>
      </c>
      <c r="N205" s="205">
        <v>-0.2666075</v>
      </c>
      <c r="O205" s="205">
        <v>0.17221482</v>
      </c>
      <c r="P205" s="205">
        <v>-0.0281107</v>
      </c>
      <c r="Q205" s="205">
        <v>-0.1985501</v>
      </c>
      <c r="R205" s="205">
        <v>0.91433644</v>
      </c>
      <c r="S205" s="205">
        <v>1.0918775</v>
      </c>
      <c r="T205" s="205">
        <v>-0.8746856</v>
      </c>
      <c r="U205" s="205">
        <v>-0.3216452</v>
      </c>
      <c r="V205" s="205">
        <v>0.0</v>
      </c>
      <c r="W205" s="205">
        <v>1.009025</v>
      </c>
      <c r="X205" s="205">
        <v>0.14380826</v>
      </c>
      <c r="Y205" s="205">
        <v>-0.0864033</v>
      </c>
      <c r="Z205" s="205">
        <v>-0.0062139</v>
      </c>
      <c r="AA205" s="205">
        <v>-1.1001627</v>
      </c>
      <c r="AB205" s="205">
        <v>0.37106081</v>
      </c>
      <c r="AC205" s="205">
        <v>0.91433644</v>
      </c>
      <c r="AD205" s="205">
        <v>0.90545939</v>
      </c>
      <c r="AE205" s="205">
        <v>0.33170587</v>
      </c>
      <c r="AF205" s="205">
        <v>0.554224</v>
      </c>
      <c r="AG205" s="205">
        <v>-0.418701</v>
      </c>
      <c r="AH205" s="205">
        <v>-0.7977511</v>
      </c>
      <c r="AI205" s="205">
        <v>-0.5548158</v>
      </c>
      <c r="AJ205" s="205">
        <v>-0.2796272</v>
      </c>
      <c r="AK205" s="205">
        <v>0.20328451</v>
      </c>
      <c r="AL205" s="205">
        <v>0.19411155</v>
      </c>
      <c r="AM205" s="205">
        <v>-0.3467969</v>
      </c>
      <c r="AN205" s="205">
        <v>-0.0659861</v>
      </c>
      <c r="AO205" s="205">
        <v>-1.3419145</v>
      </c>
      <c r="AP205" s="205">
        <v>-0.0606599</v>
      </c>
      <c r="AQ205" s="205">
        <v>1.69255807</v>
      </c>
      <c r="AR205" s="205">
        <v>-0.3642551</v>
      </c>
      <c r="AS205" s="205">
        <v>-0.5971298</v>
      </c>
      <c r="AT205" s="205">
        <v>-2.0565172</v>
      </c>
      <c r="AU205" s="205">
        <v>0.43586329</v>
      </c>
      <c r="AV205" s="205">
        <v>0.8912561</v>
      </c>
      <c r="AW205" s="205">
        <v>-0.469892</v>
      </c>
      <c r="AX205" s="205">
        <v>0.80781181</v>
      </c>
      <c r="AY205" s="205">
        <v>-0.6122207</v>
      </c>
      <c r="AZ205" s="205">
        <v>0.77970114</v>
      </c>
      <c r="BA205" s="205">
        <v>0.99422992</v>
      </c>
      <c r="BB205" s="205">
        <v>0.40775263</v>
      </c>
      <c r="BC205" s="205">
        <v>-0.3278592</v>
      </c>
      <c r="BD205" s="205">
        <v>-0.2932386</v>
      </c>
      <c r="BE205" s="205">
        <v>0.55718302</v>
      </c>
      <c r="BF205" s="205">
        <v>0.8406569</v>
      </c>
      <c r="BG205" s="205">
        <v>0.74034621</v>
      </c>
      <c r="BH205" s="205">
        <v>0.01301968</v>
      </c>
      <c r="BI205" s="205">
        <v>-0.5193076</v>
      </c>
      <c r="BJ205" s="205">
        <v>-0.6060068</v>
      </c>
      <c r="BK205" s="205">
        <v>-1.5821867</v>
      </c>
      <c r="BL205" s="205">
        <v>-0.1269419</v>
      </c>
      <c r="BM205" s="205">
        <v>0.76697736</v>
      </c>
      <c r="BN205" s="205">
        <v>0.87113478</v>
      </c>
      <c r="BO205" s="205">
        <v>-0.7607634</v>
      </c>
      <c r="BP205" s="205">
        <v>0.04142625</v>
      </c>
      <c r="BQ205" s="206"/>
      <c r="BR205" s="250">
        <f t="shared" si="1"/>
        <v>0.003099923651</v>
      </c>
      <c r="BS205" s="250">
        <f t="shared" si="2"/>
        <v>0.5709141542</v>
      </c>
      <c r="BT205" s="206"/>
      <c r="BU205" s="207">
        <f>IFERROR(__xludf.DUMMYFUNCTION("AVERAGE(ARRAYFORMULA(XLOOKUP(FILTER(INDIRECT(""'""&amp;BU$1&amp;""'!$C$4:$C$66""),INDIRECT(""'""&amp;BU$1&amp;""'!$D$4:$D$66"")=BU$2),$F$3:$BP$3,$F205:$BP205)))"),-7.186100000000005E-4)</f>
        <v>-0.00071861</v>
      </c>
      <c r="BV205" s="207" t="str">
        <f>IFERROR(__xludf.DUMMYFUNCTION("IF(OR(BU205&gt;$BR205+$BS205*$BS$2,BU205&lt;$BR205-$BS205*$BS$2),AVEDEV(ARRAYFORMULA(XLOOKUP(FILTER(INDIRECT(""'""&amp;BU$1&amp;""'!$C$4:$C$66""),INDIRECT(""'""&amp;BU$1&amp;""'!$D$4:$D$66"")=BU$2),$F$3:$BP$3,$F205:$BP205))),"""")"),"")</f>
        <v/>
      </c>
      <c r="BW205" s="207">
        <f>IFERROR(__xludf.DUMMYFUNCTION("AVERAGE(ARRAYFORMULA(XLOOKUP(FILTER(INDIRECT(""'""&amp;BW$1&amp;""'!$C$4:$C$66""),INDIRECT(""'""&amp;BW$1&amp;""'!$D$4:$D$66"")=BW$2),$F$3:$BP$3,$F205:$BP205)))"),0.04699906142857143)</f>
        <v>0.04699906143</v>
      </c>
      <c r="BX205" s="207" t="str">
        <f>IFERROR(__xludf.DUMMYFUNCTION("IF(OR(BW205&gt;$BR205+$BS205*$BS$2,BW205&lt;$BR205-$BS205*$BS$2),AVEDEV(ARRAYFORMULA(XLOOKUP(FILTER(INDIRECT(""'""&amp;BW$1&amp;""'!$C$4:$C$66""),INDIRECT(""'""&amp;BW$1&amp;""'!$D$4:$D$66"")=BW$2),$F$3:$BP$3,$F205:$BP205))),"""")"),"")</f>
        <v/>
      </c>
      <c r="BY205" s="207">
        <f>IFERROR(__xludf.DUMMYFUNCTION("AVERAGE(ARRAYFORMULA(XLOOKUP(FILTER(INDIRECT(""'""&amp;BY$1&amp;""'!$C$4:$C$66""),INDIRECT(""'""&amp;BY$1&amp;""'!$D$4:$D$66"")=BY$2),$F$3:$BP$3,$F205:$BP205)))"),0.19064143454545457)</f>
        <v>0.1906414345</v>
      </c>
      <c r="BZ205" s="207" t="str">
        <f>IFERROR(__xludf.DUMMYFUNCTION("IF(OR(BY205&gt;$BR205+$BS205*$BS$2,BY205&lt;$BR205-$BS205*$BS$2),AVEDEV(ARRAYFORMULA(XLOOKUP(FILTER(INDIRECT(""'""&amp;BY$1&amp;""'!$C$4:$C$66""),INDIRECT(""'""&amp;BY$1&amp;""'!$D$4:$D$66"")=BY$2),$F$3:$BP$3,$F205:$BP205))),"""")"),"")</f>
        <v/>
      </c>
      <c r="CA205" s="209"/>
      <c r="CB205" s="207">
        <f>IFERROR(__xludf.DUMMYFUNCTION("AVERAGE(ARRAYFORMULA(XLOOKUP(FILTER(INDIRECT(""'""&amp;CB$1&amp;""'!$C$4:$C$66""),INDIRECT(""'""&amp;CB$1&amp;""'!$D$4:$D$66"")=CB$2),$F$3:$BP$3,$F205:$BP205)))"),-0.03667332624999997)</f>
        <v>-0.03667332625</v>
      </c>
      <c r="CC205" s="207" t="str">
        <f>IFERROR(__xludf.DUMMYFUNCTION("IF(OR(CB205&gt;$BR205+$BS205*$BS$2,CB205&lt;$BR205-$BS205*$BS$2),AVEDEV(ARRAYFORMULA(XLOOKUP(FILTER(INDIRECT(""'""&amp;CB$1&amp;""'!$C$4:$C$66""),INDIRECT(""'""&amp;CB$1&amp;""'!$D$4:$D$66"")=CB$2),$F$3:$BP$3,$F205:$BP205))),"""")"),"")</f>
        <v/>
      </c>
      <c r="CD205" s="207">
        <f>IFERROR(__xludf.DUMMYFUNCTION("AVERAGE(ARRAYFORMULA(XLOOKUP(FILTER(INDIRECT(""'""&amp;CD$1&amp;""'!$C$4:$C$66""),INDIRECT(""'""&amp;CD$1&amp;""'!$D$4:$D$66"")=CD$2),$F$3:$BP$3,$F205:$BP205)))"),0.02291807225806452)</f>
        <v>0.02291807226</v>
      </c>
      <c r="CE205" s="207" t="str">
        <f>IFERROR(__xludf.DUMMYFUNCTION("IF(OR(CD205&gt;$BR205+$BS205*$BS$2,CD205&lt;$BR205-$BS205*$BS$2),AVEDEV(ARRAYFORMULA(XLOOKUP(FILTER(INDIRECT(""'""&amp;CD$1&amp;""'!$C$4:$C$66""),INDIRECT(""'""&amp;CD$1&amp;""'!$D$4:$D$66"")=CD$2),$F$3:$BP$3,$F205:$BP205))),"""")"),"")</f>
        <v/>
      </c>
      <c r="CF205" s="207">
        <f>IFERROR(__xludf.DUMMYFUNCTION("AVERAGE(ARRAYFORMULA(XLOOKUP(FILTER(INDIRECT(""'""&amp;CF$1&amp;""'!$C$4:$C$66""),INDIRECT(""'""&amp;CF$1&amp;""'!$D$4:$D$66"")=CF$2),$F$3:$BP$3,$F205:$BP205)))"),0.504039052)</f>
        <v>0.504039052</v>
      </c>
      <c r="CG205" s="207" t="str">
        <f>IFERROR(__xludf.DUMMYFUNCTION("IF(OR(CF205&gt;$BR205+$BS205*$BS$2,CF205&lt;$BR205-$BS205*$BS$2),AVEDEV(ARRAYFORMULA(XLOOKUP(FILTER(INDIRECT(""'""&amp;CF$1&amp;""'!$C$4:$C$66""),INDIRECT(""'""&amp;CF$1&amp;""'!$D$4:$D$66"")=CF$2),$F$3:$BP$3,$F205:$BP205))),"""")"),"")</f>
        <v/>
      </c>
      <c r="CH205" s="206"/>
      <c r="CI205" s="251">
        <f>IFERROR(__xludf.DUMMYFUNCTION("AVERAGE(ARRAYFORMULA(XLOOKUP(FILTER(INDIRECT(""'""&amp;CI$1&amp;""'!$C$4:$C$66""),INDIRECT(""'""&amp;CI$1&amp;""'!$D$4:$D$66"")=CI$2),$F$3:$BP$3,$F205:$BP205)))"),0.07182522333333334)</f>
        <v>0.07182522333</v>
      </c>
      <c r="CJ205" s="207" t="str">
        <f>IFERROR(__xludf.DUMMYFUNCTION("IF(OR(CI205&gt;$BR205+$BS205*$BS$2,CI205&lt;$BR205-$BS205*$BS$2),AVEDEV(ARRAYFORMULA(XLOOKUP(FILTER(INDIRECT(""'""&amp;CI$1&amp;""'!$C$4:$C$66""),INDIRECT(""'""&amp;CI$1&amp;""'!$D$4:$D$66"")=CI$2),$F$3:$BP$3,$F205:$BP205))),"""")"),"")</f>
        <v/>
      </c>
      <c r="CK205" s="251">
        <f>IFERROR(__xludf.DUMMYFUNCTION("AVERAGE(ARRAYFORMULA(XLOOKUP(FILTER(INDIRECT(""'""&amp;CK$1&amp;""'!$C$4:$C$66""),INDIRECT(""'""&amp;CK$1&amp;""'!$D$4:$D$66"")=CK$2),$F$3:$BP$3,$F205:$BP205)))"),0.05257946615384617)</f>
        <v>0.05257946615</v>
      </c>
      <c r="CL205" s="207" t="str">
        <f>IFERROR(__xludf.DUMMYFUNCTION("IF(OR(CK205&gt;$BR205+$BS205*$BS$2,CK205&lt;$BR205-$BS205*$BS$2),AVEDEV(ARRAYFORMULA(XLOOKUP(FILTER(INDIRECT(""'""&amp;CK$1&amp;""'!$C$4:$C$66""),INDIRECT(""'""&amp;CK$1&amp;""'!$D$4:$D$66"")=CK$2),$F$3:$BP$3,$F205:$BP205))),"""")"),"")</f>
        <v/>
      </c>
      <c r="CM205" s="251">
        <f>IFERROR(__xludf.DUMMYFUNCTION("AVERAGE(ARRAYFORMULA(XLOOKUP(FILTER(INDIRECT(""'""&amp;CM$1&amp;""'!$C$4:$C$66""),INDIRECT(""'""&amp;CM$1&amp;""'!$D$4:$D$66"")=CM$2),$F$3:$BP$3,$F205:$BP205)))"),0.504039052)</f>
        <v>0.504039052</v>
      </c>
      <c r="CN205" s="207" t="str">
        <f>IFERROR(__xludf.DUMMYFUNCTION("IF(OR(CM205&gt;$BR205+$BS205*$BS$2,CM205&lt;$BR205-$BS205*$BS$2),AVEDEV(ARRAYFORMULA(XLOOKUP(FILTER(INDIRECT(""'""&amp;CM$1&amp;""'!$C$4:$C$66""),INDIRECT(""'""&amp;CM$1&amp;""'!$D$4:$D$66"")=CM$2),$F$3:$BP$3,$F205:$BP205))),"""")"),"")</f>
        <v/>
      </c>
      <c r="CO205" s="252"/>
      <c r="CP205" s="251">
        <f>IFERROR(__xludf.DUMMYFUNCTION("AVERAGE(ARRAYFORMULA(XLOOKUP(FILTER(INDIRECT(""'""&amp;CP$1&amp;""'!$C$4:$C$66""),INDIRECT(""'""&amp;CP$1&amp;""'!$D$4:$D$66"")=CP$2),$F$3:$BP$3,$F205:$BP205)))"),-0.0497326307142857)</f>
        <v>-0.04973263071</v>
      </c>
      <c r="CQ205" s="207" t="str">
        <f>IFERROR(__xludf.DUMMYFUNCTION("IF(OR(CP205&gt;$BR205+$BS205*$BS$2,CP205&lt;$BR205-$BS205*$BS$2),AVEDEV(ARRAYFORMULA(XLOOKUP(FILTER(INDIRECT(""'""&amp;CP$1&amp;""'!$C$4:$C$66""),INDIRECT(""'""&amp;CP$1&amp;""'!$D$4:$D$66"")=CP$2),$F$3:$BP$3,$F205:$BP205))),"""")"),"")</f>
        <v/>
      </c>
      <c r="CR205" s="251">
        <f>IFERROR(__xludf.DUMMYFUNCTION("AVERAGE(ARRAYFORMULA(XLOOKUP(FILTER(INDIRECT(""'""&amp;CR$1&amp;""'!$C$4:$C$66""),INDIRECT(""'""&amp;CR$1&amp;""'!$D$4:$D$66"")=CR$2),$F$3:$BP$3,$F205:$BP205)))"),0.31513537555555554)</f>
        <v>0.3151353756</v>
      </c>
      <c r="CS205" s="207" t="str">
        <f>IFERROR(__xludf.DUMMYFUNCTION("IF(OR(CR205&gt;$BR205+$BS205*$BS$2,CR205&lt;$BR205-$BS205*$BS$2),AVEDEV(ARRAYFORMULA(XLOOKUP(FILTER(INDIRECT(""'""&amp;CR$1&amp;""'!$C$4:$C$66""),INDIRECT(""'""&amp;CR$1&amp;""'!$D$4:$D$66"")=CR$2),$F$3:$BP$3,$F205:$BP205))),"""")"),"")</f>
        <v/>
      </c>
      <c r="CT205" s="251">
        <f>IFERROR(__xludf.DUMMYFUNCTION("AVERAGE(ARRAYFORMULA(XLOOKUP(FILTER(INDIRECT(""'""&amp;CT$1&amp;""'!$C$4:$C$66""),INDIRECT(""'""&amp;CT$1&amp;""'!$D$4:$D$66"")=CT$2),$F$3:$BP$3,$F205:$BP205)))"),0.08115778818181817)</f>
        <v>0.08115778818</v>
      </c>
      <c r="CU205" s="207" t="str">
        <f>IFERROR(__xludf.DUMMYFUNCTION("IF(OR(CT205&gt;$BR205+$BS205*$BS$2,CT205&lt;$BR205-$BS205*$BS$2),AVEDEV(ARRAYFORMULA(XLOOKUP(FILTER(INDIRECT(""'""&amp;CT$1&amp;""'!$C$4:$C$66""),INDIRECT(""'""&amp;CT$1&amp;""'!$D$4:$D$66"")=CT$2),$F$3:$BP$3,$F205:$BP205))),"""")"),"")</f>
        <v/>
      </c>
      <c r="CV205" s="251">
        <f>IFERROR(__xludf.DUMMYFUNCTION("AVERAGE(ARRAYFORMULA(XLOOKUP(FILTER(INDIRECT(""'""&amp;CV$1&amp;""'!$C$4:$C$66""),INDIRECT(""'""&amp;CV$1&amp;""'!$D$4:$D$66"")=CV$2),$F$3:$BP$3,$F205:$BP205)))"),0.827341325)</f>
        <v>0.827341325</v>
      </c>
      <c r="CW205" s="207">
        <f>IFERROR(__xludf.DUMMYFUNCTION("IF(OR(CV205&gt;$BR205+$BS205*$BS$2,CV205&lt;$BR205-$BS205*$BS$2),AVEDEV(ARRAYFORMULA(XLOOKUP(FILTER(INDIRECT(""'""&amp;CV$1&amp;""'!$C$4:$C$66""),INDIRECT(""'""&amp;CV$1&amp;""'!$D$4:$D$66"")=CV$2),$F$3:$BP$3,$F205:$BP205))),"""")"),0.08699511500000001)</f>
        <v>0.086995115</v>
      </c>
      <c r="CX205" s="251">
        <f>IFERROR(__xludf.DUMMYFUNCTION("AVERAGE(ARRAYFORMULA(XLOOKUP(FILTER(INDIRECT(""'""&amp;CX$1&amp;""'!$C$4:$C$66""),INDIRECT(""'""&amp;CX$1&amp;""'!$D$4:$D$66"")=CX$2),$F$3:$BP$3,$F205:$BP205)))"),-0.02210809357142855)</f>
        <v>-0.02210809357</v>
      </c>
      <c r="CY205" s="207" t="str">
        <f>IFERROR(__xludf.DUMMYFUNCTION("IF(OR(CX205&gt;$BR205+$BS205*$BS$2,CX205&lt;$BR205-$BS205*$BS$2),AVEDEV(ARRAYFORMULA(XLOOKUP(FILTER(INDIRECT(""'""&amp;CX$1&amp;""'!$C$4:$C$66""),INDIRECT(""'""&amp;CX$1&amp;""'!$D$4:$D$66"")=CX$2),$F$3:$BP$3,$F205:$BP205))),"""")"),"")</f>
        <v/>
      </c>
      <c r="CZ205" s="252"/>
      <c r="DA205" s="251">
        <f>IFERROR(__xludf.DUMMYFUNCTION("AVERAGE(ARRAYFORMULA(XLOOKUP(FILTER(INDIRECT(""'""&amp;DA$1&amp;""'!$C$4:$C$66""),INDIRECT(""'""&amp;DA$1&amp;""'!$D$4:$D$66"")=DA$2),$F$3:$BP$3,$F205:$BP205)))"),-0.11185086466666666)</f>
        <v>-0.1118508647</v>
      </c>
      <c r="DB205" s="207" t="str">
        <f>IFERROR(__xludf.DUMMYFUNCTION("IF(OR(DA205&gt;$BR205+$BS205*$BS$2,DA205&lt;$BR205-$BS205*$BS$2),AVEDEV(ARRAYFORMULA(XLOOKUP(FILTER(INDIRECT(""'""&amp;DA$1&amp;""'!$C$4:$C$66""),INDIRECT(""'""&amp;DA$1&amp;""'!$D$4:$D$66"")=DA$2),$F$3:$BP$3,$F205:$BP205))),"""")"),"")</f>
        <v/>
      </c>
      <c r="DC205" s="251">
        <f>IFERROR(__xludf.DUMMYFUNCTION("AVERAGE(ARRAYFORMULA(XLOOKUP(FILTER(INDIRECT(""'""&amp;DC$1&amp;""'!$C$4:$C$66""),INDIRECT(""'""&amp;DC$1&amp;""'!$D$4:$D$66"")=DC$2),$F$3:$BP$3,$F205:$BP205)))"),0.2966250711111111)</f>
        <v>0.2966250711</v>
      </c>
      <c r="DD205" s="207" t="str">
        <f>IFERROR(__xludf.DUMMYFUNCTION("IF(OR(DC205&gt;$BR205+$BS205*$BS$2,DC205&lt;$BR205-$BS205*$BS$2),AVEDEV(ARRAYFORMULA(XLOOKUP(FILTER(INDIRECT(""'""&amp;DC$1&amp;""'!$C$4:$C$66""),INDIRECT(""'""&amp;DC$1&amp;""'!$D$4:$D$66"")=DC$2),$F$3:$BP$3,$F205:$BP205))),"""")"),"")</f>
        <v/>
      </c>
      <c r="DE205" s="251">
        <f>IFERROR(__xludf.DUMMYFUNCTION("AVERAGE(ARRAYFORMULA(XLOOKUP(FILTER(INDIRECT(""'""&amp;DE$1&amp;""'!$C$4:$C$66""),INDIRECT(""'""&amp;DE$1&amp;""'!$D$4:$D$66"")=DE$2),$F$3:$BP$3,$F205:$BP205)))"),-0.09886816875)</f>
        <v>-0.09886816875</v>
      </c>
      <c r="DF205" s="207" t="str">
        <f>IFERROR(__xludf.DUMMYFUNCTION("IF(OR(DE205&gt;$BR205+$BS205*$BS$2,DE205&lt;$BR205-$BS205*$BS$2),AVEDEV(ARRAYFORMULA(XLOOKUP(FILTER(INDIRECT(""'""&amp;DE$1&amp;""'!$C$4:$C$66""),INDIRECT(""'""&amp;DE$1&amp;""'!$D$4:$D$66"")=DE$2),$F$3:$BP$3,$F205:$BP205))),"""")"),"")</f>
        <v/>
      </c>
      <c r="DG205" s="251">
        <f>IFERROR(__xludf.DUMMYFUNCTION("AVERAGE(ARRAYFORMULA(XLOOKUP(FILTER(INDIRECT(""'""&amp;DG$1&amp;""'!$C$4:$C$66""),INDIRECT(""'""&amp;DG$1&amp;""'!$D$4:$D$66"")=DG$2),$F$3:$BP$3,$F205:$BP205)))"),0.49882460777777776)</f>
        <v>0.4988246078</v>
      </c>
      <c r="DH205" s="207" t="str">
        <f>IFERROR(__xludf.DUMMYFUNCTION("IF(OR(DG205&gt;$BR205+$BS205*$BS$2,DG205&lt;$BR205-$BS205*$BS$2),AVEDEV(ARRAYFORMULA(XLOOKUP(FILTER(INDIRECT(""'""&amp;DG$1&amp;""'!$C$4:$C$66""),INDIRECT(""'""&amp;DG$1&amp;""'!$D$4:$D$66"")=DG$2),$F$3:$BP$3,$F205:$BP205))),"""")"),"")</f>
        <v/>
      </c>
      <c r="DI205" s="252"/>
    </row>
    <row r="206">
      <c r="A206" s="2"/>
      <c r="B206" s="204" t="s">
        <v>646</v>
      </c>
      <c r="C206" s="204" t="s">
        <v>652</v>
      </c>
      <c r="D206" s="205" t="b">
        <f>VLOOKUP(C206,'Feature Set List'!A203:C246,2,0)</f>
        <v>1</v>
      </c>
      <c r="E206" s="205" t="b">
        <f>VLOOKUP(C206,'Feature Set List'!A203:C246,3,0)</f>
        <v>0</v>
      </c>
      <c r="F206" s="205">
        <v>0.56490728</v>
      </c>
      <c r="G206" s="205">
        <v>-0.2667618</v>
      </c>
      <c r="H206" s="205">
        <v>-0.9141227</v>
      </c>
      <c r="I206" s="205">
        <v>0.51640514</v>
      </c>
      <c r="J206" s="205">
        <v>0.37375178</v>
      </c>
      <c r="K206" s="205">
        <v>0.12696148</v>
      </c>
      <c r="L206" s="205">
        <v>0.25677603</v>
      </c>
      <c r="M206" s="205">
        <v>0.59629101</v>
      </c>
      <c r="N206" s="205">
        <v>1.94721826</v>
      </c>
      <c r="O206" s="205">
        <v>-1.3584879</v>
      </c>
      <c r="P206" s="205">
        <v>0.0</v>
      </c>
      <c r="Q206" s="205">
        <v>0.25820257</v>
      </c>
      <c r="R206" s="205">
        <v>0.94864479</v>
      </c>
      <c r="S206" s="205">
        <v>-0.0042796</v>
      </c>
      <c r="T206" s="205">
        <v>1.83880171</v>
      </c>
      <c r="U206" s="205">
        <v>-0.8990014</v>
      </c>
      <c r="V206" s="205">
        <v>-0.1783167</v>
      </c>
      <c r="W206" s="205">
        <v>-0.8901569</v>
      </c>
      <c r="X206" s="205">
        <v>0.52211127</v>
      </c>
      <c r="Y206" s="205">
        <v>0.30099857</v>
      </c>
      <c r="Z206" s="205">
        <v>0.08273894</v>
      </c>
      <c r="AA206" s="205">
        <v>-0.5805991</v>
      </c>
      <c r="AB206" s="205">
        <v>-0.146933</v>
      </c>
      <c r="AC206" s="205">
        <v>-0.9579173</v>
      </c>
      <c r="AD206" s="205">
        <v>-0.3509272</v>
      </c>
      <c r="AE206" s="205">
        <v>-0.2396576</v>
      </c>
      <c r="AF206" s="205">
        <v>0.69186876</v>
      </c>
      <c r="AG206" s="205">
        <v>0.7232525</v>
      </c>
      <c r="AH206" s="205">
        <v>-0.9493581</v>
      </c>
      <c r="AI206" s="205">
        <v>-0.3338088</v>
      </c>
      <c r="AJ206" s="205">
        <v>-0.8340942</v>
      </c>
      <c r="AK206" s="205">
        <v>-0.657632</v>
      </c>
      <c r="AL206" s="205">
        <v>1.52639087</v>
      </c>
      <c r="AM206" s="205">
        <v>-0.0071327</v>
      </c>
      <c r="AN206" s="205">
        <v>0.63480742</v>
      </c>
      <c r="AO206" s="205">
        <v>0.75891583</v>
      </c>
      <c r="AP206" s="205">
        <v>-0.0128388</v>
      </c>
      <c r="AQ206" s="205">
        <v>1.47075606</v>
      </c>
      <c r="AR206" s="205">
        <v>0.59201141</v>
      </c>
      <c r="AS206" s="205">
        <v>1.32667618</v>
      </c>
      <c r="AT206" s="205">
        <v>-2.1169757</v>
      </c>
      <c r="AU206" s="205">
        <v>-0.7684736</v>
      </c>
      <c r="AV206" s="205">
        <v>-0.7713267</v>
      </c>
      <c r="AW206" s="205">
        <v>0.04992867</v>
      </c>
      <c r="AX206" s="205">
        <v>-0.4236805</v>
      </c>
      <c r="AY206" s="205">
        <v>0.08131241</v>
      </c>
      <c r="AZ206" s="205">
        <v>0.17689016</v>
      </c>
      <c r="BA206" s="205">
        <v>1.65620542</v>
      </c>
      <c r="BB206" s="205">
        <v>1.56062767</v>
      </c>
      <c r="BC206" s="205">
        <v>-0.4094151</v>
      </c>
      <c r="BD206" s="205">
        <v>-0.2838802</v>
      </c>
      <c r="BE206" s="205">
        <v>-0.4664765</v>
      </c>
      <c r="BF206" s="205">
        <v>-0.4194009</v>
      </c>
      <c r="BG206" s="205">
        <v>-0.9261056</v>
      </c>
      <c r="BH206" s="205">
        <v>0.96148359</v>
      </c>
      <c r="BI206" s="205">
        <v>1.29671897</v>
      </c>
      <c r="BJ206" s="205">
        <v>0.54065621</v>
      </c>
      <c r="BK206" s="205">
        <v>0.0342368</v>
      </c>
      <c r="BL206" s="205">
        <v>-0.2082739</v>
      </c>
      <c r="BM206" s="205">
        <v>-0.1340942</v>
      </c>
      <c r="BN206" s="205">
        <v>0.12410842</v>
      </c>
      <c r="BO206" s="205">
        <v>-0.8</v>
      </c>
      <c r="BP206" s="205">
        <v>-0.2667618</v>
      </c>
      <c r="BQ206" s="206"/>
      <c r="BR206" s="250">
        <f t="shared" si="1"/>
        <v>0.07878993143</v>
      </c>
      <c r="BS206" s="250">
        <f t="shared" si="2"/>
        <v>0.6403677047</v>
      </c>
      <c r="BT206" s="206"/>
      <c r="BU206" s="207">
        <f>IFERROR(__xludf.DUMMYFUNCTION("AVERAGE(ARRAYFORMULA(XLOOKUP(FILTER(INDIRECT(""'""&amp;BU$1&amp;""'!$C$4:$C$66""),INDIRECT(""'""&amp;BU$1&amp;""'!$D$4:$D$66"")=BU$2),$F$3:$BP$3,$F206:$BP206)))"),0.36661910714285717)</f>
        <v>0.3666191071</v>
      </c>
      <c r="BV206" s="207" t="str">
        <f>IFERROR(__xludf.DUMMYFUNCTION("IF(OR(BU206&gt;$BR206+$BS206*$BS$2,BU206&lt;$BR206-$BS206*$BS$2),AVEDEV(ARRAYFORMULA(XLOOKUP(FILTER(INDIRECT(""'""&amp;BU$1&amp;""'!$C$4:$C$66""),INDIRECT(""'""&amp;BU$1&amp;""'!$D$4:$D$66"")=BU$2),$F$3:$BP$3,$F206:$BP206))),"""")"),"")</f>
        <v/>
      </c>
      <c r="BW206" s="207">
        <f>IFERROR(__xludf.DUMMYFUNCTION("AVERAGE(ARRAYFORMULA(XLOOKUP(FILTER(INDIRECT(""'""&amp;BW$1&amp;""'!$C$4:$C$66""),INDIRECT(""'""&amp;BW$1&amp;""'!$D$4:$D$66"")=BW$2),$F$3:$BP$3,$F206:$BP206)))"),0.14519053571428572)</f>
        <v>0.1451905357</v>
      </c>
      <c r="BX206" s="207" t="str">
        <f>IFERROR(__xludf.DUMMYFUNCTION("IF(OR(BW206&gt;$BR206+$BS206*$BS$2,BW206&lt;$BR206-$BS206*$BS$2),AVEDEV(ARRAYFORMULA(XLOOKUP(FILTER(INDIRECT(""'""&amp;BW$1&amp;""'!$C$4:$C$66""),INDIRECT(""'""&amp;BW$1&amp;""'!$D$4:$D$66"")=BW$2),$F$3:$BP$3,$F206:$BP206))),"""")"),"")</f>
        <v/>
      </c>
      <c r="BY206" s="207">
        <f>IFERROR(__xludf.DUMMYFUNCTION("AVERAGE(ARRAYFORMULA(XLOOKUP(FILTER(INDIRECT(""'""&amp;BY$1&amp;""'!$C$4:$C$66""),INDIRECT(""'""&amp;BY$1&amp;""'!$D$4:$D$66"")=BY$2),$F$3:$BP$3,$F206:$BP206)))"),-0.023641551818181818)</f>
        <v>-0.02364155182</v>
      </c>
      <c r="BZ206" s="207" t="str">
        <f>IFERROR(__xludf.DUMMYFUNCTION("IF(OR(BY206&gt;$BR206+$BS206*$BS$2,BY206&lt;$BR206-$BS206*$BS$2),AVEDEV(ARRAYFORMULA(XLOOKUP(FILTER(INDIRECT(""'""&amp;BY$1&amp;""'!$C$4:$C$66""),INDIRECT(""'""&amp;BY$1&amp;""'!$D$4:$D$66"")=BY$2),$F$3:$BP$3,$F206:$BP206))),"""")"),"")</f>
        <v/>
      </c>
      <c r="CA206" s="209"/>
      <c r="CB206" s="207">
        <f>IFERROR(__xludf.DUMMYFUNCTION("AVERAGE(ARRAYFORMULA(XLOOKUP(FILTER(INDIRECT(""'""&amp;CB$1&amp;""'!$C$4:$C$66""),INDIRECT(""'""&amp;CB$1&amp;""'!$D$4:$D$66"")=CB$2),$F$3:$BP$3,$F206:$BP206)))"),0.200508195625)</f>
        <v>0.2005081956</v>
      </c>
      <c r="CC206" s="207" t="str">
        <f>IFERROR(__xludf.DUMMYFUNCTION("IF(OR(CB206&gt;$BR206+$BS206*$BS$2,CB206&lt;$BR206-$BS206*$BS$2),AVEDEV(ARRAYFORMULA(XLOOKUP(FILTER(INDIRECT(""'""&amp;CB$1&amp;""'!$C$4:$C$66""),INDIRECT(""'""&amp;CB$1&amp;""'!$D$4:$D$66"")=CB$2),$F$3:$BP$3,$F206:$BP206))),"""")"),"")</f>
        <v/>
      </c>
      <c r="CD206" s="207">
        <f>IFERROR(__xludf.DUMMYFUNCTION("AVERAGE(ARRAYFORMULA(XLOOKUP(FILTER(INDIRECT(""'""&amp;CD$1&amp;""'!$C$4:$C$66""),INDIRECT(""'""&amp;CD$1&amp;""'!$D$4:$D$66"")=CD$2),$F$3:$BP$3,$F206:$BP206)))"),0.14287422677419354)</f>
        <v>0.1428742268</v>
      </c>
      <c r="CE206" s="207" t="str">
        <f>IFERROR(__xludf.DUMMYFUNCTION("IF(OR(CD206&gt;$BR206+$BS206*$BS$2,CD206&lt;$BR206-$BS206*$BS$2),AVEDEV(ARRAYFORMULA(XLOOKUP(FILTER(INDIRECT(""'""&amp;CD$1&amp;""'!$C$4:$C$66""),INDIRECT(""'""&amp;CD$1&amp;""'!$D$4:$D$66"")=CD$2),$F$3:$BP$3,$F206:$BP206))),"""")"),"")</f>
        <v/>
      </c>
      <c r="CF206" s="207">
        <f>IFERROR(__xludf.DUMMYFUNCTION("AVERAGE(ARRAYFORMULA(XLOOKUP(FILTER(INDIRECT(""'""&amp;CF$1&amp;""'!$C$4:$C$66""),INDIRECT(""'""&amp;CF$1&amp;""'!$D$4:$D$66"")=CF$2),$F$3:$BP$3,$F206:$BP206)))"),-0.20265336600000006)</f>
        <v>-0.202653366</v>
      </c>
      <c r="CG206" s="207" t="str">
        <f>IFERROR(__xludf.DUMMYFUNCTION("IF(OR(CF206&gt;$BR206+$BS206*$BS$2,CF206&lt;$BR206-$BS206*$BS$2),AVEDEV(ARRAYFORMULA(XLOOKUP(FILTER(INDIRECT(""'""&amp;CF$1&amp;""'!$C$4:$C$66""),INDIRECT(""'""&amp;CF$1&amp;""'!$D$4:$D$66"")=CF$2),$F$3:$BP$3,$F206:$BP206))),"""")"),"")</f>
        <v/>
      </c>
      <c r="CH206" s="206"/>
      <c r="CI206" s="251">
        <f>IFERROR(__xludf.DUMMYFUNCTION("AVERAGE(ARRAYFORMULA(XLOOKUP(FILTER(INDIRECT(""'""&amp;CI$1&amp;""'!$C$4:$C$66""),INDIRECT(""'""&amp;CI$1&amp;""'!$D$4:$D$66"")=CI$2),$F$3:$BP$3,$F206:$BP206)))"),0.3316214953333333)</f>
        <v>0.3316214953</v>
      </c>
      <c r="CJ206" s="207" t="str">
        <f>IFERROR(__xludf.DUMMYFUNCTION("IF(OR(CI206&gt;$BR206+$BS206*$BS$2,CI206&lt;$BR206-$BS206*$BS$2),AVEDEV(ARRAYFORMULA(XLOOKUP(FILTER(INDIRECT(""'""&amp;CI$1&amp;""'!$C$4:$C$66""),INDIRECT(""'""&amp;CI$1&amp;""'!$D$4:$D$66"")=CI$2),$F$3:$BP$3,$F206:$BP206))),"""")"),"")</f>
        <v/>
      </c>
      <c r="CK206" s="251">
        <f>IFERROR(__xludf.DUMMYFUNCTION("AVERAGE(ARRAYFORMULA(XLOOKUP(FILTER(INDIRECT(""'""&amp;CK$1&amp;""'!$C$4:$C$66""),INDIRECT(""'""&amp;CK$1&amp;""'!$D$4:$D$66"")=CK$2),$F$3:$BP$3,$F206:$BP206)))"),0.11305094307692307)</f>
        <v>0.1130509431</v>
      </c>
      <c r="CL206" s="207" t="str">
        <f>IFERROR(__xludf.DUMMYFUNCTION("IF(OR(CK206&gt;$BR206+$BS206*$BS$2,CK206&lt;$BR206-$BS206*$BS$2),AVEDEV(ARRAYFORMULA(XLOOKUP(FILTER(INDIRECT(""'""&amp;CK$1&amp;""'!$C$4:$C$66""),INDIRECT(""'""&amp;CK$1&amp;""'!$D$4:$D$66"")=CK$2),$F$3:$BP$3,$F206:$BP206))),"""")"),"")</f>
        <v/>
      </c>
      <c r="CM206" s="251">
        <f>IFERROR(__xludf.DUMMYFUNCTION("AVERAGE(ARRAYFORMULA(XLOOKUP(FILTER(INDIRECT(""'""&amp;CM$1&amp;""'!$C$4:$C$66""),INDIRECT(""'""&amp;CM$1&amp;""'!$D$4:$D$66"")=CM$2),$F$3:$BP$3,$F206:$BP206)))"),-0.20265336600000006)</f>
        <v>-0.202653366</v>
      </c>
      <c r="CN206" s="207" t="str">
        <f>IFERROR(__xludf.DUMMYFUNCTION("IF(OR(CM206&gt;$BR206+$BS206*$BS$2,CM206&lt;$BR206-$BS206*$BS$2),AVEDEV(ARRAYFORMULA(XLOOKUP(FILTER(INDIRECT(""'""&amp;CM$1&amp;""'!$C$4:$C$66""),INDIRECT(""'""&amp;CM$1&amp;""'!$D$4:$D$66"")=CM$2),$F$3:$BP$3,$F206:$BP206))),"""")"),"")</f>
        <v/>
      </c>
      <c r="CO206" s="252"/>
      <c r="CP206" s="251">
        <f>IFERROR(__xludf.DUMMYFUNCTION("AVERAGE(ARRAYFORMULA(XLOOKUP(FILTER(INDIRECT(""'""&amp;CP$1&amp;""'!$C$4:$C$66""),INDIRECT(""'""&amp;CP$1&amp;""'!$D$4:$D$66"")=CP$2),$F$3:$BP$3,$F206:$BP206)))"),-0.15030569642857142)</f>
        <v>-0.1503056964</v>
      </c>
      <c r="CQ206" s="207" t="str">
        <f>IFERROR(__xludf.DUMMYFUNCTION("IF(OR(CP206&gt;$BR206+$BS206*$BS$2,CP206&lt;$BR206-$BS206*$BS$2),AVEDEV(ARRAYFORMULA(XLOOKUP(FILTER(INDIRECT(""'""&amp;CP$1&amp;""'!$C$4:$C$66""),INDIRECT(""'""&amp;CP$1&amp;""'!$D$4:$D$66"")=CP$2),$F$3:$BP$3,$F206:$BP206))),"""")"),"")</f>
        <v/>
      </c>
      <c r="CR206" s="251">
        <f>IFERROR(__xludf.DUMMYFUNCTION("AVERAGE(ARRAYFORMULA(XLOOKUP(FILTER(INDIRECT(""'""&amp;CR$1&amp;""'!$C$4:$C$66""),INDIRECT(""'""&amp;CR$1&amp;""'!$D$4:$D$66"")=CR$2),$F$3:$BP$3,$F206:$BP206)))"),-0.014788397777777802)</f>
        <v>-0.01478839778</v>
      </c>
      <c r="CS206" s="207" t="str">
        <f>IFERROR(__xludf.DUMMYFUNCTION("IF(OR(CR206&gt;$BR206+$BS206*$BS$2,CR206&lt;$BR206-$BS206*$BS$2),AVEDEV(ARRAYFORMULA(XLOOKUP(FILTER(INDIRECT(""'""&amp;CR$1&amp;""'!$C$4:$C$66""),INDIRECT(""'""&amp;CR$1&amp;""'!$D$4:$D$66"")=CR$2),$F$3:$BP$3,$F206:$BP206))),"""")"),"")</f>
        <v/>
      </c>
      <c r="CT206" s="251">
        <f>IFERROR(__xludf.DUMMYFUNCTION("AVERAGE(ARRAYFORMULA(XLOOKUP(FILTER(INDIRECT(""'""&amp;CT$1&amp;""'!$C$4:$C$66""),INDIRECT(""'""&amp;CT$1&amp;""'!$D$4:$D$66"")=CT$2),$F$3:$BP$3,$F206:$BP206)))"),0.2634288645454545)</f>
        <v>0.2634288645</v>
      </c>
      <c r="CU206" s="207" t="str">
        <f>IFERROR(__xludf.DUMMYFUNCTION("IF(OR(CT206&gt;$BR206+$BS206*$BS$2,CT206&lt;$BR206-$BS206*$BS$2),AVEDEV(ARRAYFORMULA(XLOOKUP(FILTER(INDIRECT(""'""&amp;CT$1&amp;""'!$C$4:$C$66""),INDIRECT(""'""&amp;CT$1&amp;""'!$D$4:$D$66"")=CT$2),$F$3:$BP$3,$F206:$BP206))),"""")"),"")</f>
        <v/>
      </c>
      <c r="CV206" s="251">
        <f>IFERROR(__xludf.DUMMYFUNCTION("AVERAGE(ARRAYFORMULA(XLOOKUP(FILTER(INDIRECT(""'""&amp;CV$1&amp;""'!$C$4:$C$66""),INDIRECT(""'""&amp;CV$1&amp;""'!$D$4:$D$66"")=CV$2),$F$3:$BP$3,$F206:$BP206)))"),-0.94201145)</f>
        <v>-0.94201145</v>
      </c>
      <c r="CW206" s="207">
        <f>IFERROR(__xludf.DUMMYFUNCTION("IF(OR(CV206&gt;$BR206+$BS206*$BS$2,CV206&lt;$BR206-$BS206*$BS$2),AVEDEV(ARRAYFORMULA(XLOOKUP(FILTER(INDIRECT(""'""&amp;CV$1&amp;""'!$C$4:$C$66""),INDIRECT(""'""&amp;CV$1&amp;""'!$D$4:$D$66"")=CV$2),$F$3:$BP$3,$F206:$BP206))),"""")"),0.01590585)</f>
        <v>0.01590585</v>
      </c>
      <c r="CX206" s="251">
        <f>IFERROR(__xludf.DUMMYFUNCTION("AVERAGE(ARRAYFORMULA(XLOOKUP(FILTER(INDIRECT(""'""&amp;CX$1&amp;""'!$C$4:$C$66""),INDIRECT(""'""&amp;CX$1&amp;""'!$D$4:$D$66"")=CX$2),$F$3:$BP$3,$F206:$BP206)))"),0.4502954900000001)</f>
        <v>0.45029549</v>
      </c>
      <c r="CY206" s="207" t="str">
        <f>IFERROR(__xludf.DUMMYFUNCTION("IF(OR(CX206&gt;$BR206+$BS206*$BS$2,CX206&lt;$BR206-$BS206*$BS$2),AVEDEV(ARRAYFORMULA(XLOOKUP(FILTER(INDIRECT(""'""&amp;CX$1&amp;""'!$C$4:$C$66""),INDIRECT(""'""&amp;CX$1&amp;""'!$D$4:$D$66"")=CX$2),$F$3:$BP$3,$F206:$BP206))),"""")"),"")</f>
        <v/>
      </c>
      <c r="CZ206" s="252"/>
      <c r="DA206" s="251">
        <f>IFERROR(__xludf.DUMMYFUNCTION("AVERAGE(ARRAYFORMULA(XLOOKUP(FILTER(INDIRECT(""'""&amp;DA$1&amp;""'!$C$4:$C$66""),INDIRECT(""'""&amp;DA$1&amp;""'!$D$4:$D$66"")=DA$2),$F$3:$BP$3,$F206:$BP206)))"),0.14706608666666668)</f>
        <v>0.1470660867</v>
      </c>
      <c r="DB206" s="207" t="str">
        <f>IFERROR(__xludf.DUMMYFUNCTION("IF(OR(DA206&gt;$BR206+$BS206*$BS$2,DA206&lt;$BR206-$BS206*$BS$2),AVEDEV(ARRAYFORMULA(XLOOKUP(FILTER(INDIRECT(""'""&amp;DA$1&amp;""'!$C$4:$C$66""),INDIRECT(""'""&amp;DA$1&amp;""'!$D$4:$D$66"")=DA$2),$F$3:$BP$3,$F206:$BP206))),"""")"),"")</f>
        <v/>
      </c>
      <c r="DC206" s="251">
        <f>IFERROR(__xludf.DUMMYFUNCTION("AVERAGE(ARRAYFORMULA(XLOOKUP(FILTER(INDIRECT(""'""&amp;DC$1&amp;""'!$C$4:$C$66""),INDIRECT(""'""&amp;DC$1&amp;""'!$D$4:$D$66"")=DC$2),$F$3:$BP$3,$F206:$BP206)))"),-0.15469963888888894)</f>
        <v>-0.1546996389</v>
      </c>
      <c r="DD206" s="207" t="str">
        <f>IFERROR(__xludf.DUMMYFUNCTION("IF(OR(DC206&gt;$BR206+$BS206*$BS$2,DC206&lt;$BR206-$BS206*$BS$2),AVEDEV(ARRAYFORMULA(XLOOKUP(FILTER(INDIRECT(""'""&amp;DC$1&amp;""'!$C$4:$C$66""),INDIRECT(""'""&amp;DC$1&amp;""'!$D$4:$D$66"")=DC$2),$F$3:$BP$3,$F206:$BP206))),"""")"),"")</f>
        <v/>
      </c>
      <c r="DE206" s="251">
        <f>IFERROR(__xludf.DUMMYFUNCTION("AVERAGE(ARRAYFORMULA(XLOOKUP(FILTER(INDIRECT(""'""&amp;DE$1&amp;""'!$C$4:$C$66""),INDIRECT(""'""&amp;DE$1&amp;""'!$D$4:$D$66"")=DE$2),$F$3:$BP$3,$F206:$BP206)))"),0.5499286725)</f>
        <v>0.5499286725</v>
      </c>
      <c r="DF206" s="207" t="str">
        <f>IFERROR(__xludf.DUMMYFUNCTION("IF(OR(DE206&gt;$BR206+$BS206*$BS$2,DE206&lt;$BR206-$BS206*$BS$2),AVEDEV(ARRAYFORMULA(XLOOKUP(FILTER(INDIRECT(""'""&amp;DE$1&amp;""'!$C$4:$C$66""),INDIRECT(""'""&amp;DE$1&amp;""'!$D$4:$D$66"")=DE$2),$F$3:$BP$3,$F206:$BP206))),"""")"),"")</f>
        <v/>
      </c>
      <c r="DG206" s="251">
        <f>IFERROR(__xludf.DUMMYFUNCTION("AVERAGE(ARRAYFORMULA(XLOOKUP(FILTER(INDIRECT(""'""&amp;DG$1&amp;""'!$C$4:$C$66""),INDIRECT(""'""&amp;DG$1&amp;""'!$D$4:$D$66"")=DG$2),$F$3:$BP$3,$F206:$BP206)))"),-0.029386603333333355)</f>
        <v>-0.02938660333</v>
      </c>
      <c r="DH206" s="207" t="str">
        <f>IFERROR(__xludf.DUMMYFUNCTION("IF(OR(DG206&gt;$BR206+$BS206*$BS$2,DG206&lt;$BR206-$BS206*$BS$2),AVEDEV(ARRAYFORMULA(XLOOKUP(FILTER(INDIRECT(""'""&amp;DG$1&amp;""'!$C$4:$C$66""),INDIRECT(""'""&amp;DG$1&amp;""'!$D$4:$D$66"")=DG$2),$F$3:$BP$3,$F206:$BP206))),"""")"),"")</f>
        <v/>
      </c>
      <c r="DI206" s="252"/>
    </row>
    <row r="207">
      <c r="A207" s="2"/>
      <c r="B207" s="204" t="s">
        <v>646</v>
      </c>
      <c r="C207" s="204" t="s">
        <v>653</v>
      </c>
      <c r="D207" s="205" t="b">
        <f>VLOOKUP(C207,'Feature Set List'!A204:C246,2,0)</f>
        <v>1</v>
      </c>
      <c r="E207" s="205" t="b">
        <f>VLOOKUP(C207,'Feature Set List'!A204:C246,3,0)</f>
        <v>1</v>
      </c>
      <c r="F207" s="205">
        <v>0.78151261</v>
      </c>
      <c r="G207" s="205">
        <v>1.03361345</v>
      </c>
      <c r="H207" s="205">
        <v>1.46554622</v>
      </c>
      <c r="I207" s="205">
        <v>-0.6310924</v>
      </c>
      <c r="J207" s="205">
        <v>1.07394958</v>
      </c>
      <c r="K207" s="205">
        <v>-0.0495798</v>
      </c>
      <c r="L207" s="205">
        <v>-1.0806723</v>
      </c>
      <c r="M207" s="205">
        <v>0.48151261</v>
      </c>
      <c r="N207" s="205">
        <v>0.13865546</v>
      </c>
      <c r="O207" s="205">
        <v>2.15462185</v>
      </c>
      <c r="P207" s="205">
        <v>-1.1815126</v>
      </c>
      <c r="Q207" s="205">
        <v>0.26134454</v>
      </c>
      <c r="R207" s="205">
        <v>0.20588235</v>
      </c>
      <c r="S207" s="205">
        <v>0.46554622</v>
      </c>
      <c r="T207" s="205">
        <v>2.71764706</v>
      </c>
      <c r="U207" s="205">
        <v>-0.1546218</v>
      </c>
      <c r="V207" s="205">
        <v>-0.410084</v>
      </c>
      <c r="W207" s="205">
        <v>-0.9764706</v>
      </c>
      <c r="X207" s="205">
        <v>0.12436975</v>
      </c>
      <c r="Y207" s="205">
        <v>-0.9201681</v>
      </c>
      <c r="Z207" s="205">
        <v>-1.1252101</v>
      </c>
      <c r="AA207" s="205">
        <v>0.06302521</v>
      </c>
      <c r="AB207" s="205">
        <v>-0.202521</v>
      </c>
      <c r="AC207" s="205">
        <v>-0.9243697</v>
      </c>
      <c r="AD207" s="205">
        <v>0.32773109</v>
      </c>
      <c r="AE207" s="205">
        <v>0.00672269</v>
      </c>
      <c r="AF207" s="205">
        <v>-1.2092437</v>
      </c>
      <c r="AG207" s="205">
        <v>-0.2361345</v>
      </c>
      <c r="AH207" s="205">
        <v>0.36386555</v>
      </c>
      <c r="AI207" s="205">
        <v>0.36470588</v>
      </c>
      <c r="AJ207" s="205">
        <v>-1.010084</v>
      </c>
      <c r="AK207" s="205">
        <v>1.98319328</v>
      </c>
      <c r="AL207" s="205">
        <v>0.0</v>
      </c>
      <c r="AM207" s="205">
        <v>-0.2016807</v>
      </c>
      <c r="AN207" s="205">
        <v>-0.5731092</v>
      </c>
      <c r="AO207" s="205">
        <v>-0.7151261</v>
      </c>
      <c r="AP207" s="205">
        <v>-0.7890756</v>
      </c>
      <c r="AQ207" s="205">
        <v>2.94621849</v>
      </c>
      <c r="AR207" s="205">
        <v>4.58319328</v>
      </c>
      <c r="AS207" s="205">
        <v>0.77058824</v>
      </c>
      <c r="AT207" s="205">
        <v>-2.3554622</v>
      </c>
      <c r="AU207" s="205">
        <v>-0.2756303</v>
      </c>
      <c r="AV207" s="205">
        <v>0.41428571</v>
      </c>
      <c r="AW207" s="205">
        <v>0.28571429</v>
      </c>
      <c r="AX207" s="205">
        <v>1.21008403</v>
      </c>
      <c r="AY207" s="205">
        <v>0.25630252</v>
      </c>
      <c r="AZ207" s="205">
        <v>0.05378151</v>
      </c>
      <c r="BA207" s="205">
        <v>-0.9747899</v>
      </c>
      <c r="BB207" s="205">
        <v>0.21596639</v>
      </c>
      <c r="BC207" s="205">
        <v>-1.1957983</v>
      </c>
      <c r="BD207" s="205">
        <v>0.07983193</v>
      </c>
      <c r="BE207" s="205">
        <v>-0.2403361</v>
      </c>
      <c r="BF207" s="205">
        <v>-0.3571429</v>
      </c>
      <c r="BG207" s="205">
        <v>-0.8109244</v>
      </c>
      <c r="BH207" s="205">
        <v>1.4605042</v>
      </c>
      <c r="BI207" s="205">
        <v>3.40252101</v>
      </c>
      <c r="BJ207" s="205">
        <v>-0.4798319</v>
      </c>
      <c r="BK207" s="205">
        <v>0.38151261</v>
      </c>
      <c r="BL207" s="205">
        <v>-0.9394958</v>
      </c>
      <c r="BM207" s="205">
        <v>-0.1445378</v>
      </c>
      <c r="BN207" s="205">
        <v>-0.0840336</v>
      </c>
      <c r="BO207" s="205">
        <v>-0.0579832</v>
      </c>
      <c r="BP207" s="205">
        <v>-0.4268908</v>
      </c>
      <c r="BQ207" s="206"/>
      <c r="BR207" s="250">
        <f t="shared" si="1"/>
        <v>0.1482593049</v>
      </c>
      <c r="BS207" s="250">
        <f t="shared" si="2"/>
        <v>0.8222565218</v>
      </c>
      <c r="BT207" s="206"/>
      <c r="BU207" s="207">
        <f>IFERROR(__xludf.DUMMYFUNCTION("AVERAGE(ARRAYFORMULA(XLOOKUP(FILTER(INDIRECT(""'""&amp;BU$1&amp;""'!$C$4:$C$66""),INDIRECT(""'""&amp;BU$1&amp;""'!$D$4:$D$66"")=BU$2),$F$3:$BP$3,$F207:$BP207)))"),0.2663865614285715)</f>
        <v>0.2663865614</v>
      </c>
      <c r="BV207" s="207" t="str">
        <f>IFERROR(__xludf.DUMMYFUNCTION("IF(OR(BU207&gt;$BR207+$BS207*$BS$2,BU207&lt;$BR207-$BS207*$BS$2),AVEDEV(ARRAYFORMULA(XLOOKUP(FILTER(INDIRECT(""'""&amp;BU$1&amp;""'!$C$4:$C$66""),INDIRECT(""'""&amp;BU$1&amp;""'!$D$4:$D$66"")=BU$2),$F$3:$BP$3,$F207:$BP207))),"""")"),"")</f>
        <v/>
      </c>
      <c r="BW207" s="207">
        <f>IFERROR(__xludf.DUMMYFUNCTION("AVERAGE(ARRAYFORMULA(XLOOKUP(FILTER(INDIRECT(""'""&amp;BW$1&amp;""'!$C$4:$C$66""),INDIRECT(""'""&amp;BW$1&amp;""'!$D$4:$D$66"")=BW$2),$F$3:$BP$3,$F207:$BP207)))"),0.19519807880952378)</f>
        <v>0.1951980788</v>
      </c>
      <c r="BX207" s="207" t="str">
        <f>IFERROR(__xludf.DUMMYFUNCTION("IF(OR(BW207&gt;$BR207+$BS207*$BS$2,BW207&lt;$BR207-$BS207*$BS$2),AVEDEV(ARRAYFORMULA(XLOOKUP(FILTER(INDIRECT(""'""&amp;BW$1&amp;""'!$C$4:$C$66""),INDIRECT(""'""&amp;BW$1&amp;""'!$D$4:$D$66"")=BW$2),$F$3:$BP$3,$F207:$BP207))),"""")"),"")</f>
        <v/>
      </c>
      <c r="BY207" s="207">
        <f>IFERROR(__xludf.DUMMYFUNCTION("AVERAGE(ARRAYFORMULA(XLOOKUP(FILTER(INDIRECT(""'""&amp;BY$1&amp;""'!$C$4:$C$66""),INDIRECT(""'""&amp;BY$1&amp;""'!$D$4:$D$66"")=BY$2),$F$3:$BP$3,$F207:$BP207)))"),0.12391138636363636)</f>
        <v>0.1239113864</v>
      </c>
      <c r="BZ207" s="207" t="str">
        <f>IFERROR(__xludf.DUMMYFUNCTION("IF(OR(BY207&gt;$BR207+$BS207*$BS$2,BY207&lt;$BR207-$BS207*$BS$2),AVEDEV(ARRAYFORMULA(XLOOKUP(FILTER(INDIRECT(""'""&amp;BY$1&amp;""'!$C$4:$C$66""),INDIRECT(""'""&amp;BY$1&amp;""'!$D$4:$D$66"")=BY$2),$F$3:$BP$3,$F207:$BP207))),"""")"),"")</f>
        <v/>
      </c>
      <c r="CA207" s="209"/>
      <c r="CB207" s="207">
        <f>IFERROR(__xludf.DUMMYFUNCTION("AVERAGE(ARRAYFORMULA(XLOOKUP(FILTER(INDIRECT(""'""&amp;CB$1&amp;""'!$C$4:$C$66""),INDIRECT(""'""&amp;CB$1&amp;""'!$D$4:$D$66"")=CB$2),$F$3:$BP$3,$F207:$BP207)))"),0.09117648062500003)</f>
        <v>0.09117648063</v>
      </c>
      <c r="CC207" s="207" t="str">
        <f>IFERROR(__xludf.DUMMYFUNCTION("IF(OR(CB207&gt;$BR207+$BS207*$BS$2,CB207&lt;$BR207-$BS207*$BS$2),AVEDEV(ARRAYFORMULA(XLOOKUP(FILTER(INDIRECT(""'""&amp;CB$1&amp;""'!$C$4:$C$66""),INDIRECT(""'""&amp;CB$1&amp;""'!$D$4:$D$66"")=CB$2),$F$3:$BP$3,$F207:$BP207))),"""")"),"")</f>
        <v/>
      </c>
      <c r="CD207" s="207">
        <f>IFERROR(__xludf.DUMMYFUNCTION("AVERAGE(ARRAYFORMULA(XLOOKUP(FILTER(INDIRECT(""'""&amp;CD$1&amp;""'!$C$4:$C$66""),INDIRECT(""'""&amp;CD$1&amp;""'!$D$4:$D$66"")=CD$2),$F$3:$BP$3,$F207:$BP207)))"),0.040173485161290316)</f>
        <v>0.04017348516</v>
      </c>
      <c r="CE207" s="207" t="str">
        <f>IFERROR(__xludf.DUMMYFUNCTION("IF(OR(CD207&gt;$BR207+$BS207*$BS$2,CD207&lt;$BR207-$BS207*$BS$2),AVEDEV(ARRAYFORMULA(XLOOKUP(FILTER(INDIRECT(""'""&amp;CD$1&amp;""'!$C$4:$C$66""),INDIRECT(""'""&amp;CD$1&amp;""'!$D$4:$D$66"")=CD$2),$F$3:$BP$3,$F207:$BP207))),"""")"),"")</f>
        <v/>
      </c>
      <c r="CF207" s="207">
        <f>IFERROR(__xludf.DUMMYFUNCTION("AVERAGE(ARRAYFORMULA(XLOOKUP(FILTER(INDIRECT(""'""&amp;CF$1&amp;""'!$C$4:$C$66""),INDIRECT(""'""&amp;CF$1&amp;""'!$D$4:$D$66"")=CF$2),$F$3:$BP$3,$F207:$BP207)))"),1.379999992)</f>
        <v>1.379999992</v>
      </c>
      <c r="CG207" s="207">
        <f>IFERROR(__xludf.DUMMYFUNCTION("IF(OR(CF207&gt;$BR207+$BS207*$BS$2,CF207&lt;$BR207-$BS207*$BS$2),AVEDEV(ARRAYFORMULA(XLOOKUP(FILTER(INDIRECT(""'""&amp;CF$1&amp;""'!$C$4:$C$66""),INDIRECT(""'""&amp;CF$1&amp;""'!$D$4:$D$66"")=CF$2),$F$3:$BP$3,$F207:$BP207))),"""")"),1.5911260583999998)</f>
        <v>1.591126058</v>
      </c>
      <c r="CH207" s="206"/>
      <c r="CI207" s="251">
        <f>IFERROR(__xludf.DUMMYFUNCTION("AVERAGE(ARRAYFORMULA(XLOOKUP(FILTER(INDIRECT(""'""&amp;CI$1&amp;""'!$C$4:$C$66""),INDIRECT(""'""&amp;CI$1&amp;""'!$D$4:$D$66"")=CI$2),$F$3:$BP$3,$F207:$BP207)))"),0.05383753333333334)</f>
        <v>0.05383753333</v>
      </c>
      <c r="CJ207" s="207" t="str">
        <f>IFERROR(__xludf.DUMMYFUNCTION("IF(OR(CI207&gt;$BR207+$BS207*$BS$2,CI207&lt;$BR207-$BS207*$BS$2),AVEDEV(ARRAYFORMULA(XLOOKUP(FILTER(INDIRECT(""'""&amp;CI$1&amp;""'!$C$4:$C$66""),INDIRECT(""'""&amp;CI$1&amp;""'!$D$4:$D$66"")=CI$2),$F$3:$BP$3,$F207:$BP207))),"""")"),"")</f>
        <v/>
      </c>
      <c r="CK207" s="251">
        <f>IFERROR(__xludf.DUMMYFUNCTION("AVERAGE(ARRAYFORMULA(XLOOKUP(FILTER(INDIRECT(""'""&amp;CK$1&amp;""'!$C$4:$C$66""),INDIRECT(""'""&amp;CK$1&amp;""'!$D$4:$D$66"")=CK$2),$F$3:$BP$3,$F207:$BP207)))"),0.0855634594871795)</f>
        <v>0.08556345949</v>
      </c>
      <c r="CL207" s="207" t="str">
        <f>IFERROR(__xludf.DUMMYFUNCTION("IF(OR(CK207&gt;$BR207+$BS207*$BS$2,CK207&lt;$BR207-$BS207*$BS$2),AVEDEV(ARRAYFORMULA(XLOOKUP(FILTER(INDIRECT(""'""&amp;CK$1&amp;""'!$C$4:$C$66""),INDIRECT(""'""&amp;CK$1&amp;""'!$D$4:$D$66"")=CK$2),$F$3:$BP$3,$F207:$BP207))),"""")"),"")</f>
        <v/>
      </c>
      <c r="CM207" s="251">
        <f>IFERROR(__xludf.DUMMYFUNCTION("AVERAGE(ARRAYFORMULA(XLOOKUP(FILTER(INDIRECT(""'""&amp;CM$1&amp;""'!$C$4:$C$66""),INDIRECT(""'""&amp;CM$1&amp;""'!$D$4:$D$66"")=CM$2),$F$3:$BP$3,$F207:$BP207)))"),1.379999992)</f>
        <v>1.379999992</v>
      </c>
      <c r="CN207" s="207">
        <f>IFERROR(__xludf.DUMMYFUNCTION("IF(OR(CM207&gt;$BR207+$BS207*$BS$2,CM207&lt;$BR207-$BS207*$BS$2),AVEDEV(ARRAYFORMULA(XLOOKUP(FILTER(INDIRECT(""'""&amp;CM$1&amp;""'!$C$4:$C$66""),INDIRECT(""'""&amp;CM$1&amp;""'!$D$4:$D$66"")=CM$2),$F$3:$BP$3,$F207:$BP207))),"""")"),1.5911260583999998)</f>
        <v>1.591126058</v>
      </c>
      <c r="CO207" s="252"/>
      <c r="CP207" s="251">
        <f>IFERROR(__xludf.DUMMYFUNCTION("AVERAGE(ARRAYFORMULA(XLOOKUP(FILTER(INDIRECT(""'""&amp;CP$1&amp;""'!$C$4:$C$66""),INDIRECT(""'""&amp;CP$1&amp;""'!$D$4:$D$66"")=CP$2),$F$3:$BP$3,$F207:$BP207)))"),-0.04465785071428569)</f>
        <v>-0.04465785071</v>
      </c>
      <c r="CQ207" s="207" t="str">
        <f>IFERROR(__xludf.DUMMYFUNCTION("IF(OR(CP207&gt;$BR207+$BS207*$BS$2,CP207&lt;$BR207-$BS207*$BS$2),AVEDEV(ARRAYFORMULA(XLOOKUP(FILTER(INDIRECT(""'""&amp;CP$1&amp;""'!$C$4:$C$66""),INDIRECT(""'""&amp;CP$1&amp;""'!$D$4:$D$66"")=CP$2),$F$3:$BP$3,$F207:$BP207))),"""")"),"")</f>
        <v/>
      </c>
      <c r="CR207" s="251">
        <f>IFERROR(__xludf.DUMMYFUNCTION("AVERAGE(ARRAYFORMULA(XLOOKUP(FILTER(INDIRECT(""'""&amp;CR$1&amp;""'!$C$4:$C$66""),INDIRECT(""'""&amp;CR$1&amp;""'!$D$4:$D$66"")=CR$2),$F$3:$BP$3,$F207:$BP207)))"),0.22735761444444438)</f>
        <v>0.2273576144</v>
      </c>
      <c r="CS207" s="207" t="str">
        <f>IFERROR(__xludf.DUMMYFUNCTION("IF(OR(CR207&gt;$BR207+$BS207*$BS$2,CR207&lt;$BR207-$BS207*$BS$2),AVEDEV(ARRAYFORMULA(XLOOKUP(FILTER(INDIRECT(""'""&amp;CR$1&amp;""'!$C$4:$C$66""),INDIRECT(""'""&amp;CR$1&amp;""'!$D$4:$D$66"")=CR$2),$F$3:$BP$3,$F207:$BP207))),"""")"),"")</f>
        <v/>
      </c>
      <c r="CT207" s="251">
        <f>IFERROR(__xludf.DUMMYFUNCTION("AVERAGE(ARRAYFORMULA(XLOOKUP(FILTER(INDIRECT(""'""&amp;CT$1&amp;""'!$C$4:$C$66""),INDIRECT(""'""&amp;CT$1&amp;""'!$D$4:$D$66"")=CT$2),$F$3:$BP$3,$F207:$BP207)))"),-0.08953400727272728)</f>
        <v>-0.08953400727</v>
      </c>
      <c r="CU207" s="207" t="str">
        <f>IFERROR(__xludf.DUMMYFUNCTION("IF(OR(CT207&gt;$BR207+$BS207*$BS$2,CT207&lt;$BR207-$BS207*$BS$2),AVEDEV(ARRAYFORMULA(XLOOKUP(FILTER(INDIRECT(""'""&amp;CT$1&amp;""'!$C$4:$C$66""),INDIRECT(""'""&amp;CT$1&amp;""'!$D$4:$D$66"")=CT$2),$F$3:$BP$3,$F207:$BP207))),"""")"),"")</f>
        <v/>
      </c>
      <c r="CV207" s="251">
        <f>IFERROR(__xludf.DUMMYFUNCTION("AVERAGE(ARRAYFORMULA(XLOOKUP(FILTER(INDIRECT(""'""&amp;CV$1&amp;""'!$C$4:$C$66""),INDIRECT(""'""&amp;CV$1&amp;""'!$D$4:$D$66"")=CV$2),$F$3:$BP$3,$F207:$BP207)))"),-0.86764705)</f>
        <v>-0.86764705</v>
      </c>
      <c r="CW207" s="207">
        <f>IFERROR(__xludf.DUMMYFUNCTION("IF(OR(CV207&gt;$BR207+$BS207*$BS$2,CV207&lt;$BR207-$BS207*$BS$2),AVEDEV(ARRAYFORMULA(XLOOKUP(FILTER(INDIRECT(""'""&amp;CV$1&amp;""'!$C$4:$C$66""),INDIRECT(""'""&amp;CV$1&amp;""'!$D$4:$D$66"")=CV$2),$F$3:$BP$3,$F207:$BP207))),"""")"),0.056722649999999986)</f>
        <v>0.05672265</v>
      </c>
      <c r="CX207" s="251">
        <f>IFERROR(__xludf.DUMMYFUNCTION("AVERAGE(ARRAYFORMULA(XLOOKUP(FILTER(INDIRECT(""'""&amp;CX$1&amp;""'!$C$4:$C$66""),INDIRECT(""'""&amp;CX$1&amp;""'!$D$4:$D$66"")=CX$2),$F$3:$BP$3,$F207:$BP207)))"),0.43877550428571427)</f>
        <v>0.4387755043</v>
      </c>
      <c r="CY207" s="207" t="str">
        <f>IFERROR(__xludf.DUMMYFUNCTION("IF(OR(CX207&gt;$BR207+$BS207*$BS$2,CX207&lt;$BR207-$BS207*$BS$2),AVEDEV(ARRAYFORMULA(XLOOKUP(FILTER(INDIRECT(""'""&amp;CX$1&amp;""'!$C$4:$C$66""),INDIRECT(""'""&amp;CX$1&amp;""'!$D$4:$D$66"")=CX$2),$F$3:$BP$3,$F207:$BP207))),"""")"),"")</f>
        <v/>
      </c>
      <c r="CZ207" s="252"/>
      <c r="DA207" s="251">
        <f>IFERROR(__xludf.DUMMYFUNCTION("AVERAGE(ARRAYFORMULA(XLOOKUP(FILTER(INDIRECT(""'""&amp;DA$1&amp;""'!$C$4:$C$66""),INDIRECT(""'""&amp;DA$1&amp;""'!$D$4:$D$66"")=DA$2),$F$3:$BP$3,$F207:$BP207)))"),0.05845938433333334)</f>
        <v>0.05845938433</v>
      </c>
      <c r="DB207" s="207" t="str">
        <f>IFERROR(__xludf.DUMMYFUNCTION("IF(OR(DA207&gt;$BR207+$BS207*$BS$2,DA207&lt;$BR207-$BS207*$BS$2),AVEDEV(ARRAYFORMULA(XLOOKUP(FILTER(INDIRECT(""'""&amp;DA$1&amp;""'!$C$4:$C$66""),INDIRECT(""'""&amp;DA$1&amp;""'!$D$4:$D$66"")=DA$2),$F$3:$BP$3,$F207:$BP207))),"""")"),"")</f>
        <v/>
      </c>
      <c r="DC207" s="251">
        <f>IFERROR(__xludf.DUMMYFUNCTION("AVERAGE(ARRAYFORMULA(XLOOKUP(FILTER(INDIRECT(""'""&amp;DC$1&amp;""'!$C$4:$C$66""),INDIRECT(""'""&amp;DC$1&amp;""'!$D$4:$D$66"")=DC$2),$F$3:$BP$3,$F207:$BP207)))"),0.07777777666666666)</f>
        <v>0.07777777667</v>
      </c>
      <c r="DD207" s="207" t="str">
        <f>IFERROR(__xludf.DUMMYFUNCTION("IF(OR(DC207&gt;$BR207+$BS207*$BS$2,DC207&lt;$BR207-$BS207*$BS$2),AVEDEV(ARRAYFORMULA(XLOOKUP(FILTER(INDIRECT(""'""&amp;DC$1&amp;""'!$C$4:$C$66""),INDIRECT(""'""&amp;DC$1&amp;""'!$D$4:$D$66"")=DC$2),$F$3:$BP$3,$F207:$BP207))),"""")"),"")</f>
        <v/>
      </c>
      <c r="DE207" s="251">
        <f>IFERROR(__xludf.DUMMYFUNCTION("AVERAGE(ARRAYFORMULA(XLOOKUP(FILTER(INDIRECT(""'""&amp;DE$1&amp;""'!$C$4:$C$66""),INDIRECT(""'""&amp;DE$1&amp;""'!$D$4:$D$66"")=DE$2),$F$3:$BP$3,$F207:$BP207)))"),0.5036764675)</f>
        <v>0.5036764675</v>
      </c>
      <c r="DF207" s="207" t="str">
        <f>IFERROR(__xludf.DUMMYFUNCTION("IF(OR(DE207&gt;$BR207+$BS207*$BS$2,DE207&lt;$BR207-$BS207*$BS$2),AVEDEV(ARRAYFORMULA(XLOOKUP(FILTER(INDIRECT(""'""&amp;DE$1&amp;""'!$C$4:$C$66""),INDIRECT(""'""&amp;DE$1&amp;""'!$D$4:$D$66"")=DE$2),$F$3:$BP$3,$F207:$BP207))),"""")"),"")</f>
        <v/>
      </c>
      <c r="DG207" s="251">
        <f>IFERROR(__xludf.DUMMYFUNCTION("AVERAGE(ARRAYFORMULA(XLOOKUP(FILTER(INDIRECT(""'""&amp;DG$1&amp;""'!$C$4:$C$66""),INDIRECT(""'""&amp;DG$1&amp;""'!$D$4:$D$66"")=DG$2),$F$3:$BP$3,$F207:$BP207)))"),0.35163399222222225)</f>
        <v>0.3516339922</v>
      </c>
      <c r="DH207" s="207" t="str">
        <f>IFERROR(__xludf.DUMMYFUNCTION("IF(OR(DG207&gt;$BR207+$BS207*$BS$2,DG207&lt;$BR207-$BS207*$BS$2),AVEDEV(ARRAYFORMULA(XLOOKUP(FILTER(INDIRECT(""'""&amp;DG$1&amp;""'!$C$4:$C$66""),INDIRECT(""'""&amp;DG$1&amp;""'!$D$4:$D$66"")=DG$2),$F$3:$BP$3,$F207:$BP207))),"""")"),"")</f>
        <v/>
      </c>
      <c r="DI207" s="252"/>
    </row>
    <row r="208">
      <c r="A208" s="2"/>
      <c r="B208" s="204" t="s">
        <v>646</v>
      </c>
      <c r="C208" s="204" t="s">
        <v>654</v>
      </c>
      <c r="D208" s="205" t="b">
        <f>VLOOKUP(C208,'Feature Set List'!A205:C246,2,0)</f>
        <v>1</v>
      </c>
      <c r="E208" s="205" t="b">
        <f>VLOOKUP(C208,'Feature Set List'!A205:C246,3,0)</f>
        <v>1</v>
      </c>
      <c r="F208" s="205">
        <v>-0.2247191</v>
      </c>
      <c r="G208" s="205">
        <v>1.99750312</v>
      </c>
      <c r="H208" s="205">
        <v>-0.9590512</v>
      </c>
      <c r="I208" s="205">
        <v>-0.2946317</v>
      </c>
      <c r="J208" s="205">
        <v>-0.0049938</v>
      </c>
      <c r="K208" s="205">
        <v>0.96629213</v>
      </c>
      <c r="L208" s="205">
        <v>-1.349563</v>
      </c>
      <c r="M208" s="205">
        <v>2.32459426</v>
      </c>
      <c r="N208" s="205">
        <v>-0.0749064</v>
      </c>
      <c r="O208" s="205">
        <v>-0.8596754</v>
      </c>
      <c r="P208" s="205">
        <v>-1.4097378</v>
      </c>
      <c r="Q208" s="205">
        <v>-1.2749064</v>
      </c>
      <c r="R208" s="205">
        <v>-0.1722846</v>
      </c>
      <c r="S208" s="205">
        <v>0.56928839</v>
      </c>
      <c r="T208" s="205">
        <v>0.03745318</v>
      </c>
      <c r="U208" s="205">
        <v>-0.3420724</v>
      </c>
      <c r="V208" s="205">
        <v>0.082397</v>
      </c>
      <c r="W208" s="205">
        <v>0.04244694</v>
      </c>
      <c r="X208" s="205">
        <v>0.96629213</v>
      </c>
      <c r="Y208" s="205">
        <v>0.38701623</v>
      </c>
      <c r="Z208" s="205">
        <v>-0.7228464</v>
      </c>
      <c r="AA208" s="205">
        <v>-0.082397</v>
      </c>
      <c r="AB208" s="205">
        <v>2.1423221</v>
      </c>
      <c r="AC208" s="205">
        <v>-0.928839</v>
      </c>
      <c r="AD208" s="205">
        <v>1.33832709</v>
      </c>
      <c r="AE208" s="205">
        <v>0.75905119</v>
      </c>
      <c r="AF208" s="205">
        <v>-0.0923845</v>
      </c>
      <c r="AG208" s="205">
        <v>-0.1198502</v>
      </c>
      <c r="AH208" s="205">
        <v>-0.5682896</v>
      </c>
      <c r="AI208" s="205">
        <v>-0.0174782</v>
      </c>
      <c r="AJ208" s="205">
        <v>-0.3445693</v>
      </c>
      <c r="AK208" s="205">
        <v>0.49937578</v>
      </c>
      <c r="AL208" s="205">
        <v>0.20973783</v>
      </c>
      <c r="AM208" s="205">
        <v>-0.8721598</v>
      </c>
      <c r="AN208" s="205">
        <v>2.49188514</v>
      </c>
      <c r="AO208" s="205">
        <v>-0.3245943</v>
      </c>
      <c r="AP208" s="205">
        <v>-0.6149813</v>
      </c>
      <c r="AQ208" s="205">
        <v>-0.5143571</v>
      </c>
      <c r="AR208" s="205">
        <v>-0.2696629</v>
      </c>
      <c r="AS208" s="205">
        <v>0.81398252</v>
      </c>
      <c r="AT208" s="205">
        <v>-2.9812734</v>
      </c>
      <c r="AU208" s="205">
        <v>0.24219725</v>
      </c>
      <c r="AV208" s="205">
        <v>1.64044944</v>
      </c>
      <c r="AW208" s="205">
        <v>0.0</v>
      </c>
      <c r="AX208" s="205">
        <v>0.47440699</v>
      </c>
      <c r="AY208" s="205">
        <v>-0.1523096</v>
      </c>
      <c r="AZ208" s="205">
        <v>0.72659176</v>
      </c>
      <c r="BA208" s="205">
        <v>0.43445693</v>
      </c>
      <c r="BB208" s="205">
        <v>0.50686642</v>
      </c>
      <c r="BC208" s="205">
        <v>1.40074906</v>
      </c>
      <c r="BD208" s="205">
        <v>0.98876404</v>
      </c>
      <c r="BE208" s="205">
        <v>0.31710362</v>
      </c>
      <c r="BF208" s="205">
        <v>2.04993758</v>
      </c>
      <c r="BG208" s="205">
        <v>0.08739076</v>
      </c>
      <c r="BH208" s="205">
        <v>1.65293383</v>
      </c>
      <c r="BI208" s="205">
        <v>0.16229713</v>
      </c>
      <c r="BJ208" s="205">
        <v>-0.9530587</v>
      </c>
      <c r="BK208" s="205">
        <v>-0.8756554</v>
      </c>
      <c r="BL208" s="205">
        <v>0.76154806</v>
      </c>
      <c r="BM208" s="205">
        <v>0.1772784</v>
      </c>
      <c r="BN208" s="205">
        <v>-0.3345818</v>
      </c>
      <c r="BO208" s="205">
        <v>-1.0287141</v>
      </c>
      <c r="BP208" s="205">
        <v>-0.3595506</v>
      </c>
      <c r="BQ208" s="206"/>
      <c r="BR208" s="250">
        <f t="shared" si="1"/>
        <v>0.128997481</v>
      </c>
      <c r="BS208" s="250">
        <f t="shared" si="2"/>
        <v>0.7466132201</v>
      </c>
      <c r="BT208" s="206"/>
      <c r="BU208" s="207">
        <f>IFERROR(__xludf.DUMMYFUNCTION("AVERAGE(ARRAYFORMULA(XLOOKUP(FILTER(INDIRECT(""'""&amp;BU$1&amp;""'!$C$4:$C$66""),INDIRECT(""'""&amp;BU$1&amp;""'!$D$4:$D$66"")=BU$2),$F$3:$BP$3,$F208:$BP208)))"),0.5133939742857143)</f>
        <v>0.5133939743</v>
      </c>
      <c r="BV208" s="207" t="str">
        <f>IFERROR(__xludf.DUMMYFUNCTION("IF(OR(BU208&gt;$BR208+$BS208*$BS$2,BU208&lt;$BR208-$BS208*$BS$2),AVEDEV(ARRAYFORMULA(XLOOKUP(FILTER(INDIRECT(""'""&amp;BU$1&amp;""'!$C$4:$C$66""),INDIRECT(""'""&amp;BU$1&amp;""'!$D$4:$D$66"")=BU$2),$F$3:$BP$3,$F208:$BP208))),"""")"),"")</f>
        <v/>
      </c>
      <c r="BW208" s="207">
        <f>IFERROR(__xludf.DUMMYFUNCTION("AVERAGE(ARRAYFORMULA(XLOOKUP(FILTER(INDIRECT(""'""&amp;BW$1&amp;""'!$C$4:$C$66""),INDIRECT(""'""&amp;BW$1&amp;""'!$D$4:$D$66"")=BW$2),$F$3:$BP$3,$F208:$BP208)))"),0.11493965380952377)</f>
        <v>0.1149396538</v>
      </c>
      <c r="BX208" s="207" t="str">
        <f>IFERROR(__xludf.DUMMYFUNCTION("IF(OR(BW208&gt;$BR208+$BS208*$BS$2,BW208&lt;$BR208-$BS208*$BS$2),AVEDEV(ARRAYFORMULA(XLOOKUP(FILTER(INDIRECT(""'""&amp;BW$1&amp;""'!$C$4:$C$66""),INDIRECT(""'""&amp;BW$1&amp;""'!$D$4:$D$66"")=BW$2),$F$3:$BP$3,$F208:$BP208))),"""")"),"")</f>
        <v/>
      </c>
      <c r="BY208" s="207">
        <f>IFERROR(__xludf.DUMMYFUNCTION("AVERAGE(ARRAYFORMULA(XLOOKUP(FILTER(INDIRECT(""'""&amp;BY$1&amp;""'!$C$4:$C$66""),INDIRECT(""'""&amp;BY$1&amp;""'!$D$4:$D$66"")=BY$2),$F$3:$BP$3,$F208:$BP208)))"),0.2041085054545455)</f>
        <v>0.2041085055</v>
      </c>
      <c r="BZ208" s="207" t="str">
        <f>IFERROR(__xludf.DUMMYFUNCTION("IF(OR(BY208&gt;$BR208+$BS208*$BS$2,BY208&lt;$BR208-$BS208*$BS$2),AVEDEV(ARRAYFORMULA(XLOOKUP(FILTER(INDIRECT(""'""&amp;BY$1&amp;""'!$C$4:$C$66""),INDIRECT(""'""&amp;BY$1&amp;""'!$D$4:$D$66"")=BY$2),$F$3:$BP$3,$F208:$BP208))),"""")"),"")</f>
        <v/>
      </c>
      <c r="CA208" s="209"/>
      <c r="CB208" s="207">
        <f>IFERROR(__xludf.DUMMYFUNCTION("AVERAGE(ARRAYFORMULA(XLOOKUP(FILTER(INDIRECT(""'""&amp;CB$1&amp;""'!$C$4:$C$66""),INDIRECT(""'""&amp;CB$1&amp;""'!$D$4:$D$66"")=CB$2),$F$3:$BP$3,$F208:$BP208)))"),0.39483457875000005)</f>
        <v>0.3948345788</v>
      </c>
      <c r="CC208" s="207" t="str">
        <f>IFERROR(__xludf.DUMMYFUNCTION("IF(OR(CB208&gt;$BR208+$BS208*$BS$2,CB208&lt;$BR208-$BS208*$BS$2),AVEDEV(ARRAYFORMULA(XLOOKUP(FILTER(INDIRECT(""'""&amp;CB$1&amp;""'!$C$4:$C$66""),INDIRECT(""'""&amp;CB$1&amp;""'!$D$4:$D$66"")=CB$2),$F$3:$BP$3,$F208:$BP208))),"""")"),"")</f>
        <v/>
      </c>
      <c r="CD208" s="207">
        <f>IFERROR(__xludf.DUMMYFUNCTION("AVERAGE(ARRAYFORMULA(XLOOKUP(FILTER(INDIRECT(""'""&amp;CD$1&amp;""'!$C$4:$C$66""),INDIRECT(""'""&amp;CD$1&amp;""'!$D$4:$D$66"")=CD$2),$F$3:$BP$3,$F208:$BP208)))"),0.02535540032258062)</f>
        <v>0.02535540032</v>
      </c>
      <c r="CE208" s="207" t="str">
        <f>IFERROR(__xludf.DUMMYFUNCTION("IF(OR(CD208&gt;$BR208+$BS208*$BS$2,CD208&lt;$BR208-$BS208*$BS$2),AVEDEV(ARRAYFORMULA(XLOOKUP(FILTER(INDIRECT(""'""&amp;CD$1&amp;""'!$C$4:$C$66""),INDIRECT(""'""&amp;CD$1&amp;""'!$D$4:$D$66"")=CD$2),$F$3:$BP$3,$F208:$BP208))),"""")"),"")</f>
        <v/>
      </c>
      <c r="CF208" s="207">
        <f>IFERROR(__xludf.DUMMYFUNCTION("AVERAGE(ARRAYFORMULA(XLOOKUP(FILTER(INDIRECT(""'""&amp;CF$1&amp;""'!$C$4:$C$66""),INDIRECT(""'""&amp;CF$1&amp;""'!$D$4:$D$66"")=CF$2),$F$3:$BP$3,$F208:$BP208)))"),0.44329588600000003)</f>
        <v>0.443295886</v>
      </c>
      <c r="CG208" s="207" t="str">
        <f>IFERROR(__xludf.DUMMYFUNCTION("IF(OR(CF208&gt;$BR208+$BS208*$BS$2,CF208&lt;$BR208-$BS208*$BS$2),AVEDEV(ARRAYFORMULA(XLOOKUP(FILTER(INDIRECT(""'""&amp;CF$1&amp;""'!$C$4:$C$66""),INDIRECT(""'""&amp;CF$1&amp;""'!$D$4:$D$66"")=CF$2),$F$3:$BP$3,$F208:$BP208))),"""")"),"")</f>
        <v/>
      </c>
      <c r="CH208" s="206"/>
      <c r="CI208" s="251">
        <f>IFERROR(__xludf.DUMMYFUNCTION("AVERAGE(ARRAYFORMULA(XLOOKUP(FILTER(INDIRECT(""'""&amp;CI$1&amp;""'!$C$4:$C$66""),INDIRECT(""'""&amp;CI$1&amp;""'!$D$4:$D$66"")=CI$2),$F$3:$BP$3,$F208:$BP208)))"),0.5577195166666666)</f>
        <v>0.5577195167</v>
      </c>
      <c r="CJ208" s="207" t="str">
        <f>IFERROR(__xludf.DUMMYFUNCTION("IF(OR(CI208&gt;$BR208+$BS208*$BS$2,CI208&lt;$BR208-$BS208*$BS$2),AVEDEV(ARRAYFORMULA(XLOOKUP(FILTER(INDIRECT(""'""&amp;CI$1&amp;""'!$C$4:$C$66""),INDIRECT(""'""&amp;CI$1&amp;""'!$D$4:$D$66"")=CI$2),$F$3:$BP$3,$F208:$BP208))),"""")"),"")</f>
        <v/>
      </c>
      <c r="CK208" s="251">
        <f>IFERROR(__xludf.DUMMYFUNCTION("AVERAGE(ARRAYFORMULA(XLOOKUP(FILTER(INDIRECT(""'""&amp;CK$1&amp;""'!$C$4:$C$66""),INDIRECT(""'""&amp;CK$1&amp;""'!$D$4:$D$66"")=CK$2),$F$3:$BP$3,$F208:$BP208)))"),0.024610257948717924)</f>
        <v>0.02461025795</v>
      </c>
      <c r="CL208" s="207" t="str">
        <f>IFERROR(__xludf.DUMMYFUNCTION("IF(OR(CK208&gt;$BR208+$BS208*$BS$2,CK208&lt;$BR208-$BS208*$BS$2),AVEDEV(ARRAYFORMULA(XLOOKUP(FILTER(INDIRECT(""'""&amp;CK$1&amp;""'!$C$4:$C$66""),INDIRECT(""'""&amp;CK$1&amp;""'!$D$4:$D$66"")=CK$2),$F$3:$BP$3,$F208:$BP208))),"""")"),"")</f>
        <v/>
      </c>
      <c r="CM208" s="251">
        <f>IFERROR(__xludf.DUMMYFUNCTION("AVERAGE(ARRAYFORMULA(XLOOKUP(FILTER(INDIRECT(""'""&amp;CM$1&amp;""'!$C$4:$C$66""),INDIRECT(""'""&amp;CM$1&amp;""'!$D$4:$D$66"")=CM$2),$F$3:$BP$3,$F208:$BP208)))"),0.44329588600000003)</f>
        <v>0.443295886</v>
      </c>
      <c r="CN208" s="207" t="str">
        <f>IFERROR(__xludf.DUMMYFUNCTION("IF(OR(CM208&gt;$BR208+$BS208*$BS$2,CM208&lt;$BR208-$BS208*$BS$2),AVEDEV(ARRAYFORMULA(XLOOKUP(FILTER(INDIRECT(""'""&amp;CM$1&amp;""'!$C$4:$C$66""),INDIRECT(""'""&amp;CM$1&amp;""'!$D$4:$D$66"")=CM$2),$F$3:$BP$3,$F208:$BP208))),"""")"),"")</f>
        <v/>
      </c>
      <c r="CO208" s="252"/>
      <c r="CP208" s="251">
        <f>IFERROR(__xludf.DUMMYFUNCTION("AVERAGE(ARRAYFORMULA(XLOOKUP(FILTER(INDIRECT(""'""&amp;CP$1&amp;""'!$C$4:$C$66""),INDIRECT(""'""&amp;CP$1&amp;""'!$D$4:$D$66"")=CP$2),$F$3:$BP$3,$F208:$BP208)))"),0.3273408221428572)</f>
        <v>0.3273408221</v>
      </c>
      <c r="CQ208" s="207" t="str">
        <f>IFERROR(__xludf.DUMMYFUNCTION("IF(OR(CP208&gt;$BR208+$BS208*$BS$2,CP208&lt;$BR208-$BS208*$BS$2),AVEDEV(ARRAYFORMULA(XLOOKUP(FILTER(INDIRECT(""'""&amp;CP$1&amp;""'!$C$4:$C$66""),INDIRECT(""'""&amp;CP$1&amp;""'!$D$4:$D$66"")=CP$2),$F$3:$BP$3,$F208:$BP208))),"""")"),"")</f>
        <v/>
      </c>
      <c r="CR208" s="251">
        <f>IFERROR(__xludf.DUMMYFUNCTION("AVERAGE(ARRAYFORMULA(XLOOKUP(FILTER(INDIRECT(""'""&amp;CR$1&amp;""'!$C$4:$C$66""),INDIRECT(""'""&amp;CR$1&amp;""'!$D$4:$D$66"")=CR$2),$F$3:$BP$3,$F208:$BP208)))"),0.18177278888888887)</f>
        <v>0.1817727889</v>
      </c>
      <c r="CS208" s="207" t="str">
        <f>IFERROR(__xludf.DUMMYFUNCTION("IF(OR(CR208&gt;$BR208+$BS208*$BS$2,CR208&lt;$BR208-$BS208*$BS$2),AVEDEV(ARRAYFORMULA(XLOOKUP(FILTER(INDIRECT(""'""&amp;CR$1&amp;""'!$C$4:$C$66""),INDIRECT(""'""&amp;CR$1&amp;""'!$D$4:$D$66"")=CR$2),$F$3:$BP$3,$F208:$BP208))),"""")"),"")</f>
        <v/>
      </c>
      <c r="CT208" s="251">
        <f>IFERROR(__xludf.DUMMYFUNCTION("AVERAGE(ARRAYFORMULA(XLOOKUP(FILTER(INDIRECT(""'""&amp;CT$1&amp;""'!$C$4:$C$66""),INDIRECT(""'""&amp;CT$1&amp;""'!$D$4:$D$66"")=CT$2),$F$3:$BP$3,$F208:$BP208)))"),0.35217342545454544)</f>
        <v>0.3521734255</v>
      </c>
      <c r="CU208" s="207" t="str">
        <f>IFERROR(__xludf.DUMMYFUNCTION("IF(OR(CT208&gt;$BR208+$BS208*$BS$2,CT208&lt;$BR208-$BS208*$BS$2),AVEDEV(ARRAYFORMULA(XLOOKUP(FILTER(INDIRECT(""'""&amp;CT$1&amp;""'!$C$4:$C$66""),INDIRECT(""'""&amp;CT$1&amp;""'!$D$4:$D$66"")=CT$2),$F$3:$BP$3,$F208:$BP208))),"""")"),"")</f>
        <v/>
      </c>
      <c r="CV208" s="251">
        <f>IFERROR(__xludf.DUMMYFUNCTION("AVERAGE(ARRAYFORMULA(XLOOKUP(FILTER(INDIRECT(""'""&amp;CV$1&amp;""'!$C$4:$C$66""),INDIRECT(""'""&amp;CV$1&amp;""'!$D$4:$D$66"")=CV$2),$F$3:$BP$3,$F208:$BP208)))"),-0.42072412)</f>
        <v>-0.42072412</v>
      </c>
      <c r="CW208" s="207" t="str">
        <f>IFERROR(__xludf.DUMMYFUNCTION("IF(OR(CV208&gt;$BR208+$BS208*$BS$2,CV208&lt;$BR208-$BS208*$BS$2),AVEDEV(ARRAYFORMULA(XLOOKUP(FILTER(INDIRECT(""'""&amp;CV$1&amp;""'!$C$4:$C$66""),INDIRECT(""'""&amp;CV$1&amp;""'!$D$4:$D$66"")=CV$2),$F$3:$BP$3,$F208:$BP208))),"""")"),"")</f>
        <v/>
      </c>
      <c r="CX208" s="251">
        <f>IFERROR(__xludf.DUMMYFUNCTION("AVERAGE(ARRAYFORMULA(XLOOKUP(FILTER(INDIRECT(""'""&amp;CX$1&amp;""'!$C$4:$C$66""),INDIRECT(""'""&amp;CX$1&amp;""'!$D$4:$D$66"")=CX$2),$F$3:$BP$3,$F208:$BP208)))"),-0.19038702785714282)</f>
        <v>-0.1903870279</v>
      </c>
      <c r="CY208" s="207" t="str">
        <f>IFERROR(__xludf.DUMMYFUNCTION("IF(OR(CX208&gt;$BR208+$BS208*$BS$2,CX208&lt;$BR208-$BS208*$BS$2),AVEDEV(ARRAYFORMULA(XLOOKUP(FILTER(INDIRECT(""'""&amp;CX$1&amp;""'!$C$4:$C$66""),INDIRECT(""'""&amp;CX$1&amp;""'!$D$4:$D$66"")=CX$2),$F$3:$BP$3,$F208:$BP208))),"""")"),"")</f>
        <v/>
      </c>
      <c r="CZ208" s="252"/>
      <c r="DA208" s="251">
        <f>IFERROR(__xludf.DUMMYFUNCTION("AVERAGE(ARRAYFORMULA(XLOOKUP(FILTER(INDIRECT(""'""&amp;DA$1&amp;""'!$C$4:$C$66""),INDIRECT(""'""&amp;DA$1&amp;""'!$D$4:$D$66"")=DA$2),$F$3:$BP$3,$F208:$BP208)))"),0.2734498516666666)</f>
        <v>0.2734498517</v>
      </c>
      <c r="DB208" s="207" t="str">
        <f>IFERROR(__xludf.DUMMYFUNCTION("IF(OR(DA208&gt;$BR208+$BS208*$BS$2,DA208&lt;$BR208-$BS208*$BS$2),AVEDEV(ARRAYFORMULA(XLOOKUP(FILTER(INDIRECT(""'""&amp;DA$1&amp;""'!$C$4:$C$66""),INDIRECT(""'""&amp;DA$1&amp;""'!$D$4:$D$66"")=DA$2),$F$3:$BP$3,$F208:$BP208))),"""")"),"")</f>
        <v/>
      </c>
      <c r="DC208" s="251">
        <f>IFERROR(__xludf.DUMMYFUNCTION("AVERAGE(ARRAYFORMULA(XLOOKUP(FILTER(INDIRECT(""'""&amp;DC$1&amp;""'!$C$4:$C$66""),INDIRECT(""'""&amp;DC$1&amp;""'!$D$4:$D$66"")=DC$2),$F$3:$BP$3,$F208:$BP208)))"),0.10159523222222222)</f>
        <v>0.1015952322</v>
      </c>
      <c r="DD208" s="207" t="str">
        <f>IFERROR(__xludf.DUMMYFUNCTION("IF(OR(DC208&gt;$BR208+$BS208*$BS$2,DC208&lt;$BR208-$BS208*$BS$2),AVEDEV(ARRAYFORMULA(XLOOKUP(FILTER(INDIRECT(""'""&amp;DC$1&amp;""'!$C$4:$C$66""),INDIRECT(""'""&amp;DC$1&amp;""'!$D$4:$D$66"")=DC$2),$F$3:$BP$3,$F208:$BP208))),"""")"),"")</f>
        <v/>
      </c>
      <c r="DE208" s="251">
        <f>IFERROR(__xludf.DUMMYFUNCTION("AVERAGE(ARRAYFORMULA(XLOOKUP(FILTER(INDIRECT(""'""&amp;DE$1&amp;""'!$C$4:$C$66""),INDIRECT(""'""&amp;DE$1&amp;""'!$D$4:$D$66"")=DE$2),$F$3:$BP$3,$F208:$BP208)))"),-0.23785892875)</f>
        <v>-0.2378589288</v>
      </c>
      <c r="DF208" s="207" t="str">
        <f>IFERROR(__xludf.DUMMYFUNCTION("IF(OR(DE208&gt;$BR208+$BS208*$BS$2,DE208&lt;$BR208-$BS208*$BS$2),AVEDEV(ARRAYFORMULA(XLOOKUP(FILTER(INDIRECT(""'""&amp;DE$1&amp;""'!$C$4:$C$66""),INDIRECT(""'""&amp;DE$1&amp;""'!$D$4:$D$66"")=DE$2),$F$3:$BP$3,$F208:$BP208))),"""")"),"")</f>
        <v/>
      </c>
      <c r="DG208" s="251">
        <f>IFERROR(__xludf.DUMMYFUNCTION("AVERAGE(ARRAYFORMULA(XLOOKUP(FILTER(INDIRECT(""'""&amp;DG$1&amp;""'!$C$4:$C$66""),INDIRECT(""'""&amp;DG$1&amp;""'!$D$4:$D$66"")=DG$2),$F$3:$BP$3,$F208:$BP208)))"),0.25634622777777777)</f>
        <v>0.2563462278</v>
      </c>
      <c r="DH208" s="207" t="str">
        <f>IFERROR(__xludf.DUMMYFUNCTION("IF(OR(DG208&gt;$BR208+$BS208*$BS$2,DG208&lt;$BR208-$BS208*$BS$2),AVEDEV(ARRAYFORMULA(XLOOKUP(FILTER(INDIRECT(""'""&amp;DG$1&amp;""'!$C$4:$C$66""),INDIRECT(""'""&amp;DG$1&amp;""'!$D$4:$D$66"")=DG$2),$F$3:$BP$3,$F208:$BP208))),"""")"),"")</f>
        <v/>
      </c>
      <c r="DI208" s="252"/>
    </row>
    <row r="209">
      <c r="A209" s="2"/>
      <c r="B209" s="204" t="s">
        <v>646</v>
      </c>
      <c r="C209" s="204" t="s">
        <v>655</v>
      </c>
      <c r="D209" s="205" t="b">
        <f>VLOOKUP(C209,'Feature Set List'!A206:C246,2,0)</f>
        <v>1</v>
      </c>
      <c r="E209" s="205" t="b">
        <f>VLOOKUP(C209,'Feature Set List'!A206:C246,3,0)</f>
        <v>0</v>
      </c>
      <c r="F209" s="205">
        <v>0.0</v>
      </c>
      <c r="G209" s="205">
        <v>-0.5064146</v>
      </c>
      <c r="H209" s="205">
        <v>-0.9993248</v>
      </c>
      <c r="I209" s="205">
        <v>1.20661715</v>
      </c>
      <c r="J209" s="205">
        <v>0.09182984</v>
      </c>
      <c r="K209" s="205">
        <v>0.25523295</v>
      </c>
      <c r="L209" s="205">
        <v>0.1215395</v>
      </c>
      <c r="M209" s="205">
        <v>0.66509115</v>
      </c>
      <c r="N209" s="205">
        <v>0.93990547</v>
      </c>
      <c r="O209" s="205">
        <v>-1.0668467</v>
      </c>
      <c r="P209" s="205">
        <v>0.14449696</v>
      </c>
      <c r="Q209" s="205">
        <v>0.18906144</v>
      </c>
      <c r="R209" s="205">
        <v>0.81634031</v>
      </c>
      <c r="S209" s="205">
        <v>0.10465901</v>
      </c>
      <c r="T209" s="205">
        <v>1.18568535</v>
      </c>
      <c r="U209" s="205">
        <v>-0.9453072</v>
      </c>
      <c r="V209" s="205">
        <v>0.0</v>
      </c>
      <c r="W209" s="205">
        <v>-0.6826469</v>
      </c>
      <c r="X209" s="205">
        <v>-0.4773801</v>
      </c>
      <c r="Y209" s="205">
        <v>0.52329507</v>
      </c>
      <c r="Z209" s="205">
        <v>-0.1829845</v>
      </c>
      <c r="AA209" s="205">
        <v>-0.4868332</v>
      </c>
      <c r="AB209" s="205">
        <v>-0.2336259</v>
      </c>
      <c r="AC209" s="205">
        <v>-0.6887238</v>
      </c>
      <c r="AD209" s="205">
        <v>-0.0054018</v>
      </c>
      <c r="AE209" s="205">
        <v>0.1181634</v>
      </c>
      <c r="AF209" s="205">
        <v>-0.2248481</v>
      </c>
      <c r="AG209" s="205">
        <v>0.03646185</v>
      </c>
      <c r="AH209" s="205">
        <v>-0.9696151</v>
      </c>
      <c r="AI209" s="205">
        <v>-0.6076975</v>
      </c>
      <c r="AJ209" s="205">
        <v>-0.8041864</v>
      </c>
      <c r="AK209" s="205">
        <v>-0.2457799</v>
      </c>
      <c r="AL209" s="205">
        <v>1.56853477</v>
      </c>
      <c r="AM209" s="205">
        <v>0.27819041</v>
      </c>
      <c r="AN209" s="205">
        <v>-0.4051317</v>
      </c>
      <c r="AO209" s="205">
        <v>0.13504389</v>
      </c>
      <c r="AP209" s="205">
        <v>-0.8392978</v>
      </c>
      <c r="AQ209" s="205">
        <v>0.06752194</v>
      </c>
      <c r="AR209" s="205">
        <v>0.06076975</v>
      </c>
      <c r="AS209" s="205">
        <v>2.23295071</v>
      </c>
      <c r="AT209" s="205">
        <v>-1.8230925</v>
      </c>
      <c r="AU209" s="205">
        <v>-0.6752194</v>
      </c>
      <c r="AV209" s="205">
        <v>-0.6900743</v>
      </c>
      <c r="AW209" s="205">
        <v>0.43889264</v>
      </c>
      <c r="AX209" s="205">
        <v>-1.0634706</v>
      </c>
      <c r="AY209" s="205">
        <v>0.73126266</v>
      </c>
      <c r="AZ209" s="205">
        <v>-0.2518569</v>
      </c>
      <c r="BA209" s="205">
        <v>-0.1755571</v>
      </c>
      <c r="BB209" s="205">
        <v>1.71843349</v>
      </c>
      <c r="BC209" s="205">
        <v>-0.9648886</v>
      </c>
      <c r="BD209" s="205">
        <v>-0.3497637</v>
      </c>
      <c r="BE209" s="205">
        <v>-0.2748143</v>
      </c>
      <c r="BF209" s="205">
        <v>-0.1417961</v>
      </c>
      <c r="BG209" s="205">
        <v>0.02700878</v>
      </c>
      <c r="BH209" s="205">
        <v>0.52532073</v>
      </c>
      <c r="BI209" s="205">
        <v>1.32140446</v>
      </c>
      <c r="BJ209" s="205">
        <v>1.3923025</v>
      </c>
      <c r="BK209" s="205">
        <v>-0.9453072</v>
      </c>
      <c r="BL209" s="205">
        <v>-1.1731938</v>
      </c>
      <c r="BM209" s="205">
        <v>0.52464551</v>
      </c>
      <c r="BN209" s="205">
        <v>1.24105334</v>
      </c>
      <c r="BO209" s="205">
        <v>-0.8494261</v>
      </c>
      <c r="BP209" s="205">
        <v>0.11951384</v>
      </c>
      <c r="BQ209" s="206"/>
      <c r="BR209" s="250">
        <f t="shared" si="1"/>
        <v>-0.01538536079</v>
      </c>
      <c r="BS209" s="250">
        <f t="shared" si="2"/>
        <v>0.6121759992</v>
      </c>
      <c r="BT209" s="206"/>
      <c r="BU209" s="207">
        <f>IFERROR(__xludf.DUMMYFUNCTION("AVERAGE(ARRAYFORMULA(XLOOKUP(FILTER(INDIRECT(""'""&amp;BU$1&amp;""'!$C$4:$C$66""),INDIRECT(""'""&amp;BU$1&amp;""'!$D$4:$D$66"")=BU$2),$F$3:$BP$3,$F209:$BP209)))"),-0.3480274071428572)</f>
        <v>-0.3480274071</v>
      </c>
      <c r="BV209" s="207" t="str">
        <f>IFERROR(__xludf.DUMMYFUNCTION("IF(OR(BU209&gt;$BR209+$BS209*$BS$2,BU209&lt;$BR209-$BS209*$BS$2),AVEDEV(ARRAYFORMULA(XLOOKUP(FILTER(INDIRECT(""'""&amp;BU$1&amp;""'!$C$4:$C$66""),INDIRECT(""'""&amp;BU$1&amp;""'!$D$4:$D$66"")=BU$2),$F$3:$BP$3,$F209:$BP209))),"""")"),"")</f>
        <v/>
      </c>
      <c r="BW209" s="207">
        <f>IFERROR(__xludf.DUMMYFUNCTION("AVERAGE(ARRAYFORMULA(XLOOKUP(FILTER(INDIRECT(""'""&amp;BW$1&amp;""'!$C$4:$C$66""),INDIRECT(""'""&amp;BW$1&amp;""'!$D$4:$D$66"")=BW$2),$F$3:$BP$3,$F209:$BP209)))"),0.16411047619047614)</f>
        <v>0.1641104762</v>
      </c>
      <c r="BX209" s="207" t="str">
        <f>IFERROR(__xludf.DUMMYFUNCTION("IF(OR(BW209&gt;$BR209+$BS209*$BS$2,BW209&lt;$BR209-$BS209*$BS$2),AVEDEV(ARRAYFORMULA(XLOOKUP(FILTER(INDIRECT(""'""&amp;BW$1&amp;""'!$C$4:$C$66""),INDIRECT(""'""&amp;BW$1&amp;""'!$D$4:$D$66"")=BW$2),$F$3:$BP$3,$F209:$BP209))),"""")"),"")</f>
        <v/>
      </c>
      <c r="BY209" s="207">
        <f>IFERROR(__xludf.DUMMYFUNCTION("AVERAGE(ARRAYFORMULA(XLOOKUP(FILTER(INDIRECT(""'""&amp;BY$1&amp;""'!$C$4:$C$66""),INDIRECT(""'""&amp;BY$1&amp;""'!$D$4:$D$66"")=BY$2),$F$3:$BP$3,$F209:$BP209)))"),-0.1489472709090909)</f>
        <v>-0.1489472709</v>
      </c>
      <c r="BZ209" s="207" t="str">
        <f>IFERROR(__xludf.DUMMYFUNCTION("IF(OR(BY209&gt;$BR209+$BS209*$BS$2,BY209&lt;$BR209-$BS209*$BS$2),AVEDEV(ARRAYFORMULA(XLOOKUP(FILTER(INDIRECT(""'""&amp;BY$1&amp;""'!$C$4:$C$66""),INDIRECT(""'""&amp;BY$1&amp;""'!$D$4:$D$66"")=BY$2),$F$3:$BP$3,$F209:$BP209))),"""")"),"")</f>
        <v/>
      </c>
      <c r="CA209" s="209"/>
      <c r="CB209" s="207">
        <f>IFERROR(__xludf.DUMMYFUNCTION("AVERAGE(ARRAYFORMULA(XLOOKUP(FILTER(INDIRECT(""'""&amp;CB$1&amp;""'!$C$4:$C$66""),INDIRECT(""'""&amp;CB$1&amp;""'!$D$4:$D$66"")=CB$2),$F$3:$BP$3,$F209:$BP209)))"),0.005106336874999968)</f>
        <v>0.005106336875</v>
      </c>
      <c r="CC209" s="207" t="str">
        <f>IFERROR(__xludf.DUMMYFUNCTION("IF(OR(CB209&gt;$BR209+$BS209*$BS$2,CB209&lt;$BR209-$BS209*$BS$2),AVEDEV(ARRAYFORMULA(XLOOKUP(FILTER(INDIRECT(""'""&amp;CB$1&amp;""'!$C$4:$C$66""),INDIRECT(""'""&amp;CB$1&amp;""'!$D$4:$D$66"")=CB$2),$F$3:$BP$3,$F209:$BP209))),"""")"),"")</f>
        <v/>
      </c>
      <c r="CD209" s="207">
        <f>IFERROR(__xludf.DUMMYFUNCTION("AVERAGE(ARRAYFORMULA(XLOOKUP(FILTER(INDIRECT(""'""&amp;CD$1&amp;""'!$C$4:$C$66""),INDIRECT(""'""&amp;CD$1&amp;""'!$D$4:$D$66"")=CD$2),$F$3:$BP$3,$F209:$BP209)))"),0.1771035290322581)</f>
        <v>0.177103529</v>
      </c>
      <c r="CE209" s="207" t="str">
        <f>IFERROR(__xludf.DUMMYFUNCTION("IF(OR(CD209&gt;$BR209+$BS209*$BS$2,CD209&lt;$BR209-$BS209*$BS$2),AVEDEV(ARRAYFORMULA(XLOOKUP(FILTER(INDIRECT(""'""&amp;CD$1&amp;""'!$C$4:$C$66""),INDIRECT(""'""&amp;CD$1&amp;""'!$D$4:$D$66"")=CD$2),$F$3:$BP$3,$F209:$BP209))),"""")"),"")</f>
        <v/>
      </c>
      <c r="CF209" s="207">
        <f>IFERROR(__xludf.DUMMYFUNCTION("AVERAGE(ARRAYFORMULA(XLOOKUP(FILTER(INDIRECT(""'""&amp;CF$1&amp;""'!$C$4:$C$66""),INDIRECT(""'""&amp;CF$1&amp;""'!$D$4:$D$66"")=CF$2),$F$3:$BP$3,$F209:$BP209)))"),-0.259014188)</f>
        <v>-0.259014188</v>
      </c>
      <c r="CG209" s="207" t="str">
        <f>IFERROR(__xludf.DUMMYFUNCTION("IF(OR(CF209&gt;$BR209+$BS209*$BS$2,CF209&lt;$BR209-$BS209*$BS$2),AVEDEV(ARRAYFORMULA(XLOOKUP(FILTER(INDIRECT(""'""&amp;CF$1&amp;""'!$C$4:$C$66""),INDIRECT(""'""&amp;CF$1&amp;""'!$D$4:$D$66"")=CF$2),$F$3:$BP$3,$F209:$BP209))),"""")"),"")</f>
        <v/>
      </c>
      <c r="CH209" s="206"/>
      <c r="CI209" s="251">
        <f>IFERROR(__xludf.DUMMYFUNCTION("AVERAGE(ARRAYFORMULA(XLOOKUP(FILTER(INDIRECT(""'""&amp;CI$1&amp;""'!$C$4:$C$66""),INDIRECT(""'""&amp;CI$1&amp;""'!$D$4:$D$66"")=CI$2),$F$3:$BP$3,$F209:$BP209)))"),0.10625702666666666)</f>
        <v>0.1062570267</v>
      </c>
      <c r="CJ209" s="207" t="str">
        <f>IFERROR(__xludf.DUMMYFUNCTION("IF(OR(CI209&gt;$BR209+$BS209*$BS$2,CI209&lt;$BR209-$BS209*$BS$2),AVEDEV(ARRAYFORMULA(XLOOKUP(FILTER(INDIRECT(""'""&amp;CI$1&amp;""'!$C$4:$C$66""),INDIRECT(""'""&amp;CI$1&amp;""'!$D$4:$D$66"")=CI$2),$F$3:$BP$3,$F209:$BP209))),"""")"),"")</f>
        <v/>
      </c>
      <c r="CK209" s="251">
        <f>IFERROR(__xludf.DUMMYFUNCTION("AVERAGE(ARRAYFORMULA(XLOOKUP(FILTER(INDIRECT(""'""&amp;CK$1&amp;""'!$C$4:$C$66""),INDIRECT(""'""&amp;CK$1&amp;""'!$D$4:$D$66"")=CK$2),$F$3:$BP$3,$F209:$BP209)))"),0.08883463871794875)</f>
        <v>0.08883463872</v>
      </c>
      <c r="CL209" s="207" t="str">
        <f>IFERROR(__xludf.DUMMYFUNCTION("IF(OR(CK209&gt;$BR209+$BS209*$BS$2,CK209&lt;$BR209-$BS209*$BS$2),AVEDEV(ARRAYFORMULA(XLOOKUP(FILTER(INDIRECT(""'""&amp;CK$1&amp;""'!$C$4:$C$66""),INDIRECT(""'""&amp;CK$1&amp;""'!$D$4:$D$66"")=CK$2),$F$3:$BP$3,$F209:$BP209))),"""")"),"")</f>
        <v/>
      </c>
      <c r="CM209" s="251">
        <f>IFERROR(__xludf.DUMMYFUNCTION("AVERAGE(ARRAYFORMULA(XLOOKUP(FILTER(INDIRECT(""'""&amp;CM$1&amp;""'!$C$4:$C$66""),INDIRECT(""'""&amp;CM$1&amp;""'!$D$4:$D$66"")=CM$2),$F$3:$BP$3,$F209:$BP209)))"),-0.259014188)</f>
        <v>-0.259014188</v>
      </c>
      <c r="CN209" s="207" t="str">
        <f>IFERROR(__xludf.DUMMYFUNCTION("IF(OR(CM209&gt;$BR209+$BS209*$BS$2,CM209&lt;$BR209-$BS209*$BS$2),AVEDEV(ARRAYFORMULA(XLOOKUP(FILTER(INDIRECT(""'""&amp;CM$1&amp;""'!$C$4:$C$66""),INDIRECT(""'""&amp;CM$1&amp;""'!$D$4:$D$66"")=CM$2),$F$3:$BP$3,$F209:$BP209))),"""")"),"")</f>
        <v/>
      </c>
      <c r="CO209" s="252"/>
      <c r="CP209" s="251">
        <f>IFERROR(__xludf.DUMMYFUNCTION("AVERAGE(ARRAYFORMULA(XLOOKUP(FILTER(INDIRECT(""'""&amp;CP$1&amp;""'!$C$4:$C$66""),INDIRECT(""'""&amp;CP$1&amp;""'!$D$4:$D$66"")=CP$2),$F$3:$BP$3,$F209:$BP209)))"),-0.1504774864285714)</f>
        <v>-0.1504774864</v>
      </c>
      <c r="CQ209" s="207" t="str">
        <f>IFERROR(__xludf.DUMMYFUNCTION("IF(OR(CP209&gt;$BR209+$BS209*$BS$2,CP209&lt;$BR209-$BS209*$BS$2),AVEDEV(ARRAYFORMULA(XLOOKUP(FILTER(INDIRECT(""'""&amp;CP$1&amp;""'!$C$4:$C$66""),INDIRECT(""'""&amp;CP$1&amp;""'!$D$4:$D$66"")=CP$2),$F$3:$BP$3,$F209:$BP209))),"""")"),"")</f>
        <v/>
      </c>
      <c r="CR209" s="251">
        <f>IFERROR(__xludf.DUMMYFUNCTION("AVERAGE(ARRAYFORMULA(XLOOKUP(FILTER(INDIRECT(""'""&amp;CR$1&amp;""'!$C$4:$C$66""),INDIRECT(""'""&amp;CR$1&amp;""'!$D$4:$D$66"")=CR$2),$F$3:$BP$3,$F209:$BP209)))"),-0.1329432044444444)</f>
        <v>-0.1329432044</v>
      </c>
      <c r="CS209" s="207" t="str">
        <f>IFERROR(__xludf.DUMMYFUNCTION("IF(OR(CR209&gt;$BR209+$BS209*$BS$2,CR209&lt;$BR209-$BS209*$BS$2),AVEDEV(ARRAYFORMULA(XLOOKUP(FILTER(INDIRECT(""'""&amp;CR$1&amp;""'!$C$4:$C$66""),INDIRECT(""'""&amp;CR$1&amp;""'!$D$4:$D$66"")=CR$2),$F$3:$BP$3,$F209:$BP209))),"""")"),"")</f>
        <v/>
      </c>
      <c r="CT209" s="251">
        <f>IFERROR(__xludf.DUMMYFUNCTION("AVERAGE(ARRAYFORMULA(XLOOKUP(FILTER(INDIRECT(""'""&amp;CT$1&amp;""'!$C$4:$C$66""),INDIRECT(""'""&amp;CT$1&amp;""'!$D$4:$D$66"")=CT$2),$F$3:$BP$3,$F209:$BP209)))"),0.44601314)</f>
        <v>0.44601314</v>
      </c>
      <c r="CU209" s="207" t="str">
        <f>IFERROR(__xludf.DUMMYFUNCTION("IF(OR(CT209&gt;$BR209+$BS209*$BS$2,CT209&lt;$BR209-$BS209*$BS$2),AVEDEV(ARRAYFORMULA(XLOOKUP(FILTER(INDIRECT(""'""&amp;CT$1&amp;""'!$C$4:$C$66""),INDIRECT(""'""&amp;CT$1&amp;""'!$D$4:$D$66"")=CT$2),$F$3:$BP$3,$F209:$BP209))),"""")"),"")</f>
        <v/>
      </c>
      <c r="CV209" s="251">
        <f>IFERROR(__xludf.DUMMYFUNCTION("AVERAGE(ARRAYFORMULA(XLOOKUP(FILTER(INDIRECT(""'""&amp;CV$1&amp;""'!$C$4:$C$66""),INDIRECT(""'""&amp;CV$1&amp;""'!$D$4:$D$66"")=CV$2),$F$3:$BP$3,$F209:$BP209)))"),-0.33085751)</f>
        <v>-0.33085751</v>
      </c>
      <c r="CW209" s="207" t="str">
        <f>IFERROR(__xludf.DUMMYFUNCTION("IF(OR(CV209&gt;$BR209+$BS209*$BS$2,CV209&lt;$BR209-$BS209*$BS$2),AVEDEV(ARRAYFORMULA(XLOOKUP(FILTER(INDIRECT(""'""&amp;CV$1&amp;""'!$C$4:$C$66""),INDIRECT(""'""&amp;CV$1&amp;""'!$D$4:$D$66"")=CV$2),$F$3:$BP$3,$F209:$BP209))),"""")"),"")</f>
        <v/>
      </c>
      <c r="CX209" s="251">
        <f>IFERROR(__xludf.DUMMYFUNCTION("AVERAGE(ARRAYFORMULA(XLOOKUP(FILTER(INDIRECT(""'""&amp;CX$1&amp;""'!$C$4:$C$66""),INDIRECT(""'""&amp;CX$1&amp;""'!$D$4:$D$66"")=CX$2),$F$3:$BP$3,$F209:$BP209)))"),0.38096845428571424)</f>
        <v>0.3809684543</v>
      </c>
      <c r="CY209" s="207" t="str">
        <f>IFERROR(__xludf.DUMMYFUNCTION("IF(OR(CX209&gt;$BR209+$BS209*$BS$2,CX209&lt;$BR209-$BS209*$BS$2),AVEDEV(ARRAYFORMULA(XLOOKUP(FILTER(INDIRECT(""'""&amp;CX$1&amp;""'!$C$4:$C$66""),INDIRECT(""'""&amp;CX$1&amp;""'!$D$4:$D$66"")=CX$2),$F$3:$BP$3,$F209:$BP209))),"""")"),"")</f>
        <v/>
      </c>
      <c r="CZ209" s="252"/>
      <c r="DA209" s="251">
        <f>IFERROR(__xludf.DUMMYFUNCTION("AVERAGE(ARRAYFORMULA(XLOOKUP(FILTER(INDIRECT(""'""&amp;DA$1&amp;""'!$C$4:$C$66""),INDIRECT(""'""&amp;DA$1&amp;""'!$D$4:$D$66"")=DA$2),$F$3:$BP$3,$F209:$BP209)))"),0.12590591299999998)</f>
        <v>0.125905913</v>
      </c>
      <c r="DB209" s="207" t="str">
        <f>IFERROR(__xludf.DUMMYFUNCTION("IF(OR(DA209&gt;$BR209+$BS209*$BS$2,DA209&lt;$BR209-$BS209*$BS$2),AVEDEV(ARRAYFORMULA(XLOOKUP(FILTER(INDIRECT(""'""&amp;DA$1&amp;""'!$C$4:$C$66""),INDIRECT(""'""&amp;DA$1&amp;""'!$D$4:$D$66"")=DA$2),$F$3:$BP$3,$F209:$BP209))),"""")"),"")</f>
        <v/>
      </c>
      <c r="DC209" s="251">
        <f>IFERROR(__xludf.DUMMYFUNCTION("AVERAGE(ARRAYFORMULA(XLOOKUP(FILTER(INDIRECT(""'""&amp;DC$1&amp;""'!$C$4:$C$66""),INDIRECT(""'""&amp;DC$1&amp;""'!$D$4:$D$66"")=DC$2),$F$3:$BP$3,$F209:$BP209)))"),-0.29840948222222224)</f>
        <v>-0.2984094822</v>
      </c>
      <c r="DD209" s="207" t="str">
        <f>IFERROR(__xludf.DUMMYFUNCTION("IF(OR(DC209&gt;$BR209+$BS209*$BS$2,DC209&lt;$BR209-$BS209*$BS$2),AVEDEV(ARRAYFORMULA(XLOOKUP(FILTER(INDIRECT(""'""&amp;DC$1&amp;""'!$C$4:$C$66""),INDIRECT(""'""&amp;DC$1&amp;""'!$D$4:$D$66"")=DC$2),$F$3:$BP$3,$F209:$BP209))),"""")"),"")</f>
        <v/>
      </c>
      <c r="DE209" s="251">
        <f>IFERROR(__xludf.DUMMYFUNCTION("AVERAGE(ARRAYFORMULA(XLOOKUP(FILTER(INDIRECT(""'""&amp;DE$1&amp;""'!$C$4:$C$66""),INDIRECT(""'""&amp;DE$1&amp;""'!$D$4:$D$66"")=DE$2),$F$3:$BP$3,$F209:$BP209)))"),0.25101282875)</f>
        <v>0.2510128288</v>
      </c>
      <c r="DF209" s="207" t="str">
        <f>IFERROR(__xludf.DUMMYFUNCTION("IF(OR(DE209&gt;$BR209+$BS209*$BS$2,DE209&lt;$BR209-$BS209*$BS$2),AVEDEV(ARRAYFORMULA(XLOOKUP(FILTER(INDIRECT(""'""&amp;DE$1&amp;""'!$C$4:$C$66""),INDIRECT(""'""&amp;DE$1&amp;""'!$D$4:$D$66"")=DE$2),$F$3:$BP$3,$F209:$BP209))),"""")"),"")</f>
        <v/>
      </c>
      <c r="DG209" s="251">
        <f>IFERROR(__xludf.DUMMYFUNCTION("AVERAGE(ARRAYFORMULA(XLOOKUP(FILTER(INDIRECT(""'""&amp;DG$1&amp;""'!$C$4:$C$66""),INDIRECT(""'""&amp;DG$1&amp;""'!$D$4:$D$66"")=DG$2),$F$3:$BP$3,$F209:$BP209)))"),0.18711081666666665)</f>
        <v>0.1871108167</v>
      </c>
      <c r="DH209" s="207" t="str">
        <f>IFERROR(__xludf.DUMMYFUNCTION("IF(OR(DG209&gt;$BR209+$BS209*$BS$2,DG209&lt;$BR209-$BS209*$BS$2),AVEDEV(ARRAYFORMULA(XLOOKUP(FILTER(INDIRECT(""'""&amp;DG$1&amp;""'!$C$4:$C$66""),INDIRECT(""'""&amp;DG$1&amp;""'!$D$4:$D$66"")=DG$2),$F$3:$BP$3,$F209:$BP209))),"""")"),"")</f>
        <v/>
      </c>
      <c r="DI209" s="252"/>
    </row>
    <row r="210">
      <c r="A210" s="2"/>
      <c r="B210" s="204" t="s">
        <v>646</v>
      </c>
      <c r="C210" s="204" t="s">
        <v>656</v>
      </c>
      <c r="D210" s="205" t="b">
        <f>VLOOKUP(C210,'Feature Set List'!A207:C246,2,0)</f>
        <v>1</v>
      </c>
      <c r="E210" s="205" t="b">
        <f>VLOOKUP(C210,'Feature Set List'!A207:C246,3,0)</f>
        <v>0</v>
      </c>
      <c r="F210" s="205">
        <v>-0.6865801</v>
      </c>
      <c r="G210" s="205">
        <v>2.6978355</v>
      </c>
      <c r="H210" s="205">
        <v>-1.0541126</v>
      </c>
      <c r="I210" s="205">
        <v>-0.8155844</v>
      </c>
      <c r="J210" s="205">
        <v>-0.869697</v>
      </c>
      <c r="K210" s="205">
        <v>-0.1121212</v>
      </c>
      <c r="L210" s="205">
        <v>0.66580087</v>
      </c>
      <c r="M210" s="205">
        <v>-0.8441558</v>
      </c>
      <c r="N210" s="205">
        <v>1.40692641</v>
      </c>
      <c r="O210" s="205">
        <v>0.25800866</v>
      </c>
      <c r="P210" s="205">
        <v>0.98268398</v>
      </c>
      <c r="Q210" s="205">
        <v>-0.4229437</v>
      </c>
      <c r="R210" s="205">
        <v>0.34761905</v>
      </c>
      <c r="S210" s="205">
        <v>-0.1658009</v>
      </c>
      <c r="T210" s="205">
        <v>-0.3683983</v>
      </c>
      <c r="U210" s="205">
        <v>-0.1160173</v>
      </c>
      <c r="V210" s="205">
        <v>0.5030303</v>
      </c>
      <c r="W210" s="205">
        <v>1.8987013</v>
      </c>
      <c r="X210" s="205">
        <v>0.0</v>
      </c>
      <c r="Y210" s="205">
        <v>0.19177489</v>
      </c>
      <c r="Z210" s="205">
        <v>0.6008658</v>
      </c>
      <c r="AA210" s="205">
        <v>-0.4047619</v>
      </c>
      <c r="AB210" s="205">
        <v>-0.6692641</v>
      </c>
      <c r="AC210" s="205">
        <v>1.2021645</v>
      </c>
      <c r="AD210" s="205">
        <v>-0.5645022</v>
      </c>
      <c r="AE210" s="205">
        <v>-0.0437229</v>
      </c>
      <c r="AF210" s="205">
        <v>0.01818182</v>
      </c>
      <c r="AG210" s="205">
        <v>-0.4632035</v>
      </c>
      <c r="AH210" s="205">
        <v>0.0025974</v>
      </c>
      <c r="AI210" s="205">
        <v>0.1004329</v>
      </c>
      <c r="AJ210" s="205">
        <v>-0.3402597</v>
      </c>
      <c r="AK210" s="205">
        <v>1.58051948</v>
      </c>
      <c r="AL210" s="205">
        <v>-1.6311688</v>
      </c>
      <c r="AM210" s="205">
        <v>-0.1883117</v>
      </c>
      <c r="AN210" s="205">
        <v>0.01082251</v>
      </c>
      <c r="AO210" s="205">
        <v>-0.3718615</v>
      </c>
      <c r="AP210" s="205">
        <v>0.04458874</v>
      </c>
      <c r="AQ210" s="205">
        <v>-0.1385281</v>
      </c>
      <c r="AR210" s="205">
        <v>1.11731602</v>
      </c>
      <c r="AS210" s="205">
        <v>-1.6311688</v>
      </c>
      <c r="AT210" s="205">
        <v>2.6978355</v>
      </c>
      <c r="AU210" s="205">
        <v>-0.3458874</v>
      </c>
      <c r="AV210" s="205">
        <v>-1.0233766</v>
      </c>
      <c r="AW210" s="205">
        <v>1.92251082</v>
      </c>
      <c r="AX210" s="205">
        <v>1.25497835</v>
      </c>
      <c r="AY210" s="205">
        <v>0.27662338</v>
      </c>
      <c r="AZ210" s="205">
        <v>0.73766234</v>
      </c>
      <c r="BA210" s="205">
        <v>0.0</v>
      </c>
      <c r="BB210" s="205">
        <v>-1.6311688</v>
      </c>
      <c r="BC210" s="205">
        <v>0.11255411</v>
      </c>
      <c r="BD210" s="205">
        <v>-0.6242424</v>
      </c>
      <c r="BE210" s="205">
        <v>1.06580087</v>
      </c>
      <c r="BF210" s="205">
        <v>-0.1714286</v>
      </c>
      <c r="BG210" s="205">
        <v>-1.6311688</v>
      </c>
      <c r="BH210" s="205">
        <v>1.85454545</v>
      </c>
      <c r="BI210" s="205">
        <v>-0.5489177</v>
      </c>
      <c r="BJ210" s="205">
        <v>0.65151515</v>
      </c>
      <c r="BK210" s="205">
        <v>-0.4428571</v>
      </c>
      <c r="BL210" s="205">
        <v>0.19177489</v>
      </c>
      <c r="BM210" s="205">
        <v>0.53333333</v>
      </c>
      <c r="BN210" s="205">
        <v>0.19177489</v>
      </c>
      <c r="BO210" s="205">
        <v>0.43333333</v>
      </c>
      <c r="BP210" s="205">
        <v>-0.0493506</v>
      </c>
      <c r="BQ210" s="206"/>
      <c r="BR210" s="250">
        <f t="shared" si="1"/>
        <v>0.1140246038</v>
      </c>
      <c r="BS210" s="250">
        <f t="shared" si="2"/>
        <v>0.7115657132</v>
      </c>
      <c r="BT210" s="206"/>
      <c r="BU210" s="207">
        <f>IFERROR(__xludf.DUMMYFUNCTION("AVERAGE(ARRAYFORMULA(XLOOKUP(FILTER(INDIRECT(""'""&amp;BU$1&amp;""'!$C$4:$C$66""),INDIRECT(""'""&amp;BU$1&amp;""'!$D$4:$D$66"")=BU$2),$F$3:$BP$3,$F210:$BP210)))"),0.24700062285714286)</f>
        <v>0.2470006229</v>
      </c>
      <c r="BV210" s="207" t="str">
        <f>IFERROR(__xludf.DUMMYFUNCTION("IF(OR(BU210&gt;$BR210+$BS210*$BS$2,BU210&lt;$BR210-$BS210*$BS$2),AVEDEV(ARRAYFORMULA(XLOOKUP(FILTER(INDIRECT(""'""&amp;BU$1&amp;""'!$C$4:$C$66""),INDIRECT(""'""&amp;BU$1&amp;""'!$D$4:$D$66"")=BU$2),$F$3:$BP$3,$F210:$BP210))),"""")"),"")</f>
        <v/>
      </c>
      <c r="BW210" s="207">
        <f>IFERROR(__xludf.DUMMYFUNCTION("AVERAGE(ARRAYFORMULA(XLOOKUP(FILTER(INDIRECT(""'""&amp;BW$1&amp;""'!$C$4:$C$66""),INDIRECT(""'""&amp;BW$1&amp;""'!$D$4:$D$66"")=BW$2),$F$3:$BP$3,$F210:$BP210)))"),0.049371269761904785)</f>
        <v>0.04937126976</v>
      </c>
      <c r="BX210" s="207" t="str">
        <f>IFERROR(__xludf.DUMMYFUNCTION("IF(OR(BW210&gt;$BR210+$BS210*$BS$2,BW210&lt;$BR210-$BS210*$BS$2),AVEDEV(ARRAYFORMULA(XLOOKUP(FILTER(INDIRECT(""'""&amp;BW$1&amp;""'!$C$4:$C$66""),INDIRECT(""'""&amp;BW$1&amp;""'!$D$4:$D$66"")=BW$2),$F$3:$BP$3,$F210:$BP210))),"""")"),"")</f>
        <v/>
      </c>
      <c r="BY210" s="207">
        <f>IFERROR(__xludf.DUMMYFUNCTION("AVERAGE(ARRAYFORMULA(XLOOKUP(FILTER(INDIRECT(""'""&amp;BY$1&amp;""'!$C$4:$C$66""),INDIRECT(""'""&amp;BY$1&amp;""'!$D$4:$D$66"")=BY$2),$F$3:$BP$3,$F210:$BP210)))"),0.14769775818181813)</f>
        <v>0.1476977582</v>
      </c>
      <c r="BZ210" s="207" t="str">
        <f>IFERROR(__xludf.DUMMYFUNCTION("IF(OR(BY210&gt;$BR210+$BS210*$BS$2,BY210&lt;$BR210-$BS210*$BS$2),AVEDEV(ARRAYFORMULA(XLOOKUP(FILTER(INDIRECT(""'""&amp;BY$1&amp;""'!$C$4:$C$66""),INDIRECT(""'""&amp;BY$1&amp;""'!$D$4:$D$66"")=BY$2),$F$3:$BP$3,$F210:$BP210))),"""")"),"")</f>
        <v/>
      </c>
      <c r="CA210" s="209"/>
      <c r="CB210" s="207">
        <f>IFERROR(__xludf.DUMMYFUNCTION("AVERAGE(ARRAYFORMULA(XLOOKUP(FILTER(INDIRECT(""'""&amp;CB$1&amp;""'!$C$4:$C$66""),INDIRECT(""'""&amp;CB$1&amp;""'!$D$4:$D$66"")=CB$2),$F$3:$BP$3,$F210:$BP210)))"),-0.19475107937499994)</f>
        <v>-0.1947510794</v>
      </c>
      <c r="CC210" s="207" t="str">
        <f>IFERROR(__xludf.DUMMYFUNCTION("IF(OR(CB210&gt;$BR210+$BS210*$BS$2,CB210&lt;$BR210-$BS210*$BS$2),AVEDEV(ARRAYFORMULA(XLOOKUP(FILTER(INDIRECT(""'""&amp;CB$1&amp;""'!$C$4:$C$66""),INDIRECT(""'""&amp;CB$1&amp;""'!$D$4:$D$66"")=CB$2),$F$3:$BP$3,$F210:$BP210))),"""")"),"")</f>
        <v/>
      </c>
      <c r="CD210" s="207">
        <f>IFERROR(__xludf.DUMMYFUNCTION("AVERAGE(ARRAYFORMULA(XLOOKUP(FILTER(INDIRECT(""'""&amp;CD$1&amp;""'!$C$4:$C$66""),INDIRECT(""'""&amp;CD$1&amp;""'!$D$4:$D$66"")=CD$2),$F$3:$BP$3,$F210:$BP210)))"),0.12322302161290322)</f>
        <v>0.1232230216</v>
      </c>
      <c r="CE210" s="207" t="str">
        <f>IFERROR(__xludf.DUMMYFUNCTION("IF(OR(CD210&gt;$BR210+$BS210*$BS$2,CD210&lt;$BR210-$BS210*$BS$2),AVEDEV(ARRAYFORMULA(XLOOKUP(FILTER(INDIRECT(""'""&amp;CD$1&amp;""'!$C$4:$C$66""),INDIRECT(""'""&amp;CD$1&amp;""'!$D$4:$D$66"")=CD$2),$F$3:$BP$3,$F210:$BP210))),"""")"),"")</f>
        <v/>
      </c>
      <c r="CF210" s="207">
        <f>IFERROR(__xludf.DUMMYFUNCTION("AVERAGE(ARRAYFORMULA(XLOOKUP(FILTER(INDIRECT(""'""&amp;CF$1&amp;""'!$C$4:$C$66""),INDIRECT(""'""&amp;CF$1&amp;""'!$D$4:$D$66"")=CF$2),$F$3:$BP$3,$F210:$BP210)))"),0.35515150400000006)</f>
        <v>0.355151504</v>
      </c>
      <c r="CG210" s="207" t="str">
        <f>IFERROR(__xludf.DUMMYFUNCTION("IF(OR(CF210&gt;$BR210+$BS210*$BS$2,CF210&lt;$BR210-$BS210*$BS$2),AVEDEV(ARRAYFORMULA(XLOOKUP(FILTER(INDIRECT(""'""&amp;CF$1&amp;""'!$C$4:$C$66""),INDIRECT(""'""&amp;CF$1&amp;""'!$D$4:$D$66"")=CF$2),$F$3:$BP$3,$F210:$BP210))),"""")"),"")</f>
        <v/>
      </c>
      <c r="CH210" s="206"/>
      <c r="CI210" s="251">
        <f>IFERROR(__xludf.DUMMYFUNCTION("AVERAGE(ARRAYFORMULA(XLOOKUP(FILTER(INDIRECT(""'""&amp;CI$1&amp;""'!$C$4:$C$66""),INDIRECT(""'""&amp;CI$1&amp;""'!$D$4:$D$66"")=CI$2),$F$3:$BP$3,$F210:$BP210)))"),-0.22487734799999995)</f>
        <v>-0.224877348</v>
      </c>
      <c r="CJ210" s="207" t="str">
        <f>IFERROR(__xludf.DUMMYFUNCTION("IF(OR(CI210&gt;$BR210+$BS210*$BS$2,CI210&lt;$BR210-$BS210*$BS$2),AVEDEV(ARRAYFORMULA(XLOOKUP(FILTER(INDIRECT(""'""&amp;CI$1&amp;""'!$C$4:$C$66""),INDIRECT(""'""&amp;CI$1&amp;""'!$D$4:$D$66"")=CI$2),$F$3:$BP$3,$F210:$BP210))),"""")"),"")</f>
        <v/>
      </c>
      <c r="CK210" s="251">
        <f>IFERROR(__xludf.DUMMYFUNCTION("AVERAGE(ARRAYFORMULA(XLOOKUP(FILTER(INDIRECT(""'""&amp;CK$1&amp;""'!$C$4:$C$66""),INDIRECT(""'""&amp;CK$1&amp;""'!$D$4:$D$66"")=CK$2),$F$3:$BP$3,$F210:$BP210)))"),0.19147520076923077)</f>
        <v>0.1914752008</v>
      </c>
      <c r="CL210" s="207" t="str">
        <f>IFERROR(__xludf.DUMMYFUNCTION("IF(OR(CK210&gt;$BR210+$BS210*$BS$2,CK210&lt;$BR210-$BS210*$BS$2),AVEDEV(ARRAYFORMULA(XLOOKUP(FILTER(INDIRECT(""'""&amp;CK$1&amp;""'!$C$4:$C$66""),INDIRECT(""'""&amp;CK$1&amp;""'!$D$4:$D$66"")=CK$2),$F$3:$BP$3,$F210:$BP210))),"""")"),"")</f>
        <v/>
      </c>
      <c r="CM210" s="251">
        <f>IFERROR(__xludf.DUMMYFUNCTION("AVERAGE(ARRAYFORMULA(XLOOKUP(FILTER(INDIRECT(""'""&amp;CM$1&amp;""'!$C$4:$C$66""),INDIRECT(""'""&amp;CM$1&amp;""'!$D$4:$D$66"")=CM$2),$F$3:$BP$3,$F210:$BP210)))"),0.35515150400000006)</f>
        <v>0.355151504</v>
      </c>
      <c r="CN210" s="207" t="str">
        <f>IFERROR(__xludf.DUMMYFUNCTION("IF(OR(CM210&gt;$BR210+$BS210*$BS$2,CM210&lt;$BR210-$BS210*$BS$2),AVEDEV(ARRAYFORMULA(XLOOKUP(FILTER(INDIRECT(""'""&amp;CM$1&amp;""'!$C$4:$C$66""),INDIRECT(""'""&amp;CM$1&amp;""'!$D$4:$D$66"")=CM$2),$F$3:$BP$3,$F210:$BP210))),"""")"),"")</f>
        <v/>
      </c>
      <c r="CO210" s="252"/>
      <c r="CP210" s="251">
        <f>IFERROR(__xludf.DUMMYFUNCTION("AVERAGE(ARRAYFORMULA(XLOOKUP(FILTER(INDIRECT(""'""&amp;CP$1&amp;""'!$C$4:$C$66""),INDIRECT(""'""&amp;CP$1&amp;""'!$D$4:$D$66"")=CP$2),$F$3:$BP$3,$F210:$BP210)))"),0.1418058185714286)</f>
        <v>0.1418058186</v>
      </c>
      <c r="CQ210" s="207" t="str">
        <f>IFERROR(__xludf.DUMMYFUNCTION("IF(OR(CP210&gt;$BR210+$BS210*$BS$2,CP210&lt;$BR210-$BS210*$BS$2),AVEDEV(ARRAYFORMULA(XLOOKUP(FILTER(INDIRECT(""'""&amp;CP$1&amp;""'!$C$4:$C$66""),INDIRECT(""'""&amp;CP$1&amp;""'!$D$4:$D$66"")=CP$2),$F$3:$BP$3,$F210:$BP210))),"""")"),"")</f>
        <v/>
      </c>
      <c r="CR210" s="251">
        <f>IFERROR(__xludf.DUMMYFUNCTION("AVERAGE(ARRAYFORMULA(XLOOKUP(FILTER(INDIRECT(""'""&amp;CR$1&amp;""'!$C$4:$C$66""),INDIRECT(""'""&amp;CR$1&amp;""'!$D$4:$D$66"")=CR$2),$F$3:$BP$3,$F210:$BP210)))"),0.12847522999999994)</f>
        <v>0.12847523</v>
      </c>
      <c r="CS210" s="207" t="str">
        <f>IFERROR(__xludf.DUMMYFUNCTION("IF(OR(CR210&gt;$BR210+$BS210*$BS$2,CR210&lt;$BR210-$BS210*$BS$2),AVEDEV(ARRAYFORMULA(XLOOKUP(FILTER(INDIRECT(""'""&amp;CR$1&amp;""'!$C$4:$C$66""),INDIRECT(""'""&amp;CR$1&amp;""'!$D$4:$D$66"")=CR$2),$F$3:$BP$3,$F210:$BP210))),"""")"),"")</f>
        <v/>
      </c>
      <c r="CT210" s="251">
        <f>IFERROR(__xludf.DUMMYFUNCTION("AVERAGE(ARRAYFORMULA(XLOOKUP(FILTER(INDIRECT(""'""&amp;CT$1&amp;""'!$C$4:$C$66""),INDIRECT(""'""&amp;CT$1&amp;""'!$D$4:$D$66"")=CT$2),$F$3:$BP$3,$F210:$BP210)))"),-0.3545454527272727)</f>
        <v>-0.3545454527</v>
      </c>
      <c r="CU210" s="207" t="str">
        <f>IFERROR(__xludf.DUMMYFUNCTION("IF(OR(CT210&gt;$BR210+$BS210*$BS$2,CT210&lt;$BR210-$BS210*$BS$2),AVEDEV(ARRAYFORMULA(XLOOKUP(FILTER(INDIRECT(""'""&amp;CT$1&amp;""'!$C$4:$C$66""),INDIRECT(""'""&amp;CT$1&amp;""'!$D$4:$D$66"")=CT$2),$F$3:$BP$3,$F210:$BP210))),"""")"),"")</f>
        <v/>
      </c>
      <c r="CV210" s="251">
        <f>IFERROR(__xludf.DUMMYFUNCTION("AVERAGE(ARRAYFORMULA(XLOOKUP(FILTER(INDIRECT(""'""&amp;CV$1&amp;""'!$C$4:$C$66""),INDIRECT(""'""&amp;CV$1&amp;""'!$D$4:$D$66"")=CV$2),$F$3:$BP$3,$F210:$BP210)))"),-0.21450214999999995)</f>
        <v>-0.21450215</v>
      </c>
      <c r="CW210" s="207" t="str">
        <f>IFERROR(__xludf.DUMMYFUNCTION("IF(OR(CV210&gt;$BR210+$BS210*$BS$2,CV210&lt;$BR210-$BS210*$BS$2),AVEDEV(ARRAYFORMULA(XLOOKUP(FILTER(INDIRECT(""'""&amp;CV$1&amp;""'!$C$4:$C$66""),INDIRECT(""'""&amp;CV$1&amp;""'!$D$4:$D$66"")=CV$2),$F$3:$BP$3,$F210:$BP210))),"""")"),"")</f>
        <v/>
      </c>
      <c r="CX210" s="251">
        <f>IFERROR(__xludf.DUMMYFUNCTION("AVERAGE(ARRAYFORMULA(XLOOKUP(FILTER(INDIRECT(""'""&amp;CX$1&amp;""'!$C$4:$C$66""),INDIRECT(""'""&amp;CX$1&amp;""'!$D$4:$D$66"")=CX$2),$F$3:$BP$3,$F210:$BP210)))"),0.31759432214285727)</f>
        <v>0.3175943221</v>
      </c>
      <c r="CY210" s="207" t="str">
        <f>IFERROR(__xludf.DUMMYFUNCTION("IF(OR(CX210&gt;$BR210+$BS210*$BS$2,CX210&lt;$BR210-$BS210*$BS$2),AVEDEV(ARRAYFORMULA(XLOOKUP(FILTER(INDIRECT(""'""&amp;CX$1&amp;""'!$C$4:$C$66""),INDIRECT(""'""&amp;CX$1&amp;""'!$D$4:$D$66"")=CX$2),$F$3:$BP$3,$F210:$BP210))),"""")"),"")</f>
        <v/>
      </c>
      <c r="CZ210" s="252"/>
      <c r="DA210" s="251">
        <f>IFERROR(__xludf.DUMMYFUNCTION("AVERAGE(ARRAYFORMULA(XLOOKUP(FILTER(INDIRECT(""'""&amp;DA$1&amp;""'!$C$4:$C$66""),INDIRECT(""'""&amp;DA$1&amp;""'!$D$4:$D$66"")=DA$2),$F$3:$BP$3,$F210:$BP210)))"),0.038066381)</f>
        <v>0.038066381</v>
      </c>
      <c r="DB210" s="207" t="str">
        <f>IFERROR(__xludf.DUMMYFUNCTION("IF(OR(DA210&gt;$BR210+$BS210*$BS$2,DA210&lt;$BR210-$BS210*$BS$2),AVEDEV(ARRAYFORMULA(XLOOKUP(FILTER(INDIRECT(""'""&amp;DA$1&amp;""'!$C$4:$C$66""),INDIRECT(""'""&amp;DA$1&amp;""'!$D$4:$D$66"")=DA$2),$F$3:$BP$3,$F210:$BP210))),"""")"),"")</f>
        <v/>
      </c>
      <c r="DC210" s="251">
        <f>IFERROR(__xludf.DUMMYFUNCTION("AVERAGE(ARRAYFORMULA(XLOOKUP(FILTER(INDIRECT(""'""&amp;DC$1&amp;""'!$C$4:$C$66""),INDIRECT(""'""&amp;DC$1&amp;""'!$D$4:$D$66"")=DC$2),$F$3:$BP$3,$F210:$BP210)))"),0.11620971777777779)</f>
        <v>0.1162097178</v>
      </c>
      <c r="DD210" s="207" t="str">
        <f>IFERROR(__xludf.DUMMYFUNCTION("IF(OR(DC210&gt;$BR210+$BS210*$BS$2,DC210&lt;$BR210-$BS210*$BS$2),AVEDEV(ARRAYFORMULA(XLOOKUP(FILTER(INDIRECT(""'""&amp;DC$1&amp;""'!$C$4:$C$66""),INDIRECT(""'""&amp;DC$1&amp;""'!$D$4:$D$66"")=DC$2),$F$3:$BP$3,$F210:$BP210))),"""")"),"")</f>
        <v/>
      </c>
      <c r="DE210" s="251">
        <f>IFERROR(__xludf.DUMMYFUNCTION("AVERAGE(ARRAYFORMULA(XLOOKUP(FILTER(INDIRECT(""'""&amp;DE$1&amp;""'!$C$4:$C$66""),INDIRECT(""'""&amp;DE$1&amp;""'!$D$4:$D$66"")=DE$2),$F$3:$BP$3,$F210:$BP210)))"),0.39951298625)</f>
        <v>0.3995129863</v>
      </c>
      <c r="DF210" s="207" t="str">
        <f>IFERROR(__xludf.DUMMYFUNCTION("IF(OR(DE210&gt;$BR210+$BS210*$BS$2,DE210&lt;$BR210-$BS210*$BS$2),AVEDEV(ARRAYFORMULA(XLOOKUP(FILTER(INDIRECT(""'""&amp;DE$1&amp;""'!$C$4:$C$66""),INDIRECT(""'""&amp;DE$1&amp;""'!$D$4:$D$66"")=DE$2),$F$3:$BP$3,$F210:$BP210))),"""")"),"")</f>
        <v/>
      </c>
      <c r="DG210" s="251">
        <f>IFERROR(__xludf.DUMMYFUNCTION("AVERAGE(ARRAYFORMULA(XLOOKUP(FILTER(INDIRECT(""'""&amp;DG$1&amp;""'!$C$4:$C$66""),INDIRECT(""'""&amp;DG$1&amp;""'!$D$4:$D$66"")=DG$2),$F$3:$BP$3,$F210:$BP210)))"),-0.1427609288888889)</f>
        <v>-0.1427609289</v>
      </c>
      <c r="DH210" s="207" t="str">
        <f>IFERROR(__xludf.DUMMYFUNCTION("IF(OR(DG210&gt;$BR210+$BS210*$BS$2,DG210&lt;$BR210-$BS210*$BS$2),AVEDEV(ARRAYFORMULA(XLOOKUP(FILTER(INDIRECT(""'""&amp;DG$1&amp;""'!$C$4:$C$66""),INDIRECT(""'""&amp;DG$1&amp;""'!$D$4:$D$66"")=DG$2),$F$3:$BP$3,$F210:$BP210))),"""")"),"")</f>
        <v/>
      </c>
      <c r="DI210" s="252"/>
    </row>
    <row r="211">
      <c r="A211" s="2"/>
      <c r="B211" s="204" t="s">
        <v>646</v>
      </c>
      <c r="C211" s="204" t="s">
        <v>657</v>
      </c>
      <c r="D211" s="205" t="b">
        <f>VLOOKUP(C211,'Feature Set List'!A208:C246,2,0)</f>
        <v>1</v>
      </c>
      <c r="E211" s="205" t="b">
        <f>VLOOKUP(C211,'Feature Set List'!A208:C246,3,0)</f>
        <v>0</v>
      </c>
      <c r="F211" s="205">
        <v>0.0</v>
      </c>
      <c r="G211" s="205">
        <v>0.02284</v>
      </c>
      <c r="H211" s="205">
        <v>0.0</v>
      </c>
      <c r="I211" s="205">
        <v>0.0</v>
      </c>
      <c r="J211" s="205">
        <v>0.0</v>
      </c>
      <c r="K211" s="205">
        <v>0.0</v>
      </c>
      <c r="L211" s="205">
        <v>0.0</v>
      </c>
      <c r="M211" s="205">
        <v>0.0</v>
      </c>
      <c r="N211" s="205">
        <v>0.008163</v>
      </c>
      <c r="O211" s="205">
        <v>0.0</v>
      </c>
      <c r="P211" s="205">
        <v>0.1693</v>
      </c>
      <c r="Q211" s="205">
        <v>0.02206</v>
      </c>
      <c r="R211" s="205">
        <v>0.2965</v>
      </c>
      <c r="S211" s="205">
        <v>0.0</v>
      </c>
      <c r="T211" s="205">
        <v>0.0</v>
      </c>
      <c r="U211" s="205">
        <v>0.0</v>
      </c>
      <c r="V211" s="205">
        <v>0.0</v>
      </c>
      <c r="W211" s="205">
        <v>0.01105</v>
      </c>
      <c r="X211" s="205">
        <v>0.0</v>
      </c>
      <c r="Y211" s="205">
        <v>0.0</v>
      </c>
      <c r="Z211" s="205">
        <v>0.0</v>
      </c>
      <c r="AA211" s="205">
        <v>0.0</v>
      </c>
      <c r="AB211" s="205">
        <v>0.0</v>
      </c>
      <c r="AC211" s="205">
        <v>0.0</v>
      </c>
      <c r="AD211" s="205">
        <v>0.0</v>
      </c>
      <c r="AE211" s="205">
        <v>0.0</v>
      </c>
      <c r="AF211" s="205">
        <v>0.0</v>
      </c>
      <c r="AG211" s="205">
        <v>0.0</v>
      </c>
      <c r="AH211" s="205">
        <v>0.0</v>
      </c>
      <c r="AI211" s="205">
        <v>0.4396</v>
      </c>
      <c r="AJ211" s="205">
        <v>0.0</v>
      </c>
      <c r="AK211" s="205">
        <v>0.0</v>
      </c>
      <c r="AL211" s="205">
        <v>0.0</v>
      </c>
      <c r="AM211" s="205">
        <v>0.0</v>
      </c>
      <c r="AN211" s="205">
        <v>0.4495</v>
      </c>
      <c r="AO211" s="205">
        <v>0.44</v>
      </c>
      <c r="AP211" s="205">
        <v>0.0</v>
      </c>
      <c r="AQ211" s="205">
        <v>0.0</v>
      </c>
      <c r="AR211" s="205">
        <v>0.5556</v>
      </c>
      <c r="AS211" s="205">
        <v>0.0</v>
      </c>
      <c r="AT211" s="205">
        <v>0.0</v>
      </c>
      <c r="AU211" s="205">
        <v>0.0</v>
      </c>
      <c r="AV211" s="205">
        <v>0.0</v>
      </c>
      <c r="AW211" s="205">
        <v>0.1474</v>
      </c>
      <c r="AX211" s="205">
        <v>0.0</v>
      </c>
      <c r="AY211" s="205">
        <v>0.0</v>
      </c>
      <c r="AZ211" s="205">
        <v>0.0</v>
      </c>
      <c r="BA211" s="205">
        <v>0.01536</v>
      </c>
      <c r="BB211" s="205">
        <v>0.0</v>
      </c>
      <c r="BC211" s="205">
        <v>0.0</v>
      </c>
      <c r="BD211" s="205">
        <v>0.0</v>
      </c>
      <c r="BE211" s="205">
        <v>0.3196</v>
      </c>
      <c r="BF211" s="205">
        <v>0.0</v>
      </c>
      <c r="BG211" s="205">
        <v>0.0</v>
      </c>
      <c r="BH211" s="205">
        <v>0.0</v>
      </c>
      <c r="BI211" s="205">
        <v>0.0</v>
      </c>
      <c r="BJ211" s="205">
        <v>0.0</v>
      </c>
      <c r="BK211" s="205">
        <v>0.0</v>
      </c>
      <c r="BL211" s="205">
        <v>0.0</v>
      </c>
      <c r="BM211" s="205">
        <v>0.0202</v>
      </c>
      <c r="BN211" s="205">
        <v>0.0</v>
      </c>
      <c r="BO211" s="205">
        <v>0.0</v>
      </c>
      <c r="BP211" s="205">
        <v>0.6162</v>
      </c>
      <c r="BQ211" s="206"/>
      <c r="BR211" s="250">
        <f t="shared" si="1"/>
        <v>0.05608528571</v>
      </c>
      <c r="BS211" s="250">
        <f t="shared" si="2"/>
        <v>0.09298198186</v>
      </c>
      <c r="BT211" s="206"/>
      <c r="BU211" s="207">
        <f>IFERROR(__xludf.DUMMYFUNCTION("AVERAGE(ARRAYFORMULA(XLOOKUP(FILTER(INDIRECT(""'""&amp;BU$1&amp;""'!$C$4:$C$66""),INDIRECT(""'""&amp;BU$1&amp;""'!$D$4:$D$66"")=BU$2),$F$3:$BP$3,$F211:$BP211)))"),0.06798714285714286)</f>
        <v>0.06798714286</v>
      </c>
      <c r="BV211" s="207" t="str">
        <f>IFERROR(__xludf.DUMMYFUNCTION("IF(OR(BU211&gt;$BR211+$BS211*$BS$2,BU211&lt;$BR211-$BS211*$BS$2),AVEDEV(ARRAYFORMULA(XLOOKUP(FILTER(INDIRECT(""'""&amp;BU$1&amp;""'!$C$4:$C$66""),INDIRECT(""'""&amp;BU$1&amp;""'!$D$4:$D$66"")=BU$2),$F$3:$BP$3,$F211:$BP211))),"""")"),"")</f>
        <v/>
      </c>
      <c r="BW211" s="207">
        <f>IFERROR(__xludf.DUMMYFUNCTION("AVERAGE(ARRAYFORMULA(XLOOKUP(FILTER(INDIRECT(""'""&amp;BW$1&amp;""'!$C$4:$C$66""),INDIRECT(""'""&amp;BW$1&amp;""'!$D$4:$D$66"")=BW$2),$F$3:$BP$3,$F211:$BP211)))"),0.0727967380952381)</f>
        <v>0.0727967381</v>
      </c>
      <c r="BX211" s="207" t="str">
        <f>IFERROR(__xludf.DUMMYFUNCTION("IF(OR(BW211&gt;$BR211+$BS211*$BS$2,BW211&lt;$BR211-$BS211*$BS$2),AVEDEV(ARRAYFORMULA(XLOOKUP(FILTER(INDIRECT(""'""&amp;BW$1&amp;""'!$C$4:$C$66""),INDIRECT(""'""&amp;BW$1&amp;""'!$D$4:$D$66"")=BW$2),$F$3:$BP$3,$F211:$BP211))),"""")"),"")</f>
        <v/>
      </c>
      <c r="BY211" s="207">
        <f>IFERROR(__xludf.DUMMYFUNCTION("AVERAGE(ARRAYFORMULA(XLOOKUP(FILTER(INDIRECT(""'""&amp;BY$1&amp;""'!$C$4:$C$66""),INDIRECT(""'""&amp;BY$1&amp;""'!$D$4:$D$66"")=BY$2),$F$3:$BP$3,$F211:$BP211)))"),0.0)</f>
        <v>0</v>
      </c>
      <c r="BZ211" s="207" t="str">
        <f>IFERROR(__xludf.DUMMYFUNCTION("IF(OR(BY211&gt;$BR211+$BS211*$BS$2,BY211&lt;$BR211-$BS211*$BS$2),AVEDEV(ARRAYFORMULA(XLOOKUP(FILTER(INDIRECT(""'""&amp;BY$1&amp;""'!$C$4:$C$66""),INDIRECT(""'""&amp;BY$1&amp;""'!$D$4:$D$66"")=BY$2),$F$3:$BP$3,$F211:$BP211))),"""")"),"")</f>
        <v/>
      </c>
      <c r="CA211" s="209"/>
      <c r="CB211" s="207">
        <f>IFERROR(__xludf.DUMMYFUNCTION("AVERAGE(ARRAYFORMULA(XLOOKUP(FILTER(INDIRECT(""'""&amp;CB$1&amp;""'!$C$4:$C$66""),INDIRECT(""'""&amp;CB$1&amp;""'!$D$4:$D$66"")=CB$2),$F$3:$BP$3,$F211:$BP211)))"),0.0498625)</f>
        <v>0.0498625</v>
      </c>
      <c r="CC211" s="207" t="str">
        <f>IFERROR(__xludf.DUMMYFUNCTION("IF(OR(CB211&gt;$BR211+$BS211*$BS$2,CB211&lt;$BR211-$BS211*$BS$2),AVEDEV(ARRAYFORMULA(XLOOKUP(FILTER(INDIRECT(""'""&amp;CB$1&amp;""'!$C$4:$C$66""),INDIRECT(""'""&amp;CB$1&amp;""'!$D$4:$D$66"")=CB$2),$F$3:$BP$3,$F211:$BP211))),"""")"),"")</f>
        <v/>
      </c>
      <c r="CD211" s="207">
        <f>IFERROR(__xludf.DUMMYFUNCTION("AVERAGE(ARRAYFORMULA(XLOOKUP(FILTER(INDIRECT(""'""&amp;CD$1&amp;""'!$C$4:$C$66""),INDIRECT(""'""&amp;CD$1&amp;""'!$D$4:$D$66"")=CD$2),$F$3:$BP$3,$F211:$BP211)))"),0.05071041935483871)</f>
        <v>0.05071041935</v>
      </c>
      <c r="CE211" s="207" t="str">
        <f>IFERROR(__xludf.DUMMYFUNCTION("IF(OR(CD211&gt;$BR211+$BS211*$BS$2,CD211&lt;$BR211-$BS211*$BS$2),AVEDEV(ARRAYFORMULA(XLOOKUP(FILTER(INDIRECT(""'""&amp;CD$1&amp;""'!$C$4:$C$66""),INDIRECT(""'""&amp;CD$1&amp;""'!$D$4:$D$66"")=CD$2),$F$3:$BP$3,$F211:$BP211))),"""")"),"")</f>
        <v/>
      </c>
      <c r="CF211" s="207">
        <f>IFERROR(__xludf.DUMMYFUNCTION("AVERAGE(ARRAYFORMULA(XLOOKUP(FILTER(INDIRECT(""'""&amp;CF$1&amp;""'!$C$4:$C$66""),INDIRECT(""'""&amp;CF$1&amp;""'!$D$4:$D$66"")=CF$2),$F$3:$BP$3,$F211:$BP211)))"),0.11112)</f>
        <v>0.11112</v>
      </c>
      <c r="CG211" s="207" t="str">
        <f>IFERROR(__xludf.DUMMYFUNCTION("IF(OR(CF211&gt;$BR211+$BS211*$BS$2,CF211&lt;$BR211-$BS211*$BS$2),AVEDEV(ARRAYFORMULA(XLOOKUP(FILTER(INDIRECT(""'""&amp;CF$1&amp;""'!$C$4:$C$66""),INDIRECT(""'""&amp;CF$1&amp;""'!$D$4:$D$66"")=CF$2),$F$3:$BP$3,$F211:$BP211))),"""")"),"")</f>
        <v/>
      </c>
      <c r="CH211" s="206"/>
      <c r="CI211" s="251">
        <f>IFERROR(__xludf.DUMMYFUNCTION("AVERAGE(ARRAYFORMULA(XLOOKUP(FILTER(INDIRECT(""'""&amp;CI$1&amp;""'!$C$4:$C$66""),INDIRECT(""'""&amp;CI$1&amp;""'!$D$4:$D$66"")=CI$2),$F$3:$BP$3,$F211:$BP211)))"),0.0017606666666666669)</f>
        <v>0.001760666667</v>
      </c>
      <c r="CJ211" s="207" t="str">
        <f>IFERROR(__xludf.DUMMYFUNCTION("IF(OR(CI211&gt;$BR211+$BS211*$BS$2,CI211&lt;$BR211-$BS211*$BS$2),AVEDEV(ARRAYFORMULA(XLOOKUP(FILTER(INDIRECT(""'""&amp;CI$1&amp;""'!$C$4:$C$66""),INDIRECT(""'""&amp;CI$1&amp;""'!$D$4:$D$66"")=CI$2),$F$3:$BP$3,$F211:$BP211))),"""")"),"")</f>
        <v/>
      </c>
      <c r="CK211" s="251">
        <f>IFERROR(__xludf.DUMMYFUNCTION("AVERAGE(ARRAYFORMULA(XLOOKUP(FILTER(INDIRECT(""'""&amp;CK$1&amp;""'!$C$4:$C$66""),INDIRECT(""'""&amp;CK$1&amp;""'!$D$4:$D$66"")=CK$2),$F$3:$BP$3,$F211:$BP211)))"),0.07567597435897436)</f>
        <v>0.07567597436</v>
      </c>
      <c r="CL211" s="207" t="str">
        <f>IFERROR(__xludf.DUMMYFUNCTION("IF(OR(CK211&gt;$BR211+$BS211*$BS$2,CK211&lt;$BR211-$BS211*$BS$2),AVEDEV(ARRAYFORMULA(XLOOKUP(FILTER(INDIRECT(""'""&amp;CK$1&amp;""'!$C$4:$C$66""),INDIRECT(""'""&amp;CK$1&amp;""'!$D$4:$D$66"")=CK$2),$F$3:$BP$3,$F211:$BP211))),"""")"),"")</f>
        <v/>
      </c>
      <c r="CM211" s="251">
        <f>IFERROR(__xludf.DUMMYFUNCTION("AVERAGE(ARRAYFORMULA(XLOOKUP(FILTER(INDIRECT(""'""&amp;CM$1&amp;""'!$C$4:$C$66""),INDIRECT(""'""&amp;CM$1&amp;""'!$D$4:$D$66"")=CM$2),$F$3:$BP$3,$F211:$BP211)))"),0.11112)</f>
        <v>0.11112</v>
      </c>
      <c r="CN211" s="207" t="str">
        <f>IFERROR(__xludf.DUMMYFUNCTION("IF(OR(CM211&gt;$BR211+$BS211*$BS$2,CM211&lt;$BR211-$BS211*$BS$2),AVEDEV(ARRAYFORMULA(XLOOKUP(FILTER(INDIRECT(""'""&amp;CM$1&amp;""'!$C$4:$C$66""),INDIRECT(""'""&amp;CM$1&amp;""'!$D$4:$D$66"")=CM$2),$F$3:$BP$3,$F211:$BP211))),"""")"),"")</f>
        <v/>
      </c>
      <c r="CO211" s="252"/>
      <c r="CP211" s="251">
        <f>IFERROR(__xludf.DUMMYFUNCTION("AVERAGE(ARRAYFORMULA(XLOOKUP(FILTER(INDIRECT(""'""&amp;CP$1&amp;""'!$C$4:$C$66""),INDIRECT(""'""&amp;CP$1&amp;""'!$D$4:$D$66"")=CP$2),$F$3:$BP$3,$F211:$BP211)))"),0.05588857142857143)</f>
        <v>0.05588857143</v>
      </c>
      <c r="CQ211" s="207" t="str">
        <f>IFERROR(__xludf.DUMMYFUNCTION("IF(OR(CP211&gt;$BR211+$BS211*$BS$2,CP211&lt;$BR211-$BS211*$BS$2),AVEDEV(ARRAYFORMULA(XLOOKUP(FILTER(INDIRECT(""'""&amp;CP$1&amp;""'!$C$4:$C$66""),INDIRECT(""'""&amp;CP$1&amp;""'!$D$4:$D$66"")=CP$2),$F$3:$BP$3,$F211:$BP211))),"""")"),"")</f>
        <v/>
      </c>
      <c r="CR211" s="251">
        <f>IFERROR(__xludf.DUMMYFUNCTION("AVERAGE(ARRAYFORMULA(XLOOKUP(FILTER(INDIRECT(""'""&amp;CR$1&amp;""'!$C$4:$C$66""),INDIRECT(""'""&amp;CR$1&amp;""'!$D$4:$D$66"")=CR$2),$F$3:$BP$3,$F211:$BP211)))"),0.0)</f>
        <v>0</v>
      </c>
      <c r="CS211" s="207" t="str">
        <f>IFERROR(__xludf.DUMMYFUNCTION("IF(OR(CR211&gt;$BR211+$BS211*$BS$2,CR211&lt;$BR211-$BS211*$BS$2),AVEDEV(ARRAYFORMULA(XLOOKUP(FILTER(INDIRECT(""'""&amp;CR$1&amp;""'!$C$4:$C$66""),INDIRECT(""'""&amp;CR$1&amp;""'!$D$4:$D$66"")=CR$2),$F$3:$BP$3,$F211:$BP211))),"""")"),"")</f>
        <v/>
      </c>
      <c r="CT211" s="251">
        <f>IFERROR(__xludf.DUMMYFUNCTION("AVERAGE(ARRAYFORMULA(XLOOKUP(FILTER(INDIRECT(""'""&amp;CT$1&amp;""'!$C$4:$C$66""),INDIRECT(""'""&amp;CT$1&amp;""'!$D$4:$D$66"")=CT$2),$F$3:$BP$3,$F211:$BP211)))"),0.026954545454545453)</f>
        <v>0.02695454545</v>
      </c>
      <c r="CU211" s="207" t="str">
        <f>IFERROR(__xludf.DUMMYFUNCTION("IF(OR(CT211&gt;$BR211+$BS211*$BS$2,CT211&lt;$BR211-$BS211*$BS$2),AVEDEV(ARRAYFORMULA(XLOOKUP(FILTER(INDIRECT(""'""&amp;CT$1&amp;""'!$C$4:$C$66""),INDIRECT(""'""&amp;CT$1&amp;""'!$D$4:$D$66"")=CT$2),$F$3:$BP$3,$F211:$BP211))),"""")"),"")</f>
        <v/>
      </c>
      <c r="CV211" s="251">
        <f>IFERROR(__xludf.DUMMYFUNCTION("AVERAGE(ARRAYFORMULA(XLOOKUP(FILTER(INDIRECT(""'""&amp;CV$1&amp;""'!$C$4:$C$66""),INDIRECT(""'""&amp;CV$1&amp;""'!$D$4:$D$66"")=CV$2),$F$3:$BP$3,$F211:$BP211)))"),0.0)</f>
        <v>0</v>
      </c>
      <c r="CW211" s="207" t="str">
        <f>IFERROR(__xludf.DUMMYFUNCTION("IF(OR(CV211&gt;$BR211+$BS211*$BS$2,CV211&lt;$BR211-$BS211*$BS$2),AVEDEV(ARRAYFORMULA(XLOOKUP(FILTER(INDIRECT(""'""&amp;CV$1&amp;""'!$C$4:$C$66""),INDIRECT(""'""&amp;CV$1&amp;""'!$D$4:$D$66"")=CV$2),$F$3:$BP$3,$F211:$BP211))),"""")"),"")</f>
        <v/>
      </c>
      <c r="CX211" s="251">
        <f>IFERROR(__xludf.DUMMYFUNCTION("AVERAGE(ARRAYFORMULA(XLOOKUP(FILTER(INDIRECT(""'""&amp;CX$1&amp;""'!$C$4:$C$66""),INDIRECT(""'""&amp;CX$1&amp;""'!$D$4:$D$66"")=CX$2),$F$3:$BP$3,$F211:$BP211)))"),0.10163735714285714)</f>
        <v>0.1016373571</v>
      </c>
      <c r="CY211" s="207" t="str">
        <f>IFERROR(__xludf.DUMMYFUNCTION("IF(OR(CX211&gt;$BR211+$BS211*$BS$2,CX211&lt;$BR211-$BS211*$BS$2),AVEDEV(ARRAYFORMULA(XLOOKUP(FILTER(INDIRECT(""'""&amp;CX$1&amp;""'!$C$4:$C$66""),INDIRECT(""'""&amp;CX$1&amp;""'!$D$4:$D$66"")=CX$2),$F$3:$BP$3,$F211:$BP211))),"""")"),"")</f>
        <v/>
      </c>
      <c r="CZ211" s="252"/>
      <c r="DA211" s="251">
        <f>IFERROR(__xludf.DUMMYFUNCTION("AVERAGE(ARRAYFORMULA(XLOOKUP(FILTER(INDIRECT(""'""&amp;DA$1&amp;""'!$C$4:$C$66""),INDIRECT(""'""&amp;DA$1&amp;""'!$D$4:$D$66"")=DA$2),$F$3:$BP$3,$F211:$BP211)))"),0.05769)</f>
        <v>0.05769</v>
      </c>
      <c r="DB211" s="207" t="str">
        <f>IFERROR(__xludf.DUMMYFUNCTION("IF(OR(DA211&gt;$BR211+$BS211*$BS$2,DA211&lt;$BR211-$BS211*$BS$2),AVEDEV(ARRAYFORMULA(XLOOKUP(FILTER(INDIRECT(""'""&amp;DA$1&amp;""'!$C$4:$C$66""),INDIRECT(""'""&amp;DA$1&amp;""'!$D$4:$D$66"")=DA$2),$F$3:$BP$3,$F211:$BP211))),"""")"),"")</f>
        <v/>
      </c>
      <c r="DC211" s="251">
        <f>IFERROR(__xludf.DUMMYFUNCTION("AVERAGE(ARRAYFORMULA(XLOOKUP(FILTER(INDIRECT(""'""&amp;DC$1&amp;""'!$C$4:$C$66""),INDIRECT(""'""&amp;DC$1&amp;""'!$D$4:$D$66"")=DC$2),$F$3:$BP$3,$F211:$BP211)))"),0.0)</f>
        <v>0</v>
      </c>
      <c r="DD211" s="207" t="str">
        <f>IFERROR(__xludf.DUMMYFUNCTION("IF(OR(DC211&gt;$BR211+$BS211*$BS$2,DC211&lt;$BR211-$BS211*$BS$2),AVEDEV(ARRAYFORMULA(XLOOKUP(FILTER(INDIRECT(""'""&amp;DC$1&amp;""'!$C$4:$C$66""),INDIRECT(""'""&amp;DC$1&amp;""'!$D$4:$D$66"")=DC$2),$F$3:$BP$3,$F211:$BP211))),"""")"),"")</f>
        <v/>
      </c>
      <c r="DE211" s="251">
        <f>IFERROR(__xludf.DUMMYFUNCTION("AVERAGE(ARRAYFORMULA(XLOOKUP(FILTER(INDIRECT(""'""&amp;DE$1&amp;""'!$C$4:$C$66""),INDIRECT(""'""&amp;DE$1&amp;""'!$D$4:$D$66"")=DE$2),$F$3:$BP$3,$F211:$BP211)))"),0.095790375)</f>
        <v>0.095790375</v>
      </c>
      <c r="DF211" s="207" t="str">
        <f>IFERROR(__xludf.DUMMYFUNCTION("IF(OR(DE211&gt;$BR211+$BS211*$BS$2,DE211&lt;$BR211-$BS211*$BS$2),AVEDEV(ARRAYFORMULA(XLOOKUP(FILTER(INDIRECT(""'""&amp;DE$1&amp;""'!$C$4:$C$66""),INDIRECT(""'""&amp;DE$1&amp;""'!$D$4:$D$66"")=DE$2),$F$3:$BP$3,$F211:$BP211))),"""")"),"")</f>
        <v/>
      </c>
      <c r="DG211" s="251">
        <f>IFERROR(__xludf.DUMMYFUNCTION("AVERAGE(ARRAYFORMULA(XLOOKUP(FILTER(INDIRECT(""'""&amp;DG$1&amp;""'!$C$4:$C$66""),INDIRECT(""'""&amp;DG$1&amp;""'!$D$4:$D$66"")=DG$2),$F$3:$BP$3,$F211:$BP211)))"),0.06397777777777777)</f>
        <v>0.06397777778</v>
      </c>
      <c r="DH211" s="207" t="str">
        <f>IFERROR(__xludf.DUMMYFUNCTION("IF(OR(DG211&gt;$BR211+$BS211*$BS$2,DG211&lt;$BR211-$BS211*$BS$2),AVEDEV(ARRAYFORMULA(XLOOKUP(FILTER(INDIRECT(""'""&amp;DG$1&amp;""'!$C$4:$C$66""),INDIRECT(""'""&amp;DG$1&amp;""'!$D$4:$D$66"")=DG$2),$F$3:$BP$3,$F211:$BP211))),"""")"),"")</f>
        <v/>
      </c>
      <c r="DI211" s="252"/>
    </row>
    <row r="212">
      <c r="A212" s="2"/>
      <c r="B212" s="204" t="s">
        <v>646</v>
      </c>
      <c r="C212" s="204" t="s">
        <v>658</v>
      </c>
      <c r="D212" s="205" t="b">
        <f>VLOOKUP(C212,'Feature Set List'!A209:C246,2,0)</f>
        <v>1</v>
      </c>
      <c r="E212" s="205" t="b">
        <f>VLOOKUP(C212,'Feature Set List'!A209:C246,3,0)</f>
        <v>1</v>
      </c>
      <c r="F212" s="205">
        <v>-1.7284556</v>
      </c>
      <c r="G212" s="205">
        <v>-0.8621535</v>
      </c>
      <c r="H212" s="205">
        <v>-0.1697153</v>
      </c>
      <c r="I212" s="205">
        <v>-1.1819725</v>
      </c>
      <c r="J212" s="205">
        <v>-1.2046012</v>
      </c>
      <c r="K212" s="205">
        <v>-0.2726758</v>
      </c>
      <c r="L212" s="205">
        <v>1.27324156</v>
      </c>
      <c r="M212" s="205">
        <v>1.28116161</v>
      </c>
      <c r="N212" s="205">
        <v>0.32283613</v>
      </c>
      <c r="O212" s="205">
        <v>0.60305487</v>
      </c>
      <c r="P212" s="205">
        <v>-0.4476711</v>
      </c>
      <c r="Q212" s="205">
        <v>-0.6758439</v>
      </c>
      <c r="R212" s="205">
        <v>0.96549123</v>
      </c>
      <c r="S212" s="205">
        <v>0.36017349</v>
      </c>
      <c r="T212" s="205">
        <v>-0.1568923</v>
      </c>
      <c r="U212" s="205">
        <v>-0.2198755</v>
      </c>
      <c r="V212" s="205">
        <v>-1.0910805</v>
      </c>
      <c r="W212" s="205">
        <v>1.34678484</v>
      </c>
      <c r="X212" s="205">
        <v>0.5672261</v>
      </c>
      <c r="Y212" s="205">
        <v>-0.3390534</v>
      </c>
      <c r="Z212" s="205">
        <v>0.21610409</v>
      </c>
      <c r="AA212" s="205">
        <v>1.28870451</v>
      </c>
      <c r="AB212" s="205">
        <v>0.83235904</v>
      </c>
      <c r="AC212" s="205">
        <v>-0.4254196</v>
      </c>
      <c r="AD212" s="205">
        <v>0.73128418</v>
      </c>
      <c r="AE212" s="205">
        <v>-0.3454648</v>
      </c>
      <c r="AF212" s="205">
        <v>0.56119178</v>
      </c>
      <c r="AG212" s="205">
        <v>0.24702998</v>
      </c>
      <c r="AH212" s="205">
        <v>0.33528192</v>
      </c>
      <c r="AI212" s="205">
        <v>0.41825382</v>
      </c>
      <c r="AJ212" s="205">
        <v>0.38883651</v>
      </c>
      <c r="AK212" s="205">
        <v>-0.5117858</v>
      </c>
      <c r="AL212" s="205">
        <v>-0.1372808</v>
      </c>
      <c r="AM212" s="205">
        <v>0.04638884</v>
      </c>
      <c r="AN212" s="205">
        <v>1.71789553</v>
      </c>
      <c r="AO212" s="205">
        <v>0.05430888</v>
      </c>
      <c r="AP212" s="205">
        <v>0.15726947</v>
      </c>
      <c r="AQ212" s="205">
        <v>0.87271356</v>
      </c>
      <c r="AR212" s="205">
        <v>-0.4114652</v>
      </c>
      <c r="AS212" s="205">
        <v>0.48991137</v>
      </c>
      <c r="AT212" s="205">
        <v>2.04299453</v>
      </c>
      <c r="AU212" s="205">
        <v>-1.3158589</v>
      </c>
      <c r="AV212" s="205">
        <v>-0.9345653</v>
      </c>
      <c r="AW212" s="205">
        <v>-0.096172</v>
      </c>
      <c r="AX212" s="205">
        <v>-1.397624</v>
      </c>
      <c r="AY212" s="205">
        <v>-0.1942297</v>
      </c>
      <c r="AZ212" s="205">
        <v>-1.7284556</v>
      </c>
      <c r="BA212" s="205">
        <v>0.89534226</v>
      </c>
      <c r="BB212" s="205">
        <v>-1.7284556</v>
      </c>
      <c r="BC212" s="205">
        <v>0.26211578</v>
      </c>
      <c r="BD212" s="205">
        <v>0.46426551</v>
      </c>
      <c r="BE212" s="205">
        <v>1.11559495</v>
      </c>
      <c r="BF212" s="205">
        <v>-0.4567226</v>
      </c>
      <c r="BG212" s="205">
        <v>-0.4254196</v>
      </c>
      <c r="BH212" s="205">
        <v>1.30831605</v>
      </c>
      <c r="BI212" s="205">
        <v>0.53441448</v>
      </c>
      <c r="BJ212" s="205">
        <v>0.26023006</v>
      </c>
      <c r="BK212" s="205">
        <v>-1.7284556</v>
      </c>
      <c r="BL212" s="205">
        <v>-1.1329436</v>
      </c>
      <c r="BM212" s="205">
        <v>0.0</v>
      </c>
      <c r="BN212" s="205">
        <v>-0.4050537</v>
      </c>
      <c r="BO212" s="205">
        <v>-0.3360362</v>
      </c>
      <c r="BP212" s="205">
        <v>-1.3658307</v>
      </c>
      <c r="BQ212" s="206"/>
      <c r="BR212" s="250">
        <f t="shared" si="1"/>
        <v>-0.02327703127</v>
      </c>
      <c r="BS212" s="250">
        <f t="shared" si="2"/>
        <v>0.7208140295</v>
      </c>
      <c r="BT212" s="206"/>
      <c r="BU212" s="207">
        <f>IFERROR(__xludf.DUMMYFUNCTION("AVERAGE(ARRAYFORMULA(XLOOKUP(FILTER(INDIRECT(""'""&amp;BU$1&amp;""'!$C$4:$C$66""),INDIRECT(""'""&amp;BU$1&amp;""'!$D$4:$D$66"")=BU$2),$F$3:$BP$3,$F212:$BP212)))"),0.16304517714285713)</f>
        <v>0.1630451771</v>
      </c>
      <c r="BV212" s="207" t="str">
        <f>IFERROR(__xludf.DUMMYFUNCTION("IF(OR(BU212&gt;$BR212+$BS212*$BS$2,BU212&lt;$BR212-$BS212*$BS$2),AVEDEV(ARRAYFORMULA(XLOOKUP(FILTER(INDIRECT(""'""&amp;BU$1&amp;""'!$C$4:$C$66""),INDIRECT(""'""&amp;BU$1&amp;""'!$D$4:$D$66"")=BU$2),$F$3:$BP$3,$F212:$BP212))),"""")"),"")</f>
        <v/>
      </c>
      <c r="BW212" s="207">
        <f>IFERROR(__xludf.DUMMYFUNCTION("AVERAGE(ARRAYFORMULA(XLOOKUP(FILTER(INDIRECT(""'""&amp;BW$1&amp;""'!$C$4:$C$66""),INDIRECT(""'""&amp;BW$1&amp;""'!$D$4:$D$66"")=BW$2),$F$3:$BP$3,$F212:$BP212)))"),-0.02508463428571429)</f>
        <v>-0.02508463429</v>
      </c>
      <c r="BX212" s="207" t="str">
        <f>IFERROR(__xludf.DUMMYFUNCTION("IF(OR(BW212&gt;$BR212+$BS212*$BS$2,BW212&lt;$BR212-$BS212*$BS$2),AVEDEV(ARRAYFORMULA(XLOOKUP(FILTER(INDIRECT(""'""&amp;BW$1&amp;""'!$C$4:$C$66""),INDIRECT(""'""&amp;BW$1&amp;""'!$D$4:$D$66"")=BW$2),$F$3:$BP$3,$F212:$BP212))),"""")"),"")</f>
        <v/>
      </c>
      <c r="BY212" s="207">
        <f>IFERROR(__xludf.DUMMYFUNCTION("AVERAGE(ARRAYFORMULA(XLOOKUP(FILTER(INDIRECT(""'""&amp;BY$1&amp;""'!$C$4:$C$66""),INDIRECT(""'""&amp;BY$1&amp;""'!$D$4:$D$66"")=BY$2),$F$3:$BP$3,$F212:$BP212)))"),-0.33541905272727274)</f>
        <v>-0.3354190527</v>
      </c>
      <c r="BZ212" s="207" t="str">
        <f>IFERROR(__xludf.DUMMYFUNCTION("IF(OR(BY212&gt;$BR212+$BS212*$BS$2,BY212&lt;$BR212-$BS212*$BS$2),AVEDEV(ARRAYFORMULA(XLOOKUP(FILTER(INDIRECT(""'""&amp;BY$1&amp;""'!$C$4:$C$66""),INDIRECT(""'""&amp;BY$1&amp;""'!$D$4:$D$66"")=BY$2),$F$3:$BP$3,$F212:$BP212))),"""")"),"")</f>
        <v/>
      </c>
      <c r="CA212" s="209"/>
      <c r="CB212" s="207">
        <f>IFERROR(__xludf.DUMMYFUNCTION("AVERAGE(ARRAYFORMULA(XLOOKUP(FILTER(INDIRECT(""'""&amp;CB$1&amp;""'!$C$4:$C$66""),INDIRECT(""'""&amp;CB$1&amp;""'!$D$4:$D$66"")=CB$2),$F$3:$BP$3,$F212:$BP212)))"),0.09063266437499999)</f>
        <v>0.09063266438</v>
      </c>
      <c r="CC212" s="207" t="str">
        <f>IFERROR(__xludf.DUMMYFUNCTION("IF(OR(CB212&gt;$BR212+$BS212*$BS$2,CB212&lt;$BR212-$BS212*$BS$2),AVEDEV(ARRAYFORMULA(XLOOKUP(FILTER(INDIRECT(""'""&amp;CB$1&amp;""'!$C$4:$C$66""),INDIRECT(""'""&amp;CB$1&amp;""'!$D$4:$D$66"")=CB$2),$F$3:$BP$3,$F212:$BP212))),"""")"),"")</f>
        <v/>
      </c>
      <c r="CD212" s="207">
        <f>IFERROR(__xludf.DUMMYFUNCTION("AVERAGE(ARRAYFORMULA(XLOOKUP(FILTER(INDIRECT(""'""&amp;CD$1&amp;""'!$C$4:$C$66""),INDIRECT(""'""&amp;CD$1&amp;""'!$D$4:$D$66"")=CD$2),$F$3:$BP$3,$F212:$BP212)))"),-0.07306029032258063)</f>
        <v>-0.07306029032</v>
      </c>
      <c r="CE212" s="207" t="str">
        <f>IFERROR(__xludf.DUMMYFUNCTION("IF(OR(CD212&gt;$BR212+$BS212*$BS$2,CD212&lt;$BR212-$BS212*$BS$2),AVEDEV(ARRAYFORMULA(XLOOKUP(FILTER(INDIRECT(""'""&amp;CD$1&amp;""'!$C$4:$C$66""),INDIRECT(""'""&amp;CD$1&amp;""'!$D$4:$D$66"")=CD$2),$F$3:$BP$3,$F212:$BP212))),"""")"),"")</f>
        <v/>
      </c>
      <c r="CF212" s="207">
        <f>IFERROR(__xludf.DUMMYFUNCTION("AVERAGE(ARRAYFORMULA(XLOOKUP(FILTER(INDIRECT(""'""&amp;CF$1&amp;""'!$C$4:$C$66""),INDIRECT(""'""&amp;CF$1&amp;""'!$D$4:$D$66"")=CF$2),$F$3:$BP$3,$F212:$BP212)))"),-0.32668300799999994)</f>
        <v>-0.326683008</v>
      </c>
      <c r="CG212" s="207" t="str">
        <f>IFERROR(__xludf.DUMMYFUNCTION("IF(OR(CF212&gt;$BR212+$BS212*$BS$2,CF212&lt;$BR212-$BS212*$BS$2),AVEDEV(ARRAYFORMULA(XLOOKUP(FILTER(INDIRECT(""'""&amp;CF$1&amp;""'!$C$4:$C$66""),INDIRECT(""'""&amp;CF$1&amp;""'!$D$4:$D$66"")=CF$2),$F$3:$BP$3,$F212:$BP212))),"""")"),"")</f>
        <v/>
      </c>
      <c r="CH212" s="206"/>
      <c r="CI212" s="251">
        <f>IFERROR(__xludf.DUMMYFUNCTION("AVERAGE(ARRAYFORMULA(XLOOKUP(FILTER(INDIRECT(""'""&amp;CI$1&amp;""'!$C$4:$C$66""),INDIRECT(""'""&amp;CI$1&amp;""'!$D$4:$D$66"")=CI$2),$F$3:$BP$3,$F212:$BP212)))"),0.32912188600000003)</f>
        <v>0.329121886</v>
      </c>
      <c r="CJ212" s="207" t="str">
        <f>IFERROR(__xludf.DUMMYFUNCTION("IF(OR(CI212&gt;$BR212+$BS212*$BS$2,CI212&lt;$BR212-$BS212*$BS$2),AVEDEV(ARRAYFORMULA(XLOOKUP(FILTER(INDIRECT(""'""&amp;CI$1&amp;""'!$C$4:$C$66""),INDIRECT(""'""&amp;CI$1&amp;""'!$D$4:$D$66"")=CI$2),$F$3:$BP$3,$F212:$BP212))),"""")"),"")</f>
        <v/>
      </c>
      <c r="CK212" s="251">
        <f>IFERROR(__xludf.DUMMYFUNCTION("AVERAGE(ARRAYFORMULA(XLOOKUP(FILTER(INDIRECT(""'""&amp;CK$1&amp;""'!$C$4:$C$66""),INDIRECT(""'""&amp;CK$1&amp;""'!$D$4:$D$66"")=CK$2),$F$3:$BP$3,$F212:$BP212)))"),-0.13273860589743589)</f>
        <v>-0.1327386059</v>
      </c>
      <c r="CL212" s="207" t="str">
        <f>IFERROR(__xludf.DUMMYFUNCTION("IF(OR(CK212&gt;$BR212+$BS212*$BS$2,CK212&lt;$BR212-$BS212*$BS$2),AVEDEV(ARRAYFORMULA(XLOOKUP(FILTER(INDIRECT(""'""&amp;CK$1&amp;""'!$C$4:$C$66""),INDIRECT(""'""&amp;CK$1&amp;""'!$D$4:$D$66"")=CK$2),$F$3:$BP$3,$F212:$BP212))),"""")"),"")</f>
        <v/>
      </c>
      <c r="CM212" s="251">
        <f>IFERROR(__xludf.DUMMYFUNCTION("AVERAGE(ARRAYFORMULA(XLOOKUP(FILTER(INDIRECT(""'""&amp;CM$1&amp;""'!$C$4:$C$66""),INDIRECT(""'""&amp;CM$1&amp;""'!$D$4:$D$66"")=CM$2),$F$3:$BP$3,$F212:$BP212)))"),-0.32668300799999994)</f>
        <v>-0.326683008</v>
      </c>
      <c r="CN212" s="207" t="str">
        <f>IFERROR(__xludf.DUMMYFUNCTION("IF(OR(CM212&gt;$BR212+$BS212*$BS$2,CM212&lt;$BR212-$BS212*$BS$2),AVEDEV(ARRAYFORMULA(XLOOKUP(FILTER(INDIRECT(""'""&amp;CM$1&amp;""'!$C$4:$C$66""),INDIRECT(""'""&amp;CM$1&amp;""'!$D$4:$D$66"")=CM$2),$F$3:$BP$3,$F212:$BP212))),"""")"),"")</f>
        <v/>
      </c>
      <c r="CO212" s="252"/>
      <c r="CP212" s="251">
        <f>IFERROR(__xludf.DUMMYFUNCTION("AVERAGE(ARRAYFORMULA(XLOOKUP(FILTER(INDIRECT(""'""&amp;CP$1&amp;""'!$C$4:$C$66""),INDIRECT(""'""&amp;CP$1&amp;""'!$D$4:$D$66"")=CP$2),$F$3:$BP$3,$F212:$BP212)))"),0.08391476857142856)</f>
        <v>0.08391476857</v>
      </c>
      <c r="CQ212" s="207" t="str">
        <f>IFERROR(__xludf.DUMMYFUNCTION("IF(OR(CP212&gt;$BR212+$BS212*$BS$2,CP212&lt;$BR212-$BS212*$BS$2),AVEDEV(ARRAYFORMULA(XLOOKUP(FILTER(INDIRECT(""'""&amp;CP$1&amp;""'!$C$4:$C$66""),INDIRECT(""'""&amp;CP$1&amp;""'!$D$4:$D$66"")=CP$2),$F$3:$BP$3,$F212:$BP212))),"""")"),"")</f>
        <v/>
      </c>
      <c r="CR212" s="251">
        <f>IFERROR(__xludf.DUMMYFUNCTION("AVERAGE(ARRAYFORMULA(XLOOKUP(FILTER(INDIRECT(""'""&amp;CR$1&amp;""'!$C$4:$C$66""),INDIRECT(""'""&amp;CR$1&amp;""'!$D$4:$D$66"")=CR$2),$F$3:$BP$3,$F212:$BP212)))"),-0.26249291999999996)</f>
        <v>-0.26249292</v>
      </c>
      <c r="CS212" s="207" t="str">
        <f>IFERROR(__xludf.DUMMYFUNCTION("IF(OR(CR212&gt;$BR212+$BS212*$BS$2,CR212&lt;$BR212-$BS212*$BS$2),AVEDEV(ARRAYFORMULA(XLOOKUP(FILTER(INDIRECT(""'""&amp;CR$1&amp;""'!$C$4:$C$66""),INDIRECT(""'""&amp;CR$1&amp;""'!$D$4:$D$66"")=CR$2),$F$3:$BP$3,$F212:$BP212))),"""")"),"")</f>
        <v/>
      </c>
      <c r="CT212" s="251">
        <f>IFERROR(__xludf.DUMMYFUNCTION("AVERAGE(ARRAYFORMULA(XLOOKUP(FILTER(INDIRECT(""'""&amp;CT$1&amp;""'!$C$4:$C$66""),INDIRECT(""'""&amp;CT$1&amp;""'!$D$4:$D$66"")=CT$2),$F$3:$BP$3,$F212:$BP212)))"),0.13913222909090908)</f>
        <v>0.1391322291</v>
      </c>
      <c r="CU212" s="207" t="str">
        <f>IFERROR(__xludf.DUMMYFUNCTION("IF(OR(CT212&gt;$BR212+$BS212*$BS$2,CT212&lt;$BR212-$BS212*$BS$2),AVEDEV(ARRAYFORMULA(XLOOKUP(FILTER(INDIRECT(""'""&amp;CT$1&amp;""'!$C$4:$C$66""),INDIRECT(""'""&amp;CT$1&amp;""'!$D$4:$D$66"")=CT$2),$F$3:$BP$3,$F212:$BP212))),"""")"),"")</f>
        <v/>
      </c>
      <c r="CV212" s="251">
        <f>IFERROR(__xludf.DUMMYFUNCTION("AVERAGE(ARRAYFORMULA(XLOOKUP(FILTER(INDIRECT(""'""&amp;CV$1&amp;""'!$C$4:$C$66""),INDIRECT(""'""&amp;CV$1&amp;""'!$D$4:$D$66"")=CV$2),$F$3:$BP$3,$F212:$BP212)))"),-0.4254196)</f>
        <v>-0.4254196</v>
      </c>
      <c r="CW212" s="207" t="str">
        <f>IFERROR(__xludf.DUMMYFUNCTION("IF(OR(CV212&gt;$BR212+$BS212*$BS$2,CV212&lt;$BR212-$BS212*$BS$2),AVEDEV(ARRAYFORMULA(XLOOKUP(FILTER(INDIRECT(""'""&amp;CV$1&amp;""'!$C$4:$C$66""),INDIRECT(""'""&amp;CV$1&amp;""'!$D$4:$D$66"")=CV$2),$F$3:$BP$3,$F212:$BP212))),"""")"),"")</f>
        <v/>
      </c>
      <c r="CX212" s="251">
        <f>IFERROR(__xludf.DUMMYFUNCTION("AVERAGE(ARRAYFORMULA(XLOOKUP(FILTER(INDIRECT(""'""&amp;CX$1&amp;""'!$C$4:$C$66""),INDIRECT(""'""&amp;CX$1&amp;""'!$D$4:$D$66"")=CX$2),$F$3:$BP$3,$F212:$BP212)))"),-0.10615285857142862)</f>
        <v>-0.1061528586</v>
      </c>
      <c r="CY212" s="207" t="str">
        <f>IFERROR(__xludf.DUMMYFUNCTION("IF(OR(CX212&gt;$BR212+$BS212*$BS$2,CX212&lt;$BR212-$BS212*$BS$2),AVEDEV(ARRAYFORMULA(XLOOKUP(FILTER(INDIRECT(""'""&amp;CX$1&amp;""'!$C$4:$C$66""),INDIRECT(""'""&amp;CX$1&amp;""'!$D$4:$D$66"")=CX$2),$F$3:$BP$3,$F212:$BP212))),"""")"),"")</f>
        <v/>
      </c>
      <c r="CZ212" s="252"/>
      <c r="DA212" s="251">
        <f>IFERROR(__xludf.DUMMYFUNCTION("AVERAGE(ARRAYFORMULA(XLOOKUP(FILTER(INDIRECT(""'""&amp;DA$1&amp;""'!$C$4:$C$66""),INDIRECT(""'""&amp;DA$1&amp;""'!$D$4:$D$66"")=DA$2),$F$3:$BP$3,$F212:$BP212)))"),0.07471871)</f>
        <v>0.07471871</v>
      </c>
      <c r="DB212" s="207" t="str">
        <f>IFERROR(__xludf.DUMMYFUNCTION("IF(OR(DA212&gt;$BR212+$BS212*$BS$2,DA212&lt;$BR212-$BS212*$BS$2),AVEDEV(ARRAYFORMULA(XLOOKUP(FILTER(INDIRECT(""'""&amp;DA$1&amp;""'!$C$4:$C$66""),INDIRECT(""'""&amp;DA$1&amp;""'!$D$4:$D$66"")=DA$2),$F$3:$BP$3,$F212:$BP212))),"""")"),"")</f>
        <v/>
      </c>
      <c r="DC212" s="251">
        <f>IFERROR(__xludf.DUMMYFUNCTION("AVERAGE(ARRAYFORMULA(XLOOKUP(FILTER(INDIRECT(""'""&amp;DC$1&amp;""'!$C$4:$C$66""),INDIRECT(""'""&amp;DC$1&amp;""'!$D$4:$D$66"")=DC$2),$F$3:$BP$3,$F212:$BP212)))"),-0.5592222311111111)</f>
        <v>-0.5592222311</v>
      </c>
      <c r="DD212" s="207" t="str">
        <f>IFERROR(__xludf.DUMMYFUNCTION("IF(OR(DC212&gt;$BR212+$BS212*$BS$2,DC212&lt;$BR212-$BS212*$BS$2),AVEDEV(ARRAYFORMULA(XLOOKUP(FILTER(INDIRECT(""'""&amp;DC$1&amp;""'!$C$4:$C$66""),INDIRECT(""'""&amp;DC$1&amp;""'!$D$4:$D$66"")=DC$2),$F$3:$BP$3,$F212:$BP212))),"""")"),"")</f>
        <v/>
      </c>
      <c r="DE212" s="251">
        <f>IFERROR(__xludf.DUMMYFUNCTION("AVERAGE(ARRAYFORMULA(XLOOKUP(FILTER(INDIRECT(""'""&amp;DE$1&amp;""'!$C$4:$C$66""),INDIRECT(""'""&amp;DE$1&amp;""'!$D$4:$D$66"")=DE$2),$F$3:$BP$3,$F212:$BP212)))"),-0.06273807875)</f>
        <v>-0.06273807875</v>
      </c>
      <c r="DF212" s="207" t="str">
        <f>IFERROR(__xludf.DUMMYFUNCTION("IF(OR(DE212&gt;$BR212+$BS212*$BS$2,DE212&lt;$BR212-$BS212*$BS$2),AVEDEV(ARRAYFORMULA(XLOOKUP(FILTER(INDIRECT(""'""&amp;DE$1&amp;""'!$C$4:$C$66""),INDIRECT(""'""&amp;DE$1&amp;""'!$D$4:$D$66"")=DE$2),$F$3:$BP$3,$F212:$BP212))),"""")"),"")</f>
        <v/>
      </c>
      <c r="DG212" s="251">
        <f>IFERROR(__xludf.DUMMYFUNCTION("AVERAGE(ARRAYFORMULA(XLOOKUP(FILTER(INDIRECT(""'""&amp;DG$1&amp;""'!$C$4:$C$66""),INDIRECT(""'""&amp;DG$1&amp;""'!$D$4:$D$66"")=DG$2),$F$3:$BP$3,$F212:$BP212)))"),-0.2797158777777778)</f>
        <v>-0.2797158778</v>
      </c>
      <c r="DH212" s="207" t="str">
        <f>IFERROR(__xludf.DUMMYFUNCTION("IF(OR(DG212&gt;$BR212+$BS212*$BS$2,DG212&lt;$BR212-$BS212*$BS$2),AVEDEV(ARRAYFORMULA(XLOOKUP(FILTER(INDIRECT(""'""&amp;DG$1&amp;""'!$C$4:$C$66""),INDIRECT(""'""&amp;DG$1&amp;""'!$D$4:$D$66"")=DG$2),$F$3:$BP$3,$F212:$BP212))),"""")"),"")</f>
        <v/>
      </c>
      <c r="DI212" s="252"/>
    </row>
    <row r="213">
      <c r="A213" s="2"/>
      <c r="B213" s="204" t="s">
        <v>646</v>
      </c>
      <c r="C213" s="204" t="s">
        <v>659</v>
      </c>
      <c r="D213" s="205" t="b">
        <f>VLOOKUP(C213,'Feature Set List'!A210:C246,2,0)</f>
        <v>1</v>
      </c>
      <c r="E213" s="205" t="b">
        <f>VLOOKUP(C213,'Feature Set List'!A210:C246,3,0)</f>
        <v>1</v>
      </c>
      <c r="F213" s="205">
        <v>1.21292135</v>
      </c>
      <c r="G213" s="205">
        <v>1.29550562</v>
      </c>
      <c r="H213" s="205">
        <v>1.26853933</v>
      </c>
      <c r="I213" s="205">
        <v>0.96741573</v>
      </c>
      <c r="J213" s="205">
        <v>5.7741573</v>
      </c>
      <c r="K213" s="205">
        <v>-0.6162921</v>
      </c>
      <c r="L213" s="205">
        <v>-0.8994944</v>
      </c>
      <c r="M213" s="205">
        <v>1.03314607</v>
      </c>
      <c r="N213" s="205">
        <v>-0.7050562</v>
      </c>
      <c r="O213" s="205">
        <v>-0.9014607</v>
      </c>
      <c r="P213" s="205">
        <v>1.36123596</v>
      </c>
      <c r="Q213" s="205">
        <v>-1.0117416</v>
      </c>
      <c r="R213" s="205">
        <v>-0.7792135</v>
      </c>
      <c r="S213" s="205">
        <v>0.05898876</v>
      </c>
      <c r="T213" s="205">
        <v>-0.4146067</v>
      </c>
      <c r="U213" s="205">
        <v>0.08370787</v>
      </c>
      <c r="V213" s="205">
        <v>-0.7516854</v>
      </c>
      <c r="W213" s="205">
        <v>-0.8348315</v>
      </c>
      <c r="X213" s="205">
        <v>0.18033708</v>
      </c>
      <c r="Y213" s="205">
        <v>-0.8775281</v>
      </c>
      <c r="Z213" s="205">
        <v>-0.6544944</v>
      </c>
      <c r="AA213" s="205">
        <v>0.21067416</v>
      </c>
      <c r="AB213" s="205">
        <v>-0.0926966</v>
      </c>
      <c r="AC213" s="205">
        <v>0.83258427</v>
      </c>
      <c r="AD213" s="205">
        <v>-0.2432584</v>
      </c>
      <c r="AE213" s="205">
        <v>0.06179775</v>
      </c>
      <c r="AF213" s="205">
        <v>0.24662921</v>
      </c>
      <c r="AG213" s="205">
        <v>-0.2825843</v>
      </c>
      <c r="AH213" s="205">
        <v>0.0</v>
      </c>
      <c r="AI213" s="205">
        <v>-0.5337079</v>
      </c>
      <c r="AJ213" s="205">
        <v>1.26011236</v>
      </c>
      <c r="AK213" s="205">
        <v>-0.0691011</v>
      </c>
      <c r="AL213" s="205">
        <v>0.39044944</v>
      </c>
      <c r="AM213" s="205">
        <v>-0.1853933</v>
      </c>
      <c r="AN213" s="205">
        <v>-0.7983146</v>
      </c>
      <c r="AO213" s="205">
        <v>1.77696629</v>
      </c>
      <c r="AP213" s="205">
        <v>-0.8348315</v>
      </c>
      <c r="AQ213" s="205">
        <v>-0.0735955</v>
      </c>
      <c r="AR213" s="205">
        <v>0.22247191</v>
      </c>
      <c r="AS213" s="205">
        <v>0.86404494</v>
      </c>
      <c r="AT213" s="205">
        <v>-0.7325843</v>
      </c>
      <c r="AU213" s="205">
        <v>-0.5292135</v>
      </c>
      <c r="AV213" s="205">
        <v>-0.3202247</v>
      </c>
      <c r="AW213" s="205">
        <v>0.08539326</v>
      </c>
      <c r="AX213" s="205">
        <v>-0.9583146</v>
      </c>
      <c r="AY213" s="205">
        <v>0.06797753</v>
      </c>
      <c r="AZ213" s="205">
        <v>-0.4634831</v>
      </c>
      <c r="BA213" s="205">
        <v>-0.2308989</v>
      </c>
      <c r="BB213" s="205">
        <v>-0.2938202</v>
      </c>
      <c r="BC213" s="205">
        <v>0.26404494</v>
      </c>
      <c r="BD213" s="205">
        <v>0.16573034</v>
      </c>
      <c r="BE213" s="205">
        <v>0.61685393</v>
      </c>
      <c r="BF213" s="205">
        <v>-0.3078652</v>
      </c>
      <c r="BG213" s="205">
        <v>1.54494382</v>
      </c>
      <c r="BH213" s="205">
        <v>0.15505618</v>
      </c>
      <c r="BI213" s="205">
        <v>-0.2561798</v>
      </c>
      <c r="BJ213" s="205">
        <v>0.31629213</v>
      </c>
      <c r="BK213" s="205">
        <v>3.53932584</v>
      </c>
      <c r="BL213" s="205">
        <v>0.16629213</v>
      </c>
      <c r="BM213" s="205">
        <v>1.68033708</v>
      </c>
      <c r="BN213" s="205">
        <v>-0.0696629</v>
      </c>
      <c r="BO213" s="205">
        <v>1.31235955</v>
      </c>
      <c r="BP213" s="205">
        <v>-0.4269663</v>
      </c>
      <c r="BQ213" s="206"/>
      <c r="BR213" s="250">
        <f t="shared" si="1"/>
        <v>0.2042411243</v>
      </c>
      <c r="BS213" s="250">
        <f t="shared" si="2"/>
        <v>0.7459589364</v>
      </c>
      <c r="BT213" s="206"/>
      <c r="BU213" s="207">
        <f>IFERROR(__xludf.DUMMYFUNCTION("AVERAGE(ARRAYFORMULA(XLOOKUP(FILTER(INDIRECT(""'""&amp;BU$1&amp;""'!$C$4:$C$66""),INDIRECT(""'""&amp;BU$1&amp;""'!$D$4:$D$66"")=BU$2),$F$3:$BP$3,$F213:$BP213)))"),0.06686998285714285)</f>
        <v>0.06686998286</v>
      </c>
      <c r="BV213" s="207" t="str">
        <f>IFERROR(__xludf.DUMMYFUNCTION("IF(OR(BU213&gt;$BR213+$BS213*$BS$2,BU213&lt;$BR213-$BS213*$BS$2),AVEDEV(ARRAYFORMULA(XLOOKUP(FILTER(INDIRECT(""'""&amp;BU$1&amp;""'!$C$4:$C$66""),INDIRECT(""'""&amp;BU$1&amp;""'!$D$4:$D$66"")=BU$2),$F$3:$BP$3,$F213:$BP213))),"""")"),"")</f>
        <v/>
      </c>
      <c r="BW213" s="207">
        <f>IFERROR(__xludf.DUMMYFUNCTION("AVERAGE(ARRAYFORMULA(XLOOKUP(FILTER(INDIRECT(""'""&amp;BW$1&amp;""'!$C$4:$C$66""),INDIRECT(""'""&amp;BW$1&amp;""'!$D$4:$D$66"")=BW$2),$F$3:$BP$3,$F213:$BP213)))"),0.321028620952381)</f>
        <v>0.321028621</v>
      </c>
      <c r="BX213" s="207" t="str">
        <f>IFERROR(__xludf.DUMMYFUNCTION("IF(OR(BW213&gt;$BR213+$BS213*$BS$2,BW213&lt;$BR213-$BS213*$BS$2),AVEDEV(ARRAYFORMULA(XLOOKUP(FILTER(INDIRECT(""'""&amp;BW$1&amp;""'!$C$4:$C$66""),INDIRECT(""'""&amp;BW$1&amp;""'!$D$4:$D$66"")=BW$2),$F$3:$BP$3,$F213:$BP213))),"""")"),"")</f>
        <v/>
      </c>
      <c r="BY213" s="207">
        <f>IFERROR(__xludf.DUMMYFUNCTION("AVERAGE(ARRAYFORMULA(XLOOKUP(FILTER(INDIRECT(""'""&amp;BY$1&amp;""'!$C$4:$C$66""),INDIRECT(""'""&amp;BY$1&amp;""'!$D$4:$D$66"")=BY$2),$F$3:$BP$3,$F213:$BP213)))"),-0.17128191818181818)</f>
        <v>-0.1712819182</v>
      </c>
      <c r="BZ213" s="207" t="str">
        <f>IFERROR(__xludf.DUMMYFUNCTION("IF(OR(BY213&gt;$BR213+$BS213*$BS$2,BY213&lt;$BR213-$BS213*$BS$2),AVEDEV(ARRAYFORMULA(XLOOKUP(FILTER(INDIRECT(""'""&amp;BY$1&amp;""'!$C$4:$C$66""),INDIRECT(""'""&amp;BY$1&amp;""'!$D$4:$D$66"")=BY$2),$F$3:$BP$3,$F213:$BP213))),"""")"),"")</f>
        <v/>
      </c>
      <c r="CA213" s="209"/>
      <c r="CB213" s="207">
        <f>IFERROR(__xludf.DUMMYFUNCTION("AVERAGE(ARRAYFORMULA(XLOOKUP(FILTER(INDIRECT(""'""&amp;CB$1&amp;""'!$C$4:$C$66""),INDIRECT(""'""&amp;CB$1&amp;""'!$D$4:$D$66"")=CB$2),$F$3:$BP$3,$F213:$BP213)))"),0.7421699450000001)</f>
        <v>0.742169945</v>
      </c>
      <c r="CC213" s="207" t="str">
        <f>IFERROR(__xludf.DUMMYFUNCTION("IF(OR(CB213&gt;$BR213+$BS213*$BS$2,CB213&lt;$BR213-$BS213*$BS$2),AVEDEV(ARRAYFORMULA(XLOOKUP(FILTER(INDIRECT(""'""&amp;CB$1&amp;""'!$C$4:$C$66""),INDIRECT(""'""&amp;CB$1&amp;""'!$D$4:$D$66"")=CB$2),$F$3:$BP$3,$F213:$BP213))),"""")"),"")</f>
        <v/>
      </c>
      <c r="CD213" s="207">
        <f>IFERROR(__xludf.DUMMYFUNCTION("AVERAGE(ARRAYFORMULA(XLOOKUP(FILTER(INDIRECT(""'""&amp;CD$1&amp;""'!$C$4:$C$66""),INDIRECT(""'""&amp;CD$1&amp;""'!$D$4:$D$66"")=CD$2),$F$3:$BP$3,$F213:$BP213)))"),-0.05302283903225805)</f>
        <v>-0.05302283903</v>
      </c>
      <c r="CE213" s="207" t="str">
        <f>IFERROR(__xludf.DUMMYFUNCTION("IF(OR(CD213&gt;$BR213+$BS213*$BS$2,CD213&lt;$BR213-$BS213*$BS$2),AVEDEV(ARRAYFORMULA(XLOOKUP(FILTER(INDIRECT(""'""&amp;CD$1&amp;""'!$C$4:$C$66""),INDIRECT(""'""&amp;CD$1&amp;""'!$D$4:$D$66"")=CD$2),$F$3:$BP$3,$F213:$BP213))),"""")"),"")</f>
        <v/>
      </c>
      <c r="CF213" s="207">
        <f>IFERROR(__xludf.DUMMYFUNCTION("AVERAGE(ARRAYFORMULA(XLOOKUP(FILTER(INDIRECT(""'""&amp;CF$1&amp;""'!$C$4:$C$66""),INDIRECT(""'""&amp;CF$1&amp;""'!$D$4:$D$66"")=CF$2),$F$3:$BP$3,$F213:$BP213)))"),-0.27826966599999997)</f>
        <v>-0.278269666</v>
      </c>
      <c r="CG213" s="207" t="str">
        <f>IFERROR(__xludf.DUMMYFUNCTION("IF(OR(CF213&gt;$BR213+$BS213*$BS$2,CF213&lt;$BR213-$BS213*$BS$2),AVEDEV(ARRAYFORMULA(XLOOKUP(FILTER(INDIRECT(""'""&amp;CF$1&amp;""'!$C$4:$C$66""),INDIRECT(""'""&amp;CF$1&amp;""'!$D$4:$D$66"")=CF$2),$F$3:$BP$3,$F213:$BP213))),"""")"),"")</f>
        <v/>
      </c>
      <c r="CH213" s="206"/>
      <c r="CI213" s="251">
        <f>IFERROR(__xludf.DUMMYFUNCTION("AVERAGE(ARRAYFORMULA(XLOOKUP(FILTER(INDIRECT(""'""&amp;CI$1&amp;""'!$C$4:$C$66""),INDIRECT(""'""&amp;CI$1&amp;""'!$D$4:$D$66"")=CI$2),$F$3:$BP$3,$F213:$BP213)))"),0.06734082466666666)</f>
        <v>0.06734082467</v>
      </c>
      <c r="CJ213" s="207" t="str">
        <f>IFERROR(__xludf.DUMMYFUNCTION("IF(OR(CI213&gt;$BR213+$BS213*$BS$2,CI213&lt;$BR213-$BS213*$BS$2),AVEDEV(ARRAYFORMULA(XLOOKUP(FILTER(INDIRECT(""'""&amp;CI$1&amp;""'!$C$4:$C$66""),INDIRECT(""'""&amp;CI$1&amp;""'!$D$4:$D$66"")=CI$2),$F$3:$BP$3,$F213:$BP213))),"""")"),"")</f>
        <v/>
      </c>
      <c r="CK213" s="251">
        <f>IFERROR(__xludf.DUMMYFUNCTION("AVERAGE(ARRAYFORMULA(XLOOKUP(FILTER(INDIRECT(""'""&amp;CK$1&amp;""'!$C$4:$C$66""),INDIRECT(""'""&amp;CK$1&amp;""'!$D$4:$D$66"")=CK$2),$F$3:$BP$3,$F213:$BP213)))"),0.22843848666666666)</f>
        <v>0.2284384867</v>
      </c>
      <c r="CL213" s="207" t="str">
        <f>IFERROR(__xludf.DUMMYFUNCTION("IF(OR(CK213&gt;$BR213+$BS213*$BS$2,CK213&lt;$BR213-$BS213*$BS$2),AVEDEV(ARRAYFORMULA(XLOOKUP(FILTER(INDIRECT(""'""&amp;CK$1&amp;""'!$C$4:$C$66""),INDIRECT(""'""&amp;CK$1&amp;""'!$D$4:$D$66"")=CK$2),$F$3:$BP$3,$F213:$BP213))),"""")"),"")</f>
        <v/>
      </c>
      <c r="CM213" s="251">
        <f>IFERROR(__xludf.DUMMYFUNCTION("AVERAGE(ARRAYFORMULA(XLOOKUP(FILTER(INDIRECT(""'""&amp;CM$1&amp;""'!$C$4:$C$66""),INDIRECT(""'""&amp;CM$1&amp;""'!$D$4:$D$66"")=CM$2),$F$3:$BP$3,$F213:$BP213)))"),-0.27826966599999997)</f>
        <v>-0.278269666</v>
      </c>
      <c r="CN213" s="207" t="str">
        <f>IFERROR(__xludf.DUMMYFUNCTION("IF(OR(CM213&gt;$BR213+$BS213*$BS$2,CM213&lt;$BR213-$BS213*$BS$2),AVEDEV(ARRAYFORMULA(XLOOKUP(FILTER(INDIRECT(""'""&amp;CM$1&amp;""'!$C$4:$C$66""),INDIRECT(""'""&amp;CM$1&amp;""'!$D$4:$D$66"")=CM$2),$F$3:$BP$3,$F213:$BP213))),"""")"),"")</f>
        <v/>
      </c>
      <c r="CO213" s="252"/>
      <c r="CP213" s="251">
        <f>IFERROR(__xludf.DUMMYFUNCTION("AVERAGE(ARRAYFORMULA(XLOOKUP(FILTER(INDIRECT(""'""&amp;CP$1&amp;""'!$C$4:$C$66""),INDIRECT(""'""&amp;CP$1&amp;""'!$D$4:$D$66"")=CP$2),$F$3:$BP$3,$F213:$BP213)))"),0.43780096500000004)</f>
        <v>0.437800965</v>
      </c>
      <c r="CQ213" s="207" t="str">
        <f>IFERROR(__xludf.DUMMYFUNCTION("IF(OR(CP213&gt;$BR213+$BS213*$BS$2,CP213&lt;$BR213-$BS213*$BS$2),AVEDEV(ARRAYFORMULA(XLOOKUP(FILTER(INDIRECT(""'""&amp;CP$1&amp;""'!$C$4:$C$66""),INDIRECT(""'""&amp;CP$1&amp;""'!$D$4:$D$66"")=CP$2),$F$3:$BP$3,$F213:$BP213))),"""")"),"")</f>
        <v/>
      </c>
      <c r="CR213" s="251">
        <f>IFERROR(__xludf.DUMMYFUNCTION("AVERAGE(ARRAYFORMULA(XLOOKUP(FILTER(INDIRECT(""'""&amp;CR$1&amp;""'!$C$4:$C$66""),INDIRECT(""'""&amp;CR$1&amp;""'!$D$4:$D$66"")=CR$2),$F$3:$BP$3,$F213:$BP213)))"),-0.23537452888888882)</f>
        <v>-0.2353745289</v>
      </c>
      <c r="CS213" s="207" t="str">
        <f>IFERROR(__xludf.DUMMYFUNCTION("IF(OR(CR213&gt;$BR213+$BS213*$BS$2,CR213&lt;$BR213-$BS213*$BS$2),AVEDEV(ARRAYFORMULA(XLOOKUP(FILTER(INDIRECT(""'""&amp;CR$1&amp;""'!$C$4:$C$66""),INDIRECT(""'""&amp;CR$1&amp;""'!$D$4:$D$66"")=CR$2),$F$3:$BP$3,$F213:$BP213))),"""")"),"")</f>
        <v/>
      </c>
      <c r="CT213" s="251">
        <f>IFERROR(__xludf.DUMMYFUNCTION("AVERAGE(ARRAYFORMULA(XLOOKUP(FILTER(INDIRECT(""'""&amp;CT$1&amp;""'!$C$4:$C$66""),INDIRECT(""'""&amp;CT$1&amp;""'!$D$4:$D$66"")=CT$2),$F$3:$BP$3,$F213:$BP213)))"),-0.10750766636363637)</f>
        <v>-0.1075076664</v>
      </c>
      <c r="CU213" s="207" t="str">
        <f>IFERROR(__xludf.DUMMYFUNCTION("IF(OR(CT213&gt;$BR213+$BS213*$BS$2,CT213&lt;$BR213-$BS213*$BS$2),AVEDEV(ARRAYFORMULA(XLOOKUP(FILTER(INDIRECT(""'""&amp;CT$1&amp;""'!$C$4:$C$66""),INDIRECT(""'""&amp;CT$1&amp;""'!$D$4:$D$66"")=CT$2),$F$3:$BP$3,$F213:$BP213))),"""")"),"")</f>
        <v/>
      </c>
      <c r="CV213" s="251">
        <f>IFERROR(__xludf.DUMMYFUNCTION("AVERAGE(ARRAYFORMULA(XLOOKUP(FILTER(INDIRECT(""'""&amp;CV$1&amp;""'!$C$4:$C$66""),INDIRECT(""'""&amp;CV$1&amp;""'!$D$4:$D$66"")=CV$2),$F$3:$BP$3,$F213:$BP213)))"),1.188764045)</f>
        <v>1.188764045</v>
      </c>
      <c r="CW213" s="207">
        <f>IFERROR(__xludf.DUMMYFUNCTION("IF(OR(CV213&gt;$BR213+$BS213*$BS$2,CV213&lt;$BR213-$BS213*$BS$2),AVEDEV(ARRAYFORMULA(XLOOKUP(FILTER(INDIRECT(""'""&amp;CV$1&amp;""'!$C$4:$C$66""),INDIRECT(""'""&amp;CV$1&amp;""'!$D$4:$D$66"")=CV$2),$F$3:$BP$3,$F213:$BP213))),"""")"),0.35617977500000003)</f>
        <v>0.356179775</v>
      </c>
      <c r="CX213" s="251">
        <f>IFERROR(__xludf.DUMMYFUNCTION("AVERAGE(ARRAYFORMULA(XLOOKUP(FILTER(INDIRECT(""'""&amp;CX$1&amp;""'!$C$4:$C$66""),INDIRECT(""'""&amp;CX$1&amp;""'!$D$4:$D$66"")=CX$2),$F$3:$BP$3,$F213:$BP213)))"),0.01645665214285715)</f>
        <v>0.01645665214</v>
      </c>
      <c r="CY213" s="207" t="str">
        <f>IFERROR(__xludf.DUMMYFUNCTION("IF(OR(CX213&gt;$BR213+$BS213*$BS$2,CX213&lt;$BR213-$BS213*$BS$2),AVEDEV(ARRAYFORMULA(XLOOKUP(FILTER(INDIRECT(""'""&amp;CX$1&amp;""'!$C$4:$C$66""),INDIRECT(""'""&amp;CX$1&amp;""'!$D$4:$D$66"")=CX$2),$F$3:$BP$3,$F213:$BP213))),"""")"),"")</f>
        <v/>
      </c>
      <c r="CZ213" s="252"/>
      <c r="DA213" s="251">
        <f>IFERROR(__xludf.DUMMYFUNCTION("AVERAGE(ARRAYFORMULA(XLOOKUP(FILTER(INDIRECT(""'""&amp;DA$1&amp;""'!$C$4:$C$66""),INDIRECT(""'""&amp;DA$1&amp;""'!$D$4:$D$66"")=DA$2),$F$3:$BP$3,$F213:$BP213)))"),0.4474719066666667)</f>
        <v>0.4474719067</v>
      </c>
      <c r="DB213" s="207" t="str">
        <f>IFERROR(__xludf.DUMMYFUNCTION("IF(OR(DA213&gt;$BR213+$BS213*$BS$2,DA213&lt;$BR213-$BS213*$BS$2),AVEDEV(ARRAYFORMULA(XLOOKUP(FILTER(INDIRECT(""'""&amp;DA$1&amp;""'!$C$4:$C$66""),INDIRECT(""'""&amp;DA$1&amp;""'!$D$4:$D$66"")=DA$2),$F$3:$BP$3,$F213:$BP213))),"""")"),"")</f>
        <v/>
      </c>
      <c r="DC213" s="251">
        <f>IFERROR(__xludf.DUMMYFUNCTION("AVERAGE(ARRAYFORMULA(XLOOKUP(FILTER(INDIRECT(""'""&amp;DC$1&amp;""'!$C$4:$C$66""),INDIRECT(""'""&amp;DC$1&amp;""'!$D$4:$D$66"")=DC$2),$F$3:$BP$3,$F213:$BP213)))"),-0.3026029955555556)</f>
        <v>-0.3026029956</v>
      </c>
      <c r="DD213" s="207" t="str">
        <f>IFERROR(__xludf.DUMMYFUNCTION("IF(OR(DC213&gt;$BR213+$BS213*$BS$2,DC213&lt;$BR213-$BS213*$BS$2),AVEDEV(ARRAYFORMULA(XLOOKUP(FILTER(INDIRECT(""'""&amp;DC$1&amp;""'!$C$4:$C$66""),INDIRECT(""'""&amp;DC$1&amp;""'!$D$4:$D$66"")=DC$2),$F$3:$BP$3,$F213:$BP213))),"""")"),"")</f>
        <v/>
      </c>
      <c r="DE213" s="251">
        <f>IFERROR(__xludf.DUMMYFUNCTION("AVERAGE(ARRAYFORMULA(XLOOKUP(FILTER(INDIRECT(""'""&amp;DE$1&amp;""'!$C$4:$C$66""),INDIRECT(""'""&amp;DE$1&amp;""'!$D$4:$D$66"")=DE$2),$F$3:$BP$3,$F213:$BP213)))"),-0.6236446712499999)</f>
        <v>-0.6236446713</v>
      </c>
      <c r="DF213" s="207">
        <f>IFERROR(__xludf.DUMMYFUNCTION("IF(OR(DE213&gt;$BR213+$BS213*$BS$2,DE213&lt;$BR213-$BS213*$BS$2),AVEDEV(ARRAYFORMULA(XLOOKUP(FILTER(INDIRECT(""'""&amp;DE$1&amp;""'!$C$4:$C$66""),INDIRECT(""'""&amp;DE$1&amp;""'!$D$4:$D$66"")=DE$2),$F$3:$BP$3,$F213:$BP213))),"""")"),0.24764923593750005)</f>
        <v>0.2476492359</v>
      </c>
      <c r="DG213" s="251">
        <f>IFERROR(__xludf.DUMMYFUNCTION("AVERAGE(ARRAYFORMULA(XLOOKUP(FILTER(INDIRECT(""'""&amp;DG$1&amp;""'!$C$4:$C$66""),INDIRECT(""'""&amp;DG$1&amp;""'!$D$4:$D$66"")=DG$2),$F$3:$BP$3,$F213:$BP213)))"),0.5025593055555556)</f>
        <v>0.5025593056</v>
      </c>
      <c r="DH213" s="207" t="str">
        <f>IFERROR(__xludf.DUMMYFUNCTION("IF(OR(DG213&gt;$BR213+$BS213*$BS$2,DG213&lt;$BR213-$BS213*$BS$2),AVEDEV(ARRAYFORMULA(XLOOKUP(FILTER(INDIRECT(""'""&amp;DG$1&amp;""'!$C$4:$C$66""),INDIRECT(""'""&amp;DG$1&amp;""'!$D$4:$D$66"")=DG$2),$F$3:$BP$3,$F213:$BP213))),"""")"),"")</f>
        <v/>
      </c>
      <c r="DI213" s="252"/>
    </row>
    <row r="214">
      <c r="A214" s="2"/>
      <c r="B214" s="204" t="s">
        <v>646</v>
      </c>
      <c r="C214" s="204" t="s">
        <v>660</v>
      </c>
      <c r="D214" s="205" t="b">
        <f>VLOOKUP(C214,'Feature Set List'!A211:C246,2,0)</f>
        <v>1</v>
      </c>
      <c r="E214" s="205" t="b">
        <f>VLOOKUP(C214,'Feature Set List'!A211:C246,3,0)</f>
        <v>1</v>
      </c>
      <c r="F214" s="205">
        <v>-0.9858418</v>
      </c>
      <c r="G214" s="205">
        <v>-0.1142177</v>
      </c>
      <c r="H214" s="205">
        <v>0.14039262</v>
      </c>
      <c r="I214" s="205">
        <v>0.10232005</v>
      </c>
      <c r="J214" s="205">
        <v>1.72159429</v>
      </c>
      <c r="K214" s="205">
        <v>1.03271862</v>
      </c>
      <c r="L214" s="205">
        <v>1.38726948</v>
      </c>
      <c r="M214" s="205">
        <v>0.18560381</v>
      </c>
      <c r="N214" s="205">
        <v>0.93872695</v>
      </c>
      <c r="O214" s="205">
        <v>-0.3402736</v>
      </c>
      <c r="P214" s="205">
        <v>-0.364069</v>
      </c>
      <c r="Q214" s="205">
        <v>-0.3616895</v>
      </c>
      <c r="R214" s="205">
        <v>0.23319453</v>
      </c>
      <c r="S214" s="205">
        <v>0.35455086</v>
      </c>
      <c r="T214" s="205">
        <v>-0.4391434</v>
      </c>
      <c r="U214" s="205">
        <v>1.50624628</v>
      </c>
      <c r="V214" s="205">
        <v>0.21653778</v>
      </c>
      <c r="W214" s="205">
        <v>-0.7453896</v>
      </c>
      <c r="X214" s="205">
        <v>-0.0547293</v>
      </c>
      <c r="Y214" s="205">
        <v>0.18798334</v>
      </c>
      <c r="Z214" s="205">
        <v>-0.3569304</v>
      </c>
      <c r="AA214" s="205">
        <v>-0.5777513</v>
      </c>
      <c r="AB214" s="205">
        <v>-1.1425342</v>
      </c>
      <c r="AC214" s="205">
        <v>-0.2450922</v>
      </c>
      <c r="AD214" s="205">
        <v>0.87447948</v>
      </c>
      <c r="AE214" s="205">
        <v>0.46519929</v>
      </c>
      <c r="AF214" s="205">
        <v>-0.5863177</v>
      </c>
      <c r="AG214" s="205">
        <v>-1.5856395</v>
      </c>
      <c r="AH214" s="205">
        <v>0.26888757</v>
      </c>
      <c r="AI214" s="205">
        <v>-1.11279</v>
      </c>
      <c r="AJ214" s="205">
        <v>0.82569899</v>
      </c>
      <c r="AK214" s="205">
        <v>0.50089233</v>
      </c>
      <c r="AL214" s="205">
        <v>-0.0499703</v>
      </c>
      <c r="AM214" s="205">
        <v>0.03926234</v>
      </c>
      <c r="AN214" s="205">
        <v>4.46519929</v>
      </c>
      <c r="AO214" s="205">
        <v>4.95657347</v>
      </c>
      <c r="AP214" s="205">
        <v>0.36168947</v>
      </c>
      <c r="AQ214" s="205">
        <v>2.71029149</v>
      </c>
      <c r="AR214" s="205">
        <v>0.61629982</v>
      </c>
      <c r="AS214" s="205">
        <v>0.81261154</v>
      </c>
      <c r="AT214" s="205">
        <v>-0.4366449</v>
      </c>
      <c r="AU214" s="205">
        <v>-0.0713861</v>
      </c>
      <c r="AV214" s="205">
        <v>3.75014872</v>
      </c>
      <c r="AW214" s="205">
        <v>1.40987507</v>
      </c>
      <c r="AX214" s="205">
        <v>-0.4318858</v>
      </c>
      <c r="AY214" s="205">
        <v>0.28197501</v>
      </c>
      <c r="AZ214" s="205">
        <v>-0.0380726</v>
      </c>
      <c r="BA214" s="205">
        <v>-0.3819155</v>
      </c>
      <c r="BB214" s="205">
        <v>0.0</v>
      </c>
      <c r="BC214" s="205">
        <v>0.54491374</v>
      </c>
      <c r="BD214" s="205">
        <v>-0.553837</v>
      </c>
      <c r="BE214" s="205">
        <v>-0.5377751</v>
      </c>
      <c r="BF214" s="205">
        <v>-0.1439619</v>
      </c>
      <c r="BG214" s="205">
        <v>-0.2343843</v>
      </c>
      <c r="BH214" s="205">
        <v>3.6133254</v>
      </c>
      <c r="BI214" s="205">
        <v>-0.5343248</v>
      </c>
      <c r="BJ214" s="205">
        <v>0.07852469</v>
      </c>
      <c r="BK214" s="205">
        <v>-0.8586556</v>
      </c>
      <c r="BL214" s="205">
        <v>-0.4069007</v>
      </c>
      <c r="BM214" s="205">
        <v>-1.164188</v>
      </c>
      <c r="BN214" s="205">
        <v>-0.9991672</v>
      </c>
      <c r="BO214" s="205">
        <v>-0.1570494</v>
      </c>
      <c r="BP214" s="205">
        <v>1.00297442</v>
      </c>
      <c r="BQ214" s="206"/>
      <c r="BR214" s="250">
        <f t="shared" si="1"/>
        <v>0.3106894022</v>
      </c>
      <c r="BS214" s="250">
        <f t="shared" si="2"/>
        <v>0.8675175096</v>
      </c>
      <c r="BT214" s="206"/>
      <c r="BU214" s="207">
        <f>IFERROR(__xludf.DUMMYFUNCTION("AVERAGE(ARRAYFORMULA(XLOOKUP(FILTER(INDIRECT(""'""&amp;BU$1&amp;""'!$C$4:$C$66""),INDIRECT(""'""&amp;BU$1&amp;""'!$D$4:$D$66"")=BU$2),$F$3:$BP$3,$F214:$BP214)))"),0.1506246271428572)</f>
        <v>0.1506246271</v>
      </c>
      <c r="BV214" s="207" t="str">
        <f>IFERROR(__xludf.DUMMYFUNCTION("IF(OR(BU214&gt;$BR214+$BS214*$BS$2,BU214&lt;$BR214-$BS214*$BS$2),AVEDEV(ARRAYFORMULA(XLOOKUP(FILTER(INDIRECT(""'""&amp;BU$1&amp;""'!$C$4:$C$66""),INDIRECT(""'""&amp;BU$1&amp;""'!$D$4:$D$66"")=BU$2),$F$3:$BP$3,$F214:$BP214))),"""")"),"")</f>
        <v/>
      </c>
      <c r="BW214" s="207">
        <f>IFERROR(__xludf.DUMMYFUNCTION("AVERAGE(ARRAYFORMULA(XLOOKUP(FILTER(INDIRECT(""'""&amp;BW$1&amp;""'!$C$4:$C$66""),INDIRECT(""'""&amp;BW$1&amp;""'!$D$4:$D$66"")=BW$2),$F$3:$BP$3,$F214:$BP214)))"),0.3894753678571429)</f>
        <v>0.3894753679</v>
      </c>
      <c r="BX214" s="207" t="str">
        <f>IFERROR(__xludf.DUMMYFUNCTION("IF(OR(BW214&gt;$BR214+$BS214*$BS$2,BW214&lt;$BR214-$BS214*$BS$2),AVEDEV(ARRAYFORMULA(XLOOKUP(FILTER(INDIRECT(""'""&amp;BW$1&amp;""'!$C$4:$C$66""),INDIRECT(""'""&amp;BW$1&amp;""'!$D$4:$D$66"")=BW$2),$F$3:$BP$3,$F214:$BP214))),"""")"),"")</f>
        <v/>
      </c>
      <c r="BY214" s="207">
        <f>IFERROR(__xludf.DUMMYFUNCTION("AVERAGE(ARRAYFORMULA(XLOOKUP(FILTER(INDIRECT(""'""&amp;BY$1&amp;""'!$C$4:$C$66""),INDIRECT(""'""&amp;BY$1&amp;""'!$D$4:$D$66"")=BY$2),$F$3:$BP$3,$F214:$BP214)))"),0.1738575490909091)</f>
        <v>0.1738575491</v>
      </c>
      <c r="BZ214" s="207" t="str">
        <f>IFERROR(__xludf.DUMMYFUNCTION("IF(OR(BY214&gt;$BR214+$BS214*$BS$2,BY214&lt;$BR214-$BS214*$BS$2),AVEDEV(ARRAYFORMULA(XLOOKUP(FILTER(INDIRECT(""'""&amp;BY$1&amp;""'!$C$4:$C$66""),INDIRECT(""'""&amp;BY$1&amp;""'!$D$4:$D$66"")=BY$2),$F$3:$BP$3,$F214:$BP214))),"""")"),"")</f>
        <v/>
      </c>
      <c r="CA214" s="209"/>
      <c r="CB214" s="207">
        <f>IFERROR(__xludf.DUMMYFUNCTION("AVERAGE(ARRAYFORMULA(XLOOKUP(FILTER(INDIRECT(""'""&amp;CB$1&amp;""'!$C$4:$C$66""),INDIRECT(""'""&amp;CB$1&amp;""'!$D$4:$D$66"")=CB$2),$F$3:$BP$3,$F214:$BP214)))"),0.8316552668750002)</f>
        <v>0.8316552669</v>
      </c>
      <c r="CC214" s="207" t="str">
        <f>IFERROR(__xludf.DUMMYFUNCTION("IF(OR(CB214&gt;$BR214+$BS214*$BS$2,CB214&lt;$BR214-$BS214*$BS$2),AVEDEV(ARRAYFORMULA(XLOOKUP(FILTER(INDIRECT(""'""&amp;CB$1&amp;""'!$C$4:$C$66""),INDIRECT(""'""&amp;CB$1&amp;""'!$D$4:$D$66"")=CB$2),$F$3:$BP$3,$F214:$BP214))),"""")"),"")</f>
        <v/>
      </c>
      <c r="CD214" s="207">
        <f>IFERROR(__xludf.DUMMYFUNCTION("AVERAGE(ARRAYFORMULA(XLOOKUP(FILTER(INDIRECT(""'""&amp;CD$1&amp;""'!$C$4:$C$66""),INDIRECT(""'""&amp;CD$1&amp;""'!$D$4:$D$66"")=CD$2),$F$3:$BP$3,$F214:$BP214)))"),0.0316236477419355)</f>
        <v>0.03162364774</v>
      </c>
      <c r="CE214" s="207" t="str">
        <f>IFERROR(__xludf.DUMMYFUNCTION("IF(OR(CD214&gt;$BR214+$BS214*$BS$2,CD214&lt;$BR214-$BS214*$BS$2),AVEDEV(ARRAYFORMULA(XLOOKUP(FILTER(INDIRECT(""'""&amp;CD$1&amp;""'!$C$4:$C$66""),INDIRECT(""'""&amp;CD$1&amp;""'!$D$4:$D$66"")=CD$2),$F$3:$BP$3,$F214:$BP214))),"""")"),"")</f>
        <v/>
      </c>
      <c r="CF214" s="207">
        <f>IFERROR(__xludf.DUMMYFUNCTION("AVERAGE(ARRAYFORMULA(XLOOKUP(FILTER(INDIRECT(""'""&amp;CF$1&amp;""'!$C$4:$C$66""),INDIRECT(""'""&amp;CF$1&amp;""'!$D$4:$D$66"")=CF$2),$F$3:$BP$3,$F214:$BP214)))"),0.08970851600000003)</f>
        <v>0.089708516</v>
      </c>
      <c r="CG214" s="207" t="str">
        <f>IFERROR(__xludf.DUMMYFUNCTION("IF(OR(CF214&gt;$BR214+$BS214*$BS$2,CF214&lt;$BR214-$BS214*$BS$2),AVEDEV(ARRAYFORMULA(XLOOKUP(FILTER(INDIRECT(""'""&amp;CF$1&amp;""'!$C$4:$C$66""),INDIRECT(""'""&amp;CF$1&amp;""'!$D$4:$D$66"")=CF$2),$F$3:$BP$3,$F214:$BP214))),"""")"),"")</f>
        <v/>
      </c>
      <c r="CH214" s="206"/>
      <c r="CI214" s="251">
        <f>IFERROR(__xludf.DUMMYFUNCTION("AVERAGE(ARRAYFORMULA(XLOOKUP(FILTER(INDIRECT(""'""&amp;CI$1&amp;""'!$C$4:$C$66""),INDIRECT(""'""&amp;CI$1&amp;""'!$D$4:$D$66"")=CI$2),$F$3:$BP$3,$F214:$BP214)))"),-0.42380567133333347)</f>
        <v>-0.4238056713</v>
      </c>
      <c r="CJ214" s="207" t="str">
        <f>IFERROR(__xludf.DUMMYFUNCTION("IF(OR(CI214&gt;$BR214+$BS214*$BS$2,CI214&lt;$BR214-$BS214*$BS$2),AVEDEV(ARRAYFORMULA(XLOOKUP(FILTER(INDIRECT(""'""&amp;CI$1&amp;""'!$C$4:$C$66""),INDIRECT(""'""&amp;CI$1&amp;""'!$D$4:$D$66"")=CI$2),$F$3:$BP$3,$F214:$BP214))),"""")"),"")</f>
        <v/>
      </c>
      <c r="CK214" s="251">
        <f>IFERROR(__xludf.DUMMYFUNCTION("AVERAGE(ARRAYFORMULA(XLOOKUP(FILTER(INDIRECT(""'""&amp;CK$1&amp;""'!$C$4:$C$66""),INDIRECT(""'""&amp;CK$1&amp;""'!$D$4:$D$66"")=CK$2),$F$3:$BP$3,$F214:$BP214)))"),0.6690248453846154)</f>
        <v>0.6690248454</v>
      </c>
      <c r="CL214" s="207" t="str">
        <f>IFERROR(__xludf.DUMMYFUNCTION("IF(OR(CK214&gt;$BR214+$BS214*$BS$2,CK214&lt;$BR214-$BS214*$BS$2),AVEDEV(ARRAYFORMULA(XLOOKUP(FILTER(INDIRECT(""'""&amp;CK$1&amp;""'!$C$4:$C$66""),INDIRECT(""'""&amp;CK$1&amp;""'!$D$4:$D$66"")=CK$2),$F$3:$BP$3,$F214:$BP214))),"""")"),"")</f>
        <v/>
      </c>
      <c r="CM214" s="251">
        <f>IFERROR(__xludf.DUMMYFUNCTION("AVERAGE(ARRAYFORMULA(XLOOKUP(FILTER(INDIRECT(""'""&amp;CM$1&amp;""'!$C$4:$C$66""),INDIRECT(""'""&amp;CM$1&amp;""'!$D$4:$D$66"")=CM$2),$F$3:$BP$3,$F214:$BP214)))"),0.08970851600000003)</f>
        <v>0.089708516</v>
      </c>
      <c r="CN214" s="207" t="str">
        <f>IFERROR(__xludf.DUMMYFUNCTION("IF(OR(CM214&gt;$BR214+$BS214*$BS$2,CM214&lt;$BR214-$BS214*$BS$2),AVEDEV(ARRAYFORMULA(XLOOKUP(FILTER(INDIRECT(""'""&amp;CM$1&amp;""'!$C$4:$C$66""),INDIRECT(""'""&amp;CM$1&amp;""'!$D$4:$D$66"")=CM$2),$F$3:$BP$3,$F214:$BP214))),"""")"),"")</f>
        <v/>
      </c>
      <c r="CO214" s="252"/>
      <c r="CP214" s="251">
        <f>IFERROR(__xludf.DUMMYFUNCTION("AVERAGE(ARRAYFORMULA(XLOOKUP(FILTER(INDIRECT(""'""&amp;CP$1&amp;""'!$C$4:$C$66""),INDIRECT(""'""&amp;CP$1&amp;""'!$D$4:$D$66"")=CP$2),$F$3:$BP$3,$F214:$BP214)))"),0.8694824542857144)</f>
        <v>0.8694824543</v>
      </c>
      <c r="CQ214" s="207" t="str">
        <f>IFERROR(__xludf.DUMMYFUNCTION("IF(OR(CP214&gt;$BR214+$BS214*$BS$2,CP214&lt;$BR214-$BS214*$BS$2),AVEDEV(ARRAYFORMULA(XLOOKUP(FILTER(INDIRECT(""'""&amp;CP$1&amp;""'!$C$4:$C$66""),INDIRECT(""'""&amp;CP$1&amp;""'!$D$4:$D$66"")=CP$2),$F$3:$BP$3,$F214:$BP214))),"""")"),"")</f>
        <v/>
      </c>
      <c r="CR214" s="251">
        <f>IFERROR(__xludf.DUMMYFUNCTION("AVERAGE(ARRAYFORMULA(XLOOKUP(FILTER(INDIRECT(""'""&amp;CR$1&amp;""'!$C$4:$C$66""),INDIRECT(""'""&amp;CR$1&amp;""'!$D$4:$D$66"")=CR$2),$F$3:$BP$3,$F214:$BP214)))"),0.22637319222222224)</f>
        <v>0.2263731922</v>
      </c>
      <c r="CS214" s="207" t="str">
        <f>IFERROR(__xludf.DUMMYFUNCTION("IF(OR(CR214&gt;$BR214+$BS214*$BS$2,CR214&lt;$BR214-$BS214*$BS$2),AVEDEV(ARRAYFORMULA(XLOOKUP(FILTER(INDIRECT(""'""&amp;CR$1&amp;""'!$C$4:$C$66""),INDIRECT(""'""&amp;CR$1&amp;""'!$D$4:$D$66"")=CR$2),$F$3:$BP$3,$F214:$BP214))),"""")"),"")</f>
        <v/>
      </c>
      <c r="CT214" s="251">
        <f>IFERROR(__xludf.DUMMYFUNCTION("AVERAGE(ARRAYFORMULA(XLOOKUP(FILTER(INDIRECT(""'""&amp;CT$1&amp;""'!$C$4:$C$66""),INDIRECT(""'""&amp;CT$1&amp;""'!$D$4:$D$66"")=CT$2),$F$3:$BP$3,$F214:$BP214)))"),-0.3272327109090909)</f>
        <v>-0.3272327109</v>
      </c>
      <c r="CU214" s="207" t="str">
        <f>IFERROR(__xludf.DUMMYFUNCTION("IF(OR(CT214&gt;$BR214+$BS214*$BS$2,CT214&lt;$BR214-$BS214*$BS$2),AVEDEV(ARRAYFORMULA(XLOOKUP(FILTER(INDIRECT(""'""&amp;CT$1&amp;""'!$C$4:$C$66""),INDIRECT(""'""&amp;CT$1&amp;""'!$D$4:$D$66"")=CT$2),$F$3:$BP$3,$F214:$BP214))),"""")"),"")</f>
        <v/>
      </c>
      <c r="CV214" s="251">
        <f>IFERROR(__xludf.DUMMYFUNCTION("AVERAGE(ARRAYFORMULA(XLOOKUP(FILTER(INDIRECT(""'""&amp;CV$1&amp;""'!$C$4:$C$66""),INDIRECT(""'""&amp;CV$1&amp;""'!$D$4:$D$66"")=CV$2),$F$3:$BP$3,$F214:$BP214)))"),-0.23973824999999999)</f>
        <v>-0.23973825</v>
      </c>
      <c r="CW214" s="207" t="str">
        <f>IFERROR(__xludf.DUMMYFUNCTION("IF(OR(CV214&gt;$BR214+$BS214*$BS$2,CV214&lt;$BR214-$BS214*$BS$2),AVEDEV(ARRAYFORMULA(XLOOKUP(FILTER(INDIRECT(""'""&amp;CV$1&amp;""'!$C$4:$C$66""),INDIRECT(""'""&amp;CV$1&amp;""'!$D$4:$D$66"")=CV$2),$F$3:$BP$3,$F214:$BP214))),"""")"),"")</f>
        <v/>
      </c>
      <c r="CX214" s="251">
        <f>IFERROR(__xludf.DUMMYFUNCTION("AVERAGE(ARRAYFORMULA(XLOOKUP(FILTER(INDIRECT(""'""&amp;CX$1&amp;""'!$C$4:$C$66""),INDIRECT(""'""&amp;CX$1&amp;""'!$D$4:$D$66"")=CX$2),$F$3:$BP$3,$F214:$BP214)))"),0.44345202214285706)</f>
        <v>0.4434520221</v>
      </c>
      <c r="CY214" s="207" t="str">
        <f>IFERROR(__xludf.DUMMYFUNCTION("IF(OR(CX214&gt;$BR214+$BS214*$BS$2,CX214&lt;$BR214-$BS214*$BS$2),AVEDEV(ARRAYFORMULA(XLOOKUP(FILTER(INDIRECT(""'""&amp;CX$1&amp;""'!$C$4:$C$66""),INDIRECT(""'""&amp;CX$1&amp;""'!$D$4:$D$66"")=CX$2),$F$3:$BP$3,$F214:$BP214))),"""")"),"")</f>
        <v/>
      </c>
      <c r="CZ214" s="252"/>
      <c r="DA214" s="251">
        <f>IFERROR(__xludf.DUMMYFUNCTION("AVERAGE(ARRAYFORMULA(XLOOKUP(FILTER(INDIRECT(""'""&amp;DA$1&amp;""'!$C$4:$C$66""),INDIRECT(""'""&amp;DA$1&amp;""'!$D$4:$D$66"")=DA$2),$F$3:$BP$3,$F214:$BP214)))"),0.3923049813333333)</f>
        <v>0.3923049813</v>
      </c>
      <c r="DB214" s="207" t="str">
        <f>IFERROR(__xludf.DUMMYFUNCTION("IF(OR(DA214&gt;$BR214+$BS214*$BS$2,DA214&lt;$BR214-$BS214*$BS$2),AVEDEV(ARRAYFORMULA(XLOOKUP(FILTER(INDIRECT(""'""&amp;DA$1&amp;""'!$C$4:$C$66""),INDIRECT(""'""&amp;DA$1&amp;""'!$D$4:$D$66"")=DA$2),$F$3:$BP$3,$F214:$BP214))),"""")"),"")</f>
        <v/>
      </c>
      <c r="DC214" s="251">
        <f>IFERROR(__xludf.DUMMYFUNCTION("AVERAGE(ARRAYFORMULA(XLOOKUP(FILTER(INDIRECT(""'""&amp;DC$1&amp;""'!$C$4:$C$66""),INDIRECT(""'""&amp;DC$1&amp;""'!$D$4:$D$66"")=DC$2),$F$3:$BP$3,$F214:$BP214)))"),0.1276224377777778)</f>
        <v>0.1276224378</v>
      </c>
      <c r="DD214" s="207" t="str">
        <f>IFERROR(__xludf.DUMMYFUNCTION("IF(OR(DC214&gt;$BR214+$BS214*$BS$2,DC214&lt;$BR214-$BS214*$BS$2),AVEDEV(ARRAYFORMULA(XLOOKUP(FILTER(INDIRECT(""'""&amp;DC$1&amp;""'!$C$4:$C$66""),INDIRECT(""'""&amp;DC$1&amp;""'!$D$4:$D$66"")=DC$2),$F$3:$BP$3,$F214:$BP214))),"""")"),"")</f>
        <v/>
      </c>
      <c r="DE214" s="251">
        <f>IFERROR(__xludf.DUMMYFUNCTION("AVERAGE(ARRAYFORMULA(XLOOKUP(FILTER(INDIRECT(""'""&amp;DE$1&amp;""'!$C$4:$C$66""),INDIRECT(""'""&amp;DE$1&amp;""'!$D$4:$D$66"")=DE$2),$F$3:$BP$3,$F214:$BP214)))"),-0.15606782624999999)</f>
        <v>-0.1560678263</v>
      </c>
      <c r="DF214" s="207" t="str">
        <f>IFERROR(__xludf.DUMMYFUNCTION("IF(OR(DE214&gt;$BR214+$BS214*$BS$2,DE214&lt;$BR214-$BS214*$BS$2),AVEDEV(ARRAYFORMULA(XLOOKUP(FILTER(INDIRECT(""'""&amp;DE$1&amp;""'!$C$4:$C$66""),INDIRECT(""'""&amp;DE$1&amp;""'!$D$4:$D$66"")=DE$2),$F$3:$BP$3,$F214:$BP214))),"""")"),"")</f>
        <v/>
      </c>
      <c r="DG214" s="251">
        <f>IFERROR(__xludf.DUMMYFUNCTION("AVERAGE(ARRAYFORMULA(XLOOKUP(FILTER(INDIRECT(""'""&amp;DG$1&amp;""'!$C$4:$C$66""),INDIRECT(""'""&amp;DG$1&amp;""'!$D$4:$D$66"")=DG$2),$F$3:$BP$3,$F214:$BP214)))"),0.23156850333333334)</f>
        <v>0.2315685033</v>
      </c>
      <c r="DH214" s="207" t="str">
        <f>IFERROR(__xludf.DUMMYFUNCTION("IF(OR(DG214&gt;$BR214+$BS214*$BS$2,DG214&lt;$BR214-$BS214*$BS$2),AVEDEV(ARRAYFORMULA(XLOOKUP(FILTER(INDIRECT(""'""&amp;DG$1&amp;""'!$C$4:$C$66""),INDIRECT(""'""&amp;DG$1&amp;""'!$D$4:$D$66"")=DG$2),$F$3:$BP$3,$F214:$BP214))),"""")"),"")</f>
        <v/>
      </c>
      <c r="DI214" s="252"/>
    </row>
    <row r="215">
      <c r="A215" s="2"/>
      <c r="B215" s="204" t="s">
        <v>646</v>
      </c>
      <c r="C215" s="204" t="s">
        <v>661</v>
      </c>
      <c r="D215" s="205" t="b">
        <f>VLOOKUP(C215,'Feature Set List'!A212:C246,2,0)</f>
        <v>1</v>
      </c>
      <c r="E215" s="205" t="b">
        <f>VLOOKUP(C215,'Feature Set List'!A212:C246,3,0)</f>
        <v>1</v>
      </c>
      <c r="F215" s="205">
        <v>0.89666395</v>
      </c>
      <c r="G215" s="205">
        <v>0.0</v>
      </c>
      <c r="H215" s="205">
        <v>1.2278275</v>
      </c>
      <c r="I215" s="205">
        <v>1.52563059</v>
      </c>
      <c r="J215" s="205">
        <v>0.0</v>
      </c>
      <c r="K215" s="205">
        <v>0.0</v>
      </c>
      <c r="L215" s="205">
        <v>0.0</v>
      </c>
      <c r="M215" s="205">
        <v>1.56061839</v>
      </c>
      <c r="N215" s="205">
        <v>1.59804719</v>
      </c>
      <c r="O215" s="205">
        <v>2.47599675</v>
      </c>
      <c r="P215" s="205">
        <v>0.0</v>
      </c>
      <c r="Q215" s="205">
        <v>0.0</v>
      </c>
      <c r="R215" s="205">
        <v>0.68852726</v>
      </c>
      <c r="S215" s="205">
        <v>0.0</v>
      </c>
      <c r="T215" s="205">
        <v>0.38543531</v>
      </c>
      <c r="U215" s="205">
        <v>0.0</v>
      </c>
      <c r="V215" s="205">
        <v>0.0</v>
      </c>
      <c r="W215" s="205">
        <v>0.0</v>
      </c>
      <c r="X215" s="205">
        <v>0.0</v>
      </c>
      <c r="Y215" s="205">
        <v>0.0</v>
      </c>
      <c r="Z215" s="205">
        <v>0.85435313</v>
      </c>
      <c r="AA215" s="205">
        <v>0.0</v>
      </c>
      <c r="AB215" s="205">
        <v>0.0</v>
      </c>
      <c r="AC215" s="205">
        <v>0.0</v>
      </c>
      <c r="AD215" s="205">
        <v>0.0</v>
      </c>
      <c r="AE215" s="205">
        <v>0.0</v>
      </c>
      <c r="AF215" s="205">
        <v>0.0</v>
      </c>
      <c r="AG215" s="205">
        <v>0.0</v>
      </c>
      <c r="AH215" s="205">
        <v>2.75427177</v>
      </c>
      <c r="AI215" s="205">
        <v>0.58917819</v>
      </c>
      <c r="AJ215" s="205">
        <v>1.36208299</v>
      </c>
      <c r="AK215" s="205">
        <v>0.0</v>
      </c>
      <c r="AL215" s="205">
        <v>0.0</v>
      </c>
      <c r="AM215" s="205">
        <v>0.0</v>
      </c>
      <c r="AN215" s="205">
        <v>1.03580146</v>
      </c>
      <c r="AO215" s="205">
        <v>1.17249797</v>
      </c>
      <c r="AP215" s="205">
        <v>0.77664768</v>
      </c>
      <c r="AQ215" s="205">
        <v>0.0</v>
      </c>
      <c r="AR215" s="205">
        <v>0.0</v>
      </c>
      <c r="AS215" s="205">
        <v>1.26769731</v>
      </c>
      <c r="AT215" s="205">
        <v>0.81366965</v>
      </c>
      <c r="AU215" s="205">
        <v>1.18388934</v>
      </c>
      <c r="AV215" s="205">
        <v>1.91049634</v>
      </c>
      <c r="AW215" s="205">
        <v>0.0</v>
      </c>
      <c r="AX215" s="205">
        <v>2.44100895</v>
      </c>
      <c r="AY215" s="205">
        <v>0.0</v>
      </c>
      <c r="AZ215" s="205">
        <v>1.24328723</v>
      </c>
      <c r="BA215" s="205">
        <v>0.58120423</v>
      </c>
      <c r="BB215" s="205">
        <v>1.35069162</v>
      </c>
      <c r="BC215" s="205">
        <v>0.49528072</v>
      </c>
      <c r="BD215" s="205">
        <v>0.0</v>
      </c>
      <c r="BE215" s="205">
        <v>0.0</v>
      </c>
      <c r="BF215" s="205">
        <v>0.0</v>
      </c>
      <c r="BG215" s="205">
        <v>0.62587469</v>
      </c>
      <c r="BH215" s="205">
        <v>0.14027665</v>
      </c>
      <c r="BI215" s="205">
        <v>0.0</v>
      </c>
      <c r="BJ215" s="205">
        <v>1.50203417</v>
      </c>
      <c r="BK215" s="205">
        <v>0.52310822</v>
      </c>
      <c r="BL215" s="205">
        <v>0.96419854</v>
      </c>
      <c r="BM215" s="205">
        <v>0.89991863</v>
      </c>
      <c r="BN215" s="205">
        <v>0.0</v>
      </c>
      <c r="BO215" s="205">
        <v>0.0</v>
      </c>
      <c r="BP215" s="205">
        <v>0.32050448</v>
      </c>
      <c r="BQ215" s="206"/>
      <c r="BR215" s="250">
        <f t="shared" si="1"/>
        <v>0.558201919</v>
      </c>
      <c r="BS215" s="250">
        <f t="shared" si="2"/>
        <v>0.5964719246</v>
      </c>
      <c r="BT215" s="206"/>
      <c r="BU215" s="207">
        <f>IFERROR(__xludf.DUMMYFUNCTION("AVERAGE(ARRAYFORMULA(XLOOKUP(FILTER(INDIRECT(""'""&amp;BU$1&amp;""'!$C$4:$C$66""),INDIRECT(""'""&amp;BU$1&amp;""'!$D$4:$D$66"")=BU$2),$F$3:$BP$3,$F215:$BP215)))"),0.7095083100000001)</f>
        <v>0.70950831</v>
      </c>
      <c r="BV215" s="207" t="str">
        <f>IFERROR(__xludf.DUMMYFUNCTION("IF(OR(BU215&gt;$BR215+$BS215*$BS$2,BU215&lt;$BR215-$BS215*$BS$2),AVEDEV(ARRAYFORMULA(XLOOKUP(FILTER(INDIRECT(""'""&amp;BU$1&amp;""'!$C$4:$C$66""),INDIRECT(""'""&amp;BU$1&amp;""'!$D$4:$D$66"")=BU$2),$F$3:$BP$3,$F215:$BP215))),"""")"),"")</f>
        <v/>
      </c>
      <c r="BW215" s="207">
        <f>IFERROR(__xludf.DUMMYFUNCTION("AVERAGE(ARRAYFORMULA(XLOOKUP(FILTER(INDIRECT(""'""&amp;BW$1&amp;""'!$C$4:$C$66""),INDIRECT(""'""&amp;BW$1&amp;""'!$D$4:$D$66"")=BW$2),$F$3:$BP$3,$F215:$BP215)))"),0.5257913902380952)</f>
        <v>0.5257913902</v>
      </c>
      <c r="BX215" s="207" t="str">
        <f>IFERROR(__xludf.DUMMYFUNCTION("IF(OR(BW215&gt;$BR215+$BS215*$BS$2,BW215&lt;$BR215-$BS215*$BS$2),AVEDEV(ARRAYFORMULA(XLOOKUP(FILTER(INDIRECT(""'""&amp;BW$1&amp;""'!$C$4:$C$66""),INDIRECT(""'""&amp;BW$1&amp;""'!$D$4:$D$66"")=BW$2),$F$3:$BP$3,$F215:$BP215))),"""")"),"")</f>
        <v/>
      </c>
      <c r="BY215" s="207">
        <f>IFERROR(__xludf.DUMMYFUNCTION("AVERAGE(ARRAYFORMULA(XLOOKUP(FILTER(INDIRECT(""'""&amp;BY$1&amp;""'!$C$4:$C$66""),INDIRECT(""'""&amp;BY$1&amp;""'!$D$4:$D$66"")=BY$2),$F$3:$BP$3,$F215:$BP215)))"),0.5072860427272727)</f>
        <v>0.5072860427</v>
      </c>
      <c r="BZ215" s="207" t="str">
        <f>IFERROR(__xludf.DUMMYFUNCTION("IF(OR(BY215&gt;$BR215+$BS215*$BS$2,BY215&lt;$BR215-$BS215*$BS$2),AVEDEV(ARRAYFORMULA(XLOOKUP(FILTER(INDIRECT(""'""&amp;BY$1&amp;""'!$C$4:$C$66""),INDIRECT(""'""&amp;BY$1&amp;""'!$D$4:$D$66"")=BY$2),$F$3:$BP$3,$F215:$BP215))),"""")"),"")</f>
        <v/>
      </c>
      <c r="CA215" s="209"/>
      <c r="CB215" s="207">
        <f>IFERROR(__xludf.DUMMYFUNCTION("AVERAGE(ARRAYFORMULA(XLOOKUP(FILTER(INDIRECT(""'""&amp;CB$1&amp;""'!$C$4:$C$66""),INDIRECT(""'""&amp;CB$1&amp;""'!$D$4:$D$66"")=CB$2),$F$3:$BP$3,$F215:$BP215)))"),0.83103641125)</f>
        <v>0.8310364113</v>
      </c>
      <c r="CC215" s="207" t="str">
        <f>IFERROR(__xludf.DUMMYFUNCTION("IF(OR(CB215&gt;$BR215+$BS215*$BS$2,CB215&lt;$BR215-$BS215*$BS$2),AVEDEV(ARRAYFORMULA(XLOOKUP(FILTER(INDIRECT(""'""&amp;CB$1&amp;""'!$C$4:$C$66""),INDIRECT(""'""&amp;CB$1&amp;""'!$D$4:$D$66"")=CB$2),$F$3:$BP$3,$F215:$BP215))),"""")"),"")</f>
        <v/>
      </c>
      <c r="CD215" s="207">
        <f>IFERROR(__xludf.DUMMYFUNCTION("AVERAGE(ARRAYFORMULA(XLOOKUP(FILTER(INDIRECT(""'""&amp;CD$1&amp;""'!$C$4:$C$66""),INDIRECT(""'""&amp;CD$1&amp;""'!$D$4:$D$66"")=CD$2),$F$3:$BP$3,$F215:$BP215)))"),0.3933646548387097)</f>
        <v>0.3933646548</v>
      </c>
      <c r="CE215" s="207" t="str">
        <f>IFERROR(__xludf.DUMMYFUNCTION("IF(OR(CD215&gt;$BR215+$BS215*$BS$2,CD215&lt;$BR215-$BS215*$BS$2),AVEDEV(ARRAYFORMULA(XLOOKUP(FILTER(INDIRECT(""'""&amp;CD$1&amp;""'!$C$4:$C$66""),INDIRECT(""'""&amp;CD$1&amp;""'!$D$4:$D$66"")=CD$2),$F$3:$BP$3,$F215:$BP215))),"""")"),"")</f>
        <v/>
      </c>
      <c r="CF215" s="207">
        <f>IFERROR(__xludf.DUMMYFUNCTION("AVERAGE(ARRAYFORMULA(XLOOKUP(FILTER(INDIRECT(""'""&amp;CF$1&amp;""'!$C$4:$C$66""),INDIRECT(""'""&amp;CF$1&amp;""'!$D$4:$D$66"")=CF$2),$F$3:$BP$3,$F215:$BP215)))"),0.743856796)</f>
        <v>0.743856796</v>
      </c>
      <c r="CG215" s="207" t="str">
        <f>IFERROR(__xludf.DUMMYFUNCTION("IF(OR(CF215&gt;$BR215+$BS215*$BS$2,CF215&lt;$BR215-$BS215*$BS$2),AVEDEV(ARRAYFORMULA(XLOOKUP(FILTER(INDIRECT(""'""&amp;CF$1&amp;""'!$C$4:$C$66""),INDIRECT(""'""&amp;CF$1&amp;""'!$D$4:$D$66"")=CF$2),$F$3:$BP$3,$F215:$BP215))),"""")"),"")</f>
        <v/>
      </c>
      <c r="CH215" s="206"/>
      <c r="CI215" s="251">
        <f>IFERROR(__xludf.DUMMYFUNCTION("AVERAGE(ARRAYFORMULA(XLOOKUP(FILTER(INDIRECT(""'""&amp;CI$1&amp;""'!$C$4:$C$66""),INDIRECT(""'""&amp;CI$1&amp;""'!$D$4:$D$66"")=CI$2),$F$3:$BP$3,$F215:$BP215)))"),0.43401139066666666)</f>
        <v>0.4340113907</v>
      </c>
      <c r="CJ215" s="207" t="str">
        <f>IFERROR(__xludf.DUMMYFUNCTION("IF(OR(CI215&gt;$BR215+$BS215*$BS$2,CI215&lt;$BR215-$BS215*$BS$2),AVEDEV(ARRAYFORMULA(XLOOKUP(FILTER(INDIRECT(""'""&amp;CI$1&amp;""'!$C$4:$C$66""),INDIRECT(""'""&amp;CI$1&amp;""'!$D$4:$D$66"")=CI$2),$F$3:$BP$3,$F215:$BP215))),"""")"),"")</f>
        <v/>
      </c>
      <c r="CK215" s="251">
        <f>IFERROR(__xludf.DUMMYFUNCTION("AVERAGE(ARRAYFORMULA(XLOOKUP(FILTER(INDIRECT(""'""&amp;CK$1&amp;""'!$C$4:$C$66""),INDIRECT(""'""&amp;CK$1&amp;""'!$D$4:$D$66"")=CK$2),$F$3:$BP$3,$F215:$BP215)))"),0.5609584607692307)</f>
        <v>0.5609584608</v>
      </c>
      <c r="CL215" s="207" t="str">
        <f>IFERROR(__xludf.DUMMYFUNCTION("IF(OR(CK215&gt;$BR215+$BS215*$BS$2,CK215&lt;$BR215-$BS215*$BS$2),AVEDEV(ARRAYFORMULA(XLOOKUP(FILTER(INDIRECT(""'""&amp;CK$1&amp;""'!$C$4:$C$66""),INDIRECT(""'""&amp;CK$1&amp;""'!$D$4:$D$66"")=CK$2),$F$3:$BP$3,$F215:$BP215))),"""")"),"")</f>
        <v/>
      </c>
      <c r="CM215" s="251">
        <f>IFERROR(__xludf.DUMMYFUNCTION("AVERAGE(ARRAYFORMULA(XLOOKUP(FILTER(INDIRECT(""'""&amp;CM$1&amp;""'!$C$4:$C$66""),INDIRECT(""'""&amp;CM$1&amp;""'!$D$4:$D$66"")=CM$2),$F$3:$BP$3,$F215:$BP215)))"),0.743856796)</f>
        <v>0.743856796</v>
      </c>
      <c r="CN215" s="207" t="str">
        <f>IFERROR(__xludf.DUMMYFUNCTION("IF(OR(CM215&gt;$BR215+$BS215*$BS$2,CM215&lt;$BR215-$BS215*$BS$2),AVEDEV(ARRAYFORMULA(XLOOKUP(FILTER(INDIRECT(""'""&amp;CM$1&amp;""'!$C$4:$C$66""),INDIRECT(""'""&amp;CM$1&amp;""'!$D$4:$D$66"")=CM$2),$F$3:$BP$3,$F215:$BP215))),"""")"),"")</f>
        <v/>
      </c>
      <c r="CO215" s="252"/>
      <c r="CP215" s="251">
        <f>IFERROR(__xludf.DUMMYFUNCTION("AVERAGE(ARRAYFORMULA(XLOOKUP(FILTER(INDIRECT(""'""&amp;CP$1&amp;""'!$C$4:$C$66""),INDIRECT(""'""&amp;CP$1&amp;""'!$D$4:$D$66"")=CP$2),$F$3:$BP$3,$F215:$BP215)))"),0.8974485642857143)</f>
        <v>0.8974485643</v>
      </c>
      <c r="CQ215" s="207" t="str">
        <f>IFERROR(__xludf.DUMMYFUNCTION("IF(OR(CP215&gt;$BR215+$BS215*$BS$2,CP215&lt;$BR215-$BS215*$BS$2),AVEDEV(ARRAYFORMULA(XLOOKUP(FILTER(INDIRECT(""'""&amp;CP$1&amp;""'!$C$4:$C$66""),INDIRECT(""'""&amp;CP$1&amp;""'!$D$4:$D$66"")=CP$2),$F$3:$BP$3,$F215:$BP215))),"""")"),"")</f>
        <v/>
      </c>
      <c r="CR215" s="251">
        <f>IFERROR(__xludf.DUMMYFUNCTION("AVERAGE(ARRAYFORMULA(XLOOKUP(FILTER(INDIRECT(""'""&amp;CR$1&amp;""'!$C$4:$C$66""),INDIRECT(""'""&amp;CR$1&amp;""'!$D$4:$D$66"")=CR$2),$F$3:$BP$3,$F215:$BP215)))"),0.5128831033333333)</f>
        <v>0.5128831033</v>
      </c>
      <c r="CS215" s="207" t="str">
        <f>IFERROR(__xludf.DUMMYFUNCTION("IF(OR(CR215&gt;$BR215+$BS215*$BS$2,CR215&lt;$BR215-$BS215*$BS$2),AVEDEV(ARRAYFORMULA(XLOOKUP(FILTER(INDIRECT(""'""&amp;CR$1&amp;""'!$C$4:$C$66""),INDIRECT(""'""&amp;CR$1&amp;""'!$D$4:$D$66"")=CR$2),$F$3:$BP$3,$F215:$BP215))),"""")"),"")</f>
        <v/>
      </c>
      <c r="CT215" s="251">
        <f>IFERROR(__xludf.DUMMYFUNCTION("AVERAGE(ARRAYFORMULA(XLOOKUP(FILTER(INDIRECT(""'""&amp;CT$1&amp;""'!$C$4:$C$66""),INDIRECT(""'""&amp;CT$1&amp;""'!$D$4:$D$66"")=CT$2),$F$3:$BP$3,$F215:$BP215)))"),0.36313336727272727)</f>
        <v>0.3631333673</v>
      </c>
      <c r="CU215" s="207" t="str">
        <f>IFERROR(__xludf.DUMMYFUNCTION("IF(OR(CT215&gt;$BR215+$BS215*$BS$2,CT215&lt;$BR215-$BS215*$BS$2),AVEDEV(ARRAYFORMULA(XLOOKUP(FILTER(INDIRECT(""'""&amp;CT$1&amp;""'!$C$4:$C$66""),INDIRECT(""'""&amp;CT$1&amp;""'!$D$4:$D$66"")=CT$2),$F$3:$BP$3,$F215:$BP215))),"""")"),"")</f>
        <v/>
      </c>
      <c r="CV215" s="251">
        <f>IFERROR(__xludf.DUMMYFUNCTION("AVERAGE(ARRAYFORMULA(XLOOKUP(FILTER(INDIRECT(""'""&amp;CV$1&amp;""'!$C$4:$C$66""),INDIRECT(""'""&amp;CV$1&amp;""'!$D$4:$D$66"")=CV$2),$F$3:$BP$3,$F215:$BP215)))"),0.312937345)</f>
        <v>0.312937345</v>
      </c>
      <c r="CW215" s="207" t="str">
        <f>IFERROR(__xludf.DUMMYFUNCTION("IF(OR(CV215&gt;$BR215+$BS215*$BS$2,CV215&lt;$BR215-$BS215*$BS$2),AVEDEV(ARRAYFORMULA(XLOOKUP(FILTER(INDIRECT(""'""&amp;CV$1&amp;""'!$C$4:$C$66""),INDIRECT(""'""&amp;CV$1&amp;""'!$D$4:$D$66"")=CV$2),$F$3:$BP$3,$F215:$BP215))),"""")"),"")</f>
        <v/>
      </c>
      <c r="CX215" s="251">
        <f>IFERROR(__xludf.DUMMYFUNCTION("AVERAGE(ARRAYFORMULA(XLOOKUP(FILTER(INDIRECT(""'""&amp;CX$1&amp;""'!$C$4:$C$66""),INDIRECT(""'""&amp;CX$1&amp;""'!$D$4:$D$66"")=CX$2),$F$3:$BP$3,$F215:$BP215)))"),0.3499011971428571)</f>
        <v>0.3499011971</v>
      </c>
      <c r="CY215" s="207" t="str">
        <f>IFERROR(__xludf.DUMMYFUNCTION("IF(OR(CX215&gt;$BR215+$BS215*$BS$2,CX215&lt;$BR215-$BS215*$BS$2),AVEDEV(ARRAYFORMULA(XLOOKUP(FILTER(INDIRECT(""'""&amp;CX$1&amp;""'!$C$4:$C$66""),INDIRECT(""'""&amp;CX$1&amp;""'!$D$4:$D$66"")=CX$2),$F$3:$BP$3,$F215:$BP215))),"""")"),"")</f>
        <v/>
      </c>
      <c r="CZ215" s="252"/>
      <c r="DA215" s="251">
        <f>IFERROR(__xludf.DUMMYFUNCTION("AVERAGE(ARRAYFORMULA(XLOOKUP(FILTER(INDIRECT(""'""&amp;DA$1&amp;""'!$C$4:$C$66""),INDIRECT(""'""&amp;DA$1&amp;""'!$D$4:$D$66"")=DA$2),$F$3:$BP$3,$F215:$BP215)))"),0.47713859500000005)</f>
        <v>0.477138595</v>
      </c>
      <c r="DB215" s="207" t="str">
        <f>IFERROR(__xludf.DUMMYFUNCTION("IF(OR(DA215&gt;$BR215+$BS215*$BS$2,DA215&lt;$BR215-$BS215*$BS$2),AVEDEV(ARRAYFORMULA(XLOOKUP(FILTER(INDIRECT(""'""&amp;DA$1&amp;""'!$C$4:$C$66""),INDIRECT(""'""&amp;DA$1&amp;""'!$D$4:$D$66"")=DA$2),$F$3:$BP$3,$F215:$BP215))),"""")"),"")</f>
        <v/>
      </c>
      <c r="DC215" s="251">
        <f>IFERROR(__xludf.DUMMYFUNCTION("AVERAGE(ARRAYFORMULA(XLOOKUP(FILTER(INDIRECT(""'""&amp;DC$1&amp;""'!$C$4:$C$66""),INDIRECT(""'""&amp;DC$1&amp;""'!$D$4:$D$66"")=DC$2),$F$3:$BP$3,$F215:$BP215)))"),0.7515595344444445)</f>
        <v>0.7515595344</v>
      </c>
      <c r="DD215" s="207" t="str">
        <f>IFERROR(__xludf.DUMMYFUNCTION("IF(OR(DC215&gt;$BR215+$BS215*$BS$2,DC215&lt;$BR215-$BS215*$BS$2),AVEDEV(ARRAYFORMULA(XLOOKUP(FILTER(INDIRECT(""'""&amp;DC$1&amp;""'!$C$4:$C$66""),INDIRECT(""'""&amp;DC$1&amp;""'!$D$4:$D$66"")=DC$2),$F$3:$BP$3,$F215:$BP215))),"""")"),"")</f>
        <v/>
      </c>
      <c r="DE215" s="251">
        <f>IFERROR(__xludf.DUMMYFUNCTION("AVERAGE(ARRAYFORMULA(XLOOKUP(FILTER(INDIRECT(""'""&amp;DE$1&amp;""'!$C$4:$C$66""),INDIRECT(""'""&amp;DE$1&amp;""'!$D$4:$D$66"")=DE$2),$F$3:$BP$3,$F215:$BP215)))"),0.81956875375)</f>
        <v>0.8195687538</v>
      </c>
      <c r="DF215" s="207" t="str">
        <f>IFERROR(__xludf.DUMMYFUNCTION("IF(OR(DE215&gt;$BR215+$BS215*$BS$2,DE215&lt;$BR215-$BS215*$BS$2),AVEDEV(ARRAYFORMULA(XLOOKUP(FILTER(INDIRECT(""'""&amp;DE$1&amp;""'!$C$4:$C$66""),INDIRECT(""'""&amp;DE$1&amp;""'!$D$4:$D$66"")=DE$2),$F$3:$BP$3,$F215:$BP215))),"""")"),"")</f>
        <v/>
      </c>
      <c r="DG215" s="251">
        <f>IFERROR(__xludf.DUMMYFUNCTION("AVERAGE(ARRAYFORMULA(XLOOKUP(FILTER(INDIRECT(""'""&amp;DG$1&amp;""'!$C$4:$C$66""),INDIRECT(""'""&amp;DG$1&amp;""'!$D$4:$D$66"")=DG$2),$F$3:$BP$3,$F215:$BP215)))"),0.3818099622222222)</f>
        <v>0.3818099622</v>
      </c>
      <c r="DH215" s="207" t="str">
        <f>IFERROR(__xludf.DUMMYFUNCTION("IF(OR(DG215&gt;$BR215+$BS215*$BS$2,DG215&lt;$BR215-$BS215*$BS$2),AVEDEV(ARRAYFORMULA(XLOOKUP(FILTER(INDIRECT(""'""&amp;DG$1&amp;""'!$C$4:$C$66""),INDIRECT(""'""&amp;DG$1&amp;""'!$D$4:$D$66"")=DG$2),$F$3:$BP$3,$F215:$BP215))),"""")"),"")</f>
        <v/>
      </c>
      <c r="DI215" s="252"/>
    </row>
    <row r="216">
      <c r="A216" s="2"/>
      <c r="B216" s="204" t="s">
        <v>646</v>
      </c>
      <c r="C216" s="204" t="s">
        <v>662</v>
      </c>
      <c r="D216" s="205" t="b">
        <f>VLOOKUP(C216,'Feature Set List'!A213:C246,2,0)</f>
        <v>1</v>
      </c>
      <c r="E216" s="205" t="b">
        <f>VLOOKUP(C216,'Feature Set List'!A213:C246,3,0)</f>
        <v>1</v>
      </c>
      <c r="F216" s="205">
        <v>-1.0144928</v>
      </c>
      <c r="G216" s="205">
        <v>0.22397892</v>
      </c>
      <c r="H216" s="205">
        <v>0.06324111</v>
      </c>
      <c r="I216" s="205">
        <v>-0.2714097</v>
      </c>
      <c r="J216" s="205">
        <v>-0.7694335</v>
      </c>
      <c r="K216" s="205">
        <v>-0.0237154</v>
      </c>
      <c r="L216" s="205">
        <v>0.00263505</v>
      </c>
      <c r="M216" s="205">
        <v>-0.5349144</v>
      </c>
      <c r="N216" s="205">
        <v>0.16600791</v>
      </c>
      <c r="O216" s="205">
        <v>0.28458498</v>
      </c>
      <c r="P216" s="205">
        <v>-0.3188406</v>
      </c>
      <c r="Q216" s="205">
        <v>-1.9868248</v>
      </c>
      <c r="R216" s="205">
        <v>-0.8115942</v>
      </c>
      <c r="S216" s="205">
        <v>0.25823452</v>
      </c>
      <c r="T216" s="205">
        <v>-1.5625823</v>
      </c>
      <c r="U216" s="205">
        <v>0.25296443</v>
      </c>
      <c r="V216" s="205">
        <v>-2.0342556</v>
      </c>
      <c r="W216" s="205">
        <v>0.26086957</v>
      </c>
      <c r="X216" s="205">
        <v>-0.2555995</v>
      </c>
      <c r="Y216" s="205">
        <v>0.22924901</v>
      </c>
      <c r="Z216" s="205">
        <v>-2.6798419</v>
      </c>
      <c r="AA216" s="205">
        <v>0.26086957</v>
      </c>
      <c r="AB216" s="205">
        <v>0.2345191</v>
      </c>
      <c r="AC216" s="205">
        <v>-0.4110672</v>
      </c>
      <c r="AD216" s="205">
        <v>0.27140975</v>
      </c>
      <c r="AE216" s="205">
        <v>0.27140975</v>
      </c>
      <c r="AF216" s="205">
        <v>-0.0131752</v>
      </c>
      <c r="AG216" s="205">
        <v>-0.2529644</v>
      </c>
      <c r="AH216" s="205">
        <v>-1.2964427</v>
      </c>
      <c r="AI216" s="205">
        <v>-0.5955204</v>
      </c>
      <c r="AJ216" s="205">
        <v>0.2740448</v>
      </c>
      <c r="AK216" s="205">
        <v>0.23188406</v>
      </c>
      <c r="AL216" s="205">
        <v>-1.140975</v>
      </c>
      <c r="AM216" s="205">
        <v>-0.7720685</v>
      </c>
      <c r="AN216" s="205">
        <v>-11.046113</v>
      </c>
      <c r="AO216" s="205">
        <v>0.16337286</v>
      </c>
      <c r="AP216" s="205">
        <v>0.06324111</v>
      </c>
      <c r="AQ216" s="205">
        <v>0.19235837</v>
      </c>
      <c r="AR216" s="205">
        <v>0.22924901</v>
      </c>
      <c r="AS216" s="205">
        <v>0.27667984</v>
      </c>
      <c r="AT216" s="205">
        <v>-26.060606</v>
      </c>
      <c r="AU216" s="205">
        <v>0.0</v>
      </c>
      <c r="AV216" s="205">
        <v>-3.088274</v>
      </c>
      <c r="AW216" s="205">
        <v>0.13438735</v>
      </c>
      <c r="AX216" s="205">
        <v>-7.0144928</v>
      </c>
      <c r="AY216" s="205">
        <v>-0.5032938</v>
      </c>
      <c r="AZ216" s="205">
        <v>0.28985507</v>
      </c>
      <c r="BA216" s="205">
        <v>0.07905138</v>
      </c>
      <c r="BB216" s="205">
        <v>-0.1844532</v>
      </c>
      <c r="BC216" s="205">
        <v>0.27931489</v>
      </c>
      <c r="BD216" s="205">
        <v>-2.3056653</v>
      </c>
      <c r="BE216" s="205">
        <v>0.25296443</v>
      </c>
      <c r="BF216" s="205">
        <v>0.28458498</v>
      </c>
      <c r="BG216" s="205">
        <v>-0.5032938</v>
      </c>
      <c r="BH216" s="205">
        <v>0.08168643</v>
      </c>
      <c r="BI216" s="205">
        <v>0.21870883</v>
      </c>
      <c r="BJ216" s="205">
        <v>-0.4110672</v>
      </c>
      <c r="BK216" s="205">
        <v>-6.7826087</v>
      </c>
      <c r="BL216" s="205">
        <v>0.22661397</v>
      </c>
      <c r="BM216" s="205">
        <v>0.19235837</v>
      </c>
      <c r="BN216" s="205">
        <v>-1.5098814</v>
      </c>
      <c r="BO216" s="205">
        <v>-0.0816864</v>
      </c>
      <c r="BP216" s="205">
        <v>0.15810277</v>
      </c>
      <c r="BQ216" s="206"/>
      <c r="BR216" s="250">
        <f t="shared" si="1"/>
        <v>-1.108392405</v>
      </c>
      <c r="BS216" s="250">
        <f t="shared" si="2"/>
        <v>1.717443246</v>
      </c>
      <c r="BT216" s="206"/>
      <c r="BU216" s="207">
        <f>IFERROR(__xludf.DUMMYFUNCTION("AVERAGE(ARRAYFORMULA(XLOOKUP(FILTER(INDIRECT(""'""&amp;BU$1&amp;""'!$C$4:$C$66""),INDIRECT(""'""&amp;BU$1&amp;""'!$D$4:$D$66"")=BU$2),$F$3:$BP$3,$F216:$BP216)))"),-4.053077307142857)</f>
        <v>-4.053077307</v>
      </c>
      <c r="BV216" s="207">
        <f>IFERROR(__xludf.DUMMYFUNCTION("IF(OR(BU216&gt;$BR216+$BS216*$BS$2,BU216&lt;$BR216-$BS216*$BS$2),AVEDEV(ARRAYFORMULA(XLOOKUP(FILTER(INDIRECT(""'""&amp;BU$1&amp;""'!$C$4:$C$66""),INDIRECT(""'""&amp;BU$1&amp;""'!$D$4:$D$66"")=BU$2),$F$3:$BP$3,$F216:$BP216))),"""")"),3.62399502244898)</f>
        <v>3.623995022</v>
      </c>
      <c r="BW216" s="207">
        <f>IFERROR(__xludf.DUMMYFUNCTION("AVERAGE(ARRAYFORMULA(XLOOKUP(FILTER(INDIRECT(""'""&amp;BW$1&amp;""'!$C$4:$C$66""),INDIRECT(""'""&amp;BW$1&amp;""'!$D$4:$D$66"")=BW$2),$F$3:$BP$3,$F216:$BP216)))"),-0.3152644428571428)</f>
        <v>-0.3152644429</v>
      </c>
      <c r="BX216" s="207" t="str">
        <f>IFERROR(__xludf.DUMMYFUNCTION("IF(OR(BW216&gt;$BR216+$BS216*$BS$2,BW216&lt;$BR216-$BS216*$BS$2),AVEDEV(ARRAYFORMULA(XLOOKUP(FILTER(INDIRECT(""'""&amp;BW$1&amp;""'!$C$4:$C$66""),INDIRECT(""'""&amp;BW$1&amp;""'!$D$4:$D$66"")=BW$2),$F$3:$BP$3,$F216:$BP216))),"""")"),"")</f>
        <v/>
      </c>
      <c r="BY216" s="207">
        <f>IFERROR(__xludf.DUMMYFUNCTION("AVERAGE(ARRAYFORMULA(XLOOKUP(FILTER(INDIRECT(""'""&amp;BY$1&amp;""'!$C$4:$C$66""),INDIRECT(""'""&amp;BY$1&amp;""'!$D$4:$D$66"")=BY$2),$F$3:$BP$3,$F216:$BP216)))"),-0.22709306909090907)</f>
        <v>-0.2270930691</v>
      </c>
      <c r="BZ216" s="207" t="str">
        <f>IFERROR(__xludf.DUMMYFUNCTION("IF(OR(BY216&gt;$BR216+$BS216*$BS$2,BY216&lt;$BR216-$BS216*$BS$2),AVEDEV(ARRAYFORMULA(XLOOKUP(FILTER(INDIRECT(""'""&amp;BY$1&amp;""'!$C$4:$C$66""),INDIRECT(""'""&amp;BY$1&amp;""'!$D$4:$D$66"")=BY$2),$F$3:$BP$3,$F216:$BP216))),"""")"),"")</f>
        <v/>
      </c>
      <c r="CA216" s="209"/>
      <c r="CB216" s="207">
        <f>IFERROR(__xludf.DUMMYFUNCTION("AVERAGE(ARRAYFORMULA(XLOOKUP(FILTER(INDIRECT(""'""&amp;CB$1&amp;""'!$C$4:$C$66""),INDIRECT(""'""&amp;CB$1&amp;""'!$D$4:$D$66"")=CB$2),$F$3:$BP$3,$F216:$BP216)))"),-0.3549077675)</f>
        <v>-0.3549077675</v>
      </c>
      <c r="CC216" s="207" t="str">
        <f>IFERROR(__xludf.DUMMYFUNCTION("IF(OR(CB216&gt;$BR216+$BS216*$BS$2,CB216&lt;$BR216-$BS216*$BS$2),AVEDEV(ARRAYFORMULA(XLOOKUP(FILTER(INDIRECT(""'""&amp;CB$1&amp;""'!$C$4:$C$66""),INDIRECT(""'""&amp;CB$1&amp;""'!$D$4:$D$66"")=CB$2),$F$3:$BP$3,$F216:$BP216))),"""")"),"")</f>
        <v/>
      </c>
      <c r="CD216" s="207">
        <f>IFERROR(__xludf.DUMMYFUNCTION("AVERAGE(ARRAYFORMULA(XLOOKUP(FILTER(INDIRECT(""'""&amp;CD$1&amp;""'!$C$4:$C$66""),INDIRECT(""'""&amp;CD$1&amp;""'!$D$4:$D$66"")=CD$2),$F$3:$BP$3,$F216:$BP216)))"),-0.6528964241935485)</f>
        <v>-0.6528964242</v>
      </c>
      <c r="CE216" s="207" t="str">
        <f>IFERROR(__xludf.DUMMYFUNCTION("IF(OR(CD216&gt;$BR216+$BS216*$BS$2,CD216&lt;$BR216-$BS216*$BS$2),AVEDEV(ARRAYFORMULA(XLOOKUP(FILTER(INDIRECT(""'""&amp;CD$1&amp;""'!$C$4:$C$66""),INDIRECT(""'""&amp;CD$1&amp;""'!$D$4:$D$66"")=CD$2),$F$3:$BP$3,$F216:$BP216))),"""")"),"")</f>
        <v/>
      </c>
      <c r="CF216" s="207">
        <f>IFERROR(__xludf.DUMMYFUNCTION("AVERAGE(ARRAYFORMULA(XLOOKUP(FILTER(INDIRECT(""'""&amp;CF$1&amp;""'!$C$4:$C$66""),INDIRECT(""'""&amp;CF$1&amp;""'!$D$4:$D$66"")=CF$2),$F$3:$BP$3,$F216:$BP216)))"),0.26930171199999997)</f>
        <v>0.269301712</v>
      </c>
      <c r="CG216" s="207" t="str">
        <f>IFERROR(__xludf.DUMMYFUNCTION("IF(OR(CF216&gt;$BR216+$BS216*$BS$2,CF216&lt;$BR216-$BS216*$BS$2),AVEDEV(ARRAYFORMULA(XLOOKUP(FILTER(INDIRECT(""'""&amp;CF$1&amp;""'!$C$4:$C$66""),INDIRECT(""'""&amp;CF$1&amp;""'!$D$4:$D$66"")=CF$2),$F$3:$BP$3,$F216:$BP216))),"""")"),"")</f>
        <v/>
      </c>
      <c r="CH216" s="206"/>
      <c r="CI216" s="251">
        <f>IFERROR(__xludf.DUMMYFUNCTION("AVERAGE(ARRAYFORMULA(XLOOKUP(FILTER(INDIRECT(""'""&amp;CI$1&amp;""'!$C$4:$C$66""),INDIRECT(""'""&amp;CI$1&amp;""'!$D$4:$D$66"")=CI$2),$F$3:$BP$3,$F216:$BP216)))"),-0.5670619213333333)</f>
        <v>-0.5670619213</v>
      </c>
      <c r="CJ216" s="207" t="str">
        <f>IFERROR(__xludf.DUMMYFUNCTION("IF(OR(CI216&gt;$BR216+$BS216*$BS$2,CI216&lt;$BR216-$BS216*$BS$2),AVEDEV(ARRAYFORMULA(XLOOKUP(FILTER(INDIRECT(""'""&amp;CI$1&amp;""'!$C$4:$C$66""),INDIRECT(""'""&amp;CI$1&amp;""'!$D$4:$D$66"")=CI$2),$F$3:$BP$3,$F216:$BP216))),"""")"),"")</f>
        <v/>
      </c>
      <c r="CK216" s="251">
        <f>IFERROR(__xludf.DUMMYFUNCTION("AVERAGE(ARRAYFORMULA(XLOOKUP(FILTER(INDIRECT(""'""&amp;CK$1&amp;""'!$C$4:$C$66""),INDIRECT(""'""&amp;CK$1&amp;""'!$D$4:$D$66"")=CK$2),$F$3:$BP$3,$F216:$BP216)))"),-0.7735549371794872)</f>
        <v>-0.7735549372</v>
      </c>
      <c r="CL216" s="207" t="str">
        <f>IFERROR(__xludf.DUMMYFUNCTION("IF(OR(CK216&gt;$BR216+$BS216*$BS$2,CK216&lt;$BR216-$BS216*$BS$2),AVEDEV(ARRAYFORMULA(XLOOKUP(FILTER(INDIRECT(""'""&amp;CK$1&amp;""'!$C$4:$C$66""),INDIRECT(""'""&amp;CK$1&amp;""'!$D$4:$D$66"")=CK$2),$F$3:$BP$3,$F216:$BP216))),"""")"),"")</f>
        <v/>
      </c>
      <c r="CM216" s="251">
        <f>IFERROR(__xludf.DUMMYFUNCTION("AVERAGE(ARRAYFORMULA(XLOOKUP(FILTER(INDIRECT(""'""&amp;CM$1&amp;""'!$C$4:$C$66""),INDIRECT(""'""&amp;CM$1&amp;""'!$D$4:$D$66"")=CM$2),$F$3:$BP$3,$F216:$BP216)))"),0.26930171199999997)</f>
        <v>0.269301712</v>
      </c>
      <c r="CN216" s="207" t="str">
        <f>IFERROR(__xludf.DUMMYFUNCTION("IF(OR(CM216&gt;$BR216+$BS216*$BS$2,CM216&lt;$BR216-$BS216*$BS$2),AVEDEV(ARRAYFORMULA(XLOOKUP(FILTER(INDIRECT(""'""&amp;CM$1&amp;""'!$C$4:$C$66""),INDIRECT(""'""&amp;CM$1&amp;""'!$D$4:$D$66"")=CM$2),$F$3:$BP$3,$F216:$BP216))),"""")"),"")</f>
        <v/>
      </c>
      <c r="CO216" s="252"/>
      <c r="CP216" s="251">
        <f>IFERROR(__xludf.DUMMYFUNCTION("AVERAGE(ARRAYFORMULA(XLOOKUP(FILTER(INDIRECT(""'""&amp;CP$1&amp;""'!$C$4:$C$66""),INDIRECT(""'""&amp;CP$1&amp;""'!$D$4:$D$66"")=CP$2),$F$3:$BP$3,$F216:$BP216)))"),-0.2772444885714286)</f>
        <v>-0.2772444886</v>
      </c>
      <c r="CQ216" s="207" t="str">
        <f>IFERROR(__xludf.DUMMYFUNCTION("IF(OR(CP216&gt;$BR216+$BS216*$BS$2,CP216&lt;$BR216-$BS216*$BS$2),AVEDEV(ARRAYFORMULA(XLOOKUP(FILTER(INDIRECT(""'""&amp;CP$1&amp;""'!$C$4:$C$66""),INDIRECT(""'""&amp;CP$1&amp;""'!$D$4:$D$66"")=CP$2),$F$3:$BP$3,$F216:$BP216))),"""")"),"")</f>
        <v/>
      </c>
      <c r="CR216" s="251">
        <f>IFERROR(__xludf.DUMMYFUNCTION("AVERAGE(ARRAYFORMULA(XLOOKUP(FILTER(INDIRECT(""'""&amp;CR$1&amp;""'!$C$4:$C$66""),INDIRECT(""'""&amp;CR$1&amp;""'!$D$4:$D$66"")=CR$2),$F$3:$BP$3,$F216:$BP216)))"),-0.24681599222222214)</f>
        <v>-0.2468159922</v>
      </c>
      <c r="CS216" s="207" t="str">
        <f>IFERROR(__xludf.DUMMYFUNCTION("IF(OR(CR216&gt;$BR216+$BS216*$BS$2,CR216&lt;$BR216-$BS216*$BS$2),AVEDEV(ARRAYFORMULA(XLOOKUP(FILTER(INDIRECT(""'""&amp;CR$1&amp;""'!$C$4:$C$66""),INDIRECT(""'""&amp;CR$1&amp;""'!$D$4:$D$66"")=CR$2),$F$3:$BP$3,$F216:$BP216))),"""")"),"")</f>
        <v/>
      </c>
      <c r="CT216" s="251">
        <f>IFERROR(__xludf.DUMMYFUNCTION("AVERAGE(ARRAYFORMULA(XLOOKUP(FILTER(INDIRECT(""'""&amp;CT$1&amp;""'!$C$4:$C$66""),INDIRECT(""'""&amp;CT$1&amp;""'!$D$4:$D$66"")=CT$2),$F$3:$BP$3,$F216:$BP216)))"),-0.5310815645454545)</f>
        <v>-0.5310815645</v>
      </c>
      <c r="CU216" s="207" t="str">
        <f>IFERROR(__xludf.DUMMYFUNCTION("IF(OR(CT216&gt;$BR216+$BS216*$BS$2,CT216&lt;$BR216-$BS216*$BS$2),AVEDEV(ARRAYFORMULA(XLOOKUP(FILTER(INDIRECT(""'""&amp;CT$1&amp;""'!$C$4:$C$66""),INDIRECT(""'""&amp;CT$1&amp;""'!$D$4:$D$66"")=CT$2),$F$3:$BP$3,$F216:$BP216))),"""")"),"")</f>
        <v/>
      </c>
      <c r="CV216" s="251">
        <f>IFERROR(__xludf.DUMMYFUNCTION("AVERAGE(ARRAYFORMULA(XLOOKUP(FILTER(INDIRECT(""'""&amp;CV$1&amp;""'!$C$4:$C$66""),INDIRECT(""'""&amp;CV$1&amp;""'!$D$4:$D$66"")=CV$2),$F$3:$BP$3,$F216:$BP216)))"),-0.4571805)</f>
        <v>-0.4571805</v>
      </c>
      <c r="CW216" s="207" t="str">
        <f>IFERROR(__xludf.DUMMYFUNCTION("IF(OR(CV216&gt;$BR216+$BS216*$BS$2,CV216&lt;$BR216-$BS216*$BS$2),AVEDEV(ARRAYFORMULA(XLOOKUP(FILTER(INDIRECT(""'""&amp;CV$1&amp;""'!$C$4:$C$66""),INDIRECT(""'""&amp;CV$1&amp;""'!$D$4:$D$66"")=CV$2),$F$3:$BP$3,$F216:$BP216))),"""")"),"")</f>
        <v/>
      </c>
      <c r="CX216" s="251">
        <f>IFERROR(__xludf.DUMMYFUNCTION("AVERAGE(ARRAYFORMULA(XLOOKUP(FILTER(INDIRECT(""'""&amp;CX$1&amp;""'!$C$4:$C$66""),INDIRECT(""'""&amp;CX$1&amp;""'!$D$4:$D$66"")=CX$2),$F$3:$BP$3,$F216:$BP216)))"),-0.18332391857142857)</f>
        <v>-0.1833239186</v>
      </c>
      <c r="CY216" s="207" t="str">
        <f>IFERROR(__xludf.DUMMYFUNCTION("IF(OR(CX216&gt;$BR216+$BS216*$BS$2,CX216&lt;$BR216-$BS216*$BS$2),AVEDEV(ARRAYFORMULA(XLOOKUP(FILTER(INDIRECT(""'""&amp;CX$1&amp;""'!$C$4:$C$66""),INDIRECT(""'""&amp;CX$1&amp;""'!$D$4:$D$66"")=CX$2),$F$3:$BP$3,$F216:$BP216))),"""")"),"")</f>
        <v/>
      </c>
      <c r="CZ216" s="252"/>
      <c r="DA216" s="251">
        <f>IFERROR(__xludf.DUMMYFUNCTION("AVERAGE(ARRAYFORMULA(XLOOKUP(FILTER(INDIRECT(""'""&amp;DA$1&amp;""'!$C$4:$C$66""),INDIRECT(""'""&amp;DA$1&amp;""'!$D$4:$D$66"")=DA$2),$F$3:$BP$3,$F216:$BP216)))"),-0.11734738266666664)</f>
        <v>-0.1173473827</v>
      </c>
      <c r="DB216" s="207" t="str">
        <f>IFERROR(__xludf.DUMMYFUNCTION("IF(OR(DA216&gt;$BR216+$BS216*$BS$2,DA216&lt;$BR216-$BS216*$BS$2),AVEDEV(ARRAYFORMULA(XLOOKUP(FILTER(INDIRECT(""'""&amp;DA$1&amp;""'!$C$4:$C$66""),INDIRECT(""'""&amp;DA$1&amp;""'!$D$4:$D$66"")=DA$2),$F$3:$BP$3,$F216:$BP216))),"""")"),"")</f>
        <v/>
      </c>
      <c r="DC216" s="251">
        <f>IFERROR(__xludf.DUMMYFUNCTION("AVERAGE(ARRAYFORMULA(XLOOKUP(FILTER(INDIRECT(""'""&amp;DC$1&amp;""'!$C$4:$C$66""),INDIRECT(""'""&amp;DC$1&amp;""'!$D$4:$D$66"")=DC$2),$F$3:$BP$3,$F216:$BP216)))"),-0.2233933566666666)</f>
        <v>-0.2233933567</v>
      </c>
      <c r="DD216" s="207" t="str">
        <f>IFERROR(__xludf.DUMMYFUNCTION("IF(OR(DC216&gt;$BR216+$BS216*$BS$2,DC216&lt;$BR216-$BS216*$BS$2),AVEDEV(ARRAYFORMULA(XLOOKUP(FILTER(INDIRECT(""'""&amp;DC$1&amp;""'!$C$4:$C$66""),INDIRECT(""'""&amp;DC$1&amp;""'!$D$4:$D$66"")=DC$2),$F$3:$BP$3,$F216:$BP216))),"""")"),"")</f>
        <v/>
      </c>
      <c r="DE216" s="251">
        <f>IFERROR(__xludf.DUMMYFUNCTION("AVERAGE(ARRAYFORMULA(XLOOKUP(FILTER(INDIRECT(""'""&amp;DE$1&amp;""'!$C$4:$C$66""),INDIRECT(""'""&amp;DE$1&amp;""'!$D$4:$D$66"")=DE$2),$F$3:$BP$3,$F216:$BP216)))"),-1.87351778625)</f>
        <v>-1.873517786</v>
      </c>
      <c r="DF216" s="207" t="str">
        <f>IFERROR(__xludf.DUMMYFUNCTION("IF(OR(DE216&gt;$BR216+$BS216*$BS$2,DE216&lt;$BR216-$BS216*$BS$2),AVEDEV(ARRAYFORMULA(XLOOKUP(FILTER(INDIRECT(""'""&amp;DE$1&amp;""'!$C$4:$C$66""),INDIRECT(""'""&amp;DE$1&amp;""'!$D$4:$D$66"")=DE$2),$F$3:$BP$3,$F216:$BP216))),"""")"),"")</f>
        <v/>
      </c>
      <c r="DG216" s="251">
        <f>IFERROR(__xludf.DUMMYFUNCTION("AVERAGE(ARRAYFORMULA(XLOOKUP(FILTER(INDIRECT(""'""&amp;DG$1&amp;""'!$C$4:$C$66""),INDIRECT(""'""&amp;DG$1&amp;""'!$D$4:$D$66"")=DG$2),$F$3:$BP$3,$F216:$BP216)))"),-0.6906748633333334)</f>
        <v>-0.6906748633</v>
      </c>
      <c r="DH216" s="207" t="str">
        <f>IFERROR(__xludf.DUMMYFUNCTION("IF(OR(DG216&gt;$BR216+$BS216*$BS$2,DG216&lt;$BR216-$BS216*$BS$2),AVEDEV(ARRAYFORMULA(XLOOKUP(FILTER(INDIRECT(""'""&amp;DG$1&amp;""'!$C$4:$C$66""),INDIRECT(""'""&amp;DG$1&amp;""'!$D$4:$D$66"")=DG$2),$F$3:$BP$3,$F216:$BP216))),"""")"),"")</f>
        <v/>
      </c>
      <c r="DI216" s="252"/>
    </row>
    <row r="217">
      <c r="A217" s="2"/>
      <c r="B217" s="204" t="s">
        <v>646</v>
      </c>
      <c r="C217" s="204" t="s">
        <v>663</v>
      </c>
      <c r="D217" s="205" t="b">
        <f>VLOOKUP(C217,'Feature Set List'!A214:C246,2,0)</f>
        <v>1</v>
      </c>
      <c r="E217" s="205" t="b">
        <f>VLOOKUP(C217,'Feature Set List'!A214:C246,3,0)</f>
        <v>1</v>
      </c>
      <c r="F217" s="205">
        <v>-0.0400479</v>
      </c>
      <c r="G217" s="205">
        <v>0.02498716</v>
      </c>
      <c r="H217" s="205">
        <v>0.7301044</v>
      </c>
      <c r="I217" s="205">
        <v>-0.1663529</v>
      </c>
      <c r="J217" s="205">
        <v>1.30070169</v>
      </c>
      <c r="K217" s="205">
        <v>-0.1112442</v>
      </c>
      <c r="L217" s="205">
        <v>0.78726681</v>
      </c>
      <c r="M217" s="205">
        <v>0.90124936</v>
      </c>
      <c r="N217" s="205">
        <v>-0.6284443</v>
      </c>
      <c r="O217" s="205">
        <v>1.04398425</v>
      </c>
      <c r="P217" s="205">
        <v>0.04552456</v>
      </c>
      <c r="Q217" s="205">
        <v>1.21512921</v>
      </c>
      <c r="R217" s="205">
        <v>0.30806093</v>
      </c>
      <c r="S217" s="205">
        <v>-0.3080609</v>
      </c>
      <c r="T217" s="205">
        <v>-0.1968167</v>
      </c>
      <c r="U217" s="205">
        <v>-0.2396029</v>
      </c>
      <c r="V217" s="205">
        <v>1.15385932</v>
      </c>
      <c r="W217" s="205">
        <v>0.05990074</v>
      </c>
      <c r="X217" s="205">
        <v>-0.6212562</v>
      </c>
      <c r="Y217" s="205">
        <v>3.24148554</v>
      </c>
      <c r="Z217" s="205">
        <v>0.95841177</v>
      </c>
      <c r="AA217" s="205">
        <v>-0.6739689</v>
      </c>
      <c r="AB217" s="205">
        <v>-0.0400479</v>
      </c>
      <c r="AC217" s="205">
        <v>-0.2204347</v>
      </c>
      <c r="AD217" s="205">
        <v>-0.3823378</v>
      </c>
      <c r="AE217" s="205">
        <v>-0.3484511</v>
      </c>
      <c r="AF217" s="205">
        <v>1.12955673</v>
      </c>
      <c r="AG217" s="205">
        <v>-0.3251754</v>
      </c>
      <c r="AH217" s="205">
        <v>-0.2738319</v>
      </c>
      <c r="AI217" s="205">
        <v>0.33099435</v>
      </c>
      <c r="AJ217" s="205">
        <v>-0.7530378</v>
      </c>
      <c r="AK217" s="205">
        <v>-0.3080609</v>
      </c>
      <c r="AL217" s="205">
        <v>-0.1256204</v>
      </c>
      <c r="AM217" s="205">
        <v>0.22488448</v>
      </c>
      <c r="AN217" s="205">
        <v>6.43505049</v>
      </c>
      <c r="AO217" s="205">
        <v>0.10268698</v>
      </c>
      <c r="AP217" s="205">
        <v>0.7301044</v>
      </c>
      <c r="AQ217" s="205">
        <v>0.38781448</v>
      </c>
      <c r="AR217" s="205">
        <v>-0.068458</v>
      </c>
      <c r="AS217" s="205">
        <v>-0.4107479</v>
      </c>
      <c r="AT217" s="205">
        <v>-1.4376177</v>
      </c>
      <c r="AU217" s="205">
        <v>0.66506931</v>
      </c>
      <c r="AV217" s="205">
        <v>0.14547322</v>
      </c>
      <c r="AW217" s="205">
        <v>-0.1444463</v>
      </c>
      <c r="AX217" s="205">
        <v>4.2683553</v>
      </c>
      <c r="AY217" s="205">
        <v>-0.2241999</v>
      </c>
      <c r="AZ217" s="205">
        <v>0.0</v>
      </c>
      <c r="BA217" s="205">
        <v>2.58428889</v>
      </c>
      <c r="BB217" s="205">
        <v>-0.3080609</v>
      </c>
      <c r="BC217" s="205">
        <v>1.07239432</v>
      </c>
      <c r="BD217" s="205">
        <v>0.8557248</v>
      </c>
      <c r="BE217" s="205">
        <v>-0.4371042</v>
      </c>
      <c r="BF217" s="205">
        <v>0.00753038</v>
      </c>
      <c r="BG217" s="205">
        <v>-0.2204347</v>
      </c>
      <c r="BH217" s="205">
        <v>0.19784357</v>
      </c>
      <c r="BI217" s="205">
        <v>-0.4107479</v>
      </c>
      <c r="BJ217" s="205">
        <v>0.02943693</v>
      </c>
      <c r="BK217" s="205">
        <v>0.61612186</v>
      </c>
      <c r="BL217" s="205">
        <v>0.02943693</v>
      </c>
      <c r="BM217" s="205">
        <v>-0.3823378</v>
      </c>
      <c r="BN217" s="205">
        <v>-0.2967654</v>
      </c>
      <c r="BO217" s="205">
        <v>-0.3173028</v>
      </c>
      <c r="BP217" s="205">
        <v>-0.2967654</v>
      </c>
      <c r="BQ217" s="206"/>
      <c r="BR217" s="250">
        <f t="shared" si="1"/>
        <v>0.3312008168</v>
      </c>
      <c r="BS217" s="250">
        <f t="shared" si="2"/>
        <v>0.7550430924</v>
      </c>
      <c r="BT217" s="206"/>
      <c r="BU217" s="207">
        <f>IFERROR(__xludf.DUMMYFUNCTION("AVERAGE(ARRAYFORMULA(XLOOKUP(FILTER(INDIRECT(""'""&amp;BU$1&amp;""'!$C$4:$C$66""),INDIRECT(""'""&amp;BU$1&amp;""'!$D$4:$D$66"")=BU$2),$F$3:$BP$3,$F217:$BP217)))"),2.0889464828571427)</f>
        <v>2.088946483</v>
      </c>
      <c r="BV217" s="207">
        <f>IFERROR(__xludf.DUMMYFUNCTION("IF(OR(BU217&gt;$BR217+$BS217*$BS$2,BU217&lt;$BR217-$BS217*$BS$2),AVEDEV(ARRAYFORMULA(XLOOKUP(FILTER(INDIRECT(""'""&amp;BU$1&amp;""'!$C$4:$C$66""),INDIRECT(""'""&amp;BU$1&amp;""'!$D$4:$D$66"")=BU$2),$F$3:$BP$3,$F217:$BP217))),"""")"),2.0059586375510206)</f>
        <v>2.005958638</v>
      </c>
      <c r="BW217" s="207">
        <f>IFERROR(__xludf.DUMMYFUNCTION("AVERAGE(ARRAYFORMULA(XLOOKUP(FILTER(INDIRECT(""'""&amp;BW$1&amp;""'!$C$4:$C$66""),INDIRECT(""'""&amp;BW$1&amp;""'!$D$4:$D$66"")=BW$2),$F$3:$BP$3,$F217:$BP217)))"),0.10754423690476192)</f>
        <v>0.1075442369</v>
      </c>
      <c r="BX217" s="207" t="str">
        <f>IFERROR(__xludf.DUMMYFUNCTION("IF(OR(BW217&gt;$BR217+$BS217*$BS$2,BW217&lt;$BR217-$BS217*$BS$2),AVEDEV(ARRAYFORMULA(XLOOKUP(FILTER(INDIRECT(""'""&amp;BW$1&amp;""'!$C$4:$C$66""),INDIRECT(""'""&amp;BW$1&amp;""'!$D$4:$D$66"")=BW$2),$F$3:$BP$3,$F217:$BP217))),"""")"),"")</f>
        <v/>
      </c>
      <c r="BY217" s="207">
        <f>IFERROR(__xludf.DUMMYFUNCTION("AVERAGE(ARRAYFORMULA(XLOOKUP(FILTER(INDIRECT(""'""&amp;BY$1&amp;""'!$C$4:$C$66""),INDIRECT(""'""&amp;BY$1&amp;""'!$D$4:$D$66"")=BY$2),$F$3:$BP$3,$F217:$BP217)))"),0.12375337363636364)</f>
        <v>0.1237533736</v>
      </c>
      <c r="BZ217" s="207" t="str">
        <f>IFERROR(__xludf.DUMMYFUNCTION("IF(OR(BY217&gt;$BR217+$BS217*$BS$2,BY217&lt;$BR217-$BS217*$BS$2),AVEDEV(ARRAYFORMULA(XLOOKUP(FILTER(INDIRECT(""'""&amp;BY$1&amp;""'!$C$4:$C$66""),INDIRECT(""'""&amp;BY$1&amp;""'!$D$4:$D$66"")=BY$2),$F$3:$BP$3,$F217:$BP217))),"""")"),"")</f>
        <v/>
      </c>
      <c r="CA217" s="209"/>
      <c r="CB217" s="207">
        <f>IFERROR(__xludf.DUMMYFUNCTION("AVERAGE(ARRAYFORMULA(XLOOKUP(FILTER(INDIRECT(""'""&amp;CB$1&amp;""'!$C$4:$C$66""),INDIRECT(""'""&amp;CB$1&amp;""'!$D$4:$D$66"")=CB$2),$F$3:$BP$3,$F217:$BP217)))"),0.253701020625)</f>
        <v>0.2537010206</v>
      </c>
      <c r="CC217" s="207" t="str">
        <f>IFERROR(__xludf.DUMMYFUNCTION("IF(OR(CB217&gt;$BR217+$BS217*$BS$2,CB217&lt;$BR217-$BS217*$BS$2),AVEDEV(ARRAYFORMULA(XLOOKUP(FILTER(INDIRECT(""'""&amp;CB$1&amp;""'!$C$4:$C$66""),INDIRECT(""'""&amp;CB$1&amp;""'!$D$4:$D$66"")=CB$2),$F$3:$BP$3,$F217:$BP217))),"""")"),"")</f>
        <v/>
      </c>
      <c r="CD217" s="207">
        <f>IFERROR(__xludf.DUMMYFUNCTION("AVERAGE(ARRAYFORMULA(XLOOKUP(FILTER(INDIRECT(""'""&amp;CD$1&amp;""'!$C$4:$C$66""),INDIRECT(""'""&amp;CD$1&amp;""'!$D$4:$D$66"")=CD$2),$F$3:$BP$3,$F217:$BP217)))"),0.2812739832258065)</f>
        <v>0.2812739832</v>
      </c>
      <c r="CE217" s="207" t="str">
        <f>IFERROR(__xludf.DUMMYFUNCTION("IF(OR(CD217&gt;$BR217+$BS217*$BS$2,CD217&lt;$BR217-$BS217*$BS$2),AVEDEV(ARRAYFORMULA(XLOOKUP(FILTER(INDIRECT(""'""&amp;CD$1&amp;""'!$C$4:$C$66""),INDIRECT(""'""&amp;CD$1&amp;""'!$D$4:$D$66"")=CD$2),$F$3:$BP$3,$F217:$BP217))),"""")"),"")</f>
        <v/>
      </c>
      <c r="CF217" s="207">
        <f>IFERROR(__xludf.DUMMYFUNCTION("AVERAGE(ARRAYFORMULA(XLOOKUP(FILTER(INDIRECT(""'""&amp;CF$1&amp;""'!$C$4:$C$66""),INDIRECT(""'""&amp;CF$1&amp;""'!$D$4:$D$66"")=CF$2),$F$3:$BP$3,$F217:$BP217)))"),0.13499914600000001)</f>
        <v>0.134999146</v>
      </c>
      <c r="CG217" s="207" t="str">
        <f>IFERROR(__xludf.DUMMYFUNCTION("IF(OR(CF217&gt;$BR217+$BS217*$BS$2,CF217&lt;$BR217-$BS217*$BS$2),AVEDEV(ARRAYFORMULA(XLOOKUP(FILTER(INDIRECT(""'""&amp;CF$1&amp;""'!$C$4:$C$66""),INDIRECT(""'""&amp;CF$1&amp;""'!$D$4:$D$66"")=CF$2),$F$3:$BP$3,$F217:$BP217))),"""")"),"")</f>
        <v/>
      </c>
      <c r="CH217" s="206"/>
      <c r="CI217" s="251">
        <f>IFERROR(__xludf.DUMMYFUNCTION("AVERAGE(ARRAYFORMULA(XLOOKUP(FILTER(INDIRECT(""'""&amp;CI$1&amp;""'!$C$4:$C$66""),INDIRECT(""'""&amp;CI$1&amp;""'!$D$4:$D$66"")=CI$2),$F$3:$BP$3,$F217:$BP217)))"),0.160123226)</f>
        <v>0.160123226</v>
      </c>
      <c r="CJ217" s="207" t="str">
        <f>IFERROR(__xludf.DUMMYFUNCTION("IF(OR(CI217&gt;$BR217+$BS217*$BS$2,CI217&lt;$BR217-$BS217*$BS$2),AVEDEV(ARRAYFORMULA(XLOOKUP(FILTER(INDIRECT(""'""&amp;CI$1&amp;""'!$C$4:$C$66""),INDIRECT(""'""&amp;CI$1&amp;""'!$D$4:$D$66"")=CI$2),$F$3:$BP$3,$F217:$BP217))),"""")"),"")</f>
        <v/>
      </c>
      <c r="CK217" s="251">
        <f>IFERROR(__xludf.DUMMYFUNCTION("AVERAGE(ARRAYFORMULA(XLOOKUP(FILTER(INDIRECT(""'""&amp;CK$1&amp;""'!$C$4:$C$66""),INDIRECT(""'""&amp;CK$1&amp;""'!$D$4:$D$66"")=CK$2),$F$3:$BP$3,$F217:$BP217)))"),0.43096934512820523)</f>
        <v>0.4309693451</v>
      </c>
      <c r="CL217" s="207" t="str">
        <f>IFERROR(__xludf.DUMMYFUNCTION("IF(OR(CK217&gt;$BR217+$BS217*$BS$2,CK217&lt;$BR217-$BS217*$BS$2),AVEDEV(ARRAYFORMULA(XLOOKUP(FILTER(INDIRECT(""'""&amp;CK$1&amp;""'!$C$4:$C$66""),INDIRECT(""'""&amp;CK$1&amp;""'!$D$4:$D$66"")=CK$2),$F$3:$BP$3,$F217:$BP217))),"""")"),"")</f>
        <v/>
      </c>
      <c r="CM217" s="251">
        <f>IFERROR(__xludf.DUMMYFUNCTION("AVERAGE(ARRAYFORMULA(XLOOKUP(FILTER(INDIRECT(""'""&amp;CM$1&amp;""'!$C$4:$C$66""),INDIRECT(""'""&amp;CM$1&amp;""'!$D$4:$D$66"")=CM$2),$F$3:$BP$3,$F217:$BP217)))"),0.13499914600000001)</f>
        <v>0.134999146</v>
      </c>
      <c r="CN217" s="207" t="str">
        <f>IFERROR(__xludf.DUMMYFUNCTION("IF(OR(CM217&gt;$BR217+$BS217*$BS$2,CM217&lt;$BR217-$BS217*$BS$2),AVEDEV(ARRAYFORMULA(XLOOKUP(FILTER(INDIRECT(""'""&amp;CM$1&amp;""'!$C$4:$C$66""),INDIRECT(""'""&amp;CM$1&amp;""'!$D$4:$D$66"")=CM$2),$F$3:$BP$3,$F217:$BP217))),"""")"),"")</f>
        <v/>
      </c>
      <c r="CO217" s="252"/>
      <c r="CP217" s="251">
        <f>IFERROR(__xludf.DUMMYFUNCTION("AVERAGE(ARRAYFORMULA(XLOOKUP(FILTER(INDIRECT(""'""&amp;CP$1&amp;""'!$C$4:$C$66""),INDIRECT(""'""&amp;CP$1&amp;""'!$D$4:$D$66"")=CP$2),$F$3:$BP$3,$F217:$BP217)))"),0.03594045571428571)</f>
        <v>0.03594045571</v>
      </c>
      <c r="CQ217" s="207" t="str">
        <f>IFERROR(__xludf.DUMMYFUNCTION("IF(OR(CP217&gt;$BR217+$BS217*$BS$2,CP217&lt;$BR217-$BS217*$BS$2),AVEDEV(ARRAYFORMULA(XLOOKUP(FILTER(INDIRECT(""'""&amp;CP$1&amp;""'!$C$4:$C$66""),INDIRECT(""'""&amp;CP$1&amp;""'!$D$4:$D$66"")=CP$2),$F$3:$BP$3,$F217:$BP217))),"""")"),"")</f>
        <v/>
      </c>
      <c r="CR217" s="251">
        <f>IFERROR(__xludf.DUMMYFUNCTION("AVERAGE(ARRAYFORMULA(XLOOKUP(FILTER(INDIRECT(""'""&amp;CR$1&amp;""'!$C$4:$C$66""),INDIRECT(""'""&amp;CR$1&amp;""'!$D$4:$D$66"")=CR$2),$F$3:$BP$3,$F217:$BP217)))"),0.17289445333333336)</f>
        <v>0.1728944533</v>
      </c>
      <c r="CS217" s="207" t="str">
        <f>IFERROR(__xludf.DUMMYFUNCTION("IF(OR(CR217&gt;$BR217+$BS217*$BS$2,CR217&lt;$BR217-$BS217*$BS$2),AVEDEV(ARRAYFORMULA(XLOOKUP(FILTER(INDIRECT(""'""&amp;CR$1&amp;""'!$C$4:$C$66""),INDIRECT(""'""&amp;CR$1&amp;""'!$D$4:$D$66"")=CR$2),$F$3:$BP$3,$F217:$BP217))),"""")"),"")</f>
        <v/>
      </c>
      <c r="CT217" s="251">
        <f>IFERROR(__xludf.DUMMYFUNCTION("AVERAGE(ARRAYFORMULA(XLOOKUP(FILTER(INDIRECT(""'""&amp;CT$1&amp;""'!$C$4:$C$66""),INDIRECT(""'""&amp;CT$1&amp;""'!$D$4:$D$66"")=CT$2),$F$3:$BP$3,$F217:$BP217)))"),-0.014313946363636363)</f>
        <v>-0.01431394636</v>
      </c>
      <c r="CU217" s="207" t="str">
        <f>IFERROR(__xludf.DUMMYFUNCTION("IF(OR(CT217&gt;$BR217+$BS217*$BS$2,CT217&lt;$BR217-$BS217*$BS$2),AVEDEV(ARRAYFORMULA(XLOOKUP(FILTER(INDIRECT(""'""&amp;CT$1&amp;""'!$C$4:$C$66""),INDIRECT(""'""&amp;CT$1&amp;""'!$D$4:$D$66"")=CT$2),$F$3:$BP$3,$F217:$BP217))),"""")"),"")</f>
        <v/>
      </c>
      <c r="CV217" s="251">
        <f>IFERROR(__xludf.DUMMYFUNCTION("AVERAGE(ARRAYFORMULA(XLOOKUP(FILTER(INDIRECT(""'""&amp;CV$1&amp;""'!$C$4:$C$66""),INDIRECT(""'""&amp;CV$1&amp;""'!$D$4:$D$66"")=CV$2),$F$3:$BP$3,$F217:$BP217)))"),-0.2204347)</f>
        <v>-0.2204347</v>
      </c>
      <c r="CW217" s="207" t="str">
        <f>IFERROR(__xludf.DUMMYFUNCTION("IF(OR(CV217&gt;$BR217+$BS217*$BS$2,CV217&lt;$BR217-$BS217*$BS$2),AVEDEV(ARRAYFORMULA(XLOOKUP(FILTER(INDIRECT(""'""&amp;CV$1&amp;""'!$C$4:$C$66""),INDIRECT(""'""&amp;CV$1&amp;""'!$D$4:$D$66"")=CV$2),$F$3:$BP$3,$F217:$BP217))),"""")"),"")</f>
        <v/>
      </c>
      <c r="CX217" s="251">
        <f>IFERROR(__xludf.DUMMYFUNCTION("AVERAGE(ARRAYFORMULA(XLOOKUP(FILTER(INDIRECT(""'""&amp;CX$1&amp;""'!$C$4:$C$66""),INDIRECT(""'""&amp;CX$1&amp;""'!$D$4:$D$66"")=CX$2),$F$3:$BP$3,$F217:$BP217)))"),0.2253979135714286)</f>
        <v>0.2253979136</v>
      </c>
      <c r="CY217" s="207" t="str">
        <f>IFERROR(__xludf.DUMMYFUNCTION("IF(OR(CX217&gt;$BR217+$BS217*$BS$2,CX217&lt;$BR217-$BS217*$BS$2),AVEDEV(ARRAYFORMULA(XLOOKUP(FILTER(INDIRECT(""'""&amp;CX$1&amp;""'!$C$4:$C$66""),INDIRECT(""'""&amp;CX$1&amp;""'!$D$4:$D$66"")=CX$2),$F$3:$BP$3,$F217:$BP217))),"""")"),"")</f>
        <v/>
      </c>
      <c r="CZ217" s="252"/>
      <c r="DA217" s="251">
        <f>IFERROR(__xludf.DUMMYFUNCTION("AVERAGE(ARRAYFORMULA(XLOOKUP(FILTER(INDIRECT(""'""&amp;DA$1&amp;""'!$C$4:$C$66""),INDIRECT(""'""&amp;DA$1&amp;""'!$D$4:$D$66"")=DA$2),$F$3:$BP$3,$F217:$BP217)))"),0.19628045566666666)</f>
        <v>0.1962804557</v>
      </c>
      <c r="DB217" s="207" t="str">
        <f>IFERROR(__xludf.DUMMYFUNCTION("IF(OR(DA217&gt;$BR217+$BS217*$BS$2,DA217&lt;$BR217-$BS217*$BS$2),AVEDEV(ARRAYFORMULA(XLOOKUP(FILTER(INDIRECT(""'""&amp;DA$1&amp;""'!$C$4:$C$66""),INDIRECT(""'""&amp;DA$1&amp;""'!$D$4:$D$66"")=DA$2),$F$3:$BP$3,$F217:$BP217))),"""")"),"")</f>
        <v/>
      </c>
      <c r="DC217" s="251">
        <f>IFERROR(__xludf.DUMMYFUNCTION("AVERAGE(ARRAYFORMULA(XLOOKUP(FILTER(INDIRECT(""'""&amp;DC$1&amp;""'!$C$4:$C$66""),INDIRECT(""'""&amp;DC$1&amp;""'!$D$4:$D$66"")=DC$2),$F$3:$BP$3,$F217:$BP217)))"),0.3578070688888889)</f>
        <v>0.3578070689</v>
      </c>
      <c r="DD217" s="207" t="str">
        <f>IFERROR(__xludf.DUMMYFUNCTION("IF(OR(DC217&gt;$BR217+$BS217*$BS$2,DC217&lt;$BR217-$BS217*$BS$2),AVEDEV(ARRAYFORMULA(XLOOKUP(FILTER(INDIRECT(""'""&amp;DC$1&amp;""'!$C$4:$C$66""),INDIRECT(""'""&amp;DC$1&amp;""'!$D$4:$D$66"")=DC$2),$F$3:$BP$3,$F217:$BP217))),"""")"),"")</f>
        <v/>
      </c>
      <c r="DE217" s="251">
        <f>IFERROR(__xludf.DUMMYFUNCTION("AVERAGE(ARRAYFORMULA(XLOOKUP(FILTER(INDIRECT(""'""&amp;DE$1&amp;""'!$C$4:$C$66""),INDIRECT(""'""&amp;DE$1&amp;""'!$D$4:$D$66"")=DE$2),$F$3:$BP$3,$F217:$BP217)))"),0.7539363325)</f>
        <v>0.7539363325</v>
      </c>
      <c r="DF217" s="207" t="str">
        <f>IFERROR(__xludf.DUMMYFUNCTION("IF(OR(DE217&gt;$BR217+$BS217*$BS$2,DE217&lt;$BR217-$BS217*$BS$2),AVEDEV(ARRAYFORMULA(XLOOKUP(FILTER(INDIRECT(""'""&amp;DE$1&amp;""'!$C$4:$C$66""),INDIRECT(""'""&amp;DE$1&amp;""'!$D$4:$D$66"")=DE$2),$F$3:$BP$3,$F217:$BP217))),"""")"),"")</f>
        <v/>
      </c>
      <c r="DG217" s="251">
        <f>IFERROR(__xludf.DUMMYFUNCTION("AVERAGE(ARRAYFORMULA(XLOOKUP(FILTER(INDIRECT(""'""&amp;DG$1&amp;""'!$C$4:$C$66""),INDIRECT(""'""&amp;DG$1&amp;""'!$D$4:$D$66"")=DG$2),$F$3:$BP$3,$F217:$BP217)))"),-0.23758723111111113)</f>
        <v>-0.2375872311</v>
      </c>
      <c r="DH217" s="207" t="str">
        <f>IFERROR(__xludf.DUMMYFUNCTION("IF(OR(DG217&gt;$BR217+$BS217*$BS$2,DG217&lt;$BR217-$BS217*$BS$2),AVEDEV(ARRAYFORMULA(XLOOKUP(FILTER(INDIRECT(""'""&amp;DG$1&amp;""'!$C$4:$C$66""),INDIRECT(""'""&amp;DG$1&amp;""'!$D$4:$D$66"")=DG$2),$F$3:$BP$3,$F217:$BP217))),"""")"),"")</f>
        <v/>
      </c>
      <c r="DI217" s="252"/>
    </row>
    <row r="218">
      <c r="A218" s="2"/>
      <c r="B218" s="204" t="s">
        <v>646</v>
      </c>
      <c r="C218" s="204" t="s">
        <v>664</v>
      </c>
      <c r="D218" s="205" t="b">
        <f>VLOOKUP(C218,'Feature Set List'!A215:C246,2,0)</f>
        <v>1</v>
      </c>
      <c r="E218" s="205" t="b">
        <f>VLOOKUP(C218,'Feature Set List'!A215:C246,3,0)</f>
        <v>1</v>
      </c>
      <c r="F218" s="205">
        <v>0.2006555</v>
      </c>
      <c r="G218" s="205">
        <v>-0.3863802</v>
      </c>
      <c r="H218" s="205">
        <v>-0.02185</v>
      </c>
      <c r="I218" s="205">
        <v>0.98252003</v>
      </c>
      <c r="J218" s="205">
        <v>2.90349599</v>
      </c>
      <c r="K218" s="205">
        <v>0.0782957</v>
      </c>
      <c r="L218" s="205">
        <v>0.52439913</v>
      </c>
      <c r="M218" s="205">
        <v>2.64493809</v>
      </c>
      <c r="N218" s="205">
        <v>-0.1125273</v>
      </c>
      <c r="O218" s="205">
        <v>0.88820102</v>
      </c>
      <c r="P218" s="205">
        <v>-0.3739985</v>
      </c>
      <c r="Q218" s="205">
        <v>2.05498908</v>
      </c>
      <c r="R218" s="205">
        <v>0.96795339</v>
      </c>
      <c r="S218" s="205">
        <v>0.01529497</v>
      </c>
      <c r="T218" s="205">
        <v>-0.0593591</v>
      </c>
      <c r="U218" s="205">
        <v>0.30298616</v>
      </c>
      <c r="V218" s="205">
        <v>1.51857247</v>
      </c>
      <c r="W218" s="205">
        <v>0.02986162</v>
      </c>
      <c r="X218" s="205">
        <v>-0.6329206</v>
      </c>
      <c r="Y218" s="205">
        <v>1.1179898</v>
      </c>
      <c r="Z218" s="205">
        <v>0.59286235</v>
      </c>
      <c r="AA218" s="205">
        <v>-0.7002913</v>
      </c>
      <c r="AB218" s="205">
        <v>-0.370721</v>
      </c>
      <c r="AC218" s="205">
        <v>-0.1536781</v>
      </c>
      <c r="AD218" s="205">
        <v>-0.5859432</v>
      </c>
      <c r="AE218" s="205">
        <v>-0.0997815</v>
      </c>
      <c r="AF218" s="205">
        <v>0.80517116</v>
      </c>
      <c r="AG218" s="205">
        <v>-0.5473416</v>
      </c>
      <c r="AH218" s="205">
        <v>0.05025492</v>
      </c>
      <c r="AI218" s="205">
        <v>0.00400583</v>
      </c>
      <c r="AJ218" s="205">
        <v>-0.9821559</v>
      </c>
      <c r="AK218" s="205">
        <v>-0.1744355</v>
      </c>
      <c r="AL218" s="205">
        <v>-0.3404953</v>
      </c>
      <c r="AM218" s="205">
        <v>0.04151493</v>
      </c>
      <c r="AN218" s="205">
        <v>-1.710488</v>
      </c>
      <c r="AO218" s="205">
        <v>1.46212673</v>
      </c>
      <c r="AP218" s="205">
        <v>1.802622</v>
      </c>
      <c r="AQ218" s="205">
        <v>0.50655499</v>
      </c>
      <c r="AR218" s="205">
        <v>-0.5305899</v>
      </c>
      <c r="AS218" s="205">
        <v>-0.3783685</v>
      </c>
      <c r="AT218" s="205">
        <v>-1.710488</v>
      </c>
      <c r="AU218" s="205">
        <v>-0.0491624</v>
      </c>
      <c r="AV218" s="205">
        <v>-0.5273125</v>
      </c>
      <c r="AW218" s="205">
        <v>-0.3506919</v>
      </c>
      <c r="AX218" s="205">
        <v>1.23306628</v>
      </c>
      <c r="AY218" s="205">
        <v>0.0611799</v>
      </c>
      <c r="AZ218" s="205">
        <v>-0.0214858</v>
      </c>
      <c r="BA218" s="205">
        <v>1.45557174</v>
      </c>
      <c r="BB218" s="205">
        <v>-0.2232338</v>
      </c>
      <c r="BC218" s="205">
        <v>0.87144938</v>
      </c>
      <c r="BD218" s="205">
        <v>0.66241806</v>
      </c>
      <c r="BE218" s="205">
        <v>-1.0717407</v>
      </c>
      <c r="BF218" s="205">
        <v>0.18863802</v>
      </c>
      <c r="BG218" s="205">
        <v>-0.3587036</v>
      </c>
      <c r="BH218" s="205">
        <v>0.79133285</v>
      </c>
      <c r="BI218" s="205">
        <v>-0.4060452</v>
      </c>
      <c r="BJ218" s="205">
        <v>-0.1412964</v>
      </c>
      <c r="BK218" s="205">
        <v>0.41296431</v>
      </c>
      <c r="BL218" s="205">
        <v>-0.4024035</v>
      </c>
      <c r="BM218" s="205">
        <v>-0.3350328</v>
      </c>
      <c r="BN218" s="205">
        <v>0.0</v>
      </c>
      <c r="BO218" s="205">
        <v>-0.6412964</v>
      </c>
      <c r="BP218" s="205">
        <v>0.05535324</v>
      </c>
      <c r="BQ218" s="206"/>
      <c r="BR218" s="250">
        <f t="shared" si="1"/>
        <v>0.1718574784</v>
      </c>
      <c r="BS218" s="250">
        <f t="shared" si="2"/>
        <v>0.6647224294</v>
      </c>
      <c r="BT218" s="206"/>
      <c r="BU218" s="207">
        <f>IFERROR(__xludf.DUMMYFUNCTION("AVERAGE(ARRAYFORMULA(XLOOKUP(FILTER(INDIRECT(""'""&amp;BU$1&amp;""'!$C$4:$C$66""),INDIRECT(""'""&amp;BU$1&amp;""'!$D$4:$D$66"")=BU$2),$F$3:$BP$3,$F218:$BP218)))"),0.28914784428571433)</f>
        <v>0.2891478443</v>
      </c>
      <c r="BV218" s="207" t="str">
        <f>IFERROR(__xludf.DUMMYFUNCTION("IF(OR(BU218&gt;$BR218+$BS218*$BS$2,BU218&lt;$BR218-$BS218*$BS$2),AVEDEV(ARRAYFORMULA(XLOOKUP(FILTER(INDIRECT(""'""&amp;BU$1&amp;""'!$C$4:$C$66""),INDIRECT(""'""&amp;BU$1&amp;""'!$D$4:$D$66"")=BU$2),$F$3:$BP$3,$F218:$BP218))),"""")"),"")</f>
        <v/>
      </c>
      <c r="BW218" s="207">
        <f>IFERROR(__xludf.DUMMYFUNCTION("AVERAGE(ARRAYFORMULA(XLOOKUP(FILTER(INDIRECT(""'""&amp;BW$1&amp;""'!$C$4:$C$66""),INDIRECT(""'""&amp;BW$1&amp;""'!$D$4:$D$66"")=BW$2),$F$3:$BP$3,$F218:$BP218)))"),0.17937779904761902)</f>
        <v>0.179377799</v>
      </c>
      <c r="BX218" s="207" t="str">
        <f>IFERROR(__xludf.DUMMYFUNCTION("IF(OR(BW218&gt;$BR218+$BS218*$BS$2,BW218&lt;$BR218-$BS218*$BS$2),AVEDEV(ARRAYFORMULA(XLOOKUP(FILTER(INDIRECT(""'""&amp;BW$1&amp;""'!$C$4:$C$66""),INDIRECT(""'""&amp;BW$1&amp;""'!$D$4:$D$66"")=BW$2),$F$3:$BP$3,$F218:$BP218))),"""")"),"")</f>
        <v/>
      </c>
      <c r="BY218" s="207">
        <f>IFERROR(__xludf.DUMMYFUNCTION("AVERAGE(ARRAYFORMULA(XLOOKUP(FILTER(INDIRECT(""'""&amp;BY$1&amp;""'!$C$4:$C$66""),INDIRECT(""'""&amp;BY$1&amp;""'!$D$4:$D$66"")=BY$2),$F$3:$BP$3,$F218:$BP218)))"),0.19363702636363628)</f>
        <v>0.1936370264</v>
      </c>
      <c r="BZ218" s="207" t="str">
        <f>IFERROR(__xludf.DUMMYFUNCTION("IF(OR(BY218&gt;$BR218+$BS218*$BS$2,BY218&lt;$BR218-$BS218*$BS$2),AVEDEV(ARRAYFORMULA(XLOOKUP(FILTER(INDIRECT(""'""&amp;BY$1&amp;""'!$C$4:$C$66""),INDIRECT(""'""&amp;BY$1&amp;""'!$D$4:$D$66"")=BY$2),$F$3:$BP$3,$F218:$BP218))),"""")"),"")</f>
        <v/>
      </c>
      <c r="CA218" s="209"/>
      <c r="CB218" s="207">
        <f>IFERROR(__xludf.DUMMYFUNCTION("AVERAGE(ARRAYFORMULA(XLOOKUP(FILTER(INDIRECT(""'""&amp;CB$1&amp;""'!$C$4:$C$66""),INDIRECT(""'""&amp;CB$1&amp;""'!$D$4:$D$66"")=CB$2),$F$3:$BP$3,$F218:$BP218)))"),0.52615167)</f>
        <v>0.52615167</v>
      </c>
      <c r="CC218" s="207" t="str">
        <f>IFERROR(__xludf.DUMMYFUNCTION("IF(OR(CB218&gt;$BR218+$BS218*$BS$2,CB218&lt;$BR218-$BS218*$BS$2),AVEDEV(ARRAYFORMULA(XLOOKUP(FILTER(INDIRECT(""'""&amp;CB$1&amp;""'!$C$4:$C$66""),INDIRECT(""'""&amp;CB$1&amp;""'!$D$4:$D$66"")=CB$2),$F$3:$BP$3,$F218:$BP218))),"""")"),"")</f>
        <v/>
      </c>
      <c r="CD218" s="207">
        <f>IFERROR(__xludf.DUMMYFUNCTION("AVERAGE(ARRAYFORMULA(XLOOKUP(FILTER(INDIRECT(""'""&amp;CD$1&amp;""'!$C$4:$C$66""),INDIRECT(""'""&amp;CD$1&amp;""'!$D$4:$D$66"")=CD$2),$F$3:$BP$3,$F218:$BP218)))"),0.13041844225806448)</f>
        <v>0.1304184423</v>
      </c>
      <c r="CE218" s="207" t="str">
        <f>IFERROR(__xludf.DUMMYFUNCTION("IF(OR(CD218&gt;$BR218+$BS218*$BS$2,CD218&lt;$BR218-$BS218*$BS$2),AVEDEV(ARRAYFORMULA(XLOOKUP(FILTER(INDIRECT(""'""&amp;CD$1&amp;""'!$C$4:$C$66""),INDIRECT(""'""&amp;CD$1&amp;""'!$D$4:$D$66"")=CD$2),$F$3:$BP$3,$F218:$BP218))),"""")"),"")</f>
        <v/>
      </c>
      <c r="CF218" s="207">
        <f>IFERROR(__xludf.DUMMYFUNCTION("AVERAGE(ARRAYFORMULA(XLOOKUP(FILTER(INDIRECT(""'""&amp;CF$1&amp;""'!$C$4:$C$66""),INDIRECT(""'""&amp;CF$1&amp;""'!$D$4:$D$66"")=CF$2),$F$3:$BP$3,$F218:$BP218)))"),0.10801166200000001)</f>
        <v>0.108011662</v>
      </c>
      <c r="CG218" s="207" t="str">
        <f>IFERROR(__xludf.DUMMYFUNCTION("IF(OR(CF218&gt;$BR218+$BS218*$BS$2,CF218&lt;$BR218-$BS218*$BS$2),AVEDEV(ARRAYFORMULA(XLOOKUP(FILTER(INDIRECT(""'""&amp;CF$1&amp;""'!$C$4:$C$66""),INDIRECT(""'""&amp;CF$1&amp;""'!$D$4:$D$66"")=CF$2),$F$3:$BP$3,$F218:$BP218))),"""")"),"")</f>
        <v/>
      </c>
      <c r="CH218" s="206"/>
      <c r="CI218" s="251">
        <f>IFERROR(__xludf.DUMMYFUNCTION("AVERAGE(ARRAYFORMULA(XLOOKUP(FILTER(INDIRECT(""'""&amp;CI$1&amp;""'!$C$4:$C$66""),INDIRECT(""'""&amp;CI$1&amp;""'!$D$4:$D$66"")=CI$2),$F$3:$BP$3,$F218:$BP218)))"),0.12726390399999993)</f>
        <v>0.127263904</v>
      </c>
      <c r="CJ218" s="207" t="str">
        <f>IFERROR(__xludf.DUMMYFUNCTION("IF(OR(CI218&gt;$BR218+$BS218*$BS$2,CI218&lt;$BR218-$BS218*$BS$2),AVEDEV(ARRAYFORMULA(XLOOKUP(FILTER(INDIRECT(""'""&amp;CI$1&amp;""'!$C$4:$C$66""),INDIRECT(""'""&amp;CI$1&amp;""'!$D$4:$D$66"")=CI$2),$F$3:$BP$3,$F218:$BP218))),"""")"),"")</f>
        <v/>
      </c>
      <c r="CK218" s="251">
        <f>IFERROR(__xludf.DUMMYFUNCTION("AVERAGE(ARRAYFORMULA(XLOOKUP(FILTER(INDIRECT(""'""&amp;CK$1&amp;""'!$C$4:$C$66""),INDIRECT(""'""&amp;CK$1&amp;""'!$D$4:$D$66"")=CK$2),$F$3:$BP$3,$F218:$BP218)))"),0.2263058610256411)</f>
        <v>0.226305861</v>
      </c>
      <c r="CL218" s="207" t="str">
        <f>IFERROR(__xludf.DUMMYFUNCTION("IF(OR(CK218&gt;$BR218+$BS218*$BS$2,CK218&lt;$BR218-$BS218*$BS$2),AVEDEV(ARRAYFORMULA(XLOOKUP(FILTER(INDIRECT(""'""&amp;CK$1&amp;""'!$C$4:$C$66""),INDIRECT(""'""&amp;CK$1&amp;""'!$D$4:$D$66"")=CK$2),$F$3:$BP$3,$F218:$BP218))),"""")"),"")</f>
        <v/>
      </c>
      <c r="CM218" s="251">
        <f>IFERROR(__xludf.DUMMYFUNCTION("AVERAGE(ARRAYFORMULA(XLOOKUP(FILTER(INDIRECT(""'""&amp;CM$1&amp;""'!$C$4:$C$66""),INDIRECT(""'""&amp;CM$1&amp;""'!$D$4:$D$66"")=CM$2),$F$3:$BP$3,$F218:$BP218)))"),0.10801166200000001)</f>
        <v>0.108011662</v>
      </c>
      <c r="CN218" s="207" t="str">
        <f>IFERROR(__xludf.DUMMYFUNCTION("IF(OR(CM218&gt;$BR218+$BS218*$BS$2,CM218&lt;$BR218-$BS218*$BS$2),AVEDEV(ARRAYFORMULA(XLOOKUP(FILTER(INDIRECT(""'""&amp;CM$1&amp;""'!$C$4:$C$66""),INDIRECT(""'""&amp;CM$1&amp;""'!$D$4:$D$66"")=CM$2),$F$3:$BP$3,$F218:$BP218))),"""")"),"")</f>
        <v/>
      </c>
      <c r="CO218" s="252"/>
      <c r="CP218" s="251">
        <f>IFERROR(__xludf.DUMMYFUNCTION("AVERAGE(ARRAYFORMULA(XLOOKUP(FILTER(INDIRECT(""'""&amp;CP$1&amp;""'!$C$4:$C$66""),INDIRECT(""'""&amp;CP$1&amp;""'!$D$4:$D$66"")=CP$2),$F$3:$BP$3,$F218:$BP218)))"),0.298668192142857)</f>
        <v>0.2986681921</v>
      </c>
      <c r="CQ218" s="207" t="str">
        <f>IFERROR(__xludf.DUMMYFUNCTION("IF(OR(CP218&gt;$BR218+$BS218*$BS$2,CP218&lt;$BR218-$BS218*$BS$2),AVEDEV(ARRAYFORMULA(XLOOKUP(FILTER(INDIRECT(""'""&amp;CP$1&amp;""'!$C$4:$C$66""),INDIRECT(""'""&amp;CP$1&amp;""'!$D$4:$D$66"")=CP$2),$F$3:$BP$3,$F218:$BP218))),"""")"),"")</f>
        <v/>
      </c>
      <c r="CR218" s="251">
        <f>IFERROR(__xludf.DUMMYFUNCTION("AVERAGE(ARRAYFORMULA(XLOOKUP(FILTER(INDIRECT(""'""&amp;CR$1&amp;""'!$C$4:$C$66""),INDIRECT(""'""&amp;CR$1&amp;""'!$D$4:$D$66"")=CR$2),$F$3:$BP$3,$F218:$BP218)))"),0.2745812099999999)</f>
        <v>0.27458121</v>
      </c>
      <c r="CS218" s="207" t="str">
        <f>IFERROR(__xludf.DUMMYFUNCTION("IF(OR(CR218&gt;$BR218+$BS218*$BS$2,CR218&lt;$BR218-$BS218*$BS$2),AVEDEV(ARRAYFORMULA(XLOOKUP(FILTER(INDIRECT(""'""&amp;CR$1&amp;""'!$C$4:$C$66""),INDIRECT(""'""&amp;CR$1&amp;""'!$D$4:$D$66"")=CR$2),$F$3:$BP$3,$F218:$BP218))),"""")"),"")</f>
        <v/>
      </c>
      <c r="CT218" s="251">
        <f>IFERROR(__xludf.DUMMYFUNCTION("AVERAGE(ARRAYFORMULA(XLOOKUP(FILTER(INDIRECT(""'""&amp;CT$1&amp;""'!$C$4:$C$66""),INDIRECT(""'""&amp;CT$1&amp;""'!$D$4:$D$66"")=CT$2),$F$3:$BP$3,$F218:$BP218)))"),-0.05234058545454545)</f>
        <v>-0.05234058545</v>
      </c>
      <c r="CU218" s="207" t="str">
        <f>IFERROR(__xludf.DUMMYFUNCTION("IF(OR(CT218&gt;$BR218+$BS218*$BS$2,CT218&lt;$BR218-$BS218*$BS$2),AVEDEV(ARRAYFORMULA(XLOOKUP(FILTER(INDIRECT(""'""&amp;CT$1&amp;""'!$C$4:$C$66""),INDIRECT(""'""&amp;CT$1&amp;""'!$D$4:$D$66"")=CT$2),$F$3:$BP$3,$F218:$BP218))),"""")"),"")</f>
        <v/>
      </c>
      <c r="CV218" s="251">
        <f>IFERROR(__xludf.DUMMYFUNCTION("AVERAGE(ARRAYFORMULA(XLOOKUP(FILTER(INDIRECT(""'""&amp;CV$1&amp;""'!$C$4:$C$66""),INDIRECT(""'""&amp;CV$1&amp;""'!$D$4:$D$66"")=CV$2),$F$3:$BP$3,$F218:$BP218)))"),-0.25619085)</f>
        <v>-0.25619085</v>
      </c>
      <c r="CW218" s="207" t="str">
        <f>IFERROR(__xludf.DUMMYFUNCTION("IF(OR(CV218&gt;$BR218+$BS218*$BS$2,CV218&lt;$BR218-$BS218*$BS$2),AVEDEV(ARRAYFORMULA(XLOOKUP(FILTER(INDIRECT(""'""&amp;CV$1&amp;""'!$C$4:$C$66""),INDIRECT(""'""&amp;CV$1&amp;""'!$D$4:$D$66"")=CV$2),$F$3:$BP$3,$F218:$BP218))),"""")"),"")</f>
        <v/>
      </c>
      <c r="CX218" s="251">
        <f>IFERROR(__xludf.DUMMYFUNCTION("AVERAGE(ARRAYFORMULA(XLOOKUP(FILTER(INDIRECT(""'""&amp;CX$1&amp;""'!$C$4:$C$66""),INDIRECT(""'""&amp;CX$1&amp;""'!$D$4:$D$66"")=CX$2),$F$3:$BP$3,$F218:$BP218)))"),0.15206534428571428)</f>
        <v>0.1520653443</v>
      </c>
      <c r="CY218" s="207" t="str">
        <f>IFERROR(__xludf.DUMMYFUNCTION("IF(OR(CX218&gt;$BR218+$BS218*$BS$2,CX218&lt;$BR218-$BS218*$BS$2),AVEDEV(ARRAYFORMULA(XLOOKUP(FILTER(INDIRECT(""'""&amp;CX$1&amp;""'!$C$4:$C$66""),INDIRECT(""'""&amp;CX$1&amp;""'!$D$4:$D$66"")=CX$2),$F$3:$BP$3,$F218:$BP218))),"""")"),"")</f>
        <v/>
      </c>
      <c r="CZ218" s="252"/>
      <c r="DA218" s="251">
        <f>IFERROR(__xludf.DUMMYFUNCTION("AVERAGE(ARRAYFORMULA(XLOOKUP(FILTER(INDIRECT(""'""&amp;DA$1&amp;""'!$C$4:$C$66""),INDIRECT(""'""&amp;DA$1&amp;""'!$D$4:$D$66"")=DA$2),$F$3:$BP$3,$F218:$BP218)))"),0.26443312066666663)</f>
        <v>0.2644331207</v>
      </c>
      <c r="DB218" s="207" t="str">
        <f>IFERROR(__xludf.DUMMYFUNCTION("IF(OR(DA218&gt;$BR218+$BS218*$BS$2,DA218&lt;$BR218-$BS218*$BS$2),AVEDEV(ARRAYFORMULA(XLOOKUP(FILTER(INDIRECT(""'""&amp;DA$1&amp;""'!$C$4:$C$66""),INDIRECT(""'""&amp;DA$1&amp;""'!$D$4:$D$66"")=DA$2),$F$3:$BP$3,$F218:$BP218))),"""")"),"")</f>
        <v/>
      </c>
      <c r="DC218" s="251">
        <f>IFERROR(__xludf.DUMMYFUNCTION("AVERAGE(ARRAYFORMULA(XLOOKUP(FILTER(INDIRECT(""'""&amp;DC$1&amp;""'!$C$4:$C$66""),INDIRECT(""'""&amp;DC$1&amp;""'!$D$4:$D$66"")=DC$2),$F$3:$BP$3,$F218:$BP218)))"),0.3058185655555555)</f>
        <v>0.3058185656</v>
      </c>
      <c r="DD218" s="207" t="str">
        <f>IFERROR(__xludf.DUMMYFUNCTION("IF(OR(DC218&gt;$BR218+$BS218*$BS$2,DC218&lt;$BR218-$BS218*$BS$2),AVEDEV(ARRAYFORMULA(XLOOKUP(FILTER(INDIRECT(""'""&amp;DC$1&amp;""'!$C$4:$C$66""),INDIRECT(""'""&amp;DC$1&amp;""'!$D$4:$D$66"")=DC$2),$F$3:$BP$3,$F218:$BP218))),"""")"),"")</f>
        <v/>
      </c>
      <c r="DE218" s="251">
        <f>IFERROR(__xludf.DUMMYFUNCTION("AVERAGE(ARRAYFORMULA(XLOOKUP(FILTER(INDIRECT(""'""&amp;DE$1&amp;""'!$C$4:$C$66""),INDIRECT(""'""&amp;DE$1&amp;""'!$D$4:$D$66"")=DE$2),$F$3:$BP$3,$F218:$BP218)))"),0.5927713037499999)</f>
        <v>0.5927713038</v>
      </c>
      <c r="DF218" s="207" t="str">
        <f>IFERROR(__xludf.DUMMYFUNCTION("IF(OR(DE218&gt;$BR218+$BS218*$BS$2,DE218&lt;$BR218-$BS218*$BS$2),AVEDEV(ARRAYFORMULA(XLOOKUP(FILTER(INDIRECT(""'""&amp;DE$1&amp;""'!$C$4:$C$66""),INDIRECT(""'""&amp;DE$1&amp;""'!$D$4:$D$66"")=DE$2),$F$3:$BP$3,$F218:$BP218))),"""")"),"")</f>
        <v/>
      </c>
      <c r="DG218" s="251">
        <f>IFERROR(__xludf.DUMMYFUNCTION("AVERAGE(ARRAYFORMULA(XLOOKUP(FILTER(INDIRECT(""'""&amp;DG$1&amp;""'!$C$4:$C$66""),INDIRECT(""'""&amp;DG$1&amp;""'!$D$4:$D$66"")=DG$2),$F$3:$BP$3,$F218:$BP218)))"),-0.33094603333333333)</f>
        <v>-0.3309460333</v>
      </c>
      <c r="DH218" s="207" t="str">
        <f>IFERROR(__xludf.DUMMYFUNCTION("IF(OR(DG218&gt;$BR218+$BS218*$BS$2,DG218&lt;$BR218-$BS218*$BS$2),AVEDEV(ARRAYFORMULA(XLOOKUP(FILTER(INDIRECT(""'""&amp;DG$1&amp;""'!$C$4:$C$66""),INDIRECT(""'""&amp;DG$1&amp;""'!$D$4:$D$66"")=DG$2),$F$3:$BP$3,$F218:$BP218))),"""")"),"")</f>
        <v/>
      </c>
      <c r="DI218" s="252"/>
    </row>
    <row r="219">
      <c r="A219" s="2"/>
      <c r="B219" s="204" t="s">
        <v>646</v>
      </c>
      <c r="C219" s="204" t="s">
        <v>665</v>
      </c>
      <c r="D219" s="205" t="b">
        <f>VLOOKUP(C219,'Feature Set List'!A216:C246,2,0)</f>
        <v>1</v>
      </c>
      <c r="E219" s="205" t="b">
        <f>VLOOKUP(C219,'Feature Set List'!A216:C246,3,0)</f>
        <v>1</v>
      </c>
      <c r="F219" s="205">
        <v>-0.8553494</v>
      </c>
      <c r="G219" s="205">
        <v>0.11077264</v>
      </c>
      <c r="H219" s="205">
        <v>-0.164682</v>
      </c>
      <c r="I219" s="205">
        <v>0.27637773</v>
      </c>
      <c r="J219" s="205">
        <v>0.3505954</v>
      </c>
      <c r="K219" s="205">
        <v>0.09009508</v>
      </c>
      <c r="L219" s="205">
        <v>-0.7043294</v>
      </c>
      <c r="M219" s="205">
        <v>1.9307671</v>
      </c>
      <c r="N219" s="205">
        <v>-0.0238161</v>
      </c>
      <c r="O219" s="205">
        <v>-0.4669067</v>
      </c>
      <c r="P219" s="205">
        <v>0.31274808</v>
      </c>
      <c r="Q219" s="205">
        <v>-0.2041909</v>
      </c>
      <c r="R219" s="205">
        <v>0.52580079</v>
      </c>
      <c r="S219" s="205">
        <v>-0.4417982</v>
      </c>
      <c r="T219" s="205">
        <v>3.2655774</v>
      </c>
      <c r="U219" s="205">
        <v>1.7406074</v>
      </c>
      <c r="V219" s="205">
        <v>-0.5462937</v>
      </c>
      <c r="W219" s="205">
        <v>4.65946645</v>
      </c>
      <c r="X219" s="205">
        <v>-0.3816117</v>
      </c>
      <c r="Y219" s="205">
        <v>2.61386504</v>
      </c>
      <c r="Z219" s="205">
        <v>0.91350503</v>
      </c>
      <c r="AA219" s="205">
        <v>0.39711991</v>
      </c>
      <c r="AB219" s="205">
        <v>-0.3376719</v>
      </c>
      <c r="AC219" s="205">
        <v>0.1691129</v>
      </c>
      <c r="AD219" s="205">
        <v>2.37755008</v>
      </c>
      <c r="AE219" s="205">
        <v>-0.404874</v>
      </c>
      <c r="AF219" s="205">
        <v>0.99104588</v>
      </c>
      <c r="AG219" s="205">
        <v>0.20917567</v>
      </c>
      <c r="AH219" s="205">
        <v>-0.4502908</v>
      </c>
      <c r="AI219" s="205">
        <v>-1.2071633</v>
      </c>
      <c r="AJ219" s="205">
        <v>-0.0612942</v>
      </c>
      <c r="AK219" s="205">
        <v>-0.0976645</v>
      </c>
      <c r="AL219" s="205">
        <v>-0.7962707</v>
      </c>
      <c r="AM219" s="205">
        <v>-0.2677005</v>
      </c>
      <c r="AN219" s="205">
        <v>2.47724545</v>
      </c>
      <c r="AO219" s="205">
        <v>-0.2893012</v>
      </c>
      <c r="AP219" s="205">
        <v>0.4469676</v>
      </c>
      <c r="AQ219" s="205">
        <v>2.45509093</v>
      </c>
      <c r="AR219" s="205">
        <v>-0.3081326</v>
      </c>
      <c r="AS219" s="205">
        <v>0.78427029</v>
      </c>
      <c r="AT219" s="205">
        <v>0.0</v>
      </c>
      <c r="AU219" s="205">
        <v>-0.2677005</v>
      </c>
      <c r="AV219" s="205">
        <v>0.33785655</v>
      </c>
      <c r="AW219" s="205">
        <v>1.10551094</v>
      </c>
      <c r="AX219" s="205">
        <v>3.27480846</v>
      </c>
      <c r="AY219" s="205">
        <v>-0.07551</v>
      </c>
      <c r="AZ219" s="205">
        <v>-0.4916459</v>
      </c>
      <c r="BA219" s="205">
        <v>4.40099695</v>
      </c>
      <c r="BB219" s="205">
        <v>-0.0775408</v>
      </c>
      <c r="BC219" s="205">
        <v>-0.3609342</v>
      </c>
      <c r="BD219" s="205">
        <v>1.14981999</v>
      </c>
      <c r="BE219" s="205">
        <v>0.39601218</v>
      </c>
      <c r="BF219" s="205">
        <v>-0.6186652</v>
      </c>
      <c r="BG219" s="205">
        <v>0.05040155</v>
      </c>
      <c r="BH219" s="205">
        <v>-0.2708391</v>
      </c>
      <c r="BI219" s="205">
        <v>-0.264562</v>
      </c>
      <c r="BJ219" s="205">
        <v>-0.1746515</v>
      </c>
      <c r="BK219" s="205">
        <v>2.07661774</v>
      </c>
      <c r="BL219" s="205">
        <v>0.59411059</v>
      </c>
      <c r="BM219" s="205">
        <v>-0.7111603</v>
      </c>
      <c r="BN219" s="205">
        <v>-0.3134866</v>
      </c>
      <c r="BO219" s="205">
        <v>-0.252377</v>
      </c>
      <c r="BP219" s="205">
        <v>0.12997323</v>
      </c>
      <c r="BQ219" s="206"/>
      <c r="BR219" s="250">
        <f t="shared" si="1"/>
        <v>0.4559595259</v>
      </c>
      <c r="BS219" s="250">
        <f t="shared" si="2"/>
        <v>0.9247423824</v>
      </c>
      <c r="BT219" s="206"/>
      <c r="BU219" s="207">
        <f>IFERROR(__xludf.DUMMYFUNCTION("AVERAGE(ARRAYFORMULA(XLOOKUP(FILTER(INDIRECT(""'""&amp;BU$1&amp;""'!$C$4:$C$66""),INDIRECT(""'""&amp;BU$1&amp;""'!$D$4:$D$66"")=BU$2),$F$3:$BP$3,$F219:$BP219)))"),3.043504634285714)</f>
        <v>3.043504634</v>
      </c>
      <c r="BV219" s="207">
        <f>IFERROR(__xludf.DUMMYFUNCTION("IF(OR(BU219&gt;$BR219+$BS219*$BS$2,BU219&lt;$BR219-$BS219*$BS$2),AVEDEV(ARRAYFORMULA(XLOOKUP(FILTER(INDIRECT(""'""&amp;BU$1&amp;""'!$C$4:$C$66""),INDIRECT(""'""&amp;BU$1&amp;""'!$D$4:$D$66"")=BU$2),$F$3:$BP$3,$F219:$BP219))),"""")"),0.979094492244898)</f>
        <v>0.9790944922</v>
      </c>
      <c r="BW219" s="207">
        <f>IFERROR(__xludf.DUMMYFUNCTION("AVERAGE(ARRAYFORMULA(XLOOKUP(FILTER(INDIRECT(""'""&amp;BW$1&amp;""'!$C$4:$C$66""),INDIRECT(""'""&amp;BW$1&amp;""'!$D$4:$D$66"")=BW$2),$F$3:$BP$3,$F219:$BP219)))"),0.2769201719047619)</f>
        <v>0.2769201719</v>
      </c>
      <c r="BX219" s="207" t="str">
        <f>IFERROR(__xludf.DUMMYFUNCTION("IF(OR(BW219&gt;$BR219+$BS219*$BS$2,BW219&lt;$BR219-$BS219*$BS$2),AVEDEV(ARRAYFORMULA(XLOOKUP(FILTER(INDIRECT(""'""&amp;BW$1&amp;""'!$C$4:$C$66""),INDIRECT(""'""&amp;BW$1&amp;""'!$D$4:$D$66"")=BW$2),$F$3:$BP$3,$F219:$BP219))),"""")"),"")</f>
        <v/>
      </c>
      <c r="BY219" s="207">
        <f>IFERROR(__xludf.DUMMYFUNCTION("AVERAGE(ARRAYFORMULA(XLOOKUP(FILTER(INDIRECT(""'""&amp;BY$1&amp;""'!$C$4:$C$66""),INDIRECT(""'""&amp;BY$1&amp;""'!$D$4:$D$66"")=BY$2),$F$3:$BP$3,$F219:$BP219)))"),-0.33491939363636364)</f>
        <v>-0.3349193936</v>
      </c>
      <c r="BZ219" s="207" t="str">
        <f>IFERROR(__xludf.DUMMYFUNCTION("IF(OR(BY219&gt;$BR219+$BS219*$BS$2,BY219&lt;$BR219-$BS219*$BS$2),AVEDEV(ARRAYFORMULA(XLOOKUP(FILTER(INDIRECT(""'""&amp;BY$1&amp;""'!$C$4:$C$66""),INDIRECT(""'""&amp;BY$1&amp;""'!$D$4:$D$66"")=BY$2),$F$3:$BP$3,$F219:$BP219))),"""")"),"")</f>
        <v/>
      </c>
      <c r="CA219" s="209"/>
      <c r="CB219" s="207">
        <f>IFERROR(__xludf.DUMMYFUNCTION("AVERAGE(ARRAYFORMULA(XLOOKUP(FILTER(INDIRECT(""'""&amp;CB$1&amp;""'!$C$4:$C$66""),INDIRECT(""'""&amp;CB$1&amp;""'!$D$4:$D$66"")=CB$2),$F$3:$BP$3,$F219:$BP219)))"),1.0380319375)</f>
        <v>1.038031938</v>
      </c>
      <c r="CC219" s="207" t="str">
        <f>IFERROR(__xludf.DUMMYFUNCTION("IF(OR(CB219&gt;$BR219+$BS219*$BS$2,CB219&lt;$BR219-$BS219*$BS$2),AVEDEV(ARRAYFORMULA(XLOOKUP(FILTER(INDIRECT(""'""&amp;CB$1&amp;""'!$C$4:$C$66""),INDIRECT(""'""&amp;CB$1&amp;""'!$D$4:$D$66"")=CB$2),$F$3:$BP$3,$F219:$BP219))),"""")"),"")</f>
        <v/>
      </c>
      <c r="CD219" s="207">
        <f>IFERROR(__xludf.DUMMYFUNCTION("AVERAGE(ARRAYFORMULA(XLOOKUP(FILTER(INDIRECT(""'""&amp;CD$1&amp;""'!$C$4:$C$66""),INDIRECT(""'""&amp;CD$1&amp;""'!$D$4:$D$66"")=CD$2),$F$3:$BP$3,$F219:$BP219)))"),0.0893708977419355)</f>
        <v>0.08937089774</v>
      </c>
      <c r="CE219" s="207" t="str">
        <f>IFERROR(__xludf.DUMMYFUNCTION("IF(OR(CD219&gt;$BR219+$BS219*$BS$2,CD219&lt;$BR219-$BS219*$BS$2),AVEDEV(ARRAYFORMULA(XLOOKUP(FILTER(INDIRECT(""'""&amp;CD$1&amp;""'!$C$4:$C$66""),INDIRECT(""'""&amp;CD$1&amp;""'!$D$4:$D$66"")=CD$2),$F$3:$BP$3,$F219:$BP219))),"""")"),"")</f>
        <v/>
      </c>
      <c r="CF219" s="207">
        <f>IFERROR(__xludf.DUMMYFUNCTION("AVERAGE(ARRAYFORMULA(XLOOKUP(FILTER(INDIRECT(""'""&amp;CF$1&amp;""'!$C$4:$C$66""),INDIRECT(""'""&amp;CF$1&amp;""'!$D$4:$D$66"")=CF$2),$F$3:$BP$3,$F219:$BP219)))"),-0.46542972000000005)</f>
        <v>-0.46542972</v>
      </c>
      <c r="CG219" s="207" t="str">
        <f>IFERROR(__xludf.DUMMYFUNCTION("IF(OR(CF219&gt;$BR219+$BS219*$BS$2,CF219&lt;$BR219-$BS219*$BS$2),AVEDEV(ARRAYFORMULA(XLOOKUP(FILTER(INDIRECT(""'""&amp;CF$1&amp;""'!$C$4:$C$66""),INDIRECT(""'""&amp;CF$1&amp;""'!$D$4:$D$66"")=CF$2),$F$3:$BP$3,$F219:$BP219))),"""")"),"")</f>
        <v/>
      </c>
      <c r="CH219" s="206"/>
      <c r="CI219" s="251">
        <f>IFERROR(__xludf.DUMMYFUNCTION("AVERAGE(ARRAYFORMULA(XLOOKUP(FILTER(INDIRECT(""'""&amp;CI$1&amp;""'!$C$4:$C$66""),INDIRECT(""'""&amp;CI$1&amp;""'!$D$4:$D$66"")=CI$2),$F$3:$BP$3,$F219:$BP219)))"),1.2529493239999998)</f>
        <v>1.252949324</v>
      </c>
      <c r="CJ219" s="207" t="str">
        <f>IFERROR(__xludf.DUMMYFUNCTION("IF(OR(CI219&gt;$BR219+$BS219*$BS$2,CI219&lt;$BR219-$BS219*$BS$2),AVEDEV(ARRAYFORMULA(XLOOKUP(FILTER(INDIRECT(""'""&amp;CI$1&amp;""'!$C$4:$C$66""),INDIRECT(""'""&amp;CI$1&amp;""'!$D$4:$D$66"")=CI$2),$F$3:$BP$3,$F219:$BP219))),"""")"),"")</f>
        <v/>
      </c>
      <c r="CK219" s="251">
        <f>IFERROR(__xludf.DUMMYFUNCTION("AVERAGE(ARRAYFORMULA(XLOOKUP(FILTER(INDIRECT(""'""&amp;CK$1&amp;""'!$C$4:$C$66""),INDIRECT(""'""&amp;CK$1&amp;""'!$D$4:$D$66"")=CK$2),$F$3:$BP$3,$F219:$BP219)))"),0.27454762384615383)</f>
        <v>0.2745476238</v>
      </c>
      <c r="CL219" s="207" t="str">
        <f>IFERROR(__xludf.DUMMYFUNCTION("IF(OR(CK219&gt;$BR219+$BS219*$BS$2,CK219&lt;$BR219-$BS219*$BS$2),AVEDEV(ARRAYFORMULA(XLOOKUP(FILTER(INDIRECT(""'""&amp;CK$1&amp;""'!$C$4:$C$66""),INDIRECT(""'""&amp;CK$1&amp;""'!$D$4:$D$66"")=CK$2),$F$3:$BP$3,$F219:$BP219))),"""")"),"")</f>
        <v/>
      </c>
      <c r="CM219" s="251">
        <f>IFERROR(__xludf.DUMMYFUNCTION("AVERAGE(ARRAYFORMULA(XLOOKUP(FILTER(INDIRECT(""'""&amp;CM$1&amp;""'!$C$4:$C$66""),INDIRECT(""'""&amp;CM$1&amp;""'!$D$4:$D$66"")=CM$2),$F$3:$BP$3,$F219:$BP219)))"),-0.46542972000000005)</f>
        <v>-0.46542972</v>
      </c>
      <c r="CN219" s="207" t="str">
        <f>IFERROR(__xludf.DUMMYFUNCTION("IF(OR(CM219&gt;$BR219+$BS219*$BS$2,CM219&lt;$BR219-$BS219*$BS$2),AVEDEV(ARRAYFORMULA(XLOOKUP(FILTER(INDIRECT(""'""&amp;CM$1&amp;""'!$C$4:$C$66""),INDIRECT(""'""&amp;CM$1&amp;""'!$D$4:$D$66"")=CM$2),$F$3:$BP$3,$F219:$BP219))),"""")"),"")</f>
        <v/>
      </c>
      <c r="CO219" s="252"/>
      <c r="CP219" s="251">
        <f>IFERROR(__xludf.DUMMYFUNCTION("AVERAGE(ARRAYFORMULA(XLOOKUP(FILTER(INDIRECT(""'""&amp;CP$1&amp;""'!$C$4:$C$66""),INDIRECT(""'""&amp;CP$1&amp;""'!$D$4:$D$66"")=CP$2),$F$3:$BP$3,$F219:$BP219)))"),0.5381967828571429)</f>
        <v>0.5381967829</v>
      </c>
      <c r="CQ219" s="207" t="str">
        <f>IFERROR(__xludf.DUMMYFUNCTION("IF(OR(CP219&gt;$BR219+$BS219*$BS$2,CP219&lt;$BR219-$BS219*$BS$2),AVEDEV(ARRAYFORMULA(XLOOKUP(FILTER(INDIRECT(""'""&amp;CP$1&amp;""'!$C$4:$C$66""),INDIRECT(""'""&amp;CP$1&amp;""'!$D$4:$D$66"")=CP$2),$F$3:$BP$3,$F219:$BP219))),"""")"),"")</f>
        <v/>
      </c>
      <c r="CR219" s="251">
        <f>IFERROR(__xludf.DUMMYFUNCTION("AVERAGE(ARRAYFORMULA(XLOOKUP(FILTER(INDIRECT(""'""&amp;CR$1&amp;""'!$C$4:$C$66""),INDIRECT(""'""&amp;CR$1&amp;""'!$D$4:$D$66"")=CR$2),$F$3:$BP$3,$F219:$BP219)))"),-0.4669682133333333)</f>
        <v>-0.4669682133</v>
      </c>
      <c r="CS219" s="207" t="str">
        <f>IFERROR(__xludf.DUMMYFUNCTION("IF(OR(CR219&gt;$BR219+$BS219*$BS$2,CR219&lt;$BR219-$BS219*$BS$2),AVEDEV(ARRAYFORMULA(XLOOKUP(FILTER(INDIRECT(""'""&amp;CR$1&amp;""'!$C$4:$C$66""),INDIRECT(""'""&amp;CR$1&amp;""'!$D$4:$D$66"")=CR$2),$F$3:$BP$3,$F219:$BP219))),"""")"),"")</f>
        <v/>
      </c>
      <c r="CT219" s="251">
        <f>IFERROR(__xludf.DUMMYFUNCTION("AVERAGE(ARRAYFORMULA(XLOOKUP(FILTER(INDIRECT(""'""&amp;CT$1&amp;""'!$C$4:$C$66""),INDIRECT(""'""&amp;CT$1&amp;""'!$D$4:$D$66"")=CT$2),$F$3:$BP$3,$F219:$BP219)))"),0.03823334454545452)</f>
        <v>0.03823334455</v>
      </c>
      <c r="CU219" s="207" t="str">
        <f>IFERROR(__xludf.DUMMYFUNCTION("IF(OR(CT219&gt;$BR219+$BS219*$BS$2,CT219&lt;$BR219-$BS219*$BS$2),AVEDEV(ARRAYFORMULA(XLOOKUP(FILTER(INDIRECT(""'""&amp;CT$1&amp;""'!$C$4:$C$66""),INDIRECT(""'""&amp;CT$1&amp;""'!$D$4:$D$66"")=CT$2),$F$3:$BP$3,$F219:$BP219))),"""")"),"")</f>
        <v/>
      </c>
      <c r="CV219" s="251">
        <f>IFERROR(__xludf.DUMMYFUNCTION("AVERAGE(ARRAYFORMULA(XLOOKUP(FILTER(INDIRECT(""'""&amp;CV$1&amp;""'!$C$4:$C$66""),INDIRECT(""'""&amp;CV$1&amp;""'!$D$4:$D$66"")=CV$2),$F$3:$BP$3,$F219:$BP219)))"),0.10975722500000001)</f>
        <v>0.109757225</v>
      </c>
      <c r="CW219" s="207" t="str">
        <f>IFERROR(__xludf.DUMMYFUNCTION("IF(OR(CV219&gt;$BR219+$BS219*$BS$2,CV219&lt;$BR219-$BS219*$BS$2),AVEDEV(ARRAYFORMULA(XLOOKUP(FILTER(INDIRECT(""'""&amp;CV$1&amp;""'!$C$4:$C$66""),INDIRECT(""'""&amp;CV$1&amp;""'!$D$4:$D$66"")=CV$2),$F$3:$BP$3,$F219:$BP219))),"""")"),"")</f>
        <v/>
      </c>
      <c r="CX219" s="251">
        <f>IFERROR(__xludf.DUMMYFUNCTION("AVERAGE(ARRAYFORMULA(XLOOKUP(FILTER(INDIRECT(""'""&amp;CX$1&amp;""'!$C$4:$C$66""),INDIRECT(""'""&amp;CX$1&amp;""'!$D$4:$D$66"")=CX$2),$F$3:$BP$3,$F219:$BP219)))"),0.2384170157142857)</f>
        <v>0.2384170157</v>
      </c>
      <c r="CY219" s="207" t="str">
        <f>IFERROR(__xludf.DUMMYFUNCTION("IF(OR(CX219&gt;$BR219+$BS219*$BS$2,CX219&lt;$BR219-$BS219*$BS$2),AVEDEV(ARRAYFORMULA(XLOOKUP(FILTER(INDIRECT(""'""&amp;CX$1&amp;""'!$C$4:$C$66""),INDIRECT(""'""&amp;CX$1&amp;""'!$D$4:$D$66"")=CX$2),$F$3:$BP$3,$F219:$BP219))),"""")"),"")</f>
        <v/>
      </c>
      <c r="CZ219" s="252"/>
      <c r="DA219" s="251">
        <f>IFERROR(__xludf.DUMMYFUNCTION("AVERAGE(ARRAYFORMULA(XLOOKUP(FILTER(INDIRECT(""'""&amp;DA$1&amp;""'!$C$4:$C$66""),INDIRECT(""'""&amp;DA$1&amp;""'!$D$4:$D$66"")=DA$2),$F$3:$BP$3,$F219:$BP219)))"),0.5520539136666667)</f>
        <v>0.5520539137</v>
      </c>
      <c r="DB219" s="207" t="str">
        <f>IFERROR(__xludf.DUMMYFUNCTION("IF(OR(DA219&gt;$BR219+$BS219*$BS$2,DA219&lt;$BR219-$BS219*$BS$2),AVEDEV(ARRAYFORMULA(XLOOKUP(FILTER(INDIRECT(""'""&amp;DA$1&amp;""'!$C$4:$C$66""),INDIRECT(""'""&amp;DA$1&amp;""'!$D$4:$D$66"")=DA$2),$F$3:$BP$3,$F219:$BP219))),"""")"),"")</f>
        <v/>
      </c>
      <c r="DC219" s="251">
        <f>IFERROR(__xludf.DUMMYFUNCTION("AVERAGE(ARRAYFORMULA(XLOOKUP(FILTER(INDIRECT(""'""&amp;DC$1&amp;""'!$C$4:$C$66""),INDIRECT(""'""&amp;DC$1&amp;""'!$D$4:$D$66"")=DC$2),$F$3:$BP$3,$F219:$BP219)))"),-0.3433131255555556)</f>
        <v>-0.3433131256</v>
      </c>
      <c r="DD219" s="207" t="str">
        <f>IFERROR(__xludf.DUMMYFUNCTION("IF(OR(DC219&gt;$BR219+$BS219*$BS$2,DC219&lt;$BR219-$BS219*$BS$2),AVEDEV(ARRAYFORMULA(XLOOKUP(FILTER(INDIRECT(""'""&amp;DC$1&amp;""'!$C$4:$C$66""),INDIRECT(""'""&amp;DC$1&amp;""'!$D$4:$D$66"")=DC$2),$F$3:$BP$3,$F219:$BP219))),"""")"),"")</f>
        <v/>
      </c>
      <c r="DE219" s="251">
        <f>IFERROR(__xludf.DUMMYFUNCTION("AVERAGE(ARRAYFORMULA(XLOOKUP(FILTER(INDIRECT(""'""&amp;DE$1&amp;""'!$C$4:$C$66""),INDIRECT(""'""&amp;DE$1&amp;""'!$D$4:$D$66"")=DE$2),$F$3:$BP$3,$F219:$BP219)))"),0.8086264224999999)</f>
        <v>0.8086264225</v>
      </c>
      <c r="DF219" s="207" t="str">
        <f>IFERROR(__xludf.DUMMYFUNCTION("IF(OR(DE219&gt;$BR219+$BS219*$BS$2,DE219&lt;$BR219-$BS219*$BS$2),AVEDEV(ARRAYFORMULA(XLOOKUP(FILTER(INDIRECT(""'""&amp;DE$1&amp;""'!$C$4:$C$66""),INDIRECT(""'""&amp;DE$1&amp;""'!$D$4:$D$66"")=DE$2),$F$3:$BP$3,$F219:$BP219))),"""")"),"")</f>
        <v/>
      </c>
      <c r="DG219" s="251">
        <f>IFERROR(__xludf.DUMMYFUNCTION("AVERAGE(ARRAYFORMULA(XLOOKUP(FILTER(INDIRECT(""'""&amp;DG$1&amp;""'!$C$4:$C$66""),INDIRECT(""'""&amp;DG$1&amp;""'!$D$4:$D$66"")=DG$2),$F$3:$BP$3,$F219:$BP219)))"),-0.26201832222222227)</f>
        <v>-0.2620183222</v>
      </c>
      <c r="DH219" s="207" t="str">
        <f>IFERROR(__xludf.DUMMYFUNCTION("IF(OR(DG219&gt;$BR219+$BS219*$BS$2,DG219&lt;$BR219-$BS219*$BS$2),AVEDEV(ARRAYFORMULA(XLOOKUP(FILTER(INDIRECT(""'""&amp;DG$1&amp;""'!$C$4:$C$66""),INDIRECT(""'""&amp;DG$1&amp;""'!$D$4:$D$66"")=DG$2),$F$3:$BP$3,$F219:$BP219))),"""")"),"")</f>
        <v/>
      </c>
      <c r="DI219" s="252"/>
    </row>
    <row r="220">
      <c r="A220" s="2"/>
      <c r="B220" s="204" t="s">
        <v>646</v>
      </c>
      <c r="C220" s="204" t="s">
        <v>666</v>
      </c>
      <c r="D220" s="205" t="b">
        <f>VLOOKUP(C220,'Feature Set List'!A217:C246,2,0)</f>
        <v>1</v>
      </c>
      <c r="E220" s="205" t="b">
        <f>VLOOKUP(C220,'Feature Set List'!A217:C246,3,0)</f>
        <v>1</v>
      </c>
      <c r="F220" s="205">
        <v>-0.005403</v>
      </c>
      <c r="G220" s="205">
        <v>-0.3214768</v>
      </c>
      <c r="H220" s="205">
        <v>0.0</v>
      </c>
      <c r="I220" s="205">
        <v>-0.0198109</v>
      </c>
      <c r="J220" s="205">
        <v>-0.6888789</v>
      </c>
      <c r="K220" s="205">
        <v>0.64655561</v>
      </c>
      <c r="L220" s="205">
        <v>0.55650608</v>
      </c>
      <c r="M220" s="205">
        <v>-1.0715894</v>
      </c>
      <c r="N220" s="205">
        <v>0.1143629</v>
      </c>
      <c r="O220" s="205">
        <v>0.12426835</v>
      </c>
      <c r="P220" s="205">
        <v>-0.7447096</v>
      </c>
      <c r="Q220" s="205">
        <v>0.10895993</v>
      </c>
      <c r="R220" s="205">
        <v>0.04142278</v>
      </c>
      <c r="S220" s="205">
        <v>0.09365151</v>
      </c>
      <c r="T220" s="205">
        <v>-0.2899595</v>
      </c>
      <c r="U220" s="205">
        <v>-0.099955</v>
      </c>
      <c r="V220" s="205">
        <v>0.81224674</v>
      </c>
      <c r="W220" s="205">
        <v>-1.3228276</v>
      </c>
      <c r="X220" s="205">
        <v>0.35029266</v>
      </c>
      <c r="Y220" s="205">
        <v>-1.32733</v>
      </c>
      <c r="Z220" s="205">
        <v>-0.849167</v>
      </c>
      <c r="AA220" s="205">
        <v>0.28905898</v>
      </c>
      <c r="AB220" s="205">
        <v>0.83565961</v>
      </c>
      <c r="AC220" s="205">
        <v>-0.5898244</v>
      </c>
      <c r="AD220" s="205">
        <v>-0.9383161</v>
      </c>
      <c r="AE220" s="205">
        <v>0.16028816</v>
      </c>
      <c r="AF220" s="205">
        <v>-0.3493922</v>
      </c>
      <c r="AG220" s="205">
        <v>0.54479964</v>
      </c>
      <c r="AH220" s="205">
        <v>0.29085997</v>
      </c>
      <c r="AI220" s="205">
        <v>4.0189104</v>
      </c>
      <c r="AJ220" s="205">
        <v>0.53939667</v>
      </c>
      <c r="AK220" s="205">
        <v>0.46105358</v>
      </c>
      <c r="AL220" s="205">
        <v>-0.5366952</v>
      </c>
      <c r="AM220" s="205">
        <v>0.95722647</v>
      </c>
      <c r="AN220" s="205">
        <v>-0.9797389</v>
      </c>
      <c r="AO220" s="205">
        <v>-0.0603332</v>
      </c>
      <c r="AP220" s="205">
        <v>-1.2850068</v>
      </c>
      <c r="AQ220" s="205">
        <v>1.10220621</v>
      </c>
      <c r="AR220" s="205">
        <v>-0.003602</v>
      </c>
      <c r="AS220" s="205">
        <v>0.68437641</v>
      </c>
      <c r="AT220" s="205">
        <v>-0.5718145</v>
      </c>
      <c r="AU220" s="205">
        <v>0.41242683</v>
      </c>
      <c r="AV220" s="205">
        <v>-0.7492121</v>
      </c>
      <c r="AW220" s="205">
        <v>-0.376407</v>
      </c>
      <c r="AX220" s="205">
        <v>-0.4538496</v>
      </c>
      <c r="AY220" s="205">
        <v>-0.8014408</v>
      </c>
      <c r="AZ220" s="205">
        <v>0.52588924</v>
      </c>
      <c r="BA220" s="205">
        <v>-1.4146781</v>
      </c>
      <c r="BB220" s="205">
        <v>0.56100855</v>
      </c>
      <c r="BC220" s="205">
        <v>0.21071589</v>
      </c>
      <c r="BD220" s="205">
        <v>-1.134624</v>
      </c>
      <c r="BE220" s="205">
        <v>-0.0432238</v>
      </c>
      <c r="BF220" s="205">
        <v>0.75461504</v>
      </c>
      <c r="BG220" s="205">
        <v>-0.3953174</v>
      </c>
      <c r="BH220" s="205">
        <v>0.47996398</v>
      </c>
      <c r="BI220" s="205">
        <v>0.18550203</v>
      </c>
      <c r="BJ220" s="205">
        <v>0.28185502</v>
      </c>
      <c r="BK220" s="205">
        <v>-0.0423233</v>
      </c>
      <c r="BL220" s="205">
        <v>-0.009005</v>
      </c>
      <c r="BM220" s="205">
        <v>-0.5511031</v>
      </c>
      <c r="BN220" s="205">
        <v>0.19540747</v>
      </c>
      <c r="BO220" s="205">
        <v>0.81314723</v>
      </c>
      <c r="BP220" s="205">
        <v>0.45114813</v>
      </c>
      <c r="BQ220" s="206"/>
      <c r="BR220" s="250">
        <f t="shared" si="1"/>
        <v>-0.00671798619</v>
      </c>
      <c r="BS220" s="250">
        <f t="shared" si="2"/>
        <v>0.5658155111</v>
      </c>
      <c r="BT220" s="206"/>
      <c r="BU220" s="207">
        <f>IFERROR(__xludf.DUMMYFUNCTION("AVERAGE(ARRAYFORMULA(XLOOKUP(FILTER(INDIRECT(""'""&amp;BU$1&amp;""'!$C$4:$C$66""),INDIRECT(""'""&amp;BU$1&amp;""'!$D$4:$D$66"")=BU$2),$F$3:$BP$3,$F220:$BP220)))"),-0.8054287142857143)</f>
        <v>-0.8054287143</v>
      </c>
      <c r="BV220" s="207">
        <f>IFERROR(__xludf.DUMMYFUNCTION("IF(OR(BU220&gt;$BR220+$BS220*$BS$2,BU220&lt;$BR220-$BS220*$BS$2),AVEDEV(ARRAYFORMULA(XLOOKUP(FILTER(INDIRECT(""'""&amp;BU$1&amp;""'!$C$4:$C$66""),INDIRECT(""'""&amp;BU$1&amp;""'!$D$4:$D$66"")=BU$2),$F$3:$BP$3,$F220:$BP220))),"""")"),0.46575821224489805)</f>
        <v>0.4657582122</v>
      </c>
      <c r="BW220" s="207">
        <f>IFERROR(__xludf.DUMMYFUNCTION("AVERAGE(ARRAYFORMULA(XLOOKUP(FILTER(INDIRECT(""'""&amp;BW$1&amp;""'!$C$4:$C$66""),INDIRECT(""'""&amp;BW$1&amp;""'!$D$4:$D$66"")=BW$2),$F$3:$BP$3,$F220:$BP220)))"),0.07433373642857143)</f>
        <v>0.07433373643</v>
      </c>
      <c r="BX220" s="207" t="str">
        <f>IFERROR(__xludf.DUMMYFUNCTION("IF(OR(BW220&gt;$BR220+$BS220*$BS$2,BW220&lt;$BR220-$BS220*$BS$2),AVEDEV(ARRAYFORMULA(XLOOKUP(FILTER(INDIRECT(""'""&amp;BW$1&amp;""'!$C$4:$C$66""),INDIRECT(""'""&amp;BW$1&amp;""'!$D$4:$D$66"")=BW$2),$F$3:$BP$3,$F220:$BP220))),"""")"),"")</f>
        <v/>
      </c>
      <c r="BY220" s="207">
        <f>IFERROR(__xludf.DUMMYFUNCTION("AVERAGE(ARRAYFORMULA(XLOOKUP(FILTER(INDIRECT(""'""&amp;BY$1&amp;""'!$C$4:$C$66""),INDIRECT(""'""&amp;BY$1&amp;""'!$D$4:$D$66"")=BY$2),$F$3:$BP$3,$F220:$BP220)))"),0.22307723181818184)</f>
        <v>0.2230772318</v>
      </c>
      <c r="BZ220" s="207" t="str">
        <f>IFERROR(__xludf.DUMMYFUNCTION("IF(OR(BY220&gt;$BR220+$BS220*$BS$2,BY220&lt;$BR220-$BS220*$BS$2),AVEDEV(ARRAYFORMULA(XLOOKUP(FILTER(INDIRECT(""'""&amp;BY$1&amp;""'!$C$4:$C$66""),INDIRECT(""'""&amp;BY$1&amp;""'!$D$4:$D$66"")=BY$2),$F$3:$BP$3,$F220:$BP220))),"""")"),"")</f>
        <v/>
      </c>
      <c r="CA220" s="209"/>
      <c r="CB220" s="207">
        <f>IFERROR(__xludf.DUMMYFUNCTION("AVERAGE(ARRAYFORMULA(XLOOKUP(FILTER(INDIRECT(""'""&amp;CB$1&amp;""'!$C$4:$C$66""),INDIRECT(""'""&amp;CB$1&amp;""'!$D$4:$D$66"")=CB$2),$F$3:$BP$3,$F220:$BP220)))"),-0.36357498437499997)</f>
        <v>-0.3635749844</v>
      </c>
      <c r="CC220" s="207" t="str">
        <f>IFERROR(__xludf.DUMMYFUNCTION("IF(OR(CB220&gt;$BR220+$BS220*$BS$2,CB220&lt;$BR220-$BS220*$BS$2),AVEDEV(ARRAYFORMULA(XLOOKUP(FILTER(INDIRECT(""'""&amp;CB$1&amp;""'!$C$4:$C$66""),INDIRECT(""'""&amp;CB$1&amp;""'!$D$4:$D$66"")=CB$2),$F$3:$BP$3,$F220:$BP220))),"""")"),"")</f>
        <v/>
      </c>
      <c r="CD220" s="207">
        <f>IFERROR(__xludf.DUMMYFUNCTION("AVERAGE(ARRAYFORMULA(XLOOKUP(FILTER(INDIRECT(""'""&amp;CD$1&amp;""'!$C$4:$C$66""),INDIRECT(""'""&amp;CD$1&amp;""'!$D$4:$D$66"")=CD$2),$F$3:$BP$3,$F220:$BP220)))"),0.1838172325806452)</f>
        <v>0.1838172326</v>
      </c>
      <c r="CE220" s="207" t="str">
        <f>IFERROR(__xludf.DUMMYFUNCTION("IF(OR(CD220&gt;$BR220+$BS220*$BS$2,CD220&lt;$BR220-$BS220*$BS$2),AVEDEV(ARRAYFORMULA(XLOOKUP(FILTER(INDIRECT(""'""&amp;CD$1&amp;""'!$C$4:$C$66""),INDIRECT(""'""&amp;CD$1&amp;""'!$D$4:$D$66"")=CD$2),$F$3:$BP$3,$F220:$BP220))),"""")"),"")</f>
        <v/>
      </c>
      <c r="CF220" s="207">
        <f>IFERROR(__xludf.DUMMYFUNCTION("AVERAGE(ARRAYFORMULA(XLOOKUP(FILTER(INDIRECT(""'""&amp;CF$1&amp;""'!$C$4:$C$66""),INDIRECT(""'""&amp;CF$1&amp;""'!$D$4:$D$66"")=CF$2),$F$3:$BP$3,$F220:$BP220)))"),0.298964428)</f>
        <v>0.298964428</v>
      </c>
      <c r="CG220" s="207" t="str">
        <f>IFERROR(__xludf.DUMMYFUNCTION("IF(OR(CF220&gt;$BR220+$BS220*$BS$2,CF220&lt;$BR220-$BS220*$BS$2),AVEDEV(ARRAYFORMULA(XLOOKUP(FILTER(INDIRECT(""'""&amp;CF$1&amp;""'!$C$4:$C$66""),INDIRECT(""'""&amp;CF$1&amp;""'!$D$4:$D$66"")=CF$2),$F$3:$BP$3,$F220:$BP220))),"""")"),"")</f>
        <v/>
      </c>
      <c r="CH220" s="206"/>
      <c r="CI220" s="251">
        <f>IFERROR(__xludf.DUMMYFUNCTION("AVERAGE(ARRAYFORMULA(XLOOKUP(FILTER(INDIRECT(""'""&amp;CI$1&amp;""'!$C$4:$C$66""),INDIRECT(""'""&amp;CI$1&amp;""'!$D$4:$D$66"")=CI$2),$F$3:$BP$3,$F220:$BP220)))"),-0.27573166200000004)</f>
        <v>-0.275731662</v>
      </c>
      <c r="CJ220" s="207" t="str">
        <f>IFERROR(__xludf.DUMMYFUNCTION("IF(OR(CI220&gt;$BR220+$BS220*$BS$2,CI220&lt;$BR220-$BS220*$BS$2),AVEDEV(ARRAYFORMULA(XLOOKUP(FILTER(INDIRECT(""'""&amp;CI$1&amp;""'!$C$4:$C$66""),INDIRECT(""'""&amp;CI$1&amp;""'!$D$4:$D$66"")=CI$2),$F$3:$BP$3,$F220:$BP220))),"""")"),"")</f>
        <v/>
      </c>
      <c r="CK220" s="251">
        <f>IFERROR(__xludf.DUMMYFUNCTION("AVERAGE(ARRAYFORMULA(XLOOKUP(FILTER(INDIRECT(""'""&amp;CK$1&amp;""'!$C$4:$C$66""),INDIRECT(""'""&amp;CK$1&amp;""'!$D$4:$D$66"")=CK$2),$F$3:$BP$3,$F220:$BP220)))"),0.06721388641025641)</f>
        <v>0.06721388641</v>
      </c>
      <c r="CL220" s="207" t="str">
        <f>IFERROR(__xludf.DUMMYFUNCTION("IF(OR(CK220&gt;$BR220+$BS220*$BS$2,CK220&lt;$BR220-$BS220*$BS$2),AVEDEV(ARRAYFORMULA(XLOOKUP(FILTER(INDIRECT(""'""&amp;CK$1&amp;""'!$C$4:$C$66""),INDIRECT(""'""&amp;CK$1&amp;""'!$D$4:$D$66"")=CK$2),$F$3:$BP$3,$F220:$BP220))),"""")"),"")</f>
        <v/>
      </c>
      <c r="CM220" s="251">
        <f>IFERROR(__xludf.DUMMYFUNCTION("AVERAGE(ARRAYFORMULA(XLOOKUP(FILTER(INDIRECT(""'""&amp;CM$1&amp;""'!$C$4:$C$66""),INDIRECT(""'""&amp;CM$1&amp;""'!$D$4:$D$66"")=CM$2),$F$3:$BP$3,$F220:$BP220)))"),0.298964428)</f>
        <v>0.298964428</v>
      </c>
      <c r="CN220" s="207" t="str">
        <f>IFERROR(__xludf.DUMMYFUNCTION("IF(OR(CM220&gt;$BR220+$BS220*$BS$2,CM220&lt;$BR220-$BS220*$BS$2),AVEDEV(ARRAYFORMULA(XLOOKUP(FILTER(INDIRECT(""'""&amp;CM$1&amp;""'!$C$4:$C$66""),INDIRECT(""'""&amp;CM$1&amp;""'!$D$4:$D$66"")=CM$2),$F$3:$BP$3,$F220:$BP220))),"""")"),"")</f>
        <v/>
      </c>
      <c r="CO220" s="252"/>
      <c r="CP220" s="251">
        <f>IFERROR(__xludf.DUMMYFUNCTION("AVERAGE(ARRAYFORMULA(XLOOKUP(FILTER(INDIRECT(""'""&amp;CP$1&amp;""'!$C$4:$C$66""),INDIRECT(""'""&amp;CP$1&amp;""'!$D$4:$D$66"")=CP$2),$F$3:$BP$3,$F220:$BP220)))"),-0.24036793285714284)</f>
        <v>-0.2403679329</v>
      </c>
      <c r="CQ220" s="207" t="str">
        <f>IFERROR(__xludf.DUMMYFUNCTION("IF(OR(CP220&gt;$BR220+$BS220*$BS$2,CP220&lt;$BR220-$BS220*$BS$2),AVEDEV(ARRAYFORMULA(XLOOKUP(FILTER(INDIRECT(""'""&amp;CP$1&amp;""'!$C$4:$C$66""),INDIRECT(""'""&amp;CP$1&amp;""'!$D$4:$D$66"")=CP$2),$F$3:$BP$3,$F220:$BP220))),"""")"),"")</f>
        <v/>
      </c>
      <c r="CR220" s="251">
        <f>IFERROR(__xludf.DUMMYFUNCTION("AVERAGE(ARRAYFORMULA(XLOOKUP(FILTER(INDIRECT(""'""&amp;CR$1&amp;""'!$C$4:$C$66""),INDIRECT(""'""&amp;CR$1&amp;""'!$D$4:$D$66"")=CR$2),$F$3:$BP$3,$F220:$BP220)))"),0.3626994833333333)</f>
        <v>0.3626994833</v>
      </c>
      <c r="CS220" s="207" t="str">
        <f>IFERROR(__xludf.DUMMYFUNCTION("IF(OR(CR220&gt;$BR220+$BS220*$BS$2,CR220&lt;$BR220-$BS220*$BS$2),AVEDEV(ARRAYFORMULA(XLOOKUP(FILTER(INDIRECT(""'""&amp;CR$1&amp;""'!$C$4:$C$66""),INDIRECT(""'""&amp;CR$1&amp;""'!$D$4:$D$66"")=CR$2),$F$3:$BP$3,$F220:$BP220))),"""")"),"")</f>
        <v/>
      </c>
      <c r="CT220" s="251">
        <f>IFERROR(__xludf.DUMMYFUNCTION("AVERAGE(ARRAYFORMULA(XLOOKUP(FILTER(INDIRECT(""'""&amp;CT$1&amp;""'!$C$4:$C$66""),INDIRECT(""'""&amp;CT$1&amp;""'!$D$4:$D$66"")=CT$2),$F$3:$BP$3,$F220:$BP220)))"),0.14276943272727272)</f>
        <v>0.1427694327</v>
      </c>
      <c r="CU220" s="207" t="str">
        <f>IFERROR(__xludf.DUMMYFUNCTION("IF(OR(CT220&gt;$BR220+$BS220*$BS$2,CT220&lt;$BR220-$BS220*$BS$2),AVEDEV(ARRAYFORMULA(XLOOKUP(FILTER(INDIRECT(""'""&amp;CT$1&amp;""'!$C$4:$C$66""),INDIRECT(""'""&amp;CT$1&amp;""'!$D$4:$D$66"")=CT$2),$F$3:$BP$3,$F220:$BP220))),"""")"),"")</f>
        <v/>
      </c>
      <c r="CV220" s="251">
        <f>IFERROR(__xludf.DUMMYFUNCTION("AVERAGE(ARRAYFORMULA(XLOOKUP(FILTER(INDIRECT(""'""&amp;CV$1&amp;""'!$C$4:$C$66""),INDIRECT(""'""&amp;CV$1&amp;""'!$D$4:$D$66"")=CV$2),$F$3:$BP$3,$F220:$BP220)))"),-0.49257090000000003)</f>
        <v>-0.4925709</v>
      </c>
      <c r="CW220" s="207" t="str">
        <f>IFERROR(__xludf.DUMMYFUNCTION("IF(OR(CV220&gt;$BR220+$BS220*$BS$2,CV220&lt;$BR220-$BS220*$BS$2),AVEDEV(ARRAYFORMULA(XLOOKUP(FILTER(INDIRECT(""'""&amp;CV$1&amp;""'!$C$4:$C$66""),INDIRECT(""'""&amp;CV$1&amp;""'!$D$4:$D$66"")=CV$2),$F$3:$BP$3,$F220:$BP220))),"""")"),"")</f>
        <v/>
      </c>
      <c r="CX220" s="251">
        <f>IFERROR(__xludf.DUMMYFUNCTION("AVERAGE(ARRAYFORMULA(XLOOKUP(FILTER(INDIRECT(""'""&amp;CX$1&amp;""'!$C$4:$C$66""),INDIRECT(""'""&amp;CX$1&amp;""'!$D$4:$D$66"")=CX$2),$F$3:$BP$3,$F220:$BP220)))"),0.4137775807142857)</f>
        <v>0.4137775807</v>
      </c>
      <c r="CY220" s="207" t="str">
        <f>IFERROR(__xludf.DUMMYFUNCTION("IF(OR(CX220&gt;$BR220+$BS220*$BS$2,CX220&lt;$BR220-$BS220*$BS$2),AVEDEV(ARRAYFORMULA(XLOOKUP(FILTER(INDIRECT(""'""&amp;CX$1&amp;""'!$C$4:$C$66""),INDIRECT(""'""&amp;CX$1&amp;""'!$D$4:$D$66"")=CX$2),$F$3:$BP$3,$F220:$BP220))),"""")"),"")</f>
        <v/>
      </c>
      <c r="CZ220" s="252"/>
      <c r="DA220" s="251">
        <f>IFERROR(__xludf.DUMMYFUNCTION("AVERAGE(ARRAYFORMULA(XLOOKUP(FILTER(INDIRECT(""'""&amp;DA$1&amp;""'!$C$4:$C$66""),INDIRECT(""'""&amp;DA$1&amp;""'!$D$4:$D$66"")=DA$2),$F$3:$BP$3,$F220:$BP220)))"),-0.058202016333333294)</f>
        <v>-0.05820201633</v>
      </c>
      <c r="DB220" s="207" t="str">
        <f>IFERROR(__xludf.DUMMYFUNCTION("IF(OR(DA220&gt;$BR220+$BS220*$BS$2,DA220&lt;$BR220-$BS220*$BS$2),AVEDEV(ARRAYFORMULA(XLOOKUP(FILTER(INDIRECT(""'""&amp;DA$1&amp;""'!$C$4:$C$66""),INDIRECT(""'""&amp;DA$1&amp;""'!$D$4:$D$66"")=DA$2),$F$3:$BP$3,$F220:$BP220))),"""")"),"")</f>
        <v/>
      </c>
      <c r="DC220" s="251">
        <f>IFERROR(__xludf.DUMMYFUNCTION("AVERAGE(ARRAYFORMULA(XLOOKUP(FILTER(INDIRECT(""'""&amp;DC$1&amp;""'!$C$4:$C$66""),INDIRECT(""'""&amp;DC$1&amp;""'!$D$4:$D$66"")=DC$2),$F$3:$BP$3,$F220:$BP220)))"),0.3507929288888889)</f>
        <v>0.3507929289</v>
      </c>
      <c r="DD220" s="207" t="str">
        <f>IFERROR(__xludf.DUMMYFUNCTION("IF(OR(DC220&gt;$BR220+$BS220*$BS$2,DC220&lt;$BR220-$BS220*$BS$2),AVEDEV(ARRAYFORMULA(XLOOKUP(FILTER(INDIRECT(""'""&amp;DC$1&amp;""'!$C$4:$C$66""),INDIRECT(""'""&amp;DC$1&amp;""'!$D$4:$D$66"")=DC$2),$F$3:$BP$3,$F220:$BP220))),"""")"),"")</f>
        <v/>
      </c>
      <c r="DE220" s="251">
        <f>IFERROR(__xludf.DUMMYFUNCTION("AVERAGE(ARRAYFORMULA(XLOOKUP(FILTER(INDIRECT(""'""&amp;DE$1&amp;""'!$C$4:$C$66""),INDIRECT(""'""&amp;DE$1&amp;""'!$D$4:$D$66"")=DE$2),$F$3:$BP$3,$F220:$BP220)))"),0.23615488875000007)</f>
        <v>0.2361548888</v>
      </c>
      <c r="DF220" s="207" t="str">
        <f>IFERROR(__xludf.DUMMYFUNCTION("IF(OR(DE220&gt;$BR220+$BS220*$BS$2,DE220&lt;$BR220-$BS220*$BS$2),AVEDEV(ARRAYFORMULA(XLOOKUP(FILTER(INDIRECT(""'""&amp;DE$1&amp;""'!$C$4:$C$66""),INDIRECT(""'""&amp;DE$1&amp;""'!$D$4:$D$66"")=DE$2),$F$3:$BP$3,$F220:$BP220))),"""")"),"")</f>
        <v/>
      </c>
      <c r="DG220" s="251">
        <f>IFERROR(__xludf.DUMMYFUNCTION("AVERAGE(ARRAYFORMULA(XLOOKUP(FILTER(INDIRECT(""'""&amp;DG$1&amp;""'!$C$4:$C$66""),INDIRECT(""'""&amp;DG$1&amp;""'!$D$4:$D$66"")=DG$2),$F$3:$BP$3,$F220:$BP220)))"),-0.23552954555555555)</f>
        <v>-0.2355295456</v>
      </c>
      <c r="DH220" s="207" t="str">
        <f>IFERROR(__xludf.DUMMYFUNCTION("IF(OR(DG220&gt;$BR220+$BS220*$BS$2,DG220&lt;$BR220-$BS220*$BS$2),AVEDEV(ARRAYFORMULA(XLOOKUP(FILTER(INDIRECT(""'""&amp;DG$1&amp;""'!$C$4:$C$66""),INDIRECT(""'""&amp;DG$1&amp;""'!$D$4:$D$66"")=DG$2),$F$3:$BP$3,$F220:$BP220))),"""")"),"")</f>
        <v/>
      </c>
      <c r="DI220" s="252"/>
    </row>
    <row r="221">
      <c r="A221" s="2"/>
      <c r="B221" s="204" t="s">
        <v>646</v>
      </c>
      <c r="C221" s="204" t="s">
        <v>667</v>
      </c>
      <c r="D221" s="205" t="b">
        <f>VLOOKUP(C221,'Feature Set List'!A218:C246,2,0)</f>
        <v>1</v>
      </c>
      <c r="E221" s="205" t="b">
        <f>VLOOKUP(C221,'Feature Set List'!A218:C246,3,0)</f>
        <v>1</v>
      </c>
      <c r="F221" s="205">
        <v>-1.6746907</v>
      </c>
      <c r="G221" s="205">
        <v>0.85669291</v>
      </c>
      <c r="H221" s="205">
        <v>-0.2726659</v>
      </c>
      <c r="I221" s="205">
        <v>1.92935883</v>
      </c>
      <c r="J221" s="205">
        <v>-0.040045</v>
      </c>
      <c r="K221" s="205">
        <v>0.22542182</v>
      </c>
      <c r="L221" s="205">
        <v>0.66906637</v>
      </c>
      <c r="M221" s="205">
        <v>-0.2200225</v>
      </c>
      <c r="N221" s="205">
        <v>0.09403825</v>
      </c>
      <c r="O221" s="205">
        <v>-0.6069741</v>
      </c>
      <c r="P221" s="205">
        <v>0.42024747</v>
      </c>
      <c r="Q221" s="205">
        <v>-0.4440945</v>
      </c>
      <c r="R221" s="205">
        <v>0.9264342</v>
      </c>
      <c r="S221" s="205">
        <v>0.19977503</v>
      </c>
      <c r="T221" s="205">
        <v>3.00652418</v>
      </c>
      <c r="U221" s="205">
        <v>3.35298088</v>
      </c>
      <c r="V221" s="205">
        <v>-0.2870641</v>
      </c>
      <c r="W221" s="205">
        <v>-0.3253093</v>
      </c>
      <c r="X221" s="205">
        <v>-1.1185602</v>
      </c>
      <c r="Y221" s="205">
        <v>0.57637795</v>
      </c>
      <c r="Z221" s="205">
        <v>0.55253093</v>
      </c>
      <c r="AA221" s="205">
        <v>-0.151631</v>
      </c>
      <c r="AB221" s="205">
        <v>0.02924634</v>
      </c>
      <c r="AC221" s="205">
        <v>-0.2375703</v>
      </c>
      <c r="AD221" s="205">
        <v>-0.6915636</v>
      </c>
      <c r="AE221" s="205">
        <v>-0.2542182</v>
      </c>
      <c r="AF221" s="205">
        <v>-0.9115861</v>
      </c>
      <c r="AG221" s="205">
        <v>-0.1948256</v>
      </c>
      <c r="AH221" s="205">
        <v>0.64701912</v>
      </c>
      <c r="AI221" s="205">
        <v>-1.616198</v>
      </c>
      <c r="AJ221" s="205">
        <v>1.35613048</v>
      </c>
      <c r="AK221" s="205">
        <v>-0.4832396</v>
      </c>
      <c r="AL221" s="205">
        <v>-0.2767154</v>
      </c>
      <c r="AM221" s="205">
        <v>-0.431946</v>
      </c>
      <c r="AN221" s="205">
        <v>1.58515186</v>
      </c>
      <c r="AO221" s="205">
        <v>-0.0670416</v>
      </c>
      <c r="AP221" s="205">
        <v>0.95568054</v>
      </c>
      <c r="AQ221" s="205">
        <v>0.83914511</v>
      </c>
      <c r="AR221" s="205">
        <v>-0.0184477</v>
      </c>
      <c r="AS221" s="205">
        <v>0.6519685</v>
      </c>
      <c r="AT221" s="205">
        <v>2.46659168</v>
      </c>
      <c r="AU221" s="205">
        <v>-0.8890889</v>
      </c>
      <c r="AV221" s="205">
        <v>-0.3725534</v>
      </c>
      <c r="AW221" s="205">
        <v>1.83847019</v>
      </c>
      <c r="AX221" s="205">
        <v>-0.2726659</v>
      </c>
      <c r="AY221" s="205">
        <v>-0.4589426</v>
      </c>
      <c r="AZ221" s="205">
        <v>-0.167829</v>
      </c>
      <c r="BA221" s="205">
        <v>0.80944882</v>
      </c>
      <c r="BB221" s="205">
        <v>-0.3959505</v>
      </c>
      <c r="BC221" s="205">
        <v>0.53768279</v>
      </c>
      <c r="BD221" s="205">
        <v>1.10281215</v>
      </c>
      <c r="BE221" s="205">
        <v>0.45354331</v>
      </c>
      <c r="BF221" s="205">
        <v>-0.7500562</v>
      </c>
      <c r="BG221" s="205">
        <v>-0.3239595</v>
      </c>
      <c r="BH221" s="205">
        <v>0.26771654</v>
      </c>
      <c r="BI221" s="205">
        <v>0.68166479</v>
      </c>
      <c r="BJ221" s="205">
        <v>0.82474691</v>
      </c>
      <c r="BK221" s="205">
        <v>-0.6929134</v>
      </c>
      <c r="BL221" s="205">
        <v>2.59707537</v>
      </c>
      <c r="BM221" s="205">
        <v>0.06209224</v>
      </c>
      <c r="BN221" s="205">
        <v>-0.0260967</v>
      </c>
      <c r="BO221" s="205">
        <v>0.55658043</v>
      </c>
      <c r="BP221" s="205">
        <v>0.0</v>
      </c>
      <c r="BQ221" s="206"/>
      <c r="BR221" s="250">
        <f t="shared" si="1"/>
        <v>0.2602817538</v>
      </c>
      <c r="BS221" s="250">
        <f t="shared" si="2"/>
        <v>0.7522005305</v>
      </c>
      <c r="BT221" s="206"/>
      <c r="BU221" s="207">
        <f>IFERROR(__xludf.DUMMYFUNCTION("AVERAGE(ARRAYFORMULA(XLOOKUP(FILTER(INDIRECT(""'""&amp;BU$1&amp;""'!$C$4:$C$66""),INDIRECT(""'""&amp;BU$1&amp;""'!$D$4:$D$66"")=BU$2),$F$3:$BP$3,$F221:$BP221)))"),0.7447212014285715)</f>
        <v>0.7447212014</v>
      </c>
      <c r="BV221" s="207" t="str">
        <f>IFERROR(__xludf.DUMMYFUNCTION("IF(OR(BU221&gt;$BR221+$BS221*$BS$2,BU221&lt;$BR221-$BS221*$BS$2),AVEDEV(ARRAYFORMULA(XLOOKUP(FILTER(INDIRECT(""'""&amp;BU$1&amp;""'!$C$4:$C$66""),INDIRECT(""'""&amp;BU$1&amp;""'!$D$4:$D$66"")=BU$2),$F$3:$BP$3,$F221:$BP221))),"""")"),"")</f>
        <v/>
      </c>
      <c r="BW221" s="207">
        <f>IFERROR(__xludf.DUMMYFUNCTION("AVERAGE(ARRAYFORMULA(XLOOKUP(FILTER(INDIRECT(""'""&amp;BW$1&amp;""'!$C$4:$C$66""),INDIRECT(""'""&amp;BW$1&amp;""'!$D$4:$D$66"")=BW$2),$F$3:$BP$3,$F221:$BP221)))"),0.22214366238095248)</f>
        <v>0.2221436624</v>
      </c>
      <c r="BX221" s="207" t="str">
        <f>IFERROR(__xludf.DUMMYFUNCTION("IF(OR(BW221&gt;$BR221+$BS221*$BS$2,BW221&lt;$BR221-$BS221*$BS$2),AVEDEV(ARRAYFORMULA(XLOOKUP(FILTER(INDIRECT(""'""&amp;BW$1&amp;""'!$C$4:$C$66""),INDIRECT(""'""&amp;BW$1&amp;""'!$D$4:$D$66"")=BW$2),$F$3:$BP$3,$F221:$BP221))),"""")"),"")</f>
        <v/>
      </c>
      <c r="BY221" s="207">
        <f>IFERROR(__xludf.DUMMYFUNCTION("AVERAGE(ARRAYFORMULA(XLOOKUP(FILTER(INDIRECT(""'""&amp;BY$1&amp;""'!$C$4:$C$66""),INDIRECT(""'""&amp;BY$1&amp;""'!$D$4:$D$66"")=BY$2),$F$3:$BP$3,$F221:$BP221)))"),-0.07972184636363633)</f>
        <v>-0.07972184636</v>
      </c>
      <c r="BZ221" s="207" t="str">
        <f>IFERROR(__xludf.DUMMYFUNCTION("IF(OR(BY221&gt;$BR221+$BS221*$BS$2,BY221&lt;$BR221-$BS221*$BS$2),AVEDEV(ARRAYFORMULA(XLOOKUP(FILTER(INDIRECT(""'""&amp;BY$1&amp;""'!$C$4:$C$66""),INDIRECT(""'""&amp;BY$1&amp;""'!$D$4:$D$66"")=BY$2),$F$3:$BP$3,$F221:$BP221))),"""")"),"")</f>
        <v/>
      </c>
      <c r="CA221" s="209"/>
      <c r="CB221" s="207">
        <f>IFERROR(__xludf.DUMMYFUNCTION("AVERAGE(ARRAYFORMULA(XLOOKUP(FILTER(INDIRECT(""'""&amp;CB$1&amp;""'!$C$4:$C$66""),INDIRECT(""'""&amp;CB$1&amp;""'!$D$4:$D$66"")=CB$2),$F$3:$BP$3,$F221:$BP221)))"),0.7322834606250002)</f>
        <v>0.7322834606</v>
      </c>
      <c r="CC221" s="207" t="str">
        <f>IFERROR(__xludf.DUMMYFUNCTION("IF(OR(CB221&gt;$BR221+$BS221*$BS$2,CB221&lt;$BR221-$BS221*$BS$2),AVEDEV(ARRAYFORMULA(XLOOKUP(FILTER(INDIRECT(""'""&amp;CB$1&amp;""'!$C$4:$C$66""),INDIRECT(""'""&amp;CB$1&amp;""'!$D$4:$D$66"")=CB$2),$F$3:$BP$3,$F221:$BP221))),"""")"),"")</f>
        <v/>
      </c>
      <c r="CD221" s="207">
        <f>IFERROR(__xludf.DUMMYFUNCTION("AVERAGE(ARRAYFORMULA(XLOOKUP(FILTER(INDIRECT(""'""&amp;CD$1&amp;""'!$C$4:$C$66""),INDIRECT(""'""&amp;CD$1&amp;""'!$D$4:$D$66"")=CD$2),$F$3:$BP$3,$F221:$BP221)))"),-0.02734496483870966)</f>
        <v>-0.02734496484</v>
      </c>
      <c r="CE221" s="207" t="str">
        <f>IFERROR(__xludf.DUMMYFUNCTION("IF(OR(CD221&gt;$BR221+$BS221*$BS$2,CD221&lt;$BR221-$BS221*$BS$2),AVEDEV(ARRAYFORMULA(XLOOKUP(FILTER(INDIRECT(""'""&amp;CD$1&amp;""'!$C$4:$C$66""),INDIRECT(""'""&amp;CD$1&amp;""'!$D$4:$D$66"")=CD$2),$F$3:$BP$3,$F221:$BP221))),"""")"),"")</f>
        <v/>
      </c>
      <c r="CF221" s="207">
        <f>IFERROR(__xludf.DUMMYFUNCTION("AVERAGE(ARRAYFORMULA(XLOOKUP(FILTER(INDIRECT(""'""&amp;CF$1&amp;""'!$C$4:$C$66""),INDIRECT(""'""&amp;CF$1&amp;""'!$D$4:$D$66"")=CF$2),$F$3:$BP$3,$F221:$BP221)))"),-0.26870639399999996)</f>
        <v>-0.268706394</v>
      </c>
      <c r="CG221" s="207" t="str">
        <f>IFERROR(__xludf.DUMMYFUNCTION("IF(OR(CF221&gt;$BR221+$BS221*$BS$2,CF221&lt;$BR221-$BS221*$BS$2),AVEDEV(ARRAYFORMULA(XLOOKUP(FILTER(INDIRECT(""'""&amp;CF$1&amp;""'!$C$4:$C$66""),INDIRECT(""'""&amp;CF$1&amp;""'!$D$4:$D$66"")=CF$2),$F$3:$BP$3,$F221:$BP221))),"""")"),"")</f>
        <v/>
      </c>
      <c r="CH221" s="206"/>
      <c r="CI221" s="251">
        <f>IFERROR(__xludf.DUMMYFUNCTION("AVERAGE(ARRAYFORMULA(XLOOKUP(FILTER(INDIRECT(""'""&amp;CI$1&amp;""'!$C$4:$C$66""),INDIRECT(""'""&amp;CI$1&amp;""'!$D$4:$D$66"")=CI$2),$F$3:$BP$3,$F221:$BP221)))"),0.2897937793333333)</f>
        <v>0.2897937793</v>
      </c>
      <c r="CJ221" s="207" t="str">
        <f>IFERROR(__xludf.DUMMYFUNCTION("IF(OR(CI221&gt;$BR221+$BS221*$BS$2,CI221&lt;$BR221-$BS221*$BS$2),AVEDEV(ARRAYFORMULA(XLOOKUP(FILTER(INDIRECT(""'""&amp;CI$1&amp;""'!$C$4:$C$66""),INDIRECT(""'""&amp;CI$1&amp;""'!$D$4:$D$66"")=CI$2),$F$3:$BP$3,$F221:$BP221))),"""")"),"")</f>
        <v/>
      </c>
      <c r="CK221" s="251">
        <f>IFERROR(__xludf.DUMMYFUNCTION("AVERAGE(ARRAYFORMULA(XLOOKUP(FILTER(INDIRECT(""'""&amp;CK$1&amp;""'!$C$4:$C$66""),INDIRECT(""'""&amp;CK$1&amp;""'!$D$4:$D$66"")=CK$2),$F$3:$BP$3,$F221:$BP221)))"),0.2911712974358974)</f>
        <v>0.2911712974</v>
      </c>
      <c r="CL221" s="207" t="str">
        <f>IFERROR(__xludf.DUMMYFUNCTION("IF(OR(CK221&gt;$BR221+$BS221*$BS$2,CK221&lt;$BR221-$BS221*$BS$2),AVEDEV(ARRAYFORMULA(XLOOKUP(FILTER(INDIRECT(""'""&amp;CK$1&amp;""'!$C$4:$C$66""),INDIRECT(""'""&amp;CK$1&amp;""'!$D$4:$D$66"")=CK$2),$F$3:$BP$3,$F221:$BP221))),"""")"),"")</f>
        <v/>
      </c>
      <c r="CM221" s="251">
        <f>IFERROR(__xludf.DUMMYFUNCTION("AVERAGE(ARRAYFORMULA(XLOOKUP(FILTER(INDIRECT(""'""&amp;CM$1&amp;""'!$C$4:$C$66""),INDIRECT(""'""&amp;CM$1&amp;""'!$D$4:$D$66"")=CM$2),$F$3:$BP$3,$F221:$BP221)))"),-0.26870639399999996)</f>
        <v>-0.268706394</v>
      </c>
      <c r="CN221" s="207" t="str">
        <f>IFERROR(__xludf.DUMMYFUNCTION("IF(OR(CM221&gt;$BR221+$BS221*$BS$2,CM221&lt;$BR221-$BS221*$BS$2),AVEDEV(ARRAYFORMULA(XLOOKUP(FILTER(INDIRECT(""'""&amp;CM$1&amp;""'!$C$4:$C$66""),INDIRECT(""'""&amp;CM$1&amp;""'!$D$4:$D$66"")=CM$2),$F$3:$BP$3,$F221:$BP221))),"""")"),"")</f>
        <v/>
      </c>
      <c r="CO221" s="252"/>
      <c r="CP221" s="251">
        <f>IFERROR(__xludf.DUMMYFUNCTION("AVERAGE(ARRAYFORMULA(XLOOKUP(FILTER(INDIRECT(""'""&amp;CP$1&amp;""'!$C$4:$C$66""),INDIRECT(""'""&amp;CP$1&amp;""'!$D$4:$D$66"")=CP$2),$F$3:$BP$3,$F221:$BP221)))"),0.5450104414285716)</f>
        <v>0.5450104414</v>
      </c>
      <c r="CQ221" s="207" t="str">
        <f>IFERROR(__xludf.DUMMYFUNCTION("IF(OR(CP221&gt;$BR221+$BS221*$BS$2,CP221&lt;$BR221-$BS221*$BS$2),AVEDEV(ARRAYFORMULA(XLOOKUP(FILTER(INDIRECT(""'""&amp;CP$1&amp;""'!$C$4:$C$66""),INDIRECT(""'""&amp;CP$1&amp;""'!$D$4:$D$66"")=CP$2),$F$3:$BP$3,$F221:$BP221))),"""")"),"")</f>
        <v/>
      </c>
      <c r="CR221" s="251">
        <f>IFERROR(__xludf.DUMMYFUNCTION("AVERAGE(ARRAYFORMULA(XLOOKUP(FILTER(INDIRECT(""'""&amp;CR$1&amp;""'!$C$4:$C$66""),INDIRECT(""'""&amp;CR$1&amp;""'!$D$4:$D$66"")=CR$2),$F$3:$BP$3,$F221:$BP221)))"),-0.33500811999999996)</f>
        <v>-0.33500812</v>
      </c>
      <c r="CS221" s="207" t="str">
        <f>IFERROR(__xludf.DUMMYFUNCTION("IF(OR(CR221&gt;$BR221+$BS221*$BS$2,CR221&lt;$BR221-$BS221*$BS$2),AVEDEV(ARRAYFORMULA(XLOOKUP(FILTER(INDIRECT(""'""&amp;CR$1&amp;""'!$C$4:$C$66""),INDIRECT(""'""&amp;CR$1&amp;""'!$D$4:$D$66"")=CR$2),$F$3:$BP$3,$F221:$BP221))),"""")"),"")</f>
        <v/>
      </c>
      <c r="CT221" s="251">
        <f>IFERROR(__xludf.DUMMYFUNCTION("AVERAGE(ARRAYFORMULA(XLOOKUP(FILTER(INDIRECT(""'""&amp;CT$1&amp;""'!$C$4:$C$66""),INDIRECT(""'""&amp;CT$1&amp;""'!$D$4:$D$66"")=CT$2),$F$3:$BP$3,$F221:$BP221)))"),-0.05337967545454545)</f>
        <v>-0.05337967545</v>
      </c>
      <c r="CU221" s="207" t="str">
        <f>IFERROR(__xludf.DUMMYFUNCTION("IF(OR(CT221&gt;$BR221+$BS221*$BS$2,CT221&lt;$BR221-$BS221*$BS$2),AVEDEV(ARRAYFORMULA(XLOOKUP(FILTER(INDIRECT(""'""&amp;CT$1&amp;""'!$C$4:$C$66""),INDIRECT(""'""&amp;CT$1&amp;""'!$D$4:$D$66"")=CT$2),$F$3:$BP$3,$F221:$BP221))),"""")"),"")</f>
        <v/>
      </c>
      <c r="CV221" s="251">
        <f>IFERROR(__xludf.DUMMYFUNCTION("AVERAGE(ARRAYFORMULA(XLOOKUP(FILTER(INDIRECT(""'""&amp;CV$1&amp;""'!$C$4:$C$66""),INDIRECT(""'""&amp;CV$1&amp;""'!$D$4:$D$66"")=CV$2),$F$3:$BP$3,$F221:$BP221)))"),-0.2807649)</f>
        <v>-0.2807649</v>
      </c>
      <c r="CW221" s="207" t="str">
        <f>IFERROR(__xludf.DUMMYFUNCTION("IF(OR(CV221&gt;$BR221+$BS221*$BS$2,CV221&lt;$BR221-$BS221*$BS$2),AVEDEV(ARRAYFORMULA(XLOOKUP(FILTER(INDIRECT(""'""&amp;CV$1&amp;""'!$C$4:$C$66""),INDIRECT(""'""&amp;CV$1&amp;""'!$D$4:$D$66"")=CV$2),$F$3:$BP$3,$F221:$BP221))),"""")"),"")</f>
        <v/>
      </c>
      <c r="CX221" s="251">
        <f>IFERROR(__xludf.DUMMYFUNCTION("AVERAGE(ARRAYFORMULA(XLOOKUP(FILTER(INDIRECT(""'""&amp;CX$1&amp;""'!$C$4:$C$66""),INDIRECT(""'""&amp;CX$1&amp;""'!$D$4:$D$66"")=CX$2),$F$3:$BP$3,$F221:$BP221)))"),0.1748674264285715)</f>
        <v>0.1748674264</v>
      </c>
      <c r="CY221" s="207" t="str">
        <f>IFERROR(__xludf.DUMMYFUNCTION("IF(OR(CX221&gt;$BR221+$BS221*$BS$2,CX221&lt;$BR221-$BS221*$BS$2),AVEDEV(ARRAYFORMULA(XLOOKUP(FILTER(INDIRECT(""'""&amp;CX$1&amp;""'!$C$4:$C$66""),INDIRECT(""'""&amp;CX$1&amp;""'!$D$4:$D$66"")=CX$2),$F$3:$BP$3,$F221:$BP221))),"""")"),"")</f>
        <v/>
      </c>
      <c r="CZ221" s="252"/>
      <c r="DA221" s="251">
        <f>IFERROR(__xludf.DUMMYFUNCTION("AVERAGE(ARRAYFORMULA(XLOOKUP(FILTER(INDIRECT(""'""&amp;DA$1&amp;""'!$C$4:$C$66""),INDIRECT(""'""&amp;DA$1&amp;""'!$D$4:$D$66"")=DA$2),$F$3:$BP$3,$F221:$BP221)))"),0.4324259486666667)</f>
        <v>0.4324259487</v>
      </c>
      <c r="DB221" s="207" t="str">
        <f>IFERROR(__xludf.DUMMYFUNCTION("IF(OR(DA221&gt;$BR221+$BS221*$BS$2,DA221&lt;$BR221-$BS221*$BS$2),AVEDEV(ARRAYFORMULA(XLOOKUP(FILTER(INDIRECT(""'""&amp;DA$1&amp;""'!$C$4:$C$66""),INDIRECT(""'""&amp;DA$1&amp;""'!$D$4:$D$66"")=DA$2),$F$3:$BP$3,$F221:$BP221))),"""")"),"")</f>
        <v/>
      </c>
      <c r="DC221" s="251">
        <f>IFERROR(__xludf.DUMMYFUNCTION("AVERAGE(ARRAYFORMULA(XLOOKUP(FILTER(INDIRECT(""'""&amp;DC$1&amp;""'!$C$4:$C$66""),INDIRECT(""'""&amp;DC$1&amp;""'!$D$4:$D$66"")=DC$2),$F$3:$BP$3,$F221:$BP221)))"),0.0072990877777778206)</f>
        <v>0.007299087778</v>
      </c>
      <c r="DD221" s="207" t="str">
        <f>IFERROR(__xludf.DUMMYFUNCTION("IF(OR(DC221&gt;$BR221+$BS221*$BS$2,DC221&lt;$BR221-$BS221*$BS$2),AVEDEV(ARRAYFORMULA(XLOOKUP(FILTER(INDIRECT(""'""&amp;DC$1&amp;""'!$C$4:$C$66""),INDIRECT(""'""&amp;DC$1&amp;""'!$D$4:$D$66"")=DC$2),$F$3:$BP$3,$F221:$BP221))),"""")"),"")</f>
        <v/>
      </c>
      <c r="DE221" s="251">
        <f>IFERROR(__xludf.DUMMYFUNCTION("AVERAGE(ARRAYFORMULA(XLOOKUP(FILTER(INDIRECT(""'""&amp;DE$1&amp;""'!$C$4:$C$66""),INDIRECT(""'""&amp;DE$1&amp;""'!$D$4:$D$66"")=DE$2),$F$3:$BP$3,$F221:$BP221)))"),0.22345332000000004)</f>
        <v>0.22345332</v>
      </c>
      <c r="DF221" s="207" t="str">
        <f>IFERROR(__xludf.DUMMYFUNCTION("IF(OR(DE221&gt;$BR221+$BS221*$BS$2,DE221&lt;$BR221-$BS221*$BS$2),AVEDEV(ARRAYFORMULA(XLOOKUP(FILTER(INDIRECT(""'""&amp;DE$1&amp;""'!$C$4:$C$66""),INDIRECT(""'""&amp;DE$1&amp;""'!$D$4:$D$66"")=DE$2),$F$3:$BP$3,$F221:$BP221))),"""")"),"")</f>
        <v/>
      </c>
      <c r="DG221" s="251">
        <f>IFERROR(__xludf.DUMMYFUNCTION("AVERAGE(ARRAYFORMULA(XLOOKUP(FILTER(INDIRECT(""'""&amp;DG$1&amp;""'!$C$4:$C$66""),INDIRECT(""'""&amp;DG$1&amp;""'!$D$4:$D$66"")=DG$2),$F$3:$BP$3,$F221:$BP221)))"),-0.2851143511111111)</f>
        <v>-0.2851143511</v>
      </c>
      <c r="DH221" s="207" t="str">
        <f>IFERROR(__xludf.DUMMYFUNCTION("IF(OR(DG221&gt;$BR221+$BS221*$BS$2,DG221&lt;$BR221-$BS221*$BS$2),AVEDEV(ARRAYFORMULA(XLOOKUP(FILTER(INDIRECT(""'""&amp;DG$1&amp;""'!$C$4:$C$66""),INDIRECT(""'""&amp;DG$1&amp;""'!$D$4:$D$66"")=DG$2),$F$3:$BP$3,$F221:$BP221))),"""")"),"")</f>
        <v/>
      </c>
      <c r="DI221" s="252"/>
    </row>
    <row r="222">
      <c r="A222" s="2"/>
      <c r="B222" s="204" t="s">
        <v>646</v>
      </c>
      <c r="C222" s="204" t="s">
        <v>668</v>
      </c>
      <c r="D222" s="205" t="b">
        <f>VLOOKUP(C222,'Feature Set List'!A219:C246,2,0)</f>
        <v>1</v>
      </c>
      <c r="E222" s="205" t="b">
        <f>VLOOKUP(C222,'Feature Set List'!A219:C246,3,0)</f>
        <v>1</v>
      </c>
      <c r="F222" s="205">
        <v>1.32545115</v>
      </c>
      <c r="G222" s="205">
        <v>0.40945862</v>
      </c>
      <c r="H222" s="205">
        <v>0.46421904</v>
      </c>
      <c r="I222" s="205">
        <v>-0.4144368</v>
      </c>
      <c r="J222" s="205">
        <v>1.00435594</v>
      </c>
      <c r="K222" s="205">
        <v>-0.7392657</v>
      </c>
      <c r="L222" s="205">
        <v>-0.2016179</v>
      </c>
      <c r="M222" s="205">
        <v>0.51649035</v>
      </c>
      <c r="N222" s="205">
        <v>0.10952085</v>
      </c>
      <c r="O222" s="205">
        <v>0.58867455</v>
      </c>
      <c r="P222" s="205">
        <v>0.97946484</v>
      </c>
      <c r="Q222" s="205">
        <v>0.38705663</v>
      </c>
      <c r="R222" s="205">
        <v>-0.3895457</v>
      </c>
      <c r="S222" s="205">
        <v>0.38954574</v>
      </c>
      <c r="T222" s="205">
        <v>-2.3534536</v>
      </c>
      <c r="U222" s="205">
        <v>-1.6851276</v>
      </c>
      <c r="V222" s="205">
        <v>-0.3982576</v>
      </c>
      <c r="W222" s="205">
        <v>-0.9458619</v>
      </c>
      <c r="X222" s="205">
        <v>0.35967642</v>
      </c>
      <c r="Y222" s="205">
        <v>0.19041693</v>
      </c>
      <c r="Z222" s="205">
        <v>0.68201618</v>
      </c>
      <c r="AA222" s="205">
        <v>-0.3484754</v>
      </c>
      <c r="AB222" s="205">
        <v>-0.6571251</v>
      </c>
      <c r="AC222" s="205">
        <v>1.04418171</v>
      </c>
      <c r="AD222" s="205">
        <v>0.16303671</v>
      </c>
      <c r="AE222" s="205">
        <v>0.39950218</v>
      </c>
      <c r="AF222" s="205">
        <v>0.34474175</v>
      </c>
      <c r="AG222" s="205">
        <v>-0.5625389</v>
      </c>
      <c r="AH222" s="205">
        <v>0.0</v>
      </c>
      <c r="AI222" s="205">
        <v>-4.0149347</v>
      </c>
      <c r="AJ222" s="205">
        <v>-0.8014935</v>
      </c>
      <c r="AK222" s="205">
        <v>-0.159303</v>
      </c>
      <c r="AL222" s="205">
        <v>1.63285625</v>
      </c>
      <c r="AM222" s="205">
        <v>-0.7454885</v>
      </c>
      <c r="AN222" s="205">
        <v>-0.4779091</v>
      </c>
      <c r="AO222" s="205">
        <v>0.57373989</v>
      </c>
      <c r="AP222" s="205">
        <v>1.48724331</v>
      </c>
      <c r="AQ222" s="205">
        <v>-3.1325451</v>
      </c>
      <c r="AR222" s="205">
        <v>0.49533292</v>
      </c>
      <c r="AS222" s="205">
        <v>-1.3777225</v>
      </c>
      <c r="AT222" s="205">
        <v>0.38456752</v>
      </c>
      <c r="AU222" s="205">
        <v>0.13441195</v>
      </c>
      <c r="AV222" s="205">
        <v>1.18855009</v>
      </c>
      <c r="AW222" s="205">
        <v>-0.4555072</v>
      </c>
      <c r="AX222" s="205">
        <v>-1.2271313</v>
      </c>
      <c r="AY222" s="205">
        <v>1.56191661</v>
      </c>
      <c r="AZ222" s="205">
        <v>-0.0709396</v>
      </c>
      <c r="BA222" s="205">
        <v>-0.9583074</v>
      </c>
      <c r="BB222" s="205">
        <v>-0.3360299</v>
      </c>
      <c r="BC222" s="205">
        <v>0.08089608</v>
      </c>
      <c r="BD222" s="205">
        <v>0.76540137</v>
      </c>
      <c r="BE222" s="205">
        <v>-0.056005</v>
      </c>
      <c r="BF222" s="205">
        <v>-0.1406347</v>
      </c>
      <c r="BG222" s="205">
        <v>0.87990044</v>
      </c>
      <c r="BH222" s="205">
        <v>-0.2775358</v>
      </c>
      <c r="BI222" s="205">
        <v>0.00995644</v>
      </c>
      <c r="BJ222" s="205">
        <v>-0.2215308</v>
      </c>
      <c r="BK222" s="205">
        <v>-0.8724331</v>
      </c>
      <c r="BL222" s="205">
        <v>-0.8276291</v>
      </c>
      <c r="BM222" s="205">
        <v>1.50093342</v>
      </c>
      <c r="BN222" s="205">
        <v>0.22650902</v>
      </c>
      <c r="BO222" s="205">
        <v>-0.8301182</v>
      </c>
      <c r="BP222" s="205">
        <v>-0.4343497</v>
      </c>
      <c r="BQ222" s="206"/>
      <c r="BR222" s="250">
        <f t="shared" si="1"/>
        <v>-0.09259094444</v>
      </c>
      <c r="BS222" s="250">
        <f t="shared" si="2"/>
        <v>0.7397197591</v>
      </c>
      <c r="BT222" s="206"/>
      <c r="BU222" s="207">
        <f>IFERROR(__xludf.DUMMYFUNCTION("AVERAGE(ARRAYFORMULA(XLOOKUP(FILTER(INDIRECT(""'""&amp;BU$1&amp;""'!$C$4:$C$66""),INDIRECT(""'""&amp;BU$1&amp;""'!$D$4:$D$66"")=BU$2),$F$3:$BP$3,$F222:$BP222)))"),-0.8670992899999999)</f>
        <v>-0.86709929</v>
      </c>
      <c r="BV222" s="207">
        <f>IFERROR(__xludf.DUMMYFUNCTION("IF(OR(BU222&gt;$BR222+$BS222*$BS$2,BU222&lt;$BR222-$BS222*$BS$2),AVEDEV(ARRAYFORMULA(XLOOKUP(FILTER(INDIRECT(""'""&amp;BU$1&amp;""'!$C$4:$C$66""),INDIRECT(""'""&amp;BU$1&amp;""'!$D$4:$D$66"")=BU$2),$F$3:$BP$3,$F222:$BP222))),"""")"),0.5776259571428571)</f>
        <v>0.5776259571</v>
      </c>
      <c r="BW222" s="207">
        <f>IFERROR(__xludf.DUMMYFUNCTION("AVERAGE(ARRAYFORMULA(XLOOKUP(FILTER(INDIRECT(""'""&amp;BW$1&amp;""'!$C$4:$C$66""),INDIRECT(""'""&amp;BW$1&amp;""'!$D$4:$D$66"")=BW$2),$F$3:$BP$3,$F222:$BP222)))"),-0.07333985380952382)</f>
        <v>-0.07333985381</v>
      </c>
      <c r="BX222" s="207" t="str">
        <f>IFERROR(__xludf.DUMMYFUNCTION("IF(OR(BW222&gt;$BR222+$BS222*$BS$2,BW222&lt;$BR222-$BS222*$BS$2),AVEDEV(ARRAYFORMULA(XLOOKUP(FILTER(INDIRECT(""'""&amp;BW$1&amp;""'!$C$4:$C$66""),INDIRECT(""'""&amp;BW$1&amp;""'!$D$4:$D$66"")=BW$2),$F$3:$BP$3,$F222:$BP222))),"""")"),"")</f>
        <v/>
      </c>
      <c r="BY222" s="207">
        <f>IFERROR(__xludf.DUMMYFUNCTION("AVERAGE(ARRAYFORMULA(XLOOKUP(FILTER(INDIRECT(""'""&amp;BY$1&amp;""'!$C$4:$C$66""),INDIRECT(""'""&amp;BY$1&amp;""'!$D$4:$D$66"")=BY$2),$F$3:$BP$3,$F222:$BP222)))"),0.21700515909090906)</f>
        <v>0.2170051591</v>
      </c>
      <c r="BZ222" s="207" t="str">
        <f>IFERROR(__xludf.DUMMYFUNCTION("IF(OR(BY222&gt;$BR222+$BS222*$BS$2,BY222&lt;$BR222-$BS222*$BS$2),AVEDEV(ARRAYFORMULA(XLOOKUP(FILTER(INDIRECT(""'""&amp;BY$1&amp;""'!$C$4:$C$66""),INDIRECT(""'""&amp;BY$1&amp;""'!$D$4:$D$66"")=BY$2),$F$3:$BP$3,$F222:$BP222))),"""")"),"")</f>
        <v/>
      </c>
      <c r="CA222" s="209"/>
      <c r="CB222" s="207">
        <f>IFERROR(__xludf.DUMMYFUNCTION("AVERAGE(ARRAYFORMULA(XLOOKUP(FILTER(INDIRECT(""'""&amp;CB$1&amp;""'!$C$4:$C$66""),INDIRECT(""'""&amp;CB$1&amp;""'!$D$4:$D$66"")=CB$2),$F$3:$BP$3,$F222:$BP222)))"),-0.12243310874999998)</f>
        <v>-0.1224331088</v>
      </c>
      <c r="CC222" s="207" t="str">
        <f>IFERROR(__xludf.DUMMYFUNCTION("IF(OR(CB222&gt;$BR222+$BS222*$BS$2,CB222&lt;$BR222-$BS222*$BS$2),AVEDEV(ARRAYFORMULA(XLOOKUP(FILTER(INDIRECT(""'""&amp;CB$1&amp;""'!$C$4:$C$66""),INDIRECT(""'""&amp;CB$1&amp;""'!$D$4:$D$66"")=CB$2),$F$3:$BP$3,$F222:$BP222))),"""")"),"")</f>
        <v/>
      </c>
      <c r="CD222" s="207">
        <f>IFERROR(__xludf.DUMMYFUNCTION("AVERAGE(ARRAYFORMULA(XLOOKUP(FILTER(INDIRECT(""'""&amp;CD$1&amp;""'!$C$4:$C$66""),INDIRECT(""'""&amp;CD$1&amp;""'!$D$4:$D$66"")=CD$2),$F$3:$BP$3,$F222:$BP222)))"),-0.029226967096774192)</f>
        <v>-0.0292269671</v>
      </c>
      <c r="CE222" s="207" t="str">
        <f>IFERROR(__xludf.DUMMYFUNCTION("IF(OR(CD222&gt;$BR222+$BS222*$BS$2,CD222&lt;$BR222-$BS222*$BS$2),AVEDEV(ARRAYFORMULA(XLOOKUP(FILTER(INDIRECT(""'""&amp;CD$1&amp;""'!$C$4:$C$66""),INDIRECT(""'""&amp;CD$1&amp;""'!$D$4:$D$66"")=CD$2),$F$3:$BP$3,$F222:$BP222))),"""")"),"")</f>
        <v/>
      </c>
      <c r="CF222" s="207">
        <f>IFERROR(__xludf.DUMMYFUNCTION("AVERAGE(ARRAYFORMULA(XLOOKUP(FILTER(INDIRECT(""'""&amp;CF$1&amp;""'!$C$4:$C$66""),INDIRECT(""'""&amp;CF$1&amp;""'!$D$4:$D$66"")=CF$2),$F$3:$BP$3,$F222:$BP222)))"),0.25239578199999996)</f>
        <v>0.252395782</v>
      </c>
      <c r="CG222" s="207" t="str">
        <f>IFERROR(__xludf.DUMMYFUNCTION("IF(OR(CF222&gt;$BR222+$BS222*$BS$2,CF222&lt;$BR222-$BS222*$BS$2),AVEDEV(ARRAYFORMULA(XLOOKUP(FILTER(INDIRECT(""'""&amp;CF$1&amp;""'!$C$4:$C$66""),INDIRECT(""'""&amp;CF$1&amp;""'!$D$4:$D$66"")=CF$2),$F$3:$BP$3,$F222:$BP222))),"""")"),"")</f>
        <v/>
      </c>
      <c r="CH222" s="206"/>
      <c r="CI222" s="251">
        <f>IFERROR(__xludf.DUMMYFUNCTION("AVERAGE(ARRAYFORMULA(XLOOKUP(FILTER(INDIRECT(""'""&amp;CI$1&amp;""'!$C$4:$C$66""),INDIRECT(""'""&amp;CI$1&amp;""'!$D$4:$D$66"")=CI$2),$F$3:$BP$3,$F222:$BP222)))"),-0.2661688466666667)</f>
        <v>-0.2661688467</v>
      </c>
      <c r="CJ222" s="207" t="str">
        <f>IFERROR(__xludf.DUMMYFUNCTION("IF(OR(CI222&gt;$BR222+$BS222*$BS$2,CI222&lt;$BR222-$BS222*$BS$2),AVEDEV(ARRAYFORMULA(XLOOKUP(FILTER(INDIRECT(""'""&amp;CI$1&amp;""'!$C$4:$C$66""),INDIRECT(""'""&amp;CI$1&amp;""'!$D$4:$D$66"")=CI$2),$F$3:$BP$3,$F222:$BP222))),"""")"),"")</f>
        <v/>
      </c>
      <c r="CK222" s="251">
        <f>IFERROR(__xludf.DUMMYFUNCTION("AVERAGE(ARRAYFORMULA(XLOOKUP(FILTER(INDIRECT(""'""&amp;CK$1&amp;""'!$C$4:$C$66""),INDIRECT(""'""&amp;CK$1&amp;""'!$D$4:$D$66"")=CK$2),$F$3:$BP$3,$F222:$BP222)))"),-0.08102372435897438)</f>
        <v>-0.08102372436</v>
      </c>
      <c r="CL222" s="207" t="str">
        <f>IFERROR(__xludf.DUMMYFUNCTION("IF(OR(CK222&gt;$BR222+$BS222*$BS$2,CK222&lt;$BR222-$BS222*$BS$2),AVEDEV(ARRAYFORMULA(XLOOKUP(FILTER(INDIRECT(""'""&amp;CK$1&amp;""'!$C$4:$C$66""),INDIRECT(""'""&amp;CK$1&amp;""'!$D$4:$D$66"")=CK$2),$F$3:$BP$3,$F222:$BP222))),"""")"),"")</f>
        <v/>
      </c>
      <c r="CM222" s="251">
        <f>IFERROR(__xludf.DUMMYFUNCTION("AVERAGE(ARRAYFORMULA(XLOOKUP(FILTER(INDIRECT(""'""&amp;CM$1&amp;""'!$C$4:$C$66""),INDIRECT(""'""&amp;CM$1&amp;""'!$D$4:$D$66"")=CM$2),$F$3:$BP$3,$F222:$BP222)))"),0.25239578199999996)</f>
        <v>0.252395782</v>
      </c>
      <c r="CN222" s="207" t="str">
        <f>IFERROR(__xludf.DUMMYFUNCTION("IF(OR(CM222&gt;$BR222+$BS222*$BS$2,CM222&lt;$BR222-$BS222*$BS$2),AVEDEV(ARRAYFORMULA(XLOOKUP(FILTER(INDIRECT(""'""&amp;CM$1&amp;""'!$C$4:$C$66""),INDIRECT(""'""&amp;CM$1&amp;""'!$D$4:$D$66"")=CM$2),$F$3:$BP$3,$F222:$BP222))),"""")"),"")</f>
        <v/>
      </c>
      <c r="CO222" s="252"/>
      <c r="CP222" s="251">
        <f>IFERROR(__xludf.DUMMYFUNCTION("AVERAGE(ARRAYFORMULA(XLOOKUP(FILTER(INDIRECT(""'""&amp;CP$1&amp;""'!$C$4:$C$66""),INDIRECT(""'""&amp;CP$1&amp;""'!$D$4:$D$66"")=CP$2),$F$3:$BP$3,$F222:$BP222)))"),0.09609743)</f>
        <v>0.09609743</v>
      </c>
      <c r="CQ222" s="207" t="str">
        <f>IFERROR(__xludf.DUMMYFUNCTION("IF(OR(CP222&gt;$BR222+$BS222*$BS$2,CP222&lt;$BR222-$BS222*$BS$2),AVEDEV(ARRAYFORMULA(XLOOKUP(FILTER(INDIRECT(""'""&amp;CP$1&amp;""'!$C$4:$C$66""),INDIRECT(""'""&amp;CP$1&amp;""'!$D$4:$D$66"")=CP$2),$F$3:$BP$3,$F222:$BP222))),"""")"),"")</f>
        <v/>
      </c>
      <c r="CR222" s="251">
        <f>IFERROR(__xludf.DUMMYFUNCTION("AVERAGE(ARRAYFORMULA(XLOOKUP(FILTER(INDIRECT(""'""&amp;CR$1&amp;""'!$C$4:$C$66""),INDIRECT(""'""&amp;CR$1&amp;""'!$D$4:$D$66"")=CR$2),$F$3:$BP$3,$F222:$BP222)))"),0.18364102666666665)</f>
        <v>0.1836410267</v>
      </c>
      <c r="CS222" s="207" t="str">
        <f>IFERROR(__xludf.DUMMYFUNCTION("IF(OR(CR222&gt;$BR222+$BS222*$BS$2,CR222&lt;$BR222-$BS222*$BS$2),AVEDEV(ARRAYFORMULA(XLOOKUP(FILTER(INDIRECT(""'""&amp;CR$1&amp;""'!$C$4:$C$66""),INDIRECT(""'""&amp;CR$1&amp;""'!$D$4:$D$66"")=CR$2),$F$3:$BP$3,$F222:$BP222))),"""")"),"")</f>
        <v/>
      </c>
      <c r="CT222" s="251">
        <f>IFERROR(__xludf.DUMMYFUNCTION("AVERAGE(ARRAYFORMULA(XLOOKUP(FILTER(INDIRECT(""'""&amp;CT$1&amp;""'!$C$4:$C$66""),INDIRECT(""'""&amp;CT$1&amp;""'!$D$4:$D$66"")=CT$2),$F$3:$BP$3,$F222:$BP222)))"),0.06924251909090909)</f>
        <v>0.06924251909</v>
      </c>
      <c r="CU222" s="207" t="str">
        <f>IFERROR(__xludf.DUMMYFUNCTION("IF(OR(CT222&gt;$BR222+$BS222*$BS$2,CT222&lt;$BR222-$BS222*$BS$2),AVEDEV(ARRAYFORMULA(XLOOKUP(FILTER(INDIRECT(""'""&amp;CT$1&amp;""'!$C$4:$C$66""),INDIRECT(""'""&amp;CT$1&amp;""'!$D$4:$D$66"")=CT$2),$F$3:$BP$3,$F222:$BP222))),"""")"),"")</f>
        <v/>
      </c>
      <c r="CV222" s="251">
        <f>IFERROR(__xludf.DUMMYFUNCTION("AVERAGE(ARRAYFORMULA(XLOOKUP(FILTER(INDIRECT(""'""&amp;CV$1&amp;""'!$C$4:$C$66""),INDIRECT(""'""&amp;CV$1&amp;""'!$D$4:$D$66"")=CV$2),$F$3:$BP$3,$F222:$BP222)))"),0.9620410749999999)</f>
        <v>0.962041075</v>
      </c>
      <c r="CW222" s="207">
        <f>IFERROR(__xludf.DUMMYFUNCTION("IF(OR(CV222&gt;$BR222+$BS222*$BS$2,CV222&lt;$BR222-$BS222*$BS$2),AVEDEV(ARRAYFORMULA(XLOOKUP(FILTER(INDIRECT(""'""&amp;CV$1&amp;""'!$C$4:$C$66""),INDIRECT(""'""&amp;CV$1&amp;""'!$D$4:$D$66"")=CV$2),$F$3:$BP$3,$F222:$BP222))),"""")"),0.08214063499999996)</f>
        <v>0.082140635</v>
      </c>
      <c r="CX222" s="251">
        <f>IFERROR(__xludf.DUMMYFUNCTION("AVERAGE(ARRAYFORMULA(XLOOKUP(FILTER(INDIRECT(""'""&amp;CX$1&amp;""'!$C$4:$C$66""),INDIRECT(""'""&amp;CX$1&amp;""'!$D$4:$D$66"")=CX$2),$F$3:$BP$3,$F222:$BP222)))"),-0.5035114278571429)</f>
        <v>-0.5035114279</v>
      </c>
      <c r="CY222" s="207" t="str">
        <f>IFERROR(__xludf.DUMMYFUNCTION("IF(OR(CX222&gt;$BR222+$BS222*$BS$2,CX222&lt;$BR222-$BS222*$BS$2),AVEDEV(ARRAYFORMULA(XLOOKUP(FILTER(INDIRECT(""'""&amp;CX$1&amp;""'!$C$4:$C$66""),INDIRECT(""'""&amp;CX$1&amp;""'!$D$4:$D$66"")=CX$2),$F$3:$BP$3,$F222:$BP222))),"""")"),"")</f>
        <v/>
      </c>
      <c r="CZ222" s="252"/>
      <c r="DA222" s="251">
        <f>IFERROR(__xludf.DUMMYFUNCTION("AVERAGE(ARRAYFORMULA(XLOOKUP(FILTER(INDIRECT(""'""&amp;DA$1&amp;""'!$C$4:$C$66""),INDIRECT(""'""&amp;DA$1&amp;""'!$D$4:$D$66"")=DA$2),$F$3:$BP$3,$F222:$BP222)))"),-0.13391412833333335)</f>
        <v>-0.1339141283</v>
      </c>
      <c r="DB222" s="207" t="str">
        <f>IFERROR(__xludf.DUMMYFUNCTION("IF(OR(DA222&gt;$BR222+$BS222*$BS$2,DA222&lt;$BR222-$BS222*$BS$2),AVEDEV(ARRAYFORMULA(XLOOKUP(FILTER(INDIRECT(""'""&amp;DA$1&amp;""'!$C$4:$C$66""),INDIRECT(""'""&amp;DA$1&amp;""'!$D$4:$D$66"")=DA$2),$F$3:$BP$3,$F222:$BP222))),"""")"),"")</f>
        <v/>
      </c>
      <c r="DC222" s="251">
        <f>IFERROR(__xludf.DUMMYFUNCTION("AVERAGE(ARRAYFORMULA(XLOOKUP(FILTER(INDIRECT(""'""&amp;DC$1&amp;""'!$C$4:$C$66""),INDIRECT(""'""&amp;DC$1&amp;""'!$D$4:$D$66"")=DC$2),$F$3:$BP$3,$F222:$BP222)))"),0.022263721111111093)</f>
        <v>0.02226372111</v>
      </c>
      <c r="DD222" s="207" t="str">
        <f>IFERROR(__xludf.DUMMYFUNCTION("IF(OR(DC222&gt;$BR222+$BS222*$BS$2,DC222&lt;$BR222-$BS222*$BS$2),AVEDEV(ARRAYFORMULA(XLOOKUP(FILTER(INDIRECT(""'""&amp;DC$1&amp;""'!$C$4:$C$66""),INDIRECT(""'""&amp;DC$1&amp;""'!$D$4:$D$66"")=DC$2),$F$3:$BP$3,$F222:$BP222))),"""")"),"")</f>
        <v/>
      </c>
      <c r="DE222" s="251">
        <f>IFERROR(__xludf.DUMMYFUNCTION("AVERAGE(ARRAYFORMULA(XLOOKUP(FILTER(INDIRECT(""'""&amp;DE$1&amp;""'!$C$4:$C$66""),INDIRECT(""'""&amp;DE$1&amp;""'!$D$4:$D$66"")=DE$2),$F$3:$BP$3,$F222:$BP222)))"),-0.6555693787500001)</f>
        <v>-0.6555693788</v>
      </c>
      <c r="DF222" s="207" t="str">
        <f>IFERROR(__xludf.DUMMYFUNCTION("IF(OR(DE222&gt;$BR222+$BS222*$BS$2,DE222&lt;$BR222-$BS222*$BS$2),AVEDEV(ARRAYFORMULA(XLOOKUP(FILTER(INDIRECT(""'""&amp;DE$1&amp;""'!$C$4:$C$66""),INDIRECT(""'""&amp;DE$1&amp;""'!$D$4:$D$66"")=DE$2),$F$3:$BP$3,$F222:$BP222))),"""")"),"")</f>
        <v/>
      </c>
      <c r="DG222" s="251">
        <f>IFERROR(__xludf.DUMMYFUNCTION("AVERAGE(ARRAYFORMULA(XLOOKUP(FILTER(INDIRECT(""'""&amp;DG$1&amp;""'!$C$4:$C$66""),INDIRECT(""'""&amp;DG$1&amp;""'!$D$4:$D$66"")=DG$2),$F$3:$BP$3,$F222:$BP222)))"),0.8586047166666666)</f>
        <v>0.8586047167</v>
      </c>
      <c r="DH222" s="207">
        <f>IFERROR(__xludf.DUMMYFUNCTION("IF(OR(DG222&gt;$BR222+$BS222*$BS$2,DG222&lt;$BR222-$BS222*$BS$2),AVEDEV(ARRAYFORMULA(XLOOKUP(FILTER(INDIRECT(""'""&amp;DG$1&amp;""'!$C$4:$C$66""),INDIRECT(""'""&amp;DG$1&amp;""'!$D$4:$D$66"")=DG$2),$F$3:$BP$3,$F222:$BP222))),"""")"),0.434088517037037)</f>
        <v>0.434088517</v>
      </c>
      <c r="DI222" s="252"/>
    </row>
    <row r="223">
      <c r="A223" s="2"/>
      <c r="B223" s="204" t="s">
        <v>646</v>
      </c>
      <c r="C223" s="204" t="s">
        <v>669</v>
      </c>
      <c r="D223" s="205" t="b">
        <f>VLOOKUP(C223,'Feature Set List'!A220:C246,2,0)</f>
        <v>1</v>
      </c>
      <c r="E223" s="205" t="b">
        <f>VLOOKUP(C223,'Feature Set List'!A220:C246,3,0)</f>
        <v>1</v>
      </c>
      <c r="F223" s="205">
        <v>0.0</v>
      </c>
      <c r="G223" s="205">
        <v>-0.4662522</v>
      </c>
      <c r="H223" s="205">
        <v>-0.9410302</v>
      </c>
      <c r="I223" s="205">
        <v>-0.0563055</v>
      </c>
      <c r="J223" s="205">
        <v>-0.0904085</v>
      </c>
      <c r="K223" s="205">
        <v>0.2642984</v>
      </c>
      <c r="L223" s="205">
        <v>-0.5390764</v>
      </c>
      <c r="M223" s="205">
        <v>-0.3307282</v>
      </c>
      <c r="N223" s="205">
        <v>0.44635879</v>
      </c>
      <c r="O223" s="205">
        <v>-0.0714032</v>
      </c>
      <c r="P223" s="205">
        <v>0.66731794</v>
      </c>
      <c r="Q223" s="205">
        <v>-0.357016</v>
      </c>
      <c r="R223" s="205">
        <v>0.84333925</v>
      </c>
      <c r="S223" s="205">
        <v>-0.1902309</v>
      </c>
      <c r="T223" s="205">
        <v>0.81669627</v>
      </c>
      <c r="U223" s="205">
        <v>1.21989343</v>
      </c>
      <c r="V223" s="205">
        <v>-0.3474245</v>
      </c>
      <c r="W223" s="205">
        <v>13.3690941</v>
      </c>
      <c r="X223" s="205">
        <v>-0.1024867</v>
      </c>
      <c r="Y223" s="205">
        <v>3.07424512</v>
      </c>
      <c r="Z223" s="205">
        <v>2.82380107</v>
      </c>
      <c r="AA223" s="205">
        <v>1.22166963</v>
      </c>
      <c r="AB223" s="205">
        <v>0.25293073</v>
      </c>
      <c r="AC223" s="205">
        <v>-0.1431616</v>
      </c>
      <c r="AD223" s="205">
        <v>1.24120782</v>
      </c>
      <c r="AE223" s="205">
        <v>-0.2259325</v>
      </c>
      <c r="AF223" s="205">
        <v>0.0259325</v>
      </c>
      <c r="AG223" s="205">
        <v>1.17548845</v>
      </c>
      <c r="AH223" s="205">
        <v>-0.3809947</v>
      </c>
      <c r="AI223" s="205">
        <v>-0.7596803</v>
      </c>
      <c r="AJ223" s="205">
        <v>-0.0953819</v>
      </c>
      <c r="AK223" s="205">
        <v>-0.3994671</v>
      </c>
      <c r="AL223" s="205">
        <v>-0.685968</v>
      </c>
      <c r="AM223" s="205">
        <v>-0.168206</v>
      </c>
      <c r="AN223" s="205">
        <v>1.96589698</v>
      </c>
      <c r="AO223" s="205">
        <v>-0.0154529</v>
      </c>
      <c r="AP223" s="205">
        <v>1.20923623</v>
      </c>
      <c r="AQ223" s="205">
        <v>1.9410302</v>
      </c>
      <c r="AR223" s="205">
        <v>0.43854352</v>
      </c>
      <c r="AS223" s="205">
        <v>1.83978686</v>
      </c>
      <c r="AT223" s="205">
        <v>-0.4571936</v>
      </c>
      <c r="AU223" s="205">
        <v>-0.0273535</v>
      </c>
      <c r="AV223" s="205">
        <v>-0.6618117</v>
      </c>
      <c r="AW223" s="205">
        <v>0.48827709</v>
      </c>
      <c r="AX223" s="205">
        <v>0.71190053</v>
      </c>
      <c r="AY223" s="205">
        <v>0.35257549</v>
      </c>
      <c r="AZ223" s="205">
        <v>-0.3932504</v>
      </c>
      <c r="BA223" s="205">
        <v>3.52007105</v>
      </c>
      <c r="BB223" s="205">
        <v>0.05079929</v>
      </c>
      <c r="BC223" s="205">
        <v>-0.5412078</v>
      </c>
      <c r="BD223" s="205">
        <v>0.0259325</v>
      </c>
      <c r="BE223" s="205">
        <v>0.60852575</v>
      </c>
      <c r="BF223" s="205">
        <v>-0.2900533</v>
      </c>
      <c r="BG223" s="205">
        <v>-0.2694494</v>
      </c>
      <c r="BH223" s="205">
        <v>-0.1850799</v>
      </c>
      <c r="BI223" s="205">
        <v>0.1964476</v>
      </c>
      <c r="BJ223" s="205">
        <v>0.18419183</v>
      </c>
      <c r="BK223" s="205">
        <v>-1.0571936</v>
      </c>
      <c r="BL223" s="205">
        <v>3.29271758</v>
      </c>
      <c r="BM223" s="205">
        <v>-0.6813499</v>
      </c>
      <c r="BN223" s="205">
        <v>0.07726465</v>
      </c>
      <c r="BO223" s="205">
        <v>-0.1003552</v>
      </c>
      <c r="BP223" s="205">
        <v>0.12397869</v>
      </c>
      <c r="BQ223" s="206"/>
      <c r="BR223" s="250">
        <f t="shared" si="1"/>
        <v>0.5307705356</v>
      </c>
      <c r="BS223" s="250">
        <f t="shared" si="2"/>
        <v>1.015493607</v>
      </c>
      <c r="BT223" s="206"/>
      <c r="BU223" s="207">
        <f>IFERROR(__xludf.DUMMYFUNCTION("AVERAGE(ARRAYFORMULA(XLOOKUP(FILTER(INDIRECT(""'""&amp;BU$1&amp;""'!$C$4:$C$66""),INDIRECT(""'""&amp;BU$1&amp;""'!$D$4:$D$66"")=BU$2),$F$3:$BP$3,$F223:$BP223)))"),2.7646282614285718)</f>
        <v>2.764628261</v>
      </c>
      <c r="BV223" s="207">
        <f>IFERROR(__xludf.DUMMYFUNCTION("IF(OR(BU223&gt;$BR223+$BS223*$BS$2,BU223&lt;$BR223-$BS223*$BS$2),AVEDEV(ARRAYFORMULA(XLOOKUP(FILTER(INDIRECT(""'""&amp;BU$1&amp;""'!$C$4:$C$66""),INDIRECT(""'""&amp;BU$1&amp;""'!$D$4:$D$66"")=BU$2),$F$3:$BP$3,$F223:$BP223))),"""")"),3.2456881791836736)</f>
        <v>3.245688179</v>
      </c>
      <c r="BW223" s="207">
        <f>IFERROR(__xludf.DUMMYFUNCTION("AVERAGE(ARRAYFORMULA(XLOOKUP(FILTER(INDIRECT(""'""&amp;BW$1&amp;""'!$C$4:$C$66""),INDIRECT(""'""&amp;BW$1&amp;""'!$D$4:$D$66"")=BW$2),$F$3:$BP$3,$F223:$BP223)))"),0.33299501523809516)</f>
        <v>0.3329950152</v>
      </c>
      <c r="BX223" s="207" t="str">
        <f>IFERROR(__xludf.DUMMYFUNCTION("IF(OR(BW223&gt;$BR223+$BS223*$BS$2,BW223&lt;$BR223-$BS223*$BS$2),AVEDEV(ARRAYFORMULA(XLOOKUP(FILTER(INDIRECT(""'""&amp;BW$1&amp;""'!$C$4:$C$66""),INDIRECT(""'""&amp;BW$1&amp;""'!$D$4:$D$66"")=BW$2),$F$3:$BP$3,$F223:$BP223))),"""")"),"")</f>
        <v/>
      </c>
      <c r="BY223" s="207">
        <f>IFERROR(__xludf.DUMMYFUNCTION("AVERAGE(ARRAYFORMULA(XLOOKUP(FILTER(INDIRECT(""'""&amp;BY$1&amp;""'!$C$4:$C$66""),INDIRECT(""'""&amp;BY$1&amp;""'!$D$4:$D$66"")=BY$2),$F$3:$BP$3,$F223:$BP223)))"),0.18543517000000007)</f>
        <v>0.18543517</v>
      </c>
      <c r="BZ223" s="207" t="str">
        <f>IFERROR(__xludf.DUMMYFUNCTION("IF(OR(BY223&gt;$BR223+$BS223*$BS$2,BY223&lt;$BR223-$BS223*$BS$2),AVEDEV(ARRAYFORMULA(XLOOKUP(FILTER(INDIRECT(""'""&amp;BY$1&amp;""'!$C$4:$C$66""),INDIRECT(""'""&amp;BY$1&amp;""'!$D$4:$D$66"")=BY$2),$F$3:$BP$3,$F223:$BP223))),"""")"),"")</f>
        <v/>
      </c>
      <c r="CA223" s="209"/>
      <c r="CB223" s="207">
        <f>IFERROR(__xludf.DUMMYFUNCTION("AVERAGE(ARRAYFORMULA(XLOOKUP(FILTER(INDIRECT(""'""&amp;CB$1&amp;""'!$C$4:$C$66""),INDIRECT(""'""&amp;CB$1&amp;""'!$D$4:$D$66"")=CB$2),$F$3:$BP$3,$F223:$BP223)))"),0.524000894375)</f>
        <v>0.5240008944</v>
      </c>
      <c r="CC223" s="207" t="str">
        <f>IFERROR(__xludf.DUMMYFUNCTION("IF(OR(CB223&gt;$BR223+$BS223*$BS$2,CB223&lt;$BR223-$BS223*$BS$2),AVEDEV(ARRAYFORMULA(XLOOKUP(FILTER(INDIRECT(""'""&amp;CB$1&amp;""'!$C$4:$C$66""),INDIRECT(""'""&amp;CB$1&amp;""'!$D$4:$D$66"")=CB$2),$F$3:$BP$3,$F223:$BP223))),"""")"),"")</f>
        <v/>
      </c>
      <c r="CD223" s="207">
        <f>IFERROR(__xludf.DUMMYFUNCTION("AVERAGE(ARRAYFORMULA(XLOOKUP(FILTER(INDIRECT(""'""&amp;CD$1&amp;""'!$C$4:$C$66""),INDIRECT(""'""&amp;CD$1&amp;""'!$D$4:$D$66"")=CD$2),$F$3:$BP$3,$F223:$BP223)))"),0.23946026806451612)</f>
        <v>0.2394602681</v>
      </c>
      <c r="CE223" s="207" t="str">
        <f>IFERROR(__xludf.DUMMYFUNCTION("IF(OR(CD223&gt;$BR223+$BS223*$BS$2,CD223&lt;$BR223-$BS223*$BS$2),AVEDEV(ARRAYFORMULA(XLOOKUP(FILTER(INDIRECT(""'""&amp;CD$1&amp;""'!$C$4:$C$66""),INDIRECT(""'""&amp;CD$1&amp;""'!$D$4:$D$66"")=CD$2),$F$3:$BP$3,$F223:$BP223))),"""")"),"")</f>
        <v/>
      </c>
      <c r="CF223" s="207">
        <f>IFERROR(__xludf.DUMMYFUNCTION("AVERAGE(ARRAYFORMULA(XLOOKUP(FILTER(INDIRECT(""'""&amp;CF$1&amp;""'!$C$4:$C$66""),INDIRECT(""'""&amp;CF$1&amp;""'!$D$4:$D$66"")=CF$2),$F$3:$BP$3,$F223:$BP223)))"),-0.101278856)</f>
        <v>-0.101278856</v>
      </c>
      <c r="CG223" s="207" t="str">
        <f>IFERROR(__xludf.DUMMYFUNCTION("IF(OR(CF223&gt;$BR223+$BS223*$BS$2,CF223&lt;$BR223-$BS223*$BS$2),AVEDEV(ARRAYFORMULA(XLOOKUP(FILTER(INDIRECT(""'""&amp;CF$1&amp;""'!$C$4:$C$66""),INDIRECT(""'""&amp;CF$1&amp;""'!$D$4:$D$66"")=CF$2),$F$3:$BP$3,$F223:$BP223))),"""")"),"")</f>
        <v/>
      </c>
      <c r="CH223" s="206"/>
      <c r="CI223" s="251">
        <f>IFERROR(__xludf.DUMMYFUNCTION("AVERAGE(ARRAYFORMULA(XLOOKUP(FILTER(INDIRECT(""'""&amp;CI$1&amp;""'!$C$4:$C$66""),INDIRECT(""'""&amp;CI$1&amp;""'!$D$4:$D$66"")=CI$2),$F$3:$BP$3,$F223:$BP223)))"),1.9482297206666666)</f>
        <v>1.948229721</v>
      </c>
      <c r="CJ223" s="207">
        <f>IFERROR(__xludf.DUMMYFUNCTION("IF(OR(CI223&gt;$BR223+$BS223*$BS$2,CI223&lt;$BR223-$BS223*$BS$2),AVEDEV(ARRAYFORMULA(XLOOKUP(FILTER(INDIRECT(""'""&amp;CI$1&amp;""'!$C$4:$C$66""),INDIRECT(""'""&amp;CI$1&amp;""'!$D$4:$D$66"")=CI$2),$F$3:$BP$3,$F223:$BP223))),"""")"),2.0283686556444445)</f>
        <v>2.028368656</v>
      </c>
      <c r="CK223" s="251">
        <f>IFERROR(__xludf.DUMMYFUNCTION("AVERAGE(ARRAYFORMULA(XLOOKUP(FILTER(INDIRECT(""'""&amp;CK$1&amp;""'!$C$4:$C$66""),INDIRECT(""'""&amp;CK$1&amp;""'!$D$4:$D$66"")=CK$2),$F$3:$BP$3,$F223:$BP223)))"),0.19790044641025636)</f>
        <v>0.1979004464</v>
      </c>
      <c r="CL223" s="207" t="str">
        <f>IFERROR(__xludf.DUMMYFUNCTION("IF(OR(CK223&gt;$BR223+$BS223*$BS$2,CK223&lt;$BR223-$BS223*$BS$2),AVEDEV(ARRAYFORMULA(XLOOKUP(FILTER(INDIRECT(""'""&amp;CK$1&amp;""'!$C$4:$C$66""),INDIRECT(""'""&amp;CK$1&amp;""'!$D$4:$D$66"")=CK$2),$F$3:$BP$3,$F223:$BP223))),"""")"),"")</f>
        <v/>
      </c>
      <c r="CM223" s="251">
        <f>IFERROR(__xludf.DUMMYFUNCTION("AVERAGE(ARRAYFORMULA(XLOOKUP(FILTER(INDIRECT(""'""&amp;CM$1&amp;""'!$C$4:$C$66""),INDIRECT(""'""&amp;CM$1&amp;""'!$D$4:$D$66"")=CM$2),$F$3:$BP$3,$F223:$BP223)))"),-0.101278856)</f>
        <v>-0.101278856</v>
      </c>
      <c r="CN223" s="207" t="str">
        <f>IFERROR(__xludf.DUMMYFUNCTION("IF(OR(CM223&gt;$BR223+$BS223*$BS$2,CM223&lt;$BR223-$BS223*$BS$2),AVEDEV(ARRAYFORMULA(XLOOKUP(FILTER(INDIRECT(""'""&amp;CM$1&amp;""'!$C$4:$C$66""),INDIRECT(""'""&amp;CM$1&amp;""'!$D$4:$D$66"")=CM$2),$F$3:$BP$3,$F223:$BP223))),"""")"),"")</f>
        <v/>
      </c>
      <c r="CO223" s="252"/>
      <c r="CP223" s="251">
        <f>IFERROR(__xludf.DUMMYFUNCTION("AVERAGE(ARRAYFORMULA(XLOOKUP(FILTER(INDIRECT(""'""&amp;CP$1&amp;""'!$C$4:$C$66""),INDIRECT(""'""&amp;CP$1&amp;""'!$D$4:$D$66"")=CP$2),$F$3:$BP$3,$F223:$BP223)))"),0.14875666857142858)</f>
        <v>0.1487566686</v>
      </c>
      <c r="CQ223" s="207" t="str">
        <f>IFERROR(__xludf.DUMMYFUNCTION("IF(OR(CP223&gt;$BR223+$BS223*$BS$2,CP223&lt;$BR223-$BS223*$BS$2),AVEDEV(ARRAYFORMULA(XLOOKUP(FILTER(INDIRECT(""'""&amp;CP$1&amp;""'!$C$4:$C$66""),INDIRECT(""'""&amp;CP$1&amp;""'!$D$4:$D$66"")=CP$2),$F$3:$BP$3,$F223:$BP223))),"""")"),"")</f>
        <v/>
      </c>
      <c r="CR223" s="251">
        <f>IFERROR(__xludf.DUMMYFUNCTION("AVERAGE(ARRAYFORMULA(XLOOKUP(FILTER(INDIRECT(""'""&amp;CR$1&amp;""'!$C$4:$C$66""),INDIRECT(""'""&amp;CR$1&amp;""'!$D$4:$D$66"")=CR$2),$F$3:$BP$3,$F223:$BP223)))"),-0.1783895777777778)</f>
        <v>-0.1783895778</v>
      </c>
      <c r="CS223" s="207" t="str">
        <f>IFERROR(__xludf.DUMMYFUNCTION("IF(OR(CR223&gt;$BR223+$BS223*$BS$2,CR223&lt;$BR223-$BS223*$BS$2),AVEDEV(ARRAYFORMULA(XLOOKUP(FILTER(INDIRECT(""'""&amp;CR$1&amp;""'!$C$4:$C$66""),INDIRECT(""'""&amp;CR$1&amp;""'!$D$4:$D$66"")=CR$2),$F$3:$BP$3,$F223:$BP223))),"""")"),"")</f>
        <v/>
      </c>
      <c r="CT223" s="251">
        <f>IFERROR(__xludf.DUMMYFUNCTION("AVERAGE(ARRAYFORMULA(XLOOKUP(FILTER(INDIRECT(""'""&amp;CT$1&amp;""'!$C$4:$C$66""),INDIRECT(""'""&amp;CT$1&amp;""'!$D$4:$D$66"")=CT$2),$F$3:$BP$3,$F223:$BP223)))"),0.6894073936363637)</f>
        <v>0.6894073936</v>
      </c>
      <c r="CU223" s="207" t="str">
        <f>IFERROR(__xludf.DUMMYFUNCTION("IF(OR(CT223&gt;$BR223+$BS223*$BS$2,CT223&lt;$BR223-$BS223*$BS$2),AVEDEV(ARRAYFORMULA(XLOOKUP(FILTER(INDIRECT(""'""&amp;CT$1&amp;""'!$C$4:$C$66""),INDIRECT(""'""&amp;CT$1&amp;""'!$D$4:$D$66"")=CT$2),$F$3:$BP$3,$F223:$BP223))),"""")"),"")</f>
        <v/>
      </c>
      <c r="CV223" s="251">
        <f>IFERROR(__xludf.DUMMYFUNCTION("AVERAGE(ARRAYFORMULA(XLOOKUP(FILTER(INDIRECT(""'""&amp;CV$1&amp;""'!$C$4:$C$66""),INDIRECT(""'""&amp;CV$1&amp;""'!$D$4:$D$66"")=CV$2),$F$3:$BP$3,$F223:$BP223)))"),-0.2063055)</f>
        <v>-0.2063055</v>
      </c>
      <c r="CW223" s="207" t="str">
        <f>IFERROR(__xludf.DUMMYFUNCTION("IF(OR(CV223&gt;$BR223+$BS223*$BS$2,CV223&lt;$BR223-$BS223*$BS$2),AVEDEV(ARRAYFORMULA(XLOOKUP(FILTER(INDIRECT(""'""&amp;CV$1&amp;""'!$C$4:$C$66""),INDIRECT(""'""&amp;CV$1&amp;""'!$D$4:$D$66"")=CV$2),$F$3:$BP$3,$F223:$BP223))),"""")"),"")</f>
        <v/>
      </c>
      <c r="CX223" s="251">
        <f>IFERROR(__xludf.DUMMYFUNCTION("AVERAGE(ARRAYFORMULA(XLOOKUP(FILTER(INDIRECT(""'""&amp;CX$1&amp;""'!$C$4:$C$66""),INDIRECT(""'""&amp;CX$1&amp;""'!$D$4:$D$66"")=CX$2),$F$3:$BP$3,$F223:$BP223)))"),0.33834053000000003)</f>
        <v>0.33834053</v>
      </c>
      <c r="CY223" s="207" t="str">
        <f>IFERROR(__xludf.DUMMYFUNCTION("IF(OR(CX223&gt;$BR223+$BS223*$BS$2,CX223&lt;$BR223-$BS223*$BS$2),AVEDEV(ARRAYFORMULA(XLOOKUP(FILTER(INDIRECT(""'""&amp;CX$1&amp;""'!$C$4:$C$66""),INDIRECT(""'""&amp;CX$1&amp;""'!$D$4:$D$66"")=CX$2),$F$3:$BP$3,$F223:$BP223))),"""")"),"")</f>
        <v/>
      </c>
      <c r="CZ223" s="252"/>
      <c r="DA223" s="251">
        <f>IFERROR(__xludf.DUMMYFUNCTION("AVERAGE(ARRAYFORMULA(XLOOKUP(FILTER(INDIRECT(""'""&amp;DA$1&amp;""'!$C$4:$C$66""),INDIRECT(""'""&amp;DA$1&amp;""'!$D$4:$D$66"")=DA$2),$F$3:$BP$3,$F223:$BP223)))"),0.48490823699999996)</f>
        <v>0.484908237</v>
      </c>
      <c r="DB223" s="207" t="str">
        <f>IFERROR(__xludf.DUMMYFUNCTION("IF(OR(DA223&gt;$BR223+$BS223*$BS$2,DA223&lt;$BR223-$BS223*$BS$2),AVEDEV(ARRAYFORMULA(XLOOKUP(FILTER(INDIRECT(""'""&amp;DA$1&amp;""'!$C$4:$C$66""),INDIRECT(""'""&amp;DA$1&amp;""'!$D$4:$D$66"")=DA$2),$F$3:$BP$3,$F223:$BP223))),"""")"),"")</f>
        <v/>
      </c>
      <c r="DC223" s="251">
        <f>IFERROR(__xludf.DUMMYFUNCTION("AVERAGE(ARRAYFORMULA(XLOOKUP(FILTER(INDIRECT(""'""&amp;DC$1&amp;""'!$C$4:$C$66""),INDIRECT(""'""&amp;DC$1&amp;""'!$D$4:$D$66"")=DC$2),$F$3:$BP$3,$F223:$BP223)))"),0.2209196755555556)</f>
        <v>0.2209196756</v>
      </c>
      <c r="DD223" s="207" t="str">
        <f>IFERROR(__xludf.DUMMYFUNCTION("IF(OR(DC223&gt;$BR223+$BS223*$BS$2,DC223&lt;$BR223-$BS223*$BS$2),AVEDEV(ARRAYFORMULA(XLOOKUP(FILTER(INDIRECT(""'""&amp;DC$1&amp;""'!$C$4:$C$66""),INDIRECT(""'""&amp;DC$1&amp;""'!$D$4:$D$66"")=DC$2),$F$3:$BP$3,$F223:$BP223))),"""")"),"")</f>
        <v/>
      </c>
      <c r="DE223" s="251">
        <f>IFERROR(__xludf.DUMMYFUNCTION("AVERAGE(ARRAYFORMULA(XLOOKUP(FILTER(INDIRECT(""'""&amp;DE$1&amp;""'!$C$4:$C$66""),INDIRECT(""'""&amp;DE$1&amp;""'!$D$4:$D$66"")=DE$2),$F$3:$BP$3,$F223:$BP223)))"),0.6097468875000001)</f>
        <v>0.6097468875</v>
      </c>
      <c r="DF223" s="207" t="str">
        <f>IFERROR(__xludf.DUMMYFUNCTION("IF(OR(DE223&gt;$BR223+$BS223*$BS$2,DE223&lt;$BR223-$BS223*$BS$2),AVEDEV(ARRAYFORMULA(XLOOKUP(FILTER(INDIRECT(""'""&amp;DE$1&amp;""'!$C$4:$C$66""),INDIRECT(""'""&amp;DE$1&amp;""'!$D$4:$D$66"")=DE$2),$F$3:$BP$3,$F223:$BP223))),"""")"),"")</f>
        <v/>
      </c>
      <c r="DG223" s="251">
        <f>IFERROR(__xludf.DUMMYFUNCTION("AVERAGE(ARRAYFORMULA(XLOOKUP(FILTER(INDIRECT(""'""&amp;DG$1&amp;""'!$C$4:$C$66""),INDIRECT(""'""&amp;DG$1&amp;""'!$D$4:$D$66"")=DG$2),$F$3:$BP$3,$F223:$BP223)))"),-0.25048351444444444)</f>
        <v>-0.2504835144</v>
      </c>
      <c r="DH223" s="207" t="str">
        <f>IFERROR(__xludf.DUMMYFUNCTION("IF(OR(DG223&gt;$BR223+$BS223*$BS$2,DG223&lt;$BR223-$BS223*$BS$2),AVEDEV(ARRAYFORMULA(XLOOKUP(FILTER(INDIRECT(""'""&amp;DG$1&amp;""'!$C$4:$C$66""),INDIRECT(""'""&amp;DG$1&amp;""'!$D$4:$D$66"")=DG$2),$F$3:$BP$3,$F223:$BP223))),"""")"),"")</f>
        <v/>
      </c>
      <c r="DI223" s="252"/>
    </row>
    <row r="224">
      <c r="A224" s="2"/>
      <c r="B224" s="204" t="s">
        <v>646</v>
      </c>
      <c r="C224" s="204" t="s">
        <v>670</v>
      </c>
      <c r="D224" s="205" t="b">
        <f>VLOOKUP(C224,'Feature Set List'!A221:C246,2,0)</f>
        <v>1</v>
      </c>
      <c r="E224" s="205" t="b">
        <f>VLOOKUP(C224,'Feature Set List'!A221:C246,3,0)</f>
        <v>1</v>
      </c>
      <c r="F224" s="205">
        <v>-0.6776476</v>
      </c>
      <c r="G224" s="205">
        <v>0.04873477</v>
      </c>
      <c r="H224" s="205">
        <v>0.38378632</v>
      </c>
      <c r="I224" s="205">
        <v>0.72071228</v>
      </c>
      <c r="J224" s="205">
        <v>0.00609185</v>
      </c>
      <c r="K224" s="205">
        <v>0.26897844</v>
      </c>
      <c r="L224" s="205">
        <v>-0.5862231</v>
      </c>
      <c r="M224" s="205">
        <v>4.56888472</v>
      </c>
      <c r="N224" s="205">
        <v>0.01077788</v>
      </c>
      <c r="O224" s="205">
        <v>-0.1190253</v>
      </c>
      <c r="P224" s="205">
        <v>0.05014058</v>
      </c>
      <c r="Q224" s="205">
        <v>0.52905342</v>
      </c>
      <c r="R224" s="205">
        <v>0.62277413</v>
      </c>
      <c r="S224" s="205">
        <v>-0.2314902</v>
      </c>
      <c r="T224" s="205">
        <v>7.50234302</v>
      </c>
      <c r="U224" s="205">
        <v>1.67619494</v>
      </c>
      <c r="V224" s="205">
        <v>-0.5684161</v>
      </c>
      <c r="W224" s="205">
        <v>3.78163074</v>
      </c>
      <c r="X224" s="205">
        <v>-0.3317713</v>
      </c>
      <c r="Y224" s="205">
        <v>2.13495783</v>
      </c>
      <c r="Z224" s="205">
        <v>0.76522962</v>
      </c>
      <c r="AA224" s="205">
        <v>-0.0913777</v>
      </c>
      <c r="AB224" s="205">
        <v>-0.2052484</v>
      </c>
      <c r="AC224" s="205">
        <v>-0.8460169</v>
      </c>
      <c r="AD224" s="205">
        <v>1.37535145</v>
      </c>
      <c r="AE224" s="205">
        <v>-0.2239925</v>
      </c>
      <c r="AF224" s="205">
        <v>-0.1073102</v>
      </c>
      <c r="AG224" s="205">
        <v>-0.0534208</v>
      </c>
      <c r="AH224" s="205">
        <v>-0.4784442</v>
      </c>
      <c r="AI224" s="205">
        <v>-1.0871603</v>
      </c>
      <c r="AJ224" s="205">
        <v>-0.0721649</v>
      </c>
      <c r="AK224" s="205">
        <v>0.13964386</v>
      </c>
      <c r="AL224" s="205">
        <v>-0.5276476</v>
      </c>
      <c r="AM224" s="205">
        <v>-0.0149953</v>
      </c>
      <c r="AN224" s="205">
        <v>1.50515464</v>
      </c>
      <c r="AO224" s="205">
        <v>-0.262418</v>
      </c>
      <c r="AP224" s="205">
        <v>-0.5782568</v>
      </c>
      <c r="AQ224" s="205">
        <v>3.0262418</v>
      </c>
      <c r="AR224" s="205">
        <v>-0.1869728</v>
      </c>
      <c r="AS224" s="205">
        <v>0.5656045</v>
      </c>
      <c r="AT224" s="205">
        <v>-1.0871603</v>
      </c>
      <c r="AU224" s="205">
        <v>-0.3580131</v>
      </c>
      <c r="AV224" s="205">
        <v>2.59512652</v>
      </c>
      <c r="AW224" s="205">
        <v>1.21368322</v>
      </c>
      <c r="AX224" s="205">
        <v>1.868791</v>
      </c>
      <c r="AY224" s="205">
        <v>0.50187441</v>
      </c>
      <c r="AZ224" s="205">
        <v>-0.5735708</v>
      </c>
      <c r="BA224" s="205">
        <v>2.49578257</v>
      </c>
      <c r="BB224" s="205">
        <v>-0.1799438</v>
      </c>
      <c r="BC224" s="205">
        <v>-0.5426429</v>
      </c>
      <c r="BD224" s="205">
        <v>2.6846298</v>
      </c>
      <c r="BE224" s="205">
        <v>0.19119025</v>
      </c>
      <c r="BF224" s="205">
        <v>-0.549672</v>
      </c>
      <c r="BG224" s="205">
        <v>-0.8793346</v>
      </c>
      <c r="BH224" s="205">
        <v>-0.0388941</v>
      </c>
      <c r="BI224" s="205">
        <v>-0.3233365</v>
      </c>
      <c r="BJ224" s="205">
        <v>0.0</v>
      </c>
      <c r="BK224" s="205">
        <v>5.10777882</v>
      </c>
      <c r="BL224" s="205">
        <v>0.6846298</v>
      </c>
      <c r="BM224" s="205">
        <v>-0.2713215</v>
      </c>
      <c r="BN224" s="205">
        <v>0.47656982</v>
      </c>
      <c r="BO224" s="205">
        <v>-0.0398313</v>
      </c>
      <c r="BP224" s="205">
        <v>0.0660731</v>
      </c>
      <c r="BQ224" s="206"/>
      <c r="BR224" s="250">
        <f t="shared" si="1"/>
        <v>0.5630904</v>
      </c>
      <c r="BS224" s="250">
        <f t="shared" si="2"/>
        <v>1.085612184</v>
      </c>
      <c r="BT224" s="206"/>
      <c r="BU224" s="207">
        <f>IFERROR(__xludf.DUMMYFUNCTION("AVERAGE(ARRAYFORMULA(XLOOKUP(FILTER(INDIRECT(""'""&amp;BU$1&amp;""'!$C$4:$C$66""),INDIRECT(""'""&amp;BU$1&amp;""'!$D$4:$D$66"")=BU$2),$F$3:$BP$3,$F224:$BP224)))"),3.563730084285715)</f>
        <v>3.563730084</v>
      </c>
      <c r="BV224" s="207">
        <f>IFERROR(__xludf.DUMMYFUNCTION("IF(OR(BU224&gt;$BR224+$BS224*$BS$2,BU224&lt;$BR224-$BS224*$BS$2),AVEDEV(ARRAYFORMULA(XLOOKUP(FILTER(INDIRECT(""'""&amp;BU$1&amp;""'!$C$4:$C$66""),INDIRECT(""'""&amp;BU$1&amp;""'!$D$4:$D$66"")=BU$2),$F$3:$BP$3,$F224:$BP224))),"""")"),1.6287320934693879)</f>
        <v>1.628732093</v>
      </c>
      <c r="BW224" s="207">
        <f>IFERROR(__xludf.DUMMYFUNCTION("AVERAGE(ARRAYFORMULA(XLOOKUP(FILTER(INDIRECT(""'""&amp;BW$1&amp;""'!$C$4:$C$66""),INDIRECT(""'""&amp;BW$1&amp;""'!$D$4:$D$66"")=BW$2),$F$3:$BP$3,$F224:$BP224)))"),0.32455370809523804)</f>
        <v>0.3245537081</v>
      </c>
      <c r="BX224" s="207" t="str">
        <f>IFERROR(__xludf.DUMMYFUNCTION("IF(OR(BW224&gt;$BR224+$BS224*$BS$2,BW224&lt;$BR224-$BS224*$BS$2),AVEDEV(ARRAYFORMULA(XLOOKUP(FILTER(INDIRECT(""'""&amp;BW$1&amp;""'!$C$4:$C$66""),INDIRECT(""'""&amp;BW$1&amp;""'!$D$4:$D$66"")=BW$2),$F$3:$BP$3,$F224:$BP224))),"""")"),"")</f>
        <v/>
      </c>
      <c r="BY224" s="207">
        <f>IFERROR(__xludf.DUMMYFUNCTION("AVERAGE(ARRAYFORMULA(XLOOKUP(FILTER(INDIRECT(""'""&amp;BY$1&amp;""'!$C$4:$C$66""),INDIRECT(""'""&amp;BY$1&amp;""'!$D$4:$D$66"")=BY$2),$F$3:$BP$3,$F224:$BP224)))"),-0.16878675)</f>
        <v>-0.16878675</v>
      </c>
      <c r="BZ224" s="207" t="str">
        <f>IFERROR(__xludf.DUMMYFUNCTION("IF(OR(BY224&gt;$BR224+$BS224*$BS$2,BY224&lt;$BR224-$BS224*$BS$2),AVEDEV(ARRAYFORMULA(XLOOKUP(FILTER(INDIRECT(""'""&amp;BY$1&amp;""'!$C$4:$C$66""),INDIRECT(""'""&amp;BY$1&amp;""'!$D$4:$D$66"")=BY$2),$F$3:$BP$3,$F224:$BP224))),"""")"),"")</f>
        <v/>
      </c>
      <c r="CA224" s="209"/>
      <c r="CB224" s="207">
        <f>IFERROR(__xludf.DUMMYFUNCTION("AVERAGE(ARRAYFORMULA(XLOOKUP(FILTER(INDIRECT(""'""&amp;CB$1&amp;""'!$C$4:$C$66""),INDIRECT(""'""&amp;CB$1&amp;""'!$D$4:$D$66"")=CB$2),$F$3:$BP$3,$F224:$BP224)))"),1.2654639231250002)</f>
        <v>1.265463923</v>
      </c>
      <c r="CC224" s="207" t="str">
        <f>IFERROR(__xludf.DUMMYFUNCTION("IF(OR(CB224&gt;$BR224+$BS224*$BS$2,CB224&lt;$BR224-$BS224*$BS$2),AVEDEV(ARRAYFORMULA(XLOOKUP(FILTER(INDIRECT(""'""&amp;CB$1&amp;""'!$C$4:$C$66""),INDIRECT(""'""&amp;CB$1&amp;""'!$D$4:$D$66"")=CB$2),$F$3:$BP$3,$F224:$BP224))),"""")"),"")</f>
        <v/>
      </c>
      <c r="CD224" s="207">
        <f>IFERROR(__xludf.DUMMYFUNCTION("AVERAGE(ARRAYFORMULA(XLOOKUP(FILTER(INDIRECT(""'""&amp;CD$1&amp;""'!$C$4:$C$66""),INDIRECT(""'""&amp;CD$1&amp;""'!$D$4:$D$66"")=CD$2),$F$3:$BP$3,$F224:$BP224)))"),0.09728965064516128)</f>
        <v>0.09728965065</v>
      </c>
      <c r="CE224" s="207" t="str">
        <f>IFERROR(__xludf.DUMMYFUNCTION("IF(OR(CD224&gt;$BR224+$BS224*$BS$2,CD224&lt;$BR224-$BS224*$BS$2),AVEDEV(ARRAYFORMULA(XLOOKUP(FILTER(INDIRECT(""'""&amp;CD$1&amp;""'!$C$4:$C$66""),INDIRECT(""'""&amp;CD$1&amp;""'!$D$4:$D$66"")=CD$2),$F$3:$BP$3,$F224:$BP224))),"""")"),"")</f>
        <v/>
      </c>
      <c r="CF224" s="207">
        <f>IFERROR(__xludf.DUMMYFUNCTION("AVERAGE(ARRAYFORMULA(XLOOKUP(FILTER(INDIRECT(""'""&amp;CF$1&amp;""'!$C$4:$C$66""),INDIRECT(""'""&amp;CF$1&amp;""'!$D$4:$D$66"")=CF$2),$F$3:$BP$3,$F224:$BP224)))"),-0.33214622)</f>
        <v>-0.33214622</v>
      </c>
      <c r="CG224" s="207" t="str">
        <f>IFERROR(__xludf.DUMMYFUNCTION("IF(OR(CF224&gt;$BR224+$BS224*$BS$2,CF224&lt;$BR224-$BS224*$BS$2),AVEDEV(ARRAYFORMULA(XLOOKUP(FILTER(INDIRECT(""'""&amp;CF$1&amp;""'!$C$4:$C$66""),INDIRECT(""'""&amp;CF$1&amp;""'!$D$4:$D$66"")=CF$2),$F$3:$BP$3,$F224:$BP224))),"""")"),"")</f>
        <v/>
      </c>
      <c r="CH224" s="206"/>
      <c r="CI224" s="251">
        <f>IFERROR(__xludf.DUMMYFUNCTION("AVERAGE(ARRAYFORMULA(XLOOKUP(FILTER(INDIRECT(""'""&amp;CI$1&amp;""'!$C$4:$C$66""),INDIRECT(""'""&amp;CI$1&amp;""'!$D$4:$D$66"")=CI$2),$F$3:$BP$3,$F224:$BP224)))"),1.5694126826666668)</f>
        <v>1.569412683</v>
      </c>
      <c r="CJ224" s="207" t="str">
        <f>IFERROR(__xludf.DUMMYFUNCTION("IF(OR(CI224&gt;$BR224+$BS224*$BS$2,CI224&lt;$BR224-$BS224*$BS$2),AVEDEV(ARRAYFORMULA(XLOOKUP(FILTER(INDIRECT(""'""&amp;CI$1&amp;""'!$C$4:$C$66""),INDIRECT(""'""&amp;CI$1&amp;""'!$D$4:$D$66"")=CI$2),$F$3:$BP$3,$F224:$BP224))),"""")"),"")</f>
        <v/>
      </c>
      <c r="CK224" s="251">
        <f>IFERROR(__xludf.DUMMYFUNCTION("AVERAGE(ARRAYFORMULA(XLOOKUP(FILTER(INDIRECT(""'""&amp;CK$1&amp;""'!$C$4:$C$66""),INDIRECT(""'""&amp;CK$1&amp;""'!$D$4:$D$66"")=CK$2),$F$3:$BP$3,$F224:$BP224)))"),0.24955061846153845)</f>
        <v>0.2495506185</v>
      </c>
      <c r="CL224" s="207" t="str">
        <f>IFERROR(__xludf.DUMMYFUNCTION("IF(OR(CK224&gt;$BR224+$BS224*$BS$2,CK224&lt;$BR224-$BS224*$BS$2),AVEDEV(ARRAYFORMULA(XLOOKUP(FILTER(INDIRECT(""'""&amp;CK$1&amp;""'!$C$4:$C$66""),INDIRECT(""'""&amp;CK$1&amp;""'!$D$4:$D$66"")=CK$2),$F$3:$BP$3,$F224:$BP224))),"""")"),"")</f>
        <v/>
      </c>
      <c r="CM224" s="251">
        <f>IFERROR(__xludf.DUMMYFUNCTION("AVERAGE(ARRAYFORMULA(XLOOKUP(FILTER(INDIRECT(""'""&amp;CM$1&amp;""'!$C$4:$C$66""),INDIRECT(""'""&amp;CM$1&amp;""'!$D$4:$D$66"")=CM$2),$F$3:$BP$3,$F224:$BP224)))"),-0.33214622)</f>
        <v>-0.33214622</v>
      </c>
      <c r="CN224" s="207" t="str">
        <f>IFERROR(__xludf.DUMMYFUNCTION("IF(OR(CM224&gt;$BR224+$BS224*$BS$2,CM224&lt;$BR224-$BS224*$BS$2),AVEDEV(ARRAYFORMULA(XLOOKUP(FILTER(INDIRECT(""'""&amp;CM$1&amp;""'!$C$4:$C$66""),INDIRECT(""'""&amp;CM$1&amp;""'!$D$4:$D$66"")=CM$2),$F$3:$BP$3,$F224:$BP224))),"""")"),"")</f>
        <v/>
      </c>
      <c r="CO224" s="252"/>
      <c r="CP224" s="251">
        <f>IFERROR(__xludf.DUMMYFUNCTION("AVERAGE(ARRAYFORMULA(XLOOKUP(FILTER(INDIRECT(""'""&amp;CP$1&amp;""'!$C$4:$C$66""),INDIRECT(""'""&amp;CP$1&amp;""'!$D$4:$D$66"")=CP$2),$F$3:$BP$3,$F224:$BP224)))"),0.7012317635714284)</f>
        <v>0.7012317636</v>
      </c>
      <c r="CQ224" s="207" t="str">
        <f>IFERROR(__xludf.DUMMYFUNCTION("IF(OR(CP224&gt;$BR224+$BS224*$BS$2,CP224&lt;$BR224-$BS224*$BS$2),AVEDEV(ARRAYFORMULA(XLOOKUP(FILTER(INDIRECT(""'""&amp;CP$1&amp;""'!$C$4:$C$66""),INDIRECT(""'""&amp;CP$1&amp;""'!$D$4:$D$66"")=CP$2),$F$3:$BP$3,$F224:$BP224))),"""")"),"")</f>
        <v/>
      </c>
      <c r="CR224" s="251">
        <f>IFERROR(__xludf.DUMMYFUNCTION("AVERAGE(ARRAYFORMULA(XLOOKUP(FILTER(INDIRECT(""'""&amp;CR$1&amp;""'!$C$4:$C$66""),INDIRECT(""'""&amp;CR$1&amp;""'!$D$4:$D$66"")=CR$2),$F$3:$BP$3,$F224:$BP224)))"),-0.33812871777777787)</f>
        <v>-0.3381287178</v>
      </c>
      <c r="CS224" s="207" t="str">
        <f>IFERROR(__xludf.DUMMYFUNCTION("IF(OR(CR224&gt;$BR224+$BS224*$BS$2,CR224&lt;$BR224-$BS224*$BS$2),AVEDEV(ARRAYFORMULA(XLOOKUP(FILTER(INDIRECT(""'""&amp;CR$1&amp;""'!$C$4:$C$66""),INDIRECT(""'""&amp;CR$1&amp;""'!$D$4:$D$66"")=CR$2),$F$3:$BP$3,$F224:$BP224))),"""")"),"")</f>
        <v/>
      </c>
      <c r="CT224" s="251">
        <f>IFERROR(__xludf.DUMMYFUNCTION("AVERAGE(ARRAYFORMULA(XLOOKUP(FILTER(INDIRECT(""'""&amp;CT$1&amp;""'!$C$4:$C$66""),INDIRECT(""'""&amp;CT$1&amp;""'!$D$4:$D$66"")=CT$2),$F$3:$BP$3,$F224:$BP224)))"),0.10424298909090911)</f>
        <v>0.1042429891</v>
      </c>
      <c r="CU224" s="207" t="str">
        <f>IFERROR(__xludf.DUMMYFUNCTION("IF(OR(CT224&gt;$BR224+$BS224*$BS$2,CT224&lt;$BR224-$BS224*$BS$2),AVEDEV(ARRAYFORMULA(XLOOKUP(FILTER(INDIRECT(""'""&amp;CT$1&amp;""'!$C$4:$C$66""),INDIRECT(""'""&amp;CT$1&amp;""'!$D$4:$D$66"")=CT$2),$F$3:$BP$3,$F224:$BP224))),"""")"),"")</f>
        <v/>
      </c>
      <c r="CV224" s="251">
        <f>IFERROR(__xludf.DUMMYFUNCTION("AVERAGE(ARRAYFORMULA(XLOOKUP(FILTER(INDIRECT(""'""&amp;CV$1&amp;""'!$C$4:$C$66""),INDIRECT(""'""&amp;CV$1&amp;""'!$D$4:$D$66"")=CV$2),$F$3:$BP$3,$F224:$BP224)))"),-0.86267575)</f>
        <v>-0.86267575</v>
      </c>
      <c r="CW224" s="207">
        <f>IFERROR(__xludf.DUMMYFUNCTION("IF(OR(CV224&gt;$BR224+$BS224*$BS$2,CV224&lt;$BR224-$BS224*$BS$2),AVEDEV(ARRAYFORMULA(XLOOKUP(FILTER(INDIRECT(""'""&amp;CV$1&amp;""'!$C$4:$C$66""),INDIRECT(""'""&amp;CV$1&amp;""'!$D$4:$D$66"")=CV$2),$F$3:$BP$3,$F224:$BP224))),"""")"),0.016658850000000003)</f>
        <v>0.01665885</v>
      </c>
      <c r="CX224" s="251">
        <f>IFERROR(__xludf.DUMMYFUNCTION("AVERAGE(ARRAYFORMULA(XLOOKUP(FILTER(INDIRECT(""'""&amp;CX$1&amp;""'!$C$4:$C$66""),INDIRECT(""'""&amp;CX$1&amp;""'!$D$4:$D$66"")=CX$2),$F$3:$BP$3,$F224:$BP224)))"),0.3625317878571428)</f>
        <v>0.3625317879</v>
      </c>
      <c r="CY224" s="207" t="str">
        <f>IFERROR(__xludf.DUMMYFUNCTION("IF(OR(CX224&gt;$BR224+$BS224*$BS$2,CX224&lt;$BR224-$BS224*$BS$2),AVEDEV(ARRAYFORMULA(XLOOKUP(FILTER(INDIRECT(""'""&amp;CX$1&amp;""'!$C$4:$C$66""),INDIRECT(""'""&amp;CX$1&amp;""'!$D$4:$D$66"")=CX$2),$F$3:$BP$3,$F224:$BP224))),"""")"),"")</f>
        <v/>
      </c>
      <c r="CZ224" s="252"/>
      <c r="DA224" s="251">
        <f>IFERROR(__xludf.DUMMYFUNCTION("AVERAGE(ARRAYFORMULA(XLOOKUP(FILTER(INDIRECT(""'""&amp;DA$1&amp;""'!$C$4:$C$66""),INDIRECT(""'""&amp;DA$1&amp;""'!$D$4:$D$66"")=DA$2),$F$3:$BP$3,$F224:$BP224)))"),0.4980787239999999)</f>
        <v>0.498078724</v>
      </c>
      <c r="DB224" s="207" t="str">
        <f>IFERROR(__xludf.DUMMYFUNCTION("IF(OR(DA224&gt;$BR224+$BS224*$BS$2,DA224&lt;$BR224-$BS224*$BS$2),AVEDEV(ARRAYFORMULA(XLOOKUP(FILTER(INDIRECT(""'""&amp;DA$1&amp;""'!$C$4:$C$66""),INDIRECT(""'""&amp;DA$1&amp;""'!$D$4:$D$66"")=DA$2),$F$3:$BP$3,$F224:$BP224))),"""")"),"")</f>
        <v/>
      </c>
      <c r="DC224" s="251">
        <f>IFERROR(__xludf.DUMMYFUNCTION("AVERAGE(ARRAYFORMULA(XLOOKUP(FILTER(INDIRECT(""'""&amp;DC$1&amp;""'!$C$4:$C$66""),INDIRECT(""'""&amp;DC$1&amp;""'!$D$4:$D$66"")=DC$2),$F$3:$BP$3,$F224:$BP224)))"),-0.24008643999999998)</f>
        <v>-0.24008644</v>
      </c>
      <c r="DD224" s="207" t="str">
        <f>IFERROR(__xludf.DUMMYFUNCTION("IF(OR(DC224&gt;$BR224+$BS224*$BS$2,DC224&lt;$BR224-$BS224*$BS$2),AVEDEV(ARRAYFORMULA(XLOOKUP(FILTER(INDIRECT(""'""&amp;DC$1&amp;""'!$C$4:$C$66""),INDIRECT(""'""&amp;DC$1&amp;""'!$D$4:$D$66"")=DC$2),$F$3:$BP$3,$F224:$BP224))),"""")"),"")</f>
        <v/>
      </c>
      <c r="DE224" s="251">
        <f>IFERROR(__xludf.DUMMYFUNCTION("AVERAGE(ARRAYFORMULA(XLOOKUP(FILTER(INDIRECT(""'""&amp;DE$1&amp;""'!$C$4:$C$66""),INDIRECT(""'""&amp;DE$1&amp;""'!$D$4:$D$66"")=DE$2),$F$3:$BP$3,$F224:$BP224)))"),1.3392103974999998)</f>
        <v>1.339210398</v>
      </c>
      <c r="DF224" s="207" t="str">
        <f>IFERROR(__xludf.DUMMYFUNCTION("IF(OR(DE224&gt;$BR224+$BS224*$BS$2,DE224&lt;$BR224-$BS224*$BS$2),AVEDEV(ARRAYFORMULA(XLOOKUP(FILTER(INDIRECT(""'""&amp;DE$1&amp;""'!$C$4:$C$66""),INDIRECT(""'""&amp;DE$1&amp;""'!$D$4:$D$66"")=DE$2),$F$3:$BP$3,$F224:$BP224))),"""")"),"")</f>
        <v/>
      </c>
      <c r="DG224" s="251">
        <f>IFERROR(__xludf.DUMMYFUNCTION("AVERAGE(ARRAYFORMULA(XLOOKUP(FILTER(INDIRECT(""'""&amp;DG$1&amp;""'!$C$4:$C$66""),INDIRECT(""'""&amp;DG$1&amp;""'!$D$4:$D$66"")=DG$2),$F$3:$BP$3,$F224:$BP224)))"),-0.021706762222222214)</f>
        <v>-0.02170676222</v>
      </c>
      <c r="DH224" s="207" t="str">
        <f>IFERROR(__xludf.DUMMYFUNCTION("IF(OR(DG224&gt;$BR224+$BS224*$BS$2,DG224&lt;$BR224-$BS224*$BS$2),AVEDEV(ARRAYFORMULA(XLOOKUP(FILTER(INDIRECT(""'""&amp;DG$1&amp;""'!$C$4:$C$66""),INDIRECT(""'""&amp;DG$1&amp;""'!$D$4:$D$66"")=DG$2),$F$3:$BP$3,$F224:$BP224))),"""")"),"")</f>
        <v/>
      </c>
      <c r="DI224" s="252"/>
    </row>
    <row r="225">
      <c r="A225" s="2"/>
      <c r="B225" s="204" t="s">
        <v>671</v>
      </c>
      <c r="C225" s="204" t="s">
        <v>672</v>
      </c>
      <c r="D225" s="205" t="b">
        <f>VLOOKUP(C225,'Feature Set List'!A222:C246,2,0)</f>
        <v>1</v>
      </c>
      <c r="E225" s="205" t="b">
        <f>VLOOKUP(C225,'Feature Set List'!A222:C246,3,0)</f>
        <v>0</v>
      </c>
      <c r="F225" s="205">
        <v>0.0</v>
      </c>
      <c r="G225" s="205">
        <v>-0.2857143</v>
      </c>
      <c r="H225" s="205">
        <v>0.08163265</v>
      </c>
      <c r="I225" s="205">
        <v>-0.6122449</v>
      </c>
      <c r="J225" s="205">
        <v>-0.7755102</v>
      </c>
      <c r="K225" s="205">
        <v>-0.1632653</v>
      </c>
      <c r="L225" s="205">
        <v>0.65306122</v>
      </c>
      <c r="M225" s="205">
        <v>0.20408163</v>
      </c>
      <c r="N225" s="205">
        <v>-0.1632653</v>
      </c>
      <c r="O225" s="205">
        <v>-0.6122449</v>
      </c>
      <c r="P225" s="205">
        <v>-1.1020408</v>
      </c>
      <c r="Q225" s="205">
        <v>0.0</v>
      </c>
      <c r="R225" s="205">
        <v>-0.2040816</v>
      </c>
      <c r="S225" s="205">
        <v>0.16326531</v>
      </c>
      <c r="T225" s="205">
        <v>0.93877551</v>
      </c>
      <c r="U225" s="205">
        <v>-2.5306122</v>
      </c>
      <c r="V225" s="205">
        <v>-0.2040816</v>
      </c>
      <c r="W225" s="205">
        <v>-1.6326531</v>
      </c>
      <c r="X225" s="205">
        <v>0.6122449</v>
      </c>
      <c r="Y225" s="205">
        <v>0.85714286</v>
      </c>
      <c r="Z225" s="205">
        <v>0.44897959</v>
      </c>
      <c r="AA225" s="205">
        <v>0.89795918</v>
      </c>
      <c r="AB225" s="205">
        <v>0.28571429</v>
      </c>
      <c r="AC225" s="205">
        <v>-0.4897959</v>
      </c>
      <c r="AD225" s="205">
        <v>0.12244898</v>
      </c>
      <c r="AE225" s="205">
        <v>0.16326531</v>
      </c>
      <c r="AF225" s="205">
        <v>-1.0204082</v>
      </c>
      <c r="AG225" s="205">
        <v>-0.6530612</v>
      </c>
      <c r="AH225" s="205">
        <v>-0.8163265</v>
      </c>
      <c r="AI225" s="205">
        <v>-0.2040816</v>
      </c>
      <c r="AJ225" s="205">
        <v>-1.3877551</v>
      </c>
      <c r="AK225" s="205">
        <v>0.04081633</v>
      </c>
      <c r="AL225" s="205">
        <v>0.69387755</v>
      </c>
      <c r="AM225" s="205">
        <v>-0.2040816</v>
      </c>
      <c r="AN225" s="205">
        <v>-0.8163265</v>
      </c>
      <c r="AO225" s="205">
        <v>-1.0204082</v>
      </c>
      <c r="AP225" s="205">
        <v>0.85714286</v>
      </c>
      <c r="AQ225" s="205">
        <v>0.65306122</v>
      </c>
      <c r="AR225" s="205">
        <v>0.24489796</v>
      </c>
      <c r="AS225" s="205">
        <v>0.40816327</v>
      </c>
      <c r="AT225" s="205">
        <v>-4.244898</v>
      </c>
      <c r="AU225" s="205">
        <v>0.6122449</v>
      </c>
      <c r="AV225" s="205">
        <v>-1.3469388</v>
      </c>
      <c r="AW225" s="205">
        <v>-1.5102041</v>
      </c>
      <c r="AX225" s="205">
        <v>-1.2244898</v>
      </c>
      <c r="AY225" s="205">
        <v>0.40816327</v>
      </c>
      <c r="AZ225" s="205">
        <v>-0.2040816</v>
      </c>
      <c r="BA225" s="205">
        <v>-0.4489796</v>
      </c>
      <c r="BB225" s="205">
        <v>-0.1632653</v>
      </c>
      <c r="BC225" s="205">
        <v>-0.3265306</v>
      </c>
      <c r="BD225" s="205">
        <v>0.48979592</v>
      </c>
      <c r="BE225" s="205">
        <v>0.0</v>
      </c>
      <c r="BF225" s="205">
        <v>0.85714286</v>
      </c>
      <c r="BG225" s="205">
        <v>0.93877551</v>
      </c>
      <c r="BH225" s="205">
        <v>0.44897959</v>
      </c>
      <c r="BI225" s="205">
        <v>0.44897959</v>
      </c>
      <c r="BJ225" s="205">
        <v>0.04081633</v>
      </c>
      <c r="BK225" s="205">
        <v>0.73469388</v>
      </c>
      <c r="BL225" s="205">
        <v>0.28571429</v>
      </c>
      <c r="BM225" s="205">
        <v>0.16326531</v>
      </c>
      <c r="BN225" s="205">
        <v>0.36734694</v>
      </c>
      <c r="BO225" s="205">
        <v>-0.3265306</v>
      </c>
      <c r="BP225" s="205">
        <v>0.44897959</v>
      </c>
      <c r="BQ225" s="206"/>
      <c r="BR225" s="250">
        <f t="shared" si="1"/>
        <v>-0.1606737905</v>
      </c>
      <c r="BS225" s="250">
        <f t="shared" si="2"/>
        <v>0.6360107135</v>
      </c>
      <c r="BT225" s="206"/>
      <c r="BU225" s="207">
        <f>IFERROR(__xludf.DUMMYFUNCTION("AVERAGE(ARRAYFORMULA(XLOOKUP(FILTER(INDIRECT(""'""&amp;BU$1&amp;""'!$C$4:$C$66""),INDIRECT(""'""&amp;BU$1&amp;""'!$D$4:$D$66"")=BU$2),$F$3:$BP$3,$F225:$BP225)))"),-0.27988338428571424)</f>
        <v>-0.2798833843</v>
      </c>
      <c r="BV225" s="207" t="str">
        <f>IFERROR(__xludf.DUMMYFUNCTION("IF(OR(BU225&gt;$BR225+$BS225*$BS$2,BU225&lt;$BR225-$BS225*$BS$2),AVEDEV(ARRAYFORMULA(XLOOKUP(FILTER(INDIRECT(""'""&amp;BU$1&amp;""'!$C$4:$C$66""),INDIRECT(""'""&amp;BU$1&amp;""'!$D$4:$D$66"")=BU$2),$F$3:$BP$3,$F225:$BP225))),"""")"),"")</f>
        <v/>
      </c>
      <c r="BW225" s="207">
        <f>IFERROR(__xludf.DUMMYFUNCTION("AVERAGE(ARRAYFORMULA(XLOOKUP(FILTER(INDIRECT(""'""&amp;BW$1&amp;""'!$C$4:$C$66""),INDIRECT(""'""&amp;BW$1&amp;""'!$D$4:$D$66"")=BW$2),$F$3:$BP$3,$F225:$BP225)))"),-0.11370262047619055)</f>
        <v>-0.1137026205</v>
      </c>
      <c r="BX225" s="207" t="str">
        <f>IFERROR(__xludf.DUMMYFUNCTION("IF(OR(BW225&gt;$BR225+$BS225*$BS$2,BW225&lt;$BR225-$BS225*$BS$2),AVEDEV(ARRAYFORMULA(XLOOKUP(FILTER(INDIRECT(""'""&amp;BW$1&amp;""'!$C$4:$C$66""),INDIRECT(""'""&amp;BW$1&amp;""'!$D$4:$D$66"")=BW$2),$F$3:$BP$3,$F225:$BP225))),"""")"),"")</f>
        <v/>
      </c>
      <c r="BY225" s="207">
        <f>IFERROR(__xludf.DUMMYFUNCTION("AVERAGE(ARRAYFORMULA(XLOOKUP(FILTER(INDIRECT(""'""&amp;BY$1&amp;""'!$C$4:$C$66""),INDIRECT(""'""&amp;BY$1&amp;""'!$D$4:$D$66"")=BY$2),$F$3:$BP$3,$F225:$BP225)))"),0.10018553636363636)</f>
        <v>0.1001855364</v>
      </c>
      <c r="BZ225" s="207" t="str">
        <f>IFERROR(__xludf.DUMMYFUNCTION("IF(OR(BY225&gt;$BR225+$BS225*$BS$2,BY225&lt;$BR225-$BS225*$BS$2),AVEDEV(ARRAYFORMULA(XLOOKUP(FILTER(INDIRECT(""'""&amp;BY$1&amp;""'!$C$4:$C$66""),INDIRECT(""'""&amp;BY$1&amp;""'!$D$4:$D$66"")=BY$2),$F$3:$BP$3,$F225:$BP225))),"""")"),"")</f>
        <v/>
      </c>
      <c r="CA225" s="209"/>
      <c r="CB225" s="207">
        <f>IFERROR(__xludf.DUMMYFUNCTION("AVERAGE(ARRAYFORMULA(XLOOKUP(FILTER(INDIRECT(""'""&amp;CB$1&amp;""'!$C$4:$C$66""),INDIRECT(""'""&amp;CB$1&amp;""'!$D$4:$D$66"")=CB$2),$F$3:$BP$3,$F225:$BP225)))"),-0.48214285937500007)</f>
        <v>-0.4821428594</v>
      </c>
      <c r="CC225" s="207" t="str">
        <f>IFERROR(__xludf.DUMMYFUNCTION("IF(OR(CB225&gt;$BR225+$BS225*$BS$2,CB225&lt;$BR225-$BS225*$BS$2),AVEDEV(ARRAYFORMULA(XLOOKUP(FILTER(INDIRECT(""'""&amp;CB$1&amp;""'!$C$4:$C$66""),INDIRECT(""'""&amp;CB$1&amp;""'!$D$4:$D$66"")=CB$2),$F$3:$BP$3,$F225:$BP225))),"""")"),"")</f>
        <v/>
      </c>
      <c r="CD225" s="207">
        <f>IFERROR(__xludf.DUMMYFUNCTION("AVERAGE(ARRAYFORMULA(XLOOKUP(FILTER(INDIRECT(""'""&amp;CD$1&amp;""'!$C$4:$C$66""),INDIRECT(""'""&amp;CD$1&amp;""'!$D$4:$D$66"")=CD$2),$F$3:$BP$3,$F225:$BP225)))"),0.1145490529032258)</f>
        <v>0.1145490529</v>
      </c>
      <c r="CE225" s="207" t="str">
        <f>IFERROR(__xludf.DUMMYFUNCTION("IF(OR(CD225&gt;$BR225+$BS225*$BS$2,CD225&lt;$BR225-$BS225*$BS$2),AVEDEV(ARRAYFORMULA(XLOOKUP(FILTER(INDIRECT(""'""&amp;CD$1&amp;""'!$C$4:$C$66""),INDIRECT(""'""&amp;CD$1&amp;""'!$D$4:$D$66"")=CD$2),$F$3:$BP$3,$F225:$BP225))),"""")"),"")</f>
        <v/>
      </c>
      <c r="CF225" s="207">
        <f>IFERROR(__xludf.DUMMYFUNCTION("AVERAGE(ARRAYFORMULA(XLOOKUP(FILTER(INDIRECT(""'""&amp;CF$1&amp;""'!$C$4:$C$66""),INDIRECT(""'""&amp;CF$1&amp;""'!$D$4:$D$66"")=CF$2),$F$3:$BP$3,$F225:$BP225)))"),0.089795926)</f>
        <v>0.089795926</v>
      </c>
      <c r="CG225" s="207" t="str">
        <f>IFERROR(__xludf.DUMMYFUNCTION("IF(OR(CF225&gt;$BR225+$BS225*$BS$2,CF225&lt;$BR225-$BS225*$BS$2),AVEDEV(ARRAYFORMULA(XLOOKUP(FILTER(INDIRECT(""'""&amp;CF$1&amp;""'!$C$4:$C$66""),INDIRECT(""'""&amp;CF$1&amp;""'!$D$4:$D$66"")=CF$2),$F$3:$BP$3,$F225:$BP225))),"""")"),"")</f>
        <v/>
      </c>
      <c r="CH225" s="206"/>
      <c r="CI225" s="251">
        <f>IFERROR(__xludf.DUMMYFUNCTION("AVERAGE(ARRAYFORMULA(XLOOKUP(FILTER(INDIRECT(""'""&amp;CI$1&amp;""'!$C$4:$C$66""),INDIRECT(""'""&amp;CI$1&amp;""'!$D$4:$D$66"")=CI$2),$F$3:$BP$3,$F225:$BP225)))"),0.15510204000000002)</f>
        <v>0.15510204</v>
      </c>
      <c r="CJ225" s="207" t="str">
        <f>IFERROR(__xludf.DUMMYFUNCTION("IF(OR(CI225&gt;$BR225+$BS225*$BS$2,CI225&lt;$BR225-$BS225*$BS$2),AVEDEV(ARRAYFORMULA(XLOOKUP(FILTER(INDIRECT(""'""&amp;CI$1&amp;""'!$C$4:$C$66""),INDIRECT(""'""&amp;CI$1&amp;""'!$D$4:$D$66"")=CI$2),$F$3:$BP$3,$F225:$BP225))),"""")"),"")</f>
        <v/>
      </c>
      <c r="CK225" s="251">
        <f>IFERROR(__xludf.DUMMYFUNCTION("AVERAGE(ARRAYFORMULA(XLOOKUP(FILTER(INDIRECT(""'""&amp;CK$1&amp;""'!$C$4:$C$66""),INDIRECT(""'""&amp;CK$1&amp;""'!$D$4:$D$66"")=CK$2),$F$3:$BP$3,$F225:$BP225)))"),-0.23443222974358977)</f>
        <v>-0.2344322297</v>
      </c>
      <c r="CL225" s="207" t="str">
        <f>IFERROR(__xludf.DUMMYFUNCTION("IF(OR(CK225&gt;$BR225+$BS225*$BS$2,CK225&lt;$BR225-$BS225*$BS$2),AVEDEV(ARRAYFORMULA(XLOOKUP(FILTER(INDIRECT(""'""&amp;CK$1&amp;""'!$C$4:$C$66""),INDIRECT(""'""&amp;CK$1&amp;""'!$D$4:$D$66"")=CK$2),$F$3:$BP$3,$F225:$BP225))),"""")"),"")</f>
        <v/>
      </c>
      <c r="CM225" s="251">
        <f>IFERROR(__xludf.DUMMYFUNCTION("AVERAGE(ARRAYFORMULA(XLOOKUP(FILTER(INDIRECT(""'""&amp;CM$1&amp;""'!$C$4:$C$66""),INDIRECT(""'""&amp;CM$1&amp;""'!$D$4:$D$66"")=CM$2),$F$3:$BP$3,$F225:$BP225)))"),0.089795926)</f>
        <v>0.089795926</v>
      </c>
      <c r="CN225" s="207" t="str">
        <f>IFERROR(__xludf.DUMMYFUNCTION("IF(OR(CM225&gt;$BR225+$BS225*$BS$2,CM225&lt;$BR225-$BS225*$BS$2),AVEDEV(ARRAYFORMULA(XLOOKUP(FILTER(INDIRECT(""'""&amp;CM$1&amp;""'!$C$4:$C$66""),INDIRECT(""'""&amp;CM$1&amp;""'!$D$4:$D$66"")=CM$2),$F$3:$BP$3,$F225:$BP225))),"""")"),"")</f>
        <v/>
      </c>
      <c r="CO225" s="252"/>
      <c r="CP225" s="251">
        <f>IFERROR(__xludf.DUMMYFUNCTION("AVERAGE(ARRAYFORMULA(XLOOKUP(FILTER(INDIRECT(""'""&amp;CP$1&amp;""'!$C$4:$C$66""),INDIRECT(""'""&amp;CP$1&amp;""'!$D$4:$D$66"")=CP$2),$F$3:$BP$3,$F225:$BP225)))"),-0.5539358621428573)</f>
        <v>-0.5539358621</v>
      </c>
      <c r="CQ225" s="207" t="str">
        <f>IFERROR(__xludf.DUMMYFUNCTION("IF(OR(CP225&gt;$BR225+$BS225*$BS$2,CP225&lt;$BR225-$BS225*$BS$2),AVEDEV(ARRAYFORMULA(XLOOKUP(FILTER(INDIRECT(""'""&amp;CP$1&amp;""'!$C$4:$C$66""),INDIRECT(""'""&amp;CP$1&amp;""'!$D$4:$D$66"")=CP$2),$F$3:$BP$3,$F225:$BP225))),"""")"),"")</f>
        <v/>
      </c>
      <c r="CR225" s="251">
        <f>IFERROR(__xludf.DUMMYFUNCTION("AVERAGE(ARRAYFORMULA(XLOOKUP(FILTER(INDIRECT(""'""&amp;CR$1&amp;""'!$C$4:$C$66""),INDIRECT(""'""&amp;CR$1&amp;""'!$D$4:$D$66"")=CR$2),$F$3:$BP$3,$F225:$BP225)))"),0.04535148222222222)</f>
        <v>0.04535148222</v>
      </c>
      <c r="CS225" s="207" t="str">
        <f>IFERROR(__xludf.DUMMYFUNCTION("IF(OR(CR225&gt;$BR225+$BS225*$BS$2,CR225&lt;$BR225-$BS225*$BS$2),AVEDEV(ARRAYFORMULA(XLOOKUP(FILTER(INDIRECT(""'""&amp;CR$1&amp;""'!$C$4:$C$66""),INDIRECT(""'""&amp;CR$1&amp;""'!$D$4:$D$66"")=CR$2),$F$3:$BP$3,$F225:$BP225))),"""")"),"")</f>
        <v/>
      </c>
      <c r="CT225" s="251">
        <f>IFERROR(__xludf.DUMMYFUNCTION("AVERAGE(ARRAYFORMULA(XLOOKUP(FILTER(INDIRECT(""'""&amp;CT$1&amp;""'!$C$4:$C$66""),INDIRECT(""'""&amp;CT$1&amp;""'!$D$4:$D$66"")=CT$2),$F$3:$BP$3,$F225:$BP225)))"),0.3747680954545455)</f>
        <v>0.3747680955</v>
      </c>
      <c r="CU225" s="207" t="str">
        <f>IFERROR(__xludf.DUMMYFUNCTION("IF(OR(CT225&gt;$BR225+$BS225*$BS$2,CT225&lt;$BR225-$BS225*$BS$2),AVEDEV(ARRAYFORMULA(XLOOKUP(FILTER(INDIRECT(""'""&amp;CT$1&amp;""'!$C$4:$C$66""),INDIRECT(""'""&amp;CT$1&amp;""'!$D$4:$D$66"")=CT$2),$F$3:$BP$3,$F225:$BP225))),"""")"),"")</f>
        <v/>
      </c>
      <c r="CV225" s="251">
        <f>IFERROR(__xludf.DUMMYFUNCTION("AVERAGE(ARRAYFORMULA(XLOOKUP(FILTER(INDIRECT(""'""&amp;CV$1&amp;""'!$C$4:$C$66""),INDIRECT(""'""&amp;CV$1&amp;""'!$D$4:$D$66"")=CV$2),$F$3:$BP$3,$F225:$BP225)))"),0.22448980500000001)</f>
        <v>0.224489805</v>
      </c>
      <c r="CW225" s="207" t="str">
        <f>IFERROR(__xludf.DUMMYFUNCTION("IF(OR(CV225&gt;$BR225+$BS225*$BS$2,CV225&lt;$BR225-$BS225*$BS$2),AVEDEV(ARRAYFORMULA(XLOOKUP(FILTER(INDIRECT(""'""&amp;CV$1&amp;""'!$C$4:$C$66""),INDIRECT(""'""&amp;CV$1&amp;""'!$D$4:$D$66"")=CV$2),$F$3:$BP$3,$F225:$BP225))),"""")"),"")</f>
        <v/>
      </c>
      <c r="CX225" s="251">
        <f>IFERROR(__xludf.DUMMYFUNCTION("AVERAGE(ARRAYFORMULA(XLOOKUP(FILTER(INDIRECT(""'""&amp;CX$1&amp;""'!$C$4:$C$66""),INDIRECT(""'""&amp;CX$1&amp;""'!$D$4:$D$66"")=CX$2),$F$3:$BP$3,$F225:$BP225)))"),-0.04664722428571428)</f>
        <v>-0.04664722429</v>
      </c>
      <c r="CY225" s="207" t="str">
        <f>IFERROR(__xludf.DUMMYFUNCTION("IF(OR(CX225&gt;$BR225+$BS225*$BS$2,CX225&lt;$BR225-$BS225*$BS$2),AVEDEV(ARRAYFORMULA(XLOOKUP(FILTER(INDIRECT(""'""&amp;CX$1&amp;""'!$C$4:$C$66""),INDIRECT(""'""&amp;CX$1&amp;""'!$D$4:$D$66"")=CX$2),$F$3:$BP$3,$F225:$BP225))),"""")"),"")</f>
        <v/>
      </c>
      <c r="CZ225" s="252"/>
      <c r="DA225" s="251">
        <f>IFERROR(__xludf.DUMMYFUNCTION("AVERAGE(ARRAYFORMULA(XLOOKUP(FILTER(INDIRECT(""'""&amp;DA$1&amp;""'!$C$4:$C$66""),INDIRECT(""'""&amp;DA$1&amp;""'!$D$4:$D$66"")=DA$2),$F$3:$BP$3,$F225:$BP225)))"),-0.21496598400000005)</f>
        <v>-0.214965984</v>
      </c>
      <c r="DB225" s="207" t="str">
        <f>IFERROR(__xludf.DUMMYFUNCTION("IF(OR(DA225&gt;$BR225+$BS225*$BS$2,DA225&lt;$BR225-$BS225*$BS$2),AVEDEV(ARRAYFORMULA(XLOOKUP(FILTER(INDIRECT(""'""&amp;DA$1&amp;""'!$C$4:$C$66""),INDIRECT(""'""&amp;DA$1&amp;""'!$D$4:$D$66"")=DA$2),$F$3:$BP$3,$F225:$BP225))),"""")"),"")</f>
        <v/>
      </c>
      <c r="DC225" s="251">
        <f>IFERROR(__xludf.DUMMYFUNCTION("AVERAGE(ARRAYFORMULA(XLOOKUP(FILTER(INDIRECT(""'""&amp;DC$1&amp;""'!$C$4:$C$66""),INDIRECT(""'""&amp;DC$1&amp;""'!$D$4:$D$66"")=DC$2),$F$3:$BP$3,$F225:$BP225)))"),0.058956924444444433)</f>
        <v>0.05895692444</v>
      </c>
      <c r="DD225" s="207" t="str">
        <f>IFERROR(__xludf.DUMMYFUNCTION("IF(OR(DC225&gt;$BR225+$BS225*$BS$2,DC225&lt;$BR225-$BS225*$BS$2),AVEDEV(ARRAYFORMULA(XLOOKUP(FILTER(INDIRECT(""'""&amp;DC$1&amp;""'!$C$4:$C$66""),INDIRECT(""'""&amp;DC$1&amp;""'!$D$4:$D$66"")=DC$2),$F$3:$BP$3,$F225:$BP225))),"""")"),"")</f>
        <v/>
      </c>
      <c r="DE225" s="251">
        <f>IFERROR(__xludf.DUMMYFUNCTION("AVERAGE(ARRAYFORMULA(XLOOKUP(FILTER(INDIRECT(""'""&amp;DE$1&amp;""'!$C$4:$C$66""),INDIRECT(""'""&amp;DE$1&amp;""'!$D$4:$D$66"")=DE$2),$F$3:$BP$3,$F225:$BP225)))"),8.750000012741621E-9)</f>
        <v>0.000000008750000013</v>
      </c>
      <c r="DF225" s="207" t="str">
        <f>IFERROR(__xludf.DUMMYFUNCTION("IF(OR(DE225&gt;$BR225+$BS225*$BS$2,DE225&lt;$BR225-$BS225*$BS$2),AVEDEV(ARRAYFORMULA(XLOOKUP(FILTER(INDIRECT(""'""&amp;DE$1&amp;""'!$C$4:$C$66""),INDIRECT(""'""&amp;DE$1&amp;""'!$D$4:$D$66"")=DE$2),$F$3:$BP$3,$F225:$BP225))),"""")"),"")</f>
        <v/>
      </c>
      <c r="DG225" s="251">
        <f>IFERROR(__xludf.DUMMYFUNCTION("AVERAGE(ARRAYFORMULA(XLOOKUP(FILTER(INDIRECT(""'""&amp;DG$1&amp;""'!$C$4:$C$66""),INDIRECT(""'""&amp;DG$1&amp;""'!$D$4:$D$66"")=DG$2),$F$3:$BP$3,$F225:$BP225)))"),0.14965986444444443)</f>
        <v>0.1496598644</v>
      </c>
      <c r="DH225" s="207" t="str">
        <f>IFERROR(__xludf.DUMMYFUNCTION("IF(OR(DG225&gt;$BR225+$BS225*$BS$2,DG225&lt;$BR225-$BS225*$BS$2),AVEDEV(ARRAYFORMULA(XLOOKUP(FILTER(INDIRECT(""'""&amp;DG$1&amp;""'!$C$4:$C$66""),INDIRECT(""'""&amp;DG$1&amp;""'!$D$4:$D$66"")=DG$2),$F$3:$BP$3,$F225:$BP225))),"""")"),"")</f>
        <v/>
      </c>
      <c r="DI225" s="252"/>
    </row>
    <row r="226">
      <c r="A226" s="2"/>
      <c r="B226" s="204" t="s">
        <v>671</v>
      </c>
      <c r="C226" s="204" t="s">
        <v>673</v>
      </c>
      <c r="D226" s="205" t="b">
        <f>VLOOKUP(C226,'Feature Set List'!A223:C246,2,0)</f>
        <v>1</v>
      </c>
      <c r="E226" s="205" t="b">
        <f>VLOOKUP(C226,'Feature Set List'!A223:C246,3,0)</f>
        <v>0</v>
      </c>
      <c r="F226" s="205">
        <v>0.84339315</v>
      </c>
      <c r="G226" s="205">
        <v>0.03425775</v>
      </c>
      <c r="H226" s="205">
        <v>-0.2088091</v>
      </c>
      <c r="I226" s="205">
        <v>-0.2936378</v>
      </c>
      <c r="J226" s="205">
        <v>-0.4812398</v>
      </c>
      <c r="K226" s="205">
        <v>-0.2936378</v>
      </c>
      <c r="L226" s="205">
        <v>0.98205546</v>
      </c>
      <c r="M226" s="205">
        <v>-0.5040783</v>
      </c>
      <c r="N226" s="205">
        <v>0.96084829</v>
      </c>
      <c r="O226" s="205">
        <v>-1.0880914</v>
      </c>
      <c r="P226" s="205">
        <v>-0.1631321</v>
      </c>
      <c r="Q226" s="205">
        <v>0.55301794</v>
      </c>
      <c r="R226" s="205">
        <v>1.21207178</v>
      </c>
      <c r="S226" s="205">
        <v>0.0</v>
      </c>
      <c r="T226" s="205">
        <v>0.908646</v>
      </c>
      <c r="U226" s="205">
        <v>-1.5986949</v>
      </c>
      <c r="V226" s="205">
        <v>-0.1305057</v>
      </c>
      <c r="W226" s="205">
        <v>-1.5900489</v>
      </c>
      <c r="X226" s="205">
        <v>1.42414356</v>
      </c>
      <c r="Y226" s="205">
        <v>0.07993475</v>
      </c>
      <c r="Z226" s="205">
        <v>0.04730832</v>
      </c>
      <c r="AA226" s="205">
        <v>-1.045677</v>
      </c>
      <c r="AB226" s="205">
        <v>0.16313214</v>
      </c>
      <c r="AC226" s="205">
        <v>-0.4453507</v>
      </c>
      <c r="AD226" s="205">
        <v>-0.725938</v>
      </c>
      <c r="AE226" s="205">
        <v>0.13376835</v>
      </c>
      <c r="AF226" s="205">
        <v>0.91517129</v>
      </c>
      <c r="AG226" s="205">
        <v>0.57096248</v>
      </c>
      <c r="AH226" s="205">
        <v>-1.137031</v>
      </c>
      <c r="AI226" s="205">
        <v>-0.0032626</v>
      </c>
      <c r="AJ226" s="205">
        <v>-1.71354</v>
      </c>
      <c r="AK226" s="205">
        <v>-0.3458401</v>
      </c>
      <c r="AL226" s="205">
        <v>1.64274062</v>
      </c>
      <c r="AM226" s="205">
        <v>-0.0309951</v>
      </c>
      <c r="AN226" s="205">
        <v>0.31158238</v>
      </c>
      <c r="AO226" s="205">
        <v>-0.9526917</v>
      </c>
      <c r="AP226" s="205">
        <v>0.33931485</v>
      </c>
      <c r="AQ226" s="205">
        <v>-0.2022838</v>
      </c>
      <c r="AR226" s="205">
        <v>-0.4420881</v>
      </c>
      <c r="AS226" s="205">
        <v>0.05709625</v>
      </c>
      <c r="AT226" s="205">
        <v>-2.9314845</v>
      </c>
      <c r="AU226" s="205">
        <v>0.70146819</v>
      </c>
      <c r="AV226" s="205">
        <v>-1.7549755</v>
      </c>
      <c r="AW226" s="205">
        <v>-0.3898858</v>
      </c>
      <c r="AX226" s="205">
        <v>-0.2251223</v>
      </c>
      <c r="AY226" s="205">
        <v>0.20391517</v>
      </c>
      <c r="AZ226" s="205">
        <v>0.18433931</v>
      </c>
      <c r="BA226" s="205">
        <v>0.11908646</v>
      </c>
      <c r="BB226" s="205">
        <v>0.57748777</v>
      </c>
      <c r="BC226" s="205">
        <v>-0.0424144</v>
      </c>
      <c r="BD226" s="205">
        <v>-0.1044046</v>
      </c>
      <c r="BE226" s="205">
        <v>0.26916803</v>
      </c>
      <c r="BF226" s="205">
        <v>-0.091354</v>
      </c>
      <c r="BG226" s="205">
        <v>-0.8287113</v>
      </c>
      <c r="BH226" s="205">
        <v>0.72920065</v>
      </c>
      <c r="BI226" s="205">
        <v>0.94453507</v>
      </c>
      <c r="BJ226" s="205">
        <v>0.27406199</v>
      </c>
      <c r="BK226" s="205">
        <v>1.73409462</v>
      </c>
      <c r="BL226" s="205">
        <v>0.28874388</v>
      </c>
      <c r="BM226" s="205">
        <v>0.55954323</v>
      </c>
      <c r="BN226" s="205">
        <v>0.6949429</v>
      </c>
      <c r="BO226" s="205">
        <v>-0.766721</v>
      </c>
      <c r="BP226" s="205">
        <v>-0.5791191</v>
      </c>
      <c r="BQ226" s="206"/>
      <c r="BR226" s="250">
        <f t="shared" si="1"/>
        <v>-0.04207513921</v>
      </c>
      <c r="BS226" s="250">
        <f t="shared" si="2"/>
        <v>0.6303596718</v>
      </c>
      <c r="BT226" s="206"/>
      <c r="BU226" s="207">
        <f>IFERROR(__xludf.DUMMYFUNCTION("AVERAGE(ARRAYFORMULA(XLOOKUP(FILTER(INDIRECT(""'""&amp;BU$1&amp;""'!$C$4:$C$66""),INDIRECT(""'""&amp;BU$1&amp;""'!$D$4:$D$66"")=BU$2),$F$3:$BP$3,$F226:$BP226)))"),0.16483337999999997)</f>
        <v>0.16483338</v>
      </c>
      <c r="BV226" s="207" t="str">
        <f>IFERROR(__xludf.DUMMYFUNCTION("IF(OR(BU226&gt;$BR226+$BS226*$BS$2,BU226&lt;$BR226-$BS226*$BS$2),AVEDEV(ARRAYFORMULA(XLOOKUP(FILTER(INDIRECT(""'""&amp;BU$1&amp;""'!$C$4:$C$66""),INDIRECT(""'""&amp;BU$1&amp;""'!$D$4:$D$66"")=BU$2),$F$3:$BP$3,$F226:$BP226))),"""")"),"")</f>
        <v/>
      </c>
      <c r="BW226" s="207">
        <f>IFERROR(__xludf.DUMMYFUNCTION("AVERAGE(ARRAYFORMULA(XLOOKUP(FILTER(INDIRECT(""'""&amp;BW$1&amp;""'!$C$4:$C$66""),INDIRECT(""'""&amp;BW$1&amp;""'!$D$4:$D$66"")=BW$2),$F$3:$BP$3,$F226:$BP226)))"),-0.0754757954761905)</f>
        <v>-0.07547579548</v>
      </c>
      <c r="BX226" s="207" t="str">
        <f>IFERROR(__xludf.DUMMYFUNCTION("IF(OR(BW226&gt;$BR226+$BS226*$BS$2,BW226&lt;$BR226-$BS226*$BS$2),AVEDEV(ARRAYFORMULA(XLOOKUP(FILTER(INDIRECT(""'""&amp;BW$1&amp;""'!$C$4:$C$66""),INDIRECT(""'""&amp;BW$1&amp;""'!$D$4:$D$66"")=BW$2),$F$3:$BP$3,$F226:$BP226))),"""")"),"")</f>
        <v/>
      </c>
      <c r="BY226" s="207">
        <f>IFERROR(__xludf.DUMMYFUNCTION("AVERAGE(ARRAYFORMULA(XLOOKUP(FILTER(INDIRECT(""'""&amp;BY$1&amp;""'!$C$4:$C$66""),INDIRECT(""'""&amp;BY$1&amp;""'!$D$4:$D$66"")=BY$2),$F$3:$BP$3,$F226:$BP226)))"),0.23164763454545456)</f>
        <v>0.2316476345</v>
      </c>
      <c r="BZ226" s="207" t="str">
        <f>IFERROR(__xludf.DUMMYFUNCTION("IF(OR(BY226&gt;$BR226+$BS226*$BS$2,BY226&lt;$BR226-$BS226*$BS$2),AVEDEV(ARRAYFORMULA(XLOOKUP(FILTER(INDIRECT(""'""&amp;BY$1&amp;""'!$C$4:$C$66""),INDIRECT(""'""&amp;BY$1&amp;""'!$D$4:$D$66"")=BY$2),$F$3:$BP$3,$F226:$BP226))),"""")"),"")</f>
        <v/>
      </c>
      <c r="CA226" s="209"/>
      <c r="CB226" s="207">
        <f>IFERROR(__xludf.DUMMYFUNCTION("AVERAGE(ARRAYFORMULA(XLOOKUP(FILTER(INDIRECT(""'""&amp;CB$1&amp;""'!$C$4:$C$66""),INDIRECT(""'""&amp;CB$1&amp;""'!$D$4:$D$66"")=CB$2),$F$3:$BP$3,$F226:$BP226)))"),-0.40744289812499995)</f>
        <v>-0.4074428981</v>
      </c>
      <c r="CC226" s="207" t="str">
        <f>IFERROR(__xludf.DUMMYFUNCTION("IF(OR(CB226&gt;$BR226+$BS226*$BS$2,CB226&lt;$BR226-$BS226*$BS$2),AVEDEV(ARRAYFORMULA(XLOOKUP(FILTER(INDIRECT(""'""&amp;CB$1&amp;""'!$C$4:$C$66""),INDIRECT(""'""&amp;CB$1&amp;""'!$D$4:$D$66"")=CB$2),$F$3:$BP$3,$F226:$BP226))),"""")"),"")</f>
        <v/>
      </c>
      <c r="CD226" s="207">
        <f>IFERROR(__xludf.DUMMYFUNCTION("AVERAGE(ARRAYFORMULA(XLOOKUP(FILTER(INDIRECT(""'""&amp;CD$1&amp;""'!$C$4:$C$66""),INDIRECT(""'""&amp;CD$1&amp;""'!$D$4:$D$66"")=CD$2),$F$3:$BP$3,$F226:$BP226)))"),0.21928117290322582)</f>
        <v>0.2192811729</v>
      </c>
      <c r="CE226" s="207" t="str">
        <f>IFERROR(__xludf.DUMMYFUNCTION("IF(OR(CD226&gt;$BR226+$BS226*$BS$2,CD226&lt;$BR226-$BS226*$BS$2),AVEDEV(ARRAYFORMULA(XLOOKUP(FILTER(INDIRECT(""'""&amp;CD$1&amp;""'!$C$4:$C$66""),INDIRECT(""'""&amp;CD$1&amp;""'!$D$4:$D$66"")=CD$2),$F$3:$BP$3,$F226:$BP226))),"""")"),"")</f>
        <v/>
      </c>
      <c r="CF226" s="207">
        <f>IFERROR(__xludf.DUMMYFUNCTION("AVERAGE(ARRAYFORMULA(XLOOKUP(FILTER(INDIRECT(""'""&amp;CF$1&amp;""'!$C$4:$C$66""),INDIRECT(""'""&amp;CF$1&amp;""'!$D$4:$D$66"")=CF$2),$F$3:$BP$3,$F226:$BP226)))"),-0.287438838)</f>
        <v>-0.287438838</v>
      </c>
      <c r="CG226" s="207" t="str">
        <f>IFERROR(__xludf.DUMMYFUNCTION("IF(OR(CF226&gt;$BR226+$BS226*$BS$2,CF226&lt;$BR226-$BS226*$BS$2),AVEDEV(ARRAYFORMULA(XLOOKUP(FILTER(INDIRECT(""'""&amp;CF$1&amp;""'!$C$4:$C$66""),INDIRECT(""'""&amp;CF$1&amp;""'!$D$4:$D$66"")=CF$2),$F$3:$BP$3,$F226:$BP226))),"""")"),"")</f>
        <v/>
      </c>
      <c r="CH226" s="206"/>
      <c r="CI226" s="251">
        <f>IFERROR(__xludf.DUMMYFUNCTION("AVERAGE(ARRAYFORMULA(XLOOKUP(FILTER(INDIRECT(""'""&amp;CI$1&amp;""'!$C$4:$C$66""),INDIRECT(""'""&amp;CI$1&amp;""'!$D$4:$D$66"")=CI$2),$F$3:$BP$3,$F226:$BP226)))"),0.07648722266666669)</f>
        <v>0.07648722267</v>
      </c>
      <c r="CJ226" s="207" t="str">
        <f>IFERROR(__xludf.DUMMYFUNCTION("IF(OR(CI226&gt;$BR226+$BS226*$BS$2,CI226&lt;$BR226-$BS226*$BS$2),AVEDEV(ARRAYFORMULA(XLOOKUP(FILTER(INDIRECT(""'""&amp;CI$1&amp;""'!$C$4:$C$66""),INDIRECT(""'""&amp;CI$1&amp;""'!$D$4:$D$66"")=CI$2),$F$3:$BP$3,$F226:$BP226))),"""")"),"")</f>
        <v/>
      </c>
      <c r="CK226" s="251">
        <f>IFERROR(__xludf.DUMMYFUNCTION("AVERAGE(ARRAYFORMULA(XLOOKUP(FILTER(INDIRECT(""'""&amp;CK$1&amp;""'!$C$4:$C$66""),INDIRECT(""'""&amp;CK$1&amp;""'!$D$4:$D$66"")=CK$2),$F$3:$BP$3,$F226:$BP226)))"),-0.023390629230769212)</f>
        <v>-0.02339062923</v>
      </c>
      <c r="CL226" s="207" t="str">
        <f>IFERROR(__xludf.DUMMYFUNCTION("IF(OR(CK226&gt;$BR226+$BS226*$BS$2,CK226&lt;$BR226-$BS226*$BS$2),AVEDEV(ARRAYFORMULA(XLOOKUP(FILTER(INDIRECT(""'""&amp;CK$1&amp;""'!$C$4:$C$66""),INDIRECT(""'""&amp;CK$1&amp;""'!$D$4:$D$66"")=CK$2),$F$3:$BP$3,$F226:$BP226))),"""")"),"")</f>
        <v/>
      </c>
      <c r="CM226" s="251">
        <f>IFERROR(__xludf.DUMMYFUNCTION("AVERAGE(ARRAYFORMULA(XLOOKUP(FILTER(INDIRECT(""'""&amp;CM$1&amp;""'!$C$4:$C$66""),INDIRECT(""'""&amp;CM$1&amp;""'!$D$4:$D$66"")=CM$2),$F$3:$BP$3,$F226:$BP226)))"),-0.287438838)</f>
        <v>-0.287438838</v>
      </c>
      <c r="CN226" s="207" t="str">
        <f>IFERROR(__xludf.DUMMYFUNCTION("IF(OR(CM226&gt;$BR226+$BS226*$BS$2,CM226&lt;$BR226-$BS226*$BS$2),AVEDEV(ARRAYFORMULA(XLOOKUP(FILTER(INDIRECT(""'""&amp;CM$1&amp;""'!$C$4:$C$66""),INDIRECT(""'""&amp;CM$1&amp;""'!$D$4:$D$66"")=CM$2),$F$3:$BP$3,$F226:$BP226))),"""")"),"")</f>
        <v/>
      </c>
      <c r="CO226" s="252"/>
      <c r="CP226" s="251">
        <f>IFERROR(__xludf.DUMMYFUNCTION("AVERAGE(ARRAYFORMULA(XLOOKUP(FILTER(INDIRECT(""'""&amp;CP$1&amp;""'!$C$4:$C$66""),INDIRECT(""'""&amp;CP$1&amp;""'!$D$4:$D$66"")=CP$2),$F$3:$BP$3,$F226:$BP226)))"),-0.5138895278571428)</f>
        <v>-0.5138895279</v>
      </c>
      <c r="CQ226" s="207" t="str">
        <f>IFERROR(__xludf.DUMMYFUNCTION("IF(OR(CP226&gt;$BR226+$BS226*$BS$2,CP226&lt;$BR226-$BS226*$BS$2),AVEDEV(ARRAYFORMULA(XLOOKUP(FILTER(INDIRECT(""'""&amp;CP$1&amp;""'!$C$4:$C$66""),INDIRECT(""'""&amp;CP$1&amp;""'!$D$4:$D$66"")=CP$2),$F$3:$BP$3,$F226:$BP226))),"""")"),"")</f>
        <v/>
      </c>
      <c r="CR226" s="251">
        <f>IFERROR(__xludf.DUMMYFUNCTION("AVERAGE(ARRAYFORMULA(XLOOKUP(FILTER(INDIRECT(""'""&amp;CR$1&amp;""'!$C$4:$C$66""),INDIRECT(""'""&amp;CR$1&amp;""'!$D$4:$D$66"")=CR$2),$F$3:$BP$3,$F226:$BP226)))"),0.22838499222222225)</f>
        <v>0.2283849922</v>
      </c>
      <c r="CS226" s="207" t="str">
        <f>IFERROR(__xludf.DUMMYFUNCTION("IF(OR(CR226&gt;$BR226+$BS226*$BS$2,CR226&lt;$BR226-$BS226*$BS$2),AVEDEV(ARRAYFORMULA(XLOOKUP(FILTER(INDIRECT(""'""&amp;CR$1&amp;""'!$C$4:$C$66""),INDIRECT(""'""&amp;CR$1&amp;""'!$D$4:$D$66"")=CR$2),$F$3:$BP$3,$F226:$BP226))),"""")"),"")</f>
        <v/>
      </c>
      <c r="CT226" s="251">
        <f>IFERROR(__xludf.DUMMYFUNCTION("AVERAGE(ARRAYFORMULA(XLOOKUP(FILTER(INDIRECT(""'""&amp;CT$1&amp;""'!$C$4:$C$66""),INDIRECT(""'""&amp;CT$1&amp;""'!$D$4:$D$66"")=CT$2),$F$3:$BP$3,$F226:$BP226)))"),0.37787335)</f>
        <v>0.37787335</v>
      </c>
      <c r="CU226" s="207" t="str">
        <f>IFERROR(__xludf.DUMMYFUNCTION("IF(OR(CT226&gt;$BR226+$BS226*$BS$2,CT226&lt;$BR226-$BS226*$BS$2),AVEDEV(ARRAYFORMULA(XLOOKUP(FILTER(INDIRECT(""'""&amp;CT$1&amp;""'!$C$4:$C$66""),INDIRECT(""'""&amp;CT$1&amp;""'!$D$4:$D$66"")=CT$2),$F$3:$BP$3,$F226:$BP226))),"""")"),"")</f>
        <v/>
      </c>
      <c r="CV226" s="251">
        <f>IFERROR(__xludf.DUMMYFUNCTION("AVERAGE(ARRAYFORMULA(XLOOKUP(FILTER(INDIRECT(""'""&amp;CV$1&amp;""'!$C$4:$C$66""),INDIRECT(""'""&amp;CV$1&amp;""'!$D$4:$D$66"")=CV$2),$F$3:$BP$3,$F226:$BP226)))"),-0.637031)</f>
        <v>-0.637031</v>
      </c>
      <c r="CW226" s="207" t="str">
        <f>IFERROR(__xludf.DUMMYFUNCTION("IF(OR(CV226&gt;$BR226+$BS226*$BS$2,CV226&lt;$BR226-$BS226*$BS$2),AVEDEV(ARRAYFORMULA(XLOOKUP(FILTER(INDIRECT(""'""&amp;CV$1&amp;""'!$C$4:$C$66""),INDIRECT(""'""&amp;CV$1&amp;""'!$D$4:$D$66"")=CV$2),$F$3:$BP$3,$F226:$BP226))),"""")"),"")</f>
        <v/>
      </c>
      <c r="CX226" s="251">
        <f>IFERROR(__xludf.DUMMYFUNCTION("AVERAGE(ARRAYFORMULA(XLOOKUP(FILTER(INDIRECT(""'""&amp;CX$1&amp;""'!$C$4:$C$66""),INDIRECT(""'""&amp;CX$1&amp;""'!$D$4:$D$66"")=CX$2),$F$3:$BP$3,$F226:$BP226)))"),0.16208344285714288)</f>
        <v>0.1620834429</v>
      </c>
      <c r="CY226" s="207" t="str">
        <f>IFERROR(__xludf.DUMMYFUNCTION("IF(OR(CX226&gt;$BR226+$BS226*$BS$2,CX226&lt;$BR226-$BS226*$BS$2),AVEDEV(ARRAYFORMULA(XLOOKUP(FILTER(INDIRECT(""'""&amp;CX$1&amp;""'!$C$4:$C$66""),INDIRECT(""'""&amp;CX$1&amp;""'!$D$4:$D$66"")=CX$2),$F$3:$BP$3,$F226:$BP226))),"""")"),"")</f>
        <v/>
      </c>
      <c r="CZ226" s="252"/>
      <c r="DA226" s="251">
        <f>IFERROR(__xludf.DUMMYFUNCTION("AVERAGE(ARRAYFORMULA(XLOOKUP(FILTER(INDIRECT(""'""&amp;DA$1&amp;""'!$C$4:$C$66""),INDIRECT(""'""&amp;DA$1&amp;""'!$D$4:$D$66"")=DA$2),$F$3:$BP$3,$F226:$BP226)))"),-0.19501902733333334)</f>
        <v>-0.1950190273</v>
      </c>
      <c r="DB226" s="207" t="str">
        <f>IFERROR(__xludf.DUMMYFUNCTION("IF(OR(DA226&gt;$BR226+$BS226*$BS$2,DA226&lt;$BR226-$BS226*$BS$2),AVEDEV(ARRAYFORMULA(XLOOKUP(FILTER(INDIRECT(""'""&amp;DA$1&amp;""'!$C$4:$C$66""),INDIRECT(""'""&amp;DA$1&amp;""'!$D$4:$D$66"")=DA$2),$F$3:$BP$3,$F226:$BP226))),"""")"),"")</f>
        <v/>
      </c>
      <c r="DC226" s="251">
        <f>IFERROR(__xludf.DUMMYFUNCTION("AVERAGE(ARRAYFORMULA(XLOOKUP(FILTER(INDIRECT(""'""&amp;DC$1&amp;""'!$C$4:$C$66""),INDIRECT(""'""&amp;DC$1&amp;""'!$D$4:$D$66"")=DC$2),$F$3:$BP$3,$F226:$BP226)))"),0.16530723222222224)</f>
        <v>0.1653072322</v>
      </c>
      <c r="DD226" s="207" t="str">
        <f>IFERROR(__xludf.DUMMYFUNCTION("IF(OR(DC226&gt;$BR226+$BS226*$BS$2,DC226&lt;$BR226-$BS226*$BS$2),AVEDEV(ARRAYFORMULA(XLOOKUP(FILTER(INDIRECT(""'""&amp;DC$1&amp;""'!$C$4:$C$66""),INDIRECT(""'""&amp;DC$1&amp;""'!$D$4:$D$66"")=DC$2),$F$3:$BP$3,$F226:$BP226))),"""")"),"")</f>
        <v/>
      </c>
      <c r="DE226" s="251">
        <f>IFERROR(__xludf.DUMMYFUNCTION("AVERAGE(ARRAYFORMULA(XLOOKUP(FILTER(INDIRECT(""'""&amp;DE$1&amp;""'!$C$4:$C$66""),INDIRECT(""'""&amp;DE$1&amp;""'!$D$4:$D$66"")=DE$2),$F$3:$BP$3,$F226:$BP226)))"),0.4571778250000001)</f>
        <v>0.457177825</v>
      </c>
      <c r="DF226" s="207" t="str">
        <f>IFERROR(__xludf.DUMMYFUNCTION("IF(OR(DE226&gt;$BR226+$BS226*$BS$2,DE226&lt;$BR226-$BS226*$BS$2),AVEDEV(ARRAYFORMULA(XLOOKUP(FILTER(INDIRECT(""'""&amp;DE$1&amp;""'!$C$4:$C$66""),INDIRECT(""'""&amp;DE$1&amp;""'!$D$4:$D$66"")=DE$2),$F$3:$BP$3,$F226:$BP226))),"""")"),"")</f>
        <v/>
      </c>
      <c r="DG226" s="251">
        <f>IFERROR(__xludf.DUMMYFUNCTION("AVERAGE(ARRAYFORMULA(XLOOKUP(FILTER(INDIRECT(""'""&amp;DG$1&amp;""'!$C$4:$C$66""),INDIRECT(""'""&amp;DG$1&amp;""'!$D$4:$D$66"")=DG$2),$F$3:$BP$3,$F226:$BP226)))"),0.10933478444444446)</f>
        <v>0.1093347844</v>
      </c>
      <c r="DH226" s="207" t="str">
        <f>IFERROR(__xludf.DUMMYFUNCTION("IF(OR(DG226&gt;$BR226+$BS226*$BS$2,DG226&lt;$BR226-$BS226*$BS$2),AVEDEV(ARRAYFORMULA(XLOOKUP(FILTER(INDIRECT(""'""&amp;DG$1&amp;""'!$C$4:$C$66""),INDIRECT(""'""&amp;DG$1&amp;""'!$D$4:$D$66"")=DG$2),$F$3:$BP$3,$F226:$BP226))),"""")"),"")</f>
        <v/>
      </c>
      <c r="DI226" s="252"/>
    </row>
    <row r="227">
      <c r="A227" s="2"/>
      <c r="B227" s="204" t="s">
        <v>671</v>
      </c>
      <c r="C227" s="204" t="s">
        <v>674</v>
      </c>
      <c r="D227" s="205" t="b">
        <f>VLOOKUP(C227,'Feature Set List'!A224:C246,2,0)</f>
        <v>1</v>
      </c>
      <c r="E227" s="205" t="b">
        <f>VLOOKUP(C227,'Feature Set List'!A224:C246,3,0)</f>
        <v>0</v>
      </c>
      <c r="F227" s="205">
        <v>0.35800236</v>
      </c>
      <c r="G227" s="205">
        <v>-0.7451042</v>
      </c>
      <c r="H227" s="205">
        <v>0.10460087</v>
      </c>
      <c r="I227" s="205">
        <v>-0.3652379</v>
      </c>
      <c r="J227" s="205">
        <v>-0.6441211</v>
      </c>
      <c r="K227" s="205">
        <v>0.47597326</v>
      </c>
      <c r="L227" s="205">
        <v>1.37097916</v>
      </c>
      <c r="M227" s="205">
        <v>-0.1118364</v>
      </c>
      <c r="N227" s="205">
        <v>-0.0075501</v>
      </c>
      <c r="O227" s="205">
        <v>0.15996854</v>
      </c>
      <c r="P227" s="205">
        <v>-0.3595753</v>
      </c>
      <c r="Q227" s="205">
        <v>0.78584349</v>
      </c>
      <c r="R227" s="205">
        <v>0.13841919</v>
      </c>
      <c r="S227" s="205">
        <v>0.19127015</v>
      </c>
      <c r="T227" s="205">
        <v>0.0</v>
      </c>
      <c r="U227" s="205">
        <v>-0.5832481</v>
      </c>
      <c r="V227" s="205">
        <v>0.52473457</v>
      </c>
      <c r="W227" s="205">
        <v>-1.1535981</v>
      </c>
      <c r="X227" s="205">
        <v>1.21368462</v>
      </c>
      <c r="Y227" s="205">
        <v>0.9525757</v>
      </c>
      <c r="Z227" s="205">
        <v>-0.0907589</v>
      </c>
      <c r="AA227" s="205">
        <v>-0.0353913</v>
      </c>
      <c r="AB227" s="205">
        <v>0.30766811</v>
      </c>
      <c r="AC227" s="205">
        <v>0.01808887</v>
      </c>
      <c r="AD227" s="205">
        <v>-0.7328352</v>
      </c>
      <c r="AE227" s="205">
        <v>0.61124656</v>
      </c>
      <c r="AF227" s="205">
        <v>-0.7130161</v>
      </c>
      <c r="AG227" s="205">
        <v>0.11466772</v>
      </c>
      <c r="AH227" s="205">
        <v>-0.237672</v>
      </c>
      <c r="AI227" s="205">
        <v>-0.7042076</v>
      </c>
      <c r="AJ227" s="205">
        <v>-0.539363</v>
      </c>
      <c r="AK227" s="205">
        <v>0.30766811</v>
      </c>
      <c r="AL227" s="205">
        <v>0.56248525</v>
      </c>
      <c r="AM227" s="205">
        <v>-0.0371215</v>
      </c>
      <c r="AN227" s="205">
        <v>0.8173024</v>
      </c>
      <c r="AO227" s="205">
        <v>-0.8279984</v>
      </c>
      <c r="AP227" s="205">
        <v>0.86449076</v>
      </c>
      <c r="AQ227" s="205">
        <v>-0.3325206</v>
      </c>
      <c r="AR227" s="205">
        <v>0.77955171</v>
      </c>
      <c r="AS227" s="205">
        <v>-0.7032639</v>
      </c>
      <c r="AT227" s="205">
        <v>-1.3407786</v>
      </c>
      <c r="AU227" s="205">
        <v>-0.6710185</v>
      </c>
      <c r="AV227" s="205">
        <v>-0.5763272</v>
      </c>
      <c r="AW227" s="205">
        <v>-0.5272513</v>
      </c>
      <c r="AX227" s="205">
        <v>-0.7194652</v>
      </c>
      <c r="AY227" s="205">
        <v>-0.0514353</v>
      </c>
      <c r="AZ227" s="205">
        <v>0.19142745</v>
      </c>
      <c r="BA227" s="205">
        <v>-0.9421943</v>
      </c>
      <c r="BB227" s="205">
        <v>-0.0805348</v>
      </c>
      <c r="BC227" s="205">
        <v>0.40833661</v>
      </c>
      <c r="BD227" s="205">
        <v>-0.1115218</v>
      </c>
      <c r="BE227" s="205">
        <v>0.68517499</v>
      </c>
      <c r="BF227" s="205">
        <v>0.92898152</v>
      </c>
      <c r="BG227" s="205">
        <v>-1.115061</v>
      </c>
      <c r="BH227" s="205">
        <v>1.10829729</v>
      </c>
      <c r="BI227" s="205">
        <v>-0.7076681</v>
      </c>
      <c r="BJ227" s="205">
        <v>0.07723162</v>
      </c>
      <c r="BK227" s="205">
        <v>0.03602045</v>
      </c>
      <c r="BL227" s="205">
        <v>1.38198978</v>
      </c>
      <c r="BM227" s="205">
        <v>0.39889894</v>
      </c>
      <c r="BN227" s="205">
        <v>0.35485647</v>
      </c>
      <c r="BO227" s="205">
        <v>0.57192293</v>
      </c>
      <c r="BP227" s="205">
        <v>-0.1640582</v>
      </c>
      <c r="BQ227" s="206"/>
      <c r="BR227" s="250">
        <f t="shared" si="1"/>
        <v>0.01381945159</v>
      </c>
      <c r="BS227" s="250">
        <f t="shared" si="2"/>
        <v>0.5198081413</v>
      </c>
      <c r="BT227" s="206"/>
      <c r="BU227" s="207">
        <f>IFERROR(__xludf.DUMMYFUNCTION("AVERAGE(ARRAYFORMULA(XLOOKUP(FILTER(INDIRECT(""'""&amp;BU$1&amp;""'!$C$4:$C$66""),INDIRECT(""'""&amp;BU$1&amp;""'!$D$4:$D$66"")=BU$2),$F$3:$BP$3,$F227:$BP227)))"),-0.29620807857142856)</f>
        <v>-0.2962080786</v>
      </c>
      <c r="BV227" s="207" t="str">
        <f>IFERROR(__xludf.DUMMYFUNCTION("IF(OR(BU227&gt;$BR227+$BS227*$BS$2,BU227&lt;$BR227-$BS227*$BS$2),AVEDEV(ARRAYFORMULA(XLOOKUP(FILTER(INDIRECT(""'""&amp;BU$1&amp;""'!$C$4:$C$66""),INDIRECT(""'""&amp;BU$1&amp;""'!$D$4:$D$66"")=BU$2),$F$3:$BP$3,$F227:$BP227))),"""")"),"")</f>
        <v/>
      </c>
      <c r="BW227" s="207">
        <f>IFERROR(__xludf.DUMMYFUNCTION("AVERAGE(ARRAYFORMULA(XLOOKUP(FILTER(INDIRECT(""'""&amp;BW$1&amp;""'!$C$4:$C$66""),INDIRECT(""'""&amp;BW$1&amp;""'!$D$4:$D$66"")=BW$2),$F$3:$BP$3,$F227:$BP227)))"),-0.0632361435714286)</f>
        <v>-0.06323614357</v>
      </c>
      <c r="BX227" s="207" t="str">
        <f>IFERROR(__xludf.DUMMYFUNCTION("IF(OR(BW227&gt;$BR227+$BS227*$BS$2,BW227&lt;$BR227-$BS227*$BS$2),AVEDEV(ARRAYFORMULA(XLOOKUP(FILTER(INDIRECT(""'""&amp;BW$1&amp;""'!$C$4:$C$66""),INDIRECT(""'""&amp;BW$1&amp;""'!$D$4:$D$66"")=BW$2),$F$3:$BP$3,$F227:$BP227))),"""")"),"")</f>
        <v/>
      </c>
      <c r="BY227" s="207">
        <f>IFERROR(__xludf.DUMMYFUNCTION("AVERAGE(ARRAYFORMULA(XLOOKUP(FILTER(INDIRECT(""'""&amp;BY$1&amp;""'!$C$4:$C$66""),INDIRECT(""'""&amp;BY$1&amp;""'!$D$4:$D$66"")=BY$2),$F$3:$BP$3,$F227:$BP227)))"),0.5843491954545456)</f>
        <v>0.5843491955</v>
      </c>
      <c r="BZ227" s="207">
        <f>IFERROR(__xludf.DUMMYFUNCTION("IF(OR(BY227&gt;$BR227+$BS227*$BS$2,BY227&lt;$BR227-$BS227*$BS$2),AVEDEV(ARRAYFORMULA(XLOOKUP(FILTER(INDIRECT(""'""&amp;BY$1&amp;""'!$C$4:$C$66""),INDIRECT(""'""&amp;BY$1&amp;""'!$D$4:$D$66"")=BY$2),$F$3:$BP$3,$F227:$BP227))),"""")"),0.4073642433057851)</f>
        <v>0.4073642433</v>
      </c>
      <c r="CA227" s="209"/>
      <c r="CB227" s="207">
        <f>IFERROR(__xludf.DUMMYFUNCTION("AVERAGE(ARRAYFORMULA(XLOOKUP(FILTER(INDIRECT(""'""&amp;CB$1&amp;""'!$C$4:$C$66""),INDIRECT(""'""&amp;CB$1&amp;""'!$D$4:$D$66"")=CB$2),$F$3:$BP$3,$F227:$BP227)))"),-0.38578450312499996)</f>
        <v>-0.3857845031</v>
      </c>
      <c r="CC227" s="207" t="str">
        <f>IFERROR(__xludf.DUMMYFUNCTION("IF(OR(CB227&gt;$BR227+$BS227*$BS$2,CB227&lt;$BR227-$BS227*$BS$2),AVEDEV(ARRAYFORMULA(XLOOKUP(FILTER(INDIRECT(""'""&amp;CB$1&amp;""'!$C$4:$C$66""),INDIRECT(""'""&amp;CB$1&amp;""'!$D$4:$D$66"")=CB$2),$F$3:$BP$3,$F227:$BP227))),"""")"),"")</f>
        <v/>
      </c>
      <c r="CD227" s="207">
        <f>IFERROR(__xludf.DUMMYFUNCTION("AVERAGE(ARRAYFORMULA(XLOOKUP(FILTER(INDIRECT(""'""&amp;CD$1&amp;""'!$C$4:$C$66""),INDIRECT(""'""&amp;CD$1&amp;""'!$D$4:$D$66"")=CD$2),$F$3:$BP$3,$F227:$BP227)))"),0.15112960612903226)</f>
        <v>0.1511296061</v>
      </c>
      <c r="CE227" s="207" t="str">
        <f>IFERROR(__xludf.DUMMYFUNCTION("IF(OR(CD227&gt;$BR227+$BS227*$BS$2,CD227&lt;$BR227-$BS227*$BS$2),AVEDEV(ARRAYFORMULA(XLOOKUP(FILTER(INDIRECT(""'""&amp;CD$1&amp;""'!$C$4:$C$66""),INDIRECT(""'""&amp;CD$1&amp;""'!$D$4:$D$66"")=CD$2),$F$3:$BP$3,$F227:$BP227))),"""")"),"")</f>
        <v/>
      </c>
      <c r="CF227" s="207">
        <f>IFERROR(__xludf.DUMMYFUNCTION("AVERAGE(ARRAYFORMULA(XLOOKUP(FILTER(INDIRECT(""'""&amp;CF$1&amp;""'!$C$4:$C$66""),INDIRECT(""'""&amp;CF$1&amp;""'!$D$4:$D$66"")=CF$2),$F$3:$BP$3,$F227:$BP227)))"),0.45023987400000004)</f>
        <v>0.450239874</v>
      </c>
      <c r="CG227" s="207" t="str">
        <f>IFERROR(__xludf.DUMMYFUNCTION("IF(OR(CF227&gt;$BR227+$BS227*$BS$2,CF227&lt;$BR227-$BS227*$BS$2),AVEDEV(ARRAYFORMULA(XLOOKUP(FILTER(INDIRECT(""'""&amp;CF$1&amp;""'!$C$4:$C$66""),INDIRECT(""'""&amp;CF$1&amp;""'!$D$4:$D$66"")=CF$2),$F$3:$BP$3,$F227:$BP227))),"""")"),"")</f>
        <v/>
      </c>
      <c r="CH227" s="206"/>
      <c r="CI227" s="251">
        <f>IFERROR(__xludf.DUMMYFUNCTION("AVERAGE(ARRAYFORMULA(XLOOKUP(FILTER(INDIRECT(""'""&amp;CI$1&amp;""'!$C$4:$C$66""),INDIRECT(""'""&amp;CI$1&amp;""'!$D$4:$D$66"")=CI$2),$F$3:$BP$3,$F227:$BP227)))"),-0.01003538933333333)</f>
        <v>-0.01003538933</v>
      </c>
      <c r="CJ227" s="207" t="str">
        <f>IFERROR(__xludf.DUMMYFUNCTION("IF(OR(CI227&gt;$BR227+$BS227*$BS$2,CI227&lt;$BR227-$BS227*$BS$2),AVEDEV(ARRAYFORMULA(XLOOKUP(FILTER(INDIRECT(""'""&amp;CI$1&amp;""'!$C$4:$C$66""),INDIRECT(""'""&amp;CI$1&amp;""'!$D$4:$D$66"")=CI$2),$F$3:$BP$3,$F227:$BP227))),"""")"),"")</f>
        <v/>
      </c>
      <c r="CK227" s="251">
        <f>IFERROR(__xludf.DUMMYFUNCTION("AVERAGE(ARRAYFORMULA(XLOOKUP(FILTER(INDIRECT(""'""&amp;CK$1&amp;""'!$C$4:$C$66""),INDIRECT(""'""&amp;CK$1&amp;""'!$D$4:$D$66"")=CK$2),$F$3:$BP$3,$F227:$BP227)))"),-0.011236472051282052)</f>
        <v>-0.01123647205</v>
      </c>
      <c r="CL227" s="207" t="str">
        <f>IFERROR(__xludf.DUMMYFUNCTION("IF(OR(CK227&gt;$BR227+$BS227*$BS$2,CK227&lt;$BR227-$BS227*$BS$2),AVEDEV(ARRAYFORMULA(XLOOKUP(FILTER(INDIRECT(""'""&amp;CK$1&amp;""'!$C$4:$C$66""),INDIRECT(""'""&amp;CK$1&amp;""'!$D$4:$D$66"")=CK$2),$F$3:$BP$3,$F227:$BP227))),"""")"),"")</f>
        <v/>
      </c>
      <c r="CM227" s="251">
        <f>IFERROR(__xludf.DUMMYFUNCTION("AVERAGE(ARRAYFORMULA(XLOOKUP(FILTER(INDIRECT(""'""&amp;CM$1&amp;""'!$C$4:$C$66""),INDIRECT(""'""&amp;CM$1&amp;""'!$D$4:$D$66"")=CM$2),$F$3:$BP$3,$F227:$BP227)))"),0.45023987400000004)</f>
        <v>0.450239874</v>
      </c>
      <c r="CN227" s="207" t="str">
        <f>IFERROR(__xludf.DUMMYFUNCTION("IF(OR(CM227&gt;$BR227+$BS227*$BS$2,CM227&lt;$BR227-$BS227*$BS$2),AVEDEV(ARRAYFORMULA(XLOOKUP(FILTER(INDIRECT(""'""&amp;CM$1&amp;""'!$C$4:$C$66""),INDIRECT(""'""&amp;CM$1&amp;""'!$D$4:$D$66"")=CM$2),$F$3:$BP$3,$F227:$BP227))),"""")"),"")</f>
        <v/>
      </c>
      <c r="CO227" s="252"/>
      <c r="CP227" s="251">
        <f>IFERROR(__xludf.DUMMYFUNCTION("AVERAGE(ARRAYFORMULA(XLOOKUP(FILTER(INDIRECT(""'""&amp;CP$1&amp;""'!$C$4:$C$66""),INDIRECT(""'""&amp;CP$1&amp;""'!$D$4:$D$66"")=CP$2),$F$3:$BP$3,$F227:$BP227)))"),-0.2498623585714286)</f>
        <v>-0.2498623586</v>
      </c>
      <c r="CQ227" s="207" t="str">
        <f>IFERROR(__xludf.DUMMYFUNCTION("IF(OR(CP227&gt;$BR227+$BS227*$BS$2,CP227&lt;$BR227-$BS227*$BS$2),AVEDEV(ARRAYFORMULA(XLOOKUP(FILTER(INDIRECT(""'""&amp;CP$1&amp;""'!$C$4:$C$66""),INDIRECT(""'""&amp;CP$1&amp;""'!$D$4:$D$66"")=CP$2),$F$3:$BP$3,$F227:$BP227))),"""")"),"")</f>
        <v/>
      </c>
      <c r="CR227" s="251">
        <f>IFERROR(__xludf.DUMMYFUNCTION("AVERAGE(ARRAYFORMULA(XLOOKUP(FILTER(INDIRECT(""'""&amp;CR$1&amp;""'!$C$4:$C$66""),INDIRECT(""'""&amp;CR$1&amp;""'!$D$4:$D$66"")=CR$2),$F$3:$BP$3,$F227:$BP227)))"),0.5663651855555556)</f>
        <v>0.5663651856</v>
      </c>
      <c r="CS227" s="207">
        <f>IFERROR(__xludf.DUMMYFUNCTION("IF(OR(CR227&gt;$BR227+$BS227*$BS$2,CR227&lt;$BR227-$BS227*$BS$2),AVEDEV(ARRAYFORMULA(XLOOKUP(FILTER(INDIRECT(""'""&amp;CR$1&amp;""'!$C$4:$C$66""),INDIRECT(""'""&amp;CR$1&amp;""'!$D$4:$D$66"")=CR$2),$F$3:$BP$3,$F227:$BP227))),"""")"),0.33262550740740743)</f>
        <v>0.3326255074</v>
      </c>
      <c r="CT227" s="251">
        <f>IFERROR(__xludf.DUMMYFUNCTION("AVERAGE(ARRAYFORMULA(XLOOKUP(FILTER(INDIRECT(""'""&amp;CT$1&amp;""'!$C$4:$C$66""),INDIRECT(""'""&amp;CT$1&amp;""'!$D$4:$D$66"")=CT$2),$F$3:$BP$3,$F227:$BP227)))"),0.07774639636363635)</f>
        <v>0.07774639636</v>
      </c>
      <c r="CU227" s="207" t="str">
        <f>IFERROR(__xludf.DUMMYFUNCTION("IF(OR(CT227&gt;$BR227+$BS227*$BS$2,CT227&lt;$BR227-$BS227*$BS$2),AVEDEV(ARRAYFORMULA(XLOOKUP(FILTER(INDIRECT(""'""&amp;CT$1&amp;""'!$C$4:$C$66""),INDIRECT(""'""&amp;CT$1&amp;""'!$D$4:$D$66"")=CT$2),$F$3:$BP$3,$F227:$BP227))),"""")"),"")</f>
        <v/>
      </c>
      <c r="CV227" s="251">
        <f>IFERROR(__xludf.DUMMYFUNCTION("AVERAGE(ARRAYFORMULA(XLOOKUP(FILTER(INDIRECT(""'""&amp;CV$1&amp;""'!$C$4:$C$66""),INDIRECT(""'""&amp;CV$1&amp;""'!$D$4:$D$66"")=CV$2),$F$3:$BP$3,$F227:$BP227)))"),-0.5484860650000001)</f>
        <v>-0.548486065</v>
      </c>
      <c r="CW227" s="207">
        <f>IFERROR(__xludf.DUMMYFUNCTION("IF(OR(CV227&gt;$BR227+$BS227*$BS$2,CV227&lt;$BR227-$BS227*$BS$2),AVEDEV(ARRAYFORMULA(XLOOKUP(FILTER(INDIRECT(""'""&amp;CV$1&amp;""'!$C$4:$C$66""),INDIRECT(""'""&amp;CV$1&amp;""'!$D$4:$D$66"")=CV$2),$F$3:$BP$3,$F227:$BP227))),"""")"),0.566574935)</f>
        <v>0.566574935</v>
      </c>
      <c r="CX227" s="251">
        <f>IFERROR(__xludf.DUMMYFUNCTION("AVERAGE(ARRAYFORMULA(XLOOKUP(FILTER(INDIRECT(""'""&amp;CX$1&amp;""'!$C$4:$C$66""),INDIRECT(""'""&amp;CX$1&amp;""'!$D$4:$D$66"")=CX$2),$F$3:$BP$3,$F227:$BP227)))"),0.06407506071428573)</f>
        <v>0.06407506071</v>
      </c>
      <c r="CY227" s="207" t="str">
        <f>IFERROR(__xludf.DUMMYFUNCTION("IF(OR(CX227&gt;$BR227+$BS227*$BS$2,CX227&lt;$BR227-$BS227*$BS$2),AVEDEV(ARRAYFORMULA(XLOOKUP(FILTER(INDIRECT(""'""&amp;CX$1&amp;""'!$C$4:$C$66""),INDIRECT(""'""&amp;CX$1&amp;""'!$D$4:$D$66"")=CX$2),$F$3:$BP$3,$F227:$BP227))),"""")"),"")</f>
        <v/>
      </c>
      <c r="CZ227" s="252"/>
      <c r="DA227" s="251">
        <f>IFERROR(__xludf.DUMMYFUNCTION("AVERAGE(ARRAYFORMULA(XLOOKUP(FILTER(INDIRECT(""'""&amp;DA$1&amp;""'!$C$4:$C$66""),INDIRECT(""'""&amp;DA$1&amp;""'!$D$4:$D$66"")=DA$2),$F$3:$BP$3,$F227:$BP227)))"),-0.1083444716666667)</f>
        <v>-0.1083444717</v>
      </c>
      <c r="DB227" s="207" t="str">
        <f>IFERROR(__xludf.DUMMYFUNCTION("IF(OR(DA227&gt;$BR227+$BS227*$BS$2,DA227&lt;$BR227-$BS227*$BS$2),AVEDEV(ARRAYFORMULA(XLOOKUP(FILTER(INDIRECT(""'""&amp;DA$1&amp;""'!$C$4:$C$66""),INDIRECT(""'""&amp;DA$1&amp;""'!$D$4:$D$66"")=DA$2),$F$3:$BP$3,$F227:$BP227))),"""")"),"")</f>
        <v/>
      </c>
      <c r="DC227" s="251">
        <f>IFERROR(__xludf.DUMMYFUNCTION("AVERAGE(ARRAYFORMULA(XLOOKUP(FILTER(INDIRECT(""'""&amp;DC$1&amp;""'!$C$4:$C$66""),INDIRECT(""'""&amp;DC$1&amp;""'!$D$4:$D$66"")=DC$2),$F$3:$BP$3,$F227:$BP227)))"),0.4425918633333333)</f>
        <v>0.4425918633</v>
      </c>
      <c r="DD227" s="207" t="str">
        <f>IFERROR(__xludf.DUMMYFUNCTION("IF(OR(DC227&gt;$BR227+$BS227*$BS$2,DC227&lt;$BR227-$BS227*$BS$2),AVEDEV(ARRAYFORMULA(XLOOKUP(FILTER(INDIRECT(""'""&amp;DC$1&amp;""'!$C$4:$C$66""),INDIRECT(""'""&amp;DC$1&amp;""'!$D$4:$D$66"")=DC$2),$F$3:$BP$3,$F227:$BP227))),"""")"),"")</f>
        <v/>
      </c>
      <c r="DE227" s="251">
        <f>IFERROR(__xludf.DUMMYFUNCTION("AVERAGE(ARRAYFORMULA(XLOOKUP(FILTER(INDIRECT(""'""&amp;DE$1&amp;""'!$C$4:$C$66""),INDIRECT(""'""&amp;DE$1&amp;""'!$D$4:$D$66"")=DE$2),$F$3:$BP$3,$F227:$BP227)))"),-0.08114430250000002)</f>
        <v>-0.0811443025</v>
      </c>
      <c r="DF227" s="207" t="str">
        <f>IFERROR(__xludf.DUMMYFUNCTION("IF(OR(DE227&gt;$BR227+$BS227*$BS$2,DE227&lt;$BR227-$BS227*$BS$2),AVEDEV(ARRAYFORMULA(XLOOKUP(FILTER(INDIRECT(""'""&amp;DE$1&amp;""'!$C$4:$C$66""),INDIRECT(""'""&amp;DE$1&amp;""'!$D$4:$D$66"")=DE$2),$F$3:$BP$3,$F227:$BP227))),"""")"),"")</f>
        <v/>
      </c>
      <c r="DG227" s="251">
        <f>IFERROR(__xludf.DUMMYFUNCTION("AVERAGE(ARRAYFORMULA(XLOOKUP(FILTER(INDIRECT(""'""&amp;DG$1&amp;""'!$C$4:$C$66""),INDIRECT(""'""&amp;DG$1&amp;""'!$D$4:$D$66"")=DG$2),$F$3:$BP$3,$F227:$BP227)))"),0.24971380222222223)</f>
        <v>0.2497138022</v>
      </c>
      <c r="DH227" s="207" t="str">
        <f>IFERROR(__xludf.DUMMYFUNCTION("IF(OR(DG227&gt;$BR227+$BS227*$BS$2,DG227&lt;$BR227-$BS227*$BS$2),AVEDEV(ARRAYFORMULA(XLOOKUP(FILTER(INDIRECT(""'""&amp;DG$1&amp;""'!$C$4:$C$66""),INDIRECT(""'""&amp;DG$1&amp;""'!$D$4:$D$66"")=DG$2),$F$3:$BP$3,$F227:$BP227))),"""")"),"")</f>
        <v/>
      </c>
      <c r="DI227" s="252"/>
    </row>
    <row r="228">
      <c r="A228" s="2"/>
      <c r="B228" s="204" t="s">
        <v>671</v>
      </c>
      <c r="C228" s="204" t="s">
        <v>675</v>
      </c>
      <c r="D228" s="205" t="b">
        <f>VLOOKUP(C228,'Feature Set List'!A225:C246,2,0)</f>
        <v>1</v>
      </c>
      <c r="E228" s="205" t="b">
        <f>VLOOKUP(C228,'Feature Set List'!A225:C246,3,0)</f>
        <v>0</v>
      </c>
      <c r="F228" s="205">
        <v>1.40891411</v>
      </c>
      <c r="G228" s="205">
        <v>-0.4754192</v>
      </c>
      <c r="H228" s="205">
        <v>0.57361474</v>
      </c>
      <c r="I228" s="205">
        <v>-0.6120003</v>
      </c>
      <c r="J228" s="205">
        <v>-0.7322579</v>
      </c>
      <c r="K228" s="205">
        <v>0.24268316</v>
      </c>
      <c r="L228" s="205">
        <v>0.0</v>
      </c>
      <c r="M228" s="205">
        <v>-0.7897724</v>
      </c>
      <c r="N228" s="205">
        <v>-0.5669834</v>
      </c>
      <c r="O228" s="205">
        <v>0.4014538</v>
      </c>
      <c r="P228" s="205">
        <v>-0.6660715</v>
      </c>
      <c r="Q228" s="205">
        <v>0.19460562</v>
      </c>
      <c r="R228" s="205">
        <v>-0.3786265</v>
      </c>
      <c r="S228" s="205">
        <v>0.44863865</v>
      </c>
      <c r="T228" s="205">
        <v>0.65650705</v>
      </c>
      <c r="U228" s="205">
        <v>-0.8867564</v>
      </c>
      <c r="V228" s="205">
        <v>0.44481285</v>
      </c>
      <c r="W228" s="205">
        <v>-0.6800995</v>
      </c>
      <c r="X228" s="205">
        <v>0.1437225</v>
      </c>
      <c r="Y228" s="205">
        <v>-0.0715424</v>
      </c>
      <c r="Z228" s="205">
        <v>-0.7586559</v>
      </c>
      <c r="AA228" s="205">
        <v>-0.028821</v>
      </c>
      <c r="AB228" s="205">
        <v>0.43971179</v>
      </c>
      <c r="AC228" s="205">
        <v>0.29688197</v>
      </c>
      <c r="AD228" s="205">
        <v>-0.6390359</v>
      </c>
      <c r="AE228" s="205">
        <v>0.49837404</v>
      </c>
      <c r="AF228" s="205">
        <v>0.98425046</v>
      </c>
      <c r="AG228" s="205">
        <v>0.50475037</v>
      </c>
      <c r="AH228" s="205">
        <v>-0.1103105</v>
      </c>
      <c r="AI228" s="205">
        <v>0.91666135</v>
      </c>
      <c r="AJ228" s="205">
        <v>-0.7891347</v>
      </c>
      <c r="AK228" s="205">
        <v>0.31346043</v>
      </c>
      <c r="AL228" s="205">
        <v>0.78020787</v>
      </c>
      <c r="AM228" s="205">
        <v>0.62845119</v>
      </c>
      <c r="AN228" s="205">
        <v>0.54683415</v>
      </c>
      <c r="AO228" s="205">
        <v>-0.3702098</v>
      </c>
      <c r="AP228" s="205">
        <v>-0.9713065</v>
      </c>
      <c r="AQ228" s="205">
        <v>-0.785564</v>
      </c>
      <c r="AR228" s="205">
        <v>0.58764267</v>
      </c>
      <c r="AS228" s="205">
        <v>-0.5370146</v>
      </c>
      <c r="AT228" s="205">
        <v>-0.9860358</v>
      </c>
      <c r="AU228" s="205">
        <v>1.22527578</v>
      </c>
      <c r="AV228" s="205">
        <v>-0.2104189</v>
      </c>
      <c r="AW228" s="205">
        <v>-0.6074093</v>
      </c>
      <c r="AX228" s="205">
        <v>0.17968501</v>
      </c>
      <c r="AY228" s="205">
        <v>-0.033412</v>
      </c>
      <c r="AZ228" s="205">
        <v>0.5978448</v>
      </c>
      <c r="BA228" s="205">
        <v>-0.9684627</v>
      </c>
      <c r="BB228" s="205">
        <v>-0.4346107</v>
      </c>
      <c r="BC228" s="205">
        <v>-0.3369253</v>
      </c>
      <c r="BD228" s="205">
        <v>0.1006185</v>
      </c>
      <c r="BE228" s="205">
        <v>-0.1388765</v>
      </c>
      <c r="BF228" s="205">
        <v>0.27316202</v>
      </c>
      <c r="BG228" s="205">
        <v>-0.9371549</v>
      </c>
      <c r="BH228" s="205">
        <v>-0.2873175</v>
      </c>
      <c r="BI228" s="205">
        <v>0.12829178</v>
      </c>
      <c r="BJ228" s="205">
        <v>0.29178091</v>
      </c>
      <c r="BK228" s="205">
        <v>3.92884015</v>
      </c>
      <c r="BL228" s="205">
        <v>0.44736339</v>
      </c>
      <c r="BM228" s="205">
        <v>-0.0286935</v>
      </c>
      <c r="BN228" s="205">
        <v>0.8886055</v>
      </c>
      <c r="BO228" s="205">
        <v>0.4014538</v>
      </c>
      <c r="BP228" s="205">
        <v>-0.2021297</v>
      </c>
      <c r="BQ228" s="206"/>
      <c r="BR228" s="250">
        <f t="shared" si="1"/>
        <v>0.05482652714</v>
      </c>
      <c r="BS228" s="250">
        <f t="shared" si="2"/>
        <v>0.5643008911</v>
      </c>
      <c r="BT228" s="206"/>
      <c r="BU228" s="207">
        <f>IFERROR(__xludf.DUMMYFUNCTION("AVERAGE(ARRAYFORMULA(XLOOKUP(FILTER(INDIRECT(""'""&amp;BU$1&amp;""'!$C$4:$C$66""),INDIRECT(""'""&amp;BU$1&amp;""'!$D$4:$D$66"")=BU$2),$F$3:$BP$3,$F228:$BP228)))"),0.5377032371428572)</f>
        <v>0.5377032371</v>
      </c>
      <c r="BV228" s="207" t="str">
        <f>IFERROR(__xludf.DUMMYFUNCTION("IF(OR(BU228&gt;$BR228+$BS228*$BS$2,BU228&lt;$BR228-$BS228*$BS$2),AVEDEV(ARRAYFORMULA(XLOOKUP(FILTER(INDIRECT(""'""&amp;BU$1&amp;""'!$C$4:$C$66""),INDIRECT(""'""&amp;BU$1&amp;""'!$D$4:$D$66"")=BU$2),$F$3:$BP$3,$F228:$BP228))),"""")"),"")</f>
        <v/>
      </c>
      <c r="BW228" s="207">
        <f>IFERROR(__xludf.DUMMYFUNCTION("AVERAGE(ARRAYFORMULA(XLOOKUP(FILTER(INDIRECT(""'""&amp;BW$1&amp;""'!$C$4:$C$66""),INDIRECT(""'""&amp;BW$1&amp;""'!$D$4:$D$66"")=BW$2),$F$3:$BP$3,$F228:$BP228)))"),-0.09906905690476198)</f>
        <v>-0.0990690569</v>
      </c>
      <c r="BX228" s="207" t="str">
        <f>IFERROR(__xludf.DUMMYFUNCTION("IF(OR(BW228&gt;$BR228+$BS228*$BS$2,BW228&lt;$BR228-$BS228*$BS$2),AVEDEV(ARRAYFORMULA(XLOOKUP(FILTER(INDIRECT(""'""&amp;BW$1&amp;""'!$C$4:$C$66""),INDIRECT(""'""&amp;BW$1&amp;""'!$D$4:$D$66"")=BW$2),$F$3:$BP$3,$F228:$BP228))),"""")"),"")</f>
        <v/>
      </c>
      <c r="BY228" s="207">
        <f>IFERROR(__xludf.DUMMYFUNCTION("AVERAGE(ARRAYFORMULA(XLOOKUP(FILTER(INDIRECT(""'""&amp;BY$1&amp;""'!$C$4:$C$66""),INDIRECT(""'""&amp;BY$1&amp;""'!$D$4:$D$66"")=BY$2),$F$3:$BP$3,$F228:$BP228)))"),0.4182177545454546)</f>
        <v>0.4182177545</v>
      </c>
      <c r="BZ228" s="207" t="str">
        <f>IFERROR(__xludf.DUMMYFUNCTION("IF(OR(BY228&gt;$BR228+$BS228*$BS$2,BY228&lt;$BR228-$BS228*$BS$2),AVEDEV(ARRAYFORMULA(XLOOKUP(FILTER(INDIRECT(""'""&amp;BY$1&amp;""'!$C$4:$C$66""),INDIRECT(""'""&amp;BY$1&amp;""'!$D$4:$D$66"")=BY$2),$F$3:$BP$3,$F228:$BP228))),"""")"),"")</f>
        <v/>
      </c>
      <c r="CA228" s="209"/>
      <c r="CB228" s="207">
        <f>IFERROR(__xludf.DUMMYFUNCTION("AVERAGE(ARRAYFORMULA(XLOOKUP(FILTER(INDIRECT(""'""&amp;CB$1&amp;""'!$C$4:$C$66""),INDIRECT(""'""&amp;CB$1&amp;""'!$D$4:$D$66"")=CB$2),$F$3:$BP$3,$F228:$BP228)))"),-0.411888674375)</f>
        <v>-0.4118886744</v>
      </c>
      <c r="CC228" s="207" t="str">
        <f>IFERROR(__xludf.DUMMYFUNCTION("IF(OR(CB228&gt;$BR228+$BS228*$BS$2,CB228&lt;$BR228-$BS228*$BS$2),AVEDEV(ARRAYFORMULA(XLOOKUP(FILTER(INDIRECT(""'""&amp;CB$1&amp;""'!$C$4:$C$66""),INDIRECT(""'""&amp;CB$1&amp;""'!$D$4:$D$66"")=CB$2),$F$3:$BP$3,$F228:$BP228))),"""")"),"")</f>
        <v/>
      </c>
      <c r="CD228" s="207">
        <f>IFERROR(__xludf.DUMMYFUNCTION("AVERAGE(ARRAYFORMULA(XLOOKUP(FILTER(INDIRECT(""'""&amp;CD$1&amp;""'!$C$4:$C$66""),INDIRECT(""'""&amp;CD$1&amp;""'!$D$4:$D$66"")=CD$2),$F$3:$BP$3,$F228:$BP228)))"),0.10765838451612904)</f>
        <v>0.1076583845</v>
      </c>
      <c r="CE228" s="207" t="str">
        <f>IFERROR(__xludf.DUMMYFUNCTION("IF(OR(CD228&gt;$BR228+$BS228*$BS$2,CD228&lt;$BR228-$BS228*$BS$2),AVEDEV(ARRAYFORMULA(XLOOKUP(FILTER(INDIRECT(""'""&amp;CD$1&amp;""'!$C$4:$C$66""),INDIRECT(""'""&amp;CD$1&amp;""'!$D$4:$D$66"")=CD$2),$F$3:$BP$3,$F228:$BP228))),"""")"),"")</f>
        <v/>
      </c>
      <c r="CF228" s="207">
        <f>IFERROR(__xludf.DUMMYFUNCTION("AVERAGE(ARRAYFORMULA(XLOOKUP(FILTER(INDIRECT(""'""&amp;CF$1&amp;""'!$C$4:$C$66""),INDIRECT(""'""&amp;CF$1&amp;""'!$D$4:$D$66"")=CF$2),$F$3:$BP$3,$F228:$BP228)))"),0.461748388)</f>
        <v>0.461748388</v>
      </c>
      <c r="CG228" s="207" t="str">
        <f>IFERROR(__xludf.DUMMYFUNCTION("IF(OR(CF228&gt;$BR228+$BS228*$BS$2,CF228&lt;$BR228-$BS228*$BS$2),AVEDEV(ARRAYFORMULA(XLOOKUP(FILTER(INDIRECT(""'""&amp;CF$1&amp;""'!$C$4:$C$66""),INDIRECT(""'""&amp;CF$1&amp;""'!$D$4:$D$66"")=CF$2),$F$3:$BP$3,$F228:$BP228))),"""")"),"")</f>
        <v/>
      </c>
      <c r="CH228" s="206"/>
      <c r="CI228" s="251">
        <f>IFERROR(__xludf.DUMMYFUNCTION("AVERAGE(ARRAYFORMULA(XLOOKUP(FILTER(INDIRECT(""'""&amp;CI$1&amp;""'!$C$4:$C$66""),INDIRECT(""'""&amp;CI$1&amp;""'!$D$4:$D$66"")=CI$2),$F$3:$BP$3,$F228:$BP228)))"),0.012555414000000013)</f>
        <v>0.012555414</v>
      </c>
      <c r="CJ228" s="207" t="str">
        <f>IFERROR(__xludf.DUMMYFUNCTION("IF(OR(CI228&gt;$BR228+$BS228*$BS$2,CI228&lt;$BR228-$BS228*$BS$2),AVEDEV(ARRAYFORMULA(XLOOKUP(FILTER(INDIRECT(""'""&amp;CI$1&amp;""'!$C$4:$C$66""),INDIRECT(""'""&amp;CI$1&amp;""'!$D$4:$D$66"")=CI$2),$F$3:$BP$3,$F228:$BP228))),"""")"),"")</f>
        <v/>
      </c>
      <c r="CK228" s="251">
        <f>IFERROR(__xludf.DUMMYFUNCTION("AVERAGE(ARRAYFORMULA(XLOOKUP(FILTER(INDIRECT(""'""&amp;CK$1&amp;""'!$C$4:$C$66""),INDIRECT(""'""&amp;CK$1&amp;""'!$D$4:$D$66"")=CK$2),$F$3:$BP$3,$F228:$BP228)))"),-0.05698707000000002)</f>
        <v>-0.05698707</v>
      </c>
      <c r="CL228" s="207" t="str">
        <f>IFERROR(__xludf.DUMMYFUNCTION("IF(OR(CK228&gt;$BR228+$BS228*$BS$2,CK228&lt;$BR228-$BS228*$BS$2),AVEDEV(ARRAYFORMULA(XLOOKUP(FILTER(INDIRECT(""'""&amp;CK$1&amp;""'!$C$4:$C$66""),INDIRECT(""'""&amp;CK$1&amp;""'!$D$4:$D$66"")=CK$2),$F$3:$BP$3,$F228:$BP228))),"""")"),"")</f>
        <v/>
      </c>
      <c r="CM228" s="251">
        <f>IFERROR(__xludf.DUMMYFUNCTION("AVERAGE(ARRAYFORMULA(XLOOKUP(FILTER(INDIRECT(""'""&amp;CM$1&amp;""'!$C$4:$C$66""),INDIRECT(""'""&amp;CM$1&amp;""'!$D$4:$D$66"")=CM$2),$F$3:$BP$3,$F228:$BP228)))"),0.461748388)</f>
        <v>0.461748388</v>
      </c>
      <c r="CN228" s="207" t="str">
        <f>IFERROR(__xludf.DUMMYFUNCTION("IF(OR(CM228&gt;$BR228+$BS228*$BS$2,CM228&lt;$BR228-$BS228*$BS$2),AVEDEV(ARRAYFORMULA(XLOOKUP(FILTER(INDIRECT(""'""&amp;CM$1&amp;""'!$C$4:$C$66""),INDIRECT(""'""&amp;CM$1&amp;""'!$D$4:$D$66"")=CM$2),$F$3:$BP$3,$F228:$BP228))),"""")"),"")</f>
        <v/>
      </c>
      <c r="CO228" s="252"/>
      <c r="CP228" s="251">
        <f>IFERROR(__xludf.DUMMYFUNCTION("AVERAGE(ARRAYFORMULA(XLOOKUP(FILTER(INDIRECT(""'""&amp;CP$1&amp;""'!$C$4:$C$66""),INDIRECT(""'""&amp;CP$1&amp;""'!$D$4:$D$66"")=CP$2),$F$3:$BP$3,$F228:$BP228)))"),-0.3145535214285714)</f>
        <v>-0.3145535214</v>
      </c>
      <c r="CQ228" s="207" t="str">
        <f>IFERROR(__xludf.DUMMYFUNCTION("IF(OR(CP228&gt;$BR228+$BS228*$BS$2,CP228&lt;$BR228-$BS228*$BS$2),AVEDEV(ARRAYFORMULA(XLOOKUP(FILTER(INDIRECT(""'""&amp;CP$1&amp;""'!$C$4:$C$66""),INDIRECT(""'""&amp;CP$1&amp;""'!$D$4:$D$66"")=CP$2),$F$3:$BP$3,$F228:$BP228))),"""")"),"")</f>
        <v/>
      </c>
      <c r="CR228" s="251">
        <f>IFERROR(__xludf.DUMMYFUNCTION("AVERAGE(ARRAYFORMULA(XLOOKUP(FILTER(INDIRECT(""'""&amp;CR$1&amp;""'!$C$4:$C$66""),INDIRECT(""'""&amp;CR$1&amp;""'!$D$4:$D$66"")=CR$2),$F$3:$BP$3,$F228:$BP228)))"),0.4651604344444445)</f>
        <v>0.4651604344</v>
      </c>
      <c r="CS228" s="207" t="str">
        <f>IFERROR(__xludf.DUMMYFUNCTION("IF(OR(CR228&gt;$BR228+$BS228*$BS$2,CR228&lt;$BR228-$BS228*$BS$2),AVEDEV(ARRAYFORMULA(XLOOKUP(FILTER(INDIRECT(""'""&amp;CR$1&amp;""'!$C$4:$C$66""),INDIRECT(""'""&amp;CR$1&amp;""'!$D$4:$D$66"")=CR$2),$F$3:$BP$3,$F228:$BP228))),"""")"),"")</f>
        <v/>
      </c>
      <c r="CT228" s="251">
        <f>IFERROR(__xludf.DUMMYFUNCTION("AVERAGE(ARRAYFORMULA(XLOOKUP(FILTER(INDIRECT(""'""&amp;CT$1&amp;""'!$C$4:$C$66""),INDIRECT(""'""&amp;CT$1&amp;""'!$D$4:$D$66"")=CT$2),$F$3:$BP$3,$F228:$BP228)))"),0.21592575727272728)</f>
        <v>0.2159257573</v>
      </c>
      <c r="CU228" s="207" t="str">
        <f>IFERROR(__xludf.DUMMYFUNCTION("IF(OR(CT228&gt;$BR228+$BS228*$BS$2,CT228&lt;$BR228-$BS228*$BS$2),AVEDEV(ARRAYFORMULA(XLOOKUP(FILTER(INDIRECT(""'""&amp;CT$1&amp;""'!$C$4:$C$66""),INDIRECT(""'""&amp;CT$1&amp;""'!$D$4:$D$66"")=CT$2),$F$3:$BP$3,$F228:$BP228))),"""")"),"")</f>
        <v/>
      </c>
      <c r="CV228" s="251">
        <f>IFERROR(__xludf.DUMMYFUNCTION("AVERAGE(ARRAYFORMULA(XLOOKUP(FILTER(INDIRECT(""'""&amp;CV$1&amp;""'!$C$4:$C$66""),INDIRECT(""'""&amp;CV$1&amp;""'!$D$4:$D$66"")=CV$2),$F$3:$BP$3,$F228:$BP228)))"),-0.32013646500000004)</f>
        <v>-0.320136465</v>
      </c>
      <c r="CW228" s="207" t="str">
        <f>IFERROR(__xludf.DUMMYFUNCTION("IF(OR(CV228&gt;$BR228+$BS228*$BS$2,CV228&lt;$BR228-$BS228*$BS$2),AVEDEV(ARRAYFORMULA(XLOOKUP(FILTER(INDIRECT(""'""&amp;CV$1&amp;""'!$C$4:$C$66""),INDIRECT(""'""&amp;CV$1&amp;""'!$D$4:$D$66"")=CV$2),$F$3:$BP$3,$F228:$BP228))),"""")"),"")</f>
        <v/>
      </c>
      <c r="CX228" s="251">
        <f>IFERROR(__xludf.DUMMYFUNCTION("AVERAGE(ARRAYFORMULA(XLOOKUP(FILTER(INDIRECT(""'""&amp;CX$1&amp;""'!$C$4:$C$66""),INDIRECT(""'""&amp;CX$1&amp;""'!$D$4:$D$66"")=CX$2),$F$3:$BP$3,$F228:$BP228)))"),-0.09863273285714283)</f>
        <v>-0.09863273286</v>
      </c>
      <c r="CY228" s="207" t="str">
        <f>IFERROR(__xludf.DUMMYFUNCTION("IF(OR(CX228&gt;$BR228+$BS228*$BS$2,CX228&lt;$BR228-$BS228*$BS$2),AVEDEV(ARRAYFORMULA(XLOOKUP(FILTER(INDIRECT(""'""&amp;CX$1&amp;""'!$C$4:$C$66""),INDIRECT(""'""&amp;CX$1&amp;""'!$D$4:$D$66"")=CX$2),$F$3:$BP$3,$F228:$BP228))),"""")"),"")</f>
        <v/>
      </c>
      <c r="CZ228" s="252"/>
      <c r="DA228" s="251">
        <f>IFERROR(__xludf.DUMMYFUNCTION("AVERAGE(ARRAYFORMULA(XLOOKUP(FILTER(INDIRECT(""'""&amp;DA$1&amp;""'!$C$4:$C$66""),INDIRECT(""'""&amp;DA$1&amp;""'!$D$4:$D$66"")=DA$2),$F$3:$BP$3,$F228:$BP228)))"),-0.2084176083333334)</f>
        <v>-0.2084176083</v>
      </c>
      <c r="DB228" s="207" t="str">
        <f>IFERROR(__xludf.DUMMYFUNCTION("IF(OR(DA228&gt;$BR228+$BS228*$BS$2,DA228&lt;$BR228-$BS228*$BS$2),AVEDEV(ARRAYFORMULA(XLOOKUP(FILTER(INDIRECT(""'""&amp;DA$1&amp;""'!$C$4:$C$66""),INDIRECT(""'""&amp;DA$1&amp;""'!$D$4:$D$66"")=DA$2),$F$3:$BP$3,$F228:$BP228))),"""")"),"")</f>
        <v/>
      </c>
      <c r="DC228" s="251">
        <f>IFERROR(__xludf.DUMMYFUNCTION("AVERAGE(ARRAYFORMULA(XLOOKUP(FILTER(INDIRECT(""'""&amp;DC$1&amp;""'!$C$4:$C$66""),INDIRECT(""'""&amp;DC$1&amp;""'!$D$4:$D$66"")=DC$2),$F$3:$BP$3,$F228:$BP228)))"),0.5796651711111112)</f>
        <v>0.5796651711</v>
      </c>
      <c r="DD228" s="207" t="str">
        <f>IFERROR(__xludf.DUMMYFUNCTION("IF(OR(DC228&gt;$BR228+$BS228*$BS$2,DC228&lt;$BR228-$BS228*$BS$2),AVEDEV(ARRAYFORMULA(XLOOKUP(FILTER(INDIRECT(""'""&amp;DC$1&amp;""'!$C$4:$C$66""),INDIRECT(""'""&amp;DC$1&amp;""'!$D$4:$D$66"")=DC$2),$F$3:$BP$3,$F228:$BP228))),"""")"),"")</f>
        <v/>
      </c>
      <c r="DE228" s="251">
        <f>IFERROR(__xludf.DUMMYFUNCTION("AVERAGE(ARRAYFORMULA(XLOOKUP(FILTER(INDIRECT(""'""&amp;DE$1&amp;""'!$C$4:$C$66""),INDIRECT(""'""&amp;DE$1&amp;""'!$D$4:$D$66"")=DE$2),$F$3:$BP$3,$F228:$BP228)))"),0.026222653750000005)</f>
        <v>0.02622265375</v>
      </c>
      <c r="DF228" s="207" t="str">
        <f>IFERROR(__xludf.DUMMYFUNCTION("IF(OR(DE228&gt;$BR228+$BS228*$BS$2,DE228&lt;$BR228-$BS228*$BS$2),AVEDEV(ARRAYFORMULA(XLOOKUP(FILTER(INDIRECT(""'""&amp;DE$1&amp;""'!$C$4:$C$66""),INDIRECT(""'""&amp;DE$1&amp;""'!$D$4:$D$66"")=DE$2),$F$3:$BP$3,$F228:$BP228))),"""")"),"")</f>
        <v/>
      </c>
      <c r="DG228" s="251">
        <f>IFERROR(__xludf.DUMMYFUNCTION("AVERAGE(ARRAYFORMULA(XLOOKUP(FILTER(INDIRECT(""'""&amp;DG$1&amp;""'!$C$4:$C$66""),INDIRECT(""'""&amp;DG$1&amp;""'!$D$4:$D$66"")=DG$2),$F$3:$BP$3,$F228:$BP228)))"),0.22435191666666668)</f>
        <v>0.2243519167</v>
      </c>
      <c r="DH228" s="207" t="str">
        <f>IFERROR(__xludf.DUMMYFUNCTION("IF(OR(DG228&gt;$BR228+$BS228*$BS$2,DG228&lt;$BR228-$BS228*$BS$2),AVEDEV(ARRAYFORMULA(XLOOKUP(FILTER(INDIRECT(""'""&amp;DG$1&amp;""'!$C$4:$C$66""),INDIRECT(""'""&amp;DG$1&amp;""'!$D$4:$D$66"")=DG$2),$F$3:$BP$3,$F228:$BP228))),"""")"),"")</f>
        <v/>
      </c>
      <c r="DI228" s="252"/>
    </row>
    <row r="229">
      <c r="A229" s="2"/>
      <c r="B229" s="192"/>
      <c r="C229" s="192"/>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187"/>
      <c r="BH229" s="187"/>
      <c r="BI229" s="187"/>
      <c r="BJ229" s="187"/>
      <c r="BK229" s="187"/>
      <c r="BL229" s="187"/>
      <c r="BM229" s="187"/>
      <c r="BN229" s="187"/>
      <c r="BO229" s="187"/>
      <c r="BP229" s="187"/>
      <c r="BQ229" s="206"/>
      <c r="BR229" s="187"/>
      <c r="BS229" s="206"/>
      <c r="BT229" s="206"/>
      <c r="BU229" s="206"/>
      <c r="BV229" s="187"/>
      <c r="BW229" s="206"/>
      <c r="BX229" s="187"/>
      <c r="BY229" s="206"/>
      <c r="BZ229" s="187"/>
      <c r="CA229" s="206"/>
      <c r="CB229" s="206"/>
      <c r="CC229" s="187"/>
      <c r="CD229" s="206"/>
      <c r="CE229" s="187"/>
      <c r="CF229" s="206"/>
      <c r="CG229" s="187"/>
      <c r="CH229" s="206"/>
      <c r="CI229" s="252"/>
      <c r="CJ229" s="187"/>
      <c r="CK229" s="252"/>
      <c r="CL229" s="187"/>
      <c r="CM229" s="252"/>
      <c r="CN229" s="187"/>
      <c r="CO229" s="252"/>
      <c r="CP229" s="252"/>
      <c r="CQ229" s="187"/>
      <c r="CR229" s="252"/>
      <c r="CS229" s="187"/>
      <c r="CT229" s="252"/>
      <c r="CU229" s="187"/>
      <c r="CV229" s="252"/>
      <c r="CW229" s="187"/>
      <c r="CX229" s="252"/>
      <c r="CY229" s="187"/>
      <c r="CZ229" s="252"/>
      <c r="DA229" s="252"/>
      <c r="DB229" s="187"/>
      <c r="DC229" s="252"/>
      <c r="DD229" s="187"/>
      <c r="DE229" s="252"/>
      <c r="DF229" s="187"/>
      <c r="DG229" s="252"/>
      <c r="DH229" s="187"/>
      <c r="DI229" s="252"/>
    </row>
    <row r="230">
      <c r="A230" s="2"/>
      <c r="B230" s="216"/>
      <c r="C230" s="217" t="s">
        <v>792</v>
      </c>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187"/>
      <c r="BI230" s="187"/>
      <c r="BJ230" s="187"/>
      <c r="BK230" s="187"/>
      <c r="BL230" s="187"/>
      <c r="BM230" s="187"/>
      <c r="BN230" s="187"/>
      <c r="BO230" s="187"/>
      <c r="BP230" s="187"/>
      <c r="BQ230" s="206"/>
      <c r="BR230" s="187"/>
      <c r="BS230" s="216"/>
      <c r="BT230" s="265"/>
      <c r="BU230" s="266">
        <f>IFERROR(__xludf.DUMMYFUNCTION("COUNT(FILTER(BU$4:BU$228,BU$4:BU$228&lt;$BR$4:$BR$228-$BS$4:$BS$228*$BS$2))"),39.0)</f>
        <v>39</v>
      </c>
      <c r="BV230" s="267" t="s">
        <v>793</v>
      </c>
      <c r="BW230" s="266">
        <f>IFERROR(__xludf.DUMMYFUNCTION("COUNT(FILTER(BW$4:BW$228,BW$4:BW$228&lt;$BR$4:$BR$228-$BS$4:$BS$228*$BS$2))"),0.0)</f>
        <v>0</v>
      </c>
      <c r="BX230" s="267" t="s">
        <v>793</v>
      </c>
      <c r="BY230" s="266">
        <f>IFERROR(__xludf.DUMMYFUNCTION("COUNT(FILTER(BY$4:BY$228,BY$4:BY$228&lt;$BR$4:$BR$228-$BS$4:$BS$228*$BS$2))"),7.0)</f>
        <v>7</v>
      </c>
      <c r="BZ230" s="267" t="s">
        <v>793</v>
      </c>
      <c r="CA230" s="268"/>
      <c r="CB230" s="266">
        <f>IFERROR(__xludf.DUMMYFUNCTION("COUNT(FILTER(CB$4:CB$228,CB$4:CB$228&lt;$BR$4:$BR$228-$BS$4:$BS$228*$BS$2))"),0.0)</f>
        <v>0</v>
      </c>
      <c r="CC230" s="267" t="s">
        <v>793</v>
      </c>
      <c r="CD230" s="266">
        <f>IFERROR(__xludf.DUMMYFUNCTION("COUNT(FILTER(CD$4:CD$228,CD$4:CD$228&lt;$BR$4:$BR$228-$BS$4:$BS$228*$BS$2))"),0.0)</f>
        <v>0</v>
      </c>
      <c r="CE230" s="267" t="s">
        <v>793</v>
      </c>
      <c r="CF230" s="266">
        <f>IFERROR(__xludf.DUMMYFUNCTION("COUNT(FILTER(CF$4:CF$228,CF$4:CF$228&lt;$BR$4:$BR$228-$BS$4:$BS$228*$BS$2))"),17.0)</f>
        <v>17</v>
      </c>
      <c r="CG230" s="267" t="s">
        <v>793</v>
      </c>
      <c r="CH230" s="268"/>
      <c r="CI230" s="266">
        <f>IFERROR(__xludf.DUMMYFUNCTION("COUNT(FILTER(CI$4:CI$228,CI$4:CI$228&lt;$BR$4:$BR$228-$BS$4:$BS$228*$BS$2))"),3.0)</f>
        <v>3</v>
      </c>
      <c r="CJ230" s="267" t="s">
        <v>793</v>
      </c>
      <c r="CK230" s="266">
        <f>IFERROR(__xludf.DUMMYFUNCTION("COUNT(FILTER(CK$4:CK$228,CK$4:CK$228&lt;$BR$4:$BR$228-$BS$4:$BS$228*$BS$2))"),0.0)</f>
        <v>0</v>
      </c>
      <c r="CL230" s="267" t="s">
        <v>793</v>
      </c>
      <c r="CM230" s="266">
        <f>IFERROR(__xludf.DUMMYFUNCTION("COUNT(FILTER(CM$4:CM$228,CM$4:CM$228&lt;$BR$4:$BR$228-$BS$4:$BS$228*$BS$2))"),17.0)</f>
        <v>17</v>
      </c>
      <c r="CN230" s="267" t="s">
        <v>793</v>
      </c>
      <c r="CO230" s="269"/>
      <c r="CP230" s="266">
        <f>IFERROR(__xludf.DUMMYFUNCTION("COUNT(FILTER(CP$4:CP$228,CP$4:CP$228&lt;$BR$4:$BR$228-$BS$4:$BS$228*$BS$2))"),1.0)</f>
        <v>1</v>
      </c>
      <c r="CQ230" s="267" t="s">
        <v>793</v>
      </c>
      <c r="CR230" s="266">
        <f>IFERROR(__xludf.DUMMYFUNCTION("COUNT(FILTER(CR$4:CR$228,CR$4:CR$228&lt;$BR$4:$BR$228-$BS$4:$BS$228*$BS$2))"),9.0)</f>
        <v>9</v>
      </c>
      <c r="CS230" s="267" t="s">
        <v>793</v>
      </c>
      <c r="CT230" s="266">
        <f>IFERROR(__xludf.DUMMYFUNCTION("COUNT(FILTER(CT$4:CT$228,CT$4:CT$228&lt;$BR$4:$BR$228-$BS$4:$BS$228*$BS$2))"),2.0)</f>
        <v>2</v>
      </c>
      <c r="CU230" s="267" t="s">
        <v>793</v>
      </c>
      <c r="CV230" s="266">
        <f>IFERROR(__xludf.DUMMYFUNCTION("COUNT(FILTER(CV$4:CV$228,CV$4:CV$228&lt;$BR$4:$BR$228-$BS$4:$BS$228*$BS$2))"),28.0)</f>
        <v>28</v>
      </c>
      <c r="CW230" s="267" t="s">
        <v>793</v>
      </c>
      <c r="CX230" s="266">
        <f>IFERROR(__xludf.DUMMYFUNCTION("COUNT(FILTER(CX$4:CX$228,CX$4:CX$228&lt;$BR$4:$BR$228-$BS$4:$BS$228*$BS$2))"),0.0)</f>
        <v>0</v>
      </c>
      <c r="CY230" s="267" t="s">
        <v>793</v>
      </c>
      <c r="CZ230" s="269"/>
      <c r="DA230" s="266">
        <f>IFERROR(__xludf.DUMMYFUNCTION("COUNT(FILTER(DA$4:DA$228,DA$4:DA$228&lt;$BR$4:$BR$228-$BS$4:$BS$228*$BS$2))"),0.0)</f>
        <v>0</v>
      </c>
      <c r="DB230" s="267" t="s">
        <v>793</v>
      </c>
      <c r="DC230" s="266">
        <f>IFERROR(__xludf.DUMMYFUNCTION("COUNT(FILTER(DC$4:DC$228,DC$4:DC$228&lt;$BR$4:$BR$228-$BS$4:$BS$228*$BS$2))"),4.0)</f>
        <v>4</v>
      </c>
      <c r="DD230" s="267" t="s">
        <v>793</v>
      </c>
      <c r="DE230" s="266">
        <f>IFERROR(__xludf.DUMMYFUNCTION("COUNT(FILTER(DE$4:DE$228,DE$4:DE$228&lt;$BR$4:$BR$228-$BS$4:$BS$228*$BS$2))"),9.0)</f>
        <v>9</v>
      </c>
      <c r="DF230" s="267" t="s">
        <v>793</v>
      </c>
      <c r="DG230" s="266">
        <f>IFERROR(__xludf.DUMMYFUNCTION("COUNT(FILTER(DG$4:DG$228,DG$4:DG$228&lt;$BR$4:$BR$228-$BS$4:$BS$228*$BS$2))"),1.0)</f>
        <v>1</v>
      </c>
      <c r="DH230" s="267" t="s">
        <v>793</v>
      </c>
      <c r="DI230" s="252"/>
    </row>
    <row r="231">
      <c r="A231" s="2"/>
      <c r="B231" s="216"/>
      <c r="C231" s="217" t="s">
        <v>794</v>
      </c>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187"/>
      <c r="BI231" s="187"/>
      <c r="BJ231" s="187"/>
      <c r="BK231" s="187"/>
      <c r="BL231" s="187"/>
      <c r="BM231" s="187"/>
      <c r="BN231" s="187"/>
      <c r="BO231" s="187"/>
      <c r="BP231" s="187"/>
      <c r="BQ231" s="206"/>
      <c r="BR231" s="187"/>
      <c r="BS231" s="216"/>
      <c r="BT231" s="265"/>
      <c r="BU231" s="266">
        <f>IFERROR(__xludf.DUMMYFUNCTION("COUNT(FILTER(BU$4:BU$228,BU$4:BU$228&gt;$BR$4:$BR$228+$BS$4:$BS$228*$BS$2))"),31.0)</f>
        <v>31</v>
      </c>
      <c r="BV231" s="225">
        <f>COUNTIF(BV$4:BV$228,"&lt;1")</f>
        <v>40</v>
      </c>
      <c r="BW231" s="266">
        <f>IFERROR(__xludf.DUMMYFUNCTION("COUNT(FILTER(BW$4:BW$228,BW$4:BW$228&gt;$BR$4:$BR$228+$BS$4:$BS$228*$BS$2))"),0.0)</f>
        <v>0</v>
      </c>
      <c r="BX231" s="225">
        <f>COUNTIF(BX$4:BX$228,"&lt;1")</f>
        <v>0</v>
      </c>
      <c r="BY231" s="266">
        <f>IFERROR(__xludf.DUMMYFUNCTION("COUNT(FILTER(BY$4:BY$228,BY$4:BY$228&gt;$BR$4:$BR$228+$BS$4:$BS$228*$BS$2))"),10.0)</f>
        <v>10</v>
      </c>
      <c r="BZ231" s="225">
        <f>COUNTIF(BZ$4:BZ$228,"&lt;1")</f>
        <v>12</v>
      </c>
      <c r="CA231" s="268"/>
      <c r="CB231" s="266">
        <f>IFERROR(__xludf.DUMMYFUNCTION("COUNT(FILTER(CB$4:CB$228,CB$4:CB$228&gt;$BR$4:$BR$228+$BS$4:$BS$228*$BS$2))"),2.0)</f>
        <v>2</v>
      </c>
      <c r="CC231" s="225">
        <f>COUNTIF(CC$4:CC$228,"&lt;1")</f>
        <v>2</v>
      </c>
      <c r="CD231" s="266">
        <f>IFERROR(__xludf.DUMMYFUNCTION("COUNT(FILTER(CD$4:CD$228,CD$4:CD$228&gt;$BR$4:$BR$228+$BS$4:$BS$228*$BS$2))"),0.0)</f>
        <v>0</v>
      </c>
      <c r="CE231" s="225">
        <f>COUNTIF(CE$4:CE$228,"&lt;1")</f>
        <v>0</v>
      </c>
      <c r="CF231" s="266">
        <f>IFERROR(__xludf.DUMMYFUNCTION("COUNT(FILTER(CF$4:CF$228,CF$4:CF$228&gt;$BR$4:$BR$228+$BS$4:$BS$228*$BS$2))"),18.0)</f>
        <v>18</v>
      </c>
      <c r="CG231" s="225">
        <f>COUNTIF(CG$4:CG$228,"&lt;1")</f>
        <v>29</v>
      </c>
      <c r="CH231" s="268"/>
      <c r="CI231" s="266">
        <f>IFERROR(__xludf.DUMMYFUNCTION("COUNT(FILTER(CI$4:CI$228,CI$4:CI$228&gt;$BR$4:$BR$228+$BS$4:$BS$228*$BS$2))"),10.0)</f>
        <v>10</v>
      </c>
      <c r="CJ231" s="225">
        <f>COUNTIF(CJ$4:CJ$228,"&lt;1")</f>
        <v>7</v>
      </c>
      <c r="CK231" s="266">
        <f>IFERROR(__xludf.DUMMYFUNCTION("COUNT(FILTER(CK$4:CK$169,CK$4:CK$169&gt;$BR$4:$BR$169+$BS$4:$BS$169*$BS$2))"),0.0)</f>
        <v>0</v>
      </c>
      <c r="CL231" s="225">
        <f>COUNTIF(CL$4:CL$228,"&lt;1")</f>
        <v>0</v>
      </c>
      <c r="CM231" s="266">
        <f>IFERROR(__xludf.DUMMYFUNCTION("COUNT(FILTER(CM$4:CM$169,CM$4:CM$169&gt;$BR$4:$BR$169+$BS$4:$BS$169*$BS$2))"),14.0)</f>
        <v>14</v>
      </c>
      <c r="CN231" s="225">
        <f>COUNTIF(CN$4:CN$228,"&lt;1")</f>
        <v>29</v>
      </c>
      <c r="CO231" s="269"/>
      <c r="CP231" s="266">
        <f>IFERROR(__xludf.DUMMYFUNCTION("COUNT(FILTER(CP$4:CP$228,CP$4:CP$228&gt;$BR$4:$BR$228+$BS$4:$BS$228*$BS$2))"),3.0)</f>
        <v>3</v>
      </c>
      <c r="CQ231" s="225">
        <f>COUNTIF(CQ$4:CQ$228,"&lt;1")</f>
        <v>3</v>
      </c>
      <c r="CR231" s="266">
        <f>IFERROR(__xludf.DUMMYFUNCTION("COUNT(FILTER(CR$4:CR$228,CR$4:CR$228&gt;$BR$4:$BR$228+$BS$4:$BS$228*$BS$2))"),10.0)</f>
        <v>10</v>
      </c>
      <c r="CS231" s="225">
        <f>COUNTIF(CS$4:CS$228,"&lt;1")</f>
        <v>16</v>
      </c>
      <c r="CT231" s="266">
        <f>IFERROR(__xludf.DUMMYFUNCTION("COUNT(FILTER(CT$4:CT$228,CT$4:CT$228&gt;$BR$4:$BR$228+$BS$4:$BS$228*$BS$2))"),4.0)</f>
        <v>4</v>
      </c>
      <c r="CU231" s="225">
        <f>COUNTIF(CU$4:CU$228,"&lt;1")</f>
        <v>5</v>
      </c>
      <c r="CV231" s="266">
        <f>IFERROR(__xludf.DUMMYFUNCTION("COUNT(FILTER(CV$4:CV$228,CV$4:CV$228&gt;$BR$4:$BR$228+$BS$4:$BS$228*$BS$2))"),36.0)</f>
        <v>36</v>
      </c>
      <c r="CW231" s="225">
        <f>COUNTIF(CW$4:CW$228,"&lt;1")</f>
        <v>63</v>
      </c>
      <c r="CX231" s="266">
        <f>IFERROR(__xludf.DUMMYFUNCTION("COUNT(FILTER(CX$4:CX$228,CX$4:CX$228&gt;$BR$4:$BR$228+$BS$4:$BS$228*$BS$2))"),3.0)</f>
        <v>3</v>
      </c>
      <c r="CY231" s="225">
        <f>COUNTIF(CY$4:CY$228,"&lt;1")</f>
        <v>3</v>
      </c>
      <c r="CZ231" s="269"/>
      <c r="DA231" s="266">
        <f>IFERROR(__xludf.DUMMYFUNCTION("COUNT(FILTER(DA$4:DA$228,DA$4:DA$228&gt;$BR$4:$BR$228+$BS$4:$BS$228*$BS$2))"),0.0)</f>
        <v>0</v>
      </c>
      <c r="DB231" s="225">
        <f>COUNTIF(DB$4:DB$228,"&lt;1")</f>
        <v>0</v>
      </c>
      <c r="DC231" s="266">
        <f>IFERROR(__xludf.DUMMYFUNCTION("COUNT(FILTER(DC$4:DC$228,DC$4:DC$228&gt;$BR$4:$BR$228+$BS$4:$BS$228*$BS$2))"),7.0)</f>
        <v>7</v>
      </c>
      <c r="DD231" s="225">
        <f>COUNTIF(DD$4:DD$228,"&lt;1")</f>
        <v>6</v>
      </c>
      <c r="DE231" s="266">
        <f>IFERROR(__xludf.DUMMYFUNCTION("COUNT(FILTER(DE$4:DE$228,DE$4:DE$228&gt;$BR$4:$BR$228+$BS$4:$BS$228*$BS$2))"),12.0)</f>
        <v>12</v>
      </c>
      <c r="DF231" s="225">
        <f>COUNTIF(DF$4:DF$228,"&lt;1")</f>
        <v>16</v>
      </c>
      <c r="DG231" s="266">
        <f>IFERROR(__xludf.DUMMYFUNCTION("COUNT(FILTER(DG$4:DG$228,DG$4:DG$228&gt;$BR$4:$BR$228+$BS$4:$BS$228*$BS$2))"),11.0)</f>
        <v>11</v>
      </c>
      <c r="DH231" s="225">
        <f>COUNTIF(DH$4:DH$228,"&lt;1")</f>
        <v>9</v>
      </c>
      <c r="DI231" s="252"/>
    </row>
    <row r="232">
      <c r="A232" s="2"/>
      <c r="B232" s="216"/>
      <c r="C232" s="217" t="s">
        <v>795</v>
      </c>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187"/>
      <c r="BI232" s="187"/>
      <c r="BJ232" s="187"/>
      <c r="BK232" s="187"/>
      <c r="BL232" s="187"/>
      <c r="BM232" s="187"/>
      <c r="BN232" s="187"/>
      <c r="BO232" s="187"/>
      <c r="BP232" s="187"/>
      <c r="BQ232" s="206"/>
      <c r="BR232" s="187"/>
      <c r="BS232" s="216"/>
      <c r="BT232" s="265"/>
      <c r="BU232" s="266">
        <f>SUM(BU230:BU231)</f>
        <v>70</v>
      </c>
      <c r="BV232" s="267" t="s">
        <v>796</v>
      </c>
      <c r="BW232" s="266">
        <f>SUM(BW230:BW231)</f>
        <v>0</v>
      </c>
      <c r="BX232" s="267" t="s">
        <v>796</v>
      </c>
      <c r="BY232" s="266">
        <f>SUM(BY230:BY231)</f>
        <v>17</v>
      </c>
      <c r="BZ232" s="267" t="s">
        <v>796</v>
      </c>
      <c r="CA232" s="268"/>
      <c r="CB232" s="266">
        <f>SUM(CB230:CB231)</f>
        <v>2</v>
      </c>
      <c r="CC232" s="267" t="s">
        <v>796</v>
      </c>
      <c r="CD232" s="266">
        <f>SUM(CD230:CD231)</f>
        <v>0</v>
      </c>
      <c r="CE232" s="267" t="s">
        <v>796</v>
      </c>
      <c r="CF232" s="266">
        <f>SUM(CF230:CF231)</f>
        <v>35</v>
      </c>
      <c r="CG232" s="267" t="s">
        <v>796</v>
      </c>
      <c r="CH232" s="268"/>
      <c r="CI232" s="266">
        <f>SUM(CI230:CI231)</f>
        <v>13</v>
      </c>
      <c r="CJ232" s="267" t="s">
        <v>796</v>
      </c>
      <c r="CK232" s="266">
        <f>SUM(CK230:CK231)</f>
        <v>0</v>
      </c>
      <c r="CL232" s="267" t="s">
        <v>796</v>
      </c>
      <c r="CM232" s="266">
        <f>SUM(CM230:CM231)</f>
        <v>31</v>
      </c>
      <c r="CN232" s="267" t="s">
        <v>796</v>
      </c>
      <c r="CO232" s="269"/>
      <c r="CP232" s="266">
        <f>SUM(CP230:CP231)</f>
        <v>4</v>
      </c>
      <c r="CQ232" s="267" t="s">
        <v>796</v>
      </c>
      <c r="CR232" s="266">
        <f>SUM(CR230:CR231)</f>
        <v>19</v>
      </c>
      <c r="CS232" s="267" t="s">
        <v>796</v>
      </c>
      <c r="CT232" s="266">
        <f>SUM(CT230:CT231)</f>
        <v>6</v>
      </c>
      <c r="CU232" s="267" t="s">
        <v>796</v>
      </c>
      <c r="CV232" s="266">
        <f>SUM(CV230:CV231)</f>
        <v>64</v>
      </c>
      <c r="CW232" s="267" t="s">
        <v>796</v>
      </c>
      <c r="CX232" s="266">
        <f>SUM(CX230:CX231)</f>
        <v>3</v>
      </c>
      <c r="CY232" s="267" t="s">
        <v>796</v>
      </c>
      <c r="CZ232" s="269"/>
      <c r="DA232" s="266">
        <f>SUM(DA230:DA231)</f>
        <v>0</v>
      </c>
      <c r="DB232" s="267" t="s">
        <v>796</v>
      </c>
      <c r="DC232" s="266">
        <f>SUM(DC230:DC231)</f>
        <v>11</v>
      </c>
      <c r="DD232" s="267" t="s">
        <v>796</v>
      </c>
      <c r="DE232" s="266">
        <f>SUM(DE230:DE231)</f>
        <v>21</v>
      </c>
      <c r="DF232" s="267" t="s">
        <v>796</v>
      </c>
      <c r="DG232" s="266">
        <f>SUM(DG230:DG231)</f>
        <v>12</v>
      </c>
      <c r="DH232" s="267" t="s">
        <v>796</v>
      </c>
      <c r="DI232" s="252"/>
    </row>
    <row r="233">
      <c r="A233" s="2"/>
      <c r="B233" s="216"/>
      <c r="C233" s="217" t="s">
        <v>797</v>
      </c>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187"/>
      <c r="BI233" s="187"/>
      <c r="BJ233" s="187"/>
      <c r="BK233" s="187"/>
      <c r="BL233" s="187"/>
      <c r="BM233" s="187"/>
      <c r="BN233" s="187"/>
      <c r="BO233" s="187"/>
      <c r="BP233" s="187"/>
      <c r="BQ233" s="206"/>
      <c r="BR233" s="187"/>
      <c r="BS233" s="216"/>
      <c r="BT233" s="265"/>
      <c r="BU233" s="266">
        <f>IFERROR(__xludf.DUMMYFUNCTION("COUNT(FILTER(BU$4:BU$228,BU$4:BU$228&lt;$BR$4:$BR$228-$BS$4:$BS$228*$BS$2,$E$4:$E$228))"),34.0)</f>
        <v>34</v>
      </c>
      <c r="BV233" s="225">
        <f>COUNTIFS(BV$4:BV$228,"&gt;1",BV$4:BV$228,"&lt;2")</f>
        <v>20</v>
      </c>
      <c r="BW233" s="266">
        <f>IFERROR(__xludf.DUMMYFUNCTION("COUNT(FILTER(BW$4:BW$228,BW$4:BW$228&lt;$BR$4:$BR$228-$BS$4:$BS$228*$BS$2,$E$4:$E$228))"),0.0)</f>
        <v>0</v>
      </c>
      <c r="BX233" s="225">
        <f>COUNTIFS(BX$4:BX$228,"&gt;1",BX$4:BX$228,"&lt;2")</f>
        <v>0</v>
      </c>
      <c r="BY233" s="266">
        <f>IFERROR(__xludf.DUMMYFUNCTION("COUNT(FILTER(BY$4:BY$228,BY$4:BY$228&lt;$BR$4:$BR$228-$BS$4:$BS$228*$BS$2,$E$4:$E$228))"),1.0)</f>
        <v>1</v>
      </c>
      <c r="BZ233" s="225">
        <f>COUNTIFS(BZ$4:BZ$228,"&gt;1",BZ$4:BZ$228,"&lt;2")</f>
        <v>3</v>
      </c>
      <c r="CA233" s="268"/>
      <c r="CB233" s="266">
        <f>IFERROR(__xludf.DUMMYFUNCTION("COUNT(FILTER(CB$4:CB$228,CB$4:CB$228&lt;$BR$4:$BR$228-$BS$4:$BS$228*$BS$2,$E$4:$E$228))"),0.0)</f>
        <v>0</v>
      </c>
      <c r="CC233" s="225">
        <f>COUNTIFS(CC$4:CC$228,"&gt;1",CC$4:CC$228,"&lt;2")</f>
        <v>0</v>
      </c>
      <c r="CD233" s="266">
        <f>IFERROR(__xludf.DUMMYFUNCTION("COUNT(FILTER(CD$4:CD$228,CD$4:CD$228&lt;$BR$4:$BR$228-$BS$4:$BS$228*$BS$2,$E$4:$E$228))"),0.0)</f>
        <v>0</v>
      </c>
      <c r="CE233" s="225">
        <f>COUNTIFS(CE$4:CE$228,"&gt;1",CE$4:CE$228,"&lt;2")</f>
        <v>0</v>
      </c>
      <c r="CF233" s="266">
        <f>IFERROR(__xludf.DUMMYFUNCTION("COUNT(FILTER(CF$4:CF$228,CF$4:CF$228&lt;$BR$4:$BR$228-$BS$4:$BS$228*$BS$2,$E$4:$E$228))"),6.0)</f>
        <v>6</v>
      </c>
      <c r="CG233" s="225">
        <f>COUNTIFS(CG$4:CG$228,"&gt;1",CG$4:CG$228,"&lt;2")</f>
        <v>3</v>
      </c>
      <c r="CH233" s="268"/>
      <c r="CI233" s="266">
        <f>IFERROR(__xludf.DUMMYFUNCTION("COUNT(FILTER(CI$4:CI$228,CI$4:CI$228&lt;$BR$4:$BR$228-$BS$4:$BS$228*$BS$2,$E$4:$E$228))"),2.0)</f>
        <v>2</v>
      </c>
      <c r="CJ233" s="225">
        <f>COUNTIFS(CJ$4:CJ$228,"&gt;1",CJ$4:CJ$228,"&lt;2")</f>
        <v>4</v>
      </c>
      <c r="CK233" s="266">
        <f>IFERROR(__xludf.DUMMYFUNCTION("COUNT(FILTER(CK$4:CK$228,CK$4:CK$228&lt;$BR$4:$BR$228-$BS$4:$BS$228*$BS$2,$E$4:$E$228))"),0.0)</f>
        <v>0</v>
      </c>
      <c r="CL233" s="225">
        <f>COUNTIFS(CL$4:CL$228,"&gt;1",CL$4:CL$228,"&lt;2")</f>
        <v>0</v>
      </c>
      <c r="CM233" s="266">
        <f>IFERROR(__xludf.DUMMYFUNCTION("COUNT(FILTER(CM$4:CM$228,CM$4:CM$228&lt;$BR$4:$BR$228-$BS$4:$BS$228*$BS$2,$E$4:$E$228))"),6.0)</f>
        <v>6</v>
      </c>
      <c r="CN233" s="225">
        <f>COUNTIFS(CN$4:CN$228,"&gt;1",CN$4:CN$228,"&lt;2")</f>
        <v>3</v>
      </c>
      <c r="CO233" s="269"/>
      <c r="CP233" s="266">
        <f>IFERROR(__xludf.DUMMYFUNCTION("COUNT(FILTER(CP$4:CP$228,CP$4:CP$228&lt;$BR$4:$BR$228-$BS$4:$BS$228*$BS$2,$E$4:$E$228))"),1.0)</f>
        <v>1</v>
      </c>
      <c r="CQ233" s="225">
        <f>COUNTIFS(CQ$4:CQ$228,"&gt;1",CQ$4:CQ$228,"&lt;2")</f>
        <v>1</v>
      </c>
      <c r="CR233" s="266">
        <f>IFERROR(__xludf.DUMMYFUNCTION("COUNT(FILTER(CR$4:CR$228,CR$4:CR$228&lt;$BR$4:$BR$228-$BS$4:$BS$228*$BS$2,$E$4:$E$228))"),1.0)</f>
        <v>1</v>
      </c>
      <c r="CS233" s="225">
        <f>COUNTIFS(CS$4:CS$228,"&gt;1",CS$4:CS$228,"&lt;2")</f>
        <v>1</v>
      </c>
      <c r="CT233" s="266">
        <f>IFERROR(__xludf.DUMMYFUNCTION("COUNT(FILTER(CT$4:CT$228,CT$4:CT$228&lt;$BR$4:$BR$228-$BS$4:$BS$228*$BS$2,$E$4:$E$228))"),1.0)</f>
        <v>1</v>
      </c>
      <c r="CU233" s="225">
        <f>COUNTIFS(CU$4:CU$228,"&gt;1",CU$4:CU$228,"&lt;2")</f>
        <v>0</v>
      </c>
      <c r="CV233" s="266">
        <f>IFERROR(__xludf.DUMMYFUNCTION("COUNT(FILTER(CV$4:CV$228,CV$4:CV$228&lt;$BR$4:$BR$228-$BS$4:$BS$228*$BS$2,$E$4:$E$228))"),20.0)</f>
        <v>20</v>
      </c>
      <c r="CW233" s="225">
        <f>COUNTIFS(CW$4:CW$228,"&gt;1",CW$4:CW$228,"&lt;2")</f>
        <v>1</v>
      </c>
      <c r="CX233" s="266">
        <f>IFERROR(__xludf.DUMMYFUNCTION("COUNT(FILTER(CX$4:CX$228,CX$4:CX$228&lt;$BR$4:$BR$228-$BS$4:$BS$228*$BS$2,$E$4:$E$228))"),0.0)</f>
        <v>0</v>
      </c>
      <c r="CY233" s="225">
        <f>COUNTIFS(CY$4:CY$228,"&gt;1",CY$4:CY$228,"&lt;2")</f>
        <v>0</v>
      </c>
      <c r="CZ233" s="269"/>
      <c r="DA233" s="266">
        <f>IFERROR(__xludf.DUMMYFUNCTION("COUNT(FILTER(DA$4:DA$228,DA$4:DA$228&lt;$BR$4:$BR$228-$BS$4:$BS$228*$BS$2,$E$4:$E$228))"),0.0)</f>
        <v>0</v>
      </c>
      <c r="DB233" s="225">
        <f>COUNTIFS(DB$4:DB$228,"&gt;1",DB$4:DB$228,"&lt;2")</f>
        <v>0</v>
      </c>
      <c r="DC233" s="266">
        <f>IFERROR(__xludf.DUMMYFUNCTION("COUNT(FILTER(DC$4:DC$228,DC$4:DC$228&lt;$BR$4:$BR$228-$BS$4:$BS$228*$BS$2,$E$4:$E$228))"),1.0)</f>
        <v>1</v>
      </c>
      <c r="DD233" s="225">
        <f>COUNTIFS(DD$4:DD$228,"&gt;1",DD$4:DD$228,"&lt;2")</f>
        <v>3</v>
      </c>
      <c r="DE233" s="266">
        <f>IFERROR(__xludf.DUMMYFUNCTION("COUNT(FILTER(DE$4:DE$228,DE$4:DE$228&lt;$BR$4:$BR$228-$BS$4:$BS$228*$BS$2,$E$4:$E$228))"),8.0)</f>
        <v>8</v>
      </c>
      <c r="DF233" s="225">
        <f>COUNTIFS(DF$4:DF$228,"&gt;1",DF$4:DF$228,"&lt;2")</f>
        <v>4</v>
      </c>
      <c r="DG233" s="266">
        <f>IFERROR(__xludf.DUMMYFUNCTION("COUNT(FILTER(DG$4:DG$228,DG$4:DG$228&lt;$BR$4:$BR$228-$BS$4:$BS$228*$BS$2,$E$4:$E$228))"),1.0)</f>
        <v>1</v>
      </c>
      <c r="DH233" s="225">
        <f>COUNTIFS(DH$4:DH$228,"&gt;1",DH$4:DH$228,"&lt;2")</f>
        <v>1</v>
      </c>
      <c r="DI233" s="252"/>
    </row>
    <row r="234">
      <c r="A234" s="2"/>
      <c r="B234" s="216"/>
      <c r="C234" s="217" t="s">
        <v>798</v>
      </c>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187"/>
      <c r="BI234" s="187"/>
      <c r="BJ234" s="187"/>
      <c r="BK234" s="187"/>
      <c r="BL234" s="187"/>
      <c r="BM234" s="187"/>
      <c r="BN234" s="187"/>
      <c r="BO234" s="187"/>
      <c r="BP234" s="187"/>
      <c r="BQ234" s="206"/>
      <c r="BR234" s="187"/>
      <c r="BS234" s="216"/>
      <c r="BT234" s="265"/>
      <c r="BU234" s="266">
        <f>IFERROR(__xludf.DUMMYFUNCTION("COUNT(FILTER(BU$4:BU$228,BU$4:BU$228&gt;$BR$4:$BR$228+$BS$4:$BS$228*$BS$2,$E$4:$E$228))"),26.0)</f>
        <v>26</v>
      </c>
      <c r="BV234" s="267" t="s">
        <v>799</v>
      </c>
      <c r="BW234" s="266">
        <f>IFERROR(__xludf.DUMMYFUNCTION("COUNT(FILTER(BW$4:BW$228,BW$4:BW$228&gt;$BR$4:$BR$228+$BS$4:$BS$228*$BS$2,$E$4:$E$228))"),0.0)</f>
        <v>0</v>
      </c>
      <c r="BX234" s="267" t="s">
        <v>799</v>
      </c>
      <c r="BY234" s="266">
        <f>IFERROR(__xludf.DUMMYFUNCTION("COUNT(FILTER(BY$4:BY$228,BY$4:BY$228&gt;$BR$4:$BR$228+$BS$4:$BS$228*$BS$2,$E$4:$E$228))"),4.0)</f>
        <v>4</v>
      </c>
      <c r="BZ234" s="267" t="s">
        <v>799</v>
      </c>
      <c r="CA234" s="268"/>
      <c r="CB234" s="266">
        <f>IFERROR(__xludf.DUMMYFUNCTION("COUNT(FILTER(CB$4:CB$228,CB$4:CB$228&gt;$BR$4:$BR$228+$BS$4:$BS$228*$BS$2,$E$4:$E$228))"),2.0)</f>
        <v>2</v>
      </c>
      <c r="CC234" s="267" t="s">
        <v>799</v>
      </c>
      <c r="CD234" s="266">
        <f>IFERROR(__xludf.DUMMYFUNCTION("COUNT(FILTER(CD$4:CD$228,CD$4:CD$228&gt;$BR$4:$BR$228+$BS$4:$BS$228*$BS$2,$E$4:$E$228))"),0.0)</f>
        <v>0</v>
      </c>
      <c r="CE234" s="267" t="s">
        <v>799</v>
      </c>
      <c r="CF234" s="266">
        <f>IFERROR(__xludf.DUMMYFUNCTION("COUNT(FILTER(CF$4:CF$228,CF$4:CF$228&gt;$BR$4:$BR$228+$BS$4:$BS$228*$BS$2,$E$4:$E$228))"),11.0)</f>
        <v>11</v>
      </c>
      <c r="CG234" s="267" t="s">
        <v>799</v>
      </c>
      <c r="CH234" s="268"/>
      <c r="CI234" s="266">
        <f>IFERROR(__xludf.DUMMYFUNCTION("COUNT(FILTER(CI$4:CI$228,CI$4:CI$228&gt;$BR$4:$BR$228+$BS$4:$BS$228*$BS$2,$E$4:$E$228))"),9.0)</f>
        <v>9</v>
      </c>
      <c r="CJ234" s="267" t="s">
        <v>799</v>
      </c>
      <c r="CK234" s="266">
        <f>IFERROR(__xludf.DUMMYFUNCTION("COUNT(FILTER(CK$4:CK$228,CK$4:CK$228&gt;$BR$4:$BR$228+$BS$4:$BS$228*$BS$2,$E$4:$E$228))"),0.0)</f>
        <v>0</v>
      </c>
      <c r="CL234" s="267" t="s">
        <v>799</v>
      </c>
      <c r="CM234" s="266">
        <f>IFERROR(__xludf.DUMMYFUNCTION("COUNT(FILTER(CM$4:CM$228,CM$4:CM$228&gt;$BR$4:$BR$228+$BS$4:$BS$228*$BS$2,$E$4:$E$228))"),11.0)</f>
        <v>11</v>
      </c>
      <c r="CN234" s="267" t="s">
        <v>799</v>
      </c>
      <c r="CO234" s="269"/>
      <c r="CP234" s="266">
        <f>IFERROR(__xludf.DUMMYFUNCTION("COUNT(FILTER(CP$4:CP$228,CP$4:CP$228&gt;$BR$4:$BR$228+$BS$4:$BS$228*$BS$2,$E$4:$E$228))"),3.0)</f>
        <v>3</v>
      </c>
      <c r="CQ234" s="267" t="s">
        <v>799</v>
      </c>
      <c r="CR234" s="266">
        <f>IFERROR(__xludf.DUMMYFUNCTION("COUNT(FILTER(CR$4:CR$228,CR$4:CR$228&gt;$BR$4:$BR$228+$BS$4:$BS$228*$BS$2,$E$4:$E$228))"),3.0)</f>
        <v>3</v>
      </c>
      <c r="CS234" s="267" t="s">
        <v>799</v>
      </c>
      <c r="CT234" s="266">
        <f>IFERROR(__xludf.DUMMYFUNCTION("COUNT(FILTER(CT$4:CT$228,CT$4:CT$228&gt;$BR$4:$BR$228+$BS$4:$BS$228*$BS$2,$E$4:$E$228))"),2.0)</f>
        <v>2</v>
      </c>
      <c r="CU234" s="267" t="s">
        <v>799</v>
      </c>
      <c r="CV234" s="266">
        <f>IFERROR(__xludf.DUMMYFUNCTION("COUNT(FILTER(CV$4:CV$228,CV$4:CV$228&gt;$BR$4:$BR$228+$BS$4:$BS$228*$BS$2,$E$4:$E$228))"),24.0)</f>
        <v>24</v>
      </c>
      <c r="CW234" s="267" t="s">
        <v>799</v>
      </c>
      <c r="CX234" s="266">
        <f>IFERROR(__xludf.DUMMYFUNCTION("COUNT(FILTER(CX$4:CX$228,CX$4:CX$228&gt;$BR$4:$BR$228+$BS$4:$BS$228*$BS$2,$E$4:$E$228))"),3.0)</f>
        <v>3</v>
      </c>
      <c r="CY234" s="267" t="s">
        <v>799</v>
      </c>
      <c r="CZ234" s="269"/>
      <c r="DA234" s="266">
        <f>IFERROR(__xludf.DUMMYFUNCTION("COUNT(FILTER(DA$4:DA$228,DA$4:DA$228&gt;$BR$4:$BR$228+$BS$4:$BS$228*$BS$2,$E$4:$E$228))"),0.0)</f>
        <v>0</v>
      </c>
      <c r="DB234" s="267" t="s">
        <v>799</v>
      </c>
      <c r="DC234" s="266">
        <f>IFERROR(__xludf.DUMMYFUNCTION("COUNT(FILTER(DC$4:DC$228,DC$4:DC$228&gt;$BR$4:$BR$228+$BS$4:$BS$228*$BS$2,$E$4:$E$228))"),3.0)</f>
        <v>3</v>
      </c>
      <c r="DD234" s="267" t="s">
        <v>799</v>
      </c>
      <c r="DE234" s="266">
        <f>IFERROR(__xludf.DUMMYFUNCTION("COUNT(FILTER(DE$4:DE$228,DE$4:DE$228&gt;$BR$4:$BR$228+$BS$4:$BS$228*$BS$2,$E$4:$E$228))"),11.0)</f>
        <v>11</v>
      </c>
      <c r="DF234" s="267" t="s">
        <v>799</v>
      </c>
      <c r="DG234" s="266">
        <f>IFERROR(__xludf.DUMMYFUNCTION("COUNT(FILTER(DG$4:DG$228,DG$4:DG$228&gt;$BR$4:$BR$228+$BS$4:$BS$228*$BS$2,$E$4:$E$228))"),8.0)</f>
        <v>8</v>
      </c>
      <c r="DH234" s="267" t="s">
        <v>799</v>
      </c>
      <c r="DI234" s="252"/>
    </row>
    <row r="235">
      <c r="A235" s="2"/>
      <c r="B235" s="216"/>
      <c r="C235" s="217" t="s">
        <v>800</v>
      </c>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187"/>
      <c r="BI235" s="187"/>
      <c r="BJ235" s="187"/>
      <c r="BK235" s="187"/>
      <c r="BL235" s="187"/>
      <c r="BM235" s="187"/>
      <c r="BN235" s="187"/>
      <c r="BO235" s="187"/>
      <c r="BP235" s="187"/>
      <c r="BQ235" s="206"/>
      <c r="BR235" s="187"/>
      <c r="BS235" s="216"/>
      <c r="BT235" s="265"/>
      <c r="BU235" s="266">
        <f>SUM(BU233:BU234)</f>
        <v>60</v>
      </c>
      <c r="BV235" s="225">
        <f>COUNTIFS(BV$4:BV$228,"&gt;2",BV$4:BV$228,"&lt;3")</f>
        <v>3</v>
      </c>
      <c r="BW235" s="266">
        <f>SUM(BW233:BW234)</f>
        <v>0</v>
      </c>
      <c r="BX235" s="225">
        <f>COUNTIFS(BX$4:BX$228,"&gt;2",BX$4:BX$228,"&lt;3")</f>
        <v>0</v>
      </c>
      <c r="BY235" s="266">
        <f>SUM(BY233:BY234)</f>
        <v>5</v>
      </c>
      <c r="BZ235" s="225">
        <f>COUNTIFS(BZ$4:BZ$228,"&gt;2",BZ$4:BZ$228,"&lt;3")</f>
        <v>0</v>
      </c>
      <c r="CA235" s="268"/>
      <c r="CB235" s="266">
        <f>SUM(CB233:CB234)</f>
        <v>2</v>
      </c>
      <c r="CC235" s="225">
        <f>COUNTIFS(CC$4:CC$228,"&gt;2",CC$4:CC$228,"&lt;3")</f>
        <v>0</v>
      </c>
      <c r="CD235" s="266">
        <f>SUM(CD233:CD234)</f>
        <v>0</v>
      </c>
      <c r="CE235" s="225">
        <f>COUNTIFS(CE$4:CE$228,"&gt;2",CE$4:CE$228,"&lt;3")</f>
        <v>0</v>
      </c>
      <c r="CF235" s="266">
        <f>SUM(CF233:CF234)</f>
        <v>17</v>
      </c>
      <c r="CG235" s="225">
        <f>COUNTIFS(CG$4:CG$228,"&gt;2",CG$4:CG$228,"&lt;3")</f>
        <v>2</v>
      </c>
      <c r="CH235" s="268"/>
      <c r="CI235" s="266">
        <f>SUM(CI233:CI234)</f>
        <v>11</v>
      </c>
      <c r="CJ235" s="225">
        <f>COUNTIFS(CJ$4:CJ$228,"&gt;2",CJ$4:CJ$228,"&lt;3")</f>
        <v>1</v>
      </c>
      <c r="CK235" s="266">
        <f>SUM(CK233:CK234)</f>
        <v>0</v>
      </c>
      <c r="CL235" s="225">
        <f>COUNTIFS(CL$4:CL$228,"&gt;2",CL$4:CL$228,"&lt;3")</f>
        <v>0</v>
      </c>
      <c r="CM235" s="266">
        <f>SUM(CM233:CM234)</f>
        <v>17</v>
      </c>
      <c r="CN235" s="225">
        <f>COUNTIFS(CN$4:CN$228,"&gt;2",CN$4:CN$228,"&lt;3")</f>
        <v>2</v>
      </c>
      <c r="CO235" s="269"/>
      <c r="CP235" s="266">
        <f>SUM(CP233:CP234)</f>
        <v>4</v>
      </c>
      <c r="CQ235" s="225">
        <f>COUNTIFS(CQ$4:CQ$228,"&gt;2",CQ$4:CQ$228,"&lt;3")</f>
        <v>0</v>
      </c>
      <c r="CR235" s="266">
        <f>SUM(CR233:CR234)</f>
        <v>4</v>
      </c>
      <c r="CS235" s="225">
        <f>COUNTIFS(CS$4:CS$228,"&gt;2",CS$4:CS$228,"&lt;3")</f>
        <v>0</v>
      </c>
      <c r="CT235" s="266">
        <f>SUM(CT233:CT234)</f>
        <v>3</v>
      </c>
      <c r="CU235" s="225">
        <f>COUNTIFS(CU$4:CU$228,"&gt;2",CU$4:CU$228,"&lt;3")</f>
        <v>0</v>
      </c>
      <c r="CV235" s="266">
        <f>SUM(CV233:CV234)</f>
        <v>44</v>
      </c>
      <c r="CW235" s="225">
        <f>COUNTIFS(CW$4:CW$228,"&gt;2",CW$4:CW$228,"&lt;3")</f>
        <v>0</v>
      </c>
      <c r="CX235" s="266">
        <f>SUM(CX233:CX234)</f>
        <v>3</v>
      </c>
      <c r="CY235" s="225">
        <f>COUNTIFS(CY$4:CY$228,"&gt;2",CY$4:CY$228,"&lt;3")</f>
        <v>0</v>
      </c>
      <c r="CZ235" s="269"/>
      <c r="DA235" s="266">
        <f>SUM(DA233:DA234)</f>
        <v>0</v>
      </c>
      <c r="DB235" s="225">
        <f>COUNTIFS(DB$4:DB$228,"&gt;2",DB$4:DB$228,"&lt;3")</f>
        <v>0</v>
      </c>
      <c r="DC235" s="266">
        <f>SUM(DC233:DC234)</f>
        <v>4</v>
      </c>
      <c r="DD235" s="225">
        <f>COUNTIFS(DD$4:DD$228,"&gt;2",DD$4:DD$228,"&lt;3")</f>
        <v>0</v>
      </c>
      <c r="DE235" s="266">
        <f>SUM(DE233:DE234)</f>
        <v>19</v>
      </c>
      <c r="DF235" s="225">
        <f>COUNTIFS(DF$4:DF$228,"&gt;2",DF$4:DF$228,"&lt;3")</f>
        <v>0</v>
      </c>
      <c r="DG235" s="266">
        <f>SUM(DG233:DG234)</f>
        <v>9</v>
      </c>
      <c r="DH235" s="225">
        <f>COUNTIFS(DH$4:DH$228,"&gt;2",DH$4:DH$228,"&lt;3")</f>
        <v>1</v>
      </c>
      <c r="DI235" s="252"/>
    </row>
    <row r="236">
      <c r="A236" s="2"/>
      <c r="B236" s="216"/>
      <c r="C236" s="217" t="s">
        <v>801</v>
      </c>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187"/>
      <c r="BH236" s="187"/>
      <c r="BI236" s="187"/>
      <c r="BJ236" s="187"/>
      <c r="BK236" s="187"/>
      <c r="BL236" s="187"/>
      <c r="BM236" s="187"/>
      <c r="BN236" s="187"/>
      <c r="BO236" s="187"/>
      <c r="BP236" s="187"/>
      <c r="BQ236" s="206"/>
      <c r="BR236" s="187"/>
      <c r="BS236" s="216"/>
      <c r="BT236" s="265"/>
      <c r="BU236" s="219">
        <f t="shared" ref="BU236:BU237" si="3">BU230-BU233</f>
        <v>5</v>
      </c>
      <c r="BV236" s="267" t="s">
        <v>802</v>
      </c>
      <c r="BW236" s="219">
        <f t="shared" ref="BW236:BW237" si="4">BW230-BW233</f>
        <v>0</v>
      </c>
      <c r="BX236" s="267" t="s">
        <v>802</v>
      </c>
      <c r="BY236" s="219">
        <f t="shared" ref="BY236:BY237" si="5">BY230-BY233</f>
        <v>6</v>
      </c>
      <c r="BZ236" s="267" t="s">
        <v>802</v>
      </c>
      <c r="CA236" s="270"/>
      <c r="CB236" s="219">
        <f t="shared" ref="CB236:CB237" si="6">CB230-CB233</f>
        <v>0</v>
      </c>
      <c r="CC236" s="267" t="s">
        <v>802</v>
      </c>
      <c r="CD236" s="219">
        <f t="shared" ref="CD236:CD237" si="7">CD230-CD233</f>
        <v>0</v>
      </c>
      <c r="CE236" s="267" t="s">
        <v>802</v>
      </c>
      <c r="CF236" s="219">
        <f t="shared" ref="CF236:CF237" si="8">CF230-CF233</f>
        <v>11</v>
      </c>
      <c r="CG236" s="267" t="s">
        <v>802</v>
      </c>
      <c r="CH236" s="270"/>
      <c r="CI236" s="271">
        <f t="shared" ref="CI236:CI237" si="9">CI230-CI233</f>
        <v>1</v>
      </c>
      <c r="CJ236" s="267" t="s">
        <v>802</v>
      </c>
      <c r="CK236" s="271">
        <f t="shared" ref="CK236:CK237" si="10">CK230-CK233</f>
        <v>0</v>
      </c>
      <c r="CL236" s="267" t="s">
        <v>802</v>
      </c>
      <c r="CM236" s="271">
        <f t="shared" ref="CM236:CM237" si="11">CM230-CM233</f>
        <v>11</v>
      </c>
      <c r="CN236" s="267" t="s">
        <v>802</v>
      </c>
      <c r="CO236" s="269"/>
      <c r="CP236" s="271">
        <f t="shared" ref="CP236:CP237" si="12">CP230-CP233</f>
        <v>0</v>
      </c>
      <c r="CQ236" s="267" t="s">
        <v>802</v>
      </c>
      <c r="CR236" s="271">
        <f t="shared" ref="CR236:CR237" si="13">CR230-CR233</f>
        <v>8</v>
      </c>
      <c r="CS236" s="267" t="s">
        <v>802</v>
      </c>
      <c r="CT236" s="271">
        <f t="shared" ref="CT236:CT237" si="14">CT230-CT233</f>
        <v>1</v>
      </c>
      <c r="CU236" s="267" t="s">
        <v>802</v>
      </c>
      <c r="CV236" s="271">
        <f t="shared" ref="CV236:CV237" si="15">CV230-CV233</f>
        <v>8</v>
      </c>
      <c r="CW236" s="267" t="s">
        <v>802</v>
      </c>
      <c r="CX236" s="271">
        <f t="shared" ref="CX236:CX237" si="16">CX230-CX233</f>
        <v>0</v>
      </c>
      <c r="CY236" s="267" t="s">
        <v>802</v>
      </c>
      <c r="CZ236" s="269"/>
      <c r="DA236" s="271">
        <f t="shared" ref="DA236:DA237" si="17">DA230-DA233</f>
        <v>0</v>
      </c>
      <c r="DB236" s="267" t="s">
        <v>802</v>
      </c>
      <c r="DC236" s="271">
        <f t="shared" ref="DC236:DC237" si="18">DC230-DC233</f>
        <v>3</v>
      </c>
      <c r="DD236" s="267" t="s">
        <v>802</v>
      </c>
      <c r="DE236" s="271">
        <f t="shared" ref="DE236:DE237" si="19">DE230-DE233</f>
        <v>1</v>
      </c>
      <c r="DF236" s="267" t="s">
        <v>802</v>
      </c>
      <c r="DG236" s="271">
        <f t="shared" ref="DG236:DG237" si="20">DG230-DG233</f>
        <v>0</v>
      </c>
      <c r="DH236" s="267" t="s">
        <v>802</v>
      </c>
      <c r="DI236" s="252"/>
    </row>
    <row r="237">
      <c r="A237" s="2"/>
      <c r="B237" s="216"/>
      <c r="C237" s="217" t="s">
        <v>803</v>
      </c>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187"/>
      <c r="BH237" s="187"/>
      <c r="BI237" s="187"/>
      <c r="BJ237" s="187"/>
      <c r="BK237" s="187"/>
      <c r="BL237" s="187"/>
      <c r="BM237" s="187"/>
      <c r="BN237" s="187"/>
      <c r="BO237" s="187"/>
      <c r="BP237" s="187"/>
      <c r="BQ237" s="206"/>
      <c r="BR237" s="187"/>
      <c r="BS237" s="216"/>
      <c r="BT237" s="265"/>
      <c r="BU237" s="219">
        <f t="shared" si="3"/>
        <v>5</v>
      </c>
      <c r="BV237" s="225">
        <f>COUNTIFS(BV$4:BV$228,"&gt;3",BV$4:BV$228,"&lt;4")</f>
        <v>4</v>
      </c>
      <c r="BW237" s="219">
        <f t="shared" si="4"/>
        <v>0</v>
      </c>
      <c r="BX237" s="225">
        <f>COUNTIFS(BX$4:BX$228,"&gt;3",BX$4:BX$228,"&lt;4")</f>
        <v>0</v>
      </c>
      <c r="BY237" s="219">
        <f t="shared" si="5"/>
        <v>6</v>
      </c>
      <c r="BZ237" s="225">
        <f>COUNTIFS(BZ$4:BZ$228,"&gt;3",BZ$4:BZ$228,"&lt;4")</f>
        <v>0</v>
      </c>
      <c r="CA237" s="270"/>
      <c r="CB237" s="219">
        <f t="shared" si="6"/>
        <v>0</v>
      </c>
      <c r="CC237" s="225">
        <f>COUNTIFS(CC$4:CC$228,"&gt;3",CC$4:CC$228,"&lt;4")</f>
        <v>0</v>
      </c>
      <c r="CD237" s="219">
        <f t="shared" si="7"/>
        <v>0</v>
      </c>
      <c r="CE237" s="225">
        <f>COUNTIFS(CE$4:CE$228,"&gt;3",CE$4:CE$228,"&lt;4")</f>
        <v>0</v>
      </c>
      <c r="CF237" s="219">
        <f t="shared" si="8"/>
        <v>7</v>
      </c>
      <c r="CG237" s="225">
        <f>COUNTIFS(CG$4:CG$228,"&gt;3",CG$4:CG$228,"&lt;4")</f>
        <v>0</v>
      </c>
      <c r="CH237" s="270"/>
      <c r="CI237" s="271">
        <f t="shared" si="9"/>
        <v>1</v>
      </c>
      <c r="CJ237" s="225">
        <f>COUNTIFS(CJ$4:CJ$228,"&gt;3",CJ$4:CJ$228,"&lt;4")</f>
        <v>1</v>
      </c>
      <c r="CK237" s="271">
        <f t="shared" si="10"/>
        <v>0</v>
      </c>
      <c r="CL237" s="225">
        <f>COUNTIFS(CL$4:CL$228,"&gt;3",CL$4:CL$228,"&lt;4")</f>
        <v>0</v>
      </c>
      <c r="CM237" s="271">
        <f t="shared" si="11"/>
        <v>3</v>
      </c>
      <c r="CN237" s="225">
        <f>COUNTIFS(CN$4:CN$228,"&gt;3",CN$4:CN$228,"&lt;4")</f>
        <v>0</v>
      </c>
      <c r="CO237" s="269"/>
      <c r="CP237" s="271">
        <f t="shared" si="12"/>
        <v>0</v>
      </c>
      <c r="CQ237" s="225">
        <f>COUNTIFS(CQ$4:CQ$228,"&gt;3",CQ$4:CQ$228,"&lt;4")</f>
        <v>0</v>
      </c>
      <c r="CR237" s="271">
        <f t="shared" si="13"/>
        <v>7</v>
      </c>
      <c r="CS237" s="225">
        <f>COUNTIFS(CS$4:CS$228,"&gt;3",CS$4:CS$228,"&lt;4")</f>
        <v>0</v>
      </c>
      <c r="CT237" s="271">
        <f t="shared" si="14"/>
        <v>2</v>
      </c>
      <c r="CU237" s="225">
        <f>COUNTIFS(CU$4:CU$228,"&gt;3",CU$4:CU$228,"&lt;4")</f>
        <v>0</v>
      </c>
      <c r="CV237" s="271">
        <f t="shared" si="15"/>
        <v>12</v>
      </c>
      <c r="CW237" s="225">
        <f>COUNTIFS(CW$4:CW$228,"&gt;3",CW$4:CW$228,"&lt;4")</f>
        <v>0</v>
      </c>
      <c r="CX237" s="271">
        <f t="shared" si="16"/>
        <v>0</v>
      </c>
      <c r="CY237" s="225">
        <f>COUNTIFS(CY$4:CY$228,"&gt;3",CY$4:CY$228,"&lt;4")</f>
        <v>0</v>
      </c>
      <c r="CZ237" s="269"/>
      <c r="DA237" s="271">
        <f t="shared" si="17"/>
        <v>0</v>
      </c>
      <c r="DB237" s="225">
        <f>COUNTIFS(DB$4:DB$228,"&gt;3",DB$4:DB$228,"&lt;4")</f>
        <v>0</v>
      </c>
      <c r="DC237" s="271">
        <f t="shared" si="18"/>
        <v>4</v>
      </c>
      <c r="DD237" s="225">
        <f>COUNTIFS(DD$4:DD$228,"&gt;3",DD$4:DD$228,"&lt;4")</f>
        <v>0</v>
      </c>
      <c r="DE237" s="271">
        <f t="shared" si="19"/>
        <v>1</v>
      </c>
      <c r="DF237" s="225">
        <f>COUNTIFS(DF$4:DF$228,"&gt;3",DF$4:DF$228,"&lt;4")</f>
        <v>1</v>
      </c>
      <c r="DG237" s="271">
        <f t="shared" si="20"/>
        <v>3</v>
      </c>
      <c r="DH237" s="225">
        <f>COUNTIFS(DH$4:DH$228,"&gt;3",DH$4:DH$228,"&lt;4")</f>
        <v>0</v>
      </c>
      <c r="DI237" s="252"/>
    </row>
    <row r="238">
      <c r="A238" s="2"/>
      <c r="B238" s="216"/>
      <c r="C238" s="217" t="s">
        <v>804</v>
      </c>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187"/>
      <c r="BH238" s="187"/>
      <c r="BI238" s="187"/>
      <c r="BJ238" s="187"/>
      <c r="BK238" s="187"/>
      <c r="BL238" s="187"/>
      <c r="BM238" s="187"/>
      <c r="BN238" s="187"/>
      <c r="BO238" s="187"/>
      <c r="BP238" s="187"/>
      <c r="BQ238" s="206"/>
      <c r="BR238" s="187"/>
      <c r="BS238" s="216"/>
      <c r="BT238" s="265"/>
      <c r="BU238" s="219">
        <f>SUM(BU236:BU237)</f>
        <v>10</v>
      </c>
      <c r="BV238" s="267" t="s">
        <v>805</v>
      </c>
      <c r="BW238" s="219">
        <f>SUM(BW236:BW237)</f>
        <v>0</v>
      </c>
      <c r="BX238" s="267" t="s">
        <v>805</v>
      </c>
      <c r="BY238" s="219">
        <f>SUM(BY236:BY237)</f>
        <v>12</v>
      </c>
      <c r="BZ238" s="267" t="s">
        <v>805</v>
      </c>
      <c r="CA238" s="270"/>
      <c r="CB238" s="219">
        <f>SUM(CB236:CB237)</f>
        <v>0</v>
      </c>
      <c r="CC238" s="267" t="s">
        <v>805</v>
      </c>
      <c r="CD238" s="219">
        <f>SUM(CD236:CD237)</f>
        <v>0</v>
      </c>
      <c r="CE238" s="267" t="s">
        <v>805</v>
      </c>
      <c r="CF238" s="219">
        <f>SUM(CF236:CF237)</f>
        <v>18</v>
      </c>
      <c r="CG238" s="267" t="s">
        <v>805</v>
      </c>
      <c r="CH238" s="270"/>
      <c r="CI238" s="271">
        <f>SUM(CI236:CI237)</f>
        <v>2</v>
      </c>
      <c r="CJ238" s="267" t="s">
        <v>805</v>
      </c>
      <c r="CK238" s="271">
        <f>SUM(CK236:CK237)</f>
        <v>0</v>
      </c>
      <c r="CL238" s="267" t="s">
        <v>805</v>
      </c>
      <c r="CM238" s="271">
        <f>SUM(CM236:CM237)</f>
        <v>14</v>
      </c>
      <c r="CN238" s="267" t="s">
        <v>805</v>
      </c>
      <c r="CO238" s="269"/>
      <c r="CP238" s="271">
        <f>SUM(CP236:CP237)</f>
        <v>0</v>
      </c>
      <c r="CQ238" s="267" t="s">
        <v>805</v>
      </c>
      <c r="CR238" s="271">
        <f>SUM(CR236:CR237)</f>
        <v>15</v>
      </c>
      <c r="CS238" s="267" t="s">
        <v>805</v>
      </c>
      <c r="CT238" s="271">
        <f>SUM(CT236:CT237)</f>
        <v>3</v>
      </c>
      <c r="CU238" s="267" t="s">
        <v>805</v>
      </c>
      <c r="CV238" s="271">
        <f>SUM(CV236:CV237)</f>
        <v>20</v>
      </c>
      <c r="CW238" s="267" t="s">
        <v>805</v>
      </c>
      <c r="CX238" s="271">
        <f>SUM(CX236:CX237)</f>
        <v>0</v>
      </c>
      <c r="CY238" s="267" t="s">
        <v>805</v>
      </c>
      <c r="CZ238" s="269"/>
      <c r="DA238" s="271">
        <f>SUM(DA236:DA237)</f>
        <v>0</v>
      </c>
      <c r="DB238" s="267" t="s">
        <v>805</v>
      </c>
      <c r="DC238" s="271">
        <f>SUM(DC236:DC237)</f>
        <v>7</v>
      </c>
      <c r="DD238" s="267" t="s">
        <v>805</v>
      </c>
      <c r="DE238" s="271">
        <f>SUM(DE236:DE237)</f>
        <v>2</v>
      </c>
      <c r="DF238" s="267" t="s">
        <v>805</v>
      </c>
      <c r="DG238" s="271">
        <f>SUM(DG236:DG237)</f>
        <v>3</v>
      </c>
      <c r="DH238" s="267" t="s">
        <v>805</v>
      </c>
      <c r="DI238" s="252"/>
    </row>
    <row r="239">
      <c r="A239" s="2"/>
      <c r="B239" s="216"/>
      <c r="C239" s="217" t="s">
        <v>806</v>
      </c>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c r="BD239" s="187"/>
      <c r="BE239" s="187"/>
      <c r="BF239" s="187"/>
      <c r="BG239" s="187"/>
      <c r="BH239" s="187"/>
      <c r="BI239" s="187"/>
      <c r="BJ239" s="187"/>
      <c r="BK239" s="187"/>
      <c r="BL239" s="187"/>
      <c r="BM239" s="187"/>
      <c r="BN239" s="187"/>
      <c r="BO239" s="187"/>
      <c r="BP239" s="187"/>
      <c r="BQ239" s="206"/>
      <c r="BR239" s="187"/>
      <c r="BS239" s="216"/>
      <c r="BT239" s="265"/>
      <c r="BU239" s="225">
        <f>VLOOKUP(BU2,INDIRECT("'"&amp;BU$1&amp;"'!J4:BD21"),47,0)</f>
        <v>7</v>
      </c>
      <c r="BV239" s="225">
        <f>COUNTIFS(BV$4:BV$228,"&gt;4")</f>
        <v>3</v>
      </c>
      <c r="BW239" s="225">
        <f>VLOOKUP(BW2,INDIRECT("'"&amp;BW$1&amp;"'!J4:BD21"),47,0)</f>
        <v>42</v>
      </c>
      <c r="BX239" s="225">
        <f>COUNTIFS(BX$4:BX$228,"&gt;4")</f>
        <v>0</v>
      </c>
      <c r="BY239" s="225">
        <f>VLOOKUP(BY2,INDIRECT("'"&amp;BY$1&amp;"'!J4:BD21"),47,0)</f>
        <v>11</v>
      </c>
      <c r="BZ239" s="225">
        <f>COUNTIFS(BZ$4:BZ$228,"&gt;4")</f>
        <v>2</v>
      </c>
      <c r="CA239" s="268"/>
      <c r="CB239" s="225">
        <f>VLOOKUP(CB2,INDIRECT("'"&amp;CB$1&amp;"'!J4:BD21"),47,0)</f>
        <v>16</v>
      </c>
      <c r="CC239" s="225">
        <f>COUNTIFS(CC$4:CC$228,"&gt;4")</f>
        <v>0</v>
      </c>
      <c r="CD239" s="225">
        <f>VLOOKUP(CD2,INDIRECT("'"&amp;CD$1&amp;"'!J4:BD21"),47,0)</f>
        <v>31</v>
      </c>
      <c r="CE239" s="225">
        <f>COUNTIFS(CE$4:CE$228,"&gt;4")</f>
        <v>0</v>
      </c>
      <c r="CF239" s="225">
        <f>VLOOKUP(CF2,INDIRECT("'"&amp;CF$1&amp;"'!J4:BD21"),47,0)</f>
        <v>5</v>
      </c>
      <c r="CG239" s="225">
        <f>COUNTIFS(CG$4:CG$228,"&gt;4")</f>
        <v>1</v>
      </c>
      <c r="CH239" s="268"/>
      <c r="CI239" s="225">
        <f>VLOOKUP(CI2,INDIRECT("'"&amp;CI$1&amp;"'!J4:BD21"),47,0)</f>
        <v>15</v>
      </c>
      <c r="CJ239" s="225">
        <f>COUNTIFS(CJ$4:CJ$228,"&gt;4")</f>
        <v>0</v>
      </c>
      <c r="CK239" s="225">
        <f>VLOOKUP(CK2,INDIRECT("'"&amp;CK$1&amp;"'!J4:BD21"),47,0)</f>
        <v>39</v>
      </c>
      <c r="CL239" s="225">
        <f>COUNTIFS(CL$4:CL$228,"&gt;4")</f>
        <v>0</v>
      </c>
      <c r="CM239" s="225">
        <f>VLOOKUP(CM2,INDIRECT("'"&amp;CM$1&amp;"'!J4:BD21"),47,0)</f>
        <v>5</v>
      </c>
      <c r="CN239" s="225">
        <f>COUNTIFS(CN$4:CN$228,"&gt;4")</f>
        <v>1</v>
      </c>
      <c r="CO239" s="272"/>
      <c r="CP239" s="225">
        <f>VLOOKUP(CP2,INDIRECT("'"&amp;CP$1&amp;"'!J4:BD21"),47,0)</f>
        <v>14</v>
      </c>
      <c r="CQ239" s="225">
        <f>COUNTIFS(CQ$4:CQ$228,"&gt;4")</f>
        <v>0</v>
      </c>
      <c r="CR239" s="225">
        <f>VLOOKUP(CR2,INDIRECT("'"&amp;CR$1&amp;"'!J4:BD21"),47,0)</f>
        <v>9</v>
      </c>
      <c r="CS239" s="225">
        <f>COUNTIFS(CS$4:CS$228,"&gt;4")</f>
        <v>2</v>
      </c>
      <c r="CT239" s="225">
        <f>VLOOKUP(CT2,INDIRECT("'"&amp;CT$1&amp;"'!J4:BD21"),47,0)</f>
        <v>11</v>
      </c>
      <c r="CU239" s="225">
        <f>COUNTIFS(CU$4:CU$228,"&gt;4")</f>
        <v>1</v>
      </c>
      <c r="CV239" s="225">
        <f>VLOOKUP(CV2,INDIRECT("'"&amp;CV$1&amp;"'!J4:BD21"),47,0)</f>
        <v>2</v>
      </c>
      <c r="CW239" s="225">
        <f>COUNTIFS(CW$4:CW$228,"&gt;4")</f>
        <v>0</v>
      </c>
      <c r="CX239" s="225">
        <f>VLOOKUP(CX2,INDIRECT("'"&amp;CX$1&amp;"'!J4:BD21"),47,0)</f>
        <v>14</v>
      </c>
      <c r="CY239" s="225">
        <f>COUNTIFS(CY$4:CY$228,"&gt;4")</f>
        <v>0</v>
      </c>
      <c r="CZ239" s="269"/>
      <c r="DA239" s="225">
        <f>VLOOKUP(DA2,INDIRECT("'"&amp;DA$1&amp;"'!J4:BD21"),47,0)</f>
        <v>30</v>
      </c>
      <c r="DB239" s="225">
        <f>COUNTIFS(DB$4:DB$228,"&gt;4")</f>
        <v>0</v>
      </c>
      <c r="DC239" s="225">
        <f>VLOOKUP(DC2,INDIRECT("'"&amp;DC$1&amp;"'!J4:BD21"),47,0)</f>
        <v>9</v>
      </c>
      <c r="DD239" s="225">
        <f>COUNTIFS(DD$4:DD$228,"&gt;4")</f>
        <v>2</v>
      </c>
      <c r="DE239" s="225">
        <f>VLOOKUP(DE2,INDIRECT("'"&amp;DE$1&amp;"'!J4:BD21"),47,0)</f>
        <v>8</v>
      </c>
      <c r="DF239" s="225">
        <f>COUNTIFS(DF$4:DF$228,"&gt;4")</f>
        <v>0</v>
      </c>
      <c r="DG239" s="225">
        <f>VLOOKUP(DG2,INDIRECT("'"&amp;DG$1&amp;"'!J4:BD21"),47,0)</f>
        <v>9</v>
      </c>
      <c r="DH239" s="225">
        <f>COUNTIFS(DH$4:DH$228,"&gt;4")</f>
        <v>1</v>
      </c>
      <c r="DI239" s="252"/>
    </row>
    <row r="240">
      <c r="A240" s="2"/>
      <c r="B240" s="192"/>
      <c r="C240" s="192"/>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c r="BD240" s="187"/>
      <c r="BE240" s="187"/>
      <c r="BF240" s="187"/>
      <c r="BG240" s="187"/>
      <c r="BH240" s="187"/>
      <c r="BI240" s="187"/>
      <c r="BJ240" s="187"/>
      <c r="BK240" s="187"/>
      <c r="BL240" s="187"/>
      <c r="BM240" s="187"/>
      <c r="BN240" s="187"/>
      <c r="BO240" s="187"/>
      <c r="BP240" s="187"/>
      <c r="BQ240" s="206"/>
      <c r="BR240" s="187"/>
      <c r="BS240" s="206"/>
      <c r="BT240" s="206"/>
      <c r="BU240" s="206" t="s">
        <v>434</v>
      </c>
      <c r="BV240" s="187"/>
      <c r="BW240" s="206"/>
      <c r="BX240" s="187"/>
      <c r="BY240" s="206"/>
      <c r="BZ240" s="187"/>
      <c r="CA240" s="206"/>
      <c r="CB240" s="206"/>
      <c r="CC240" s="187"/>
      <c r="CD240" s="206"/>
      <c r="CE240" s="187"/>
      <c r="CF240" s="206"/>
      <c r="CG240" s="187"/>
      <c r="CH240" s="206"/>
      <c r="CI240" s="252"/>
      <c r="CJ240" s="187"/>
      <c r="CK240" s="252"/>
      <c r="CL240" s="187"/>
      <c r="CM240" s="252"/>
      <c r="CN240" s="187"/>
      <c r="CO240" s="252"/>
      <c r="CP240" s="252"/>
      <c r="CQ240" s="187"/>
      <c r="CR240" s="252"/>
      <c r="CS240" s="187"/>
      <c r="CT240" s="252"/>
      <c r="CU240" s="187"/>
      <c r="CV240" s="252"/>
      <c r="CW240" s="187"/>
      <c r="CX240" s="252"/>
      <c r="CY240" s="187"/>
      <c r="CZ240" s="252"/>
      <c r="DA240" s="252"/>
      <c r="DB240" s="187"/>
      <c r="DC240" s="252"/>
      <c r="DD240" s="187"/>
      <c r="DE240" s="252"/>
      <c r="DF240" s="187"/>
      <c r="DG240" s="252"/>
      <c r="DH240" s="187"/>
      <c r="DI240" s="252"/>
    </row>
  </sheetData>
  <mergeCells count="10">
    <mergeCell ref="C237:E237"/>
    <mergeCell ref="C238:E238"/>
    <mergeCell ref="C239:E239"/>
    <mergeCell ref="C230:E230"/>
    <mergeCell ref="C231:E231"/>
    <mergeCell ref="C232:E232"/>
    <mergeCell ref="C233:E233"/>
    <mergeCell ref="C234:E234"/>
    <mergeCell ref="C235:E235"/>
    <mergeCell ref="C236:E236"/>
  </mergeCells>
  <conditionalFormatting sqref="BU4:BU228 BW4:BW228 BY4:BY228 CB4:CB228 CD4:CD228 CF4:CF228 CI4:CI228 CK4:CK228 CM4:CM228 CP4:CP228 CR4:CR228 CT4:CT228 CV4:CV228 CX4:CX228 DA4:DA228 DC4:DC228 DE4:DE228 DG4:DG228">
    <cfRule type="expression" dxfId="22" priority="1">
      <formula>BU4&gt;$BR4+$BS4*$BS$2</formula>
    </cfRule>
  </conditionalFormatting>
  <conditionalFormatting sqref="BU4:BU228 BW4:BW228 BY4:BY228 CB4:CB228 CD4:CD228 CF4:CF228 CI4:CI228 CK4:CK228 CM4:CM228 CP4:CP228 CR4:CR228 CT4:CT228 CV4:CV228 CX4:CX228 DA4:DA228 DC4:DC228 DE4:DE228 DG4:DG228">
    <cfRule type="expression" dxfId="23" priority="2">
      <formula>BU4&lt;$BR4-$BS4*$BS$2</formula>
    </cfRule>
  </conditionalFormatting>
  <conditionalFormatting sqref="BU4:BU228 BW4:BW228 BY4:BY228 CB4:CB228 CD4:CD228 CF4:CF228 CI4:CI228 CK4:CK228 CM4:CM228 CP4:CP228 CR4:CR228 CT4:CT228 CV4:CV228 CX4:CX228 DA4:DA228 DC4:DC228 DE4:DE228 DG4:DG228">
    <cfRule type="expression" dxfId="24" priority="3">
      <formula>AND(BU4&lt;=$BR4+$BS4*$BS$2,BU4&gt;=$BR4-$BS4*$BS$2)</formula>
    </cfRule>
  </conditionalFormatting>
  <conditionalFormatting sqref="BU230:BU232 BV230:BV237 BW230:BW232 BX230:BX237 BY230:BY232 BZ230:BZ237 CA230:CB232 CC230:CC237 CD230:CD232 CE230:CE237 CF230:CF232 CG230:CG237 CH230:CI232 CJ230:CJ237 CK230:CK232 CL230:CL237 CM230:CM232 CN230:CN237 CO230:CP232 CQ230:CQ237 CR230:CR232 CS230:CS237 CT230:CT232 CU230:CU237 CV230:CV232 CW230:CW237 CX230:CX232 CY230:CY237 CZ230:DA232 DB230:DB237 DC230:DC232 DD230:DD237 DE230:DE232 DF230:DF237 DG230:DG232 DH230:DH237 BV239 BX239 BZ239 CC239 CE239 CG239 CJ239 CL239 CN239 CQ239 CS239 CU239 CW239 CY239 DB239 DD239 DF239 DH239">
    <cfRule type="expression" dxfId="29" priority="4">
      <formula>REGEXMATCH(BU$3,"FS1")</formula>
    </cfRule>
  </conditionalFormatting>
  <conditionalFormatting sqref="BU233:BU235 BV233:BV237 BW233:BW235 BX233:BX237 BY233:BY235 BZ233:BZ237 CA233:CB235 CC233:CC237 CD233:CD235 CE233:CE237 CF233:CF235 CG233:CG237 CH233:CI235 CJ233:CJ237 CK233:CK235 CL233:CL237 CM233:CM235 CN233:CN237 CO233:CP235 CQ233:CQ237 CR233:CR235 CS233:CS237 CT233:CT235 CU233:CU237 CV233:CV235 CW233:CW237 CX233:CX235 CY233:CY237 CZ233:DA235 DB233:DB237 DC233:DC235 DD233:DD237 DE233:DE235 DF233:DF237 DG233:DG235 DH233:DH237 BV239 BX239 BZ239 CC239 CE239 CG239 CJ239 CL239 CN239 CQ239 CS239 CU239 CW239 CY239 DB239 DD239 DF239 DH239">
    <cfRule type="expression" dxfId="29" priority="5">
      <formula>REGEXMATCH(BU$3,"FS2")</formula>
    </cfRule>
  </conditionalFormatting>
  <conditionalFormatting sqref="BV4:BV228 BX4:BX228 BZ4:BZ228 CC4:CC228 CE4:CE228 CG4:CG228 CJ4:CJ228 CL4:CL228 CN4:CN228 CQ4:CQ228 CS4:CS228 CU4:CU228 CW4:CW228 CY4:CY228 DB4:DB228 DD4:DD228 DF4:DF228 DH4:DH228">
    <cfRule type="cellIs" dxfId="22" priority="6" operator="between">
      <formula>0</formula>
      <formula>1</formula>
    </cfRule>
  </conditionalFormatting>
  <conditionalFormatting sqref="BV4:BV228 BX4:BX228 BZ4:BZ228 CC4:CC228 CE4:CE228 CG4:CG228 CJ4:CJ228 CL4:CL228 CN4:CN228 CQ4:CQ228 CS4:CS228 CU4:CU228 CW4:CW228 CY4:CY228 DB4:DB228 DD4:DD228 DF4:DF228 DH4:DH228">
    <cfRule type="cellIs" dxfId="25" priority="7" operator="between">
      <formula>1</formula>
      <formula>2</formula>
    </cfRule>
  </conditionalFormatting>
  <conditionalFormatting sqref="BV4:BV228 BX4:BX228 BZ4:BZ228 CC4:CC228 CE4:CE228 CG4:CG228 CJ4:CJ228 CL4:CL228 CN4:CN228 CQ4:CQ228 CS4:CS228 CU4:CU228 CW4:CW228 CY4:CY228 DB4:DB228 DD4:DD228 DF4:DF228 DH4:DH228">
    <cfRule type="cellIs" dxfId="26" priority="8" operator="between">
      <formula>2</formula>
      <formula>3</formula>
    </cfRule>
  </conditionalFormatting>
  <conditionalFormatting sqref="BV4:BV228 BX4:BX228 BZ4:BZ228 CC4:CC228 CE4:CE228 CG4:CG228 CJ4:CJ228 CL4:CL228 CN4:CN228 CQ4:CQ228 CS4:CS228 CU4:CU228 CW4:CW228 CY4:CY228 DB4:DB228 DD4:DD228 DF4:DF228 DH4:DH228">
    <cfRule type="cellIs" dxfId="23" priority="9" operator="greaterThan">
      <formula>3</formula>
    </cfRule>
  </conditionalFormatting>
  <conditionalFormatting sqref="BV4:BV228 BX4:BX228 BZ4:BZ228 CC4:CC228 CE4:CE228 CG4:CG228 CJ4:CJ228 CL4:CL228 CN4:CN228 CQ4:CQ228 CS4:CS228 CU4:CU228 CW4:CW228 CY4:CY228 DB4:DB228 DD4:DD228 DF4:DF228 DH4:DH228">
    <cfRule type="containsBlanks" dxfId="24" priority="10">
      <formula>LEN(TRIM(BV4))=0</formula>
    </cfRule>
  </conditionalFormatting>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25"/>
    <col customWidth="1" min="2" max="3" width="2.75"/>
  </cols>
  <sheetData>
    <row r="1">
      <c r="A1" s="273"/>
      <c r="B1" s="274" t="b">
        <v>0</v>
      </c>
      <c r="C1" s="275" t="b">
        <v>0</v>
      </c>
    </row>
    <row r="2">
      <c r="A2" s="273"/>
      <c r="B2" s="274" t="b">
        <v>0</v>
      </c>
      <c r="C2" s="275" t="b">
        <v>0</v>
      </c>
    </row>
    <row r="3">
      <c r="A3" s="273"/>
      <c r="B3" s="274" t="b">
        <v>0</v>
      </c>
      <c r="C3" s="275" t="b">
        <v>0</v>
      </c>
    </row>
    <row r="4">
      <c r="A4" s="273" t="s">
        <v>443</v>
      </c>
      <c r="B4" s="276" t="b">
        <v>1</v>
      </c>
      <c r="C4" s="276" t="b">
        <v>1</v>
      </c>
    </row>
    <row r="5">
      <c r="A5" s="273" t="s">
        <v>445</v>
      </c>
      <c r="B5" s="276" t="b">
        <v>1</v>
      </c>
      <c r="C5" s="276" t="b">
        <v>1</v>
      </c>
    </row>
    <row r="6">
      <c r="A6" s="273" t="s">
        <v>446</v>
      </c>
      <c r="B6" s="276" t="b">
        <v>1</v>
      </c>
      <c r="C6" s="276" t="b">
        <v>1</v>
      </c>
    </row>
    <row r="7">
      <c r="A7" s="273" t="s">
        <v>447</v>
      </c>
      <c r="B7" s="276" t="b">
        <v>1</v>
      </c>
      <c r="C7" s="276" t="b">
        <v>1</v>
      </c>
    </row>
    <row r="8">
      <c r="A8" s="273" t="s">
        <v>448</v>
      </c>
      <c r="B8" s="276" t="b">
        <v>1</v>
      </c>
      <c r="C8" s="276" t="b">
        <v>1</v>
      </c>
    </row>
    <row r="9">
      <c r="A9" s="273" t="s">
        <v>449</v>
      </c>
      <c r="B9" s="276" t="b">
        <v>1</v>
      </c>
      <c r="C9" s="276" t="b">
        <v>1</v>
      </c>
    </row>
    <row r="10">
      <c r="A10" s="273" t="s">
        <v>450</v>
      </c>
      <c r="B10" s="276" t="b">
        <v>1</v>
      </c>
      <c r="C10" s="276" t="b">
        <v>1</v>
      </c>
    </row>
    <row r="11">
      <c r="A11" s="273" t="s">
        <v>451</v>
      </c>
      <c r="B11" s="276" t="b">
        <v>1</v>
      </c>
      <c r="C11" s="276" t="b">
        <v>1</v>
      </c>
    </row>
    <row r="12">
      <c r="A12" s="273" t="s">
        <v>452</v>
      </c>
      <c r="B12" s="276" t="b">
        <v>1</v>
      </c>
      <c r="C12" s="276" t="b">
        <v>1</v>
      </c>
    </row>
    <row r="13">
      <c r="A13" s="273" t="s">
        <v>453</v>
      </c>
      <c r="B13" s="276" t="b">
        <v>1</v>
      </c>
      <c r="C13" s="276" t="b">
        <v>1</v>
      </c>
    </row>
    <row r="14">
      <c r="A14" s="273" t="s">
        <v>454</v>
      </c>
      <c r="B14" s="276" t="b">
        <v>1</v>
      </c>
      <c r="C14" s="275" t="b">
        <v>0</v>
      </c>
    </row>
    <row r="15">
      <c r="A15" s="273" t="s">
        <v>455</v>
      </c>
      <c r="B15" s="276" t="b">
        <v>1</v>
      </c>
      <c r="C15" s="275" t="b">
        <v>0</v>
      </c>
    </row>
    <row r="16">
      <c r="A16" s="273" t="s">
        <v>456</v>
      </c>
      <c r="B16" s="276" t="b">
        <v>1</v>
      </c>
      <c r="C16" s="275" t="b">
        <v>0</v>
      </c>
    </row>
    <row r="17">
      <c r="A17" s="273" t="s">
        <v>457</v>
      </c>
      <c r="B17" s="276" t="b">
        <v>1</v>
      </c>
      <c r="C17" s="275" t="b">
        <v>0</v>
      </c>
    </row>
    <row r="18">
      <c r="A18" s="273" t="s">
        <v>458</v>
      </c>
      <c r="B18" s="276" t="b">
        <v>1</v>
      </c>
      <c r="C18" s="275" t="b">
        <v>0</v>
      </c>
    </row>
    <row r="19">
      <c r="A19" s="273" t="s">
        <v>459</v>
      </c>
      <c r="B19" s="276" t="b">
        <v>1</v>
      </c>
      <c r="C19" s="275" t="b">
        <v>0</v>
      </c>
    </row>
    <row r="20">
      <c r="A20" s="273" t="s">
        <v>460</v>
      </c>
      <c r="B20" s="276" t="b">
        <v>1</v>
      </c>
      <c r="C20" s="276" t="b">
        <v>1</v>
      </c>
    </row>
    <row r="21">
      <c r="A21" s="273" t="s">
        <v>461</v>
      </c>
      <c r="B21" s="276" t="b">
        <v>1</v>
      </c>
      <c r="C21" s="276" t="b">
        <v>1</v>
      </c>
    </row>
    <row r="22">
      <c r="A22" s="273" t="s">
        <v>462</v>
      </c>
      <c r="B22" s="276" t="b">
        <v>1</v>
      </c>
      <c r="C22" s="276" t="b">
        <v>1</v>
      </c>
    </row>
    <row r="23">
      <c r="A23" s="273" t="s">
        <v>463</v>
      </c>
      <c r="B23" s="276" t="b">
        <v>1</v>
      </c>
      <c r="C23" s="276" t="b">
        <v>1</v>
      </c>
    </row>
    <row r="24">
      <c r="A24" s="273" t="s">
        <v>464</v>
      </c>
      <c r="B24" s="276" t="b">
        <v>1</v>
      </c>
      <c r="C24" s="276" t="b">
        <v>1</v>
      </c>
    </row>
    <row r="25">
      <c r="A25" s="273" t="s">
        <v>465</v>
      </c>
      <c r="B25" s="276" t="b">
        <v>1</v>
      </c>
      <c r="C25" s="276" t="b">
        <v>1</v>
      </c>
    </row>
    <row r="26">
      <c r="A26" s="273" t="s">
        <v>466</v>
      </c>
      <c r="B26" s="276" t="b">
        <v>1</v>
      </c>
      <c r="C26" s="276" t="b">
        <v>1</v>
      </c>
    </row>
    <row r="27">
      <c r="A27" s="273" t="s">
        <v>467</v>
      </c>
      <c r="B27" s="276" t="b">
        <v>1</v>
      </c>
      <c r="C27" s="276" t="b">
        <v>1</v>
      </c>
    </row>
    <row r="28">
      <c r="A28" s="273" t="s">
        <v>468</v>
      </c>
      <c r="B28" s="276" t="b">
        <v>1</v>
      </c>
      <c r="C28" s="276" t="b">
        <v>1</v>
      </c>
    </row>
    <row r="29">
      <c r="A29" s="273" t="s">
        <v>469</v>
      </c>
      <c r="B29" s="276" t="b">
        <v>1</v>
      </c>
      <c r="C29" s="276" t="b">
        <v>1</v>
      </c>
    </row>
    <row r="30">
      <c r="A30" s="273" t="s">
        <v>470</v>
      </c>
      <c r="B30" s="276" t="b">
        <v>1</v>
      </c>
      <c r="C30" s="276" t="b">
        <v>1</v>
      </c>
    </row>
    <row r="31">
      <c r="A31" s="273" t="s">
        <v>471</v>
      </c>
      <c r="B31" s="276" t="b">
        <v>1</v>
      </c>
      <c r="C31" s="276" t="b">
        <v>1</v>
      </c>
    </row>
    <row r="32">
      <c r="A32" s="273" t="s">
        <v>472</v>
      </c>
      <c r="B32" s="276" t="b">
        <v>1</v>
      </c>
      <c r="C32" s="276" t="b">
        <v>1</v>
      </c>
    </row>
    <row r="33">
      <c r="A33" s="273" t="s">
        <v>473</v>
      </c>
      <c r="B33" s="276" t="b">
        <v>1</v>
      </c>
      <c r="C33" s="275" t="b">
        <v>0</v>
      </c>
    </row>
    <row r="34">
      <c r="A34" s="273" t="s">
        <v>474</v>
      </c>
      <c r="B34" s="276" t="b">
        <v>1</v>
      </c>
      <c r="C34" s="275" t="b">
        <v>0</v>
      </c>
    </row>
    <row r="35">
      <c r="A35" s="273" t="s">
        <v>475</v>
      </c>
      <c r="B35" s="276" t="b">
        <v>1</v>
      </c>
      <c r="C35" s="275" t="b">
        <v>0</v>
      </c>
    </row>
    <row r="36">
      <c r="A36" s="273" t="s">
        <v>476</v>
      </c>
      <c r="B36" s="276" t="b">
        <v>1</v>
      </c>
      <c r="C36" s="275" t="b">
        <v>0</v>
      </c>
    </row>
    <row r="37">
      <c r="A37" s="273" t="s">
        <v>477</v>
      </c>
      <c r="B37" s="276" t="b">
        <v>1</v>
      </c>
      <c r="C37" s="275" t="b">
        <v>0</v>
      </c>
    </row>
    <row r="38">
      <c r="A38" s="273" t="s">
        <v>478</v>
      </c>
      <c r="B38" s="276" t="b">
        <v>1</v>
      </c>
      <c r="C38" s="275" t="b">
        <v>0</v>
      </c>
    </row>
    <row r="39">
      <c r="A39" s="273" t="s">
        <v>479</v>
      </c>
      <c r="B39" s="276" t="b">
        <v>1</v>
      </c>
      <c r="C39" s="275" t="b">
        <v>0</v>
      </c>
    </row>
    <row r="40">
      <c r="A40" s="273" t="s">
        <v>480</v>
      </c>
      <c r="B40" s="276" t="b">
        <v>1</v>
      </c>
      <c r="C40" s="275" t="b">
        <v>0</v>
      </c>
    </row>
    <row r="41">
      <c r="A41" s="273" t="s">
        <v>481</v>
      </c>
      <c r="B41" s="276" t="b">
        <v>1</v>
      </c>
      <c r="C41" s="275" t="b">
        <v>0</v>
      </c>
    </row>
    <row r="42">
      <c r="A42" s="273"/>
      <c r="B42" s="274" t="b">
        <v>0</v>
      </c>
      <c r="C42" s="275" t="b">
        <v>0</v>
      </c>
    </row>
    <row r="43">
      <c r="A43" s="273" t="s">
        <v>483</v>
      </c>
      <c r="B43" s="276" t="b">
        <v>1</v>
      </c>
      <c r="C43" s="276" t="b">
        <v>1</v>
      </c>
    </row>
    <row r="44">
      <c r="A44" s="273" t="s">
        <v>484</v>
      </c>
      <c r="B44" s="276" t="b">
        <v>1</v>
      </c>
      <c r="C44" s="276" t="b">
        <v>1</v>
      </c>
    </row>
    <row r="45">
      <c r="A45" s="273" t="s">
        <v>485</v>
      </c>
      <c r="B45" s="276" t="b">
        <v>1</v>
      </c>
      <c r="C45" s="276" t="b">
        <v>1</v>
      </c>
    </row>
    <row r="46">
      <c r="A46" s="273" t="s">
        <v>486</v>
      </c>
      <c r="B46" s="276" t="b">
        <v>1</v>
      </c>
      <c r="C46" s="276" t="b">
        <v>1</v>
      </c>
    </row>
    <row r="47">
      <c r="A47" s="273" t="s">
        <v>487</v>
      </c>
      <c r="B47" s="276" t="b">
        <v>1</v>
      </c>
      <c r="C47" s="276" t="b">
        <v>1</v>
      </c>
    </row>
    <row r="48">
      <c r="A48" s="273" t="s">
        <v>488</v>
      </c>
      <c r="B48" s="276" t="b">
        <v>1</v>
      </c>
      <c r="C48" s="276" t="b">
        <v>1</v>
      </c>
    </row>
    <row r="49">
      <c r="A49" s="273" t="s">
        <v>489</v>
      </c>
      <c r="B49" s="276" t="b">
        <v>1</v>
      </c>
      <c r="C49" s="276" t="b">
        <v>1</v>
      </c>
    </row>
    <row r="50">
      <c r="A50" s="273" t="s">
        <v>490</v>
      </c>
      <c r="B50" s="276" t="b">
        <v>1</v>
      </c>
      <c r="C50" s="276" t="b">
        <v>1</v>
      </c>
    </row>
    <row r="51">
      <c r="A51" s="273" t="s">
        <v>491</v>
      </c>
      <c r="B51" s="276" t="b">
        <v>1</v>
      </c>
      <c r="C51" s="276" t="b">
        <v>1</v>
      </c>
    </row>
    <row r="52">
      <c r="A52" s="273" t="s">
        <v>492</v>
      </c>
      <c r="B52" s="276" t="b">
        <v>1</v>
      </c>
      <c r="C52" s="276" t="b">
        <v>1</v>
      </c>
    </row>
    <row r="53">
      <c r="A53" s="273" t="s">
        <v>493</v>
      </c>
      <c r="B53" s="276" t="b">
        <v>1</v>
      </c>
      <c r="C53" s="276" t="b">
        <v>1</v>
      </c>
    </row>
    <row r="54">
      <c r="A54" s="273" t="s">
        <v>494</v>
      </c>
      <c r="B54" s="276" t="b">
        <v>1</v>
      </c>
      <c r="C54" s="276" t="b">
        <v>1</v>
      </c>
    </row>
    <row r="55">
      <c r="A55" s="273" t="s">
        <v>495</v>
      </c>
      <c r="B55" s="276" t="b">
        <v>1</v>
      </c>
      <c r="C55" s="276" t="b">
        <v>1</v>
      </c>
    </row>
    <row r="56">
      <c r="A56" s="273" t="s">
        <v>496</v>
      </c>
      <c r="B56" s="276" t="b">
        <v>1</v>
      </c>
      <c r="C56" s="276" t="b">
        <v>1</v>
      </c>
    </row>
    <row r="57">
      <c r="A57" s="273" t="s">
        <v>497</v>
      </c>
      <c r="B57" s="276" t="b">
        <v>1</v>
      </c>
      <c r="C57" s="276" t="b">
        <v>1</v>
      </c>
    </row>
    <row r="58">
      <c r="A58" s="273" t="s">
        <v>498</v>
      </c>
      <c r="B58" s="276" t="b">
        <v>1</v>
      </c>
      <c r="C58" s="276" t="b">
        <v>1</v>
      </c>
    </row>
    <row r="59">
      <c r="A59" s="273" t="s">
        <v>499</v>
      </c>
      <c r="B59" s="276" t="b">
        <v>1</v>
      </c>
      <c r="C59" s="276" t="b">
        <v>1</v>
      </c>
    </row>
    <row r="60">
      <c r="A60" s="273" t="s">
        <v>500</v>
      </c>
      <c r="B60" s="276" t="b">
        <v>1</v>
      </c>
      <c r="C60" s="276" t="b">
        <v>1</v>
      </c>
    </row>
    <row r="61">
      <c r="A61" s="273" t="s">
        <v>501</v>
      </c>
      <c r="B61" s="276" t="b">
        <v>1</v>
      </c>
      <c r="C61" s="276" t="b">
        <v>1</v>
      </c>
    </row>
    <row r="62">
      <c r="A62" s="273" t="s">
        <v>502</v>
      </c>
      <c r="B62" s="276" t="b">
        <v>1</v>
      </c>
      <c r="C62" s="276" t="b">
        <v>1</v>
      </c>
    </row>
    <row r="63">
      <c r="A63" s="273" t="s">
        <v>503</v>
      </c>
      <c r="B63" s="276" t="b">
        <v>1</v>
      </c>
      <c r="C63" s="276" t="b">
        <v>1</v>
      </c>
    </row>
    <row r="64">
      <c r="A64" s="273" t="s">
        <v>504</v>
      </c>
      <c r="B64" s="276" t="b">
        <v>1</v>
      </c>
      <c r="C64" s="276" t="b">
        <v>1</v>
      </c>
    </row>
    <row r="65">
      <c r="A65" s="273" t="s">
        <v>505</v>
      </c>
      <c r="B65" s="276" t="b">
        <v>1</v>
      </c>
      <c r="C65" s="276" t="b">
        <v>1</v>
      </c>
    </row>
    <row r="66">
      <c r="A66" s="273" t="s">
        <v>506</v>
      </c>
      <c r="B66" s="276" t="b">
        <v>1</v>
      </c>
      <c r="C66" s="276" t="b">
        <v>1</v>
      </c>
    </row>
    <row r="67">
      <c r="A67" s="273"/>
      <c r="B67" s="274" t="b">
        <v>0</v>
      </c>
      <c r="C67" s="275" t="b">
        <v>0</v>
      </c>
    </row>
    <row r="68">
      <c r="A68" s="273"/>
      <c r="B68" s="274" t="b">
        <v>0</v>
      </c>
      <c r="C68" s="275" t="b">
        <v>0</v>
      </c>
    </row>
    <row r="69">
      <c r="A69" s="273"/>
      <c r="B69" s="274" t="b">
        <v>0</v>
      </c>
      <c r="C69" s="275" t="b">
        <v>0</v>
      </c>
    </row>
    <row r="70">
      <c r="A70" s="273" t="s">
        <v>508</v>
      </c>
      <c r="B70" s="276" t="b">
        <v>1</v>
      </c>
      <c r="C70" s="276" t="b">
        <v>1</v>
      </c>
    </row>
    <row r="71">
      <c r="A71" s="273" t="s">
        <v>509</v>
      </c>
      <c r="B71" s="276" t="b">
        <v>1</v>
      </c>
      <c r="C71" s="276" t="b">
        <v>1</v>
      </c>
    </row>
    <row r="72">
      <c r="A72" s="273" t="s">
        <v>510</v>
      </c>
      <c r="B72" s="276" t="b">
        <v>1</v>
      </c>
      <c r="C72" s="276" t="b">
        <v>1</v>
      </c>
    </row>
    <row r="73">
      <c r="A73" s="273" t="s">
        <v>511</v>
      </c>
      <c r="B73" s="276" t="b">
        <v>1</v>
      </c>
      <c r="C73" s="276" t="b">
        <v>1</v>
      </c>
    </row>
    <row r="74">
      <c r="A74" s="273" t="s">
        <v>512</v>
      </c>
      <c r="B74" s="276" t="b">
        <v>1</v>
      </c>
      <c r="C74" s="276" t="b">
        <v>1</v>
      </c>
    </row>
    <row r="75">
      <c r="A75" s="273" t="s">
        <v>513</v>
      </c>
      <c r="B75" s="276" t="b">
        <v>1</v>
      </c>
      <c r="C75" s="276" t="b">
        <v>1</v>
      </c>
    </row>
    <row r="76">
      <c r="A76" s="273" t="s">
        <v>514</v>
      </c>
      <c r="B76" s="276" t="b">
        <v>1</v>
      </c>
      <c r="C76" s="276" t="b">
        <v>1</v>
      </c>
    </row>
    <row r="77">
      <c r="A77" s="273" t="s">
        <v>515</v>
      </c>
      <c r="B77" s="276" t="b">
        <v>1</v>
      </c>
      <c r="C77" s="276" t="b">
        <v>1</v>
      </c>
    </row>
    <row r="78">
      <c r="A78" s="273" t="s">
        <v>516</v>
      </c>
      <c r="B78" s="276" t="b">
        <v>1</v>
      </c>
      <c r="C78" s="276" t="b">
        <v>1</v>
      </c>
    </row>
    <row r="79">
      <c r="A79" s="273" t="s">
        <v>517</v>
      </c>
      <c r="B79" s="276" t="b">
        <v>1</v>
      </c>
      <c r="C79" s="276" t="b">
        <v>1</v>
      </c>
    </row>
    <row r="80">
      <c r="A80" s="273" t="s">
        <v>518</v>
      </c>
      <c r="B80" s="276" t="b">
        <v>1</v>
      </c>
      <c r="C80" s="276" t="b">
        <v>1</v>
      </c>
    </row>
    <row r="81">
      <c r="A81" s="273" t="s">
        <v>519</v>
      </c>
      <c r="B81" s="276" t="b">
        <v>1</v>
      </c>
      <c r="C81" s="276" t="b">
        <v>1</v>
      </c>
    </row>
    <row r="82">
      <c r="A82" s="273" t="s">
        <v>520</v>
      </c>
      <c r="B82" s="276" t="b">
        <v>1</v>
      </c>
      <c r="C82" s="276" t="b">
        <v>1</v>
      </c>
    </row>
    <row r="83">
      <c r="A83" s="273" t="s">
        <v>521</v>
      </c>
      <c r="B83" s="276" t="b">
        <v>1</v>
      </c>
      <c r="C83" s="276" t="b">
        <v>1</v>
      </c>
    </row>
    <row r="84">
      <c r="A84" s="273" t="s">
        <v>522</v>
      </c>
      <c r="B84" s="276" t="b">
        <v>1</v>
      </c>
      <c r="C84" s="276" t="b">
        <v>1</v>
      </c>
    </row>
    <row r="85">
      <c r="A85" s="273" t="s">
        <v>523</v>
      </c>
      <c r="B85" s="276" t="b">
        <v>1</v>
      </c>
      <c r="C85" s="276" t="b">
        <v>1</v>
      </c>
    </row>
    <row r="86">
      <c r="A86" s="273" t="s">
        <v>524</v>
      </c>
      <c r="B86" s="276" t="b">
        <v>1</v>
      </c>
      <c r="C86" s="276" t="b">
        <v>1</v>
      </c>
    </row>
    <row r="87">
      <c r="A87" s="273" t="s">
        <v>525</v>
      </c>
      <c r="B87" s="276" t="b">
        <v>1</v>
      </c>
      <c r="C87" s="276" t="b">
        <v>1</v>
      </c>
    </row>
    <row r="88">
      <c r="A88" s="273" t="s">
        <v>526</v>
      </c>
      <c r="B88" s="276" t="b">
        <v>1</v>
      </c>
      <c r="C88" s="276" t="b">
        <v>1</v>
      </c>
    </row>
    <row r="89">
      <c r="A89" s="273" t="s">
        <v>527</v>
      </c>
      <c r="B89" s="276" t="b">
        <v>1</v>
      </c>
      <c r="C89" s="276" t="b">
        <v>1</v>
      </c>
    </row>
    <row r="90">
      <c r="A90" s="273" t="s">
        <v>528</v>
      </c>
      <c r="B90" s="276" t="b">
        <v>1</v>
      </c>
      <c r="C90" s="276" t="b">
        <v>1</v>
      </c>
    </row>
    <row r="91">
      <c r="A91" s="273" t="s">
        <v>529</v>
      </c>
      <c r="B91" s="276" t="b">
        <v>1</v>
      </c>
      <c r="C91" s="276" t="b">
        <v>1</v>
      </c>
    </row>
    <row r="92">
      <c r="A92" s="273" t="s">
        <v>530</v>
      </c>
      <c r="B92" s="276" t="b">
        <v>1</v>
      </c>
      <c r="C92" s="276" t="b">
        <v>1</v>
      </c>
    </row>
    <row r="93">
      <c r="A93" s="273" t="s">
        <v>531</v>
      </c>
      <c r="B93" s="276" t="b">
        <v>1</v>
      </c>
      <c r="C93" s="276" t="b">
        <v>1</v>
      </c>
    </row>
    <row r="94">
      <c r="A94" s="273" t="s">
        <v>532</v>
      </c>
      <c r="B94" s="276" t="b">
        <v>1</v>
      </c>
      <c r="C94" s="276" t="b">
        <v>1</v>
      </c>
    </row>
    <row r="95">
      <c r="A95" s="273" t="s">
        <v>533</v>
      </c>
      <c r="B95" s="276" t="b">
        <v>1</v>
      </c>
      <c r="C95" s="276" t="b">
        <v>1</v>
      </c>
    </row>
    <row r="96">
      <c r="A96" s="273" t="s">
        <v>534</v>
      </c>
      <c r="B96" s="276" t="b">
        <v>1</v>
      </c>
      <c r="C96" s="276" t="b">
        <v>1</v>
      </c>
    </row>
    <row r="97">
      <c r="A97" s="273" t="s">
        <v>535</v>
      </c>
      <c r="B97" s="276" t="b">
        <v>1</v>
      </c>
      <c r="C97" s="276" t="b">
        <v>1</v>
      </c>
    </row>
    <row r="98">
      <c r="A98" s="273" t="s">
        <v>536</v>
      </c>
      <c r="B98" s="276" t="b">
        <v>1</v>
      </c>
      <c r="C98" s="276" t="b">
        <v>1</v>
      </c>
    </row>
    <row r="99">
      <c r="A99" s="273" t="s">
        <v>537</v>
      </c>
      <c r="B99" s="276" t="b">
        <v>1</v>
      </c>
      <c r="C99" s="276" t="b">
        <v>1</v>
      </c>
    </row>
    <row r="100">
      <c r="A100" s="273" t="s">
        <v>538</v>
      </c>
      <c r="B100" s="276" t="b">
        <v>1</v>
      </c>
      <c r="C100" s="276" t="b">
        <v>1</v>
      </c>
    </row>
    <row r="101">
      <c r="A101" s="273" t="s">
        <v>539</v>
      </c>
      <c r="B101" s="276" t="b">
        <v>1</v>
      </c>
      <c r="C101" s="276" t="b">
        <v>1</v>
      </c>
    </row>
    <row r="102">
      <c r="A102" s="273"/>
      <c r="B102" s="274" t="b">
        <v>0</v>
      </c>
      <c r="C102" s="275" t="b">
        <v>0</v>
      </c>
    </row>
    <row r="103">
      <c r="A103" s="273" t="s">
        <v>541</v>
      </c>
      <c r="B103" s="276" t="b">
        <v>1</v>
      </c>
      <c r="C103" s="276" t="b">
        <v>1</v>
      </c>
    </row>
    <row r="104">
      <c r="A104" s="273" t="s">
        <v>542</v>
      </c>
      <c r="B104" s="276" t="b">
        <v>1</v>
      </c>
      <c r="C104" s="276" t="b">
        <v>1</v>
      </c>
    </row>
    <row r="105">
      <c r="A105" s="273" t="s">
        <v>543</v>
      </c>
      <c r="B105" s="276" t="b">
        <v>1</v>
      </c>
      <c r="C105" s="276" t="b">
        <v>1</v>
      </c>
    </row>
    <row r="106">
      <c r="A106" s="273" t="s">
        <v>544</v>
      </c>
      <c r="B106" s="276" t="b">
        <v>1</v>
      </c>
      <c r="C106" s="276" t="b">
        <v>1</v>
      </c>
    </row>
    <row r="107">
      <c r="A107" s="273" t="s">
        <v>545</v>
      </c>
      <c r="B107" s="276" t="b">
        <v>1</v>
      </c>
      <c r="C107" s="276" t="b">
        <v>1</v>
      </c>
    </row>
    <row r="108">
      <c r="A108" s="273" t="s">
        <v>546</v>
      </c>
      <c r="B108" s="276" t="b">
        <v>1</v>
      </c>
      <c r="C108" s="276" t="b">
        <v>1</v>
      </c>
    </row>
    <row r="109">
      <c r="A109" s="273" t="s">
        <v>547</v>
      </c>
      <c r="B109" s="276" t="b">
        <v>1</v>
      </c>
      <c r="C109" s="276" t="b">
        <v>1</v>
      </c>
    </row>
    <row r="110">
      <c r="A110" s="273" t="s">
        <v>548</v>
      </c>
      <c r="B110" s="276" t="b">
        <v>1</v>
      </c>
      <c r="C110" s="276" t="b">
        <v>1</v>
      </c>
    </row>
    <row r="111">
      <c r="A111" s="273" t="s">
        <v>549</v>
      </c>
      <c r="B111" s="276" t="b">
        <v>1</v>
      </c>
      <c r="C111" s="276" t="b">
        <v>1</v>
      </c>
    </row>
    <row r="112">
      <c r="A112" s="273" t="s">
        <v>550</v>
      </c>
      <c r="B112" s="276" t="b">
        <v>1</v>
      </c>
      <c r="C112" s="276" t="b">
        <v>1</v>
      </c>
    </row>
    <row r="113">
      <c r="A113" s="273" t="s">
        <v>807</v>
      </c>
      <c r="B113" s="275" t="b">
        <v>0</v>
      </c>
      <c r="C113" s="275" t="b">
        <v>0</v>
      </c>
    </row>
    <row r="114">
      <c r="A114" s="273"/>
      <c r="B114" s="274" t="b">
        <v>0</v>
      </c>
      <c r="C114" s="275" t="b">
        <v>0</v>
      </c>
    </row>
    <row r="115">
      <c r="A115" s="273" t="s">
        <v>551</v>
      </c>
      <c r="B115" s="276" t="b">
        <v>1</v>
      </c>
      <c r="C115" s="276" t="b">
        <v>1</v>
      </c>
    </row>
    <row r="116">
      <c r="A116" s="273" t="s">
        <v>552</v>
      </c>
      <c r="B116" s="276" t="b">
        <v>1</v>
      </c>
      <c r="C116" s="276" t="b">
        <v>1</v>
      </c>
    </row>
    <row r="117">
      <c r="A117" s="273" t="s">
        <v>553</v>
      </c>
      <c r="B117" s="276" t="b">
        <v>1</v>
      </c>
      <c r="C117" s="276" t="b">
        <v>1</v>
      </c>
    </row>
    <row r="118">
      <c r="A118" s="273" t="s">
        <v>554</v>
      </c>
      <c r="B118" s="276" t="b">
        <v>1</v>
      </c>
      <c r="C118" s="276" t="b">
        <v>1</v>
      </c>
    </row>
    <row r="119">
      <c r="A119" s="273" t="s">
        <v>555</v>
      </c>
      <c r="B119" s="276" t="b">
        <v>1</v>
      </c>
      <c r="C119" s="276" t="b">
        <v>1</v>
      </c>
    </row>
    <row r="120">
      <c r="A120" s="273" t="s">
        <v>556</v>
      </c>
      <c r="B120" s="276" t="b">
        <v>1</v>
      </c>
      <c r="C120" s="276" t="b">
        <v>1</v>
      </c>
    </row>
    <row r="121">
      <c r="A121" s="273" t="s">
        <v>557</v>
      </c>
      <c r="B121" s="276" t="b">
        <v>1</v>
      </c>
      <c r="C121" s="276" t="b">
        <v>1</v>
      </c>
    </row>
    <row r="122">
      <c r="A122" s="273" t="s">
        <v>558</v>
      </c>
      <c r="B122" s="276" t="b">
        <v>1</v>
      </c>
      <c r="C122" s="276" t="b">
        <v>1</v>
      </c>
    </row>
    <row r="123">
      <c r="A123" s="273" t="s">
        <v>559</v>
      </c>
      <c r="B123" s="276" t="b">
        <v>1</v>
      </c>
      <c r="C123" s="276" t="b">
        <v>1</v>
      </c>
    </row>
    <row r="124">
      <c r="A124" s="273" t="s">
        <v>560</v>
      </c>
      <c r="B124" s="276" t="b">
        <v>1</v>
      </c>
      <c r="C124" s="276" t="b">
        <v>1</v>
      </c>
    </row>
    <row r="125">
      <c r="A125" s="273" t="s">
        <v>561</v>
      </c>
      <c r="B125" s="276" t="b">
        <v>1</v>
      </c>
      <c r="C125" s="276" t="b">
        <v>1</v>
      </c>
    </row>
    <row r="126">
      <c r="A126" s="273" t="s">
        <v>562</v>
      </c>
      <c r="B126" s="276" t="b">
        <v>1</v>
      </c>
      <c r="C126" s="276" t="b">
        <v>1</v>
      </c>
    </row>
    <row r="127">
      <c r="A127" s="273" t="s">
        <v>563</v>
      </c>
      <c r="B127" s="276" t="b">
        <v>1</v>
      </c>
      <c r="C127" s="276" t="b">
        <v>1</v>
      </c>
    </row>
    <row r="128">
      <c r="A128" s="273" t="s">
        <v>564</v>
      </c>
      <c r="B128" s="276" t="b">
        <v>1</v>
      </c>
      <c r="C128" s="276" t="b">
        <v>1</v>
      </c>
    </row>
    <row r="129">
      <c r="A129" s="273" t="s">
        <v>565</v>
      </c>
      <c r="B129" s="276" t="b">
        <v>1</v>
      </c>
      <c r="C129" s="276" t="b">
        <v>1</v>
      </c>
    </row>
    <row r="130">
      <c r="A130" s="273" t="s">
        <v>566</v>
      </c>
      <c r="B130" s="276" t="b">
        <v>1</v>
      </c>
      <c r="C130" s="276" t="b">
        <v>1</v>
      </c>
    </row>
    <row r="131">
      <c r="A131" s="273" t="s">
        <v>567</v>
      </c>
      <c r="B131" s="276" t="b">
        <v>1</v>
      </c>
      <c r="C131" s="276" t="b">
        <v>1</v>
      </c>
    </row>
    <row r="132">
      <c r="A132" s="273" t="s">
        <v>568</v>
      </c>
      <c r="B132" s="276" t="b">
        <v>1</v>
      </c>
      <c r="C132" s="276" t="b">
        <v>1</v>
      </c>
    </row>
    <row r="133">
      <c r="A133" s="273" t="s">
        <v>569</v>
      </c>
      <c r="B133" s="276" t="b">
        <v>1</v>
      </c>
      <c r="C133" s="276" t="b">
        <v>1</v>
      </c>
    </row>
    <row r="134">
      <c r="A134" s="273"/>
      <c r="B134" s="274" t="b">
        <v>0</v>
      </c>
      <c r="C134" s="275" t="b">
        <v>0</v>
      </c>
    </row>
    <row r="135">
      <c r="A135" s="273" t="s">
        <v>570</v>
      </c>
      <c r="B135" s="276" t="b">
        <v>1</v>
      </c>
      <c r="C135" s="276" t="b">
        <v>1</v>
      </c>
    </row>
    <row r="136">
      <c r="A136" s="273" t="s">
        <v>571</v>
      </c>
      <c r="B136" s="276" t="b">
        <v>1</v>
      </c>
      <c r="C136" s="276" t="b">
        <v>1</v>
      </c>
    </row>
    <row r="137">
      <c r="A137" s="273" t="s">
        <v>572</v>
      </c>
      <c r="B137" s="276" t="b">
        <v>1</v>
      </c>
      <c r="C137" s="276" t="b">
        <v>1</v>
      </c>
    </row>
    <row r="138">
      <c r="A138" s="273"/>
      <c r="B138" s="274" t="b">
        <v>0</v>
      </c>
      <c r="C138" s="275" t="b">
        <v>0</v>
      </c>
    </row>
    <row r="139">
      <c r="A139" s="273" t="s">
        <v>573</v>
      </c>
      <c r="B139" s="276" t="b">
        <v>1</v>
      </c>
      <c r="C139" s="275" t="b">
        <v>0</v>
      </c>
    </row>
    <row r="140">
      <c r="A140" s="273" t="s">
        <v>574</v>
      </c>
      <c r="B140" s="276" t="b">
        <v>1</v>
      </c>
      <c r="C140" s="275" t="b">
        <v>0</v>
      </c>
    </row>
    <row r="141">
      <c r="A141" s="273" t="s">
        <v>575</v>
      </c>
      <c r="B141" s="276" t="b">
        <v>1</v>
      </c>
      <c r="C141" s="275" t="b">
        <v>0</v>
      </c>
    </row>
    <row r="142">
      <c r="A142" s="273" t="s">
        <v>576</v>
      </c>
      <c r="B142" s="276" t="b">
        <v>1</v>
      </c>
      <c r="C142" s="276" t="b">
        <v>1</v>
      </c>
    </row>
    <row r="143">
      <c r="A143" s="273" t="s">
        <v>577</v>
      </c>
      <c r="B143" s="276" t="b">
        <v>1</v>
      </c>
      <c r="C143" s="275" t="b">
        <v>0</v>
      </c>
    </row>
    <row r="144">
      <c r="A144" s="273" t="s">
        <v>578</v>
      </c>
      <c r="B144" s="276" t="b">
        <v>1</v>
      </c>
      <c r="C144" s="276" t="b">
        <v>1</v>
      </c>
    </row>
    <row r="145">
      <c r="A145" s="273" t="s">
        <v>579</v>
      </c>
      <c r="B145" s="276" t="b">
        <v>1</v>
      </c>
      <c r="C145" s="276" t="b">
        <v>1</v>
      </c>
    </row>
    <row r="146">
      <c r="A146" s="273" t="s">
        <v>580</v>
      </c>
      <c r="B146" s="276" t="b">
        <v>1</v>
      </c>
      <c r="C146" s="275" t="b">
        <v>0</v>
      </c>
    </row>
    <row r="147">
      <c r="A147" s="273" t="s">
        <v>581</v>
      </c>
      <c r="B147" s="276" t="b">
        <v>1</v>
      </c>
      <c r="C147" s="276" t="b">
        <v>1</v>
      </c>
    </row>
    <row r="148">
      <c r="A148" s="273" t="s">
        <v>582</v>
      </c>
      <c r="B148" s="276" t="b">
        <v>1</v>
      </c>
      <c r="C148" s="275" t="b">
        <v>0</v>
      </c>
    </row>
    <row r="149">
      <c r="A149" s="273" t="s">
        <v>583</v>
      </c>
      <c r="B149" s="276" t="b">
        <v>1</v>
      </c>
      <c r="C149" s="276" t="b">
        <v>1</v>
      </c>
    </row>
    <row r="150">
      <c r="A150" s="273" t="s">
        <v>584</v>
      </c>
      <c r="B150" s="276" t="b">
        <v>1</v>
      </c>
      <c r="C150" s="275" t="b">
        <v>0</v>
      </c>
    </row>
    <row r="151">
      <c r="A151" s="273" t="s">
        <v>585</v>
      </c>
      <c r="B151" s="276" t="b">
        <v>1</v>
      </c>
      <c r="C151" s="276" t="b">
        <v>1</v>
      </c>
    </row>
    <row r="152">
      <c r="A152" s="273" t="s">
        <v>586</v>
      </c>
      <c r="B152" s="276" t="b">
        <v>1</v>
      </c>
      <c r="C152" s="275" t="b">
        <v>0</v>
      </c>
    </row>
    <row r="153">
      <c r="A153" s="273" t="s">
        <v>587</v>
      </c>
      <c r="B153" s="276" t="b">
        <v>1</v>
      </c>
      <c r="C153" s="275" t="b">
        <v>0</v>
      </c>
    </row>
    <row r="154">
      <c r="A154" s="273"/>
      <c r="B154" s="274" t="b">
        <v>0</v>
      </c>
      <c r="C154" s="275" t="b">
        <v>0</v>
      </c>
    </row>
    <row r="155">
      <c r="A155" s="273" t="s">
        <v>588</v>
      </c>
      <c r="B155" s="276" t="b">
        <v>1</v>
      </c>
      <c r="C155" s="275" t="b">
        <v>0</v>
      </c>
    </row>
    <row r="156">
      <c r="A156" s="273" t="s">
        <v>589</v>
      </c>
      <c r="B156" s="276" t="b">
        <v>1</v>
      </c>
      <c r="C156" s="275" t="b">
        <v>0</v>
      </c>
    </row>
    <row r="157">
      <c r="A157" s="273" t="s">
        <v>590</v>
      </c>
      <c r="B157" s="276" t="b">
        <v>1</v>
      </c>
      <c r="C157" s="275" t="b">
        <v>0</v>
      </c>
    </row>
    <row r="158">
      <c r="A158" s="273" t="s">
        <v>591</v>
      </c>
      <c r="B158" s="276" t="b">
        <v>1</v>
      </c>
      <c r="C158" s="275" t="b">
        <v>0</v>
      </c>
    </row>
    <row r="159">
      <c r="A159" s="273" t="s">
        <v>592</v>
      </c>
      <c r="B159" s="276" t="b">
        <v>1</v>
      </c>
      <c r="C159" s="275" t="b">
        <v>0</v>
      </c>
    </row>
    <row r="160">
      <c r="A160" s="273" t="s">
        <v>593</v>
      </c>
      <c r="B160" s="276" t="b">
        <v>1</v>
      </c>
      <c r="C160" s="275" t="b">
        <v>0</v>
      </c>
    </row>
    <row r="161">
      <c r="A161" s="273" t="s">
        <v>594</v>
      </c>
      <c r="B161" s="276" t="b">
        <v>1</v>
      </c>
      <c r="C161" s="275" t="b">
        <v>0</v>
      </c>
    </row>
    <row r="162">
      <c r="A162" s="273" t="s">
        <v>595</v>
      </c>
      <c r="B162" s="276" t="b">
        <v>1</v>
      </c>
      <c r="C162" s="275" t="b">
        <v>0</v>
      </c>
    </row>
    <row r="163">
      <c r="A163" s="273" t="s">
        <v>596</v>
      </c>
      <c r="B163" s="276" t="b">
        <v>1</v>
      </c>
      <c r="C163" s="275" t="b">
        <v>0</v>
      </c>
    </row>
    <row r="164">
      <c r="A164" s="273" t="s">
        <v>597</v>
      </c>
      <c r="B164" s="276" t="b">
        <v>1</v>
      </c>
      <c r="C164" s="275" t="b">
        <v>0</v>
      </c>
    </row>
    <row r="165">
      <c r="A165" s="273" t="s">
        <v>598</v>
      </c>
      <c r="B165" s="276" t="b">
        <v>1</v>
      </c>
      <c r="C165" s="275" t="b">
        <v>0</v>
      </c>
    </row>
    <row r="166">
      <c r="A166" s="273" t="s">
        <v>599</v>
      </c>
      <c r="B166" s="276" t="b">
        <v>1</v>
      </c>
      <c r="C166" s="275" t="b">
        <v>0</v>
      </c>
    </row>
    <row r="167">
      <c r="A167" s="273" t="s">
        <v>600</v>
      </c>
      <c r="B167" s="276" t="b">
        <v>1</v>
      </c>
      <c r="C167" s="276" t="b">
        <v>1</v>
      </c>
    </row>
    <row r="168">
      <c r="A168" s="273" t="s">
        <v>602</v>
      </c>
      <c r="B168" s="276" t="b">
        <v>1</v>
      </c>
      <c r="C168" s="276" t="b">
        <v>1</v>
      </c>
    </row>
    <row r="169">
      <c r="A169" s="273" t="s">
        <v>603</v>
      </c>
      <c r="B169" s="276" t="b">
        <v>1</v>
      </c>
      <c r="C169" s="276" t="b">
        <v>1</v>
      </c>
    </row>
    <row r="170">
      <c r="A170" s="273" t="s">
        <v>604</v>
      </c>
      <c r="B170" s="276" t="b">
        <v>1</v>
      </c>
      <c r="C170" s="276" t="b">
        <v>1</v>
      </c>
    </row>
    <row r="171">
      <c r="A171" s="273" t="s">
        <v>605</v>
      </c>
      <c r="B171" s="276" t="b">
        <v>1</v>
      </c>
      <c r="C171" s="276" t="b">
        <v>1</v>
      </c>
    </row>
    <row r="172">
      <c r="A172" s="273" t="s">
        <v>606</v>
      </c>
      <c r="B172" s="276" t="b">
        <v>1</v>
      </c>
      <c r="C172" s="276" t="b">
        <v>1</v>
      </c>
    </row>
    <row r="173">
      <c r="A173" s="273" t="s">
        <v>607</v>
      </c>
      <c r="B173" s="276" t="b">
        <v>1</v>
      </c>
      <c r="C173" s="276" t="b">
        <v>1</v>
      </c>
    </row>
    <row r="174">
      <c r="A174" s="273" t="s">
        <v>608</v>
      </c>
      <c r="B174" s="276" t="b">
        <v>1</v>
      </c>
      <c r="C174" s="276" t="b">
        <v>1</v>
      </c>
    </row>
    <row r="175">
      <c r="A175" s="273" t="s">
        <v>609</v>
      </c>
      <c r="B175" s="276" t="b">
        <v>1</v>
      </c>
      <c r="C175" s="276" t="b">
        <v>1</v>
      </c>
    </row>
    <row r="176">
      <c r="A176" s="273" t="s">
        <v>610</v>
      </c>
      <c r="B176" s="276" t="b">
        <v>1</v>
      </c>
      <c r="C176" s="276" t="b">
        <v>1</v>
      </c>
    </row>
    <row r="177">
      <c r="A177" s="273" t="s">
        <v>611</v>
      </c>
      <c r="B177" s="276" t="b">
        <v>1</v>
      </c>
      <c r="C177" s="276" t="b">
        <v>1</v>
      </c>
    </row>
    <row r="178">
      <c r="A178" s="273" t="s">
        <v>612</v>
      </c>
      <c r="B178" s="276" t="b">
        <v>1</v>
      </c>
      <c r="C178" s="275" t="b">
        <v>0</v>
      </c>
    </row>
    <row r="179">
      <c r="A179" s="273" t="s">
        <v>613</v>
      </c>
      <c r="B179" s="276" t="b">
        <v>1</v>
      </c>
      <c r="C179" s="275" t="b">
        <v>0</v>
      </c>
    </row>
    <row r="180">
      <c r="A180" s="273" t="s">
        <v>614</v>
      </c>
      <c r="B180" s="276" t="b">
        <v>1</v>
      </c>
      <c r="C180" s="276" t="b">
        <v>1</v>
      </c>
    </row>
    <row r="181">
      <c r="A181" s="273" t="s">
        <v>615</v>
      </c>
      <c r="B181" s="276" t="b">
        <v>1</v>
      </c>
      <c r="C181" s="276" t="b">
        <v>1</v>
      </c>
    </row>
    <row r="182">
      <c r="A182" s="273" t="s">
        <v>616</v>
      </c>
      <c r="B182" s="276" t="b">
        <v>1</v>
      </c>
      <c r="C182" s="276" t="b">
        <v>1</v>
      </c>
    </row>
    <row r="183">
      <c r="A183" s="273"/>
      <c r="B183" s="274" t="b">
        <v>0</v>
      </c>
      <c r="C183" s="275" t="b">
        <v>0</v>
      </c>
    </row>
    <row r="184">
      <c r="A184" s="273" t="s">
        <v>617</v>
      </c>
      <c r="B184" s="276" t="b">
        <v>1</v>
      </c>
      <c r="C184" s="275" t="b">
        <v>0</v>
      </c>
    </row>
    <row r="185">
      <c r="A185" s="273" t="s">
        <v>618</v>
      </c>
      <c r="B185" s="276" t="b">
        <v>1</v>
      </c>
      <c r="C185" s="275" t="b">
        <v>0</v>
      </c>
    </row>
    <row r="186">
      <c r="A186" s="273" t="s">
        <v>619</v>
      </c>
      <c r="B186" s="276" t="b">
        <v>1</v>
      </c>
      <c r="C186" s="275" t="b">
        <v>0</v>
      </c>
    </row>
    <row r="187">
      <c r="A187" s="273" t="s">
        <v>620</v>
      </c>
      <c r="B187" s="276" t="b">
        <v>1</v>
      </c>
      <c r="C187" s="275" t="b">
        <v>0</v>
      </c>
    </row>
    <row r="188">
      <c r="A188" s="273" t="s">
        <v>621</v>
      </c>
      <c r="B188" s="276" t="b">
        <v>1</v>
      </c>
      <c r="C188" s="275" t="b">
        <v>0</v>
      </c>
    </row>
    <row r="189">
      <c r="A189" s="273" t="s">
        <v>622</v>
      </c>
      <c r="B189" s="276" t="b">
        <v>1</v>
      </c>
      <c r="C189" s="275" t="b">
        <v>0</v>
      </c>
    </row>
    <row r="190">
      <c r="A190" s="273" t="s">
        <v>623</v>
      </c>
      <c r="B190" s="276" t="b">
        <v>1</v>
      </c>
      <c r="C190" s="275" t="b">
        <v>0</v>
      </c>
    </row>
    <row r="191">
      <c r="A191" s="273" t="s">
        <v>624</v>
      </c>
      <c r="B191" s="276" t="b">
        <v>1</v>
      </c>
      <c r="C191" s="275" t="b">
        <v>0</v>
      </c>
    </row>
    <row r="192">
      <c r="A192" s="273" t="s">
        <v>625</v>
      </c>
      <c r="B192" s="276" t="b">
        <v>1</v>
      </c>
      <c r="C192" s="275" t="b">
        <v>0</v>
      </c>
    </row>
    <row r="193">
      <c r="A193" s="273" t="s">
        <v>626</v>
      </c>
      <c r="B193" s="276" t="b">
        <v>1</v>
      </c>
      <c r="C193" s="275" t="b">
        <v>0</v>
      </c>
    </row>
    <row r="194">
      <c r="A194" s="273" t="s">
        <v>627</v>
      </c>
      <c r="B194" s="276" t="b">
        <v>1</v>
      </c>
      <c r="C194" s="275" t="b">
        <v>0</v>
      </c>
    </row>
    <row r="195">
      <c r="A195" s="273" t="s">
        <v>628</v>
      </c>
      <c r="B195" s="276" t="b">
        <v>1</v>
      </c>
      <c r="C195" s="275" t="b">
        <v>0</v>
      </c>
    </row>
    <row r="196">
      <c r="A196" s="273" t="s">
        <v>629</v>
      </c>
      <c r="B196" s="276" t="b">
        <v>1</v>
      </c>
      <c r="C196" s="275" t="b">
        <v>0</v>
      </c>
    </row>
    <row r="197">
      <c r="A197" s="273"/>
      <c r="B197" s="274" t="b">
        <v>0</v>
      </c>
      <c r="C197" s="275" t="b">
        <v>0</v>
      </c>
    </row>
    <row r="198">
      <c r="A198" s="273"/>
      <c r="B198" s="274" t="b">
        <v>0</v>
      </c>
      <c r="C198" s="275" t="b">
        <v>0</v>
      </c>
    </row>
    <row r="199">
      <c r="A199" s="273"/>
      <c r="B199" s="274" t="b">
        <v>0</v>
      </c>
      <c r="C199" s="275" t="b">
        <v>0</v>
      </c>
    </row>
    <row r="200">
      <c r="A200" s="273"/>
      <c r="B200" s="274" t="b">
        <v>0</v>
      </c>
      <c r="C200" s="275" t="b">
        <v>0</v>
      </c>
    </row>
    <row r="201">
      <c r="A201" s="273"/>
      <c r="B201" s="274" t="b">
        <v>0</v>
      </c>
      <c r="C201" s="275" t="b">
        <v>0</v>
      </c>
    </row>
    <row r="202">
      <c r="A202" s="273" t="s">
        <v>631</v>
      </c>
      <c r="B202" s="276" t="b">
        <v>1</v>
      </c>
      <c r="C202" s="276" t="b">
        <v>1</v>
      </c>
    </row>
    <row r="203">
      <c r="A203" s="273" t="s">
        <v>632</v>
      </c>
      <c r="B203" s="276" t="b">
        <v>1</v>
      </c>
      <c r="C203" s="276" t="b">
        <v>1</v>
      </c>
    </row>
    <row r="204">
      <c r="A204" s="273" t="s">
        <v>633</v>
      </c>
      <c r="B204" s="276" t="b">
        <v>1</v>
      </c>
      <c r="C204" s="276" t="b">
        <v>1</v>
      </c>
    </row>
    <row r="205">
      <c r="A205" s="273" t="s">
        <v>634</v>
      </c>
      <c r="B205" s="276" t="b">
        <v>1</v>
      </c>
      <c r="C205" s="276" t="b">
        <v>1</v>
      </c>
    </row>
    <row r="206">
      <c r="A206" s="273" t="s">
        <v>635</v>
      </c>
      <c r="B206" s="276" t="b">
        <v>1</v>
      </c>
      <c r="C206" s="276" t="b">
        <v>1</v>
      </c>
    </row>
    <row r="207">
      <c r="A207" s="273" t="s">
        <v>636</v>
      </c>
      <c r="B207" s="276" t="b">
        <v>1</v>
      </c>
      <c r="C207" s="276" t="b">
        <v>1</v>
      </c>
    </row>
    <row r="208">
      <c r="A208" s="273" t="s">
        <v>637</v>
      </c>
      <c r="B208" s="276" t="b">
        <v>1</v>
      </c>
      <c r="C208" s="276" t="b">
        <v>1</v>
      </c>
    </row>
    <row r="209">
      <c r="A209" s="273" t="s">
        <v>638</v>
      </c>
      <c r="B209" s="276" t="b">
        <v>1</v>
      </c>
      <c r="C209" s="276" t="b">
        <v>1</v>
      </c>
    </row>
    <row r="210">
      <c r="A210" s="273" t="s">
        <v>639</v>
      </c>
      <c r="B210" s="276" t="b">
        <v>1</v>
      </c>
      <c r="C210" s="276" t="b">
        <v>1</v>
      </c>
    </row>
    <row r="211">
      <c r="A211" s="273" t="s">
        <v>640</v>
      </c>
      <c r="B211" s="276" t="b">
        <v>1</v>
      </c>
      <c r="C211" s="276" t="b">
        <v>1</v>
      </c>
    </row>
    <row r="212">
      <c r="A212" s="273" t="s">
        <v>641</v>
      </c>
      <c r="B212" s="276" t="b">
        <v>1</v>
      </c>
      <c r="C212" s="276" t="b">
        <v>1</v>
      </c>
    </row>
    <row r="213">
      <c r="A213" s="273" t="s">
        <v>642</v>
      </c>
      <c r="B213" s="276" t="b">
        <v>1</v>
      </c>
      <c r="C213" s="276" t="b">
        <v>1</v>
      </c>
    </row>
    <row r="214">
      <c r="A214" s="273" t="s">
        <v>643</v>
      </c>
      <c r="B214" s="276" t="b">
        <v>1</v>
      </c>
      <c r="C214" s="276" t="b">
        <v>1</v>
      </c>
    </row>
    <row r="215">
      <c r="A215" s="273" t="s">
        <v>644</v>
      </c>
      <c r="B215" s="276" t="b">
        <v>1</v>
      </c>
      <c r="C215" s="276" t="b">
        <v>1</v>
      </c>
    </row>
    <row r="216">
      <c r="A216" s="273" t="s">
        <v>645</v>
      </c>
      <c r="B216" s="276" t="b">
        <v>1</v>
      </c>
      <c r="C216" s="276" t="b">
        <v>1</v>
      </c>
    </row>
    <row r="217">
      <c r="A217" s="273" t="s">
        <v>647</v>
      </c>
      <c r="B217" s="276" t="b">
        <v>1</v>
      </c>
      <c r="C217" s="276" t="b">
        <v>1</v>
      </c>
    </row>
    <row r="218">
      <c r="A218" s="273" t="s">
        <v>648</v>
      </c>
      <c r="B218" s="276" t="b">
        <v>1</v>
      </c>
      <c r="C218" s="276" t="b">
        <v>1</v>
      </c>
    </row>
    <row r="219">
      <c r="A219" s="273" t="s">
        <v>649</v>
      </c>
      <c r="B219" s="276" t="b">
        <v>1</v>
      </c>
      <c r="C219" s="276" t="b">
        <v>1</v>
      </c>
    </row>
    <row r="220">
      <c r="A220" s="273" t="s">
        <v>650</v>
      </c>
      <c r="B220" s="276" t="b">
        <v>1</v>
      </c>
      <c r="C220" s="276" t="b">
        <v>1</v>
      </c>
    </row>
    <row r="221">
      <c r="A221" s="273" t="s">
        <v>651</v>
      </c>
      <c r="B221" s="276" t="b">
        <v>1</v>
      </c>
      <c r="C221" s="276" t="b">
        <v>1</v>
      </c>
    </row>
    <row r="222">
      <c r="A222" s="273" t="s">
        <v>652</v>
      </c>
      <c r="B222" s="276" t="b">
        <v>1</v>
      </c>
      <c r="C222" s="275" t="b">
        <v>0</v>
      </c>
    </row>
    <row r="223">
      <c r="A223" s="273" t="s">
        <v>653</v>
      </c>
      <c r="B223" s="276" t="b">
        <v>1</v>
      </c>
      <c r="C223" s="276" t="b">
        <v>1</v>
      </c>
    </row>
    <row r="224">
      <c r="A224" s="273" t="s">
        <v>654</v>
      </c>
      <c r="B224" s="276" t="b">
        <v>1</v>
      </c>
      <c r="C224" s="276" t="b">
        <v>1</v>
      </c>
    </row>
    <row r="225">
      <c r="A225" s="273" t="s">
        <v>655</v>
      </c>
      <c r="B225" s="276" t="b">
        <v>1</v>
      </c>
      <c r="C225" s="275" t="b">
        <v>0</v>
      </c>
    </row>
    <row r="226">
      <c r="A226" s="273" t="s">
        <v>656</v>
      </c>
      <c r="B226" s="276" t="b">
        <v>1</v>
      </c>
      <c r="C226" s="275" t="b">
        <v>0</v>
      </c>
    </row>
    <row r="227">
      <c r="A227" s="273" t="s">
        <v>657</v>
      </c>
      <c r="B227" s="276" t="b">
        <v>1</v>
      </c>
      <c r="C227" s="275" t="b">
        <v>0</v>
      </c>
    </row>
    <row r="228">
      <c r="A228" s="273" t="s">
        <v>658</v>
      </c>
      <c r="B228" s="276" t="b">
        <v>1</v>
      </c>
      <c r="C228" s="276" t="b">
        <v>1</v>
      </c>
    </row>
    <row r="229">
      <c r="A229" s="273" t="s">
        <v>659</v>
      </c>
      <c r="B229" s="276" t="b">
        <v>1</v>
      </c>
      <c r="C229" s="276" t="b">
        <v>1</v>
      </c>
    </row>
    <row r="230">
      <c r="A230" s="273" t="s">
        <v>660</v>
      </c>
      <c r="B230" s="276" t="b">
        <v>1</v>
      </c>
      <c r="C230" s="276" t="b">
        <v>1</v>
      </c>
    </row>
    <row r="231">
      <c r="A231" s="273" t="s">
        <v>661</v>
      </c>
      <c r="B231" s="276" t="b">
        <v>1</v>
      </c>
      <c r="C231" s="276" t="b">
        <v>1</v>
      </c>
    </row>
    <row r="232">
      <c r="A232" s="273" t="s">
        <v>662</v>
      </c>
      <c r="B232" s="276" t="b">
        <v>1</v>
      </c>
      <c r="C232" s="276" t="b">
        <v>1</v>
      </c>
    </row>
    <row r="233">
      <c r="A233" s="273" t="s">
        <v>663</v>
      </c>
      <c r="B233" s="276" t="b">
        <v>1</v>
      </c>
      <c r="C233" s="276" t="b">
        <v>1</v>
      </c>
    </row>
    <row r="234">
      <c r="A234" s="273" t="s">
        <v>664</v>
      </c>
      <c r="B234" s="276" t="b">
        <v>1</v>
      </c>
      <c r="C234" s="276" t="b">
        <v>1</v>
      </c>
    </row>
    <row r="235">
      <c r="A235" s="273" t="s">
        <v>665</v>
      </c>
      <c r="B235" s="276" t="b">
        <v>1</v>
      </c>
      <c r="C235" s="276" t="b">
        <v>1</v>
      </c>
    </row>
    <row r="236">
      <c r="A236" s="273" t="s">
        <v>666</v>
      </c>
      <c r="B236" s="276" t="b">
        <v>1</v>
      </c>
      <c r="C236" s="276" t="b">
        <v>1</v>
      </c>
    </row>
    <row r="237">
      <c r="A237" s="273" t="s">
        <v>667</v>
      </c>
      <c r="B237" s="276" t="b">
        <v>1</v>
      </c>
      <c r="C237" s="276" t="b">
        <v>1</v>
      </c>
    </row>
    <row r="238">
      <c r="A238" s="273" t="s">
        <v>668</v>
      </c>
      <c r="B238" s="276" t="b">
        <v>1</v>
      </c>
      <c r="C238" s="276" t="b">
        <v>1</v>
      </c>
    </row>
    <row r="239">
      <c r="A239" s="273" t="s">
        <v>669</v>
      </c>
      <c r="B239" s="276" t="b">
        <v>1</v>
      </c>
      <c r="C239" s="276" t="b">
        <v>1</v>
      </c>
    </row>
    <row r="240">
      <c r="A240" s="273" t="s">
        <v>670</v>
      </c>
      <c r="B240" s="276" t="b">
        <v>1</v>
      </c>
      <c r="C240" s="276" t="b">
        <v>1</v>
      </c>
    </row>
    <row r="241">
      <c r="A241" s="273" t="s">
        <v>672</v>
      </c>
      <c r="B241" s="276" t="b">
        <v>1</v>
      </c>
      <c r="C241" s="275" t="b">
        <v>0</v>
      </c>
    </row>
    <row r="242">
      <c r="A242" s="273" t="s">
        <v>673</v>
      </c>
      <c r="B242" s="276" t="b">
        <v>1</v>
      </c>
      <c r="C242" s="275" t="b">
        <v>0</v>
      </c>
    </row>
    <row r="243">
      <c r="A243" s="273" t="s">
        <v>674</v>
      </c>
      <c r="B243" s="276" t="b">
        <v>1</v>
      </c>
      <c r="C243" s="275" t="b">
        <v>0</v>
      </c>
    </row>
    <row r="244">
      <c r="A244" s="273" t="s">
        <v>675</v>
      </c>
      <c r="B244" s="276" t="b">
        <v>1</v>
      </c>
      <c r="C244" s="275" t="b">
        <v>0</v>
      </c>
    </row>
    <row r="245">
      <c r="A245" s="273"/>
      <c r="B245" s="274" t="b">
        <v>0</v>
      </c>
      <c r="C245" s="275" t="b">
        <v>0</v>
      </c>
    </row>
    <row r="246" ht="14.25" customHeight="1">
      <c r="A246" s="273"/>
      <c r="B246" s="274" t="b">
        <v>0</v>
      </c>
      <c r="C246" s="275" t="b">
        <v>0</v>
      </c>
    </row>
  </sheetData>
  <drawing r:id="rId1"/>
</worksheet>
</file>